
<file path=[Content_Types].xml><?xml version="1.0" encoding="utf-8"?>
<Types xmlns="http://schemas.openxmlformats.org/package/2006/content-types">
  <Default ContentType="application/vnd.openxmlformats-officedocument.spreadsheetml.printerSettings" Extension="bin"/>
  <Default ContentType="image/gif" Extension="gif"/>
  <Default ContentType="image/jpeg" Extension="jpeg"/>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10.xml"/>
  <Override ContentType="application/vnd.openxmlformats-officedocument.spreadsheetml.comments+xml" PartName="/xl/comments11.xml"/>
  <Override ContentType="application/vnd.openxmlformats-officedocument.spreadsheetml.comments+xml" PartName="/xl/comments12.xml"/>
  <Override ContentType="application/vnd.openxmlformats-officedocument.spreadsheetml.comments+xml" PartName="/xl/comments13.xml"/>
  <Override ContentType="application/vnd.openxmlformats-officedocument.spreadsheetml.comments+xml" PartName="/xl/comments14.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mments+xml" PartName="/xl/comments7.xml"/>
  <Override ContentType="application/vnd.openxmlformats-officedocument.spreadsheetml.comments+xml" PartName="/xl/comments8.xml"/>
  <Override ContentType="application/vnd.openxmlformats-officedocument.spreadsheetml.comments+xml" PartName="/xl/comments9.xml"/>
  <Override ContentType="application/vnd.openxmlformats-officedocument.drawing+xml" PartName="/xl/drawings/drawing1.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spreadsheetml.externalLink+xml" PartName="/xl/externalLinks/externalLink4.xml"/>
  <Override ContentType="application/vnd.openxmlformats-officedocument.spreadsheetml.externalLink+xml" PartName="/xl/externalLinks/externalLink5.xml"/>
  <Override ContentType="application/vnd.openxmlformats-officedocument.spreadsheetml.externalLink+xml" PartName="/xl/externalLinks/externalLink6.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openxmlformats-officedocument.spreadsheetml.volatileDependencies+xml" PartName="/xl/volatileDependencies.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xml"/>
  <Override ContentType="application/vnd.openxmlformats-officedocument.spreadsheetml.worksheet+xml" PartName="/xl/worksheets/sheet20.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585" windowWidth="19215" windowHeight="5580" tabRatio="787"/>
  </bookViews>
  <sheets>
    <sheet name="ImportantDisclosures" sheetId="94" r:id="rId1"/>
    <sheet name="Earnings" sheetId="53" r:id="rId2"/>
    <sheet name="BullBaseBear" sheetId="68" r:id="rId3"/>
    <sheet name="sumry" sheetId="11" r:id="rId4"/>
    <sheet name="qtrSales" sheetId="3" r:id="rId5"/>
    <sheet name="qtrP&amp;L" sheetId="1" r:id="rId6"/>
    <sheet name="yrSales" sheetId="4" r:id="rId7"/>
    <sheet name="yrP&amp;L" sheetId="5" r:id="rId8"/>
    <sheet name="stores" sheetId="35" r:id="rId9"/>
    <sheet name="bal" sheetId="9" r:id="rId10"/>
    <sheet name="flow" sheetId="10" r:id="rId11"/>
    <sheet name="turn" sheetId="8" r:id="rId12"/>
    <sheet name="wc" sheetId="6" r:id="rId13"/>
    <sheet name="dtc" sheetId="7" r:id="rId14"/>
    <sheet name="MW-Cache" sheetId="15" state="veryHidden" r:id="rId15"/>
    <sheet name="__FDSCACHE__" sheetId="17" state="veryHidden" r:id="rId16"/>
    <sheet name="LEASES NEW" sheetId="42" r:id="rId17"/>
    <sheet name="DCF" sheetId="86" r:id="rId18"/>
    <sheet name="IndexInformation" sheetId="95" r:id="rId19"/>
    <sheet name="ModPubIndex" sheetId="96" r:id="rId20"/>
  </sheets>
  <functionGroups builtInGroupCount="17"/>
  <externalReferences>
    <externalReference r:id="rId21"/>
    <externalReference r:id="rId22"/>
    <externalReference r:id="rId23"/>
    <externalReference r:id="rId24"/>
    <externalReference r:id="rId25"/>
    <externalReference r:id="rId26"/>
  </externalReferences>
  <definedNames>
    <definedName name="__FDS_HYPERLINK_TOGGLE_STATE__" hidden="1">"ON"</definedName>
    <definedName name="__FDS_UNIQUE_RANGE_ID_GENERATOR_COUNTER">155</definedName>
    <definedName name="__FDS_USED_FOR_REUSING_RANGE_IDS_RECYCLE">{1,1,1,1}</definedName>
    <definedName name="_1__FDSAUDITLINK__" hidden="1">{"fdsup://Directions/FactSet Auditing Viewer?action=AUDIT_VALUE&amp;DB=129&amp;ID1=87416110&amp;VALUEID=02101&amp;SDATE=201001&amp;PERIODTYPE=QTR_STD&amp;window=popup_no_bar&amp;width=385&amp;height=120&amp;START_MAXIMIZED=FALSE&amp;creator=factset&amp;display_string=Audit"}</definedName>
    <definedName name="_10__FDSAUDITLINK__" hidden="1">{"fdsup://Directions/FactSet Auditing Viewer?action=AUDIT_VALUE&amp;DB=129&amp;ID1=03611510&amp;VALUEID=02101&amp;SDATE=201001&amp;PERIODTYPE=QTR_STD&amp;window=popup_no_bar&amp;width=385&amp;height=120&amp;START_MAXIMIZED=FALSE&amp;creator=factset&amp;display_string=Audit"}</definedName>
    <definedName name="_100__FDSAUDITLINK__" hidden="1">{"fdsup://Directions/FactSet Auditing Viewer?action=AUDIT_VALUE&amp;DB=129&amp;ID1=00786510&amp;VALUEID=13040&amp;SDATE=200901&amp;PERIODTYPE=QTR_STD&amp;window=popup_no_bar&amp;width=385&amp;height=120&amp;START_MAXIMIZED=FALSE&amp;creator=factset&amp;display_string=Audit"}</definedName>
    <definedName name="_1000__FDSAUDITLINK__" hidden="1">{"fdsup://Directions/FactSet Auditing Viewer?action=AUDIT_VALUE&amp;DB=129&amp;ID1=00289620&amp;VALUEID=02101&amp;SDATE=201001&amp;PERIODTYPE=QTR_STD&amp;window=popup_no_bar&amp;width=385&amp;height=120&amp;START_MAXIMIZED=FALSE&amp;creator=factset&amp;display_string=Audit"}</definedName>
    <definedName name="_1001__FDSAUDITLINK__" hidden="1">{"fdsup://Directions/FactSet Auditing Viewer?action=AUDIT_VALUE&amp;DB=129&amp;ID1=00289620&amp;VALUEID=13040&amp;SDATE=201001&amp;PERIODTYPE=QTR_STD&amp;window=popup_no_bar&amp;width=385&amp;height=120&amp;START_MAXIMIZED=FALSE&amp;creator=factset&amp;display_string=Audit"}</definedName>
    <definedName name="_1002__FDSAUDITLINK__" hidden="1">{"fdsup://Directions/FactSet Auditing Viewer?action=AUDIT_VALUE&amp;DB=129&amp;ID1=87416110&amp;VALUEID=01001&amp;SDATE=200904&amp;PERIODTYPE=QTR_STD&amp;window=popup_no_bar&amp;width=385&amp;height=120&amp;START_MAXIMIZED=FALSE&amp;creator=factset&amp;display_string=Audit"}</definedName>
    <definedName name="_1003__FDSAUDITLINK__" hidden="1">{"fdsup://directions/FAT Viewer?action=UPDATE&amp;creator=factset&amp;DYN_ARGS=TRUE&amp;DOC_NAME=FAT:FQL_AUDITING_CLIENT_TEMPLATE.FAT&amp;display_string=Audit&amp;VAR:KEY=BIFCDOPIRG&amp;VAR:QUERY=RkZfUlRfU0ZfVE9UX0dST1NTKFFUUiwtMSk=&amp;WINDOW=FIRST_POPUP&amp;HEIGHT=450&amp;WIDTH=450&amp;START_MA","XIMIZED=FALSE&amp;VAR:CALENDAR=US&amp;VAR:SYMBOL=TLB&amp;VAR:INDEX=0"}</definedName>
    <definedName name="_1004__FDSAUDITLINK__" hidden="1">{"fdsup://Directions/FactSet Auditing Viewer?action=AUDIT_VALUE&amp;DB=129&amp;ID1=46612H40&amp;VALUEID=01001&amp;SDATE=200904&amp;PERIODTYPE=QTR_STD&amp;window=popup_no_bar&amp;width=385&amp;height=120&amp;START_MAXIMIZED=FALSE&amp;creator=factset&amp;display_string=Audit"}</definedName>
    <definedName name="_1005__FDSAUDITLINK__" hidden="1">{"fdsup://Directions/FactSet Auditing Viewer?action=AUDIT_VALUE&amp;DB=129&amp;ID1=36476010&amp;VALUEID=01001&amp;SDATE=200904&amp;PERIODTYPE=QTR_STD&amp;window=popup_no_bar&amp;width=385&amp;height=120&amp;START_MAXIMIZED=FALSE&amp;creator=factset&amp;display_string=Audit"}</definedName>
    <definedName name="_1006__FDSAUDITLINK__" hidden="1">{"fdsup://Directions/FactSet Auditing Viewer?action=AUDIT_VALUE&amp;DB=129&amp;ID1=03611510&amp;VALUEID=01001&amp;SDATE=200904&amp;PERIODTYPE=QTR_STD&amp;window=popup_no_bar&amp;width=385&amp;height=120&amp;START_MAXIMIZED=FALSE&amp;creator=factset&amp;display_string=Audit"}</definedName>
    <definedName name="_1007__FDSAUDITLINK__" hidden="1">{"fdsup://Directions/FactSet Auditing Viewer?action=AUDIT_VALUE&amp;DB=129&amp;ID1=16890510&amp;VALUEID=01001&amp;SDATE=200904&amp;PERIODTYPE=QTR_STD&amp;window=popup_no_bar&amp;width=385&amp;height=120&amp;START_MAXIMIZED=FALSE&amp;creator=factset&amp;display_string=Audit"}</definedName>
    <definedName name="_1008__FDSAUDITLINK__" hidden="1">{"fdsup://Directions/FactSet Auditing Viewer?action=AUDIT_VALUE&amp;DB=129&amp;ID1=91704710&amp;VALUEID=01001&amp;SDATE=200904&amp;PERIODTYPE=QTR_STD&amp;window=popup_no_bar&amp;width=385&amp;height=120&amp;START_MAXIMIZED=FALSE&amp;creator=factset&amp;display_string=Audit"}</definedName>
    <definedName name="_1009__FDSAUDITLINK__" hidden="1">{"fdsup://Directions/FactSet Auditing Viewer?action=AUDIT_VALUE&amp;DB=129&amp;ID1=02553E10&amp;VALUEID=01001&amp;SDATE=200904&amp;PERIODTYPE=QTR_STD&amp;window=popup_no_bar&amp;width=385&amp;height=120&amp;START_MAXIMIZED=FALSE&amp;creator=factset&amp;display_string=Audit"}</definedName>
    <definedName name="_101__FDSAUDITLINK__" hidden="1">{"fdsup://Directions/FactSet Auditing Viewer?action=AUDIT_VALUE&amp;DB=129&amp;ID1=00289620&amp;VALUEID=13040&amp;SDATE=200901&amp;PERIODTYPE=QTR_STD&amp;window=popup_no_bar&amp;width=385&amp;height=120&amp;START_MAXIMIZED=FALSE&amp;creator=factset&amp;display_string=Audit"}</definedName>
    <definedName name="_1010__FDSAUDITLINK__" hidden="1">{"fdsup://Directions/FactSet Auditing Viewer?action=AUDIT_VALUE&amp;DB=129&amp;ID1=00786510&amp;VALUEID=01001&amp;SDATE=200904&amp;PERIODTYPE=QTR_STD&amp;window=popup_no_bar&amp;width=385&amp;height=120&amp;START_MAXIMIZED=FALSE&amp;creator=factset&amp;display_string=Audit"}</definedName>
    <definedName name="_1011__FDSAUDITLINK__" hidden="1">{"fdsup://Directions/FactSet Auditing Viewer?action=AUDIT_VALUE&amp;DB=129&amp;ID1=87416110&amp;VALUEID=02101&amp;SDATE=200903&amp;PERIODTYPE=QTR_STD&amp;window=popup_no_bar&amp;width=385&amp;height=120&amp;START_MAXIMIZED=FALSE&amp;creator=factset&amp;display_string=Audit"}</definedName>
    <definedName name="_1012__FDSAUDITLINK__" hidden="1">{"fdsup://Directions/FactSet Auditing Viewer?action=AUDIT_VALUE&amp;DB=129&amp;ID1=87416110&amp;VALUEID=01001&amp;SDATE=200903&amp;PERIODTYPE=QTR_STD&amp;window=popup_no_bar&amp;width=385&amp;height=120&amp;START_MAXIMIZED=FALSE&amp;creator=factset&amp;display_string=Audit"}</definedName>
    <definedName name="_1013__FDSAUDITLINK__" hidden="1">{"fdsup://Directions/FactSet Auditing Viewer?action=AUDIT_VALUE&amp;DB=129&amp;ID1=87416110&amp;VALUEID=13040&amp;SDATE=200903&amp;PERIODTYPE=QTR_STD&amp;window=popup_no_bar&amp;width=385&amp;height=120&amp;START_MAXIMIZED=FALSE&amp;creator=factset&amp;display_string=Audit"}</definedName>
    <definedName name="_1014__FDSAUDITLINK__" hidden="1">{"fdsup://directions/FAT Viewer?action=UPDATE&amp;creator=factset&amp;DYN_ARGS=TRUE&amp;DOC_NAME=FAT:FQL_AUDITING_CLIENT_TEMPLATE.FAT&amp;display_string=Audit&amp;VAR:KEY=XAZODYBEXK&amp;VAR:QUERY=RkZfUlRfU0ZfVE9UX0dST1NTKFFUUiwtMik=&amp;WINDOW=FIRST_POPUP&amp;HEIGHT=450&amp;WIDTH=450&amp;START_MA","XIMIZED=FALSE&amp;VAR:CALENDAR=US&amp;VAR:SYMBOL=TLB&amp;VAR:INDEX=0"}</definedName>
    <definedName name="_1015__FDSAUDITLINK__" hidden="1">{"fdsup://Directions/FactSet Auditing Viewer?action=AUDIT_VALUE&amp;DB=129&amp;ID1=53271610&amp;VALUEID=02101&amp;SDATE=200903&amp;PERIODTYPE=QTR_STD&amp;window=popup_no_bar&amp;width=385&amp;height=120&amp;START_MAXIMIZED=FALSE&amp;creator=factset&amp;display_string=Audit"}</definedName>
    <definedName name="_1016__FDSAUDITLINK__" hidden="1">{"fdsup://Directions/FactSet Auditing Viewer?action=AUDIT_VALUE&amp;DB=129&amp;ID1=53271610&amp;VALUEID=01001&amp;SDATE=200903&amp;PERIODTYPE=QTR_STD&amp;window=popup_no_bar&amp;width=385&amp;height=120&amp;START_MAXIMIZED=FALSE&amp;creator=factset&amp;display_string=Audit"}</definedName>
    <definedName name="_1017__FDSAUDITLINK__" hidden="1">{"fdsup://Directions/FactSet Auditing Viewer?action=AUDIT_VALUE&amp;DB=129&amp;ID1=53271610&amp;VALUEID=13040&amp;SDATE=200903&amp;PERIODTYPE=QTR_STD&amp;window=popup_no_bar&amp;width=385&amp;height=120&amp;START_MAXIMIZED=FALSE&amp;creator=factset&amp;display_string=Audit"}</definedName>
    <definedName name="_1018__FDSAUDITLINK__" hidden="1">{"fdsup://Directions/FactSet Auditing Viewer?action=AUDIT_VALUE&amp;DB=129&amp;ID1=46612H40&amp;VALUEID=02101&amp;SDATE=200903&amp;PERIODTYPE=QTR_STD&amp;window=popup_no_bar&amp;width=385&amp;height=120&amp;START_MAXIMIZED=FALSE&amp;creator=factset&amp;display_string=Audit"}</definedName>
    <definedName name="_1019__FDSAUDITLINK__" hidden="1">{"fdsup://Directions/FactSet Auditing Viewer?action=AUDIT_VALUE&amp;DB=129&amp;ID1=46612H40&amp;VALUEID=01001&amp;SDATE=200903&amp;PERIODTYPE=QTR_STD&amp;window=popup_no_bar&amp;width=385&amp;height=120&amp;START_MAXIMIZED=FALSE&amp;creator=factset&amp;display_string=Audit"}</definedName>
    <definedName name="_102__FDSAUDITLINK__" hidden="1">{"fdsup://Directions/FactSet Auditing Viewer?action=AUDIT_VALUE&amp;DB=129&amp;ID1=87416110&amp;VALUEID=01001&amp;SDATE=200804&amp;PERIODTYPE=QTR_STD&amp;window=popup_no_bar&amp;width=385&amp;height=120&amp;START_MAXIMIZED=FALSE&amp;creator=factset&amp;display_string=Audit"}</definedName>
    <definedName name="_1020__FDSAUDITLINK__" hidden="1">{"fdsup://Directions/FactSet Auditing Viewer?action=AUDIT_VALUE&amp;DB=129&amp;ID1=46612H40&amp;VALUEID=13040&amp;SDATE=200903&amp;PERIODTYPE=QTR_STD&amp;window=popup_no_bar&amp;width=385&amp;height=120&amp;START_MAXIMIZED=FALSE&amp;creator=factset&amp;display_string=Audit"}</definedName>
    <definedName name="_1021__FDSAUDITLINK__" hidden="1">{"fdsup://Directions/FactSet Auditing Viewer?action=AUDIT_VALUE&amp;DB=129&amp;ID1=36476010&amp;VALUEID=02101&amp;SDATE=200903&amp;PERIODTYPE=QTR_STD&amp;window=popup_no_bar&amp;width=385&amp;height=120&amp;START_MAXIMIZED=FALSE&amp;creator=factset&amp;display_string=Audit"}</definedName>
    <definedName name="_1022__FDSAUDITLINK__" hidden="1">{"fdsup://Directions/FactSet Auditing Viewer?action=AUDIT_VALUE&amp;DB=129&amp;ID1=36476010&amp;VALUEID=01001&amp;SDATE=200903&amp;PERIODTYPE=QTR_STD&amp;window=popup_no_bar&amp;width=385&amp;height=120&amp;START_MAXIMIZED=FALSE&amp;creator=factset&amp;display_string=Audit"}</definedName>
    <definedName name="_1023__FDSAUDITLINK__" hidden="1">{"fdsup://Directions/FactSet Auditing Viewer?action=AUDIT_VALUE&amp;DB=129&amp;ID1=36476010&amp;VALUEID=13040&amp;SDATE=200903&amp;PERIODTYPE=QTR_STD&amp;window=popup_no_bar&amp;width=385&amp;height=120&amp;START_MAXIMIZED=FALSE&amp;creator=factset&amp;display_string=Audit"}</definedName>
    <definedName name="_1024__FDSAUDITLINK__" hidden="1">{"fdsup://Directions/FactSet Auditing Viewer?action=AUDIT_VALUE&amp;DB=129&amp;ID1=03611510&amp;VALUEID=02101&amp;SDATE=200903&amp;PERIODTYPE=QTR_STD&amp;window=popup_no_bar&amp;width=385&amp;height=120&amp;START_MAXIMIZED=FALSE&amp;creator=factset&amp;display_string=Audit"}</definedName>
    <definedName name="_1025__FDSAUDITLINK__" hidden="1">{"fdsup://Directions/FactSet Auditing Viewer?action=AUDIT_VALUE&amp;DB=129&amp;ID1=03611510&amp;VALUEID=01001&amp;SDATE=200903&amp;PERIODTYPE=QTR_STD&amp;window=popup_no_bar&amp;width=385&amp;height=120&amp;START_MAXIMIZED=FALSE&amp;creator=factset&amp;display_string=Audit"}</definedName>
    <definedName name="_1026__FDSAUDITLINK__" hidden="1">{"fdsup://Directions/FactSet Auditing Viewer?action=AUDIT_VALUE&amp;DB=129&amp;ID1=03611510&amp;VALUEID=13040&amp;SDATE=200903&amp;PERIODTYPE=QTR_STD&amp;window=popup_no_bar&amp;width=385&amp;height=120&amp;START_MAXIMIZED=FALSE&amp;creator=factset&amp;display_string=Audit"}</definedName>
    <definedName name="_1027__FDSAUDITLINK__" hidden="1">{"fdsup://Directions/FactSet Auditing Viewer?action=AUDIT_VALUE&amp;DB=129&amp;ID1=16890510&amp;VALUEID=02101&amp;SDATE=200903&amp;PERIODTYPE=QTR_STD&amp;window=popup_no_bar&amp;width=385&amp;height=120&amp;START_MAXIMIZED=FALSE&amp;creator=factset&amp;display_string=Audit"}</definedName>
    <definedName name="_1028__FDSAUDITLINK__" hidden="1">{"fdsup://Directions/FactSet Auditing Viewer?action=AUDIT_VALUE&amp;DB=129&amp;ID1=16890510&amp;VALUEID=01001&amp;SDATE=200903&amp;PERIODTYPE=QTR_STD&amp;window=popup_no_bar&amp;width=385&amp;height=120&amp;START_MAXIMIZED=FALSE&amp;creator=factset&amp;display_string=Audit"}</definedName>
    <definedName name="_1029__FDSAUDITLINK__" hidden="1">{"fdsup://Directions/FactSet Auditing Viewer?action=AUDIT_VALUE&amp;DB=129&amp;ID1=91704710&amp;VALUEID=02101&amp;SDATE=200903&amp;PERIODTYPE=QTR_STD&amp;window=popup_no_bar&amp;width=385&amp;height=120&amp;START_MAXIMIZED=FALSE&amp;creator=factset&amp;display_string=Audit"}</definedName>
    <definedName name="_103__FDSAUDITLINK__" hidden="1">{"fdsup://directions/FAT Viewer?action=UPDATE&amp;creator=factset&amp;DYN_ARGS=TRUE&amp;DOC_NAME=FAT:FQL_AUDITING_CLIENT_TEMPLATE.FAT&amp;display_string=Audit&amp;VAR:KEY=BSXQNALGBC&amp;VAR:QUERY=RkZfUlRfU0ZfVE9UX0dST1NTKFFUUiwtNSk=&amp;WINDOW=FIRST_POPUP&amp;HEIGHT=450&amp;WIDTH=450&amp;START_MA","XIMIZED=FALSE&amp;VAR:CALENDAR=US&amp;VAR:SYMBOL=TLB&amp;VAR:INDEX=0"}</definedName>
    <definedName name="_1030__FDSAUDITLINK__" hidden="1">{"fdsup://Directions/FactSet Auditing Viewer?action=AUDIT_VALUE&amp;DB=129&amp;ID1=91704710&amp;VALUEID=01001&amp;SDATE=200903&amp;PERIODTYPE=QTR_STD&amp;window=popup_no_bar&amp;width=385&amp;height=120&amp;START_MAXIMIZED=FALSE&amp;creator=factset&amp;display_string=Audit"}</definedName>
    <definedName name="_1031__FDSAUDITLINK__" hidden="1">{"fdsup://Directions/FactSet Auditing Viewer?action=AUDIT_VALUE&amp;DB=129&amp;ID1=91704710&amp;VALUEID=13040&amp;SDATE=200903&amp;PERIODTYPE=QTR_STD&amp;window=popup_no_bar&amp;width=385&amp;height=120&amp;START_MAXIMIZED=FALSE&amp;creator=factset&amp;display_string=Audit"}</definedName>
    <definedName name="_1032__FDSAUDITLINK__" hidden="1">{"fdsup://Directions/FactSet Auditing Viewer?action=AUDIT_VALUE&amp;DB=129&amp;ID1=02553E10&amp;VALUEID=02101&amp;SDATE=200903&amp;PERIODTYPE=QTR_STD&amp;window=popup_no_bar&amp;width=385&amp;height=120&amp;START_MAXIMIZED=FALSE&amp;creator=factset&amp;display_string=Audit"}</definedName>
    <definedName name="_1033__FDSAUDITLINK__" hidden="1">{"fdsup://Directions/FactSet Auditing Viewer?action=AUDIT_VALUE&amp;DB=129&amp;ID1=02553E10&amp;VALUEID=01001&amp;SDATE=200903&amp;PERIODTYPE=QTR_STD&amp;window=popup_no_bar&amp;width=385&amp;height=120&amp;START_MAXIMIZED=FALSE&amp;creator=factset&amp;display_string=Audit"}</definedName>
    <definedName name="_1034__FDSAUDITLINK__" hidden="1">{"fdsup://Directions/FactSet Auditing Viewer?action=AUDIT_VALUE&amp;DB=129&amp;ID1=00786510&amp;VALUEID=02101&amp;SDATE=200903&amp;PERIODTYPE=QTR_STD&amp;window=popup_no_bar&amp;width=385&amp;height=120&amp;START_MAXIMIZED=FALSE&amp;creator=factset&amp;display_string=Audit"}</definedName>
    <definedName name="_1035__FDSAUDITLINK__" hidden="1">{"fdsup://Directions/FactSet Auditing Viewer?action=AUDIT_VALUE&amp;DB=129&amp;ID1=00786510&amp;VALUEID=01001&amp;SDATE=200903&amp;PERIODTYPE=QTR_STD&amp;window=popup_no_bar&amp;width=385&amp;height=120&amp;START_MAXIMIZED=FALSE&amp;creator=factset&amp;display_string=Audit"}</definedName>
    <definedName name="_1036__FDSAUDITLINK__" hidden="1">{"fdsup://Directions/FactSet Auditing Viewer?action=AUDIT_VALUE&amp;DB=129&amp;ID1=00786510&amp;VALUEID=13040&amp;SDATE=200903&amp;PERIODTYPE=QTR_STD&amp;window=popup_no_bar&amp;width=385&amp;height=120&amp;START_MAXIMIZED=FALSE&amp;creator=factset&amp;display_string=Audit"}</definedName>
    <definedName name="_1037__FDSAUDITLINK__" hidden="1">{"fdsup://Directions/FactSet Auditing Viewer?action=AUDIT_VALUE&amp;DB=129&amp;ID1=00289620&amp;VALUEID=02101&amp;SDATE=200903&amp;PERIODTYPE=QTR_STD&amp;window=popup_no_bar&amp;width=385&amp;height=120&amp;START_MAXIMIZED=FALSE&amp;creator=factset&amp;display_string=Audit"}</definedName>
    <definedName name="_1038__FDSAUDITLINK__" hidden="1">{"fdsup://Directions/FactSet Auditing Viewer?action=AUDIT_VALUE&amp;DB=129&amp;ID1=00289620&amp;VALUEID=01001&amp;SDATE=200903&amp;PERIODTYPE=QTR_STD&amp;window=popup_no_bar&amp;width=385&amp;height=120&amp;START_MAXIMIZED=FALSE&amp;creator=factset&amp;display_string=Audit"}</definedName>
    <definedName name="_1039__FDSAUDITLINK__" hidden="1">{"fdsup://Directions/FactSet Auditing Viewer?action=AUDIT_VALUE&amp;DB=129&amp;ID1=00289620&amp;VALUEID=13040&amp;SDATE=200903&amp;PERIODTYPE=QTR_STD&amp;window=popup_no_bar&amp;width=385&amp;height=120&amp;START_MAXIMIZED=FALSE&amp;creator=factset&amp;display_string=Audit"}</definedName>
    <definedName name="_104__FDSAUDITLINK__" hidden="1">{"fdsup://Directions/FactSet Auditing Viewer?action=AUDIT_VALUE&amp;DB=129&amp;ID1=46612H40&amp;VALUEID=01001&amp;SDATE=200804&amp;PERIODTYPE=QTR_STD&amp;window=popup_no_bar&amp;width=385&amp;height=120&amp;START_MAXIMIZED=FALSE&amp;creator=factset&amp;display_string=Audit"}</definedName>
    <definedName name="_1040__FDSAUDITLINK__" hidden="1">{"fdsup://Directions/FactSet Auditing Viewer?action=AUDIT_VALUE&amp;DB=129&amp;ID1=87416110&amp;VALUEID=02101&amp;SDATE=200902&amp;PERIODTYPE=QTR_STD&amp;window=popup_no_bar&amp;width=385&amp;height=120&amp;START_MAXIMIZED=FALSE&amp;creator=factset&amp;display_string=Audit"}</definedName>
    <definedName name="_1041__FDSAUDITLINK__" hidden="1">{"fdsup://Directions/FactSet Auditing Viewer?action=AUDIT_VALUE&amp;DB=129&amp;ID1=87416110&amp;VALUEID=01001&amp;SDATE=200902&amp;PERIODTYPE=QTR_STD&amp;window=popup_no_bar&amp;width=385&amp;height=120&amp;START_MAXIMIZED=FALSE&amp;creator=factset&amp;display_string=Audit"}</definedName>
    <definedName name="_1042__FDSAUDITLINK__" hidden="1">{"fdsup://Directions/FactSet Auditing Viewer?action=AUDIT_VALUE&amp;DB=129&amp;ID1=53271610&amp;VALUEID=02101&amp;SDATE=200902&amp;PERIODTYPE=QTR_STD&amp;window=popup_no_bar&amp;width=385&amp;height=120&amp;START_MAXIMIZED=FALSE&amp;creator=factset&amp;display_string=Audit"}</definedName>
    <definedName name="_1043__FDSAUDITLINK__" hidden="1">{"fdsup://Directions/FactSet Auditing Viewer?action=AUDIT_VALUE&amp;DB=129&amp;ID1=53271610&amp;VALUEID=01001&amp;SDATE=200902&amp;PERIODTYPE=QTR_STD&amp;window=popup_no_bar&amp;width=385&amp;height=120&amp;START_MAXIMIZED=FALSE&amp;creator=factset&amp;display_string=Audit"}</definedName>
    <definedName name="_1044__FDSAUDITLINK__" hidden="1">{"fdsup://Directions/FactSet Auditing Viewer?action=AUDIT_VALUE&amp;DB=129&amp;ID1=53271610&amp;VALUEID=13040&amp;SDATE=200902&amp;PERIODTYPE=QTR_STD&amp;window=popup_no_bar&amp;width=385&amp;height=120&amp;START_MAXIMIZED=FALSE&amp;creator=factset&amp;display_string=Audit"}</definedName>
    <definedName name="_1045__FDSAUDITLINK__" hidden="1">{"fdsup://Directions/FactSet Auditing Viewer?action=AUDIT_VALUE&amp;DB=129&amp;ID1=46612H40&amp;VALUEID=02101&amp;SDATE=200902&amp;PERIODTYPE=QTR_STD&amp;window=popup_no_bar&amp;width=385&amp;height=120&amp;START_MAXIMIZED=FALSE&amp;creator=factset&amp;display_string=Audit"}</definedName>
    <definedName name="_1046__FDSAUDITLINK__" hidden="1">{"fdsup://Directions/FactSet Auditing Viewer?action=AUDIT_VALUE&amp;DB=129&amp;ID1=46612H40&amp;VALUEID=01001&amp;SDATE=200902&amp;PERIODTYPE=QTR_STD&amp;window=popup_no_bar&amp;width=385&amp;height=120&amp;START_MAXIMIZED=FALSE&amp;creator=factset&amp;display_string=Audit"}</definedName>
    <definedName name="_1047__FDSAUDITLINK__" hidden="1">{"fdsup://Directions/FactSet Auditing Viewer?action=AUDIT_VALUE&amp;DB=129&amp;ID1=46612H40&amp;VALUEID=13040&amp;SDATE=200902&amp;PERIODTYPE=QTR_STD&amp;window=popup_no_bar&amp;width=385&amp;height=120&amp;START_MAXIMIZED=FALSE&amp;creator=factset&amp;display_string=Audit"}</definedName>
    <definedName name="_1048__FDSAUDITLINK__" hidden="1">{"fdsup://Directions/FactSet Auditing Viewer?action=AUDIT_VALUE&amp;DB=129&amp;ID1=36476010&amp;VALUEID=02101&amp;SDATE=200902&amp;PERIODTYPE=QTR_STD&amp;window=popup_no_bar&amp;width=385&amp;height=120&amp;START_MAXIMIZED=FALSE&amp;creator=factset&amp;display_string=Audit"}</definedName>
    <definedName name="_1049__FDSAUDITLINK__" hidden="1">{"fdsup://Directions/FactSet Auditing Viewer?action=AUDIT_VALUE&amp;DB=129&amp;ID1=36476010&amp;VALUEID=01001&amp;SDATE=200902&amp;PERIODTYPE=QTR_STD&amp;window=popup_no_bar&amp;width=385&amp;height=120&amp;START_MAXIMIZED=FALSE&amp;creator=factset&amp;display_string=Audit"}</definedName>
    <definedName name="_105__FDSAUDITLINK__" hidden="1">{"fdsup://Directions/FactSet Auditing Viewer?action=AUDIT_VALUE&amp;DB=129&amp;ID1=46612H40&amp;VALUEID=13040&amp;SDATE=200804&amp;PERIODTYPE=QTR_STD&amp;window=popup_no_bar&amp;width=385&amp;height=120&amp;START_MAXIMIZED=FALSE&amp;creator=factset&amp;display_string=Audit"}</definedName>
    <definedName name="_1050__FDSAUDITLINK__" hidden="1">{"fdsup://Directions/FactSet Auditing Viewer?action=AUDIT_VALUE&amp;DB=129&amp;ID1=36476010&amp;VALUEID=13040&amp;SDATE=200902&amp;PERIODTYPE=QTR_STD&amp;window=popup_no_bar&amp;width=385&amp;height=120&amp;START_MAXIMIZED=FALSE&amp;creator=factset&amp;display_string=Audit"}</definedName>
    <definedName name="_1051__FDSAUDITLINK__" hidden="1">{"fdsup://Directions/FactSet Auditing Viewer?action=AUDIT_VALUE&amp;DB=129&amp;ID1=03611510&amp;VALUEID=02101&amp;SDATE=200902&amp;PERIODTYPE=QTR_STD&amp;window=popup_no_bar&amp;width=385&amp;height=120&amp;START_MAXIMIZED=FALSE&amp;creator=factset&amp;display_string=Audit"}</definedName>
    <definedName name="_1052__FDSAUDITLINK__" hidden="1">{"fdsup://Directions/FactSet Auditing Viewer?action=AUDIT_VALUE&amp;DB=129&amp;ID1=03611510&amp;VALUEID=01001&amp;SDATE=200902&amp;PERIODTYPE=QTR_STD&amp;window=popup_no_bar&amp;width=385&amp;height=120&amp;START_MAXIMIZED=FALSE&amp;creator=factset&amp;display_string=Audit"}</definedName>
    <definedName name="_1053__FDSAUDITLINK__" hidden="1">{"fdsup://Directions/FactSet Auditing Viewer?action=AUDIT_VALUE&amp;DB=129&amp;ID1=03611510&amp;VALUEID=13040&amp;SDATE=200902&amp;PERIODTYPE=QTR_STD&amp;window=popup_no_bar&amp;width=385&amp;height=120&amp;START_MAXIMIZED=FALSE&amp;creator=factset&amp;display_string=Audit"}</definedName>
    <definedName name="_1054__FDSAUDITLINK__" hidden="1">{"fdsup://Directions/FactSet Auditing Viewer?action=AUDIT_VALUE&amp;DB=129&amp;ID1=16890510&amp;VALUEID=02101&amp;SDATE=200902&amp;PERIODTYPE=QTR_STD&amp;window=popup_no_bar&amp;width=385&amp;height=120&amp;START_MAXIMIZED=FALSE&amp;creator=factset&amp;display_string=Audit"}</definedName>
    <definedName name="_1055__FDSAUDITLINK__" hidden="1">{"fdsup://Directions/FactSet Auditing Viewer?action=AUDIT_VALUE&amp;DB=129&amp;ID1=16890510&amp;VALUEID=01001&amp;SDATE=200902&amp;PERIODTYPE=QTR_STD&amp;window=popup_no_bar&amp;width=385&amp;height=120&amp;START_MAXIMIZED=FALSE&amp;creator=factset&amp;display_string=Audit"}</definedName>
    <definedName name="_1056__FDSAUDITLINK__" hidden="1">{"fdsup://Directions/FactSet Auditing Viewer?action=AUDIT_VALUE&amp;DB=129&amp;ID1=91704710&amp;VALUEID=02101&amp;SDATE=200902&amp;PERIODTYPE=QTR_STD&amp;window=popup_no_bar&amp;width=385&amp;height=120&amp;START_MAXIMIZED=FALSE&amp;creator=factset&amp;display_string=Audit"}</definedName>
    <definedName name="_1057__FDSAUDITLINK__" hidden="1">{"fdsup://Directions/FactSet Auditing Viewer?action=AUDIT_VALUE&amp;DB=129&amp;ID1=91704710&amp;VALUEID=01001&amp;SDATE=200902&amp;PERIODTYPE=QTR_STD&amp;window=popup_no_bar&amp;width=385&amp;height=120&amp;START_MAXIMIZED=FALSE&amp;creator=factset&amp;display_string=Audit"}</definedName>
    <definedName name="_1058__FDSAUDITLINK__" hidden="1">{"fdsup://Directions/FactSet Auditing Viewer?action=AUDIT_VALUE&amp;DB=129&amp;ID1=02553E10&amp;VALUEID=02101&amp;SDATE=200902&amp;PERIODTYPE=QTR_STD&amp;window=popup_no_bar&amp;width=385&amp;height=120&amp;START_MAXIMIZED=FALSE&amp;creator=factset&amp;display_string=Audit"}</definedName>
    <definedName name="_1059__FDSAUDITLINK__" hidden="1">{"fdsup://Directions/FactSet Auditing Viewer?action=AUDIT_VALUE&amp;DB=129&amp;ID1=02553E10&amp;VALUEID=01001&amp;SDATE=200902&amp;PERIODTYPE=QTR_STD&amp;window=popup_no_bar&amp;width=385&amp;height=120&amp;START_MAXIMIZED=FALSE&amp;creator=factset&amp;display_string=Audit"}</definedName>
    <definedName name="_106__FDSAUDITLINK__" hidden="1">{"fdsup://Directions/FactSet Auditing Viewer?action=AUDIT_VALUE&amp;DB=129&amp;ID1=36476010&amp;VALUEID=01001&amp;SDATE=200804&amp;PERIODTYPE=QTR_STD&amp;window=popup_no_bar&amp;width=385&amp;height=120&amp;START_MAXIMIZED=FALSE&amp;creator=factset&amp;display_string=Audit"}</definedName>
    <definedName name="_1060__FDSAUDITLINK__" hidden="1">{"fdsup://Directions/FactSet Auditing Viewer?action=AUDIT_VALUE&amp;DB=129&amp;ID1=02553E10&amp;VALUEID=13040&amp;SDATE=200902&amp;PERIODTYPE=QTR_STD&amp;window=popup_no_bar&amp;width=385&amp;height=120&amp;START_MAXIMIZED=FALSE&amp;creator=factset&amp;display_string=Audit"}</definedName>
    <definedName name="_1061__FDSAUDITLINK__" hidden="1">{"fdsup://Directions/FactSet Auditing Viewer?action=AUDIT_VALUE&amp;DB=129&amp;ID1=00786510&amp;VALUEID=02101&amp;SDATE=200902&amp;PERIODTYPE=QTR_STD&amp;window=popup_no_bar&amp;width=385&amp;height=120&amp;START_MAXIMIZED=FALSE&amp;creator=factset&amp;display_string=Audit"}</definedName>
    <definedName name="_1062__FDSAUDITLINK__" hidden="1">{"fdsup://Directions/FactSet Auditing Viewer?action=AUDIT_VALUE&amp;DB=129&amp;ID1=00786510&amp;VALUEID=01001&amp;SDATE=200902&amp;PERIODTYPE=QTR_STD&amp;window=popup_no_bar&amp;width=385&amp;height=120&amp;START_MAXIMIZED=FALSE&amp;creator=factset&amp;display_string=Audit"}</definedName>
    <definedName name="_1063__FDSAUDITLINK__" hidden="1">{"fdsup://Directions/FactSet Auditing Viewer?action=AUDIT_VALUE&amp;DB=129&amp;ID1=00786510&amp;VALUEID=13040&amp;SDATE=200902&amp;PERIODTYPE=QTR_STD&amp;window=popup_no_bar&amp;width=385&amp;height=120&amp;START_MAXIMIZED=FALSE&amp;creator=factset&amp;display_string=Audit"}</definedName>
    <definedName name="_1064__FDSAUDITLINK__" hidden="1">{"fdsup://Directions/FactSet Auditing Viewer?action=AUDIT_VALUE&amp;DB=129&amp;ID1=00289620&amp;VALUEID=02101&amp;SDATE=200902&amp;PERIODTYPE=QTR_STD&amp;window=popup_no_bar&amp;width=385&amp;height=120&amp;START_MAXIMIZED=FALSE&amp;creator=factset&amp;display_string=Audit"}</definedName>
    <definedName name="_1065__FDSAUDITLINK__" hidden="1">{"fdsup://Directions/FactSet Auditing Viewer?action=AUDIT_VALUE&amp;DB=129&amp;ID1=00289620&amp;VALUEID=01001&amp;SDATE=200902&amp;PERIODTYPE=QTR_STD&amp;window=popup_no_bar&amp;width=385&amp;height=120&amp;START_MAXIMIZED=FALSE&amp;creator=factset&amp;display_string=Audit"}</definedName>
    <definedName name="_1066__FDSAUDITLINK__" hidden="1">{"fdsup://Directions/FactSet Auditing Viewer?action=AUDIT_VALUE&amp;DB=129&amp;ID1=00289620&amp;VALUEID=13040&amp;SDATE=200902&amp;PERIODTYPE=QTR_STD&amp;window=popup_no_bar&amp;width=385&amp;height=120&amp;START_MAXIMIZED=FALSE&amp;creator=factset&amp;display_string=Audit"}</definedName>
    <definedName name="_1067__FDSAUDITLINK__" hidden="1">{"fdsup://Directions/FactSet Auditing Viewer?action=AUDIT_VALUE&amp;DB=129&amp;ID1=87416110&amp;VALUEID=02101&amp;SDATE=200901&amp;PERIODTYPE=QTR_STD&amp;window=popup_no_bar&amp;width=385&amp;height=120&amp;START_MAXIMIZED=FALSE&amp;creator=factset&amp;display_string=Audit"}</definedName>
    <definedName name="_1068__FDSAUDITLINK__" hidden="1">{"fdsup://Directions/FactSet Auditing Viewer?action=AUDIT_VALUE&amp;DB=129&amp;ID1=87416110&amp;VALUEID=01001&amp;SDATE=200901&amp;PERIODTYPE=QTR_STD&amp;window=popup_no_bar&amp;width=385&amp;height=120&amp;START_MAXIMIZED=FALSE&amp;creator=factset&amp;display_string=Audit"}</definedName>
    <definedName name="_1069__FDSAUDITLINK__" hidden="1">{"fdsup://Directions/FactSet Auditing Viewer?action=AUDIT_VALUE&amp;DB=129&amp;ID1=87416110&amp;VALUEID=13040&amp;SDATE=200901&amp;PERIODTYPE=QTR_STD&amp;window=popup_no_bar&amp;width=385&amp;height=120&amp;START_MAXIMIZED=FALSE&amp;creator=factset&amp;display_string=Audit"}</definedName>
    <definedName name="_107__FDSAUDITLINK__" hidden="1">{"fdsup://Directions/FactSet Auditing Viewer?action=AUDIT_VALUE&amp;DB=129&amp;ID1=03611510&amp;VALUEID=01001&amp;SDATE=200804&amp;PERIODTYPE=QTR_STD&amp;window=popup_no_bar&amp;width=385&amp;height=120&amp;START_MAXIMIZED=FALSE&amp;creator=factset&amp;display_string=Audit"}</definedName>
    <definedName name="_1070__FDSAUDITLINK__" hidden="1">{"fdsup://directions/FAT Viewer?action=UPDATE&amp;creator=factset&amp;DYN_ARGS=TRUE&amp;DOC_NAME=FAT:FQL_AUDITING_CLIENT_TEMPLATE.FAT&amp;display_string=Audit&amp;VAR:KEY=RSZCXYZEJW&amp;VAR:QUERY=RkZfUlRfU0ZfVE9UX0dST1NTKFFUUiwtNCk=&amp;WINDOW=FIRST_POPUP&amp;HEIGHT=450&amp;WIDTH=450&amp;START_MA","XIMIZED=FALSE&amp;VAR:CALENDAR=US&amp;VAR:SYMBOL=TLB&amp;VAR:INDEX=0"}</definedName>
    <definedName name="_1071__FDSAUDITLINK__" hidden="1">{"fdsup://Directions/FactSet Auditing Viewer?action=AUDIT_VALUE&amp;DB=129&amp;ID1=53271610&amp;VALUEID=13040&amp;SDATE=200901&amp;PERIODTYPE=QTR_STD&amp;window=popup_no_bar&amp;width=385&amp;height=120&amp;START_MAXIMIZED=FALSE&amp;creator=factset&amp;display_string=Audit"}</definedName>
    <definedName name="_1072__FDSAUDITLINK__" hidden="1">{"fdsup://Directions/FactSet Auditing Viewer?action=AUDIT_VALUE&amp;DB=129&amp;ID1=46612H40&amp;VALUEID=02101&amp;SDATE=200901&amp;PERIODTYPE=QTR_STD&amp;window=popup_no_bar&amp;width=385&amp;height=120&amp;START_MAXIMIZED=FALSE&amp;creator=factset&amp;display_string=Audit"}</definedName>
    <definedName name="_1073__FDSAUDITLINK__" hidden="1">{"fdsup://Directions/FactSet Auditing Viewer?action=AUDIT_VALUE&amp;DB=129&amp;ID1=46612H40&amp;VALUEID=01001&amp;SDATE=200901&amp;PERIODTYPE=QTR_STD&amp;window=popup_no_bar&amp;width=385&amp;height=120&amp;START_MAXIMIZED=FALSE&amp;creator=factset&amp;display_string=Audit"}</definedName>
    <definedName name="_1074__FDSAUDITLINK__" hidden="1">{"fdsup://Directions/FactSet Auditing Viewer?action=AUDIT_VALUE&amp;DB=129&amp;ID1=46612H40&amp;VALUEID=13040&amp;SDATE=200901&amp;PERIODTYPE=QTR_STD&amp;window=popup_no_bar&amp;width=385&amp;height=120&amp;START_MAXIMIZED=FALSE&amp;creator=factset&amp;display_string=Audit"}</definedName>
    <definedName name="_1075__FDSAUDITLINK__" hidden="1">{"fdsup://Directions/FactSet Auditing Viewer?action=AUDIT_VALUE&amp;DB=129&amp;ID1=03611510&amp;VALUEID=02101&amp;SDATE=200901&amp;PERIODTYPE=QTR_STD&amp;window=popup_no_bar&amp;width=385&amp;height=120&amp;START_MAXIMIZED=FALSE&amp;creator=factset&amp;display_string=Audit"}</definedName>
    <definedName name="_1076__FDSAUDITLINK__" hidden="1">{"fdsup://Directions/FactSet Auditing Viewer?action=AUDIT_VALUE&amp;DB=129&amp;ID1=03611510&amp;VALUEID=01001&amp;SDATE=200901&amp;PERIODTYPE=QTR_STD&amp;window=popup_no_bar&amp;width=385&amp;height=120&amp;START_MAXIMIZED=FALSE&amp;creator=factset&amp;display_string=Audit"}</definedName>
    <definedName name="_1077__FDSAUDITLINK__" hidden="1">{"fdsup://Directions/FactSet Auditing Viewer?action=AUDIT_VALUE&amp;DB=129&amp;ID1=16890510&amp;VALUEID=02101&amp;SDATE=200901&amp;PERIODTYPE=QTR_STD&amp;window=popup_no_bar&amp;width=385&amp;height=120&amp;START_MAXIMIZED=FALSE&amp;creator=factset&amp;display_string=Audit"}</definedName>
    <definedName name="_1078__FDSAUDITLINK__" hidden="1">{"fdsup://Directions/FactSet Auditing Viewer?action=AUDIT_VALUE&amp;DB=129&amp;ID1=16890510&amp;VALUEID=01001&amp;SDATE=200901&amp;PERIODTYPE=QTR_STD&amp;window=popup_no_bar&amp;width=385&amp;height=120&amp;START_MAXIMIZED=FALSE&amp;creator=factset&amp;display_string=Audit"}</definedName>
    <definedName name="_1079__FDSAUDITLINK__" hidden="1">{"fdsup://Directions/FactSet Auditing Viewer?action=AUDIT_VALUE&amp;DB=129&amp;ID1=00786510&amp;VALUEID=02101&amp;SDATE=200901&amp;PERIODTYPE=QTR_STD&amp;window=popup_no_bar&amp;width=385&amp;height=120&amp;START_MAXIMIZED=FALSE&amp;creator=factset&amp;display_string=Audit"}</definedName>
    <definedName name="_108__FDSAUDITLINK__" hidden="1">{"fdsup://Directions/FactSet Auditing Viewer?action=AUDIT_VALUE&amp;DB=129&amp;ID1=16890510&amp;VALUEID=01001&amp;SDATE=200804&amp;PERIODTYPE=QTR_STD&amp;window=popup_no_bar&amp;width=385&amp;height=120&amp;START_MAXIMIZED=FALSE&amp;creator=factset&amp;display_string=Audit"}</definedName>
    <definedName name="_1080__FDSAUDITLINK__" hidden="1">{"fdsup://Directions/FactSet Auditing Viewer?action=AUDIT_VALUE&amp;DB=129&amp;ID1=00786510&amp;VALUEID=01001&amp;SDATE=200901&amp;PERIODTYPE=QTR_STD&amp;window=popup_no_bar&amp;width=385&amp;height=120&amp;START_MAXIMIZED=FALSE&amp;creator=factset&amp;display_string=Audit"}</definedName>
    <definedName name="_1081__FDSAUDITLINK__" hidden="1">{"fdsup://Directions/FactSet Auditing Viewer?action=AUDIT_VALUE&amp;DB=129&amp;ID1=00786510&amp;VALUEID=13040&amp;SDATE=200901&amp;PERIODTYPE=QTR_STD&amp;window=popup_no_bar&amp;width=385&amp;height=120&amp;START_MAXIMIZED=FALSE&amp;creator=factset&amp;display_string=Audit"}</definedName>
    <definedName name="_1082__FDSAUDITLINK__" hidden="1">{"fdsup://Directions/FactSet Auditing Viewer?action=AUDIT_VALUE&amp;DB=129&amp;ID1=00289620&amp;VALUEID=13040&amp;SDATE=200901&amp;PERIODTYPE=QTR_STD&amp;window=popup_no_bar&amp;width=385&amp;height=120&amp;START_MAXIMIZED=FALSE&amp;creator=factset&amp;display_string=Audit"}</definedName>
    <definedName name="_1083__FDSAUDITLINK__" hidden="1">{"fdsup://Directions/FactSet Auditing Viewer?action=AUDIT_VALUE&amp;DB=129&amp;ID1=87416110&amp;VALUEID=01001&amp;SDATE=200804&amp;PERIODTYPE=QTR_STD&amp;window=popup_no_bar&amp;width=385&amp;height=120&amp;START_MAXIMIZED=FALSE&amp;creator=factset&amp;display_string=Audit"}</definedName>
    <definedName name="_1084__FDSAUDITLINK__" hidden="1">{"fdsup://directions/FAT Viewer?action=UPDATE&amp;creator=factset&amp;DYN_ARGS=TRUE&amp;DOC_NAME=FAT:FQL_AUDITING_CLIENT_TEMPLATE.FAT&amp;display_string=Audit&amp;VAR:KEY=BSXQNALGBC&amp;VAR:QUERY=RkZfUlRfU0ZfVE9UX0dST1NTKFFUUiwtNSk=&amp;WINDOW=FIRST_POPUP&amp;HEIGHT=450&amp;WIDTH=450&amp;START_MA","XIMIZED=FALSE&amp;VAR:CALENDAR=US&amp;VAR:SYMBOL=TLB&amp;VAR:INDEX=0"}</definedName>
    <definedName name="_1085__FDSAUDITLINK__" hidden="1">{"fdsup://Directions/FactSet Auditing Viewer?action=AUDIT_VALUE&amp;DB=129&amp;ID1=46612H40&amp;VALUEID=01001&amp;SDATE=200804&amp;PERIODTYPE=QTR_STD&amp;window=popup_no_bar&amp;width=385&amp;height=120&amp;START_MAXIMIZED=FALSE&amp;creator=factset&amp;display_string=Audit"}</definedName>
    <definedName name="_1086__FDSAUDITLINK__" hidden="1">{"fdsup://Directions/FactSet Auditing Viewer?action=AUDIT_VALUE&amp;DB=129&amp;ID1=46612H40&amp;VALUEID=13040&amp;SDATE=200804&amp;PERIODTYPE=QTR_STD&amp;window=popup_no_bar&amp;width=385&amp;height=120&amp;START_MAXIMIZED=FALSE&amp;creator=factset&amp;display_string=Audit"}</definedName>
    <definedName name="_1087__FDSAUDITLINK__" hidden="1">{"fdsup://Directions/FactSet Auditing Viewer?action=AUDIT_VALUE&amp;DB=129&amp;ID1=36476010&amp;VALUEID=01001&amp;SDATE=200804&amp;PERIODTYPE=QTR_STD&amp;window=popup_no_bar&amp;width=385&amp;height=120&amp;START_MAXIMIZED=FALSE&amp;creator=factset&amp;display_string=Audit"}</definedName>
    <definedName name="_1088__FDSAUDITLINK__" hidden="1">{"fdsup://Directions/FactSet Auditing Viewer?action=AUDIT_VALUE&amp;DB=129&amp;ID1=03611510&amp;VALUEID=01001&amp;SDATE=200804&amp;PERIODTYPE=QTR_STD&amp;window=popup_no_bar&amp;width=385&amp;height=120&amp;START_MAXIMIZED=FALSE&amp;creator=factset&amp;display_string=Audit"}</definedName>
    <definedName name="_1089__FDSAUDITLINK__" hidden="1">{"fdsup://Directions/FactSet Auditing Viewer?action=AUDIT_VALUE&amp;DB=129&amp;ID1=16890510&amp;VALUEID=01001&amp;SDATE=200804&amp;PERIODTYPE=QTR_STD&amp;window=popup_no_bar&amp;width=385&amp;height=120&amp;START_MAXIMIZED=FALSE&amp;creator=factset&amp;display_string=Audit"}</definedName>
    <definedName name="_109__FDSAUDITLINK__" hidden="1">{"fdsup://Directions/FactSet Auditing Viewer?action=AUDIT_VALUE&amp;DB=129&amp;ID1=00786510&amp;VALUEID=01001&amp;SDATE=200804&amp;PERIODTYPE=QTR_STD&amp;window=popup_no_bar&amp;width=385&amp;height=120&amp;START_MAXIMIZED=FALSE&amp;creator=factset&amp;display_string=Audit"}</definedName>
    <definedName name="_1090__FDSAUDITLINK__" hidden="1">{"fdsup://Directions/FactSet Auditing Viewer?action=AUDIT_VALUE&amp;DB=129&amp;ID1=00786510&amp;VALUEID=01001&amp;SDATE=200804&amp;PERIODTYPE=QTR_STD&amp;window=popup_no_bar&amp;width=385&amp;height=120&amp;START_MAXIMIZED=FALSE&amp;creator=factset&amp;display_string=Audit"}</definedName>
    <definedName name="_1091__FDSAUDITLINK__" hidden="1">{"fdsup://Directions/FactSet Auditing Viewer?action=AUDIT_VALUE&amp;DB=129&amp;ID1=87416110&amp;VALUEID=02101&amp;SDATE=200803&amp;PERIODTYPE=QTR_STD&amp;window=popup_no_bar&amp;width=385&amp;height=120&amp;START_MAXIMIZED=FALSE&amp;creator=factset&amp;display_string=Audit"}</definedName>
    <definedName name="_1092__FDSAUDITLINK__" hidden="1">{"fdsup://Directions/FactSet Auditing Viewer?action=AUDIT_VALUE&amp;DB=129&amp;ID1=87416110&amp;VALUEID=01001&amp;SDATE=200803&amp;PERIODTYPE=QTR_STD&amp;window=popup_no_bar&amp;width=385&amp;height=120&amp;START_MAXIMIZED=FALSE&amp;creator=factset&amp;display_string=Audit"}</definedName>
    <definedName name="_1093__FDSAUDITLINK__" hidden="1">{"fdsup://Directions/FactSet Auditing Viewer?action=AUDIT_VALUE&amp;DB=129&amp;ID1=87416110&amp;VALUEID=13040&amp;SDATE=200803&amp;PERIODTYPE=QTR_STD&amp;window=popup_no_bar&amp;width=385&amp;height=120&amp;START_MAXIMIZED=FALSE&amp;creator=factset&amp;display_string=Audit"}</definedName>
    <definedName name="_1094__FDSAUDITLINK__" hidden="1">{"fdsup://directions/FAT Viewer?action=UPDATE&amp;creator=factset&amp;DYN_ARGS=TRUE&amp;DOC_NAME=FAT:FQL_AUDITING_CLIENT_TEMPLATE.FAT&amp;display_string=Audit&amp;VAR:KEY=VAFWFCDYFC&amp;VAR:QUERY=RkZfUlRfU0ZfVE9UX0dST1NTKFFUUiwtNik=&amp;WINDOW=FIRST_POPUP&amp;HEIGHT=450&amp;WIDTH=450&amp;START_MA","XIMIZED=FALSE&amp;VAR:CALENDAR=US&amp;VAR:SYMBOL=TLB&amp;VAR:INDEX=0"}</definedName>
    <definedName name="_1095__FDSAUDITLINK__" hidden="1">{"fdsup://Directions/FactSet Auditing Viewer?action=AUDIT_VALUE&amp;DB=129&amp;ID1=46612H40&amp;VALUEID=02101&amp;SDATE=200803&amp;PERIODTYPE=QTR_STD&amp;window=popup_no_bar&amp;width=385&amp;height=120&amp;START_MAXIMIZED=FALSE&amp;creator=factset&amp;display_string=Audit"}</definedName>
    <definedName name="_1096__FDSAUDITLINK__" hidden="1">{"fdsup://Directions/FactSet Auditing Viewer?action=AUDIT_VALUE&amp;DB=129&amp;ID1=46612H40&amp;VALUEID=01001&amp;SDATE=200803&amp;PERIODTYPE=QTR_STD&amp;window=popup_no_bar&amp;width=385&amp;height=120&amp;START_MAXIMIZED=FALSE&amp;creator=factset&amp;display_string=Audit"}</definedName>
    <definedName name="_1097__FDSAUDITLINK__" hidden="1">{"fdsup://Directions/FactSet Auditing Viewer?action=AUDIT_VALUE&amp;DB=129&amp;ID1=46612H40&amp;VALUEID=13040&amp;SDATE=200803&amp;PERIODTYPE=QTR_STD&amp;window=popup_no_bar&amp;width=385&amp;height=120&amp;START_MAXIMIZED=FALSE&amp;creator=factset&amp;display_string=Audit"}</definedName>
    <definedName name="_1098__FDSAUDITLINK__" hidden="1">{"fdsup://Directions/FactSet Auditing Viewer?action=AUDIT_VALUE&amp;DB=129&amp;ID1=36476010&amp;VALUEID=02101&amp;SDATE=200803&amp;PERIODTYPE=QTR_STD&amp;window=popup_no_bar&amp;width=385&amp;height=120&amp;START_MAXIMIZED=FALSE&amp;creator=factset&amp;display_string=Audit"}</definedName>
    <definedName name="_1099__FDSAUDITLINK__" hidden="1">{"fdsup://Directions/FactSet Auditing Viewer?action=AUDIT_VALUE&amp;DB=129&amp;ID1=36476010&amp;VALUEID=01001&amp;SDATE=200803&amp;PERIODTYPE=QTR_STD&amp;window=popup_no_bar&amp;width=385&amp;height=120&amp;START_MAXIMIZED=FALSE&amp;creator=factset&amp;display_string=Audit"}</definedName>
    <definedName name="_11__123Graph_XLIQUIDS" hidden="1">[1]P!$R$29:$AK$29</definedName>
    <definedName name="_11__FDSAUDITLINK__" hidden="1">{"fdsup://Directions/FactSet Auditing Viewer?action=AUDIT_VALUE&amp;DB=129&amp;ID1=03611510&amp;VALUEID=13040&amp;SDATE=201001&amp;PERIODTYPE=QTR_STD&amp;window=popup_no_bar&amp;width=385&amp;height=120&amp;START_MAXIMIZED=FALSE&amp;creator=factset&amp;display_string=Audit"}</definedName>
    <definedName name="_110__FDSAUDITLINK__" hidden="1">{"fdsup://Directions/FactSet Auditing Viewer?action=AUDIT_VALUE&amp;DB=129&amp;ID1=87416110&amp;VALUEID=02101&amp;SDATE=200803&amp;PERIODTYPE=QTR_STD&amp;window=popup_no_bar&amp;width=385&amp;height=120&amp;START_MAXIMIZED=FALSE&amp;creator=factset&amp;display_string=Audit"}</definedName>
    <definedName name="_1100__FDSAUDITLINK__" hidden="1">{"fdsup://Directions/FactSet Auditing Viewer?action=AUDIT_VALUE&amp;DB=129&amp;ID1=36476010&amp;VALUEID=13040&amp;SDATE=200803&amp;PERIODTYPE=QTR_STD&amp;window=popup_no_bar&amp;width=385&amp;height=120&amp;START_MAXIMIZED=FALSE&amp;creator=factset&amp;display_string=Audit"}</definedName>
    <definedName name="_1101__FDSAUDITLINK__" hidden="1">{"fdsup://Directions/FactSet Auditing Viewer?action=AUDIT_VALUE&amp;DB=129&amp;ID1=03611510&amp;VALUEID=02101&amp;SDATE=200803&amp;PERIODTYPE=QTR_STD&amp;window=popup_no_bar&amp;width=385&amp;height=120&amp;START_MAXIMIZED=FALSE&amp;creator=factset&amp;display_string=Audit"}</definedName>
    <definedName name="_1102__FDSAUDITLINK__" hidden="1">{"fdsup://Directions/FactSet Auditing Viewer?action=AUDIT_VALUE&amp;DB=129&amp;ID1=03611510&amp;VALUEID=01001&amp;SDATE=200803&amp;PERIODTYPE=QTR_STD&amp;window=popup_no_bar&amp;width=385&amp;height=120&amp;START_MAXIMIZED=FALSE&amp;creator=factset&amp;display_string=Audit"}</definedName>
    <definedName name="_1103__FDSAUDITLINK__" hidden="1">{"fdsup://Directions/FactSet Auditing Viewer?action=AUDIT_VALUE&amp;DB=129&amp;ID1=16890510&amp;VALUEID=02101&amp;SDATE=200803&amp;PERIODTYPE=QTR_STD&amp;window=popup_no_bar&amp;width=385&amp;height=120&amp;START_MAXIMIZED=FALSE&amp;creator=factset&amp;display_string=Audit"}</definedName>
    <definedName name="_1104__FDSAUDITLINK__" hidden="1">{"fdsup://Directions/FactSet Auditing Viewer?action=AUDIT_VALUE&amp;DB=129&amp;ID1=16890510&amp;VALUEID=01001&amp;SDATE=200803&amp;PERIODTYPE=QTR_STD&amp;window=popup_no_bar&amp;width=385&amp;height=120&amp;START_MAXIMIZED=FALSE&amp;creator=factset&amp;display_string=Audit"}</definedName>
    <definedName name="_1105__FDSAUDITLINK__" hidden="1">{"fdsup://Directions/FactSet Auditing Viewer?action=AUDIT_VALUE&amp;DB=129&amp;ID1=91704710&amp;VALUEID=02101&amp;SDATE=200803&amp;PERIODTYPE=QTR_STD&amp;window=popup_no_bar&amp;width=385&amp;height=120&amp;START_MAXIMIZED=FALSE&amp;creator=factset&amp;display_string=Audit"}</definedName>
    <definedName name="_1106__FDSAUDITLINK__" hidden="1">{"fdsup://Directions/FactSet Auditing Viewer?action=AUDIT_VALUE&amp;DB=129&amp;ID1=91704710&amp;VALUEID=01001&amp;SDATE=200803&amp;PERIODTYPE=QTR_STD&amp;window=popup_no_bar&amp;width=385&amp;height=120&amp;START_MAXIMIZED=FALSE&amp;creator=factset&amp;display_string=Audit"}</definedName>
    <definedName name="_1107__FDSAUDITLINK__" hidden="1">{"fdsup://Directions/FactSet Auditing Viewer?action=AUDIT_VALUE&amp;DB=129&amp;ID1=91704710&amp;VALUEID=13040&amp;SDATE=200803&amp;PERIODTYPE=QTR_STD&amp;window=popup_no_bar&amp;width=385&amp;height=120&amp;START_MAXIMIZED=FALSE&amp;creator=factset&amp;display_string=Audit"}</definedName>
    <definedName name="_1108__FDSAUDITLINK__" hidden="1">{"fdsup://Directions/FactSet Auditing Viewer?action=AUDIT_VALUE&amp;DB=129&amp;ID1=02553E10&amp;VALUEID=02101&amp;SDATE=200803&amp;PERIODTYPE=QTR_STD&amp;window=popup_no_bar&amp;width=385&amp;height=120&amp;START_MAXIMIZED=FALSE&amp;creator=factset&amp;display_string=Audit"}</definedName>
    <definedName name="_1109__FDSAUDITLINK__" hidden="1">{"fdsup://Directions/FactSet Auditing Viewer?action=AUDIT_VALUE&amp;DB=129&amp;ID1=02553E10&amp;VALUEID=01001&amp;SDATE=200803&amp;PERIODTYPE=QTR_STD&amp;window=popup_no_bar&amp;width=385&amp;height=120&amp;START_MAXIMIZED=FALSE&amp;creator=factset&amp;display_string=Audit"}</definedName>
    <definedName name="_111__FDSAUDITLINK__" hidden="1">{"fdsup://Directions/FactSet Auditing Viewer?action=AUDIT_VALUE&amp;DB=129&amp;ID1=87416110&amp;VALUEID=01001&amp;SDATE=200803&amp;PERIODTYPE=QTR_STD&amp;window=popup_no_bar&amp;width=385&amp;height=120&amp;START_MAXIMIZED=FALSE&amp;creator=factset&amp;display_string=Audit"}</definedName>
    <definedName name="_1110__FDSAUDITLINK__" hidden="1">{"fdsup://Directions/FactSet Auditing Viewer?action=AUDIT_VALUE&amp;DB=129&amp;ID1=02553E10&amp;VALUEID=13040&amp;SDATE=200803&amp;PERIODTYPE=QTR_STD&amp;window=popup_no_bar&amp;width=385&amp;height=120&amp;START_MAXIMIZED=FALSE&amp;creator=factset&amp;display_string=Audit"}</definedName>
    <definedName name="_1111__FDSAUDITLINK__" hidden="1">{"fdsup://Directions/FactSet Auditing Viewer?action=AUDIT_VALUE&amp;DB=129&amp;ID1=00786510&amp;VALUEID=02101&amp;SDATE=200803&amp;PERIODTYPE=QTR_STD&amp;window=popup_no_bar&amp;width=385&amp;height=120&amp;START_MAXIMIZED=FALSE&amp;creator=factset&amp;display_string=Audit"}</definedName>
    <definedName name="_1112__FDSAUDITLINK__" hidden="1">{"fdsup://Directions/FactSet Auditing Viewer?action=AUDIT_VALUE&amp;DB=129&amp;ID1=00786510&amp;VALUEID=01001&amp;SDATE=200803&amp;PERIODTYPE=QTR_STD&amp;window=popup_no_bar&amp;width=385&amp;height=120&amp;START_MAXIMIZED=FALSE&amp;creator=factset&amp;display_string=Audit"}</definedName>
    <definedName name="_1113__FDSAUDITLINK__" hidden="1">{"fdsup://Directions/FactSet Auditing Viewer?action=AUDIT_VALUE&amp;DB=129&amp;ID1=00786510&amp;VALUEID=13040&amp;SDATE=200803&amp;PERIODTYPE=QTR_STD&amp;window=popup_no_bar&amp;width=385&amp;height=120&amp;START_MAXIMIZED=FALSE&amp;creator=factset&amp;display_string=Audit"}</definedName>
    <definedName name="_1114__FDSAUDITLINK__" hidden="1">{"fdsup://Directions/FactSet Auditing Viewer?action=AUDIT_VALUE&amp;DB=129&amp;ID1=00289620&amp;VALUEID=02101&amp;SDATE=200803&amp;PERIODTYPE=QTR_STD&amp;window=popup_no_bar&amp;width=385&amp;height=120&amp;START_MAXIMIZED=FALSE&amp;creator=factset&amp;display_string=Audit"}</definedName>
    <definedName name="_1115__FDSAUDITLINK__" hidden="1">{"fdsup://Directions/FactSet Auditing Viewer?action=AUDIT_VALUE&amp;DB=129&amp;ID1=00289620&amp;VALUEID=01001&amp;SDATE=200803&amp;PERIODTYPE=QTR_STD&amp;window=popup_no_bar&amp;width=385&amp;height=120&amp;START_MAXIMIZED=FALSE&amp;creator=factset&amp;display_string=Audit"}</definedName>
    <definedName name="_1116__FDSAUDITLINK__" hidden="1">{"fdsup://Directions/FactSet Auditing Viewer?action=AUDIT_VALUE&amp;DB=129&amp;ID1=00289620&amp;VALUEID=13040&amp;SDATE=200803&amp;PERIODTYPE=QTR_STD&amp;window=popup_no_bar&amp;width=385&amp;height=120&amp;START_MAXIMIZED=FALSE&amp;creator=factset&amp;display_string=Audit"}</definedName>
    <definedName name="_1117__FDSAUDITLINK__" hidden="1">{"fdsup://Directions/FactSet Auditing Viewer?action=AUDIT_VALUE&amp;DB=129&amp;ID1=87416110&amp;VALUEID=02101&amp;SDATE=200802&amp;PERIODTYPE=QTR_STD&amp;window=popup_no_bar&amp;width=385&amp;height=120&amp;START_MAXIMIZED=FALSE&amp;creator=factset&amp;display_string=Audit"}</definedName>
    <definedName name="_1118__FDSAUDITLINK__" hidden="1">{"fdsup://Directions/FactSet Auditing Viewer?action=AUDIT_VALUE&amp;DB=129&amp;ID1=87416110&amp;VALUEID=01001&amp;SDATE=200802&amp;PERIODTYPE=QTR_STD&amp;window=popup_no_bar&amp;width=385&amp;height=120&amp;START_MAXIMIZED=FALSE&amp;creator=factset&amp;display_string=Audit"}</definedName>
    <definedName name="_1119__FDSAUDITLINK__" hidden="1">{"fdsup://Directions/FactSet Auditing Viewer?action=AUDIT_VALUE&amp;DB=129&amp;ID1=53271610&amp;VALUEID=02101&amp;SDATE=200802&amp;PERIODTYPE=QTR_STD&amp;window=popup_no_bar&amp;width=385&amp;height=120&amp;START_MAXIMIZED=FALSE&amp;creator=factset&amp;display_string=Audit"}</definedName>
    <definedName name="_112__FDSAUDITLINK__" hidden="1">{"fdsup://Directions/FactSet Auditing Viewer?action=AUDIT_VALUE&amp;DB=129&amp;ID1=87416110&amp;VALUEID=13040&amp;SDATE=200803&amp;PERIODTYPE=QTR_STD&amp;window=popup_no_bar&amp;width=385&amp;height=120&amp;START_MAXIMIZED=FALSE&amp;creator=factset&amp;display_string=Audit"}</definedName>
    <definedName name="_1120__FDSAUDITLINK__" hidden="1">{"fdsup://Directions/FactSet Auditing Viewer?action=AUDIT_VALUE&amp;DB=129&amp;ID1=53271610&amp;VALUEID=01001&amp;SDATE=200802&amp;PERIODTYPE=QTR_STD&amp;window=popup_no_bar&amp;width=385&amp;height=120&amp;START_MAXIMIZED=FALSE&amp;creator=factset&amp;display_string=Audit"}</definedName>
    <definedName name="_1121__FDSAUDITLINK__" hidden="1">{"fdsup://Directions/FactSet Auditing Viewer?action=AUDIT_VALUE&amp;DB=129&amp;ID1=53271610&amp;VALUEID=13040&amp;SDATE=200802&amp;PERIODTYPE=QTR_STD&amp;window=popup_no_bar&amp;width=385&amp;height=120&amp;START_MAXIMIZED=FALSE&amp;creator=factset&amp;display_string=Audit"}</definedName>
    <definedName name="_1122__FDSAUDITLINK__" hidden="1">{"fdsup://Directions/FactSet Auditing Viewer?action=AUDIT_VALUE&amp;DB=129&amp;ID1=46612H40&amp;VALUEID=02101&amp;SDATE=200802&amp;PERIODTYPE=QTR_STD&amp;window=popup_no_bar&amp;width=385&amp;height=120&amp;START_MAXIMIZED=FALSE&amp;creator=factset&amp;display_string=Audit"}</definedName>
    <definedName name="_1123__FDSAUDITLINK__" hidden="1">{"fdsup://Directions/FactSet Auditing Viewer?action=AUDIT_VALUE&amp;DB=129&amp;ID1=46612H40&amp;VALUEID=01001&amp;SDATE=200802&amp;PERIODTYPE=QTR_STD&amp;window=popup_no_bar&amp;width=385&amp;height=120&amp;START_MAXIMIZED=FALSE&amp;creator=factset&amp;display_string=Audit"}</definedName>
    <definedName name="_1124__FDSAUDITLINK__" hidden="1">{"fdsup://Directions/FactSet Auditing Viewer?action=AUDIT_VALUE&amp;DB=129&amp;ID1=46612H40&amp;VALUEID=13040&amp;SDATE=200802&amp;PERIODTYPE=QTR_STD&amp;window=popup_no_bar&amp;width=385&amp;height=120&amp;START_MAXIMIZED=FALSE&amp;creator=factset&amp;display_string=Audit"}</definedName>
    <definedName name="_1125__FDSAUDITLINK__" hidden="1">{"fdsup://Directions/FactSet Auditing Viewer?action=AUDIT_VALUE&amp;DB=129&amp;ID1=36476010&amp;VALUEID=02101&amp;SDATE=200802&amp;PERIODTYPE=QTR_STD&amp;window=popup_no_bar&amp;width=385&amp;height=120&amp;START_MAXIMIZED=FALSE&amp;creator=factset&amp;display_string=Audit"}</definedName>
    <definedName name="_1126__FDSAUDITLINK__" hidden="1">{"fdsup://Directions/FactSet Auditing Viewer?action=AUDIT_VALUE&amp;DB=129&amp;ID1=36476010&amp;VALUEID=01001&amp;SDATE=200802&amp;PERIODTYPE=QTR_STD&amp;window=popup_no_bar&amp;width=385&amp;height=120&amp;START_MAXIMIZED=FALSE&amp;creator=factset&amp;display_string=Audit"}</definedName>
    <definedName name="_1127__FDSAUDITLINK__" hidden="1">{"fdsup://Directions/FactSet Auditing Viewer?action=AUDIT_VALUE&amp;DB=129&amp;ID1=36476010&amp;VALUEID=13040&amp;SDATE=200802&amp;PERIODTYPE=QTR_STD&amp;window=popup_no_bar&amp;width=385&amp;height=120&amp;START_MAXIMIZED=FALSE&amp;creator=factset&amp;display_string=Audit"}</definedName>
    <definedName name="_1128__FDSAUDITLINK__" hidden="1">{"fdsup://Directions/FactSet Auditing Viewer?action=AUDIT_VALUE&amp;DB=129&amp;ID1=03611510&amp;VALUEID=02101&amp;SDATE=200802&amp;PERIODTYPE=QTR_STD&amp;window=popup_no_bar&amp;width=385&amp;height=120&amp;START_MAXIMIZED=FALSE&amp;creator=factset&amp;display_string=Audit"}</definedName>
    <definedName name="_1129__FDSAUDITLINK__" hidden="1">{"fdsup://Directions/FactSet Auditing Viewer?action=AUDIT_VALUE&amp;DB=129&amp;ID1=03611510&amp;VALUEID=01001&amp;SDATE=200802&amp;PERIODTYPE=QTR_STD&amp;window=popup_no_bar&amp;width=385&amp;height=120&amp;START_MAXIMIZED=FALSE&amp;creator=factset&amp;display_string=Audit"}</definedName>
    <definedName name="_113__FDSAUDITLINK__" hidden="1">{"fdsup://directions/FAT Viewer?action=UPDATE&amp;creator=factset&amp;DYN_ARGS=TRUE&amp;DOC_NAME=FAT:FQL_AUDITING_CLIENT_TEMPLATE.FAT&amp;display_string=Audit&amp;VAR:KEY=VAFWFCDYFC&amp;VAR:QUERY=RkZfUlRfU0ZfVE9UX0dST1NTKFFUUiwtNik=&amp;WINDOW=FIRST_POPUP&amp;HEIGHT=450&amp;WIDTH=450&amp;START_MA","XIMIZED=FALSE&amp;VAR:CALENDAR=US&amp;VAR:SYMBOL=TLB&amp;VAR:INDEX=0"}</definedName>
    <definedName name="_1130__FDSAUDITLINK__" hidden="1">{"fdsup://Directions/FactSet Auditing Viewer?action=AUDIT_VALUE&amp;DB=129&amp;ID1=16890510&amp;VALUEID=02101&amp;SDATE=200802&amp;PERIODTYPE=QTR_STD&amp;window=popup_no_bar&amp;width=385&amp;height=120&amp;START_MAXIMIZED=FALSE&amp;creator=factset&amp;display_string=Audit"}</definedName>
    <definedName name="_1131__FDSAUDITLINK__" hidden="1">{"fdsup://Directions/FactSet Auditing Viewer?action=AUDIT_VALUE&amp;DB=129&amp;ID1=16890510&amp;VALUEID=01001&amp;SDATE=200802&amp;PERIODTYPE=QTR_STD&amp;window=popup_no_bar&amp;width=385&amp;height=120&amp;START_MAXIMIZED=FALSE&amp;creator=factset&amp;display_string=Audit"}</definedName>
    <definedName name="_1132__FDSAUDITLINK__" hidden="1">{"fdsup://Directions/FactSet Auditing Viewer?action=AUDIT_VALUE&amp;DB=129&amp;ID1=91704710&amp;VALUEID=02101&amp;SDATE=200802&amp;PERIODTYPE=QTR_STD&amp;window=popup_no_bar&amp;width=385&amp;height=120&amp;START_MAXIMIZED=FALSE&amp;creator=factset&amp;display_string=Audit"}</definedName>
    <definedName name="_1133__FDSAUDITLINK__" hidden="1">{"fdsup://Directions/FactSet Auditing Viewer?action=AUDIT_VALUE&amp;DB=129&amp;ID1=91704710&amp;VALUEID=01001&amp;SDATE=200802&amp;PERIODTYPE=QTR_STD&amp;window=popup_no_bar&amp;width=385&amp;height=120&amp;START_MAXIMIZED=FALSE&amp;creator=factset&amp;display_string=Audit"}</definedName>
    <definedName name="_1134__FDSAUDITLINK__" hidden="1">{"fdsup://Directions/FactSet Auditing Viewer?action=AUDIT_VALUE&amp;DB=129&amp;ID1=91704710&amp;VALUEID=13040&amp;SDATE=200802&amp;PERIODTYPE=QTR_STD&amp;window=popup_no_bar&amp;width=385&amp;height=120&amp;START_MAXIMIZED=FALSE&amp;creator=factset&amp;display_string=Audit"}</definedName>
    <definedName name="_1135__FDSAUDITLINK__" hidden="1">{"fdsup://Directions/FactSet Auditing Viewer?action=AUDIT_VALUE&amp;DB=129&amp;ID1=02553E10&amp;VALUEID=02101&amp;SDATE=200802&amp;PERIODTYPE=QTR_STD&amp;window=popup_no_bar&amp;width=385&amp;height=120&amp;START_MAXIMIZED=FALSE&amp;creator=factset&amp;display_string=Audit"}</definedName>
    <definedName name="_1136__FDSAUDITLINK__" hidden="1">{"fdsup://Directions/FactSet Auditing Viewer?action=AUDIT_VALUE&amp;DB=129&amp;ID1=02553E10&amp;VALUEID=01001&amp;SDATE=200802&amp;PERIODTYPE=QTR_STD&amp;window=popup_no_bar&amp;width=385&amp;height=120&amp;START_MAXIMIZED=FALSE&amp;creator=factset&amp;display_string=Audit"}</definedName>
    <definedName name="_1137__FDSAUDITLINK__" hidden="1">{"fdsup://Directions/FactSet Auditing Viewer?action=AUDIT_VALUE&amp;DB=129&amp;ID1=02553E10&amp;VALUEID=13040&amp;SDATE=200802&amp;PERIODTYPE=QTR_STD&amp;window=popup_no_bar&amp;width=385&amp;height=120&amp;START_MAXIMIZED=FALSE&amp;creator=factset&amp;display_string=Audit"}</definedName>
    <definedName name="_1138__FDSAUDITLINK__" hidden="1">{"fdsup://Directions/FactSet Auditing Viewer?action=AUDIT_VALUE&amp;DB=129&amp;ID1=00786510&amp;VALUEID=02101&amp;SDATE=200802&amp;PERIODTYPE=QTR_STD&amp;window=popup_no_bar&amp;width=385&amp;height=120&amp;START_MAXIMIZED=FALSE&amp;creator=factset&amp;display_string=Audit"}</definedName>
    <definedName name="_1139__FDSAUDITLINK__" hidden="1">{"fdsup://Directions/FactSet Auditing Viewer?action=AUDIT_VALUE&amp;DB=129&amp;ID1=00786510&amp;VALUEID=01001&amp;SDATE=200802&amp;PERIODTYPE=QTR_STD&amp;window=popup_no_bar&amp;width=385&amp;height=120&amp;START_MAXIMIZED=FALSE&amp;creator=factset&amp;display_string=Audit"}</definedName>
    <definedName name="_114__FDSAUDITLINK__" hidden="1">{"fdsup://Directions/FactSet Auditing Viewer?action=AUDIT_VALUE&amp;DB=129&amp;ID1=46612H40&amp;VALUEID=02101&amp;SDATE=200803&amp;PERIODTYPE=QTR_STD&amp;window=popup_no_bar&amp;width=385&amp;height=120&amp;START_MAXIMIZED=FALSE&amp;creator=factset&amp;display_string=Audit"}</definedName>
    <definedName name="_1140__FDSAUDITLINK__" hidden="1">{"fdsup://Directions/FactSet Auditing Viewer?action=AUDIT_VALUE&amp;DB=129&amp;ID1=00786510&amp;VALUEID=13040&amp;SDATE=200802&amp;PERIODTYPE=QTR_STD&amp;window=popup_no_bar&amp;width=385&amp;height=120&amp;START_MAXIMIZED=FALSE&amp;creator=factset&amp;display_string=Audit"}</definedName>
    <definedName name="_1141__FDSAUDITLINK__" hidden="1">{"fdsup://Directions/FactSet Auditing Viewer?action=AUDIT_VALUE&amp;DB=129&amp;ID1=00289620&amp;VALUEID=02101&amp;SDATE=200802&amp;PERIODTYPE=QTR_STD&amp;window=popup_no_bar&amp;width=385&amp;height=120&amp;START_MAXIMIZED=FALSE&amp;creator=factset&amp;display_string=Audit"}</definedName>
    <definedName name="_1142__FDSAUDITLINK__" hidden="1">{"fdsup://Directions/FactSet Auditing Viewer?action=AUDIT_VALUE&amp;DB=129&amp;ID1=00289620&amp;VALUEID=01001&amp;SDATE=200802&amp;PERIODTYPE=QTR_STD&amp;window=popup_no_bar&amp;width=385&amp;height=120&amp;START_MAXIMIZED=FALSE&amp;creator=factset&amp;display_string=Audit"}</definedName>
    <definedName name="_1143__FDSAUDITLINK__" hidden="1">{"fdsup://Directions/FactSet Auditing Viewer?action=AUDIT_VALUE&amp;DB=129&amp;ID1=00289620&amp;VALUEID=13040&amp;SDATE=200802&amp;PERIODTYPE=QTR_STD&amp;window=popup_no_bar&amp;width=385&amp;height=120&amp;START_MAXIMIZED=FALSE&amp;creator=factset&amp;display_string=Audit"}</definedName>
    <definedName name="_1144__FDSAUDITLINK__" hidden="1">{"fdsup://Directions/FactSet Auditing Viewer?action=AUDIT_VALUE&amp;DB=129&amp;ID1=87416110&amp;VALUEID=02101&amp;SDATE=200801&amp;PERIODTYPE=QTR_STD&amp;window=popup_no_bar&amp;width=385&amp;height=120&amp;START_MAXIMIZED=FALSE&amp;creator=factset&amp;display_string=Audit"}</definedName>
    <definedName name="_1145__FDSAUDITLINK__" hidden="1">{"fdsup://Directions/FactSet Auditing Viewer?action=AUDIT_VALUE&amp;DB=129&amp;ID1=87416110&amp;VALUEID=01001&amp;SDATE=200801&amp;PERIODTYPE=QTR_STD&amp;window=popup_no_bar&amp;width=385&amp;height=120&amp;START_MAXIMIZED=FALSE&amp;creator=factset&amp;display_string=Audit"}</definedName>
    <definedName name="_1146__FDSAUDITLINK__" hidden="1">{"fdsup://Directions/FactSet Auditing Viewer?action=AUDIT_VALUE&amp;DB=129&amp;ID1=53271610&amp;VALUEID=02101&amp;SDATE=200801&amp;PERIODTYPE=QTR_STD&amp;window=popup_no_bar&amp;width=385&amp;height=120&amp;START_MAXIMIZED=FALSE&amp;creator=factset&amp;display_string=Audit"}</definedName>
    <definedName name="_1147__FDSAUDITLINK__" hidden="1">{"fdsup://Directions/FactSet Auditing Viewer?action=AUDIT_VALUE&amp;DB=129&amp;ID1=53271610&amp;VALUEID=01001&amp;SDATE=200801&amp;PERIODTYPE=QTR_STD&amp;window=popup_no_bar&amp;width=385&amp;height=120&amp;START_MAXIMIZED=FALSE&amp;creator=factset&amp;display_string=Audit"}</definedName>
    <definedName name="_1148__FDSAUDITLINK__" hidden="1">{"fdsup://Directions/FactSet Auditing Viewer?action=AUDIT_VALUE&amp;DB=129&amp;ID1=53271610&amp;VALUEID=13040&amp;SDATE=200801&amp;PERIODTYPE=QTR_STD&amp;window=popup_no_bar&amp;width=385&amp;height=120&amp;START_MAXIMIZED=FALSE&amp;creator=factset&amp;display_string=Audit"}</definedName>
    <definedName name="_1149__FDSAUDITLINK__" hidden="1">{"fdsup://Directions/FactSet Auditing Viewer?action=AUDIT_VALUE&amp;DB=129&amp;ID1=46612H40&amp;VALUEID=02101&amp;SDATE=200801&amp;PERIODTYPE=QTR_STD&amp;window=popup_no_bar&amp;width=385&amp;height=120&amp;START_MAXIMIZED=FALSE&amp;creator=factset&amp;display_string=Audit"}</definedName>
    <definedName name="_115__FDSAUDITLINK__" hidden="1">{"fdsup://Directions/FactSet Auditing Viewer?action=AUDIT_VALUE&amp;DB=129&amp;ID1=46612H40&amp;VALUEID=01001&amp;SDATE=200803&amp;PERIODTYPE=QTR_STD&amp;window=popup_no_bar&amp;width=385&amp;height=120&amp;START_MAXIMIZED=FALSE&amp;creator=factset&amp;display_string=Audit"}</definedName>
    <definedName name="_1150__FDSAUDITLINK__" hidden="1">{"fdsup://Directions/FactSet Auditing Viewer?action=AUDIT_VALUE&amp;DB=129&amp;ID1=46612H40&amp;VALUEID=01001&amp;SDATE=200801&amp;PERIODTYPE=QTR_STD&amp;window=popup_no_bar&amp;width=385&amp;height=120&amp;START_MAXIMIZED=FALSE&amp;creator=factset&amp;display_string=Audit"}</definedName>
    <definedName name="_1151__FDSAUDITLINK__" hidden="1">{"fdsup://Directions/FactSet Auditing Viewer?action=AUDIT_VALUE&amp;DB=129&amp;ID1=46612H40&amp;VALUEID=13040&amp;SDATE=200801&amp;PERIODTYPE=QTR_STD&amp;window=popup_no_bar&amp;width=385&amp;height=120&amp;START_MAXIMIZED=FALSE&amp;creator=factset&amp;display_string=Audit"}</definedName>
    <definedName name="_1152__FDSAUDITLINK__" hidden="1">{"fdsup://Directions/FactSet Auditing Viewer?action=AUDIT_VALUE&amp;DB=129&amp;ID1=36476010&amp;VALUEID=02101&amp;SDATE=200801&amp;PERIODTYPE=QTR_STD&amp;window=popup_no_bar&amp;width=385&amp;height=120&amp;START_MAXIMIZED=FALSE&amp;creator=factset&amp;display_string=Audit"}</definedName>
    <definedName name="_1153__FDSAUDITLINK__" hidden="1">{"fdsup://Directions/FactSet Auditing Viewer?action=AUDIT_VALUE&amp;DB=129&amp;ID1=36476010&amp;VALUEID=01001&amp;SDATE=200801&amp;PERIODTYPE=QTR_STD&amp;window=popup_no_bar&amp;width=385&amp;height=120&amp;START_MAXIMIZED=FALSE&amp;creator=factset&amp;display_string=Audit"}</definedName>
    <definedName name="_1154__FDSAUDITLINK__" hidden="1">{"fdsup://Directions/FactSet Auditing Viewer?action=AUDIT_VALUE&amp;DB=129&amp;ID1=36476010&amp;VALUEID=13040&amp;SDATE=200801&amp;PERIODTYPE=QTR_STD&amp;window=popup_no_bar&amp;width=385&amp;height=120&amp;START_MAXIMIZED=FALSE&amp;creator=factset&amp;display_string=Audit"}</definedName>
    <definedName name="_1155__FDSAUDITLINK__" hidden="1">{"fdsup://Directions/FactSet Auditing Viewer?action=AUDIT_VALUE&amp;DB=129&amp;ID1=03611510&amp;VALUEID=02101&amp;SDATE=200801&amp;PERIODTYPE=QTR_STD&amp;window=popup_no_bar&amp;width=385&amp;height=120&amp;START_MAXIMIZED=FALSE&amp;creator=factset&amp;display_string=Audit"}</definedName>
    <definedName name="_1156__FDSAUDITLINK__" hidden="1">{"fdsup://Directions/FactSet Auditing Viewer?action=AUDIT_VALUE&amp;DB=129&amp;ID1=03611510&amp;VALUEID=01001&amp;SDATE=200801&amp;PERIODTYPE=QTR_STD&amp;window=popup_no_bar&amp;width=385&amp;height=120&amp;START_MAXIMIZED=FALSE&amp;creator=factset&amp;display_string=Audit"}</definedName>
    <definedName name="_1157__FDSAUDITLINK__" hidden="1">{"fdsup://Directions/FactSet Auditing Viewer?action=AUDIT_VALUE&amp;DB=129&amp;ID1=03611510&amp;VALUEID=13040&amp;SDATE=200801&amp;PERIODTYPE=QTR_STD&amp;window=popup_no_bar&amp;width=385&amp;height=120&amp;START_MAXIMIZED=FALSE&amp;creator=factset&amp;display_string=Audit"}</definedName>
    <definedName name="_1158__FDSAUDITLINK__" hidden="1">{"fdsup://Directions/FactSet Auditing Viewer?action=AUDIT_VALUE&amp;DB=129&amp;ID1=16890510&amp;VALUEID=02101&amp;SDATE=200801&amp;PERIODTYPE=QTR_STD&amp;window=popup_no_bar&amp;width=385&amp;height=120&amp;START_MAXIMIZED=FALSE&amp;creator=factset&amp;display_string=Audit"}</definedName>
    <definedName name="_1159__FDSAUDITLINK__" hidden="1">{"fdsup://Directions/FactSet Auditing Viewer?action=AUDIT_VALUE&amp;DB=129&amp;ID1=16890510&amp;VALUEID=01001&amp;SDATE=200801&amp;PERIODTYPE=QTR_STD&amp;window=popup_no_bar&amp;width=385&amp;height=120&amp;START_MAXIMIZED=FALSE&amp;creator=factset&amp;display_string=Audit"}</definedName>
    <definedName name="_116__FDSAUDITLINK__" hidden="1">{"fdsup://Directions/FactSet Auditing Viewer?action=AUDIT_VALUE&amp;DB=129&amp;ID1=46612H40&amp;VALUEID=13040&amp;SDATE=200803&amp;PERIODTYPE=QTR_STD&amp;window=popup_no_bar&amp;width=385&amp;height=120&amp;START_MAXIMIZED=FALSE&amp;creator=factset&amp;display_string=Audit"}</definedName>
    <definedName name="_1160__FDSAUDITLINK__" hidden="1">{"fdsup://Directions/FactSet Auditing Viewer?action=AUDIT_VALUE&amp;DB=129&amp;ID1=91704710&amp;VALUEID=02101&amp;SDATE=200801&amp;PERIODTYPE=QTR_STD&amp;window=popup_no_bar&amp;width=385&amp;height=120&amp;START_MAXIMIZED=FALSE&amp;creator=factset&amp;display_string=Audit"}</definedName>
    <definedName name="_1161__FDSAUDITLINK__" hidden="1">{"fdsup://Directions/FactSet Auditing Viewer?action=AUDIT_VALUE&amp;DB=129&amp;ID1=91704710&amp;VALUEID=01001&amp;SDATE=200801&amp;PERIODTYPE=QTR_STD&amp;window=popup_no_bar&amp;width=385&amp;height=120&amp;START_MAXIMIZED=FALSE&amp;creator=factset&amp;display_string=Audit"}</definedName>
    <definedName name="_1162__FDSAUDITLINK__" hidden="1">{"fdsup://Directions/FactSet Auditing Viewer?action=AUDIT_VALUE&amp;DB=129&amp;ID1=91704710&amp;VALUEID=13040&amp;SDATE=200801&amp;PERIODTYPE=QTR_STD&amp;window=popup_no_bar&amp;width=385&amp;height=120&amp;START_MAXIMIZED=FALSE&amp;creator=factset&amp;display_string=Audit"}</definedName>
    <definedName name="_1163__FDSAUDITLINK__" hidden="1">{"fdsup://Directions/FactSet Auditing Viewer?action=AUDIT_VALUE&amp;DB=129&amp;ID1=02553E10&amp;VALUEID=02101&amp;SDATE=200801&amp;PERIODTYPE=QTR_STD&amp;window=popup_no_bar&amp;width=385&amp;height=120&amp;START_MAXIMIZED=FALSE&amp;creator=factset&amp;display_string=Audit"}</definedName>
    <definedName name="_1164__FDSAUDITLINK__" hidden="1">{"fdsup://Directions/FactSet Auditing Viewer?action=AUDIT_VALUE&amp;DB=129&amp;ID1=02553E10&amp;VALUEID=01001&amp;SDATE=200801&amp;PERIODTYPE=QTR_STD&amp;window=popup_no_bar&amp;width=385&amp;height=120&amp;START_MAXIMIZED=FALSE&amp;creator=factset&amp;display_string=Audit"}</definedName>
    <definedName name="_1165__FDSAUDITLINK__" hidden="1">{"fdsup://Directions/FactSet Auditing Viewer?action=AUDIT_VALUE&amp;DB=129&amp;ID1=02553E10&amp;VALUEID=13040&amp;SDATE=200801&amp;PERIODTYPE=QTR_STD&amp;window=popup_no_bar&amp;width=385&amp;height=120&amp;START_MAXIMIZED=FALSE&amp;creator=factset&amp;display_string=Audit"}</definedName>
    <definedName name="_1166__FDSAUDITLINK__" hidden="1">{"fdsup://Directions/FactSet Auditing Viewer?action=AUDIT_VALUE&amp;DB=129&amp;ID1=00786510&amp;VALUEID=02101&amp;SDATE=200801&amp;PERIODTYPE=QTR_STD&amp;window=popup_no_bar&amp;width=385&amp;height=120&amp;START_MAXIMIZED=FALSE&amp;creator=factset&amp;display_string=Audit"}</definedName>
    <definedName name="_1167__FDSAUDITLINK__" hidden="1">{"fdsup://Directions/FactSet Auditing Viewer?action=AUDIT_VALUE&amp;DB=129&amp;ID1=00786510&amp;VALUEID=01001&amp;SDATE=200801&amp;PERIODTYPE=QTR_STD&amp;window=popup_no_bar&amp;width=385&amp;height=120&amp;START_MAXIMIZED=FALSE&amp;creator=factset&amp;display_string=Audit"}</definedName>
    <definedName name="_1168__FDSAUDITLINK__" hidden="1">{"fdsup://Directions/FactSet Auditing Viewer?action=AUDIT_VALUE&amp;DB=129&amp;ID1=00786510&amp;VALUEID=13040&amp;SDATE=200801&amp;PERIODTYPE=QTR_STD&amp;window=popup_no_bar&amp;width=385&amp;height=120&amp;START_MAXIMIZED=FALSE&amp;creator=factset&amp;display_string=Audit"}</definedName>
    <definedName name="_1169__FDSAUDITLINK__" hidden="1">{"fdsup://Directions/FactSet Auditing Viewer?action=AUDIT_VALUE&amp;DB=129&amp;ID1=00289620&amp;VALUEID=02101&amp;SDATE=200801&amp;PERIODTYPE=QTR_STD&amp;window=popup_no_bar&amp;width=385&amp;height=120&amp;START_MAXIMIZED=FALSE&amp;creator=factset&amp;display_string=Audit"}</definedName>
    <definedName name="_117__FDSAUDITLINK__" hidden="1">{"fdsup://Directions/FactSet Auditing Viewer?action=AUDIT_VALUE&amp;DB=129&amp;ID1=36476010&amp;VALUEID=02101&amp;SDATE=200803&amp;PERIODTYPE=QTR_STD&amp;window=popup_no_bar&amp;width=385&amp;height=120&amp;START_MAXIMIZED=FALSE&amp;creator=factset&amp;display_string=Audit"}</definedName>
    <definedName name="_1170__FDSAUDITLINK__" hidden="1">{"fdsup://Directions/FactSet Auditing Viewer?action=AUDIT_VALUE&amp;DB=129&amp;ID1=00289620&amp;VALUEID=01001&amp;SDATE=200801&amp;PERIODTYPE=QTR_STD&amp;window=popup_no_bar&amp;width=385&amp;height=120&amp;START_MAXIMIZED=FALSE&amp;creator=factset&amp;display_string=Audit"}</definedName>
    <definedName name="_1171__FDSAUDITLINK__" hidden="1">{"fdsup://Directions/FactSet Auditing Viewer?action=AUDIT_VALUE&amp;DB=129&amp;ID1=00289620&amp;VALUEID=13040&amp;SDATE=200801&amp;PERIODTYPE=QTR_STD&amp;window=popup_no_bar&amp;width=385&amp;height=120&amp;START_MAXIMIZED=FALSE&amp;creator=factset&amp;display_string=Audit"}</definedName>
    <definedName name="_1172__FDSAUDITLINK__" hidden="1">{"fdsup://Directions/FactSet Auditing Viewer?action=AUDIT_VALUE&amp;DB=129&amp;ID1=87416110&amp;VALUEID=01001&amp;SDATE=200704&amp;PERIODTYPE=QTR_STD&amp;window=popup_no_bar&amp;width=385&amp;height=120&amp;START_MAXIMIZED=FALSE&amp;creator=factset&amp;display_string=Audit"}</definedName>
    <definedName name="_1173__FDSAUDITLINK__" hidden="1">{"fdsup://Directions/FactSet Auditing Viewer?action=AUDIT_VALUE&amp;DB=129&amp;ID1=46612H40&amp;VALUEID=01001&amp;SDATE=200704&amp;PERIODTYPE=QTR_STD&amp;window=popup_no_bar&amp;width=385&amp;height=120&amp;START_MAXIMIZED=FALSE&amp;creator=factset&amp;display_string=Audit"}</definedName>
    <definedName name="_1174__FDSAUDITLINK__" hidden="1">{"fdsup://Directions/FactSet Auditing Viewer?action=AUDIT_VALUE&amp;DB=129&amp;ID1=46612H40&amp;VALUEID=13040&amp;SDATE=200704&amp;PERIODTYPE=QTR_STD&amp;window=popup_no_bar&amp;width=385&amp;height=120&amp;START_MAXIMIZED=FALSE&amp;creator=factset&amp;display_string=Audit"}</definedName>
    <definedName name="_1175__FDSAUDITLINK__" hidden="1">{"fdsup://Directions/FactSet Auditing Viewer?action=AUDIT_VALUE&amp;DB=129&amp;ID1=36476010&amp;VALUEID=01001&amp;SDATE=200704&amp;PERIODTYPE=QTR_STD&amp;window=popup_no_bar&amp;width=385&amp;height=120&amp;START_MAXIMIZED=FALSE&amp;creator=factset&amp;display_string=Audit"}</definedName>
    <definedName name="_1176__FDSAUDITLINK__" hidden="1">{"fdsup://Directions/FactSet Auditing Viewer?action=AUDIT_VALUE&amp;DB=129&amp;ID1=03611510&amp;VALUEID=01001&amp;SDATE=200704&amp;PERIODTYPE=QTR_STD&amp;window=popup_no_bar&amp;width=385&amp;height=120&amp;START_MAXIMIZED=FALSE&amp;creator=factset&amp;display_string=Audit"}</definedName>
    <definedName name="_1177__FDSAUDITLINK__" hidden="1">{"fdsup://Directions/FactSet Auditing Viewer?action=AUDIT_VALUE&amp;DB=129&amp;ID1=03611510&amp;VALUEID=13040&amp;SDATE=200704&amp;PERIODTYPE=QTR_STD&amp;window=popup_no_bar&amp;width=385&amp;height=120&amp;START_MAXIMIZED=FALSE&amp;creator=factset&amp;display_string=Audit"}</definedName>
    <definedName name="_1178__FDSAUDITLINK__" hidden="1">{"fdsup://Directions/FactSet Auditing Viewer?action=AUDIT_VALUE&amp;DB=129&amp;ID1=16890510&amp;VALUEID=01001&amp;SDATE=200704&amp;PERIODTYPE=QTR_STD&amp;window=popup_no_bar&amp;width=385&amp;height=120&amp;START_MAXIMIZED=FALSE&amp;creator=factset&amp;display_string=Audit"}</definedName>
    <definedName name="_1179__FDSAUDITLINK__" hidden="1">{"fdsup://Directions/FactSet Auditing Viewer?action=AUDIT_VALUE&amp;DB=129&amp;ID1=00786510&amp;VALUEID=01001&amp;SDATE=200704&amp;PERIODTYPE=QTR_STD&amp;window=popup_no_bar&amp;width=385&amp;height=120&amp;START_MAXIMIZED=FALSE&amp;creator=factset&amp;display_string=Audit"}</definedName>
    <definedName name="_118__FDSAUDITLINK__" hidden="1">{"fdsup://Directions/FactSet Auditing Viewer?action=AUDIT_VALUE&amp;DB=129&amp;ID1=36476010&amp;VALUEID=01001&amp;SDATE=200803&amp;PERIODTYPE=QTR_STD&amp;window=popup_no_bar&amp;width=385&amp;height=120&amp;START_MAXIMIZED=FALSE&amp;creator=factset&amp;display_string=Audit"}</definedName>
    <definedName name="_1180__FDSAUDITLINK__" hidden="1">{"fdsup://Directions/FactSet Auditing Viewer?action=AUDIT_VALUE&amp;DB=129&amp;ID1=87416110&amp;VALUEID=02101&amp;SDATE=200703&amp;PERIODTYPE=QTR_STD&amp;window=popup_no_bar&amp;width=385&amp;height=120&amp;START_MAXIMIZED=FALSE&amp;creator=factset&amp;display_string=Audit"}</definedName>
    <definedName name="_1181__FDSAUDITLINK__" hidden="1">{"fdsup://Directions/FactSet Auditing Viewer?action=AUDIT_VALUE&amp;DB=129&amp;ID1=87416110&amp;VALUEID=01001&amp;SDATE=200703&amp;PERIODTYPE=QTR_STD&amp;window=popup_no_bar&amp;width=385&amp;height=120&amp;START_MAXIMIZED=FALSE&amp;creator=factset&amp;display_string=Audit"}</definedName>
    <definedName name="_1182__FDSAUDITLINK__" hidden="1">{"fdsup://Directions/FactSet Auditing Viewer?action=AUDIT_VALUE&amp;DB=129&amp;ID1=53271610&amp;VALUEID=02101&amp;SDATE=200703&amp;PERIODTYPE=QTR_STD&amp;window=popup_no_bar&amp;width=385&amp;height=120&amp;START_MAXIMIZED=FALSE&amp;creator=factset&amp;display_string=Audit"}</definedName>
    <definedName name="_1183__FDSAUDITLINK__" hidden="1">{"fdsup://Directions/FactSet Auditing Viewer?action=AUDIT_VALUE&amp;DB=129&amp;ID1=53271610&amp;VALUEID=01001&amp;SDATE=200703&amp;PERIODTYPE=QTR_STD&amp;window=popup_no_bar&amp;width=385&amp;height=120&amp;START_MAXIMIZED=FALSE&amp;creator=factset&amp;display_string=Audit"}</definedName>
    <definedName name="_1184__FDSAUDITLINK__" hidden="1">{"fdsup://Directions/FactSet Auditing Viewer?action=AUDIT_VALUE&amp;DB=129&amp;ID1=53271610&amp;VALUEID=13040&amp;SDATE=200703&amp;PERIODTYPE=QTR_STD&amp;window=popup_no_bar&amp;width=385&amp;height=120&amp;START_MAXIMIZED=FALSE&amp;creator=factset&amp;display_string=Audit"}</definedName>
    <definedName name="_1185__FDSAUDITLINK__" hidden="1">{"fdsup://Directions/FactSet Auditing Viewer?action=AUDIT_VALUE&amp;DB=129&amp;ID1=46612H40&amp;VALUEID=02101&amp;SDATE=200703&amp;PERIODTYPE=QTR_STD&amp;window=popup_no_bar&amp;width=385&amp;height=120&amp;START_MAXIMIZED=FALSE&amp;creator=factset&amp;display_string=Audit"}</definedName>
    <definedName name="_1186__FDSAUDITLINK__" hidden="1">{"fdsup://Directions/FactSet Auditing Viewer?action=AUDIT_VALUE&amp;DB=129&amp;ID1=46612H40&amp;VALUEID=01001&amp;SDATE=200703&amp;PERIODTYPE=QTR_STD&amp;window=popup_no_bar&amp;width=385&amp;height=120&amp;START_MAXIMIZED=FALSE&amp;creator=factset&amp;display_string=Audit"}</definedName>
    <definedName name="_1187__FDSAUDITLINK__" hidden="1">{"fdsup://Directions/FactSet Auditing Viewer?action=AUDIT_VALUE&amp;DB=129&amp;ID1=46612H40&amp;VALUEID=13040&amp;SDATE=200703&amp;PERIODTYPE=QTR_STD&amp;window=popup_no_bar&amp;width=385&amp;height=120&amp;START_MAXIMIZED=FALSE&amp;creator=factset&amp;display_string=Audit"}</definedName>
    <definedName name="_1188__FDSAUDITLINK__" hidden="1">{"fdsup://Directions/FactSet Auditing Viewer?action=AUDIT_VALUE&amp;DB=129&amp;ID1=36476010&amp;VALUEID=02101&amp;SDATE=200703&amp;PERIODTYPE=QTR_STD&amp;window=popup_no_bar&amp;width=385&amp;height=120&amp;START_MAXIMIZED=FALSE&amp;creator=factset&amp;display_string=Audit"}</definedName>
    <definedName name="_1189__FDSAUDITLINK__" hidden="1">{"fdsup://Directions/FactSet Auditing Viewer?action=AUDIT_VALUE&amp;DB=129&amp;ID1=36476010&amp;VALUEID=01001&amp;SDATE=200703&amp;PERIODTYPE=QTR_STD&amp;window=popup_no_bar&amp;width=385&amp;height=120&amp;START_MAXIMIZED=FALSE&amp;creator=factset&amp;display_string=Audit"}</definedName>
    <definedName name="_119__FDSAUDITLINK__" hidden="1">{"fdsup://Directions/FactSet Auditing Viewer?action=AUDIT_VALUE&amp;DB=129&amp;ID1=36476010&amp;VALUEID=13040&amp;SDATE=200803&amp;PERIODTYPE=QTR_STD&amp;window=popup_no_bar&amp;width=385&amp;height=120&amp;START_MAXIMIZED=FALSE&amp;creator=factset&amp;display_string=Audit"}</definedName>
    <definedName name="_1190__FDSAUDITLINK__" hidden="1">{"fdsup://Directions/FactSet Auditing Viewer?action=AUDIT_VALUE&amp;DB=129&amp;ID1=36476010&amp;VALUEID=13040&amp;SDATE=200703&amp;PERIODTYPE=QTR_STD&amp;window=popup_no_bar&amp;width=385&amp;height=120&amp;START_MAXIMIZED=FALSE&amp;creator=factset&amp;display_string=Audit"}</definedName>
    <definedName name="_1191__FDSAUDITLINK__" hidden="1">{"fdsup://Directions/FactSet Auditing Viewer?action=AUDIT_VALUE&amp;DB=129&amp;ID1=03611510&amp;VALUEID=02101&amp;SDATE=200703&amp;PERIODTYPE=QTR_STD&amp;window=popup_no_bar&amp;width=385&amp;height=120&amp;START_MAXIMIZED=FALSE&amp;creator=factset&amp;display_string=Audit"}</definedName>
    <definedName name="_1192__FDSAUDITLINK__" hidden="1">{"fdsup://Directions/FactSet Auditing Viewer?action=AUDIT_VALUE&amp;DB=129&amp;ID1=03611510&amp;VALUEID=01001&amp;SDATE=200703&amp;PERIODTYPE=QTR_STD&amp;window=popup_no_bar&amp;width=385&amp;height=120&amp;START_MAXIMIZED=FALSE&amp;creator=factset&amp;display_string=Audit"}</definedName>
    <definedName name="_1193__FDSAUDITLINK__" hidden="1">{"fdsup://Directions/FactSet Auditing Viewer?action=AUDIT_VALUE&amp;DB=129&amp;ID1=03611510&amp;VALUEID=13040&amp;SDATE=200703&amp;PERIODTYPE=QTR_STD&amp;window=popup_no_bar&amp;width=385&amp;height=120&amp;START_MAXIMIZED=FALSE&amp;creator=factset&amp;display_string=Audit"}</definedName>
    <definedName name="_1194__FDSAUDITLINK__" hidden="1">{"fdsup://Directions/FactSet Auditing Viewer?action=AUDIT_VALUE&amp;DB=129&amp;ID1=16890510&amp;VALUEID=02101&amp;SDATE=200703&amp;PERIODTYPE=QTR_STD&amp;window=popup_no_bar&amp;width=385&amp;height=120&amp;START_MAXIMIZED=FALSE&amp;creator=factset&amp;display_string=Audit"}</definedName>
    <definedName name="_1195__FDSAUDITLINK__" hidden="1">{"fdsup://Directions/FactSet Auditing Viewer?action=AUDIT_VALUE&amp;DB=129&amp;ID1=16890510&amp;VALUEID=01001&amp;SDATE=200703&amp;PERIODTYPE=QTR_STD&amp;window=popup_no_bar&amp;width=385&amp;height=120&amp;START_MAXIMIZED=FALSE&amp;creator=factset&amp;display_string=Audit"}</definedName>
    <definedName name="_1196__FDSAUDITLINK__" hidden="1">{"fdsup://Directions/FactSet Auditing Viewer?action=AUDIT_VALUE&amp;DB=129&amp;ID1=91704710&amp;VALUEID=02101&amp;SDATE=200703&amp;PERIODTYPE=QTR_STD&amp;window=popup_no_bar&amp;width=385&amp;height=120&amp;START_MAXIMIZED=FALSE&amp;creator=factset&amp;display_string=Audit"}</definedName>
    <definedName name="_1197__FDSAUDITLINK__" hidden="1">{"fdsup://Directions/FactSet Auditing Viewer?action=AUDIT_VALUE&amp;DB=129&amp;ID1=91704710&amp;VALUEID=01001&amp;SDATE=200703&amp;PERIODTYPE=QTR_STD&amp;window=popup_no_bar&amp;width=385&amp;height=120&amp;START_MAXIMIZED=FALSE&amp;creator=factset&amp;display_string=Audit"}</definedName>
    <definedName name="_1198__FDSAUDITLINK__" hidden="1">{"fdsup://Directions/FactSet Auditing Viewer?action=AUDIT_VALUE&amp;DB=129&amp;ID1=91704710&amp;VALUEID=13040&amp;SDATE=200703&amp;PERIODTYPE=QTR_STD&amp;window=popup_no_bar&amp;width=385&amp;height=120&amp;START_MAXIMIZED=FALSE&amp;creator=factset&amp;display_string=Audit"}</definedName>
    <definedName name="_1199__FDSAUDITLINK__" hidden="1">{"fdsup://Directions/FactSet Auditing Viewer?action=AUDIT_VALUE&amp;DB=129&amp;ID1=02553E10&amp;VALUEID=02101&amp;SDATE=200703&amp;PERIODTYPE=QTR_STD&amp;window=popup_no_bar&amp;width=385&amp;height=120&amp;START_MAXIMIZED=FALSE&amp;creator=factset&amp;display_string=Audit"}</definedName>
    <definedName name="_12__FDSAUDITLINK__" hidden="1">{"fdsup://Directions/FactSet Auditing Viewer?action=AUDIT_VALUE&amp;DB=129&amp;ID1=16890510&amp;VALUEID=02101&amp;SDATE=201001&amp;PERIODTYPE=QTR_STD&amp;window=popup_no_bar&amp;width=385&amp;height=120&amp;START_MAXIMIZED=FALSE&amp;creator=factset&amp;display_string=Audit"}</definedName>
    <definedName name="_120__FDSAUDITLINK__" hidden="1">{"fdsup://Directions/FactSet Auditing Viewer?action=AUDIT_VALUE&amp;DB=129&amp;ID1=03611510&amp;VALUEID=02101&amp;SDATE=200803&amp;PERIODTYPE=QTR_STD&amp;window=popup_no_bar&amp;width=385&amp;height=120&amp;START_MAXIMIZED=FALSE&amp;creator=factset&amp;display_string=Audit"}</definedName>
    <definedName name="_1200__FDSAUDITLINK__" hidden="1">{"fdsup://Directions/FactSet Auditing Viewer?action=AUDIT_VALUE&amp;DB=129&amp;ID1=02553E10&amp;VALUEID=01001&amp;SDATE=200703&amp;PERIODTYPE=QTR_STD&amp;window=popup_no_bar&amp;width=385&amp;height=120&amp;START_MAXIMIZED=FALSE&amp;creator=factset&amp;display_string=Audit"}</definedName>
    <definedName name="_1201__FDSAUDITLINK__" hidden="1">{"fdsup://Directions/FactSet Auditing Viewer?action=AUDIT_VALUE&amp;DB=129&amp;ID1=00786510&amp;VALUEID=02101&amp;SDATE=200703&amp;PERIODTYPE=QTR_STD&amp;window=popup_no_bar&amp;width=385&amp;height=120&amp;START_MAXIMIZED=FALSE&amp;creator=factset&amp;display_string=Audit"}</definedName>
    <definedName name="_1202__FDSAUDITLINK__" hidden="1">{"fdsup://Directions/FactSet Auditing Viewer?action=AUDIT_VALUE&amp;DB=129&amp;ID1=00786510&amp;VALUEID=01001&amp;SDATE=200703&amp;PERIODTYPE=QTR_STD&amp;window=popup_no_bar&amp;width=385&amp;height=120&amp;START_MAXIMIZED=FALSE&amp;creator=factset&amp;display_string=Audit"}</definedName>
    <definedName name="_1203__FDSAUDITLINK__" hidden="1">{"fdsup://Directions/FactSet Auditing Viewer?action=AUDIT_VALUE&amp;DB=129&amp;ID1=00786510&amp;VALUEID=13040&amp;SDATE=200703&amp;PERIODTYPE=QTR_STD&amp;window=popup_no_bar&amp;width=385&amp;height=120&amp;START_MAXIMIZED=FALSE&amp;creator=factset&amp;display_string=Audit"}</definedName>
    <definedName name="_1204__FDSAUDITLINK__" hidden="1">{"fdsup://Directions/FactSet Auditing Viewer?action=AUDIT_VALUE&amp;DB=129&amp;ID1=00289620&amp;VALUEID=02101&amp;SDATE=200703&amp;PERIODTYPE=QTR_STD&amp;window=popup_no_bar&amp;width=385&amp;height=120&amp;START_MAXIMIZED=FALSE&amp;creator=factset&amp;display_string=Audit"}</definedName>
    <definedName name="_1205__FDSAUDITLINK__" hidden="1">{"fdsup://Directions/FactSet Auditing Viewer?action=AUDIT_VALUE&amp;DB=129&amp;ID1=00289620&amp;VALUEID=01001&amp;SDATE=200703&amp;PERIODTYPE=QTR_STD&amp;window=popup_no_bar&amp;width=385&amp;height=120&amp;START_MAXIMIZED=FALSE&amp;creator=factset&amp;display_string=Audit"}</definedName>
    <definedName name="_1206__FDSAUDITLINK__" hidden="1">{"fdsup://Directions/FactSet Auditing Viewer?action=AUDIT_VALUE&amp;DB=129&amp;ID1=00289620&amp;VALUEID=13040&amp;SDATE=200703&amp;PERIODTYPE=QTR_STD&amp;window=popup_no_bar&amp;width=385&amp;height=120&amp;START_MAXIMIZED=FALSE&amp;creator=factset&amp;display_string=Audit"}</definedName>
    <definedName name="_1207__FDSAUDITLINK__" hidden="1">{"fdsup://Directions/FactSet Auditing Viewer?action=AUDIT_VALUE&amp;DB=129&amp;ID1=87416110&amp;VALUEID=02101&amp;SDATE=200702&amp;PERIODTYPE=QTR_STD&amp;window=popup_no_bar&amp;width=385&amp;height=120&amp;START_MAXIMIZED=FALSE&amp;creator=factset&amp;display_string=Audit"}</definedName>
    <definedName name="_1208__FDSAUDITLINK__" hidden="1">{"fdsup://Directions/FactSet Auditing Viewer?action=AUDIT_VALUE&amp;DB=129&amp;ID1=87416110&amp;VALUEID=01001&amp;SDATE=200702&amp;PERIODTYPE=QTR_STD&amp;window=popup_no_bar&amp;width=385&amp;height=120&amp;START_MAXIMIZED=FALSE&amp;creator=factset&amp;display_string=Audit"}</definedName>
    <definedName name="_1209__FDSAUDITLINK__" hidden="1">{"fdsup://Directions/FactSet Auditing Viewer?action=AUDIT_VALUE&amp;DB=129&amp;ID1=53271610&amp;VALUEID=02101&amp;SDATE=200702&amp;PERIODTYPE=QTR_STD&amp;window=popup_no_bar&amp;width=385&amp;height=120&amp;START_MAXIMIZED=FALSE&amp;creator=factset&amp;display_string=Audit"}</definedName>
    <definedName name="_121__FDSAUDITLINK__" hidden="1">{"fdsup://Directions/FactSet Auditing Viewer?action=AUDIT_VALUE&amp;DB=129&amp;ID1=03611510&amp;VALUEID=01001&amp;SDATE=200803&amp;PERIODTYPE=QTR_STD&amp;window=popup_no_bar&amp;width=385&amp;height=120&amp;START_MAXIMIZED=FALSE&amp;creator=factset&amp;display_string=Audit"}</definedName>
    <definedName name="_1210__FDSAUDITLINK__" hidden="1">{"fdsup://Directions/FactSet Auditing Viewer?action=AUDIT_VALUE&amp;DB=129&amp;ID1=53271610&amp;VALUEID=01001&amp;SDATE=200702&amp;PERIODTYPE=QTR_STD&amp;window=popup_no_bar&amp;width=385&amp;height=120&amp;START_MAXIMIZED=FALSE&amp;creator=factset&amp;display_string=Audit"}</definedName>
    <definedName name="_1211__FDSAUDITLINK__" hidden="1">{"fdsup://Directions/FactSet Auditing Viewer?action=AUDIT_VALUE&amp;DB=129&amp;ID1=53271610&amp;VALUEID=13040&amp;SDATE=200702&amp;PERIODTYPE=QTR_STD&amp;window=popup_no_bar&amp;width=385&amp;height=120&amp;START_MAXIMIZED=FALSE&amp;creator=factset&amp;display_string=Audit"}</definedName>
    <definedName name="_1212__FDSAUDITLINK__" hidden="1">{"fdsup://Directions/FactSet Auditing Viewer?action=AUDIT_VALUE&amp;DB=129&amp;ID1=46612H40&amp;VALUEID=02101&amp;SDATE=200702&amp;PERIODTYPE=QTR_STD&amp;window=popup_no_bar&amp;width=385&amp;height=120&amp;START_MAXIMIZED=FALSE&amp;creator=factset&amp;display_string=Audit"}</definedName>
    <definedName name="_1213__FDSAUDITLINK__" hidden="1">{"fdsup://Directions/FactSet Auditing Viewer?action=AUDIT_VALUE&amp;DB=129&amp;ID1=46612H40&amp;VALUEID=01001&amp;SDATE=200702&amp;PERIODTYPE=QTR_STD&amp;window=popup_no_bar&amp;width=385&amp;height=120&amp;START_MAXIMIZED=FALSE&amp;creator=factset&amp;display_string=Audit"}</definedName>
    <definedName name="_1214__FDSAUDITLINK__" hidden="1">{"fdsup://Directions/FactSet Auditing Viewer?action=AUDIT_VALUE&amp;DB=129&amp;ID1=46612H40&amp;VALUEID=13040&amp;SDATE=200702&amp;PERIODTYPE=QTR_STD&amp;window=popup_no_bar&amp;width=385&amp;height=120&amp;START_MAXIMIZED=FALSE&amp;creator=factset&amp;display_string=Audit"}</definedName>
    <definedName name="_1215__FDSAUDITLINK__" hidden="1">{"fdsup://Directions/FactSet Auditing Viewer?action=AUDIT_VALUE&amp;DB=129&amp;ID1=36476010&amp;VALUEID=02101&amp;SDATE=200702&amp;PERIODTYPE=QTR_STD&amp;window=popup_no_bar&amp;width=385&amp;height=120&amp;START_MAXIMIZED=FALSE&amp;creator=factset&amp;display_string=Audit"}</definedName>
    <definedName name="_1216__FDSAUDITLINK__" hidden="1">{"fdsup://Directions/FactSet Auditing Viewer?action=AUDIT_VALUE&amp;DB=129&amp;ID1=36476010&amp;VALUEID=01001&amp;SDATE=200702&amp;PERIODTYPE=QTR_STD&amp;window=popup_no_bar&amp;width=385&amp;height=120&amp;START_MAXIMIZED=FALSE&amp;creator=factset&amp;display_string=Audit"}</definedName>
    <definedName name="_1217__FDSAUDITLINK__" hidden="1">{"fdsup://Directions/FactSet Auditing Viewer?action=AUDIT_VALUE&amp;DB=129&amp;ID1=03611510&amp;VALUEID=02101&amp;SDATE=200702&amp;PERIODTYPE=QTR_STD&amp;window=popup_no_bar&amp;width=385&amp;height=120&amp;START_MAXIMIZED=FALSE&amp;creator=factset&amp;display_string=Audit"}</definedName>
    <definedName name="_1218__FDSAUDITLINK__" hidden="1">{"fdsup://Directions/FactSet Auditing Viewer?action=AUDIT_VALUE&amp;DB=129&amp;ID1=03611510&amp;VALUEID=01001&amp;SDATE=200702&amp;PERIODTYPE=QTR_STD&amp;window=popup_no_bar&amp;width=385&amp;height=120&amp;START_MAXIMIZED=FALSE&amp;creator=factset&amp;display_string=Audit"}</definedName>
    <definedName name="_1219__FDSAUDITLINK__" hidden="1">{"fdsup://Directions/FactSet Auditing Viewer?action=AUDIT_VALUE&amp;DB=129&amp;ID1=03611510&amp;VALUEID=13040&amp;SDATE=200702&amp;PERIODTYPE=QTR_STD&amp;window=popup_no_bar&amp;width=385&amp;height=120&amp;START_MAXIMIZED=FALSE&amp;creator=factset&amp;display_string=Audit"}</definedName>
    <definedName name="_122__FDSAUDITLINK__" hidden="1">{"fdsup://Directions/FactSet Auditing Viewer?action=AUDIT_VALUE&amp;DB=129&amp;ID1=16890510&amp;VALUEID=02101&amp;SDATE=200803&amp;PERIODTYPE=QTR_STD&amp;window=popup_no_bar&amp;width=385&amp;height=120&amp;START_MAXIMIZED=FALSE&amp;creator=factset&amp;display_string=Audit"}</definedName>
    <definedName name="_1220__FDSAUDITLINK__" hidden="1">{"fdsup://Directions/FactSet Auditing Viewer?action=AUDIT_VALUE&amp;DB=129&amp;ID1=16890510&amp;VALUEID=02101&amp;SDATE=200702&amp;PERIODTYPE=QTR_STD&amp;window=popup_no_bar&amp;width=385&amp;height=120&amp;START_MAXIMIZED=FALSE&amp;creator=factset&amp;display_string=Audit"}</definedName>
    <definedName name="_1221__FDSAUDITLINK__" hidden="1">{"fdsup://Directions/FactSet Auditing Viewer?action=AUDIT_VALUE&amp;DB=129&amp;ID1=16890510&amp;VALUEID=01001&amp;SDATE=200702&amp;PERIODTYPE=QTR_STD&amp;window=popup_no_bar&amp;width=385&amp;height=120&amp;START_MAXIMIZED=FALSE&amp;creator=factset&amp;display_string=Audit"}</definedName>
    <definedName name="_1222__FDSAUDITLINK__" hidden="1">{"fdsup://Directions/FactSet Auditing Viewer?action=AUDIT_VALUE&amp;DB=129&amp;ID1=91704710&amp;VALUEID=02101&amp;SDATE=200702&amp;PERIODTYPE=QTR_STD&amp;window=popup_no_bar&amp;width=385&amp;height=120&amp;START_MAXIMIZED=FALSE&amp;creator=factset&amp;display_string=Audit"}</definedName>
    <definedName name="_1223__FDSAUDITLINK__" hidden="1">{"fdsup://Directions/FactSet Auditing Viewer?action=AUDIT_VALUE&amp;DB=129&amp;ID1=91704710&amp;VALUEID=01001&amp;SDATE=200702&amp;PERIODTYPE=QTR_STD&amp;window=popup_no_bar&amp;width=385&amp;height=120&amp;START_MAXIMIZED=FALSE&amp;creator=factset&amp;display_string=Audit"}</definedName>
    <definedName name="_1224__FDSAUDITLINK__" hidden="1">{"fdsup://Directions/FactSet Auditing Viewer?action=AUDIT_VALUE&amp;DB=129&amp;ID1=91704710&amp;VALUEID=13040&amp;SDATE=200702&amp;PERIODTYPE=QTR_STD&amp;window=popup_no_bar&amp;width=385&amp;height=120&amp;START_MAXIMIZED=FALSE&amp;creator=factset&amp;display_string=Audit"}</definedName>
    <definedName name="_1225__FDSAUDITLINK__" hidden="1">{"fdsup://Directions/FactSet Auditing Viewer?action=AUDIT_VALUE&amp;DB=129&amp;ID1=02553E10&amp;VALUEID=02101&amp;SDATE=200702&amp;PERIODTYPE=QTR_STD&amp;window=popup_no_bar&amp;width=385&amp;height=120&amp;START_MAXIMIZED=FALSE&amp;creator=factset&amp;display_string=Audit"}</definedName>
    <definedName name="_1226__FDSAUDITLINK__" hidden="1">{"fdsup://Directions/FactSet Auditing Viewer?action=AUDIT_VALUE&amp;DB=129&amp;ID1=02553E10&amp;VALUEID=01001&amp;SDATE=200702&amp;PERIODTYPE=QTR_STD&amp;window=popup_no_bar&amp;width=385&amp;height=120&amp;START_MAXIMIZED=FALSE&amp;creator=factset&amp;display_string=Audit"}</definedName>
    <definedName name="_1227__FDSAUDITLINK__" hidden="1">{"fdsup://Directions/FactSet Auditing Viewer?action=AUDIT_VALUE&amp;DB=129&amp;ID1=02553E10&amp;VALUEID=13040&amp;SDATE=200702&amp;PERIODTYPE=QTR_STD&amp;window=popup_no_bar&amp;width=385&amp;height=120&amp;START_MAXIMIZED=FALSE&amp;creator=factset&amp;display_string=Audit"}</definedName>
    <definedName name="_1228__FDSAUDITLINK__" hidden="1">{"fdsup://Directions/FactSet Auditing Viewer?action=AUDIT_VALUE&amp;DB=129&amp;ID1=00786510&amp;VALUEID=02101&amp;SDATE=200702&amp;PERIODTYPE=QTR_STD&amp;window=popup_no_bar&amp;width=385&amp;height=120&amp;START_MAXIMIZED=FALSE&amp;creator=factset&amp;display_string=Audit"}</definedName>
    <definedName name="_1229__FDSAUDITLINK__" hidden="1">{"fdsup://Directions/FactSet Auditing Viewer?action=AUDIT_VALUE&amp;DB=129&amp;ID1=00786510&amp;VALUEID=01001&amp;SDATE=200702&amp;PERIODTYPE=QTR_STD&amp;window=popup_no_bar&amp;width=385&amp;height=120&amp;START_MAXIMIZED=FALSE&amp;creator=factset&amp;display_string=Audit"}</definedName>
    <definedName name="_123__FDSAUDITLINK__" hidden="1">{"fdsup://Directions/FactSet Auditing Viewer?action=AUDIT_VALUE&amp;DB=129&amp;ID1=16890510&amp;VALUEID=01001&amp;SDATE=200803&amp;PERIODTYPE=QTR_STD&amp;window=popup_no_bar&amp;width=385&amp;height=120&amp;START_MAXIMIZED=FALSE&amp;creator=factset&amp;display_string=Audit"}</definedName>
    <definedName name="_1230__FDSAUDITLINK__" hidden="1">{"fdsup://Directions/FactSet Auditing Viewer?action=AUDIT_VALUE&amp;DB=129&amp;ID1=00786510&amp;VALUEID=13040&amp;SDATE=200702&amp;PERIODTYPE=QTR_STD&amp;window=popup_no_bar&amp;width=385&amp;height=120&amp;START_MAXIMIZED=FALSE&amp;creator=factset&amp;display_string=Audit"}</definedName>
    <definedName name="_1231__FDSAUDITLINK__" hidden="1">{"fdsup://Directions/FactSet Auditing Viewer?action=AUDIT_VALUE&amp;DB=129&amp;ID1=00289620&amp;VALUEID=02101&amp;SDATE=200702&amp;PERIODTYPE=QTR_STD&amp;window=popup_no_bar&amp;width=385&amp;height=120&amp;START_MAXIMIZED=FALSE&amp;creator=factset&amp;display_string=Audit"}</definedName>
    <definedName name="_1232__FDSAUDITLINK__" hidden="1">{"fdsup://Directions/FactSet Auditing Viewer?action=AUDIT_VALUE&amp;DB=129&amp;ID1=00289620&amp;VALUEID=01001&amp;SDATE=200702&amp;PERIODTYPE=QTR_STD&amp;window=popup_no_bar&amp;width=385&amp;height=120&amp;START_MAXIMIZED=FALSE&amp;creator=factset&amp;display_string=Audit"}</definedName>
    <definedName name="_1233__FDSAUDITLINK__" hidden="1">{"fdsup://Directions/FactSet Auditing Viewer?action=AUDIT_VALUE&amp;DB=129&amp;ID1=87416110&amp;VALUEID=02101&amp;SDATE=200701&amp;PERIODTYPE=QTR_STD&amp;window=popup_no_bar&amp;width=385&amp;height=120&amp;START_MAXIMIZED=FALSE&amp;creator=factset&amp;display_string=Audit"}</definedName>
    <definedName name="_1234__FDSAUDITLINK__" hidden="1">{"fdsup://Directions/FactSet Auditing Viewer?action=AUDIT_VALUE&amp;DB=129&amp;ID1=87416110&amp;VALUEID=01001&amp;SDATE=200701&amp;PERIODTYPE=QTR_STD&amp;window=popup_no_bar&amp;width=385&amp;height=120&amp;START_MAXIMIZED=FALSE&amp;creator=factset&amp;display_string=Audit"}</definedName>
    <definedName name="_1235__FDSAUDITLINK__" hidden="1">{"fdsup://Directions/FactSet Auditing Viewer?action=AUDIT_VALUE&amp;DB=129&amp;ID1=53271610&amp;VALUEID=02101&amp;SDATE=200701&amp;PERIODTYPE=QTR_STD&amp;window=popup_no_bar&amp;width=385&amp;height=120&amp;START_MAXIMIZED=FALSE&amp;creator=factset&amp;display_string=Audit"}</definedName>
    <definedName name="_1236__FDSAUDITLINK__" hidden="1">{"fdsup://Directions/FactSet Auditing Viewer?action=AUDIT_VALUE&amp;DB=129&amp;ID1=53271610&amp;VALUEID=01001&amp;SDATE=200701&amp;PERIODTYPE=QTR_STD&amp;window=popup_no_bar&amp;width=385&amp;height=120&amp;START_MAXIMIZED=FALSE&amp;creator=factset&amp;display_string=Audit"}</definedName>
    <definedName name="_1237__FDSAUDITLINK__" hidden="1">{"fdsup://Directions/FactSet Auditing Viewer?action=AUDIT_VALUE&amp;DB=129&amp;ID1=53271610&amp;VALUEID=13040&amp;SDATE=200701&amp;PERIODTYPE=QTR_STD&amp;window=popup_no_bar&amp;width=385&amp;height=120&amp;START_MAXIMIZED=FALSE&amp;creator=factset&amp;display_string=Audit"}</definedName>
    <definedName name="_1238__FDSAUDITLINK__" hidden="1">{"fdsup://Directions/FactSet Auditing Viewer?action=AUDIT_VALUE&amp;DB=129&amp;ID1=46612H40&amp;VALUEID=02101&amp;SDATE=200701&amp;PERIODTYPE=QTR_STD&amp;window=popup_no_bar&amp;width=385&amp;height=120&amp;START_MAXIMIZED=FALSE&amp;creator=factset&amp;display_string=Audit"}</definedName>
    <definedName name="_1239__FDSAUDITLINK__" hidden="1">{"fdsup://Directions/FactSet Auditing Viewer?action=AUDIT_VALUE&amp;DB=129&amp;ID1=46612H40&amp;VALUEID=01001&amp;SDATE=200701&amp;PERIODTYPE=QTR_STD&amp;window=popup_no_bar&amp;width=385&amp;height=120&amp;START_MAXIMIZED=FALSE&amp;creator=factset&amp;display_string=Audit"}</definedName>
    <definedName name="_124__FDSAUDITLINK__" hidden="1">{"fdsup://Directions/FactSet Auditing Viewer?action=AUDIT_VALUE&amp;DB=129&amp;ID1=91704710&amp;VALUEID=02101&amp;SDATE=200803&amp;PERIODTYPE=QTR_STD&amp;window=popup_no_bar&amp;width=385&amp;height=120&amp;START_MAXIMIZED=FALSE&amp;creator=factset&amp;display_string=Audit"}</definedName>
    <definedName name="_1240__FDSAUDITLINK__" hidden="1">{"fdsup://Directions/FactSet Auditing Viewer?action=AUDIT_VALUE&amp;DB=129&amp;ID1=46612H40&amp;VALUEID=13040&amp;SDATE=200701&amp;PERIODTYPE=QTR_STD&amp;window=popup_no_bar&amp;width=385&amp;height=120&amp;START_MAXIMIZED=FALSE&amp;creator=factset&amp;display_string=Audit"}</definedName>
    <definedName name="_1241__FDSAUDITLINK__" hidden="1">{"fdsup://Directions/FactSet Auditing Viewer?action=AUDIT_VALUE&amp;DB=129&amp;ID1=36476010&amp;VALUEID=02101&amp;SDATE=200701&amp;PERIODTYPE=QTR_STD&amp;window=popup_no_bar&amp;width=385&amp;height=120&amp;START_MAXIMIZED=FALSE&amp;creator=factset&amp;display_string=Audit"}</definedName>
    <definedName name="_1242__FDSAUDITLINK__" hidden="1">{"fdsup://Directions/FactSet Auditing Viewer?action=AUDIT_VALUE&amp;DB=129&amp;ID1=36476010&amp;VALUEID=01001&amp;SDATE=200701&amp;PERIODTYPE=QTR_STD&amp;window=popup_no_bar&amp;width=385&amp;height=120&amp;START_MAXIMIZED=FALSE&amp;creator=factset&amp;display_string=Audit"}</definedName>
    <definedName name="_1243__FDSAUDITLINK__" hidden="1">{"fdsup://Directions/FactSet Auditing Viewer?action=AUDIT_VALUE&amp;DB=129&amp;ID1=36476010&amp;VALUEID=13040&amp;SDATE=200701&amp;PERIODTYPE=QTR_STD&amp;window=popup_no_bar&amp;width=385&amp;height=120&amp;START_MAXIMIZED=FALSE&amp;creator=factset&amp;display_string=Audit"}</definedName>
    <definedName name="_1244__FDSAUDITLINK__" hidden="1">{"fdsup://Directions/FactSet Auditing Viewer?action=AUDIT_VALUE&amp;DB=129&amp;ID1=03611510&amp;VALUEID=02101&amp;SDATE=200701&amp;PERIODTYPE=QTR_STD&amp;window=popup_no_bar&amp;width=385&amp;height=120&amp;START_MAXIMIZED=FALSE&amp;creator=factset&amp;display_string=Audit"}</definedName>
    <definedName name="_1245__FDSAUDITLINK__" hidden="1">{"fdsup://Directions/FactSet Auditing Viewer?action=AUDIT_VALUE&amp;DB=129&amp;ID1=03611510&amp;VALUEID=01001&amp;SDATE=200701&amp;PERIODTYPE=QTR_STD&amp;window=popup_no_bar&amp;width=385&amp;height=120&amp;START_MAXIMIZED=FALSE&amp;creator=factset&amp;display_string=Audit"}</definedName>
    <definedName name="_1246__FDSAUDITLINK__" hidden="1">{"fdsup://Directions/FactSet Auditing Viewer?action=AUDIT_VALUE&amp;DB=129&amp;ID1=03611510&amp;VALUEID=13040&amp;SDATE=200701&amp;PERIODTYPE=QTR_STD&amp;window=popup_no_bar&amp;width=385&amp;height=120&amp;START_MAXIMIZED=FALSE&amp;creator=factset&amp;display_string=Audit"}</definedName>
    <definedName name="_1247__FDSAUDITLINK__" hidden="1">{"fdsup://Directions/FactSet Auditing Viewer?action=AUDIT_VALUE&amp;DB=129&amp;ID1=16890510&amp;VALUEID=02101&amp;SDATE=200701&amp;PERIODTYPE=QTR_STD&amp;window=popup_no_bar&amp;width=385&amp;height=120&amp;START_MAXIMIZED=FALSE&amp;creator=factset&amp;display_string=Audit"}</definedName>
    <definedName name="_1248__FDSAUDITLINK__" hidden="1">{"fdsup://Directions/FactSet Auditing Viewer?action=AUDIT_VALUE&amp;DB=129&amp;ID1=16890510&amp;VALUEID=01001&amp;SDATE=200701&amp;PERIODTYPE=QTR_STD&amp;window=popup_no_bar&amp;width=385&amp;height=120&amp;START_MAXIMIZED=FALSE&amp;creator=factset&amp;display_string=Audit"}</definedName>
    <definedName name="_1249__FDSAUDITLINK__" hidden="1">{"fdsup://Directions/FactSet Auditing Viewer?action=AUDIT_VALUE&amp;DB=129&amp;ID1=91704710&amp;VALUEID=02101&amp;SDATE=200701&amp;PERIODTYPE=QTR_STD&amp;window=popup_no_bar&amp;width=385&amp;height=120&amp;START_MAXIMIZED=FALSE&amp;creator=factset&amp;display_string=Audit"}</definedName>
    <definedName name="_125__FDSAUDITLINK__" hidden="1">{"fdsup://Directions/FactSet Auditing Viewer?action=AUDIT_VALUE&amp;DB=129&amp;ID1=91704710&amp;VALUEID=01001&amp;SDATE=200803&amp;PERIODTYPE=QTR_STD&amp;window=popup_no_bar&amp;width=385&amp;height=120&amp;START_MAXIMIZED=FALSE&amp;creator=factset&amp;display_string=Audit"}</definedName>
    <definedName name="_1250__FDSAUDITLINK__" hidden="1">{"fdsup://Directions/FactSet Auditing Viewer?action=AUDIT_VALUE&amp;DB=129&amp;ID1=91704710&amp;VALUEID=01001&amp;SDATE=200701&amp;PERIODTYPE=QTR_STD&amp;window=popup_no_bar&amp;width=385&amp;height=120&amp;START_MAXIMIZED=FALSE&amp;creator=factset&amp;display_string=Audit"}</definedName>
    <definedName name="_1251__FDSAUDITLINK__" hidden="1">{"fdsup://Directions/FactSet Auditing Viewer?action=AUDIT_VALUE&amp;DB=129&amp;ID1=91704710&amp;VALUEID=13040&amp;SDATE=200701&amp;PERIODTYPE=QTR_STD&amp;window=popup_no_bar&amp;width=385&amp;height=120&amp;START_MAXIMIZED=FALSE&amp;creator=factset&amp;display_string=Audit"}</definedName>
    <definedName name="_1252__FDSAUDITLINK__" hidden="1">{"fdsup://Directions/FactSet Auditing Viewer?action=AUDIT_VALUE&amp;DB=129&amp;ID1=02553E10&amp;VALUEID=02101&amp;SDATE=200701&amp;PERIODTYPE=QTR_STD&amp;window=popup_no_bar&amp;width=385&amp;height=120&amp;START_MAXIMIZED=FALSE&amp;creator=factset&amp;display_string=Audit"}</definedName>
    <definedName name="_1253__FDSAUDITLINK__" hidden="1">{"fdsup://Directions/FactSet Auditing Viewer?action=AUDIT_VALUE&amp;DB=129&amp;ID1=02553E10&amp;VALUEID=01001&amp;SDATE=200701&amp;PERIODTYPE=QTR_STD&amp;window=popup_no_bar&amp;width=385&amp;height=120&amp;START_MAXIMIZED=FALSE&amp;creator=factset&amp;display_string=Audit"}</definedName>
    <definedName name="_1254__FDSAUDITLINK__" hidden="1">{"fdsup://Directions/FactSet Auditing Viewer?action=AUDIT_VALUE&amp;DB=129&amp;ID1=02553E10&amp;VALUEID=13040&amp;SDATE=200701&amp;PERIODTYPE=QTR_STD&amp;window=popup_no_bar&amp;width=385&amp;height=120&amp;START_MAXIMIZED=FALSE&amp;creator=factset&amp;display_string=Audit"}</definedName>
    <definedName name="_1255__FDSAUDITLINK__" hidden="1">{"fdsup://Directions/FactSet Auditing Viewer?action=AUDIT_VALUE&amp;DB=129&amp;ID1=00786510&amp;VALUEID=02101&amp;SDATE=200701&amp;PERIODTYPE=QTR_STD&amp;window=popup_no_bar&amp;width=385&amp;height=120&amp;START_MAXIMIZED=FALSE&amp;creator=factset&amp;display_string=Audit"}</definedName>
    <definedName name="_1256__FDSAUDITLINK__" hidden="1">{"fdsup://Directions/FactSet Auditing Viewer?action=AUDIT_VALUE&amp;DB=129&amp;ID1=00786510&amp;VALUEID=01001&amp;SDATE=200701&amp;PERIODTYPE=QTR_STD&amp;window=popup_no_bar&amp;width=385&amp;height=120&amp;START_MAXIMIZED=FALSE&amp;creator=factset&amp;display_string=Audit"}</definedName>
    <definedName name="_1257__FDSAUDITLINK__" hidden="1">{"fdsup://Directions/FactSet Auditing Viewer?action=AUDIT_VALUE&amp;DB=129&amp;ID1=00786510&amp;VALUEID=13040&amp;SDATE=200701&amp;PERIODTYPE=QTR_STD&amp;window=popup_no_bar&amp;width=385&amp;height=120&amp;START_MAXIMIZED=FALSE&amp;creator=factset&amp;display_string=Audit"}</definedName>
    <definedName name="_1258__FDSAUDITLINK__" hidden="1">{"fdsup://Directions/FactSet Auditing Viewer?action=AUDIT_VALUE&amp;DB=129&amp;ID1=00289620&amp;VALUEID=02101&amp;SDATE=200701&amp;PERIODTYPE=QTR_STD&amp;window=popup_no_bar&amp;width=385&amp;height=120&amp;START_MAXIMIZED=FALSE&amp;creator=factset&amp;display_string=Audit"}</definedName>
    <definedName name="_1259__FDSAUDITLINK__" hidden="1">{"fdsup://Directions/FactSet Auditing Viewer?action=AUDIT_VALUE&amp;DB=129&amp;ID1=00289620&amp;VALUEID=01001&amp;SDATE=200701&amp;PERIODTYPE=QTR_STD&amp;window=popup_no_bar&amp;width=385&amp;height=120&amp;START_MAXIMIZED=FALSE&amp;creator=factset&amp;display_string=Audit"}</definedName>
    <definedName name="_126__FDSAUDITLINK__" hidden="1">{"fdsup://Directions/FactSet Auditing Viewer?action=AUDIT_VALUE&amp;DB=129&amp;ID1=91704710&amp;VALUEID=13040&amp;SDATE=200803&amp;PERIODTYPE=QTR_STD&amp;window=popup_no_bar&amp;width=385&amp;height=120&amp;START_MAXIMIZED=FALSE&amp;creator=factset&amp;display_string=Audit"}</definedName>
    <definedName name="_1260__FDSAUDITLINK__" hidden="1">{"fdsup://Directions/FactSet Auditing Viewer?action=AUDIT_VALUE&amp;DB=129&amp;ID1=00289620&amp;VALUEID=13040&amp;SDATE=200701&amp;PERIODTYPE=QTR_STD&amp;window=popup_no_bar&amp;width=385&amp;height=120&amp;START_MAXIMIZED=FALSE&amp;creator=factset&amp;display_string=Audit"}</definedName>
    <definedName name="_1261__FDSAUDITLINK__" hidden="1">{"fdsup://Directions/FactSet Auditing Viewer?action=AUDIT_VALUE&amp;DB=129&amp;ID1=87416110&amp;VALUEID=01001&amp;SDATE=200604&amp;PERIODTYPE=QTR_STD&amp;window=popup_no_bar&amp;width=385&amp;height=120&amp;START_MAXIMIZED=FALSE&amp;creator=factset&amp;display_string=Audit"}</definedName>
    <definedName name="_1262__FDSAUDITLINK__" hidden="1">{"fdsup://Directions/FactSet Auditing Viewer?action=AUDIT_VALUE&amp;DB=129&amp;ID1=46612H40&amp;VALUEID=01001&amp;SDATE=200604&amp;PERIODTYPE=QTR_STD&amp;window=popup_no_bar&amp;width=385&amp;height=120&amp;START_MAXIMIZED=FALSE&amp;creator=factset&amp;display_string=Audit"}</definedName>
    <definedName name="_1263__FDSAUDITLINK__" hidden="1">{"fdsup://Directions/FactSet Auditing Viewer?action=AUDIT_VALUE&amp;DB=129&amp;ID1=36476010&amp;VALUEID=01001&amp;SDATE=200604&amp;PERIODTYPE=QTR_STD&amp;window=popup_no_bar&amp;width=385&amp;height=120&amp;START_MAXIMIZED=FALSE&amp;creator=factset&amp;display_string=Audit"}</definedName>
    <definedName name="_1264__FDSAUDITLINK__" hidden="1">{"fdsup://Directions/FactSet Auditing Viewer?action=AUDIT_VALUE&amp;DB=129&amp;ID1=03611510&amp;VALUEID=01001&amp;SDATE=200604&amp;PERIODTYPE=QTR_STD&amp;window=popup_no_bar&amp;width=385&amp;height=120&amp;START_MAXIMIZED=FALSE&amp;creator=factset&amp;display_string=Audit"}</definedName>
    <definedName name="_1265__FDSAUDITLINK__" hidden="1">{"fdsup://Directions/FactSet Auditing Viewer?action=AUDIT_VALUE&amp;DB=129&amp;ID1=16890510&amp;VALUEID=01001&amp;SDATE=200604&amp;PERIODTYPE=QTR_STD&amp;window=popup_no_bar&amp;width=385&amp;height=120&amp;START_MAXIMIZED=FALSE&amp;creator=factset&amp;display_string=Audit"}</definedName>
    <definedName name="_1266__FDSAUDITLINK__" hidden="1">{"fdsup://directions/FAT Viewer?action=UPDATE&amp;creator=factset&amp;DYN_ARGS=TRUE&amp;DOC_NAME=FAT:FQL_AUDITING_CLIENT_TEMPLATE.FAT&amp;display_string=Audit&amp;VAR:KEY=BONMBKFGLQ&amp;VAR:QUERY=RkZfUlRfU0ZfVE9UX0dST1NTKFFUUiwtMTMp&amp;WINDOW=FIRST_POPUP&amp;HEIGHT=450&amp;WIDTH=450&amp;START_MA","XIMIZED=FALSE&amp;VAR:CALENDAR=US&amp;VAR:SYMBOL=AEO&amp;VAR:INDEX=0"}</definedName>
    <definedName name="_1267__FDSAUDITLINK__" hidden="1">{"fdsup://Directions/FactSet Auditing Viewer?action=AUDIT_VALUE&amp;DB=129&amp;ID1=00786510&amp;VALUEID=01001&amp;SDATE=200604&amp;PERIODTYPE=QTR_STD&amp;window=popup_no_bar&amp;width=385&amp;height=120&amp;START_MAXIMIZED=FALSE&amp;creator=factset&amp;display_string=Audit"}</definedName>
    <definedName name="_1268__FDSAUDITLINK__" hidden="1">{"fdsup://Directions/FactSet Auditing Viewer?action=AUDIT_VALUE&amp;DB=129&amp;ID1=87416110&amp;VALUEID=02101&amp;SDATE=200603&amp;PERIODTYPE=QTR_STD&amp;window=popup_no_bar&amp;width=385&amp;height=120&amp;START_MAXIMIZED=FALSE&amp;creator=factset&amp;display_string=Audit"}</definedName>
    <definedName name="_1269__FDSAUDITLINK__" hidden="1">{"fdsup://Directions/FactSet Auditing Viewer?action=AUDIT_VALUE&amp;DB=129&amp;ID1=87416110&amp;VALUEID=01001&amp;SDATE=200603&amp;PERIODTYPE=QTR_STD&amp;window=popup_no_bar&amp;width=385&amp;height=120&amp;START_MAXIMIZED=FALSE&amp;creator=factset&amp;display_string=Audit"}</definedName>
    <definedName name="_127__FDSAUDITLINK__" hidden="1">{"fdsup://Directions/FactSet Auditing Viewer?action=AUDIT_VALUE&amp;DB=129&amp;ID1=02553E10&amp;VALUEID=02101&amp;SDATE=200803&amp;PERIODTYPE=QTR_STD&amp;window=popup_no_bar&amp;width=385&amp;height=120&amp;START_MAXIMIZED=FALSE&amp;creator=factset&amp;display_string=Audit"}</definedName>
    <definedName name="_1270__FDSAUDITLINK__" hidden="1">{"fdsup://Directions/FactSet Auditing Viewer?action=AUDIT_VALUE&amp;DB=129&amp;ID1=53271610&amp;VALUEID=02101&amp;SDATE=200603&amp;PERIODTYPE=QTR_STD&amp;window=popup_no_bar&amp;width=385&amp;height=120&amp;START_MAXIMIZED=FALSE&amp;creator=factset&amp;display_string=Audit"}</definedName>
    <definedName name="_1271__FDSAUDITLINK__" hidden="1">{"fdsup://Directions/FactSet Auditing Viewer?action=AUDIT_VALUE&amp;DB=129&amp;ID1=53271610&amp;VALUEID=01001&amp;SDATE=200603&amp;PERIODTYPE=QTR_STD&amp;window=popup_no_bar&amp;width=385&amp;height=120&amp;START_MAXIMIZED=FALSE&amp;creator=factset&amp;display_string=Audit"}</definedName>
    <definedName name="_1272__FDSAUDITLINK__" hidden="1">{"fdsup://Directions/FactSet Auditing Viewer?action=AUDIT_VALUE&amp;DB=129&amp;ID1=53271610&amp;VALUEID=13040&amp;SDATE=200603&amp;PERIODTYPE=QTR_STD&amp;window=popup_no_bar&amp;width=385&amp;height=120&amp;START_MAXIMIZED=FALSE&amp;creator=factset&amp;display_string=Audit"}</definedName>
    <definedName name="_1273__FDSAUDITLINK__" hidden="1">{"fdsup://Directions/FactSet Auditing Viewer?action=AUDIT_VALUE&amp;DB=129&amp;ID1=46612H40&amp;VALUEID=02101&amp;SDATE=200603&amp;PERIODTYPE=QTR_STD&amp;window=popup_no_bar&amp;width=385&amp;height=120&amp;START_MAXIMIZED=FALSE&amp;creator=factset&amp;display_string=Audit"}</definedName>
    <definedName name="_1274__FDSAUDITLINK__" hidden="1">{"fdsup://Directions/FactSet Auditing Viewer?action=AUDIT_VALUE&amp;DB=129&amp;ID1=46612H40&amp;VALUEID=01001&amp;SDATE=200603&amp;PERIODTYPE=QTR_STD&amp;window=popup_no_bar&amp;width=385&amp;height=120&amp;START_MAXIMIZED=FALSE&amp;creator=factset&amp;display_string=Audit"}</definedName>
    <definedName name="_1275__FDSAUDITLINK__" hidden="1">{"fdsup://Directions/FactSet Auditing Viewer?action=AUDIT_VALUE&amp;DB=129&amp;ID1=46612H40&amp;VALUEID=13040&amp;SDATE=200603&amp;PERIODTYPE=QTR_STD&amp;window=popup_no_bar&amp;width=385&amp;height=120&amp;START_MAXIMIZED=FALSE&amp;creator=factset&amp;display_string=Audit"}</definedName>
    <definedName name="_1276__FDSAUDITLINK__" hidden="1">{"fdsup://Directions/FactSet Auditing Viewer?action=AUDIT_VALUE&amp;DB=129&amp;ID1=36476010&amp;VALUEID=02101&amp;SDATE=200603&amp;PERIODTYPE=QTR_STD&amp;window=popup_no_bar&amp;width=385&amp;height=120&amp;START_MAXIMIZED=FALSE&amp;creator=factset&amp;display_string=Audit"}</definedName>
    <definedName name="_1277__FDSAUDITLINK__" hidden="1">{"fdsup://Directions/FactSet Auditing Viewer?action=AUDIT_VALUE&amp;DB=129&amp;ID1=36476010&amp;VALUEID=01001&amp;SDATE=200603&amp;PERIODTYPE=QTR_STD&amp;window=popup_no_bar&amp;width=385&amp;height=120&amp;START_MAXIMIZED=FALSE&amp;creator=factset&amp;display_string=Audit"}</definedName>
    <definedName name="_1278__FDSAUDITLINK__" hidden="1">{"fdsup://Directions/FactSet Auditing Viewer?action=AUDIT_VALUE&amp;DB=129&amp;ID1=36476010&amp;VALUEID=13040&amp;SDATE=200603&amp;PERIODTYPE=QTR_STD&amp;window=popup_no_bar&amp;width=385&amp;height=120&amp;START_MAXIMIZED=FALSE&amp;creator=factset&amp;display_string=Audit"}</definedName>
    <definedName name="_1279__FDSAUDITLINK__" hidden="1">{"fdsup://Directions/FactSet Auditing Viewer?action=AUDIT_VALUE&amp;DB=129&amp;ID1=03611510&amp;VALUEID=02101&amp;SDATE=200603&amp;PERIODTYPE=QTR_STD&amp;window=popup_no_bar&amp;width=385&amp;height=120&amp;START_MAXIMIZED=FALSE&amp;creator=factset&amp;display_string=Audit"}</definedName>
    <definedName name="_128__FDSAUDITLINK__" hidden="1">{"fdsup://Directions/FactSet Auditing Viewer?action=AUDIT_VALUE&amp;DB=129&amp;ID1=02553E10&amp;VALUEID=01001&amp;SDATE=200803&amp;PERIODTYPE=QTR_STD&amp;window=popup_no_bar&amp;width=385&amp;height=120&amp;START_MAXIMIZED=FALSE&amp;creator=factset&amp;display_string=Audit"}</definedName>
    <definedName name="_1280__FDSAUDITLINK__" hidden="1">{"fdsup://Directions/FactSet Auditing Viewer?action=AUDIT_VALUE&amp;DB=129&amp;ID1=03611510&amp;VALUEID=01001&amp;SDATE=200603&amp;PERIODTYPE=QTR_STD&amp;window=popup_no_bar&amp;width=385&amp;height=120&amp;START_MAXIMIZED=FALSE&amp;creator=factset&amp;display_string=Audit"}</definedName>
    <definedName name="_1281__FDSAUDITLINK__" hidden="1">{"fdsup://Directions/FactSet Auditing Viewer?action=AUDIT_VALUE&amp;DB=129&amp;ID1=03611510&amp;VALUEID=13040&amp;SDATE=200603&amp;PERIODTYPE=QTR_STD&amp;window=popup_no_bar&amp;width=385&amp;height=120&amp;START_MAXIMIZED=FALSE&amp;creator=factset&amp;display_string=Audit"}</definedName>
    <definedName name="_1282__FDSAUDITLINK__" hidden="1">{"fdsup://Directions/FactSet Auditing Viewer?action=AUDIT_VALUE&amp;DB=129&amp;ID1=16890510&amp;VALUEID=02101&amp;SDATE=200603&amp;PERIODTYPE=QTR_STD&amp;window=popup_no_bar&amp;width=385&amp;height=120&amp;START_MAXIMIZED=FALSE&amp;creator=factset&amp;display_string=Audit"}</definedName>
    <definedName name="_1283__FDSAUDITLINK__" hidden="1">{"fdsup://Directions/FactSet Auditing Viewer?action=AUDIT_VALUE&amp;DB=129&amp;ID1=16890510&amp;VALUEID=01001&amp;SDATE=200603&amp;PERIODTYPE=QTR_STD&amp;window=popup_no_bar&amp;width=385&amp;height=120&amp;START_MAXIMIZED=FALSE&amp;creator=factset&amp;display_string=Audit"}</definedName>
    <definedName name="_1284__FDSAUDITLINK__" hidden="1">{"fdsup://Directions/FactSet Auditing Viewer?action=AUDIT_VALUE&amp;DB=129&amp;ID1=91704710&amp;VALUEID=02101&amp;SDATE=200603&amp;PERIODTYPE=QTR_STD&amp;window=popup_no_bar&amp;width=385&amp;height=120&amp;START_MAXIMIZED=FALSE&amp;creator=factset&amp;display_string=Audit"}</definedName>
    <definedName name="_1285__FDSAUDITLINK__" hidden="1">{"fdsup://Directions/FactSet Auditing Viewer?action=AUDIT_VALUE&amp;DB=129&amp;ID1=91704710&amp;VALUEID=01001&amp;SDATE=200603&amp;PERIODTYPE=QTR_STD&amp;window=popup_no_bar&amp;width=385&amp;height=120&amp;START_MAXIMIZED=FALSE&amp;creator=factset&amp;display_string=Audit"}</definedName>
    <definedName name="_1286__FDSAUDITLINK__" hidden="1">{"fdsup://Directions/FactSet Auditing Viewer?action=AUDIT_VALUE&amp;DB=129&amp;ID1=91704710&amp;VALUEID=13040&amp;SDATE=200603&amp;PERIODTYPE=QTR_STD&amp;window=popup_no_bar&amp;width=385&amp;height=120&amp;START_MAXIMIZED=FALSE&amp;creator=factset&amp;display_string=Audit"}</definedName>
    <definedName name="_1287__FDSAUDITLINK__" hidden="1">{"fdsup://directions/FAT Viewer?action=UPDATE&amp;creator=factset&amp;DYN_ARGS=TRUE&amp;DOC_NAME=FAT:FQL_AUDITING_CLIENT_TEMPLATE.FAT&amp;display_string=Audit&amp;VAR:KEY=NGXYHSLMBY&amp;VAR:QUERY=RkZfUlRfU0ZfVE9UX0dST1NTKFFUUiwtMTQp&amp;WINDOW=FIRST_POPUP&amp;HEIGHT=450&amp;WIDTH=450&amp;START_MA","XIMIZED=FALSE&amp;VAR:CALENDAR=US&amp;VAR:SYMBOL=AEO&amp;VAR:INDEX=0"}</definedName>
    <definedName name="_1288__FDSAUDITLINK__" hidden="1">{"fdsup://Directions/FactSet Auditing Viewer?action=AUDIT_VALUE&amp;DB=129&amp;ID1=00786510&amp;VALUEID=02101&amp;SDATE=200603&amp;PERIODTYPE=QTR_STD&amp;window=popup_no_bar&amp;width=385&amp;height=120&amp;START_MAXIMIZED=FALSE&amp;creator=factset&amp;display_string=Audit"}</definedName>
    <definedName name="_1289__FDSAUDITLINK__" hidden="1">{"fdsup://Directions/FactSet Auditing Viewer?action=AUDIT_VALUE&amp;DB=129&amp;ID1=00786510&amp;VALUEID=01001&amp;SDATE=200603&amp;PERIODTYPE=QTR_STD&amp;window=popup_no_bar&amp;width=385&amp;height=120&amp;START_MAXIMIZED=FALSE&amp;creator=factset&amp;display_string=Audit"}</definedName>
    <definedName name="_129__FDSAUDITLINK__" hidden="1">{"fdsup://Directions/FactSet Auditing Viewer?action=AUDIT_VALUE&amp;DB=129&amp;ID1=02553E10&amp;VALUEID=13040&amp;SDATE=200803&amp;PERIODTYPE=QTR_STD&amp;window=popup_no_bar&amp;width=385&amp;height=120&amp;START_MAXIMIZED=FALSE&amp;creator=factset&amp;display_string=Audit"}</definedName>
    <definedName name="_1290__FDSAUDITLINK__" hidden="1">{"fdsup://Directions/FactSet Auditing Viewer?action=AUDIT_VALUE&amp;DB=129&amp;ID1=00786510&amp;VALUEID=13040&amp;SDATE=200603&amp;PERIODTYPE=QTR_STD&amp;window=popup_no_bar&amp;width=385&amp;height=120&amp;START_MAXIMIZED=FALSE&amp;creator=factset&amp;display_string=Audit"}</definedName>
    <definedName name="_1291__FDSAUDITLINK__" hidden="1">{"fdsup://Directions/FactSet Auditing Viewer?action=AUDIT_VALUE&amp;DB=129&amp;ID1=00289620&amp;VALUEID=02101&amp;SDATE=200603&amp;PERIODTYPE=QTR_STD&amp;window=popup_no_bar&amp;width=385&amp;height=120&amp;START_MAXIMIZED=FALSE&amp;creator=factset&amp;display_string=Audit"}</definedName>
    <definedName name="_1292__FDSAUDITLINK__" hidden="1">{"fdsup://Directions/FactSet Auditing Viewer?action=AUDIT_VALUE&amp;DB=129&amp;ID1=00289620&amp;VALUEID=01001&amp;SDATE=200603&amp;PERIODTYPE=QTR_STD&amp;window=popup_no_bar&amp;width=385&amp;height=120&amp;START_MAXIMIZED=FALSE&amp;creator=factset&amp;display_string=Audit"}</definedName>
    <definedName name="_1293__FDSAUDITLINK__" hidden="1">{"fdsup://Directions/FactSet Auditing Viewer?action=AUDIT_VALUE&amp;DB=129&amp;ID1=00289620&amp;VALUEID=13040&amp;SDATE=200603&amp;PERIODTYPE=QTR_STD&amp;window=popup_no_bar&amp;width=385&amp;height=120&amp;START_MAXIMIZED=FALSE&amp;creator=factset&amp;display_string=Audit"}</definedName>
    <definedName name="_1294__FDSAUDITLINK__" hidden="1">{"fdsup://Directions/FactSet Auditing Viewer?action=AUDIT_VALUE&amp;DB=129&amp;ID1=87416110&amp;VALUEID=02101&amp;SDATE=200602&amp;PERIODTYPE=QTR_STD&amp;window=popup_no_bar&amp;width=385&amp;height=120&amp;START_MAXIMIZED=FALSE&amp;creator=factset&amp;display_string=Audit"}</definedName>
    <definedName name="_1295__FDSAUDITLINK__" hidden="1">{"fdsup://Directions/FactSet Auditing Viewer?action=AUDIT_VALUE&amp;DB=129&amp;ID1=87416110&amp;VALUEID=01001&amp;SDATE=200602&amp;PERIODTYPE=QTR_STD&amp;window=popup_no_bar&amp;width=385&amp;height=120&amp;START_MAXIMIZED=FALSE&amp;creator=factset&amp;display_string=Audit"}</definedName>
    <definedName name="_1296__FDSAUDITLINK__" hidden="1">{"fdsup://Directions/FactSet Auditing Viewer?action=AUDIT_VALUE&amp;DB=129&amp;ID1=53271610&amp;VALUEID=02101&amp;SDATE=200602&amp;PERIODTYPE=QTR_STD&amp;window=popup_no_bar&amp;width=385&amp;height=120&amp;START_MAXIMIZED=FALSE&amp;creator=factset&amp;display_string=Audit"}</definedName>
    <definedName name="_1297__FDSAUDITLINK__" hidden="1">{"fdsup://Directions/FactSet Auditing Viewer?action=AUDIT_VALUE&amp;DB=129&amp;ID1=53271610&amp;VALUEID=01001&amp;SDATE=200602&amp;PERIODTYPE=QTR_STD&amp;window=popup_no_bar&amp;width=385&amp;height=120&amp;START_MAXIMIZED=FALSE&amp;creator=factset&amp;display_string=Audit"}</definedName>
    <definedName name="_1298__FDSAUDITLINK__" hidden="1">{"fdsup://Directions/FactSet Auditing Viewer?action=AUDIT_VALUE&amp;DB=129&amp;ID1=53271610&amp;VALUEID=13040&amp;SDATE=200602&amp;PERIODTYPE=QTR_STD&amp;window=popup_no_bar&amp;width=385&amp;height=120&amp;START_MAXIMIZED=FALSE&amp;creator=factset&amp;display_string=Audit"}</definedName>
    <definedName name="_1299__FDSAUDITLINK__" hidden="1">{"fdsup://Directions/FactSet Auditing Viewer?action=AUDIT_VALUE&amp;DB=129&amp;ID1=46612H40&amp;VALUEID=02101&amp;SDATE=200602&amp;PERIODTYPE=QTR_STD&amp;window=popup_no_bar&amp;width=385&amp;height=120&amp;START_MAXIMIZED=FALSE&amp;creator=factset&amp;display_string=Audit"}</definedName>
    <definedName name="_13__123Graph_XR_M_MARG" hidden="1">[1]P!$R$29:$AK$29</definedName>
    <definedName name="_13__FDSAUDITLINK__" hidden="1">{"fdsup://Directions/FactSet Auditing Viewer?action=AUDIT_VALUE&amp;DB=129&amp;ID1=91704710&amp;VALUEID=02101&amp;SDATE=201001&amp;PERIODTYPE=QTR_STD&amp;window=popup_no_bar&amp;width=385&amp;height=120&amp;START_MAXIMIZED=FALSE&amp;creator=factset&amp;display_string=Audit"}</definedName>
    <definedName name="_130__FDSAUDITLINK__" hidden="1">{"fdsup://Directions/FactSet Auditing Viewer?action=AUDIT_VALUE&amp;DB=129&amp;ID1=00786510&amp;VALUEID=02101&amp;SDATE=200803&amp;PERIODTYPE=QTR_STD&amp;window=popup_no_bar&amp;width=385&amp;height=120&amp;START_MAXIMIZED=FALSE&amp;creator=factset&amp;display_string=Audit"}</definedName>
    <definedName name="_1300__FDSAUDITLINK__" hidden="1">{"fdsup://Directions/FactSet Auditing Viewer?action=AUDIT_VALUE&amp;DB=129&amp;ID1=46612H40&amp;VALUEID=01001&amp;SDATE=200602&amp;PERIODTYPE=QTR_STD&amp;window=popup_no_bar&amp;width=385&amp;height=120&amp;START_MAXIMIZED=FALSE&amp;creator=factset&amp;display_string=Audit"}</definedName>
    <definedName name="_1301__FDSAUDITLINK__" hidden="1">{"fdsup://Directions/FactSet Auditing Viewer?action=AUDIT_VALUE&amp;DB=129&amp;ID1=46612H40&amp;VALUEID=13040&amp;SDATE=200602&amp;PERIODTYPE=QTR_STD&amp;window=popup_no_bar&amp;width=385&amp;height=120&amp;START_MAXIMIZED=FALSE&amp;creator=factset&amp;display_string=Audit"}</definedName>
    <definedName name="_1302__FDSAUDITLINK__" hidden="1">{"fdsup://Directions/FactSet Auditing Viewer?action=AUDIT_VALUE&amp;DB=129&amp;ID1=36476010&amp;VALUEID=02101&amp;SDATE=200602&amp;PERIODTYPE=QTR_STD&amp;window=popup_no_bar&amp;width=385&amp;height=120&amp;START_MAXIMIZED=FALSE&amp;creator=factset&amp;display_string=Audit"}</definedName>
    <definedName name="_1303__FDSAUDITLINK__" hidden="1">{"fdsup://Directions/FactSet Auditing Viewer?action=AUDIT_VALUE&amp;DB=129&amp;ID1=36476010&amp;VALUEID=01001&amp;SDATE=200602&amp;PERIODTYPE=QTR_STD&amp;window=popup_no_bar&amp;width=385&amp;height=120&amp;START_MAXIMIZED=FALSE&amp;creator=factset&amp;display_string=Audit"}</definedName>
    <definedName name="_1304__FDSAUDITLINK__" hidden="1">{"fdsup://Directions/FactSet Auditing Viewer?action=AUDIT_VALUE&amp;DB=129&amp;ID1=36476010&amp;VALUEID=13040&amp;SDATE=200602&amp;PERIODTYPE=QTR_STD&amp;window=popup_no_bar&amp;width=385&amp;height=120&amp;START_MAXIMIZED=FALSE&amp;creator=factset&amp;display_string=Audit"}</definedName>
    <definedName name="_1305__FDSAUDITLINK__" hidden="1">{"fdsup://Directions/FactSet Auditing Viewer?action=AUDIT_VALUE&amp;DB=129&amp;ID1=03611510&amp;VALUEID=02101&amp;SDATE=200602&amp;PERIODTYPE=QTR_STD&amp;window=popup_no_bar&amp;width=385&amp;height=120&amp;START_MAXIMIZED=FALSE&amp;creator=factset&amp;display_string=Audit"}</definedName>
    <definedName name="_1306__FDSAUDITLINK__" hidden="1">{"fdsup://Directions/FactSet Auditing Viewer?action=AUDIT_VALUE&amp;DB=129&amp;ID1=03611510&amp;VALUEID=01001&amp;SDATE=200602&amp;PERIODTYPE=QTR_STD&amp;window=popup_no_bar&amp;width=385&amp;height=120&amp;START_MAXIMIZED=FALSE&amp;creator=factset&amp;display_string=Audit"}</definedName>
    <definedName name="_1307__FDSAUDITLINK__" hidden="1">{"fdsup://Directions/FactSet Auditing Viewer?action=AUDIT_VALUE&amp;DB=129&amp;ID1=03611510&amp;VALUEID=13040&amp;SDATE=200602&amp;PERIODTYPE=QTR_STD&amp;window=popup_no_bar&amp;width=385&amp;height=120&amp;START_MAXIMIZED=FALSE&amp;creator=factset&amp;display_string=Audit"}</definedName>
    <definedName name="_1308__FDSAUDITLINK__" hidden="1">{"fdsup://Directions/FactSet Auditing Viewer?action=AUDIT_VALUE&amp;DB=129&amp;ID1=16890510&amp;VALUEID=02101&amp;SDATE=200602&amp;PERIODTYPE=QTR_STD&amp;window=popup_no_bar&amp;width=385&amp;height=120&amp;START_MAXIMIZED=FALSE&amp;creator=factset&amp;display_string=Audit"}</definedName>
    <definedName name="_1309__FDSAUDITLINK__" hidden="1">{"fdsup://Directions/FactSet Auditing Viewer?action=AUDIT_VALUE&amp;DB=129&amp;ID1=16890510&amp;VALUEID=01001&amp;SDATE=200602&amp;PERIODTYPE=QTR_STD&amp;window=popup_no_bar&amp;width=385&amp;height=120&amp;START_MAXIMIZED=FALSE&amp;creator=factset&amp;display_string=Audit"}</definedName>
    <definedName name="_131__FDSAUDITLINK__" hidden="1">{"fdsup://Directions/FactSet Auditing Viewer?action=AUDIT_VALUE&amp;DB=129&amp;ID1=00786510&amp;VALUEID=01001&amp;SDATE=200803&amp;PERIODTYPE=QTR_STD&amp;window=popup_no_bar&amp;width=385&amp;height=120&amp;START_MAXIMIZED=FALSE&amp;creator=factset&amp;display_string=Audit"}</definedName>
    <definedName name="_1310__FDSAUDITLINK__" hidden="1">{"fdsup://Directions/FactSet Auditing Viewer?action=AUDIT_VALUE&amp;DB=129&amp;ID1=91704710&amp;VALUEID=02101&amp;SDATE=200602&amp;PERIODTYPE=QTR_STD&amp;window=popup_no_bar&amp;width=385&amp;height=120&amp;START_MAXIMIZED=FALSE&amp;creator=factset&amp;display_string=Audit"}</definedName>
    <definedName name="_1311__FDSAUDITLINK__" hidden="1">{"fdsup://Directions/FactSet Auditing Viewer?action=AUDIT_VALUE&amp;DB=129&amp;ID1=91704710&amp;VALUEID=01001&amp;SDATE=200602&amp;PERIODTYPE=QTR_STD&amp;window=popup_no_bar&amp;width=385&amp;height=120&amp;START_MAXIMIZED=FALSE&amp;creator=factset&amp;display_string=Audit"}</definedName>
    <definedName name="_1312__FDSAUDITLINK__" hidden="1">{"fdsup://Directions/FactSet Auditing Viewer?action=AUDIT_VALUE&amp;DB=129&amp;ID1=91704710&amp;VALUEID=13040&amp;SDATE=200602&amp;PERIODTYPE=QTR_STD&amp;window=popup_no_bar&amp;width=385&amp;height=120&amp;START_MAXIMIZED=FALSE&amp;creator=factset&amp;display_string=Audit"}</definedName>
    <definedName name="_1313__FDSAUDITLINK__" hidden="1">{"fdsup://directions/FAT Viewer?action=UPDATE&amp;creator=factset&amp;DYN_ARGS=TRUE&amp;DOC_NAME=FAT:FQL_AUDITING_CLIENT_TEMPLATE.FAT&amp;display_string=Audit&amp;VAR:KEY=VUNQJUHWBQ&amp;VAR:QUERY=RkZfUlRfU0ZfVE9UX0dST1NTKFFUUiwtMTUp&amp;WINDOW=FIRST_POPUP&amp;HEIGHT=450&amp;WIDTH=450&amp;START_MA","XIMIZED=FALSE&amp;VAR:CALENDAR=US&amp;VAR:SYMBOL=AEO&amp;VAR:INDEX=0"}</definedName>
    <definedName name="_1314__FDSAUDITLINK__" hidden="1">{"fdsup://Directions/FactSet Auditing Viewer?action=AUDIT_VALUE&amp;DB=129&amp;ID1=00786510&amp;VALUEID=02101&amp;SDATE=200602&amp;PERIODTYPE=QTR_STD&amp;window=popup_no_bar&amp;width=385&amp;height=120&amp;START_MAXIMIZED=FALSE&amp;creator=factset&amp;display_string=Audit"}</definedName>
    <definedName name="_1315__FDSAUDITLINK__" hidden="1">{"fdsup://Directions/FactSet Auditing Viewer?action=AUDIT_VALUE&amp;DB=129&amp;ID1=00786510&amp;VALUEID=01001&amp;SDATE=200602&amp;PERIODTYPE=QTR_STD&amp;window=popup_no_bar&amp;width=385&amp;height=120&amp;START_MAXIMIZED=FALSE&amp;creator=factset&amp;display_string=Audit"}</definedName>
    <definedName name="_1316__FDSAUDITLINK__" hidden="1">{"fdsup://Directions/FactSet Auditing Viewer?action=AUDIT_VALUE&amp;DB=129&amp;ID1=00786510&amp;VALUEID=13040&amp;SDATE=200602&amp;PERIODTYPE=QTR_STD&amp;window=popup_no_bar&amp;width=385&amp;height=120&amp;START_MAXIMIZED=FALSE&amp;creator=factset&amp;display_string=Audit"}</definedName>
    <definedName name="_1317__FDSAUDITLINK__" hidden="1">{"fdsup://Directions/FactSet Auditing Viewer?action=AUDIT_VALUE&amp;DB=129&amp;ID1=00289620&amp;VALUEID=02101&amp;SDATE=200602&amp;PERIODTYPE=QTR_STD&amp;window=popup_no_bar&amp;width=385&amp;height=120&amp;START_MAXIMIZED=FALSE&amp;creator=factset&amp;display_string=Audit"}</definedName>
    <definedName name="_1318__FDSAUDITLINK__" hidden="1">{"fdsup://Directions/FactSet Auditing Viewer?action=AUDIT_VALUE&amp;DB=129&amp;ID1=00289620&amp;VALUEID=01001&amp;SDATE=200602&amp;PERIODTYPE=QTR_STD&amp;window=popup_no_bar&amp;width=385&amp;height=120&amp;START_MAXIMIZED=FALSE&amp;creator=factset&amp;display_string=Audit"}</definedName>
    <definedName name="_1319__FDSAUDITLINK__" hidden="1">{"fdsup://Directions/FactSet Auditing Viewer?action=AUDIT_VALUE&amp;DB=129&amp;ID1=00289620&amp;VALUEID=13040&amp;SDATE=200602&amp;PERIODTYPE=QTR_STD&amp;window=popup_no_bar&amp;width=385&amp;height=120&amp;START_MAXIMIZED=FALSE&amp;creator=factset&amp;display_string=Audit"}</definedName>
    <definedName name="_132__FDSAUDITLINK__" hidden="1">{"fdsup://Directions/FactSet Auditing Viewer?action=AUDIT_VALUE&amp;DB=129&amp;ID1=00786510&amp;VALUEID=13040&amp;SDATE=200803&amp;PERIODTYPE=QTR_STD&amp;window=popup_no_bar&amp;width=385&amp;height=120&amp;START_MAXIMIZED=FALSE&amp;creator=factset&amp;display_string=Audit"}</definedName>
    <definedName name="_1320__FDSAUDITLINK__" hidden="1">{"fdsup://Directions/FactSet Auditing Viewer?action=AUDIT_VALUE&amp;DB=129&amp;ID1=87416110&amp;VALUEID=02101&amp;SDATE=200601&amp;PERIODTYPE=QTR_STD&amp;window=popup_no_bar&amp;width=385&amp;height=120&amp;START_MAXIMIZED=FALSE&amp;creator=factset&amp;display_string=Audit"}</definedName>
    <definedName name="_1321__FDSAUDITLINK__" hidden="1">{"fdsup://Directions/FactSet Auditing Viewer?action=AUDIT_VALUE&amp;DB=129&amp;ID1=87416110&amp;VALUEID=01001&amp;SDATE=200601&amp;PERIODTYPE=QTR_STD&amp;window=popup_no_bar&amp;width=385&amp;height=120&amp;START_MAXIMIZED=FALSE&amp;creator=factset&amp;display_string=Audit"}</definedName>
    <definedName name="_1322__FDSAUDITLINK__" hidden="1">{"fdsup://Directions/FactSet Auditing Viewer?action=AUDIT_VALUE&amp;DB=129&amp;ID1=87416110&amp;VALUEID=13040&amp;SDATE=200601&amp;PERIODTYPE=QTR_STD&amp;window=popup_no_bar&amp;width=385&amp;height=120&amp;START_MAXIMIZED=FALSE&amp;creator=factset&amp;display_string=Audit"}</definedName>
    <definedName name="_1323__FDSAUDITLINK__" hidden="1">{"fdsup://directions/FAT Viewer?action=UPDATE&amp;creator=factset&amp;DYN_ARGS=TRUE&amp;DOC_NAME=FAT:FQL_AUDITING_CLIENT_TEMPLATE.FAT&amp;display_string=Audit&amp;VAR:KEY=NUZUBWRSBA&amp;VAR:QUERY=RkZfUlRfU0ZfVE9UX0dST1NTKFFUUiwtMTYp&amp;WINDOW=FIRST_POPUP&amp;HEIGHT=450&amp;WIDTH=450&amp;START_MA","XIMIZED=FALSE&amp;VAR:CALENDAR=US&amp;VAR:SYMBOL=TLB&amp;VAR:INDEX=0"}</definedName>
    <definedName name="_1324__FDSAUDITLINK__" hidden="1">{"fdsup://Directions/FactSet Auditing Viewer?action=AUDIT_VALUE&amp;DB=129&amp;ID1=53271610&amp;VALUEID=02101&amp;SDATE=200601&amp;PERIODTYPE=QTR_STD&amp;window=popup_no_bar&amp;width=385&amp;height=120&amp;START_MAXIMIZED=FALSE&amp;creator=factset&amp;display_string=Audit"}</definedName>
    <definedName name="_1325__FDSAUDITLINK__" hidden="1">{"fdsup://Directions/FactSet Auditing Viewer?action=AUDIT_VALUE&amp;DB=129&amp;ID1=53271610&amp;VALUEID=01001&amp;SDATE=200601&amp;PERIODTYPE=QTR_STD&amp;window=popup_no_bar&amp;width=385&amp;height=120&amp;START_MAXIMIZED=FALSE&amp;creator=factset&amp;display_string=Audit"}</definedName>
    <definedName name="_1326__FDSAUDITLINK__" hidden="1">{"fdsup://Directions/FactSet Auditing Viewer?action=AUDIT_VALUE&amp;DB=129&amp;ID1=53271610&amp;VALUEID=13040&amp;SDATE=200601&amp;PERIODTYPE=QTR_STD&amp;window=popup_no_bar&amp;width=385&amp;height=120&amp;START_MAXIMIZED=FALSE&amp;creator=factset&amp;display_string=Audit"}</definedName>
    <definedName name="_1327__FDSAUDITLINK__" hidden="1">{"fdsup://Directions/FactSet Auditing Viewer?action=AUDIT_VALUE&amp;DB=129&amp;ID1=46612H40&amp;VALUEID=02101&amp;SDATE=200601&amp;PERIODTYPE=QTR_STD&amp;window=popup_no_bar&amp;width=385&amp;height=120&amp;START_MAXIMIZED=FALSE&amp;creator=factset&amp;display_string=Audit"}</definedName>
    <definedName name="_1328__FDSAUDITLINK__" hidden="1">{"fdsup://Directions/FactSet Auditing Viewer?action=AUDIT_VALUE&amp;DB=129&amp;ID1=46612H40&amp;VALUEID=01001&amp;SDATE=200601&amp;PERIODTYPE=QTR_STD&amp;window=popup_no_bar&amp;width=385&amp;height=120&amp;START_MAXIMIZED=FALSE&amp;creator=factset&amp;display_string=Audit"}</definedName>
    <definedName name="_1329__FDSAUDITLINK__" hidden="1">{"fdsup://Directions/FactSet Auditing Viewer?action=AUDIT_VALUE&amp;DB=129&amp;ID1=46612H40&amp;VALUEID=13040&amp;SDATE=200601&amp;PERIODTYPE=QTR_STD&amp;window=popup_no_bar&amp;width=385&amp;height=120&amp;START_MAXIMIZED=FALSE&amp;creator=factset&amp;display_string=Audit"}</definedName>
    <definedName name="_133__FDSAUDITLINK__" hidden="1">{"fdsup://Directions/FactSet Auditing Viewer?action=AUDIT_VALUE&amp;DB=129&amp;ID1=00289620&amp;VALUEID=02101&amp;SDATE=200803&amp;PERIODTYPE=QTR_STD&amp;window=popup_no_bar&amp;width=385&amp;height=120&amp;START_MAXIMIZED=FALSE&amp;creator=factset&amp;display_string=Audit"}</definedName>
    <definedName name="_1330__FDSAUDITLINK__" hidden="1">{"fdsup://Directions/FactSet Auditing Viewer?action=AUDIT_VALUE&amp;DB=129&amp;ID1=36476010&amp;VALUEID=02101&amp;SDATE=200601&amp;PERIODTYPE=QTR_STD&amp;window=popup_no_bar&amp;width=385&amp;height=120&amp;START_MAXIMIZED=FALSE&amp;creator=factset&amp;display_string=Audit"}</definedName>
    <definedName name="_1331__FDSAUDITLINK__" hidden="1">{"fdsup://Directions/FactSet Auditing Viewer?action=AUDIT_VALUE&amp;DB=129&amp;ID1=36476010&amp;VALUEID=01001&amp;SDATE=200601&amp;PERIODTYPE=QTR_STD&amp;window=popup_no_bar&amp;width=385&amp;height=120&amp;START_MAXIMIZED=FALSE&amp;creator=factset&amp;display_string=Audit"}</definedName>
    <definedName name="_1332__FDSAUDITLINK__" hidden="1">{"fdsup://Directions/FactSet Auditing Viewer?action=AUDIT_VALUE&amp;DB=129&amp;ID1=36476010&amp;VALUEID=13040&amp;SDATE=200601&amp;PERIODTYPE=QTR_STD&amp;window=popup_no_bar&amp;width=385&amp;height=120&amp;START_MAXIMIZED=FALSE&amp;creator=factset&amp;display_string=Audit"}</definedName>
    <definedName name="_1333__FDSAUDITLINK__" hidden="1">{"fdsup://Directions/FactSet Auditing Viewer?action=AUDIT_VALUE&amp;DB=129&amp;ID1=03611510&amp;VALUEID=02101&amp;SDATE=200601&amp;PERIODTYPE=QTR_STD&amp;window=popup_no_bar&amp;width=385&amp;height=120&amp;START_MAXIMIZED=FALSE&amp;creator=factset&amp;display_string=Audit"}</definedName>
    <definedName name="_1334__FDSAUDITLINK__" hidden="1">{"fdsup://Directions/FactSet Auditing Viewer?action=AUDIT_VALUE&amp;DB=129&amp;ID1=03611510&amp;VALUEID=13040&amp;SDATE=200601&amp;PERIODTYPE=QTR_STD&amp;window=popup_no_bar&amp;width=385&amp;height=120&amp;START_MAXIMIZED=FALSE&amp;creator=factset&amp;display_string=Audit"}</definedName>
    <definedName name="_1335__FDSAUDITLINK__" hidden="1">{"fdsup://Directions/FactSet Auditing Viewer?action=AUDIT_VALUE&amp;DB=129&amp;ID1=16890510&amp;VALUEID=02101&amp;SDATE=200601&amp;PERIODTYPE=QTR_STD&amp;window=popup_no_bar&amp;width=385&amp;height=120&amp;START_MAXIMIZED=FALSE&amp;creator=factset&amp;display_string=Audit"}</definedName>
    <definedName name="_1336__FDSAUDITLINK__" hidden="1">{"fdsup://Directions/FactSet Auditing Viewer?action=AUDIT_VALUE&amp;DB=129&amp;ID1=16890510&amp;VALUEID=01001&amp;SDATE=200601&amp;PERIODTYPE=QTR_STD&amp;window=popup_no_bar&amp;width=385&amp;height=120&amp;START_MAXIMIZED=FALSE&amp;creator=factset&amp;display_string=Audit"}</definedName>
    <definedName name="_1337__FDSAUDITLINK__" hidden="1">{"fdsup://Directions/FactSet Auditing Viewer?action=AUDIT_VALUE&amp;DB=129&amp;ID1=91704710&amp;VALUEID=02101&amp;SDATE=200601&amp;PERIODTYPE=QTR_STD&amp;window=popup_no_bar&amp;width=385&amp;height=120&amp;START_MAXIMIZED=FALSE&amp;creator=factset&amp;display_string=Audit"}</definedName>
    <definedName name="_1338__FDSAUDITLINK__" hidden="1">{"fdsup://Directions/FactSet Auditing Viewer?action=AUDIT_VALUE&amp;DB=129&amp;ID1=91704710&amp;VALUEID=01001&amp;SDATE=200601&amp;PERIODTYPE=QTR_STD&amp;window=popup_no_bar&amp;width=385&amp;height=120&amp;START_MAXIMIZED=FALSE&amp;creator=factset&amp;display_string=Audit"}</definedName>
    <definedName name="_1339__FDSAUDITLINK__" hidden="1">{"fdsup://Directions/FactSet Auditing Viewer?action=AUDIT_VALUE&amp;DB=129&amp;ID1=91704710&amp;VALUEID=13040&amp;SDATE=200601&amp;PERIODTYPE=QTR_STD&amp;window=popup_no_bar&amp;width=385&amp;height=120&amp;START_MAXIMIZED=FALSE&amp;creator=factset&amp;display_string=Audit"}</definedName>
    <definedName name="_134__FDSAUDITLINK__" hidden="1">{"fdsup://Directions/FactSet Auditing Viewer?action=AUDIT_VALUE&amp;DB=129&amp;ID1=00289620&amp;VALUEID=01001&amp;SDATE=200803&amp;PERIODTYPE=QTR_STD&amp;window=popup_no_bar&amp;width=385&amp;height=120&amp;START_MAXIMIZED=FALSE&amp;creator=factset&amp;display_string=Audit"}</definedName>
    <definedName name="_1340__FDSAUDITLINK__" hidden="1">{"fdsup://Directions/FactSet Auditing Viewer?action=AUDIT_VALUE&amp;DB=129&amp;ID1=02553E10&amp;VALUEID=02101&amp;SDATE=200601&amp;PERIODTYPE=QTR_STD&amp;window=popup_no_bar&amp;width=385&amp;height=120&amp;START_MAXIMIZED=FALSE&amp;creator=factset&amp;display_string=Audit"}</definedName>
    <definedName name="_1341__FDSAUDITLINK__" hidden="1">{"fdsup://Directions/FactSet Auditing Viewer?action=AUDIT_VALUE&amp;DB=129&amp;ID1=02553E10&amp;VALUEID=01001&amp;SDATE=200601&amp;PERIODTYPE=QTR_STD&amp;window=popup_no_bar&amp;width=385&amp;height=120&amp;START_MAXIMIZED=FALSE&amp;creator=factset&amp;display_string=Audit"}</definedName>
    <definedName name="_1342__FDSAUDITLINK__" hidden="1">{"fdsup://Directions/FactSet Auditing Viewer?action=AUDIT_VALUE&amp;DB=129&amp;ID1=02553E10&amp;VALUEID=13040&amp;SDATE=200601&amp;PERIODTYPE=QTR_STD&amp;window=popup_no_bar&amp;width=385&amp;height=120&amp;START_MAXIMIZED=FALSE&amp;creator=factset&amp;display_string=Audit"}</definedName>
    <definedName name="_1343__FDSAUDITLINK__" hidden="1">{"fdsup://directions/FAT Viewer?action=UPDATE&amp;creator=factset&amp;DYN_ARGS=TRUE&amp;DOC_NAME=FAT:FQL_AUDITING_CLIENT_TEMPLATE.FAT&amp;display_string=Audit&amp;VAR:KEY=RUROHMBELS&amp;VAR:QUERY=RkZfUlRfU0ZfVE9UX0dST1NTKFFUUiwtMTYp&amp;WINDOW=FIRST_POPUP&amp;HEIGHT=450&amp;WIDTH=450&amp;START_MA","XIMIZED=FALSE&amp;VAR:CALENDAR=US&amp;VAR:SYMBOL=AEO&amp;VAR:INDEX=0"}</definedName>
    <definedName name="_1344__FDSAUDITLINK__" hidden="1">{"fdsup://Directions/FactSet Auditing Viewer?action=AUDIT_VALUE&amp;DB=129&amp;ID1=00786510&amp;VALUEID=02101&amp;SDATE=200601&amp;PERIODTYPE=QTR_STD&amp;window=popup_no_bar&amp;width=385&amp;height=120&amp;START_MAXIMIZED=FALSE&amp;creator=factset&amp;display_string=Audit"}</definedName>
    <definedName name="_1345__FDSAUDITLINK__" hidden="1">{"fdsup://Directions/FactSet Auditing Viewer?action=AUDIT_VALUE&amp;DB=129&amp;ID1=00786510&amp;VALUEID=01001&amp;SDATE=200601&amp;PERIODTYPE=QTR_STD&amp;window=popup_no_bar&amp;width=385&amp;height=120&amp;START_MAXIMIZED=FALSE&amp;creator=factset&amp;display_string=Audit"}</definedName>
    <definedName name="_1346__FDSAUDITLINK__" hidden="1">{"fdsup://Directions/FactSet Auditing Viewer?action=AUDIT_VALUE&amp;DB=129&amp;ID1=00786510&amp;VALUEID=13040&amp;SDATE=200601&amp;PERIODTYPE=QTR_STD&amp;window=popup_no_bar&amp;width=385&amp;height=120&amp;START_MAXIMIZED=FALSE&amp;creator=factset&amp;display_string=Audit"}</definedName>
    <definedName name="_1347__FDSAUDITLINK__" hidden="1">{"fdsup://Directions/FactSet Auditing Viewer?action=AUDIT_VALUE&amp;DB=129&amp;ID1=00289620&amp;VALUEID=02101&amp;SDATE=200601&amp;PERIODTYPE=QTR_STD&amp;window=popup_no_bar&amp;width=385&amp;height=120&amp;START_MAXIMIZED=FALSE&amp;creator=factset&amp;display_string=Audit"}</definedName>
    <definedName name="_1348__FDSAUDITLINK__" hidden="1">{"fdsup://Directions/FactSet Auditing Viewer?action=AUDIT_VALUE&amp;DB=129&amp;ID1=00289620&amp;VALUEID=01001&amp;SDATE=200601&amp;PERIODTYPE=QTR_STD&amp;window=popup_no_bar&amp;width=385&amp;height=120&amp;START_MAXIMIZED=FALSE&amp;creator=factset&amp;display_string=Audit"}</definedName>
    <definedName name="_1349__FDSAUDITLINK__" hidden="1">{"fdsup://Directions/FactSet Auditing Viewer?action=AUDIT_VALUE&amp;DB=129&amp;ID1=00289620&amp;VALUEID=13040&amp;SDATE=200601&amp;PERIODTYPE=QTR_STD&amp;window=popup_no_bar&amp;width=385&amp;height=120&amp;START_MAXIMIZED=FALSE&amp;creator=factset&amp;display_string=Audit"}</definedName>
    <definedName name="_135__FDSAUDITLINK__" hidden="1">{"fdsup://Directions/FactSet Auditing Viewer?action=AUDIT_VALUE&amp;DB=129&amp;ID1=00289620&amp;VALUEID=13040&amp;SDATE=200803&amp;PERIODTYPE=QTR_STD&amp;window=popup_no_bar&amp;width=385&amp;height=120&amp;START_MAXIMIZED=FALSE&amp;creator=factset&amp;display_string=Audit"}</definedName>
    <definedName name="_1350__FDSAUDITLINK__" hidden="1">{"fdsup://directions/FAT Viewer?action=UPDATE&amp;creator=factset&amp;DYN_ARGS=TRUE&amp;DOC_NAME=FAT:FQL_AUDITING_CLIENT_TEMPLATE.FAT&amp;display_string=Audit&amp;VAR:KEY=NKDWDYVSJA&amp;VAR:QUERY=RkZfUlRfU0ZfVE9UX0dST1NTKFFUUiwtMTcp&amp;WINDOW=FIRST_POPUP&amp;HEIGHT=450&amp;WIDTH=450&amp;START_MA","XIMIZED=FALSE&amp;VAR:CALENDAR=US&amp;VAR:SYMBOL=TLB&amp;VAR:INDEX=0"}</definedName>
    <definedName name="_1351__FDSAUDITLINK__" hidden="1">{"fdsup://directions/FAT Viewer?action=UPDATE&amp;creator=factset&amp;DYN_ARGS=TRUE&amp;DOC_NAME=FAT:FQL_AUDITING_CLIENT_TEMPLATE.FAT&amp;display_string=Audit&amp;VAR:KEY=DEZSPEHMVA&amp;VAR:QUERY=RkZfUlRfU0ZfVE9UX0dST1NTKFFUUiwtMTcp&amp;WINDOW=FIRST_POPUP&amp;HEIGHT=450&amp;WIDTH=450&amp;START_MA","XIMIZED=FALSE&amp;VAR:CALENDAR=US&amp;VAR:SYMBOL=AEO&amp;VAR:INDEX=0"}</definedName>
    <definedName name="_1352__FDSAUDITLINK__" hidden="1">{"fdsup://directions/FAT Viewer?action=UPDATE&amp;creator=factset&amp;DYN_ARGS=TRUE&amp;DOC_NAME=FAT:FQL_AUDITING_CLIENT_TEMPLATE.FAT&amp;display_string=Audit&amp;VAR:KEY=TURKDOPIZG&amp;VAR:QUERY=RkZfUlRfU0ZfVE9UX0dST1NTKFFUUiwtMTgp&amp;WINDOW=FIRST_POPUP&amp;HEIGHT=450&amp;WIDTH=450&amp;START_MA","XIMIZED=FALSE&amp;VAR:CALENDAR=US&amp;VAR:SYMBOL=TLB&amp;VAR:INDEX=0"}</definedName>
    <definedName name="_1353__FDSAUDITLINK__" hidden="1">{"fdsup://Directions/FactSet Auditing Viewer?action=AUDIT_VALUE&amp;DB=129&amp;ID1=03611510&amp;VALUEID=13040&amp;SDATE=200503&amp;PERIODTYPE=QTR_STD&amp;window=popup_no_bar&amp;width=385&amp;height=120&amp;START_MAXIMIZED=FALSE&amp;creator=factset&amp;display_string=Audit"}</definedName>
    <definedName name="_1354__FDSAUDITLINK__" hidden="1">{"fdsup://directions/FAT Viewer?action=UPDATE&amp;creator=factset&amp;DYN_ARGS=TRUE&amp;DOC_NAME=FAT:FQL_AUDITING_CLIENT_TEMPLATE.FAT&amp;display_string=Audit&amp;VAR:KEY=NUJIDQTCDM&amp;VAR:QUERY=RkZfUlRfU0ZfVE9UX0dST1NTKFFUUiwtMTgp&amp;WINDOW=FIRST_POPUP&amp;HEIGHT=450&amp;WIDTH=450&amp;START_MA","XIMIZED=FALSE&amp;VAR:CALENDAR=US&amp;VAR:SYMBOL=AEO&amp;VAR:INDEX=0"}</definedName>
    <definedName name="_1355__FDSAUDITLINK__" hidden="1">{"fdsup://directions/FAT Viewer?action=UPDATE&amp;creator=factset&amp;DYN_ARGS=TRUE&amp;DOC_NAME=FAT:FQL_AUDITING_CLIENT_TEMPLATE.FAT&amp;display_string=Audit&amp;VAR:KEY=HIHSXILWDI&amp;VAR:QUERY=RkZfUlRfU0ZfVE9UX0dST1NTKFFUUiwtMTkp&amp;WINDOW=FIRST_POPUP&amp;HEIGHT=450&amp;WIDTH=450&amp;START_MA","XIMIZED=FALSE&amp;VAR:CALENDAR=US&amp;VAR:SYMBOL=TLB&amp;VAR:INDEX=0"}</definedName>
    <definedName name="_1356__FDSAUDITLINK__" hidden="1">{"fdsup://Directions/FactSet Auditing Viewer?action=AUDIT_VALUE&amp;DB=129&amp;ID1=03611510&amp;VALUEID=13040&amp;SDATE=200502&amp;PERIODTYPE=QTR_STD&amp;window=popup_no_bar&amp;width=385&amp;height=120&amp;START_MAXIMIZED=FALSE&amp;creator=factset&amp;display_string=Audit"}</definedName>
    <definedName name="_1357__FDSAUDITLINK__" hidden="1">{"fdsup://directions/FAT Viewer?action=UPDATE&amp;creator=factset&amp;DYN_ARGS=TRUE&amp;DOC_NAME=FAT:FQL_AUDITING_CLIENT_TEMPLATE.FAT&amp;display_string=Audit&amp;VAR:KEY=BKDCTGPMZY&amp;VAR:QUERY=RkZfUlRfU0ZfVE9UX0dST1NTKFFUUiwtMTkp&amp;WINDOW=FIRST_POPUP&amp;HEIGHT=450&amp;WIDTH=450&amp;START_MA","XIMIZED=FALSE&amp;VAR:CALENDAR=US&amp;VAR:SYMBOL=AEO&amp;VAR:INDEX=0"}</definedName>
    <definedName name="_1358__FDSAUDITLINK__" hidden="1">{"fdsup://directions/FAT Viewer?action=UPDATE&amp;creator=factset&amp;DYN_ARGS=TRUE&amp;DOC_NAME=FAT:FQL_AUDITING_CLIENT_TEMPLATE.FAT&amp;display_string=Audit&amp;VAR:KEY=VABGPMHULC&amp;VAR:QUERY=RkZfUlRfU0ZfVE9UX0dST1NTKFFUUiwtMjAp&amp;WINDOW=FIRST_POPUP&amp;HEIGHT=450&amp;WIDTH=450&amp;START_MA","XIMIZED=FALSE&amp;VAR:CALENDAR=US&amp;VAR:SYMBOL=TLB&amp;VAR:INDEX=0"}</definedName>
    <definedName name="_1359__FDSAUDITLINK__" hidden="1">{"fdsup://Directions/FactSet Auditing Viewer?action=AUDIT_VALUE&amp;DB=129&amp;ID1=03611510&amp;VALUEID=13040&amp;SDATE=200501&amp;PERIODTYPE=QTR_STD&amp;window=popup_no_bar&amp;width=385&amp;height=120&amp;START_MAXIMIZED=FALSE&amp;creator=factset&amp;display_string=Audit"}</definedName>
    <definedName name="_136__FDSAUDITLINK__" hidden="1">{"fdsup://Directions/FactSet Auditing Viewer?action=AUDIT_VALUE&amp;DB=129&amp;ID1=87416110&amp;VALUEID=02101&amp;SDATE=200802&amp;PERIODTYPE=QTR_STD&amp;window=popup_no_bar&amp;width=385&amp;height=120&amp;START_MAXIMIZED=FALSE&amp;creator=factset&amp;display_string=Audit"}</definedName>
    <definedName name="_1360__FDSAUDITLINK__" hidden="1">{"fdsup://directions/FAT Viewer?action=UPDATE&amp;creator=factset&amp;DYN_ARGS=TRUE&amp;DOC_NAME=FAT:FQL_AUDITING_CLIENT_TEMPLATE.FAT&amp;display_string=Audit&amp;VAR:KEY=VMROTQVYPS&amp;VAR:QUERY=RkZfUlRfU0ZfVE9UX0dST1NTKFFUUiwtMjAp&amp;WINDOW=FIRST_POPUP&amp;HEIGHT=450&amp;WIDTH=450&amp;START_MA","XIMIZED=FALSE&amp;VAR:CALENDAR=US&amp;VAR:SYMBOL=AEO&amp;VAR:INDEX=0"}</definedName>
    <definedName name="_1361__FDSAUDITLINK__" hidden="1">{"fdsup://Directions/FactSet Auditing Viewer?action=AUDIT_VALUE&amp;DB=129&amp;ID1=16890510&amp;VALUEID=13040&amp;SDATE=200602&amp;PERIODTYPE=QTR_STD&amp;window=popup_no_bar&amp;width=385&amp;height=120&amp;START_MAXIMIZED=FALSE&amp;creator=factset&amp;display_string=Audit"}</definedName>
    <definedName name="_1362__FDSAUDITLINK__" hidden="1">{"fdsup://Directions/FactSet Auditing Viewer?action=AUDIT_VALUE&amp;DB=129&amp;ID1=16890510&amp;VALUEID=13040&amp;SDATE=200601&amp;PERIODTYPE=QTR_STD&amp;window=popup_no_bar&amp;width=385&amp;height=120&amp;START_MAXIMIZED=FALSE&amp;creator=factset&amp;display_string=Audit"}</definedName>
    <definedName name="_1363__FDSAUDITLINK__" hidden="1">{"fdsup://Directions/FactSet Auditing Viewer?action=AUDIT_VALUE&amp;DB=129&amp;ID1=16890510&amp;VALUEID=13040&amp;SDATE=200603&amp;PERIODTYPE=QTR_STD&amp;window=popup_no_bar&amp;width=385&amp;height=120&amp;START_MAXIMIZED=FALSE&amp;creator=factset&amp;display_string=Audit"}</definedName>
    <definedName name="_1364__FDSAUDITLINK__" hidden="1">{"fdsup://Directions/FactSet Auditing Viewer?action=AUDIT_VALUE&amp;DB=129&amp;ID1=16890510&amp;VALUEID=13040&amp;SDATE=200702&amp;PERIODTYPE=QTR_STD&amp;window=popup_no_bar&amp;width=385&amp;height=120&amp;START_MAXIMIZED=FALSE&amp;creator=factset&amp;display_string=Audit"}</definedName>
    <definedName name="_1365__FDSAUDITLINK__" hidden="1">{"fdsup://Directions/FactSet Auditing Viewer?action=AUDIT_VALUE&amp;DB=129&amp;ID1=16890510&amp;VALUEID=13040&amp;SDATE=200701&amp;PERIODTYPE=QTR_STD&amp;window=popup_no_bar&amp;width=385&amp;height=120&amp;START_MAXIMIZED=FALSE&amp;creator=factset&amp;display_string=Audit"}</definedName>
    <definedName name="_1366__FDSAUDITLINK__" hidden="1">{"fdsup://Directions/FactSet Auditing Viewer?action=AUDIT_VALUE&amp;DB=129&amp;ID1=16890510&amp;VALUEID=13040&amp;SDATE=200703&amp;PERIODTYPE=QTR_STD&amp;window=popup_no_bar&amp;width=385&amp;height=120&amp;START_MAXIMIZED=FALSE&amp;creator=factset&amp;display_string=Audit"}</definedName>
    <definedName name="_1367__FDSAUDITLINK__" hidden="1">{"fdsup://Directions/FactSet Auditing Viewer?action=AUDIT_VALUE&amp;DB=129&amp;ID1=16890510&amp;VALUEID=13040&amp;SDATE=200802&amp;PERIODTYPE=QTR_STD&amp;window=popup_no_bar&amp;width=385&amp;height=120&amp;START_MAXIMIZED=FALSE&amp;creator=factset&amp;display_string=Audit"}</definedName>
    <definedName name="_1368__FDSAUDITLINK__" hidden="1">{"fdsup://Directions/FactSet Auditing Viewer?action=AUDIT_VALUE&amp;DB=129&amp;ID1=16890510&amp;VALUEID=13040&amp;SDATE=200801&amp;PERIODTYPE=QTR_STD&amp;window=popup_no_bar&amp;width=385&amp;height=120&amp;START_MAXIMIZED=FALSE&amp;creator=factset&amp;display_string=Audit"}</definedName>
    <definedName name="_1369__FDSAUDITLINK__" hidden="1">{"fdsup://Directions/FactSet Auditing Viewer?action=AUDIT_VALUE&amp;DB=129&amp;ID1=16890510&amp;VALUEID=13040&amp;SDATE=200803&amp;PERIODTYPE=QTR_STD&amp;window=popup_no_bar&amp;width=385&amp;height=120&amp;START_MAXIMIZED=FALSE&amp;creator=factset&amp;display_string=Audit"}</definedName>
    <definedName name="_137__FDSAUDITLINK__" hidden="1">{"fdsup://Directions/FactSet Auditing Viewer?action=AUDIT_VALUE&amp;DB=129&amp;ID1=87416110&amp;VALUEID=01001&amp;SDATE=200802&amp;PERIODTYPE=QTR_STD&amp;window=popup_no_bar&amp;width=385&amp;height=120&amp;START_MAXIMIZED=FALSE&amp;creator=factset&amp;display_string=Audit"}</definedName>
    <definedName name="_1370__FDSAUDITLINK__" hidden="1">{"fdsup://Directions/FactSet Auditing Viewer?action=AUDIT_VALUE&amp;DB=129&amp;ID1=16890510&amp;VALUEID=13040&amp;SDATE=200902&amp;PERIODTYPE=QTR_STD&amp;window=popup_no_bar&amp;width=385&amp;height=120&amp;START_MAXIMIZED=FALSE&amp;creator=factset&amp;display_string=Audit"}</definedName>
    <definedName name="_1371__FDSAUDITLINK__" hidden="1">{"fdsup://Directions/FactSet Auditing Viewer?action=AUDIT_VALUE&amp;DB=129&amp;ID1=16890510&amp;VALUEID=13040&amp;SDATE=200903&amp;PERIODTYPE=QTR_STD&amp;window=popup_no_bar&amp;width=385&amp;height=120&amp;START_MAXIMIZED=FALSE&amp;creator=factset&amp;display_string=Audit"}</definedName>
    <definedName name="_1372__FDSAUDITLINK__" hidden="1">{"fdsup://Directions/FactSet Auditing Viewer?action=AUDIT_VALUE&amp;DB=129&amp;ID1=16890510&amp;VALUEID=13040&amp;SDATE=201001&amp;PERIODTYPE=QTR_STD&amp;window=popup_no_bar&amp;width=385&amp;height=120&amp;START_MAXIMIZED=FALSE&amp;creator=factset&amp;display_string=Audit"}</definedName>
    <definedName name="_1373__FDSAUDITLINK__" hidden="1">{"fdsup://Directions/FactSet Auditing Viewer?action=AUDIT_VALUE&amp;DB=129&amp;ID1=87416110&amp;VALUEID=01001&amp;SDATE=201001&amp;PERIODTYPE=QTR_STD&amp;window=popup_no_bar&amp;width=385&amp;height=120&amp;START_MAXIMIZED=FALSE&amp;creator=factset&amp;display_string=Audit"}</definedName>
    <definedName name="_1374__FDSAUDITLINK__" hidden="1">{"fdsup://Directions/FactSet Auditing Viewer?action=AUDIT_VALUE&amp;DB=129&amp;ID1=46612H40&amp;VALUEID=01001&amp;SDATE=201001&amp;PERIODTYPE=QTR_STD&amp;window=popup_no_bar&amp;width=385&amp;height=120&amp;START_MAXIMIZED=FALSE&amp;creator=factset&amp;display_string=Audit"}</definedName>
    <definedName name="_1375__FDSAUDITLINK__" hidden="1">{"fdsup://Directions/FactSet Auditing Viewer?action=AUDIT_VALUE&amp;DB=129&amp;ID1=03611510&amp;VALUEID=01001&amp;SDATE=201001&amp;PERIODTYPE=QTR_STD&amp;window=popup_no_bar&amp;width=385&amp;height=120&amp;START_MAXIMIZED=FALSE&amp;creator=factset&amp;display_string=Audit"}</definedName>
    <definedName name="_1376__FDSAUDITLINK__" hidden="1">{"fdsup://Directions/FactSet Auditing Viewer?action=AUDIT_VALUE&amp;DB=129&amp;ID1=16890510&amp;VALUEID=01001&amp;SDATE=201001&amp;PERIODTYPE=QTR_STD&amp;window=popup_no_bar&amp;width=385&amp;height=120&amp;START_MAXIMIZED=FALSE&amp;creator=factset&amp;display_string=Audit"}</definedName>
    <definedName name="_1377__FDSAUDITLINK__" hidden="1">{"fdsup://Directions/FactSet Auditing Viewer?action=AUDIT_VALUE&amp;DB=129&amp;ID1=91704710&amp;VALUEID=01001&amp;SDATE=201001&amp;PERIODTYPE=QTR_STD&amp;window=popup_no_bar&amp;width=385&amp;height=120&amp;START_MAXIMIZED=FALSE&amp;creator=factset&amp;display_string=Audit"}</definedName>
    <definedName name="_1378__FDSAUDITLINK__" hidden="1">{"fdsup://Directions/FactSet Auditing Viewer?action=AUDIT_VALUE&amp;DB=129&amp;ID1=02553E10&amp;VALUEID=01001&amp;SDATE=201001&amp;PERIODTYPE=QTR_STD&amp;window=popup_no_bar&amp;width=385&amp;height=120&amp;START_MAXIMIZED=FALSE&amp;creator=factset&amp;display_string=Audit"}</definedName>
    <definedName name="_1379__FDSAUDITLINK__" hidden="1">{"fdsup://Directions/FactSet Auditing Viewer?action=AUDIT_VALUE&amp;DB=129&amp;ID1=00786510&amp;VALUEID=01001&amp;SDATE=201001&amp;PERIODTYPE=QTR_STD&amp;window=popup_no_bar&amp;width=385&amp;height=120&amp;START_MAXIMIZED=FALSE&amp;creator=factset&amp;display_string=Audit"}</definedName>
    <definedName name="_138__FDSAUDITLINK__" hidden="1">{"fdsup://Directions/FactSet Auditing Viewer?action=AUDIT_VALUE&amp;DB=129&amp;ID1=53271610&amp;VALUEID=02101&amp;SDATE=200802&amp;PERIODTYPE=QTR_STD&amp;window=popup_no_bar&amp;width=385&amp;height=120&amp;START_MAXIMIZED=FALSE&amp;creator=factset&amp;display_string=Audit"}</definedName>
    <definedName name="_1380__FDSAUDITLINK__" hidden="1">{"fdsup://Directions/FactSet Auditing Viewer?action=AUDIT_VALUE&amp;DB=129&amp;ID1=00289620&amp;VALUEID=01001&amp;SDATE=201001&amp;PERIODTYPE=QTR_STD&amp;window=popup_no_bar&amp;width=385&amp;height=120&amp;START_MAXIMIZED=FALSE&amp;creator=factset&amp;display_string=Audit"}</definedName>
    <definedName name="_1381__FDSAUDITLINK__" hidden="1">{"fdsup://Directions/FactSet Auditing Viewer?action=AUDIT_VALUE&amp;DB=129&amp;ID1=53271610&amp;VALUEID=01001&amp;SDATE=201001&amp;PERIODTYPE=QTR_STD&amp;window=popup_no_bar&amp;width=385&amp;height=120&amp;START_MAXIMIZED=FALSE&amp;creator=factset&amp;display_string=Audit"}</definedName>
    <definedName name="_1382__FDSAUDITLINK__" hidden="1">{"fdsup://Directions/FactSet Auditing Viewer?action=AUDIT_VALUE&amp;DB=129&amp;ID1=36476010&amp;VALUEID=01001&amp;SDATE=201001&amp;PERIODTYPE=QTR_STD&amp;window=popup_no_bar&amp;width=385&amp;height=120&amp;START_MAXIMIZED=FALSE&amp;creator=factset&amp;display_string=Audit"}</definedName>
    <definedName name="_1383__FDSAUDITLINK__" hidden="1">{"fdsup://Directions/FactSet Auditing Viewer?action=AUDIT_VALUE&amp;DB=129&amp;ID1=40377710&amp;VALUEID=01001&amp;SDATE=200601&amp;PERIODTYPE=QTR_STD&amp;window=popup_no_bar&amp;width=385&amp;height=120&amp;START_MAXIMIZED=FALSE&amp;creator=factset&amp;display_string=Audit"}</definedName>
    <definedName name="_1384__FDSAUDITLINK__" hidden="1">{"fdsup://Directions/FactSet Auditing Viewer?action=AUDIT_VALUE&amp;DB=129&amp;ID1=40377710&amp;VALUEID=02101&amp;SDATE=200601&amp;PERIODTYPE=QTR_STD&amp;window=popup_no_bar&amp;width=385&amp;height=120&amp;START_MAXIMIZED=FALSE&amp;creator=factset&amp;display_string=Audit"}</definedName>
    <definedName name="_1385__FDSAUDITLINK__" hidden="1">{"fdsup://Directions/FactSet Auditing Viewer?action=AUDIT_VALUE&amp;DB=129&amp;ID1=40377710&amp;VALUEID=01001&amp;SDATE=200602&amp;PERIODTYPE=QTR_STD&amp;window=popup_no_bar&amp;width=385&amp;height=120&amp;START_MAXIMIZED=FALSE&amp;creator=factset&amp;display_string=Audit"}</definedName>
    <definedName name="_1386__FDSAUDITLINK__" hidden="1">{"fdsup://Directions/FactSet Auditing Viewer?action=AUDIT_VALUE&amp;DB=129&amp;ID1=40377710&amp;VALUEID=02101&amp;SDATE=200602&amp;PERIODTYPE=QTR_STD&amp;window=popup_no_bar&amp;width=385&amp;height=120&amp;START_MAXIMIZED=FALSE&amp;creator=factset&amp;display_string=Audit"}</definedName>
    <definedName name="_1387__FDSAUDITLINK__" hidden="1">{"fdsup://Directions/FactSet Auditing Viewer?action=AUDIT_VALUE&amp;DB=129&amp;ID1=40377710&amp;VALUEID=01001&amp;SDATE=200603&amp;PERIODTYPE=QTR_STD&amp;window=popup_no_bar&amp;width=385&amp;height=120&amp;START_MAXIMIZED=FALSE&amp;creator=factset&amp;display_string=Audit"}</definedName>
    <definedName name="_1388__FDSAUDITLINK__" hidden="1">{"fdsup://Directions/FactSet Auditing Viewer?action=AUDIT_VALUE&amp;DB=129&amp;ID1=40377710&amp;VALUEID=02101&amp;SDATE=200603&amp;PERIODTYPE=QTR_STD&amp;window=popup_no_bar&amp;width=385&amp;height=120&amp;START_MAXIMIZED=FALSE&amp;creator=factset&amp;display_string=Audit"}</definedName>
    <definedName name="_1389__FDSAUDITLINK__" hidden="1">{"fdsup://Directions/FactSet Auditing Viewer?action=AUDIT_VALUE&amp;DB=129&amp;ID1=40377710&amp;VALUEID=01001&amp;SDATE=200604&amp;PERIODTYPE=QTR_STD&amp;window=popup_no_bar&amp;width=385&amp;height=120&amp;START_MAXIMIZED=FALSE&amp;creator=factset&amp;display_string=Audit"}</definedName>
    <definedName name="_139__FDSAUDITLINK__" hidden="1">{"fdsup://Directions/FactSet Auditing Viewer?action=AUDIT_VALUE&amp;DB=129&amp;ID1=53271610&amp;VALUEID=01001&amp;SDATE=200802&amp;PERIODTYPE=QTR_STD&amp;window=popup_no_bar&amp;width=385&amp;height=120&amp;START_MAXIMIZED=FALSE&amp;creator=factset&amp;display_string=Audit"}</definedName>
    <definedName name="_1390__FDSAUDITLINK__" hidden="1">{"fdsup://Directions/FactSet Auditing Viewer?action=AUDIT_VALUE&amp;DB=129&amp;ID1=40377710&amp;VALUEID=01001&amp;SDATE=200701&amp;PERIODTYPE=QTR_STD&amp;window=popup_no_bar&amp;width=385&amp;height=120&amp;START_MAXIMIZED=FALSE&amp;creator=factset&amp;display_string=Audit"}</definedName>
    <definedName name="_1391__FDSAUDITLINK__" hidden="1">{"fdsup://Directions/FactSet Auditing Viewer?action=AUDIT_VALUE&amp;DB=129&amp;ID1=40377710&amp;VALUEID=02101&amp;SDATE=200701&amp;PERIODTYPE=QTR_STD&amp;window=popup_no_bar&amp;width=385&amp;height=120&amp;START_MAXIMIZED=FALSE&amp;creator=factset&amp;display_string=Audit"}</definedName>
    <definedName name="_1392__FDSAUDITLINK__" hidden="1">{"fdsup://Directions/FactSet Auditing Viewer?action=AUDIT_VALUE&amp;DB=129&amp;ID1=40377710&amp;VALUEID=01001&amp;SDATE=200702&amp;PERIODTYPE=QTR_STD&amp;window=popup_no_bar&amp;width=385&amp;height=120&amp;START_MAXIMIZED=FALSE&amp;creator=factset&amp;display_string=Audit"}</definedName>
    <definedName name="_1393__FDSAUDITLINK__" hidden="1">{"fdsup://Directions/FactSet Auditing Viewer?action=AUDIT_VALUE&amp;DB=129&amp;ID1=40377710&amp;VALUEID=02101&amp;SDATE=200702&amp;PERIODTYPE=QTR_STD&amp;window=popup_no_bar&amp;width=385&amp;height=120&amp;START_MAXIMIZED=FALSE&amp;creator=factset&amp;display_string=Audit"}</definedName>
    <definedName name="_1394__FDSAUDITLINK__" hidden="1">{"fdsup://Directions/FactSet Auditing Viewer?action=AUDIT_VALUE&amp;DB=129&amp;ID1=40377710&amp;VALUEID=01001&amp;SDATE=200703&amp;PERIODTYPE=QTR_STD&amp;window=popup_no_bar&amp;width=385&amp;height=120&amp;START_MAXIMIZED=FALSE&amp;creator=factset&amp;display_string=Audit"}</definedName>
    <definedName name="_1395__FDSAUDITLINK__" hidden="1">{"fdsup://Directions/FactSet Auditing Viewer?action=AUDIT_VALUE&amp;DB=129&amp;ID1=40377710&amp;VALUEID=02101&amp;SDATE=200703&amp;PERIODTYPE=QTR_STD&amp;window=popup_no_bar&amp;width=385&amp;height=120&amp;START_MAXIMIZED=FALSE&amp;creator=factset&amp;display_string=Audit"}</definedName>
    <definedName name="_1396__FDSAUDITLINK__" hidden="1">{"fdsup://Directions/FactSet Auditing Viewer?action=AUDIT_VALUE&amp;DB=129&amp;ID1=40377710&amp;VALUEID=01001&amp;SDATE=200704&amp;PERIODTYPE=QTR_STD&amp;window=popup_no_bar&amp;width=385&amp;height=120&amp;START_MAXIMIZED=FALSE&amp;creator=factset&amp;display_string=Audit"}</definedName>
    <definedName name="_1397__FDSAUDITLINK__" hidden="1">{"fdsup://Directions/FactSet Auditing Viewer?action=AUDIT_VALUE&amp;DB=129&amp;ID1=40377710&amp;VALUEID=01001&amp;SDATE=200801&amp;PERIODTYPE=QTR_STD&amp;window=popup_no_bar&amp;width=385&amp;height=120&amp;START_MAXIMIZED=FALSE&amp;creator=factset&amp;display_string=Audit"}</definedName>
    <definedName name="_1398__FDSAUDITLINK__" hidden="1">{"fdsup://Directions/FactSet Auditing Viewer?action=AUDIT_VALUE&amp;DB=129&amp;ID1=40377710&amp;VALUEID=02101&amp;SDATE=200801&amp;PERIODTYPE=QTR_STD&amp;window=popup_no_bar&amp;width=385&amp;height=120&amp;START_MAXIMIZED=FALSE&amp;creator=factset&amp;display_string=Audit"}</definedName>
    <definedName name="_1399__FDSAUDITLINK__" hidden="1">{"fdsup://Directions/FactSet Auditing Viewer?action=AUDIT_VALUE&amp;DB=129&amp;ID1=40377710&amp;VALUEID=01001&amp;SDATE=200802&amp;PERIODTYPE=QTR_STD&amp;window=popup_no_bar&amp;width=385&amp;height=120&amp;START_MAXIMIZED=FALSE&amp;creator=factset&amp;display_string=Audit"}</definedName>
    <definedName name="_14__FDSAUDITLINK__" hidden="1">{"fdsup://Directions/FactSet Auditing Viewer?action=AUDIT_VALUE&amp;DB=129&amp;ID1=91704710&amp;VALUEID=13040&amp;SDATE=201001&amp;PERIODTYPE=QTR_STD&amp;window=popup_no_bar&amp;width=385&amp;height=120&amp;START_MAXIMIZED=FALSE&amp;creator=factset&amp;display_string=Audit"}</definedName>
    <definedName name="_140__FDSAUDITLINK__" hidden="1">{"fdsup://Directions/FactSet Auditing Viewer?action=AUDIT_VALUE&amp;DB=129&amp;ID1=53271610&amp;VALUEID=13040&amp;SDATE=200802&amp;PERIODTYPE=QTR_STD&amp;window=popup_no_bar&amp;width=385&amp;height=120&amp;START_MAXIMIZED=FALSE&amp;creator=factset&amp;display_string=Audit"}</definedName>
    <definedName name="_1400__FDSAUDITLINK__" hidden="1">{"fdsup://Directions/FactSet Auditing Viewer?action=AUDIT_VALUE&amp;DB=129&amp;ID1=40377710&amp;VALUEID=02101&amp;SDATE=200802&amp;PERIODTYPE=QTR_STD&amp;window=popup_no_bar&amp;width=385&amp;height=120&amp;START_MAXIMIZED=FALSE&amp;creator=factset&amp;display_string=Audit"}</definedName>
    <definedName name="_1401__FDSAUDITLINK__" hidden="1">{"fdsup://Directions/FactSet Auditing Viewer?action=AUDIT_VALUE&amp;DB=129&amp;ID1=40377710&amp;VALUEID=01001&amp;SDATE=200803&amp;PERIODTYPE=QTR_STD&amp;window=popup_no_bar&amp;width=385&amp;height=120&amp;START_MAXIMIZED=FALSE&amp;creator=factset&amp;display_string=Audit"}</definedName>
    <definedName name="_1402__FDSAUDITLINK__" hidden="1">{"fdsup://Directions/FactSet Auditing Viewer?action=AUDIT_VALUE&amp;DB=129&amp;ID1=40377710&amp;VALUEID=02101&amp;SDATE=200803&amp;PERIODTYPE=QTR_STD&amp;window=popup_no_bar&amp;width=385&amp;height=120&amp;START_MAXIMIZED=FALSE&amp;creator=factset&amp;display_string=Audit"}</definedName>
    <definedName name="_1403__FDSAUDITLINK__" hidden="1">{"fdsup://Directions/FactSet Auditing Viewer?action=AUDIT_VALUE&amp;DB=129&amp;ID1=40377710&amp;VALUEID=01001&amp;SDATE=200804&amp;PERIODTYPE=QTR_STD&amp;window=popup_no_bar&amp;width=385&amp;height=120&amp;START_MAXIMIZED=FALSE&amp;creator=factset&amp;display_string=Audit"}</definedName>
    <definedName name="_1404__FDSAUDITLINK__" hidden="1">{"fdsup://Directions/FactSet Auditing Viewer?action=AUDIT_VALUE&amp;DB=129&amp;ID1=40377710&amp;VALUEID=01001&amp;SDATE=200901&amp;PERIODTYPE=QTR_STD&amp;window=popup_no_bar&amp;width=385&amp;height=120&amp;START_MAXIMIZED=FALSE&amp;creator=factset&amp;display_string=Audit"}</definedName>
    <definedName name="_1405__FDSAUDITLINK__" hidden="1">{"fdsup://Directions/FactSet Auditing Viewer?action=AUDIT_VALUE&amp;DB=129&amp;ID1=40377710&amp;VALUEID=02101&amp;SDATE=200901&amp;PERIODTYPE=QTR_STD&amp;window=popup_no_bar&amp;width=385&amp;height=120&amp;START_MAXIMIZED=FALSE&amp;creator=factset&amp;display_string=Audit"}</definedName>
    <definedName name="_1406__FDSAUDITLINK__" hidden="1">{"fdsup://Directions/FactSet Auditing Viewer?action=AUDIT_VALUE&amp;DB=129&amp;ID1=40377710&amp;VALUEID=01001&amp;SDATE=200902&amp;PERIODTYPE=QTR_STD&amp;window=popup_no_bar&amp;width=385&amp;height=120&amp;START_MAXIMIZED=FALSE&amp;creator=factset&amp;display_string=Audit"}</definedName>
    <definedName name="_1407__FDSAUDITLINK__" hidden="1">{"fdsup://Directions/FactSet Auditing Viewer?action=AUDIT_VALUE&amp;DB=129&amp;ID1=40377710&amp;VALUEID=02101&amp;SDATE=200902&amp;PERIODTYPE=QTR_STD&amp;window=popup_no_bar&amp;width=385&amp;height=120&amp;START_MAXIMIZED=FALSE&amp;creator=factset&amp;display_string=Audit"}</definedName>
    <definedName name="_1408__FDSAUDITLINK__" hidden="1">{"fdsup://Directions/FactSet Auditing Viewer?action=AUDIT_VALUE&amp;DB=129&amp;ID1=40377710&amp;VALUEID=01001&amp;SDATE=200903&amp;PERIODTYPE=QTR_STD&amp;window=popup_no_bar&amp;width=385&amp;height=120&amp;START_MAXIMIZED=FALSE&amp;creator=factset&amp;display_string=Audit"}</definedName>
    <definedName name="_1409__FDSAUDITLINK__" hidden="1">{"fdsup://Directions/FactSet Auditing Viewer?action=AUDIT_VALUE&amp;DB=129&amp;ID1=40377710&amp;VALUEID=02101&amp;SDATE=200903&amp;PERIODTYPE=QTR_STD&amp;window=popup_no_bar&amp;width=385&amp;height=120&amp;START_MAXIMIZED=FALSE&amp;creator=factset&amp;display_string=Audit"}</definedName>
    <definedName name="_141__FDSAUDITLINK__" hidden="1">{"fdsup://Directions/FactSet Auditing Viewer?action=AUDIT_VALUE&amp;DB=129&amp;ID1=46612H40&amp;VALUEID=02101&amp;SDATE=200802&amp;PERIODTYPE=QTR_STD&amp;window=popup_no_bar&amp;width=385&amp;height=120&amp;START_MAXIMIZED=FALSE&amp;creator=factset&amp;display_string=Audit"}</definedName>
    <definedName name="_1410__FDSAUDITLINK__" hidden="1">{"fdsup://Directions/FactSet Auditing Viewer?action=AUDIT_VALUE&amp;DB=129&amp;ID1=40377710&amp;VALUEID=01001&amp;SDATE=200904&amp;PERIODTYPE=QTR_STD&amp;window=popup_no_bar&amp;width=385&amp;height=120&amp;START_MAXIMIZED=FALSE&amp;creator=factset&amp;display_string=Audit"}</definedName>
    <definedName name="_1411__FDSAUDITLINK__" hidden="1">{"fdsup://Directions/FactSet Auditing Viewer?action=AUDIT_VALUE&amp;DB=129&amp;ID1=40377710&amp;VALUEID=01001&amp;SDATE=201001&amp;PERIODTYPE=QTR_STD&amp;window=popup_no_bar&amp;width=385&amp;height=120&amp;START_MAXIMIZED=FALSE&amp;creator=factset&amp;display_string=Audit"}</definedName>
    <definedName name="_1412__FDSAUDITLINK__" hidden="1">{"fdsup://Directions/FactSet Auditing Viewer?action=AUDIT_VALUE&amp;DB=129&amp;ID1=40377710&amp;VALUEID=02101&amp;SDATE=201001&amp;PERIODTYPE=QTR_STD&amp;window=popup_no_bar&amp;width=385&amp;height=120&amp;START_MAXIMIZED=FALSE&amp;creator=factset&amp;display_string=Audit"}</definedName>
    <definedName name="_1413__FDSAUDITLINK__" hidden="1">{"fdsup://directions/FAT Viewer?action=UPDATE&amp;creator=factset&amp;DYN_ARGS=TRUE&amp;DOC_NAME=FAT:FQL_AUDITING_CLIENT_TEMPLATE.FAT&amp;display_string=Audit&amp;VAR:KEY=TIVULSDMDS&amp;VAR:QUERY=RkZfUlRfU0ZfVE9UX0dST1NTKFFUUiwtNDQp&amp;WINDOW=FIRST_POPUP&amp;HEIGHT=450&amp;WIDTH=450&amp;START_MA","XIMIZED=FALSE&amp;VAR:CALENDAR=US&amp;VAR:SYMBOL=GYMB&amp;VAR:INDEX=0"}</definedName>
    <definedName name="_1414__FDSAUDITLINK__" hidden="1">{"fdsup://directions/FAT Viewer?action=UPDATE&amp;creator=factset&amp;DYN_ARGS=TRUE&amp;DOC_NAME=FAT:FQL_AUDITING_CLIENT_TEMPLATE.FAT&amp;display_string=Audit&amp;VAR:KEY=LGPIREFUFO&amp;VAR:QUERY=RkZfUlRfU0ZfVE9UX0dST1NTKFFUUiwtNDMp&amp;WINDOW=FIRST_POPUP&amp;HEIGHT=450&amp;WIDTH=450&amp;START_MA","XIMIZED=FALSE&amp;VAR:CALENDAR=US&amp;VAR:SYMBOL=GYMB&amp;VAR:INDEX=0"}</definedName>
    <definedName name="_1415__FDSAUDITLINK__" hidden="1">{"fdsup://directions/FAT Viewer?action=UPDATE&amp;creator=factset&amp;DYN_ARGS=TRUE&amp;DOC_NAME=FAT:FQL_AUDITING_CLIENT_TEMPLATE.FAT&amp;display_string=Audit&amp;VAR:KEY=JYTABURKFY&amp;VAR:QUERY=RkZfUlRfU0ZfVE9UX0dST1NTKFFUUiwtNDIp&amp;WINDOW=FIRST_POPUP&amp;HEIGHT=450&amp;WIDTH=450&amp;START_MA","XIMIZED=FALSE&amp;VAR:CALENDAR=US&amp;VAR:SYMBOL=GYMB&amp;VAR:INDEX=0"}</definedName>
    <definedName name="_1416__FDSAUDITLINK__" hidden="1">{"fdsup://directions/FAT Viewer?action=UPDATE&amp;creator=factset&amp;DYN_ARGS=TRUE&amp;DOC_NAME=FAT:FQL_AUDITING_CLIENT_TEMPLATE.FAT&amp;display_string=Audit&amp;VAR:KEY=NQZSJEVCTC&amp;VAR:QUERY=RkZfUlRfU0ZfVE9UX0dST1NTKFFUUiwtNDEp&amp;WINDOW=FIRST_POPUP&amp;HEIGHT=450&amp;WIDTH=450&amp;START_MA","XIMIZED=FALSE&amp;VAR:CALENDAR=US&amp;VAR:SYMBOL=GYMB&amp;VAR:INDEX=0"}</definedName>
    <definedName name="_1417__FDSAUDITLINK__" hidden="1">{"fdsup://directions/FAT Viewer?action=UPDATE&amp;creator=factset&amp;DYN_ARGS=TRUE&amp;DOC_NAME=FAT:FQL_AUDITING_CLIENT_TEMPLATE.FAT&amp;display_string=Audit&amp;VAR:KEY=VAXEBONQHK&amp;VAR:QUERY=RkZfUlRfU0ZfVE9UX0dST1NTKFFUUiwtNDAp&amp;WINDOW=FIRST_POPUP&amp;HEIGHT=450&amp;WIDTH=450&amp;START_MA","XIMIZED=FALSE&amp;VAR:CALENDAR=US&amp;VAR:SYMBOL=GYMB&amp;VAR:INDEX=0"}</definedName>
    <definedName name="_1418__FDSAUDITLINK__" hidden="1">{"fdsup://directions/FAT Viewer?action=UPDATE&amp;creator=factset&amp;DYN_ARGS=TRUE&amp;DOC_NAME=FAT:FQL_AUDITING_CLIENT_TEMPLATE.FAT&amp;display_string=Audit&amp;VAR:KEY=PIHQPQTEFG&amp;VAR:QUERY=RkZfUlRfU0ZfVE9UX0dST1NTKFFUUiwtMzkp&amp;WINDOW=FIRST_POPUP&amp;HEIGHT=450&amp;WIDTH=450&amp;START_MA","XIMIZED=FALSE&amp;VAR:CALENDAR=US&amp;VAR:SYMBOL=GYMB&amp;VAR:INDEX=0"}</definedName>
    <definedName name="_1419__FDSAUDITLINK__" hidden="1">{"fdsup://directions/FAT Viewer?action=UPDATE&amp;creator=factset&amp;DYN_ARGS=TRUE&amp;DOC_NAME=FAT:FQL_AUDITING_CLIENT_TEMPLATE.FAT&amp;display_string=Audit&amp;VAR:KEY=PWPALKRENU&amp;VAR:QUERY=RkZfUlRfU0ZfVE9UX0dST1NTKFFUUiwtMzgp&amp;WINDOW=FIRST_POPUP&amp;HEIGHT=450&amp;WIDTH=450&amp;START_MA","XIMIZED=FALSE&amp;VAR:CALENDAR=US&amp;VAR:SYMBOL=GYMB&amp;VAR:INDEX=0"}</definedName>
    <definedName name="_142__FDSAUDITLINK__" hidden="1">{"fdsup://Directions/FactSet Auditing Viewer?action=AUDIT_VALUE&amp;DB=129&amp;ID1=46612H40&amp;VALUEID=01001&amp;SDATE=200802&amp;PERIODTYPE=QTR_STD&amp;window=popup_no_bar&amp;width=385&amp;height=120&amp;START_MAXIMIZED=FALSE&amp;creator=factset&amp;display_string=Audit"}</definedName>
    <definedName name="_1420__FDSAUDITLINK__" hidden="1">{"fdsup://directions/FAT Viewer?action=UPDATE&amp;creator=factset&amp;DYN_ARGS=TRUE&amp;DOC_NAME=FAT:FQL_AUDITING_CLIENT_TEMPLATE.FAT&amp;display_string=Audit&amp;VAR:KEY=FKZQDQZSLI&amp;VAR:QUERY=RkZfUlRfU0ZfVE9UX0dST1NTKFFUUiwtMzcp&amp;WINDOW=FIRST_POPUP&amp;HEIGHT=450&amp;WIDTH=450&amp;START_MA","XIMIZED=FALSE&amp;VAR:CALENDAR=US&amp;VAR:SYMBOL=GYMB&amp;VAR:INDEX=0"}</definedName>
    <definedName name="_1421__FDSAUDITLINK__" hidden="1">{"fdsup://directions/FAT Viewer?action=UPDATE&amp;creator=factset&amp;DYN_ARGS=TRUE&amp;DOC_NAME=FAT:FQL_AUDITING_CLIENT_TEMPLATE.FAT&amp;display_string=Audit&amp;VAR:KEY=HQVKRWHAXM&amp;VAR:QUERY=RkZfUlRfU0ZfVE9UX0dST1NTKFFUUiwtMzYp&amp;WINDOW=FIRST_POPUP&amp;HEIGHT=450&amp;WIDTH=450&amp;START_MA","XIMIZED=FALSE&amp;VAR:CALENDAR=US&amp;VAR:SYMBOL=GYMB&amp;VAR:INDEX=0"}</definedName>
    <definedName name="_1422__FDSAUDITLINK__" hidden="1">{"fdsup://directions/FAT Viewer?action=UPDATE&amp;creator=factset&amp;DYN_ARGS=TRUE&amp;DOC_NAME=FAT:FQL_AUDITING_CLIENT_TEMPLATE.FAT&amp;display_string=Audit&amp;VAR:KEY=FKDCROBATC&amp;VAR:QUERY=RkZfUlRfU0ZfVE9UX0dST1NTKFFUUiwtMzUp&amp;WINDOW=FIRST_POPUP&amp;HEIGHT=450&amp;WIDTH=450&amp;START_MA","XIMIZED=FALSE&amp;VAR:CALENDAR=US&amp;VAR:SYMBOL=GYMB&amp;VAR:INDEX=0"}</definedName>
    <definedName name="_1423__FDSAUDITLINK__" hidden="1">{"fdsup://directions/FAT Viewer?action=UPDATE&amp;creator=factset&amp;DYN_ARGS=TRUE&amp;DOC_NAME=FAT:FQL_AUDITING_CLIENT_TEMPLATE.FAT&amp;display_string=Audit&amp;VAR:KEY=RGXKJGXSRY&amp;VAR:QUERY=RkZfUlRfU0ZfVE9UX0dST1NTKFFUUiwtMzQp&amp;WINDOW=FIRST_POPUP&amp;HEIGHT=450&amp;WIDTH=450&amp;START_MA","XIMIZED=FALSE&amp;VAR:CALENDAR=US&amp;VAR:SYMBOL=GYMB&amp;VAR:INDEX=0"}</definedName>
    <definedName name="_1424__FDSAUDITLINK__" hidden="1">{"fdsup://directions/FAT Viewer?action=UPDATE&amp;creator=factset&amp;DYN_ARGS=TRUE&amp;DOC_NAME=FAT:FQL_AUDITING_CLIENT_TEMPLATE.FAT&amp;display_string=Audit&amp;VAR:KEY=NEDCPADABM&amp;VAR:QUERY=RkZfUlRfU0ZfVE9UX0dST1NTKFFUUiwtMzMp&amp;WINDOW=FIRST_POPUP&amp;HEIGHT=450&amp;WIDTH=450&amp;START_MA","XIMIZED=FALSE&amp;VAR:CALENDAR=US&amp;VAR:SYMBOL=GYMB&amp;VAR:INDEX=0"}</definedName>
    <definedName name="_1425__FDSAUDITLINK__" hidden="1">{"fdsup://directions/FAT Viewer?action=UPDATE&amp;creator=factset&amp;DYN_ARGS=TRUE&amp;DOC_NAME=FAT:FQL_AUDITING_CLIENT_TEMPLATE.FAT&amp;display_string=Audit&amp;VAR:KEY=LSHCBIVWFW&amp;VAR:QUERY=RkZfUlRfU0ZfVE9UX0dST1NTKFFUUiwtMzIp&amp;WINDOW=FIRST_POPUP&amp;HEIGHT=450&amp;WIDTH=450&amp;START_MA","XIMIZED=FALSE&amp;VAR:CALENDAR=US&amp;VAR:SYMBOL=GYMB&amp;VAR:INDEX=0"}</definedName>
    <definedName name="_1426__FDSAUDITLINK__" hidden="1">{"fdsup://directions/FAT Viewer?action=UPDATE&amp;creator=factset&amp;DYN_ARGS=TRUE&amp;DOC_NAME=FAT:FQL_AUDITING_CLIENT_TEMPLATE.FAT&amp;display_string=Audit&amp;VAR:KEY=RIBYZAVYBO&amp;VAR:QUERY=RkZfUlRfU0ZfVE9UX0dST1NTKFFUUiwtMzEp&amp;WINDOW=FIRST_POPUP&amp;HEIGHT=450&amp;WIDTH=450&amp;START_MA","XIMIZED=FALSE&amp;VAR:CALENDAR=US&amp;VAR:SYMBOL=GYMB&amp;VAR:INDEX=0"}</definedName>
    <definedName name="_1427__FDSAUDITLINK__" hidden="1">{"fdsup://directions/FAT Viewer?action=UPDATE&amp;creator=factset&amp;DYN_ARGS=TRUE&amp;DOC_NAME=FAT:FQL_AUDITING_CLIENT_TEMPLATE.FAT&amp;display_string=Audit&amp;VAR:KEY=DKPUNITODE&amp;VAR:QUERY=RkZfUlRfU0ZfVE9UX0dST1NTKFFUUiwtMzAp&amp;WINDOW=FIRST_POPUP&amp;HEIGHT=450&amp;WIDTH=450&amp;START_MA","XIMIZED=FALSE&amp;VAR:CALENDAR=US&amp;VAR:SYMBOL=GYMB&amp;VAR:INDEX=0"}</definedName>
    <definedName name="_1428__FDSAUDITLINK__" hidden="1">{"fdsup://directions/FAT Viewer?action=UPDATE&amp;creator=factset&amp;DYN_ARGS=TRUE&amp;DOC_NAME=FAT:FQL_AUDITING_CLIENT_TEMPLATE.FAT&amp;display_string=Audit&amp;VAR:KEY=DCZMDKFYDS&amp;VAR:QUERY=RkZfUlRfU0ZfVE9UX0dST1NTKFFUUiwtMjkp&amp;WINDOW=FIRST_POPUP&amp;HEIGHT=450&amp;WIDTH=450&amp;START_MA","XIMIZED=FALSE&amp;VAR:CALENDAR=US&amp;VAR:SYMBOL=GYMB&amp;VAR:INDEX=0"}</definedName>
    <definedName name="_1429__FDSAUDITLINK__" hidden="1">{"fdsup://directions/FAT Viewer?action=UPDATE&amp;creator=factset&amp;DYN_ARGS=TRUE&amp;DOC_NAME=FAT:FQL_AUDITING_CLIENT_TEMPLATE.FAT&amp;display_string=Audit&amp;VAR:KEY=REBEDKBEJS&amp;VAR:QUERY=RkZfUlRfU0ZfVE9UX0dST1NTKFFUUiwtMjgp&amp;WINDOW=FIRST_POPUP&amp;HEIGHT=450&amp;WIDTH=450&amp;START_MA","XIMIZED=FALSE&amp;VAR:CALENDAR=US&amp;VAR:SYMBOL=GYMB&amp;VAR:INDEX=0"}</definedName>
    <definedName name="_143__FDSAUDITLINK__" hidden="1">{"fdsup://Directions/FactSet Auditing Viewer?action=AUDIT_VALUE&amp;DB=129&amp;ID1=46612H40&amp;VALUEID=13040&amp;SDATE=200802&amp;PERIODTYPE=QTR_STD&amp;window=popup_no_bar&amp;width=385&amp;height=120&amp;START_MAXIMIZED=FALSE&amp;creator=factset&amp;display_string=Audit"}</definedName>
    <definedName name="_1430__FDSAUDITLINK__" hidden="1">{"fdsup://directions/FAT Viewer?action=UPDATE&amp;creator=factset&amp;DYN_ARGS=TRUE&amp;DOC_NAME=FAT:FQL_AUDITING_CLIENT_TEMPLATE.FAT&amp;display_string=Audit&amp;VAR:KEY=LOPKLIVKBE&amp;VAR:QUERY=RkZfUlRfU0ZfVE9UX0dST1NTKFFUUiwtMjcp&amp;WINDOW=FIRST_POPUP&amp;HEIGHT=450&amp;WIDTH=450&amp;START_MA","XIMIZED=FALSE&amp;VAR:CALENDAR=US&amp;VAR:SYMBOL=GYMB&amp;VAR:INDEX=0"}</definedName>
    <definedName name="_1431__FDSAUDITLINK__" hidden="1">{"fdsup://directions/FAT Viewer?action=UPDATE&amp;creator=factset&amp;DYN_ARGS=TRUE&amp;DOC_NAME=FAT:FQL_AUDITING_CLIENT_TEMPLATE.FAT&amp;display_string=Audit&amp;VAR:KEY=HWTMTYBQHY&amp;VAR:QUERY=RkZfUlRfU0ZfVE9UX0dST1NTKFFUUiwtMjYp&amp;WINDOW=FIRST_POPUP&amp;HEIGHT=450&amp;WIDTH=450&amp;START_MA","XIMIZED=FALSE&amp;VAR:CALENDAR=US&amp;VAR:SYMBOL=GYMB&amp;VAR:INDEX=0"}</definedName>
    <definedName name="_1432__FDSAUDITLINK__" hidden="1">{"fdsup://directions/FAT Viewer?action=UPDATE&amp;creator=factset&amp;DYN_ARGS=TRUE&amp;DOC_NAME=FAT:FQL_AUDITING_CLIENT_TEMPLATE.FAT&amp;display_string=Audit&amp;VAR:KEY=PUPOZEVABO&amp;VAR:QUERY=RkZfUlRfU0ZfVE9UX0dST1NTKFFUUiwtMjUp&amp;WINDOW=FIRST_POPUP&amp;HEIGHT=450&amp;WIDTH=450&amp;START_MA","XIMIZED=FALSE&amp;VAR:CALENDAR=US&amp;VAR:SYMBOL=GYMB&amp;VAR:INDEX=0"}</definedName>
    <definedName name="_1433__FDSAUDITLINK__" hidden="1">{"fdsup://directions/FAT Viewer?action=UPDATE&amp;creator=factset&amp;DYN_ARGS=TRUE&amp;DOC_NAME=FAT:FQL_AUDITING_CLIENT_TEMPLATE.FAT&amp;display_string=Audit&amp;VAR:KEY=DCZYDEDCZQ&amp;VAR:QUERY=RkZfUlRfU0ZfVE9UX0dST1NTKFFUUiwtMjQp&amp;WINDOW=FIRST_POPUP&amp;HEIGHT=450&amp;WIDTH=450&amp;START_MA","XIMIZED=FALSE&amp;VAR:CALENDAR=US&amp;VAR:SYMBOL=GYMB&amp;VAR:INDEX=0"}</definedName>
    <definedName name="_1434__FDSAUDITLINK__" hidden="1">{"fdsup://directions/FAT Viewer?action=UPDATE&amp;creator=factset&amp;DYN_ARGS=TRUE&amp;DOC_NAME=FAT:FQL_AUDITING_CLIENT_TEMPLATE.FAT&amp;display_string=Audit&amp;VAR:KEY=FOBGXGRATQ&amp;VAR:QUERY=RkZfUlRfU0ZfVE9UX0dST1NTKFFUUiwtMjMp&amp;WINDOW=FIRST_POPUP&amp;HEIGHT=450&amp;WIDTH=450&amp;START_MA","XIMIZED=FALSE&amp;VAR:CALENDAR=US&amp;VAR:SYMBOL=GYMB&amp;VAR:INDEX=0"}</definedName>
    <definedName name="_1435__FDSAUDITLINK__" hidden="1">{"fdsup://directions/FAT Viewer?action=UPDATE&amp;creator=factset&amp;DYN_ARGS=TRUE&amp;DOC_NAME=FAT:FQL_AUDITING_CLIENT_TEMPLATE.FAT&amp;display_string=Audit&amp;VAR:KEY=HIRWDWNUXK&amp;VAR:QUERY=RkZfUlRfU0ZfVE9UX0dST1NTKFFUUiwtMjIp&amp;WINDOW=FIRST_POPUP&amp;HEIGHT=450&amp;WIDTH=450&amp;START_MA","XIMIZED=FALSE&amp;VAR:CALENDAR=US&amp;VAR:SYMBOL=GYMB&amp;VAR:INDEX=0"}</definedName>
    <definedName name="_1436__FDSAUDITLINK__" hidden="1">{"fdsup://directions/FAT Viewer?action=UPDATE&amp;creator=factset&amp;DYN_ARGS=TRUE&amp;DOC_NAME=FAT:FQL_AUDITING_CLIENT_TEMPLATE.FAT&amp;display_string=Audit&amp;VAR:KEY=JURGFOXYHE&amp;VAR:QUERY=RkZfUlRfU0ZfVE9UX0dST1NTKFFUUiwtMjEp&amp;WINDOW=FIRST_POPUP&amp;HEIGHT=450&amp;WIDTH=450&amp;START_MA","XIMIZED=FALSE&amp;VAR:CALENDAR=US&amp;VAR:SYMBOL=GYMB&amp;VAR:INDEX=0"}</definedName>
    <definedName name="_1437__FDSAUDITLINK__" hidden="1">{"fdsup://directions/FAT Viewer?action=UPDATE&amp;creator=factset&amp;DYN_ARGS=TRUE&amp;DOC_NAME=FAT:FQL_AUDITING_CLIENT_TEMPLATE.FAT&amp;display_string=Audit&amp;VAR:KEY=DSNMNEJEJG&amp;VAR:QUERY=RkZfUlRfU0ZfVE9UX0dST1NTKFFUUiwtMjAp&amp;WINDOW=FIRST_POPUP&amp;HEIGHT=450&amp;WIDTH=450&amp;START_MA","XIMIZED=FALSE&amp;VAR:CALENDAR=US&amp;VAR:SYMBOL=GYMB&amp;VAR:INDEX=0"}</definedName>
    <definedName name="_1438__FDSAUDITLINK__" hidden="1">{"fdsup://directions/FAT Viewer?action=UPDATE&amp;creator=factset&amp;DYN_ARGS=TRUE&amp;DOC_NAME=FAT:FQL_AUDITING_CLIENT_TEMPLATE.FAT&amp;display_string=Audit&amp;VAR:KEY=PWTUNSTSTY&amp;VAR:QUERY=RkZfUlRfU0ZfVE9UX0dST1NTKFFUUiwtMTkp&amp;WINDOW=FIRST_POPUP&amp;HEIGHT=450&amp;WIDTH=450&amp;START_MA","XIMIZED=FALSE&amp;VAR:CALENDAR=US&amp;VAR:SYMBOL=GYMB&amp;VAR:INDEX=0"}</definedName>
    <definedName name="_1439__FDSAUDITLINK__" hidden="1">{"fdsup://directions/FAT Viewer?action=UPDATE&amp;creator=factset&amp;DYN_ARGS=TRUE&amp;DOC_NAME=FAT:FQL_AUDITING_CLIENT_TEMPLATE.FAT&amp;display_string=Audit&amp;VAR:KEY=ZQNKHKRKLC&amp;VAR:QUERY=RkZfUlRfU0ZfVE9UX0dST1NTKFFUUiwtMTgp&amp;WINDOW=FIRST_POPUP&amp;HEIGHT=450&amp;WIDTH=450&amp;START_MA","XIMIZED=FALSE&amp;VAR:CALENDAR=US&amp;VAR:SYMBOL=GYMB&amp;VAR:INDEX=0"}</definedName>
    <definedName name="_144__FDSAUDITLINK__" hidden="1">{"fdsup://Directions/FactSet Auditing Viewer?action=AUDIT_VALUE&amp;DB=129&amp;ID1=36476010&amp;VALUEID=02101&amp;SDATE=200802&amp;PERIODTYPE=QTR_STD&amp;window=popup_no_bar&amp;width=385&amp;height=120&amp;START_MAXIMIZED=FALSE&amp;creator=factset&amp;display_string=Audit"}</definedName>
    <definedName name="_1440__FDSAUDITLINK__" hidden="1">{"fdsup://Directions/FactSet Auditing Viewer?action=AUDIT_VALUE&amp;DB=129&amp;ID1=40377710&amp;VALUEID=13040&amp;SDATE=200802&amp;PERIODTYPE=QTR_STD&amp;window=popup_no_bar&amp;width=385&amp;height=120&amp;START_MAXIMIZED=FALSE&amp;creator=factset&amp;display_string=Audit"}</definedName>
    <definedName name="_1441__FDSAUDITLINK__" hidden="1">{"fdsup://directions/FAT Viewer?action=UPDATE&amp;creator=factset&amp;DYN_ARGS=TRUE&amp;DOC_NAME=FAT:FQL_AUDITING_CLIENT_TEMPLATE.FAT&amp;display_string=Audit&amp;VAR:KEY=NUNSNKTEFS&amp;VAR:QUERY=RkZfUlRfU0ZfVE9UX0dST1NTKFFUUiwtNyk=&amp;WINDOW=FIRST_POPUP&amp;HEIGHT=450&amp;WIDTH=450&amp;START_MA","XIMIZED=FALSE&amp;VAR:CALENDAR=US&amp;VAR:SYMBOL=GYMB&amp;VAR:INDEX=0"}</definedName>
    <definedName name="_1442__FDSAUDITLINK__" hidden="1">{"fdsup://Directions/FactSet Auditing Viewer?action=AUDIT_VALUE&amp;DB=129&amp;ID1=40377710&amp;VALUEID=13040&amp;SDATE=200803&amp;PERIODTYPE=QTR_STD&amp;window=popup_no_bar&amp;width=385&amp;height=120&amp;START_MAXIMIZED=FALSE&amp;creator=factset&amp;display_string=Audit"}</definedName>
    <definedName name="_1443__FDSAUDITLINK__" hidden="1">{"fdsup://directions/FAT Viewer?action=UPDATE&amp;creator=factset&amp;DYN_ARGS=TRUE&amp;DOC_NAME=FAT:FQL_AUDITING_CLIENT_TEMPLATE.FAT&amp;display_string=Audit&amp;VAR:KEY=BGRGLCFUJA&amp;VAR:QUERY=RkZfUlRfU0ZfVE9UX0dST1NTKFFUUiwtNik=&amp;WINDOW=FIRST_POPUP&amp;HEIGHT=450&amp;WIDTH=450&amp;START_MA","XIMIZED=FALSE&amp;VAR:CALENDAR=US&amp;VAR:SYMBOL=GYMB&amp;VAR:INDEX=0"}</definedName>
    <definedName name="_1444__FDSAUDITLINK__" hidden="1">{"fdsup://directions/FAT Viewer?action=UPDATE&amp;creator=factset&amp;DYN_ARGS=TRUE&amp;DOC_NAME=FAT:FQL_AUDITING_CLIENT_TEMPLATE.FAT&amp;display_string=Audit&amp;VAR:KEY=FQBWFOZQXU&amp;VAR:QUERY=RkZfUlRfU0ZfVE9UX0dST1NTKFFUUiwtNSk=&amp;WINDOW=FIRST_POPUP&amp;HEIGHT=450&amp;WIDTH=450&amp;START_MA","XIMIZED=FALSE&amp;VAR:CALENDAR=US&amp;VAR:SYMBOL=GYMB&amp;VAR:INDEX=0"}</definedName>
    <definedName name="_1445__FDSAUDITLINK__" hidden="1">{"fdsup://Directions/FactSet Auditing Viewer?action=AUDIT_VALUE&amp;DB=129&amp;ID1=40377710&amp;VALUEID=13040&amp;SDATE=200901&amp;PERIODTYPE=QTR_STD&amp;window=popup_no_bar&amp;width=385&amp;height=120&amp;START_MAXIMIZED=FALSE&amp;creator=factset&amp;display_string=Audit"}</definedName>
    <definedName name="_1446__FDSAUDITLINK__" hidden="1">{"fdsup://directions/FAT Viewer?action=UPDATE&amp;creator=factset&amp;DYN_ARGS=TRUE&amp;DOC_NAME=FAT:FQL_AUDITING_CLIENT_TEMPLATE.FAT&amp;display_string=Audit&amp;VAR:KEY=JGROVCLUZW&amp;VAR:QUERY=RkZfUlRfU0ZfVE9UX0dST1NTKFFUUiwtNCk=&amp;WINDOW=FIRST_POPUP&amp;HEIGHT=450&amp;WIDTH=450&amp;START_MA","XIMIZED=FALSE&amp;VAR:CALENDAR=US&amp;VAR:SYMBOL=GYMB&amp;VAR:INDEX=0"}</definedName>
    <definedName name="_1447__FDSAUDITLINK__" hidden="1">{"fdsup://Directions/FactSet Auditing Viewer?action=AUDIT_VALUE&amp;DB=129&amp;ID1=40377710&amp;VALUEID=13040&amp;SDATE=201001&amp;PERIODTYPE=QTR_STD&amp;window=popup_no_bar&amp;width=385&amp;height=120&amp;START_MAXIMIZED=FALSE&amp;creator=factset&amp;display_string=Audit"}</definedName>
    <definedName name="_1448__FDSAUDITLINK__" hidden="1">{"fdsup://Directions/FactSet Auditing Viewer?action=AUDIT_VALUE&amp;DB=129&amp;ID1=40377710&amp;VALUEID=13040&amp;SDATE=200602&amp;PERIODTYPE=QTR_STD&amp;window=popup_no_bar&amp;width=385&amp;height=120&amp;START_MAXIMIZED=FALSE&amp;creator=factset&amp;display_string=Audit"}</definedName>
    <definedName name="_1449__FDSAUDITLINK__" hidden="1">{"fdsup://Directions/FactSet Auditing Viewer?action=AUDIT_VALUE&amp;DB=129&amp;ID1=40377710&amp;VALUEID=13040&amp;SDATE=200601&amp;PERIODTYPE=QTR_STD&amp;window=popup_no_bar&amp;width=385&amp;height=120&amp;START_MAXIMIZED=FALSE&amp;creator=factset&amp;display_string=Audit"}</definedName>
    <definedName name="_145__FDSAUDITLINK__" hidden="1">{"fdsup://Directions/FactSet Auditing Viewer?action=AUDIT_VALUE&amp;DB=129&amp;ID1=36476010&amp;VALUEID=01001&amp;SDATE=200802&amp;PERIODTYPE=QTR_STD&amp;window=popup_no_bar&amp;width=385&amp;height=120&amp;START_MAXIMIZED=FALSE&amp;creator=factset&amp;display_string=Audit"}</definedName>
    <definedName name="_1450__FDSAUDITLINK__" hidden="1">{"fdsup://directions/FAT Viewer?action=UPDATE&amp;creator=factset&amp;DYN_ARGS=TRUE&amp;DOC_NAME=FAT:FQL_AUDITING_CLIENT_TEMPLATE.FAT&amp;display_string=Audit&amp;VAR:KEY=XGDODMRERE&amp;VAR:QUERY=RkZfUlRfU0ZfVE9UX0dST1NTKFFUUiwtMTcp&amp;WINDOW=FIRST_POPUP&amp;HEIGHT=450&amp;WIDTH=450&amp;START_MA","XIMIZED=FALSE&amp;VAR:CALENDAR=US&amp;VAR:SYMBOL=GYMB&amp;VAR:INDEX=0"}</definedName>
    <definedName name="_1451__FDSAUDITLINK__" hidden="1">{"fdsup://Directions/FactSet Auditing Viewer?action=AUDIT_VALUE&amp;DB=129&amp;ID1=40377710&amp;VALUEID=13040&amp;SDATE=200603&amp;PERIODTYPE=QTR_STD&amp;window=popup_no_bar&amp;width=385&amp;height=120&amp;START_MAXIMIZED=FALSE&amp;creator=factset&amp;display_string=Audit"}</definedName>
    <definedName name="_1452__FDSAUDITLINK__" hidden="1">{"fdsup://Directions/FactSet Auditing Viewer?action=AUDIT_VALUE&amp;DB=129&amp;ID1=40377710&amp;VALUEID=13040&amp;SDATE=200702&amp;PERIODTYPE=QTR_STD&amp;window=popup_no_bar&amp;width=385&amp;height=120&amp;START_MAXIMIZED=FALSE&amp;creator=factset&amp;display_string=Audit"}</definedName>
    <definedName name="_1453__FDSAUDITLINK__" hidden="1">{"fdsup://Directions/FactSet Auditing Viewer?action=AUDIT_VALUE&amp;DB=129&amp;ID1=40377710&amp;VALUEID=13040&amp;SDATE=200701&amp;PERIODTYPE=QTR_STD&amp;window=popup_no_bar&amp;width=385&amp;height=120&amp;START_MAXIMIZED=FALSE&amp;creator=factset&amp;display_string=Audit"}</definedName>
    <definedName name="_1454__FDSAUDITLINK__" hidden="1">{"fdsup://directions/FAT Viewer?action=UPDATE&amp;creator=factset&amp;DYN_ARGS=TRUE&amp;DOC_NAME=FAT:FQL_AUDITING_CLIENT_TEMPLATE.FAT&amp;display_string=Audit&amp;VAR:KEY=TCTMPMPOZI&amp;VAR:QUERY=RkZfUlRfU0ZfVE9UX0dST1NTKFFUUiwtMTMp&amp;WINDOW=FIRST_POPUP&amp;HEIGHT=450&amp;WIDTH=450&amp;START_MA","XIMIZED=FALSE&amp;VAR:CALENDAR=US&amp;VAR:SYMBOL=GYMB&amp;VAR:INDEX=0"}</definedName>
    <definedName name="_1455__FDSAUDITLINK__" hidden="1">{"fdsup://Directions/FactSet Auditing Viewer?action=AUDIT_VALUE&amp;DB=129&amp;ID1=40377710&amp;VALUEID=13040&amp;SDATE=200703&amp;PERIODTYPE=QTR_STD&amp;window=popup_no_bar&amp;width=385&amp;height=120&amp;START_MAXIMIZED=FALSE&amp;creator=factset&amp;display_string=Audit"}</definedName>
    <definedName name="_1456__FDSAUDITLINK__" hidden="1">{"fdsup://Directions/FactSet Auditing Viewer?action=AUDIT_VALUE&amp;DB=129&amp;ID1=40377710&amp;VALUEID=13040&amp;SDATE=200801&amp;PERIODTYPE=QTR_STD&amp;window=popup_no_bar&amp;width=385&amp;height=120&amp;START_MAXIMIZED=FALSE&amp;creator=factset&amp;display_string=Audit"}</definedName>
    <definedName name="_1457__FDSAUDITLINK__" hidden="1">{"fdsup://Directions/FactSet Auditing Viewer?action=AUDIT_VALUE&amp;DB=129&amp;ID1=40377710&amp;VALUEID=13040&amp;SDATE=200704&amp;PERIODTYPE=QTR_STD&amp;window=popup_no_bar&amp;width=385&amp;height=120&amp;START_MAXIMIZED=FALSE&amp;creator=factset&amp;display_string=Audit"}</definedName>
    <definedName name="_1458__FDSAUDITLINK__" hidden="1">{"fdsup://directions/FAT Viewer?action=UPDATE&amp;creator=factset&amp;DYN_ARGS=TRUE&amp;DOC_NAME=FAT:FQL_AUDITING_CLIENT_TEMPLATE.FAT&amp;display_string=Audit&amp;VAR:KEY=TERAZMHAFK&amp;VAR:QUERY=RkZfUlRfU0ZfVE9UX0dST1NTKFFUUiwtOSk=&amp;WINDOW=FIRST_POPUP&amp;HEIGHT=450&amp;WIDTH=450&amp;START_MA","XIMIZED=FALSE&amp;VAR:CALENDAR=US&amp;VAR:SYMBOL=GYMB&amp;VAR:INDEX=0"}</definedName>
    <definedName name="_1459__FDSAUDITLINK__" hidden="1">{"fdsup://Directions/FactSet Auditing Viewer?action=AUDIT_VALUE&amp;DB=129&amp;ID1=40377710&amp;VALUEID=13040&amp;SDATE=200903&amp;PERIODTYPE=QTR_STD&amp;window=popup_no_bar&amp;width=385&amp;height=120&amp;START_MAXIMIZED=FALSE&amp;creator=factset&amp;display_string=Audit"}</definedName>
    <definedName name="_146__FDSAUDITLINK__" hidden="1">{"fdsup://Directions/FactSet Auditing Viewer?action=AUDIT_VALUE&amp;DB=129&amp;ID1=36476010&amp;VALUEID=13040&amp;SDATE=200802&amp;PERIODTYPE=QTR_STD&amp;window=popup_no_bar&amp;width=385&amp;height=120&amp;START_MAXIMIZED=FALSE&amp;creator=factset&amp;display_string=Audit"}</definedName>
    <definedName name="_1460__FDSAUDITLINK__" hidden="1">{"fdsup://Directions/FactSet Auditing Viewer?action=AUDIT_VALUE&amp;DB=129&amp;ID1=40377710&amp;VALUEID=13040&amp;SDATE=200902&amp;PERIODTYPE=QTR_STD&amp;window=popup_no_bar&amp;width=385&amp;height=120&amp;START_MAXIMIZED=FALSE&amp;creator=factset&amp;display_string=Audit"}</definedName>
    <definedName name="_1461__FDSAUDITLINK__" hidden="1">{"fdsup://Directions/FactSet Auditing Viewer?action=AUDIT_VALUE&amp;DB=129&amp;ID1=58711810&amp;VALUEID=13040&amp;SDATE=200601&amp;PERIODTYPE=QTR_STD&amp;window=popup_no_bar&amp;width=385&amp;height=120&amp;START_MAXIMIZED=FALSE&amp;creator=factset&amp;display_string=Audit"}</definedName>
    <definedName name="_1462__FDSAUDITLINK__" hidden="1">{"fdsup://Directions/FactSet Auditing Viewer?action=AUDIT_VALUE&amp;DB=129&amp;ID1=58711810&amp;VALUEID=01001&amp;SDATE=200601&amp;PERIODTYPE=QTR_STD&amp;window=popup_no_bar&amp;width=385&amp;height=120&amp;START_MAXIMIZED=FALSE&amp;creator=factset&amp;display_string=Audit"}</definedName>
    <definedName name="_1463__FDSAUDITLINK__" hidden="1">{"fdsup://Directions/FactSet Auditing Viewer?action=AUDIT_VALUE&amp;DB=129&amp;ID1=58711810&amp;VALUEID=02101&amp;SDATE=200601&amp;PERIODTYPE=QTR_STD&amp;window=popup_no_bar&amp;width=385&amp;height=120&amp;START_MAXIMIZED=FALSE&amp;creator=factset&amp;display_string=Audit"}</definedName>
    <definedName name="_1464__FDSAUDITLINK__" hidden="1">{"fdsup://Directions/FactSet Auditing Viewer?action=AUDIT_VALUE&amp;DB=129&amp;ID1=58711810&amp;VALUEID=13040&amp;SDATE=200602&amp;PERIODTYPE=QTR_STD&amp;window=popup_no_bar&amp;width=385&amp;height=120&amp;START_MAXIMIZED=FALSE&amp;creator=factset&amp;display_string=Audit"}</definedName>
    <definedName name="_1465__FDSAUDITLINK__" hidden="1">{"fdsup://Directions/FactSet Auditing Viewer?action=AUDIT_VALUE&amp;DB=129&amp;ID1=58711810&amp;VALUEID=01001&amp;SDATE=200602&amp;PERIODTYPE=QTR_STD&amp;window=popup_no_bar&amp;width=385&amp;height=120&amp;START_MAXIMIZED=FALSE&amp;creator=factset&amp;display_string=Audit"}</definedName>
    <definedName name="_1466__FDSAUDITLINK__" hidden="1">{"fdsup://Directions/FactSet Auditing Viewer?action=AUDIT_VALUE&amp;DB=129&amp;ID1=58711810&amp;VALUEID=02101&amp;SDATE=200602&amp;PERIODTYPE=QTR_STD&amp;window=popup_no_bar&amp;width=385&amp;height=120&amp;START_MAXIMIZED=FALSE&amp;creator=factset&amp;display_string=Audit"}</definedName>
    <definedName name="_1467__FDSAUDITLINK__" hidden="1">{"fdsup://Directions/FactSet Auditing Viewer?action=AUDIT_VALUE&amp;DB=129&amp;ID1=58711810&amp;VALUEID=13040&amp;SDATE=200603&amp;PERIODTYPE=QTR_STD&amp;window=popup_no_bar&amp;width=385&amp;height=120&amp;START_MAXIMIZED=FALSE&amp;creator=factset&amp;display_string=Audit"}</definedName>
    <definedName name="_1468__FDSAUDITLINK__" hidden="1">{"fdsup://Directions/FactSet Auditing Viewer?action=AUDIT_VALUE&amp;DB=129&amp;ID1=58711810&amp;VALUEID=01001&amp;SDATE=200603&amp;PERIODTYPE=QTR_STD&amp;window=popup_no_bar&amp;width=385&amp;height=120&amp;START_MAXIMIZED=FALSE&amp;creator=factset&amp;display_string=Audit"}</definedName>
    <definedName name="_1469__FDSAUDITLINK__" hidden="1">{"fdsup://Directions/FactSet Auditing Viewer?action=AUDIT_VALUE&amp;DB=129&amp;ID1=58711810&amp;VALUEID=02101&amp;SDATE=200603&amp;PERIODTYPE=QTR_STD&amp;window=popup_no_bar&amp;width=385&amp;height=120&amp;START_MAXIMIZED=FALSE&amp;creator=factset&amp;display_string=Audit"}</definedName>
    <definedName name="_147__FDSAUDITLINK__" hidden="1">{"fdsup://Directions/FactSet Auditing Viewer?action=AUDIT_VALUE&amp;DB=129&amp;ID1=03611510&amp;VALUEID=02101&amp;SDATE=200802&amp;PERIODTYPE=QTR_STD&amp;window=popup_no_bar&amp;width=385&amp;height=120&amp;START_MAXIMIZED=FALSE&amp;creator=factset&amp;display_string=Audit"}</definedName>
    <definedName name="_1470__FDSAUDITLINK__" hidden="1">{"fdsup://Directions/FactSet Auditing Viewer?action=AUDIT_VALUE&amp;DB=129&amp;ID1=58711810&amp;VALUEID=01001&amp;SDATE=200604&amp;PERIODTYPE=QTR_STD&amp;window=popup_no_bar&amp;width=385&amp;height=120&amp;START_MAXIMIZED=FALSE&amp;creator=factset&amp;display_string=Audit"}</definedName>
    <definedName name="_1471__FDSAUDITLINK__" hidden="1">{"fdsup://Directions/FactSet Auditing Viewer?action=AUDIT_VALUE&amp;DB=129&amp;ID1=58711810&amp;VALUEID=13040&amp;SDATE=200701&amp;PERIODTYPE=QTR_STD&amp;window=popup_no_bar&amp;width=385&amp;height=120&amp;START_MAXIMIZED=FALSE&amp;creator=factset&amp;display_string=Audit"}</definedName>
    <definedName name="_1472__FDSAUDITLINK__" hidden="1">{"fdsup://Directions/FactSet Auditing Viewer?action=AUDIT_VALUE&amp;DB=129&amp;ID1=58711810&amp;VALUEID=01001&amp;SDATE=200701&amp;PERIODTYPE=QTR_STD&amp;window=popup_no_bar&amp;width=385&amp;height=120&amp;START_MAXIMIZED=FALSE&amp;creator=factset&amp;display_string=Audit"}</definedName>
    <definedName name="_1473__FDSAUDITLINK__" hidden="1">{"fdsup://Directions/FactSet Auditing Viewer?action=AUDIT_VALUE&amp;DB=129&amp;ID1=58711810&amp;VALUEID=02101&amp;SDATE=200701&amp;PERIODTYPE=QTR_STD&amp;window=popup_no_bar&amp;width=385&amp;height=120&amp;START_MAXIMIZED=FALSE&amp;creator=factset&amp;display_string=Audit"}</definedName>
    <definedName name="_1474__FDSAUDITLINK__" hidden="1">{"fdsup://Directions/FactSet Auditing Viewer?action=AUDIT_VALUE&amp;DB=129&amp;ID1=58711810&amp;VALUEID=13040&amp;SDATE=200702&amp;PERIODTYPE=QTR_STD&amp;window=popup_no_bar&amp;width=385&amp;height=120&amp;START_MAXIMIZED=FALSE&amp;creator=factset&amp;display_string=Audit"}</definedName>
    <definedName name="_1475__FDSAUDITLINK__" hidden="1">{"fdsup://Directions/FactSet Auditing Viewer?action=AUDIT_VALUE&amp;DB=129&amp;ID1=58711810&amp;VALUEID=01001&amp;SDATE=200702&amp;PERIODTYPE=QTR_STD&amp;window=popup_no_bar&amp;width=385&amp;height=120&amp;START_MAXIMIZED=FALSE&amp;creator=factset&amp;display_string=Audit"}</definedName>
    <definedName name="_1476__FDSAUDITLINK__" hidden="1">{"fdsup://Directions/FactSet Auditing Viewer?action=AUDIT_VALUE&amp;DB=129&amp;ID1=58711810&amp;VALUEID=02101&amp;SDATE=200702&amp;PERIODTYPE=QTR_STD&amp;window=popup_no_bar&amp;width=385&amp;height=120&amp;START_MAXIMIZED=FALSE&amp;creator=factset&amp;display_string=Audit"}</definedName>
    <definedName name="_1477__FDSAUDITLINK__" hidden="1">{"fdsup://Directions/FactSet Auditing Viewer?action=AUDIT_VALUE&amp;DB=129&amp;ID1=58711810&amp;VALUEID=13040&amp;SDATE=200703&amp;PERIODTYPE=QTR_STD&amp;window=popup_no_bar&amp;width=385&amp;height=120&amp;START_MAXIMIZED=FALSE&amp;creator=factset&amp;display_string=Audit"}</definedName>
    <definedName name="_1478__FDSAUDITLINK__" hidden="1">{"fdsup://Directions/FactSet Auditing Viewer?action=AUDIT_VALUE&amp;DB=129&amp;ID1=58711810&amp;VALUEID=01001&amp;SDATE=200703&amp;PERIODTYPE=QTR_STD&amp;window=popup_no_bar&amp;width=385&amp;height=120&amp;START_MAXIMIZED=FALSE&amp;creator=factset&amp;display_string=Audit"}</definedName>
    <definedName name="_1479__FDSAUDITLINK__" hidden="1">{"fdsup://Directions/FactSet Auditing Viewer?action=AUDIT_VALUE&amp;DB=129&amp;ID1=58711810&amp;VALUEID=02101&amp;SDATE=200703&amp;PERIODTYPE=QTR_STD&amp;window=popup_no_bar&amp;width=385&amp;height=120&amp;START_MAXIMIZED=FALSE&amp;creator=factset&amp;display_string=Audit"}</definedName>
    <definedName name="_148__FDSAUDITLINK__" hidden="1">{"fdsup://Directions/FactSet Auditing Viewer?action=AUDIT_VALUE&amp;DB=129&amp;ID1=03611510&amp;VALUEID=01001&amp;SDATE=200802&amp;PERIODTYPE=QTR_STD&amp;window=popup_no_bar&amp;width=385&amp;height=120&amp;START_MAXIMIZED=FALSE&amp;creator=factset&amp;display_string=Audit"}</definedName>
    <definedName name="_1480__FDSAUDITLINK__" hidden="1">{"fdsup://Directions/FactSet Auditing Viewer?action=AUDIT_VALUE&amp;DB=129&amp;ID1=58711810&amp;VALUEID=01001&amp;SDATE=200704&amp;PERIODTYPE=QTR_STD&amp;window=popup_no_bar&amp;width=385&amp;height=120&amp;START_MAXIMIZED=FALSE&amp;creator=factset&amp;display_string=Audit"}</definedName>
    <definedName name="_1481__FDSAUDITLINK__" hidden="1">{"fdsup://Directions/FactSet Auditing Viewer?action=AUDIT_VALUE&amp;DB=129&amp;ID1=58711810&amp;VALUEID=13040&amp;SDATE=200801&amp;PERIODTYPE=QTR_STD&amp;window=popup_no_bar&amp;width=385&amp;height=120&amp;START_MAXIMIZED=FALSE&amp;creator=factset&amp;display_string=Audit"}</definedName>
    <definedName name="_1482__FDSAUDITLINK__" hidden="1">{"fdsup://Directions/FactSet Auditing Viewer?action=AUDIT_VALUE&amp;DB=129&amp;ID1=58711810&amp;VALUEID=01001&amp;SDATE=200801&amp;PERIODTYPE=QTR_STD&amp;window=popup_no_bar&amp;width=385&amp;height=120&amp;START_MAXIMIZED=FALSE&amp;creator=factset&amp;display_string=Audit"}</definedName>
    <definedName name="_1483__FDSAUDITLINK__" hidden="1">{"fdsup://Directions/FactSet Auditing Viewer?action=AUDIT_VALUE&amp;DB=129&amp;ID1=58711810&amp;VALUEID=02101&amp;SDATE=200801&amp;PERIODTYPE=QTR_STD&amp;window=popup_no_bar&amp;width=385&amp;height=120&amp;START_MAXIMIZED=FALSE&amp;creator=factset&amp;display_string=Audit"}</definedName>
    <definedName name="_1484__FDSAUDITLINK__" hidden="1">{"fdsup://Directions/FactSet Auditing Viewer?action=AUDIT_VALUE&amp;DB=129&amp;ID1=58711810&amp;VALUEID=13040&amp;SDATE=200802&amp;PERIODTYPE=QTR_STD&amp;window=popup_no_bar&amp;width=385&amp;height=120&amp;START_MAXIMIZED=FALSE&amp;creator=factset&amp;display_string=Audit"}</definedName>
    <definedName name="_1485__FDSAUDITLINK__" hidden="1">{"fdsup://Directions/FactSet Auditing Viewer?action=AUDIT_VALUE&amp;DB=129&amp;ID1=58711810&amp;VALUEID=01001&amp;SDATE=200802&amp;PERIODTYPE=QTR_STD&amp;window=popup_no_bar&amp;width=385&amp;height=120&amp;START_MAXIMIZED=FALSE&amp;creator=factset&amp;display_string=Audit"}</definedName>
    <definedName name="_1486__FDSAUDITLINK__" hidden="1">{"fdsup://Directions/FactSet Auditing Viewer?action=AUDIT_VALUE&amp;DB=129&amp;ID1=58711810&amp;VALUEID=02101&amp;SDATE=200802&amp;PERIODTYPE=QTR_STD&amp;window=popup_no_bar&amp;width=385&amp;height=120&amp;START_MAXIMIZED=FALSE&amp;creator=factset&amp;display_string=Audit"}</definedName>
    <definedName name="_1487__FDSAUDITLINK__" hidden="1">{"fdsup://Directions/FactSet Auditing Viewer?action=AUDIT_VALUE&amp;DB=129&amp;ID1=58711810&amp;VALUEID=13040&amp;SDATE=200803&amp;PERIODTYPE=QTR_STD&amp;window=popup_no_bar&amp;width=385&amp;height=120&amp;START_MAXIMIZED=FALSE&amp;creator=factset&amp;display_string=Audit"}</definedName>
    <definedName name="_1488__FDSAUDITLINK__" hidden="1">{"fdsup://Directions/FactSet Auditing Viewer?action=AUDIT_VALUE&amp;DB=129&amp;ID1=58711810&amp;VALUEID=01001&amp;SDATE=200803&amp;PERIODTYPE=QTR_STD&amp;window=popup_no_bar&amp;width=385&amp;height=120&amp;START_MAXIMIZED=FALSE&amp;creator=factset&amp;display_string=Audit"}</definedName>
    <definedName name="_1489__FDSAUDITLINK__" hidden="1">{"fdsup://Directions/FactSet Auditing Viewer?action=AUDIT_VALUE&amp;DB=129&amp;ID1=58711810&amp;VALUEID=02101&amp;SDATE=200803&amp;PERIODTYPE=QTR_STD&amp;window=popup_no_bar&amp;width=385&amp;height=120&amp;START_MAXIMIZED=FALSE&amp;creator=factset&amp;display_string=Audit"}</definedName>
    <definedName name="_149__FDSAUDITLINK__" hidden="1">{"fdsup://Directions/FactSet Auditing Viewer?action=AUDIT_VALUE&amp;DB=129&amp;ID1=16890510&amp;VALUEID=02101&amp;SDATE=200802&amp;PERIODTYPE=QTR_STD&amp;window=popup_no_bar&amp;width=385&amp;height=120&amp;START_MAXIMIZED=FALSE&amp;creator=factset&amp;display_string=Audit"}</definedName>
    <definedName name="_1490__FDSAUDITLINK__" hidden="1">{"fdsup://Directions/FactSet Auditing Viewer?action=AUDIT_VALUE&amp;DB=129&amp;ID1=58711810&amp;VALUEID=01001&amp;SDATE=200804&amp;PERIODTYPE=QTR_STD&amp;window=popup_no_bar&amp;width=385&amp;height=120&amp;START_MAXIMIZED=FALSE&amp;creator=factset&amp;display_string=Audit"}</definedName>
    <definedName name="_1491__FDSAUDITLINK__" hidden="1">{"fdsup://Directions/FactSet Auditing Viewer?action=AUDIT_VALUE&amp;DB=129&amp;ID1=58711810&amp;VALUEID=13040&amp;SDATE=200902&amp;PERIODTYPE=QTR_STD&amp;window=popup_no_bar&amp;width=385&amp;height=120&amp;START_MAXIMIZED=FALSE&amp;creator=factset&amp;display_string=Audit"}</definedName>
    <definedName name="_1492__FDSAUDITLINK__" hidden="1">{"fdsup://Directions/FactSet Auditing Viewer?action=AUDIT_VALUE&amp;DB=129&amp;ID1=58711810&amp;VALUEID=01001&amp;SDATE=200902&amp;PERIODTYPE=QTR_STD&amp;window=popup_no_bar&amp;width=385&amp;height=120&amp;START_MAXIMIZED=FALSE&amp;creator=factset&amp;display_string=Audit"}</definedName>
    <definedName name="_1493__FDSAUDITLINK__" hidden="1">{"fdsup://Directions/FactSet Auditing Viewer?action=AUDIT_VALUE&amp;DB=129&amp;ID1=58711810&amp;VALUEID=02101&amp;SDATE=200902&amp;PERIODTYPE=QTR_STD&amp;window=popup_no_bar&amp;width=385&amp;height=120&amp;START_MAXIMIZED=FALSE&amp;creator=factset&amp;display_string=Audit"}</definedName>
    <definedName name="_1494__FDSAUDITLINK__" hidden="1">{"fdsup://Directions/FactSet Auditing Viewer?action=AUDIT_VALUE&amp;DB=129&amp;ID1=58711810&amp;VALUEID=13040&amp;SDATE=200903&amp;PERIODTYPE=QTR_STD&amp;window=popup_no_bar&amp;width=385&amp;height=120&amp;START_MAXIMIZED=FALSE&amp;creator=factset&amp;display_string=Audit"}</definedName>
    <definedName name="_1495__FDSAUDITLINK__" hidden="1">{"fdsup://Directions/FactSet Auditing Viewer?action=AUDIT_VALUE&amp;DB=129&amp;ID1=58711810&amp;VALUEID=01001&amp;SDATE=200903&amp;PERIODTYPE=QTR_STD&amp;window=popup_no_bar&amp;width=385&amp;height=120&amp;START_MAXIMIZED=FALSE&amp;creator=factset&amp;display_string=Audit"}</definedName>
    <definedName name="_1496__FDSAUDITLINK__" hidden="1">{"fdsup://Directions/FactSet Auditing Viewer?action=AUDIT_VALUE&amp;DB=129&amp;ID1=58711810&amp;VALUEID=02101&amp;SDATE=200903&amp;PERIODTYPE=QTR_STD&amp;window=popup_no_bar&amp;width=385&amp;height=120&amp;START_MAXIMIZED=FALSE&amp;creator=factset&amp;display_string=Audit"}</definedName>
    <definedName name="_1497__FDSAUDITLINK__" hidden="1">{"fdsup://Directions/FactSet Auditing Viewer?action=AUDIT_VALUE&amp;DB=129&amp;ID1=58711810&amp;VALUEID=13040&amp;SDATE=200904&amp;PERIODTYPE=QTR_STD&amp;window=popup_no_bar&amp;width=385&amp;height=120&amp;START_MAXIMIZED=FALSE&amp;creator=factset&amp;display_string=Audit"}</definedName>
    <definedName name="_1498__FDSAUDITLINK__" hidden="1">{"fdsup://Directions/FactSet Auditing Viewer?action=AUDIT_VALUE&amp;DB=129&amp;ID1=58711810&amp;VALUEID=01001&amp;SDATE=200904&amp;PERIODTYPE=QTR_STD&amp;window=popup_no_bar&amp;width=385&amp;height=120&amp;START_MAXIMIZED=FALSE&amp;creator=factset&amp;display_string=Audit"}</definedName>
    <definedName name="_1499__FDSAUDITLINK__" hidden="1">{"fdsup://Directions/FactSet Auditing Viewer?action=AUDIT_VALUE&amp;DB=129&amp;ID1=58711810&amp;VALUEID=13040&amp;SDATE=201001&amp;PERIODTYPE=QTR_STD&amp;window=popup_no_bar&amp;width=385&amp;height=120&amp;START_MAXIMIZED=FALSE&amp;creator=factset&amp;display_string=Audit"}</definedName>
    <definedName name="_15__FDSAUDITLINK__" hidden="1">{"fdsup://Directions/FactSet Auditing Viewer?action=AUDIT_VALUE&amp;DB=129&amp;ID1=02553E10&amp;VALUEID=02101&amp;SDATE=201001&amp;PERIODTYPE=QTR_STD&amp;window=popup_no_bar&amp;width=385&amp;height=120&amp;START_MAXIMIZED=FALSE&amp;creator=factset&amp;display_string=Audit"}</definedName>
    <definedName name="_150__FDSAUDITLINK__" hidden="1">{"fdsup://Directions/FactSet Auditing Viewer?action=AUDIT_VALUE&amp;DB=129&amp;ID1=16890510&amp;VALUEID=01001&amp;SDATE=200802&amp;PERIODTYPE=QTR_STD&amp;window=popup_no_bar&amp;width=385&amp;height=120&amp;START_MAXIMIZED=FALSE&amp;creator=factset&amp;display_string=Audit"}</definedName>
    <definedName name="_1500__FDSAUDITLINK__" hidden="1">{"fdsup://Directions/FactSet Auditing Viewer?action=AUDIT_VALUE&amp;DB=129&amp;ID1=58711810&amp;VALUEID=01001&amp;SDATE=201001&amp;PERIODTYPE=QTR_STD&amp;window=popup_no_bar&amp;width=385&amp;height=120&amp;START_MAXIMIZED=FALSE&amp;creator=factset&amp;display_string=Audit"}</definedName>
    <definedName name="_1501__FDSAUDITLINK__" hidden="1">{"fdsup://Directions/FactSet Auditing Viewer?action=AUDIT_VALUE&amp;DB=129&amp;ID1=58711810&amp;VALUEID=02101&amp;SDATE=201001&amp;PERIODTYPE=QTR_STD&amp;window=popup_no_bar&amp;width=385&amp;height=120&amp;START_MAXIMIZED=FALSE&amp;creator=factset&amp;display_string=Audit"}</definedName>
    <definedName name="_1502__FDSAUDITLINK__" hidden="1">{"fdsup://directions/FAT Viewer?action=UPDATE&amp;creator=factset&amp;DYN_ARGS=TRUE&amp;DOC_NAME=FAT:FQL_AUDITING_CLIENT_TEMPLATE.FAT&amp;display_string=Audit&amp;VAR:KEY=XOLCTGDGVG&amp;VAR:QUERY=RkZfUlRfU0ZfVE9UX0dST1NTKFFUUiwtNDQp&amp;WINDOW=FIRST_POPUP&amp;HEIGHT=450&amp;WIDTH=450&amp;START_MA","XIMIZED=FALSE&amp;VAR:CALENDAR=US&amp;VAR:SYMBOL=MW&amp;VAR:INDEX=0"}</definedName>
    <definedName name="_1503__FDSAUDITLINK__" hidden="1">{"fdsup://directions/FAT Viewer?action=UPDATE&amp;creator=factset&amp;DYN_ARGS=TRUE&amp;DOC_NAME=FAT:FQL_AUDITING_CLIENT_TEMPLATE.FAT&amp;display_string=Audit&amp;VAR:KEY=LCLADYJIPS&amp;VAR:QUERY=RkZfUlRfU0ZfVE9UX0dST1NTKFFUUiwtNDMp&amp;WINDOW=FIRST_POPUP&amp;HEIGHT=450&amp;WIDTH=450&amp;START_MA","XIMIZED=FALSE&amp;VAR:CALENDAR=US&amp;VAR:SYMBOL=MW&amp;VAR:INDEX=0"}</definedName>
    <definedName name="_1504__FDSAUDITLINK__" hidden="1">{"fdsup://directions/FAT Viewer?action=UPDATE&amp;creator=factset&amp;DYN_ARGS=TRUE&amp;DOC_NAME=FAT:FQL_AUDITING_CLIENT_TEMPLATE.FAT&amp;display_string=Audit&amp;VAR:KEY=XWVCNWVOLS&amp;VAR:QUERY=RkZfUlRfU0ZfVE9UX0dST1NTKFFUUiwtNDIp&amp;WINDOW=FIRST_POPUP&amp;HEIGHT=450&amp;WIDTH=450&amp;START_MA","XIMIZED=FALSE&amp;VAR:CALENDAR=US&amp;VAR:SYMBOL=MW&amp;VAR:INDEX=0"}</definedName>
    <definedName name="_1505__FDSAUDITLINK__" hidden="1">{"fdsup://directions/FAT Viewer?action=UPDATE&amp;creator=factset&amp;DYN_ARGS=TRUE&amp;DOC_NAME=FAT:FQL_AUDITING_CLIENT_TEMPLATE.FAT&amp;display_string=Audit&amp;VAR:KEY=RQLYDYBETO&amp;VAR:QUERY=RkZfUlRfU0ZfVE9UX0dST1NTKFFUUiwtNDEp&amp;WINDOW=FIRST_POPUP&amp;HEIGHT=450&amp;WIDTH=450&amp;START_MA","XIMIZED=FALSE&amp;VAR:CALENDAR=US&amp;VAR:SYMBOL=MW&amp;VAR:INDEX=0"}</definedName>
    <definedName name="_1506__FDSAUDITLINK__" hidden="1">{"fdsup://directions/FAT Viewer?action=UPDATE&amp;creator=factset&amp;DYN_ARGS=TRUE&amp;DOC_NAME=FAT:FQL_AUDITING_CLIENT_TEMPLATE.FAT&amp;display_string=Audit&amp;VAR:KEY=NEZQTKDIVO&amp;VAR:QUERY=RkZfUlRfU0ZfVE9UX0dST1NTKFFUUiwtNDAp&amp;WINDOW=FIRST_POPUP&amp;HEIGHT=450&amp;WIDTH=450&amp;START_MA","XIMIZED=FALSE&amp;VAR:CALENDAR=US&amp;VAR:SYMBOL=MW&amp;VAR:INDEX=0"}</definedName>
    <definedName name="_1507__FDSAUDITLINK__" hidden="1">{"fdsup://directions/FAT Viewer?action=UPDATE&amp;creator=factset&amp;DYN_ARGS=TRUE&amp;DOC_NAME=FAT:FQL_AUDITING_CLIENT_TEMPLATE.FAT&amp;display_string=Audit&amp;VAR:KEY=LWNOPUVYPS&amp;VAR:QUERY=RkZfUlRfU0ZfVE9UX0dST1NTKFFUUiwtMzkp&amp;WINDOW=FIRST_POPUP&amp;HEIGHT=450&amp;WIDTH=450&amp;START_MA","XIMIZED=FALSE&amp;VAR:CALENDAR=US&amp;VAR:SYMBOL=MW&amp;VAR:INDEX=0"}</definedName>
    <definedName name="_1508__FDSAUDITLINK__" hidden="1">{"fdsup://directions/FAT Viewer?action=UPDATE&amp;creator=factset&amp;DYN_ARGS=TRUE&amp;DOC_NAME=FAT:FQL_AUDITING_CLIENT_TEMPLATE.FAT&amp;display_string=Audit&amp;VAR:KEY=ZAPGLCVOZS&amp;VAR:QUERY=RkZfUlRfU0ZfVE9UX0dST1NTKFFUUiwtMzgp&amp;WINDOW=FIRST_POPUP&amp;HEIGHT=450&amp;WIDTH=450&amp;START_MA","XIMIZED=FALSE&amp;VAR:CALENDAR=US&amp;VAR:SYMBOL=MW&amp;VAR:INDEX=0"}</definedName>
    <definedName name="_1509__FDSAUDITLINK__" hidden="1">{"fdsup://directions/FAT Viewer?action=UPDATE&amp;creator=factset&amp;DYN_ARGS=TRUE&amp;DOC_NAME=FAT:FQL_AUDITING_CLIENT_TEMPLATE.FAT&amp;display_string=Audit&amp;VAR:KEY=BQDYNQXQZQ&amp;VAR:QUERY=RkZfUlRfU0ZfVE9UX0dST1NTKFFUUiwtMzcp&amp;WINDOW=FIRST_POPUP&amp;HEIGHT=450&amp;WIDTH=450&amp;START_MA","XIMIZED=FALSE&amp;VAR:CALENDAR=US&amp;VAR:SYMBOL=MW&amp;VAR:INDEX=0"}</definedName>
    <definedName name="_151__FDSAUDITLINK__" hidden="1">{"fdsup://Directions/FactSet Auditing Viewer?action=AUDIT_VALUE&amp;DB=129&amp;ID1=91704710&amp;VALUEID=02101&amp;SDATE=200802&amp;PERIODTYPE=QTR_STD&amp;window=popup_no_bar&amp;width=385&amp;height=120&amp;START_MAXIMIZED=FALSE&amp;creator=factset&amp;display_string=Audit"}</definedName>
    <definedName name="_1510__FDSAUDITLINK__" hidden="1">{"fdsup://directions/FAT Viewer?action=UPDATE&amp;creator=factset&amp;DYN_ARGS=TRUE&amp;DOC_NAME=FAT:FQL_AUDITING_CLIENT_TEMPLATE.FAT&amp;display_string=Audit&amp;VAR:KEY=LQRYLIVQRM&amp;VAR:QUERY=RkZfUlRfU0ZfVE9UX0dST1NTKFFUUiwtMzYp&amp;WINDOW=FIRST_POPUP&amp;HEIGHT=450&amp;WIDTH=450&amp;START_MA","XIMIZED=FALSE&amp;VAR:CALENDAR=US&amp;VAR:SYMBOL=MW&amp;VAR:INDEX=0"}</definedName>
    <definedName name="_1511__FDSAUDITLINK__" hidden="1">{"fdsup://directions/FAT Viewer?action=UPDATE&amp;creator=factset&amp;DYN_ARGS=TRUE&amp;DOC_NAME=FAT:FQL_AUDITING_CLIENT_TEMPLATE.FAT&amp;display_string=Audit&amp;VAR:KEY=BANQNYDSXS&amp;VAR:QUERY=RkZfUlRfU0ZfVE9UX0dST1NTKFFUUiwtMzUp&amp;WINDOW=FIRST_POPUP&amp;HEIGHT=450&amp;WIDTH=450&amp;START_MA","XIMIZED=FALSE&amp;VAR:CALENDAR=US&amp;VAR:SYMBOL=MW&amp;VAR:INDEX=0"}</definedName>
    <definedName name="_1512__FDSAUDITLINK__" hidden="1">{"fdsup://directions/FAT Viewer?action=UPDATE&amp;creator=factset&amp;DYN_ARGS=TRUE&amp;DOC_NAME=FAT:FQL_AUDITING_CLIENT_TEMPLATE.FAT&amp;display_string=Audit&amp;VAR:KEY=HSNSXAXATY&amp;VAR:QUERY=RkZfUlRfU0ZfVE9UX0dST1NTKFFUUiwtMzQp&amp;WINDOW=FIRST_POPUP&amp;HEIGHT=450&amp;WIDTH=450&amp;START_MA","XIMIZED=FALSE&amp;VAR:CALENDAR=US&amp;VAR:SYMBOL=MW&amp;VAR:INDEX=0"}</definedName>
    <definedName name="_1513__FDSAUDITLINK__" hidden="1">{"fdsup://directions/FAT Viewer?action=UPDATE&amp;creator=factset&amp;DYN_ARGS=TRUE&amp;DOC_NAME=FAT:FQL_AUDITING_CLIENT_TEMPLATE.FAT&amp;display_string=Audit&amp;VAR:KEY=PGFANMDELU&amp;VAR:QUERY=RkZfUlRfU0ZfVE9UX0dST1NTKFFUUiwtMzMp&amp;WINDOW=FIRST_POPUP&amp;HEIGHT=450&amp;WIDTH=450&amp;START_MA","XIMIZED=FALSE&amp;VAR:CALENDAR=US&amp;VAR:SYMBOL=MW&amp;VAR:INDEX=0"}</definedName>
    <definedName name="_1514__FDSAUDITLINK__" hidden="1">{"fdsup://directions/FAT Viewer?action=UPDATE&amp;creator=factset&amp;DYN_ARGS=TRUE&amp;DOC_NAME=FAT:FQL_AUDITING_CLIENT_TEMPLATE.FAT&amp;display_string=Audit&amp;VAR:KEY=FMTMTIJOFY&amp;VAR:QUERY=RkZfUlRfU0ZfVE9UX0dST1NTKFFUUiwtMzIp&amp;WINDOW=FIRST_POPUP&amp;HEIGHT=450&amp;WIDTH=450&amp;START_MA","XIMIZED=FALSE&amp;VAR:CALENDAR=US&amp;VAR:SYMBOL=MW&amp;VAR:INDEX=0"}</definedName>
    <definedName name="_1515__FDSAUDITLINK__" hidden="1">{"fdsup://directions/FAT Viewer?action=UPDATE&amp;creator=factset&amp;DYN_ARGS=TRUE&amp;DOC_NAME=FAT:FQL_AUDITING_CLIENT_TEMPLATE.FAT&amp;display_string=Audit&amp;VAR:KEY=DIDGTQFMXG&amp;VAR:QUERY=RkZfUlRfU0ZfVE9UX0dST1NTKFFUUiwtMzEp&amp;WINDOW=FIRST_POPUP&amp;HEIGHT=450&amp;WIDTH=450&amp;START_MA","XIMIZED=FALSE&amp;VAR:CALENDAR=US&amp;VAR:SYMBOL=MW&amp;VAR:INDEX=0"}</definedName>
    <definedName name="_1516__FDSAUDITLINK__" hidden="1">{"fdsup://directions/FAT Viewer?action=UPDATE&amp;creator=factset&amp;DYN_ARGS=TRUE&amp;DOC_NAME=FAT:FQL_AUDITING_CLIENT_TEMPLATE.FAT&amp;display_string=Audit&amp;VAR:KEY=TOHEJERMXU&amp;VAR:QUERY=RkZfUlRfU0ZfVE9UX0dST1NTKFFUUiwtMzAp&amp;WINDOW=FIRST_POPUP&amp;HEIGHT=450&amp;WIDTH=450&amp;START_MA","XIMIZED=FALSE&amp;VAR:CALENDAR=US&amp;VAR:SYMBOL=MW&amp;VAR:INDEX=0"}</definedName>
    <definedName name="_1517__FDSAUDITLINK__" hidden="1">{"fdsup://directions/FAT Viewer?action=UPDATE&amp;creator=factset&amp;DYN_ARGS=TRUE&amp;DOC_NAME=FAT:FQL_AUDITING_CLIENT_TEMPLATE.FAT&amp;display_string=Audit&amp;VAR:KEY=DYHMTQXUBK&amp;VAR:QUERY=RkZfUlRfU0ZfVE9UX0dST1NTKFFUUiwtMjkp&amp;WINDOW=FIRST_POPUP&amp;HEIGHT=450&amp;WIDTH=450&amp;START_MA","XIMIZED=FALSE&amp;VAR:CALENDAR=US&amp;VAR:SYMBOL=MW&amp;VAR:INDEX=0"}</definedName>
    <definedName name="_1518__FDSAUDITLINK__" hidden="1">{"fdsup://directions/FAT Viewer?action=UPDATE&amp;creator=factset&amp;DYN_ARGS=TRUE&amp;DOC_NAME=FAT:FQL_AUDITING_CLIENT_TEMPLATE.FAT&amp;display_string=Audit&amp;VAR:KEY=FGTULCXKBM&amp;VAR:QUERY=RkZfUlRfU0ZfVE9UX0dST1NTKFFUUiwtMjgp&amp;WINDOW=FIRST_POPUP&amp;HEIGHT=450&amp;WIDTH=450&amp;START_MA","XIMIZED=FALSE&amp;VAR:CALENDAR=US&amp;VAR:SYMBOL=MW&amp;VAR:INDEX=0"}</definedName>
    <definedName name="_1519__FDSAUDITLINK__" hidden="1">{"fdsup://directions/FAT Viewer?action=UPDATE&amp;creator=factset&amp;DYN_ARGS=TRUE&amp;DOC_NAME=FAT:FQL_AUDITING_CLIENT_TEMPLATE.FAT&amp;display_string=Audit&amp;VAR:KEY=RERODQDOZG&amp;VAR:QUERY=RkZfUlRfU0ZfVE9UX0dST1NTKFFUUiwtMjcp&amp;WINDOW=FIRST_POPUP&amp;HEIGHT=450&amp;WIDTH=450&amp;START_MA","XIMIZED=FALSE&amp;VAR:CALENDAR=US&amp;VAR:SYMBOL=MW&amp;VAR:INDEX=0"}</definedName>
    <definedName name="_152__FDSAUDITLINK__" hidden="1">{"fdsup://Directions/FactSet Auditing Viewer?action=AUDIT_VALUE&amp;DB=129&amp;ID1=91704710&amp;VALUEID=01001&amp;SDATE=200802&amp;PERIODTYPE=QTR_STD&amp;window=popup_no_bar&amp;width=385&amp;height=120&amp;START_MAXIMIZED=FALSE&amp;creator=factset&amp;display_string=Audit"}</definedName>
    <definedName name="_1520__FDSAUDITLINK__" hidden="1">{"fdsup://directions/FAT Viewer?action=UPDATE&amp;creator=factset&amp;DYN_ARGS=TRUE&amp;DOC_NAME=FAT:FQL_AUDITING_CLIENT_TEMPLATE.FAT&amp;display_string=Audit&amp;VAR:KEY=BUXULIDQNI&amp;VAR:QUERY=RkZfUlRfU0ZfVE9UX0dST1NTKFFUUiwtMjYp&amp;WINDOW=FIRST_POPUP&amp;HEIGHT=450&amp;WIDTH=450&amp;START_MA","XIMIZED=FALSE&amp;VAR:CALENDAR=US&amp;VAR:SYMBOL=MW&amp;VAR:INDEX=0"}</definedName>
    <definedName name="_1521__FDSAUDITLINK__" hidden="1">{"fdsup://directions/FAT Viewer?action=UPDATE&amp;creator=factset&amp;DYN_ARGS=TRUE&amp;DOC_NAME=FAT:FQL_AUDITING_CLIENT_TEMPLATE.FAT&amp;display_string=Audit&amp;VAR:KEY=VUVGPOJEXO&amp;VAR:QUERY=RkZfUlRfU0ZfVE9UX0dST1NTKFFUUiwtMjUp&amp;WINDOW=FIRST_POPUP&amp;HEIGHT=450&amp;WIDTH=450&amp;START_MA","XIMIZED=FALSE&amp;VAR:CALENDAR=US&amp;VAR:SYMBOL=MW&amp;VAR:INDEX=0"}</definedName>
    <definedName name="_1522__FDSAUDITLINK__" hidden="1">{"fdsup://directions/FAT Viewer?action=UPDATE&amp;creator=factset&amp;DYN_ARGS=TRUE&amp;DOC_NAME=FAT:FQL_AUDITING_CLIENT_TEMPLATE.FAT&amp;display_string=Audit&amp;VAR:KEY=HAHQZOFKDO&amp;VAR:QUERY=RkZfUlRfU0ZfVE9UX0dST1NTKFFUUiwtMjQp&amp;WINDOW=FIRST_POPUP&amp;HEIGHT=450&amp;WIDTH=450&amp;START_MA","XIMIZED=FALSE&amp;VAR:CALENDAR=US&amp;VAR:SYMBOL=MW&amp;VAR:INDEX=0"}</definedName>
    <definedName name="_1523__FDSAUDITLINK__" hidden="1">{"fdsup://directions/FAT Viewer?action=UPDATE&amp;creator=factset&amp;DYN_ARGS=TRUE&amp;DOC_NAME=FAT:FQL_AUDITING_CLIENT_TEMPLATE.FAT&amp;display_string=Audit&amp;VAR:KEY=VGDWVEVYDO&amp;VAR:QUERY=RkZfUlRfU0ZfVE9UX0dST1NTKFFUUiwtMjMp&amp;WINDOW=FIRST_POPUP&amp;HEIGHT=450&amp;WIDTH=450&amp;START_MA","XIMIZED=FALSE&amp;VAR:CALENDAR=US&amp;VAR:SYMBOL=MW&amp;VAR:INDEX=0"}</definedName>
    <definedName name="_1524__FDSAUDITLINK__" hidden="1">{"fdsup://directions/FAT Viewer?action=UPDATE&amp;creator=factset&amp;DYN_ARGS=TRUE&amp;DOC_NAME=FAT:FQL_AUDITING_CLIENT_TEMPLATE.FAT&amp;display_string=Audit&amp;VAR:KEY=XKFGJGNSBQ&amp;VAR:QUERY=RkZfUlRfU0ZfVE9UX0dST1NTKFFUUiwtMjIp&amp;WINDOW=FIRST_POPUP&amp;HEIGHT=450&amp;WIDTH=450&amp;START_MA","XIMIZED=FALSE&amp;VAR:CALENDAR=US&amp;VAR:SYMBOL=MW&amp;VAR:INDEX=0"}</definedName>
    <definedName name="_1525__FDSAUDITLINK__" hidden="1">{"fdsup://directions/FAT Viewer?action=UPDATE&amp;creator=factset&amp;DYN_ARGS=TRUE&amp;DOC_NAME=FAT:FQL_AUDITING_CLIENT_TEMPLATE.FAT&amp;display_string=Audit&amp;VAR:KEY=VGTKVQRMDE&amp;VAR:QUERY=RkZfUlRfU0ZfVE9UX0dST1NTKFFUUiwtMjEp&amp;WINDOW=FIRST_POPUP&amp;HEIGHT=450&amp;WIDTH=450&amp;START_MA","XIMIZED=FALSE&amp;VAR:CALENDAR=US&amp;VAR:SYMBOL=MW&amp;VAR:INDEX=0"}</definedName>
    <definedName name="_1526__FDSAUDITLINK__" hidden="1">{"fdsup://directions/FAT Viewer?action=UPDATE&amp;creator=factset&amp;DYN_ARGS=TRUE&amp;DOC_NAME=FAT:FQL_AUDITING_CLIENT_TEMPLATE.FAT&amp;display_string=Audit&amp;VAR:KEY=HATCRWXIPY&amp;VAR:QUERY=RkZfUlRfU0ZfVE9UX0dST1NTKFFUUiwtMjAp&amp;WINDOW=FIRST_POPUP&amp;HEIGHT=450&amp;WIDTH=450&amp;START_MA","XIMIZED=FALSE&amp;VAR:CALENDAR=US&amp;VAR:SYMBOL=MW&amp;VAR:INDEX=0"}</definedName>
    <definedName name="_1527__FDSAUDITLINK__" hidden="1">{"fdsup://directions/FAT Viewer?action=UPDATE&amp;creator=factset&amp;DYN_ARGS=TRUE&amp;DOC_NAME=FAT:FQL_AUDITING_CLIENT_TEMPLATE.FAT&amp;display_string=Audit&amp;VAR:KEY=LSDEZKHSLO&amp;VAR:QUERY=RkZfUlRfU0ZfVE9UX0dST1NTKFFUUiwtMTkp&amp;WINDOW=FIRST_POPUP&amp;HEIGHT=450&amp;WIDTH=450&amp;START_MA","XIMIZED=FALSE&amp;VAR:CALENDAR=US&amp;VAR:SYMBOL=MW&amp;VAR:INDEX=0"}</definedName>
    <definedName name="_1528__FDSAUDITLINK__" hidden="1">{"fdsup://directions/FAT Viewer?action=UPDATE&amp;creator=factset&amp;DYN_ARGS=TRUE&amp;DOC_NAME=FAT:FQL_AUDITING_CLIENT_TEMPLATE.FAT&amp;display_string=Audit&amp;VAR:KEY=PGHYZMZMNW&amp;VAR:QUERY=RkZfUlRfU0ZfVE9UX0dST1NTKFFUUiwtMTgp&amp;WINDOW=FIRST_POPUP&amp;HEIGHT=450&amp;WIDTH=450&amp;START_MA","XIMIZED=FALSE&amp;VAR:CALENDAR=US&amp;VAR:SYMBOL=MW&amp;VAR:INDEX=0"}</definedName>
    <definedName name="_1529__FDSAUDITLINK__" hidden="1">{"fdsup://directions/FAT Viewer?action=UPDATE&amp;creator=factset&amp;DYN_ARGS=TRUE&amp;DOC_NAME=FAT:FQL_AUDITING_CLIENT_TEMPLATE.FAT&amp;display_string=Audit&amp;VAR:KEY=NIHCFUBCLC&amp;VAR:QUERY=RkZfUlRfU0ZfVE9UX0dST1NTKFFUUiwtMTcp&amp;WINDOW=FIRST_POPUP&amp;HEIGHT=450&amp;WIDTH=450&amp;START_MA","XIMIZED=FALSE&amp;VAR:CALENDAR=US&amp;VAR:SYMBOL=MW&amp;VAR:INDEX=0"}</definedName>
    <definedName name="_153__FDSAUDITLINK__" hidden="1">{"fdsup://Directions/FactSet Auditing Viewer?action=AUDIT_VALUE&amp;DB=129&amp;ID1=91704710&amp;VALUEID=13040&amp;SDATE=200802&amp;PERIODTYPE=QTR_STD&amp;window=popup_no_bar&amp;width=385&amp;height=120&amp;START_MAXIMIZED=FALSE&amp;creator=factset&amp;display_string=Audit"}</definedName>
    <definedName name="_1530__FDSAUDITLINK__" hidden="1">{"fdsup://directions/FAT Viewer?action=UPDATE&amp;creator=factset&amp;DYN_ARGS=TRUE&amp;DOC_NAME=FAT:FQL_AUDITING_CLIENT_TEMPLATE.FAT&amp;display_string=Audit&amp;VAR:KEY=RKPQDQZENU&amp;VAR:QUERY=RkZfUlRfU0ZfVE9UX0dST1NTKFFUUiwtMTYp&amp;WINDOW=FIRST_POPUP&amp;HEIGHT=450&amp;WIDTH=450&amp;START_MA","XIMIZED=FALSE&amp;VAR:CALENDAR=US&amp;VAR:SYMBOL=MW&amp;VAR:INDEX=0"}</definedName>
    <definedName name="_1531__FDSAUDITLINK__" hidden="1">{"fdsup://directions/FAT Viewer?action=UPDATE&amp;creator=factset&amp;DYN_ARGS=TRUE&amp;DOC_NAME=FAT:FQL_AUDITING_CLIENT_TEMPLATE.FAT&amp;display_string=Audit&amp;VAR:KEY=DGFWHAXCHW&amp;VAR:QUERY=RkZfUlRfU0ZfVE9UX0dST1NTKFFUUiwtMTUp&amp;WINDOW=FIRST_POPUP&amp;HEIGHT=450&amp;WIDTH=450&amp;START_MA","XIMIZED=FALSE&amp;VAR:CALENDAR=US&amp;VAR:SYMBOL=MW&amp;VAR:INDEX=0"}</definedName>
    <definedName name="_1532__FDSAUDITLINK__" hidden="1">{"fdsup://directions/FAT Viewer?action=UPDATE&amp;creator=factset&amp;DYN_ARGS=TRUE&amp;DOC_NAME=FAT:FQL_AUDITING_CLIENT_TEMPLATE.FAT&amp;display_string=Audit&amp;VAR:KEY=RIPOZCVKJU&amp;VAR:QUERY=RkZfUlRfU0ZfVE9UX0dST1NTKFFUUiwtMTQp&amp;WINDOW=FIRST_POPUP&amp;HEIGHT=450&amp;WIDTH=450&amp;START_MA","XIMIZED=FALSE&amp;VAR:CALENDAR=US&amp;VAR:SYMBOL=MW&amp;VAR:INDEX=0"}</definedName>
    <definedName name="_1533__FDSAUDITLINK__" hidden="1">{"fdsup://directions/FAT Viewer?action=UPDATE&amp;creator=factset&amp;DYN_ARGS=TRUE&amp;DOC_NAME=FAT:FQL_AUDITING_CLIENT_TEMPLATE.FAT&amp;display_string=Audit&amp;VAR:KEY=HGNWDSTIVA&amp;VAR:QUERY=RkZfUlRfU0ZfVE9UX0dST1NTKFFUUiwtMTMp&amp;WINDOW=FIRST_POPUP&amp;HEIGHT=450&amp;WIDTH=450&amp;START_MA","XIMIZED=FALSE&amp;VAR:CALENDAR=US&amp;VAR:SYMBOL=MW&amp;VAR:INDEX=0"}</definedName>
    <definedName name="_1534__FDSAUDITLINK__" hidden="1">{"fdsup://directions/FAT Viewer?action=UPDATE&amp;creator=factset&amp;DYN_ARGS=TRUE&amp;DOC_NAME=FAT:FQL_AUDITING_CLIENT_TEMPLATE.FAT&amp;display_string=Audit&amp;VAR:KEY=TSBWJUTAVW&amp;VAR:QUERY=RkZfUlRfU0ZfVE9UX0dST1NTKFFUUiwtMTIp&amp;WINDOW=FIRST_POPUP&amp;HEIGHT=450&amp;WIDTH=450&amp;START_MA","XIMIZED=FALSE&amp;VAR:CALENDAR=US&amp;VAR:SYMBOL=MW&amp;VAR:INDEX=0"}</definedName>
    <definedName name="_1535__FDSAUDITLINK__" hidden="1">{"fdsup://directions/FAT Viewer?action=UPDATE&amp;creator=factset&amp;DYN_ARGS=TRUE&amp;DOC_NAME=FAT:FQL_AUDITING_CLIENT_TEMPLATE.FAT&amp;display_string=Audit&amp;VAR:KEY=NOFAHIRKNW&amp;VAR:QUERY=RkZfUlRfU0ZfVE9UX0dST1NTKFFUUiwtMTEp&amp;WINDOW=FIRST_POPUP&amp;HEIGHT=450&amp;WIDTH=450&amp;START_MA","XIMIZED=FALSE&amp;VAR:CALENDAR=US&amp;VAR:SYMBOL=MW&amp;VAR:INDEX=0"}</definedName>
    <definedName name="_1536__FDSAUDITLINK__" hidden="1">{"fdsup://directions/FAT Viewer?action=UPDATE&amp;creator=factset&amp;DYN_ARGS=TRUE&amp;DOC_NAME=FAT:FQL_AUDITING_CLIENT_TEMPLATE.FAT&amp;display_string=Audit&amp;VAR:KEY=NIVIHMZYZO&amp;VAR:QUERY=RkZfUlRfU0ZfVE9UX0dST1NTKFFUUiwtMTAp&amp;WINDOW=FIRST_POPUP&amp;HEIGHT=450&amp;WIDTH=450&amp;START_MA","XIMIZED=FALSE&amp;VAR:CALENDAR=US&amp;VAR:SYMBOL=MW&amp;VAR:INDEX=0"}</definedName>
    <definedName name="_1537__FDSAUDITLINK__" hidden="1">{"fdsup://directions/FAT Viewer?action=UPDATE&amp;creator=factset&amp;DYN_ARGS=TRUE&amp;DOC_NAME=FAT:FQL_AUDITING_CLIENT_TEMPLATE.FAT&amp;display_string=Audit&amp;VAR:KEY=LIFEZIXONO&amp;VAR:QUERY=RkZfUlRfU0ZfVE9UX0dST1NTKFFUUiwtOSk=&amp;WINDOW=FIRST_POPUP&amp;HEIGHT=450&amp;WIDTH=450&amp;START_MA","XIMIZED=FALSE&amp;VAR:CALENDAR=US&amp;VAR:SYMBOL=MW&amp;VAR:INDEX=0"}</definedName>
    <definedName name="_1538__FDSAUDITLINK__" hidden="1">{"fdsup://directions/FAT Viewer?action=UPDATE&amp;creator=factset&amp;DYN_ARGS=TRUE&amp;DOC_NAME=FAT:FQL_AUDITING_CLIENT_TEMPLATE.FAT&amp;display_string=Audit&amp;VAR:KEY=ZYBGTQFENI&amp;VAR:QUERY=RkZfUlRfU0ZfVE9UX0dST1NTKFFUUiwtOCk=&amp;WINDOW=FIRST_POPUP&amp;HEIGHT=450&amp;WIDTH=450&amp;START_MA","XIMIZED=FALSE&amp;VAR:CALENDAR=US&amp;VAR:SYMBOL=MW&amp;VAR:INDEX=0"}</definedName>
    <definedName name="_1539__FDSAUDITLINK__" hidden="1">{"fdsup://directions/FAT Viewer?action=UPDATE&amp;creator=factset&amp;DYN_ARGS=TRUE&amp;DOC_NAME=FAT:FQL_AUDITING_CLIENT_TEMPLATE.FAT&amp;display_string=Audit&amp;VAR:KEY=PKHARSBEJO&amp;VAR:QUERY=RkZfUlRfU0ZfVE9UX0dST1NTKFFUUiwtNyk=&amp;WINDOW=FIRST_POPUP&amp;HEIGHT=450&amp;WIDTH=450&amp;START_MA","XIMIZED=FALSE&amp;VAR:CALENDAR=US&amp;VAR:SYMBOL=MW&amp;VAR:INDEX=0"}</definedName>
    <definedName name="_154__FDSAUDITLINK__" hidden="1">{"fdsup://Directions/FactSet Auditing Viewer?action=AUDIT_VALUE&amp;DB=129&amp;ID1=02553E10&amp;VALUEID=02101&amp;SDATE=200802&amp;PERIODTYPE=QTR_STD&amp;window=popup_no_bar&amp;width=385&amp;height=120&amp;START_MAXIMIZED=FALSE&amp;creator=factset&amp;display_string=Audit"}</definedName>
    <definedName name="_1540__FDSAUDITLINK__" hidden="1">{"fdsup://directions/FAT Viewer?action=UPDATE&amp;creator=factset&amp;DYN_ARGS=TRUE&amp;DOC_NAME=FAT:FQL_AUDITING_CLIENT_TEMPLATE.FAT&amp;display_string=Audit&amp;VAR:KEY=TUFIDOPGDK&amp;VAR:QUERY=RkZfUlRfU0ZfVE9UX0dST1NTKFFUUiwtNik=&amp;WINDOW=FIRST_POPUP&amp;HEIGHT=450&amp;WIDTH=450&amp;START_MA","XIMIZED=FALSE&amp;VAR:CALENDAR=US&amp;VAR:SYMBOL=MW&amp;VAR:INDEX=0"}</definedName>
    <definedName name="_1541__FDSAUDITLINK__" hidden="1">{"fdsup://directions/FAT Viewer?action=UPDATE&amp;creator=factset&amp;DYN_ARGS=TRUE&amp;DOC_NAME=FAT:FQL_AUDITING_CLIENT_TEMPLATE.FAT&amp;display_string=Audit&amp;VAR:KEY=JOTIDWFUPO&amp;VAR:QUERY=RkZfUlRfU0ZfVE9UX0dST1NTKFFUUiwtNSk=&amp;WINDOW=FIRST_POPUP&amp;HEIGHT=450&amp;WIDTH=450&amp;START_MA","XIMIZED=FALSE&amp;VAR:CALENDAR=US&amp;VAR:SYMBOL=MW&amp;VAR:INDEX=0"}</definedName>
    <definedName name="_1542__FDSAUDITLINK__" hidden="1">{"fdsup://directions/FAT Viewer?action=UPDATE&amp;creator=factset&amp;DYN_ARGS=TRUE&amp;DOC_NAME=FAT:FQL_AUDITING_CLIENT_TEMPLATE.FAT&amp;display_string=Audit&amp;VAR:KEY=VWLUVOLOTS&amp;VAR:QUERY=RkZfUlRfU0ZfVE9UX0dST1NTKFFUUiwtNCk=&amp;WINDOW=FIRST_POPUP&amp;HEIGHT=450&amp;WIDTH=450&amp;START_MA","XIMIZED=FALSE&amp;VAR:CALENDAR=US&amp;VAR:SYMBOL=MW&amp;VAR:INDEX=0"}</definedName>
    <definedName name="_1543__FDSAUDITLINK__" hidden="1">{"fdsup://directions/FAT Viewer?action=UPDATE&amp;creator=factset&amp;DYN_ARGS=TRUE&amp;DOC_NAME=FAT:FQL_AUDITING_CLIENT_TEMPLATE.FAT&amp;display_string=Audit&amp;VAR:KEY=NUNEHSBQVC&amp;VAR:QUERY=RkZfUlRfU0ZfVE9UX0dST1NTKFFUUiwtMyk=&amp;WINDOW=FIRST_POPUP&amp;HEIGHT=450&amp;WIDTH=450&amp;START_MA","XIMIZED=FALSE&amp;VAR:CALENDAR=US&amp;VAR:SYMBOL=MW&amp;VAR:INDEX=0"}</definedName>
    <definedName name="_1544__FDSAUDITLINK__" hidden="1">{"fdsup://directions/FAT Viewer?action=UPDATE&amp;creator=factset&amp;DYN_ARGS=TRUE&amp;DOC_NAME=FAT:FQL_AUDITING_CLIENT_TEMPLATE.FAT&amp;display_string=Audit&amp;VAR:KEY=DYVEJGLOTU&amp;VAR:QUERY=RkZfUlRfU0ZfVE9UX0dST1NTKFFUUiwtMik=&amp;WINDOW=FIRST_POPUP&amp;HEIGHT=450&amp;WIDTH=450&amp;START_MA","XIMIZED=FALSE&amp;VAR:CALENDAR=US&amp;VAR:SYMBOL=MW&amp;VAR:INDEX=0"}</definedName>
    <definedName name="_1545__FDSAUDITLINK__" hidden="1">{"fdsup://directions/FAT Viewer?action=UPDATE&amp;creator=factset&amp;DYN_ARGS=TRUE&amp;DOC_NAME=FAT:FQL_AUDITING_CLIENT_TEMPLATE.FAT&amp;display_string=Audit&amp;VAR:KEY=NAVAPYPWTC&amp;VAR:QUERY=RkZfUlRfU0ZfVE9UX0dST1NTKFFUUiwtMSk=&amp;WINDOW=FIRST_POPUP&amp;HEIGHT=450&amp;WIDTH=450&amp;START_MA","XIMIZED=FALSE&amp;VAR:CALENDAR=US&amp;VAR:SYMBOL=MW&amp;VAR:INDEX=0"}</definedName>
    <definedName name="_1546__FDSAUDITLINK__" hidden="1">{"fdsup://directions/FAT Viewer?action=UPDATE&amp;creator=factset&amp;DYN_ARGS=TRUE&amp;DOC_NAME=FAT:FQL_AUDITING_CLIENT_TEMPLATE.FAT&amp;display_string=Audit&amp;VAR:KEY=XIDOJQDIDO&amp;VAR:QUERY=RkZfUlRfU0ZfVE9UX0dST1NTKFFUUiwwKQ==&amp;WINDOW=FIRST_POPUP&amp;HEIGHT=450&amp;WIDTH=450&amp;START_MA","XIMIZED=FALSE&amp;VAR:CALENDAR=US&amp;VAR:SYMBOL=MW&amp;VAR:INDEX=0"}</definedName>
    <definedName name="_1547__FDSAUDITLINK__" hidden="1">{"fdsup://directions/FAT Viewer?action=UPDATE&amp;creator=factset&amp;DYN_ARGS=TRUE&amp;DOC_NAME=FAT:FQL_AUDITING_CLIENT_TEMPLATE.FAT&amp;display_string=Audit&amp;VAR:KEY=TSBWJUTAVW&amp;VAR:QUERY=RkZfUlRfU0ZfVE9UX0dST1NTKFFUUiwtMTIp&amp;WINDOW=FIRST_POPUP&amp;HEIGHT=450&amp;WIDTH=450&amp;START_MA","XIMIZED=FALSE&amp;VAR:CALENDAR=US&amp;VAR:SYMBOL=MW&amp;VAR:INDEX=0"}</definedName>
    <definedName name="_1548__FDSAUDITLINK__" hidden="1">{"fdsup://directions/FAT Viewer?action=UPDATE&amp;creator=factset&amp;DYN_ARGS=TRUE&amp;DOC_NAME=FAT:FQL_AUDITING_CLIENT_TEMPLATE.FAT&amp;display_string=Audit&amp;VAR:KEY=NOFAHIRKNW&amp;VAR:QUERY=RkZfUlRfU0ZfVE9UX0dST1NTKFFUUiwtMTEp&amp;WINDOW=FIRST_POPUP&amp;HEIGHT=450&amp;WIDTH=450&amp;START_MA","XIMIZED=FALSE&amp;VAR:CALENDAR=US&amp;VAR:SYMBOL=MW&amp;VAR:INDEX=0"}</definedName>
    <definedName name="_1549__FDSAUDITLINK__" hidden="1">{"fdsup://directions/FAT Viewer?action=UPDATE&amp;creator=factset&amp;DYN_ARGS=TRUE&amp;DOC_NAME=FAT:FQL_AUDITING_CLIENT_TEMPLATE.FAT&amp;display_string=Audit&amp;VAR:KEY=NIVIHMZYZO&amp;VAR:QUERY=RkZfUlRfU0ZfVE9UX0dST1NTKFFUUiwtMTAp&amp;WINDOW=FIRST_POPUP&amp;HEIGHT=450&amp;WIDTH=450&amp;START_MA","XIMIZED=FALSE&amp;VAR:CALENDAR=US&amp;VAR:SYMBOL=MW&amp;VAR:INDEX=0"}</definedName>
    <definedName name="_155__FDSAUDITLINK__" hidden="1">{"fdsup://Directions/FactSet Auditing Viewer?action=AUDIT_VALUE&amp;DB=129&amp;ID1=02553E10&amp;VALUEID=01001&amp;SDATE=200802&amp;PERIODTYPE=QTR_STD&amp;window=popup_no_bar&amp;width=385&amp;height=120&amp;START_MAXIMIZED=FALSE&amp;creator=factset&amp;display_string=Audit"}</definedName>
    <definedName name="_1550__FDSAUDITLINK__" hidden="1">{"fdsup://Directions/FactSet Auditing Viewer?action=AUDIT_VALUE&amp;DB=129&amp;ID1=87416110&amp;VALUEID=02101&amp;SDATE=201001&amp;PERIODTYPE=QTR_STD&amp;window=popup_no_bar&amp;width=385&amp;height=120&amp;START_MAXIMIZED=FALSE&amp;creator=factset&amp;display_string=Audit"}</definedName>
    <definedName name="_1551__FDSAUDITLINK__" hidden="1">{"fdsup://Directions/FactSet Auditing Viewer?action=AUDIT_VALUE&amp;DB=129&amp;ID1=87416110&amp;VALUEID=13040&amp;SDATE=201001&amp;PERIODTYPE=QTR_STD&amp;window=popup_no_bar&amp;width=385&amp;height=120&amp;START_MAXIMIZED=FALSE&amp;creator=factset&amp;display_string=Audit"}</definedName>
    <definedName name="_1552__FDSAUDITLINK__" hidden="1">{"fdsup://directions/FAT Viewer?action=UPDATE&amp;creator=factset&amp;DYN_ARGS=TRUE&amp;DOC_NAME=FAT:FQL_AUDITING_CLIENT_TEMPLATE.FAT&amp;display_string=Audit&amp;VAR:KEY=FSTUHMJIBA&amp;VAR:QUERY=RkZfUlRfU0ZfVE9UX0dST1NTKFFUUiwwKQ==&amp;WINDOW=FIRST_POPUP&amp;HEIGHT=450&amp;WIDTH=450&amp;START_MA","XIMIZED=FALSE&amp;VAR:CALENDAR=US&amp;VAR:SYMBOL=TLB&amp;VAR:INDEX=0"}</definedName>
    <definedName name="_1553__FDSAUDITLINK__" hidden="1">{"fdsup://Directions/FactSet Auditing Viewer?action=AUDIT_VALUE&amp;DB=129&amp;ID1=53271610&amp;VALUEID=02101&amp;SDATE=201001&amp;PERIODTYPE=QTR_STD&amp;window=popup_no_bar&amp;width=385&amp;height=120&amp;START_MAXIMIZED=FALSE&amp;creator=factset&amp;display_string=Audit"}</definedName>
    <definedName name="_1554__FDSAUDITLINK__" hidden="1">{"fdsup://Directions/FactSet Auditing Viewer?action=AUDIT_VALUE&amp;DB=129&amp;ID1=53271610&amp;VALUEID=13040&amp;SDATE=201001&amp;PERIODTYPE=QTR_STD&amp;window=popup_no_bar&amp;width=385&amp;height=120&amp;START_MAXIMIZED=FALSE&amp;creator=factset&amp;display_string=Audit"}</definedName>
    <definedName name="_1555__FDSAUDITLINK__" hidden="1">{"fdsup://Directions/FactSet Auditing Viewer?action=AUDIT_VALUE&amp;DB=129&amp;ID1=46612H40&amp;VALUEID=02101&amp;SDATE=201001&amp;PERIODTYPE=QTR_STD&amp;window=popup_no_bar&amp;width=385&amp;height=120&amp;START_MAXIMIZED=FALSE&amp;creator=factset&amp;display_string=Audit"}</definedName>
    <definedName name="_1556__FDSAUDITLINK__" hidden="1">{"fdsup://Directions/FactSet Auditing Viewer?action=AUDIT_VALUE&amp;DB=129&amp;ID1=46612H40&amp;VALUEID=13040&amp;SDATE=201001&amp;PERIODTYPE=QTR_STD&amp;window=popup_no_bar&amp;width=385&amp;height=120&amp;START_MAXIMIZED=FALSE&amp;creator=factset&amp;display_string=Audit"}</definedName>
    <definedName name="_1557__FDSAUDITLINK__" hidden="1">{"fdsup://Directions/FactSet Auditing Viewer?action=AUDIT_VALUE&amp;DB=129&amp;ID1=36476010&amp;VALUEID=02101&amp;SDATE=201001&amp;PERIODTYPE=QTR_STD&amp;window=popup_no_bar&amp;width=385&amp;height=120&amp;START_MAXIMIZED=FALSE&amp;creator=factset&amp;display_string=Audit"}</definedName>
    <definedName name="_1558__FDSAUDITLINK__" hidden="1">{"fdsup://Directions/FactSet Auditing Viewer?action=AUDIT_VALUE&amp;DB=129&amp;ID1=36476010&amp;VALUEID=13040&amp;SDATE=201001&amp;PERIODTYPE=QTR_STD&amp;window=popup_no_bar&amp;width=385&amp;height=120&amp;START_MAXIMIZED=FALSE&amp;creator=factset&amp;display_string=Audit"}</definedName>
    <definedName name="_1559__FDSAUDITLINK__" hidden="1">{"fdsup://Directions/FactSet Auditing Viewer?action=AUDIT_VALUE&amp;DB=129&amp;ID1=03611510&amp;VALUEID=02101&amp;SDATE=201001&amp;PERIODTYPE=QTR_STD&amp;window=popup_no_bar&amp;width=385&amp;height=120&amp;START_MAXIMIZED=FALSE&amp;creator=factset&amp;display_string=Audit"}</definedName>
    <definedName name="_156__FDSAUDITLINK__" hidden="1">{"fdsup://Directions/FactSet Auditing Viewer?action=AUDIT_VALUE&amp;DB=129&amp;ID1=02553E10&amp;VALUEID=13040&amp;SDATE=200802&amp;PERIODTYPE=QTR_STD&amp;window=popup_no_bar&amp;width=385&amp;height=120&amp;START_MAXIMIZED=FALSE&amp;creator=factset&amp;display_string=Audit"}</definedName>
    <definedName name="_1560__FDSAUDITLINK__" hidden="1">{"fdsup://Directions/FactSet Auditing Viewer?action=AUDIT_VALUE&amp;DB=129&amp;ID1=03611510&amp;VALUEID=13040&amp;SDATE=201001&amp;PERIODTYPE=QTR_STD&amp;window=popup_no_bar&amp;width=385&amp;height=120&amp;START_MAXIMIZED=FALSE&amp;creator=factset&amp;display_string=Audit"}</definedName>
    <definedName name="_1561__FDSAUDITLINK__" hidden="1">{"fdsup://Directions/FactSet Auditing Viewer?action=AUDIT_VALUE&amp;DB=129&amp;ID1=16890510&amp;VALUEID=02101&amp;SDATE=201001&amp;PERIODTYPE=QTR_STD&amp;window=popup_no_bar&amp;width=385&amp;height=120&amp;START_MAXIMIZED=FALSE&amp;creator=factset&amp;display_string=Audit"}</definedName>
    <definedName name="_1562__FDSAUDITLINK__" hidden="1">{"fdsup://Directions/FactSet Auditing Viewer?action=AUDIT_VALUE&amp;DB=129&amp;ID1=91704710&amp;VALUEID=02101&amp;SDATE=201001&amp;PERIODTYPE=QTR_STD&amp;window=popup_no_bar&amp;width=385&amp;height=120&amp;START_MAXIMIZED=FALSE&amp;creator=factset&amp;display_string=Audit"}</definedName>
    <definedName name="_1563__FDSAUDITLINK__" hidden="1">{"fdsup://Directions/FactSet Auditing Viewer?action=AUDIT_VALUE&amp;DB=129&amp;ID1=91704710&amp;VALUEID=13040&amp;SDATE=201001&amp;PERIODTYPE=QTR_STD&amp;window=popup_no_bar&amp;width=385&amp;height=120&amp;START_MAXIMIZED=FALSE&amp;creator=factset&amp;display_string=Audit"}</definedName>
    <definedName name="_1564__FDSAUDITLINK__" hidden="1">{"fdsup://Directions/FactSet Auditing Viewer?action=AUDIT_VALUE&amp;DB=129&amp;ID1=02553E10&amp;VALUEID=02101&amp;SDATE=201001&amp;PERIODTYPE=QTR_STD&amp;window=popup_no_bar&amp;width=385&amp;height=120&amp;START_MAXIMIZED=FALSE&amp;creator=factset&amp;display_string=Audit"}</definedName>
    <definedName name="_1565__FDSAUDITLINK__" hidden="1">{"fdsup://Directions/FactSet Auditing Viewer?action=AUDIT_VALUE&amp;DB=129&amp;ID1=02553E10&amp;VALUEID=13040&amp;SDATE=201001&amp;PERIODTYPE=QTR_STD&amp;window=popup_no_bar&amp;width=385&amp;height=120&amp;START_MAXIMIZED=FALSE&amp;creator=factset&amp;display_string=Audit"}</definedName>
    <definedName name="_1566__FDSAUDITLINK__" hidden="1">{"fdsup://Directions/FactSet Auditing Viewer?action=AUDIT_VALUE&amp;DB=129&amp;ID1=00786510&amp;VALUEID=02101&amp;SDATE=201001&amp;PERIODTYPE=QTR_STD&amp;window=popup_no_bar&amp;width=385&amp;height=120&amp;START_MAXIMIZED=FALSE&amp;creator=factset&amp;display_string=Audit"}</definedName>
    <definedName name="_1567__FDSAUDITLINK__" hidden="1">{"fdsup://Directions/FactSet Auditing Viewer?action=AUDIT_VALUE&amp;DB=129&amp;ID1=00786510&amp;VALUEID=13040&amp;SDATE=201001&amp;PERIODTYPE=QTR_STD&amp;window=popup_no_bar&amp;width=385&amp;height=120&amp;START_MAXIMIZED=FALSE&amp;creator=factset&amp;display_string=Audit"}</definedName>
    <definedName name="_1568__FDSAUDITLINK__" hidden="1">{"fdsup://Directions/FactSet Auditing Viewer?action=AUDIT_VALUE&amp;DB=129&amp;ID1=00289620&amp;VALUEID=02101&amp;SDATE=201001&amp;PERIODTYPE=QTR_STD&amp;window=popup_no_bar&amp;width=385&amp;height=120&amp;START_MAXIMIZED=FALSE&amp;creator=factset&amp;display_string=Audit"}</definedName>
    <definedName name="_1569__FDSAUDITLINK__" hidden="1">{"fdsup://Directions/FactSet Auditing Viewer?action=AUDIT_VALUE&amp;DB=129&amp;ID1=00289620&amp;VALUEID=13040&amp;SDATE=201001&amp;PERIODTYPE=QTR_STD&amp;window=popup_no_bar&amp;width=385&amp;height=120&amp;START_MAXIMIZED=FALSE&amp;creator=factset&amp;display_string=Audit"}</definedName>
    <definedName name="_157__FDSAUDITLINK__" hidden="1">{"fdsup://Directions/FactSet Auditing Viewer?action=AUDIT_VALUE&amp;DB=129&amp;ID1=00786510&amp;VALUEID=02101&amp;SDATE=200802&amp;PERIODTYPE=QTR_STD&amp;window=popup_no_bar&amp;width=385&amp;height=120&amp;START_MAXIMIZED=FALSE&amp;creator=factset&amp;display_string=Audit"}</definedName>
    <definedName name="_1570__FDSAUDITLINK__" hidden="1">{"fdsup://Directions/FactSet Auditing Viewer?action=AUDIT_VALUE&amp;DB=129&amp;ID1=87416110&amp;VALUEID=01001&amp;SDATE=200904&amp;PERIODTYPE=QTR_STD&amp;window=popup_no_bar&amp;width=385&amp;height=120&amp;START_MAXIMIZED=FALSE&amp;creator=factset&amp;display_string=Audit"}</definedName>
    <definedName name="_1571__FDSAUDITLINK__" hidden="1">{"fdsup://directions/FAT Viewer?action=UPDATE&amp;creator=factset&amp;DYN_ARGS=TRUE&amp;DOC_NAME=FAT:FQL_AUDITING_CLIENT_TEMPLATE.FAT&amp;display_string=Audit&amp;VAR:KEY=BIFCDOPIRG&amp;VAR:QUERY=RkZfUlRfU0ZfVE9UX0dST1NTKFFUUiwtMSk=&amp;WINDOW=FIRST_POPUP&amp;HEIGHT=450&amp;WIDTH=450&amp;START_MA","XIMIZED=FALSE&amp;VAR:CALENDAR=US&amp;VAR:SYMBOL=TLB&amp;VAR:INDEX=0"}</definedName>
    <definedName name="_1572__FDSAUDITLINK__" hidden="1">{"fdsup://Directions/FactSet Auditing Viewer?action=AUDIT_VALUE&amp;DB=129&amp;ID1=46612H40&amp;VALUEID=01001&amp;SDATE=200904&amp;PERIODTYPE=QTR_STD&amp;window=popup_no_bar&amp;width=385&amp;height=120&amp;START_MAXIMIZED=FALSE&amp;creator=factset&amp;display_string=Audit"}</definedName>
    <definedName name="_1573__FDSAUDITLINK__" hidden="1">{"fdsup://Directions/FactSet Auditing Viewer?action=AUDIT_VALUE&amp;DB=129&amp;ID1=36476010&amp;VALUEID=01001&amp;SDATE=200904&amp;PERIODTYPE=QTR_STD&amp;window=popup_no_bar&amp;width=385&amp;height=120&amp;START_MAXIMIZED=FALSE&amp;creator=factset&amp;display_string=Audit"}</definedName>
    <definedName name="_1574__FDSAUDITLINK__" hidden="1">{"fdsup://Directions/FactSet Auditing Viewer?action=AUDIT_VALUE&amp;DB=129&amp;ID1=03611510&amp;VALUEID=01001&amp;SDATE=200904&amp;PERIODTYPE=QTR_STD&amp;window=popup_no_bar&amp;width=385&amp;height=120&amp;START_MAXIMIZED=FALSE&amp;creator=factset&amp;display_string=Audit"}</definedName>
    <definedName name="_1575__FDSAUDITLINK__" hidden="1">{"fdsup://Directions/FactSet Auditing Viewer?action=AUDIT_VALUE&amp;DB=129&amp;ID1=16890510&amp;VALUEID=01001&amp;SDATE=200904&amp;PERIODTYPE=QTR_STD&amp;window=popup_no_bar&amp;width=385&amp;height=120&amp;START_MAXIMIZED=FALSE&amp;creator=factset&amp;display_string=Audit"}</definedName>
    <definedName name="_1576__FDSAUDITLINK__" hidden="1">{"fdsup://Directions/FactSet Auditing Viewer?action=AUDIT_VALUE&amp;DB=129&amp;ID1=91704710&amp;VALUEID=01001&amp;SDATE=200904&amp;PERIODTYPE=QTR_STD&amp;window=popup_no_bar&amp;width=385&amp;height=120&amp;START_MAXIMIZED=FALSE&amp;creator=factset&amp;display_string=Audit"}</definedName>
    <definedName name="_1577__FDSAUDITLINK__" hidden="1">{"fdsup://Directions/FactSet Auditing Viewer?action=AUDIT_VALUE&amp;DB=129&amp;ID1=02553E10&amp;VALUEID=01001&amp;SDATE=200904&amp;PERIODTYPE=QTR_STD&amp;window=popup_no_bar&amp;width=385&amp;height=120&amp;START_MAXIMIZED=FALSE&amp;creator=factset&amp;display_string=Audit"}</definedName>
    <definedName name="_1578__FDSAUDITLINK__" hidden="1">{"fdsup://Directions/FactSet Auditing Viewer?action=AUDIT_VALUE&amp;DB=129&amp;ID1=00786510&amp;VALUEID=01001&amp;SDATE=200904&amp;PERIODTYPE=QTR_STD&amp;window=popup_no_bar&amp;width=385&amp;height=120&amp;START_MAXIMIZED=FALSE&amp;creator=factset&amp;display_string=Audit"}</definedName>
    <definedName name="_1579__FDSAUDITLINK__" hidden="1">{"fdsup://Directions/FactSet Auditing Viewer?action=AUDIT_VALUE&amp;DB=129&amp;ID1=87416110&amp;VALUEID=02101&amp;SDATE=200903&amp;PERIODTYPE=QTR_STD&amp;window=popup_no_bar&amp;width=385&amp;height=120&amp;START_MAXIMIZED=FALSE&amp;creator=factset&amp;display_string=Audit"}</definedName>
    <definedName name="_158__FDSAUDITLINK__" hidden="1">{"fdsup://Directions/FactSet Auditing Viewer?action=AUDIT_VALUE&amp;DB=129&amp;ID1=00786510&amp;VALUEID=01001&amp;SDATE=200802&amp;PERIODTYPE=QTR_STD&amp;window=popup_no_bar&amp;width=385&amp;height=120&amp;START_MAXIMIZED=FALSE&amp;creator=factset&amp;display_string=Audit"}</definedName>
    <definedName name="_1580__FDSAUDITLINK__" hidden="1">{"fdsup://Directions/FactSet Auditing Viewer?action=AUDIT_VALUE&amp;DB=129&amp;ID1=87416110&amp;VALUEID=01001&amp;SDATE=200903&amp;PERIODTYPE=QTR_STD&amp;window=popup_no_bar&amp;width=385&amp;height=120&amp;START_MAXIMIZED=FALSE&amp;creator=factset&amp;display_string=Audit"}</definedName>
    <definedName name="_1581__FDSAUDITLINK__" hidden="1">{"fdsup://Directions/FactSet Auditing Viewer?action=AUDIT_VALUE&amp;DB=129&amp;ID1=87416110&amp;VALUEID=13040&amp;SDATE=200903&amp;PERIODTYPE=QTR_STD&amp;window=popup_no_bar&amp;width=385&amp;height=120&amp;START_MAXIMIZED=FALSE&amp;creator=factset&amp;display_string=Audit"}</definedName>
    <definedName name="_1582__FDSAUDITLINK__" hidden="1">{"fdsup://directions/FAT Viewer?action=UPDATE&amp;creator=factset&amp;DYN_ARGS=TRUE&amp;DOC_NAME=FAT:FQL_AUDITING_CLIENT_TEMPLATE.FAT&amp;display_string=Audit&amp;VAR:KEY=XAZODYBEXK&amp;VAR:QUERY=RkZfUlRfU0ZfVE9UX0dST1NTKFFUUiwtMik=&amp;WINDOW=FIRST_POPUP&amp;HEIGHT=450&amp;WIDTH=450&amp;START_MA","XIMIZED=FALSE&amp;VAR:CALENDAR=US&amp;VAR:SYMBOL=TLB&amp;VAR:INDEX=0"}</definedName>
    <definedName name="_1583__FDSAUDITLINK__" hidden="1">{"fdsup://Directions/FactSet Auditing Viewer?action=AUDIT_VALUE&amp;DB=129&amp;ID1=53271610&amp;VALUEID=02101&amp;SDATE=200903&amp;PERIODTYPE=QTR_STD&amp;window=popup_no_bar&amp;width=385&amp;height=120&amp;START_MAXIMIZED=FALSE&amp;creator=factset&amp;display_string=Audit"}</definedName>
    <definedName name="_1584__FDSAUDITLINK__" hidden="1">{"fdsup://Directions/FactSet Auditing Viewer?action=AUDIT_VALUE&amp;DB=129&amp;ID1=53271610&amp;VALUEID=01001&amp;SDATE=200903&amp;PERIODTYPE=QTR_STD&amp;window=popup_no_bar&amp;width=385&amp;height=120&amp;START_MAXIMIZED=FALSE&amp;creator=factset&amp;display_string=Audit"}</definedName>
    <definedName name="_1585__FDSAUDITLINK__" hidden="1">{"fdsup://Directions/FactSet Auditing Viewer?action=AUDIT_VALUE&amp;DB=129&amp;ID1=53271610&amp;VALUEID=13040&amp;SDATE=200903&amp;PERIODTYPE=QTR_STD&amp;window=popup_no_bar&amp;width=385&amp;height=120&amp;START_MAXIMIZED=FALSE&amp;creator=factset&amp;display_string=Audit"}</definedName>
    <definedName name="_1586__FDSAUDITLINK__" hidden="1">{"fdsup://Directions/FactSet Auditing Viewer?action=AUDIT_VALUE&amp;DB=129&amp;ID1=46612H40&amp;VALUEID=02101&amp;SDATE=200903&amp;PERIODTYPE=QTR_STD&amp;window=popup_no_bar&amp;width=385&amp;height=120&amp;START_MAXIMIZED=FALSE&amp;creator=factset&amp;display_string=Audit"}</definedName>
    <definedName name="_1587__FDSAUDITLINK__" hidden="1">{"fdsup://Directions/FactSet Auditing Viewer?action=AUDIT_VALUE&amp;DB=129&amp;ID1=46612H40&amp;VALUEID=01001&amp;SDATE=200903&amp;PERIODTYPE=QTR_STD&amp;window=popup_no_bar&amp;width=385&amp;height=120&amp;START_MAXIMIZED=FALSE&amp;creator=factset&amp;display_string=Audit"}</definedName>
    <definedName name="_1588__FDSAUDITLINK__" hidden="1">{"fdsup://Directions/FactSet Auditing Viewer?action=AUDIT_VALUE&amp;DB=129&amp;ID1=46612H40&amp;VALUEID=13040&amp;SDATE=200903&amp;PERIODTYPE=QTR_STD&amp;window=popup_no_bar&amp;width=385&amp;height=120&amp;START_MAXIMIZED=FALSE&amp;creator=factset&amp;display_string=Audit"}</definedName>
    <definedName name="_1589__FDSAUDITLINK__" hidden="1">{"fdsup://Directions/FactSet Auditing Viewer?action=AUDIT_VALUE&amp;DB=129&amp;ID1=36476010&amp;VALUEID=02101&amp;SDATE=200903&amp;PERIODTYPE=QTR_STD&amp;window=popup_no_bar&amp;width=385&amp;height=120&amp;START_MAXIMIZED=FALSE&amp;creator=factset&amp;display_string=Audit"}</definedName>
    <definedName name="_159__FDSAUDITLINK__" hidden="1">{"fdsup://Directions/FactSet Auditing Viewer?action=AUDIT_VALUE&amp;DB=129&amp;ID1=00786510&amp;VALUEID=13040&amp;SDATE=200802&amp;PERIODTYPE=QTR_STD&amp;window=popup_no_bar&amp;width=385&amp;height=120&amp;START_MAXIMIZED=FALSE&amp;creator=factset&amp;display_string=Audit"}</definedName>
    <definedName name="_1590__FDSAUDITLINK__" hidden="1">{"fdsup://Directions/FactSet Auditing Viewer?action=AUDIT_VALUE&amp;DB=129&amp;ID1=36476010&amp;VALUEID=01001&amp;SDATE=200903&amp;PERIODTYPE=QTR_STD&amp;window=popup_no_bar&amp;width=385&amp;height=120&amp;START_MAXIMIZED=FALSE&amp;creator=factset&amp;display_string=Audit"}</definedName>
    <definedName name="_1591__FDSAUDITLINK__" hidden="1">{"fdsup://Directions/FactSet Auditing Viewer?action=AUDIT_VALUE&amp;DB=129&amp;ID1=36476010&amp;VALUEID=13040&amp;SDATE=200903&amp;PERIODTYPE=QTR_STD&amp;window=popup_no_bar&amp;width=385&amp;height=120&amp;START_MAXIMIZED=FALSE&amp;creator=factset&amp;display_string=Audit"}</definedName>
    <definedName name="_1592__FDSAUDITLINK__" hidden="1">{"fdsup://Directions/FactSet Auditing Viewer?action=AUDIT_VALUE&amp;DB=129&amp;ID1=03611510&amp;VALUEID=02101&amp;SDATE=200903&amp;PERIODTYPE=QTR_STD&amp;window=popup_no_bar&amp;width=385&amp;height=120&amp;START_MAXIMIZED=FALSE&amp;creator=factset&amp;display_string=Audit"}</definedName>
    <definedName name="_1593__FDSAUDITLINK__" hidden="1">{"fdsup://Directions/FactSet Auditing Viewer?action=AUDIT_VALUE&amp;DB=129&amp;ID1=03611510&amp;VALUEID=01001&amp;SDATE=200903&amp;PERIODTYPE=QTR_STD&amp;window=popup_no_bar&amp;width=385&amp;height=120&amp;START_MAXIMIZED=FALSE&amp;creator=factset&amp;display_string=Audit"}</definedName>
    <definedName name="_1594__FDSAUDITLINK__" hidden="1">{"fdsup://Directions/FactSet Auditing Viewer?action=AUDIT_VALUE&amp;DB=129&amp;ID1=03611510&amp;VALUEID=13040&amp;SDATE=200903&amp;PERIODTYPE=QTR_STD&amp;window=popup_no_bar&amp;width=385&amp;height=120&amp;START_MAXIMIZED=FALSE&amp;creator=factset&amp;display_string=Audit"}</definedName>
    <definedName name="_1595__FDSAUDITLINK__" hidden="1">{"fdsup://Directions/FactSet Auditing Viewer?action=AUDIT_VALUE&amp;DB=129&amp;ID1=16890510&amp;VALUEID=02101&amp;SDATE=200903&amp;PERIODTYPE=QTR_STD&amp;window=popup_no_bar&amp;width=385&amp;height=120&amp;START_MAXIMIZED=FALSE&amp;creator=factset&amp;display_string=Audit"}</definedName>
    <definedName name="_1596__FDSAUDITLINK__" hidden="1">{"fdsup://Directions/FactSet Auditing Viewer?action=AUDIT_VALUE&amp;DB=129&amp;ID1=16890510&amp;VALUEID=01001&amp;SDATE=200903&amp;PERIODTYPE=QTR_STD&amp;window=popup_no_bar&amp;width=385&amp;height=120&amp;START_MAXIMIZED=FALSE&amp;creator=factset&amp;display_string=Audit"}</definedName>
    <definedName name="_1597__FDSAUDITLINK__" hidden="1">{"fdsup://Directions/FactSet Auditing Viewer?action=AUDIT_VALUE&amp;DB=129&amp;ID1=91704710&amp;VALUEID=02101&amp;SDATE=200903&amp;PERIODTYPE=QTR_STD&amp;window=popup_no_bar&amp;width=385&amp;height=120&amp;START_MAXIMIZED=FALSE&amp;creator=factset&amp;display_string=Audit"}</definedName>
    <definedName name="_1598__FDSAUDITLINK__" hidden="1">{"fdsup://Directions/FactSet Auditing Viewer?action=AUDIT_VALUE&amp;DB=129&amp;ID1=91704710&amp;VALUEID=01001&amp;SDATE=200903&amp;PERIODTYPE=QTR_STD&amp;window=popup_no_bar&amp;width=385&amp;height=120&amp;START_MAXIMIZED=FALSE&amp;creator=factset&amp;display_string=Audit"}</definedName>
    <definedName name="_1599__FDSAUDITLINK__" hidden="1">{"fdsup://Directions/FactSet Auditing Viewer?action=AUDIT_VALUE&amp;DB=129&amp;ID1=91704710&amp;VALUEID=13040&amp;SDATE=200903&amp;PERIODTYPE=QTR_STD&amp;window=popup_no_bar&amp;width=385&amp;height=120&amp;START_MAXIMIZED=FALSE&amp;creator=factset&amp;display_string=Audit"}</definedName>
    <definedName name="_16__FDSAUDITLINK__" hidden="1">{"fdsup://Directions/FactSet Auditing Viewer?action=AUDIT_VALUE&amp;DB=129&amp;ID1=02553E10&amp;VALUEID=13040&amp;SDATE=201001&amp;PERIODTYPE=QTR_STD&amp;window=popup_no_bar&amp;width=385&amp;height=120&amp;START_MAXIMIZED=FALSE&amp;creator=factset&amp;display_string=Audit"}</definedName>
    <definedName name="_160__FDSAUDITLINK__" hidden="1">{"fdsup://Directions/FactSet Auditing Viewer?action=AUDIT_VALUE&amp;DB=129&amp;ID1=00289620&amp;VALUEID=02101&amp;SDATE=200802&amp;PERIODTYPE=QTR_STD&amp;window=popup_no_bar&amp;width=385&amp;height=120&amp;START_MAXIMIZED=FALSE&amp;creator=factset&amp;display_string=Audit"}</definedName>
    <definedName name="_1600__FDSAUDITLINK__" hidden="1">{"fdsup://Directions/FactSet Auditing Viewer?action=AUDIT_VALUE&amp;DB=129&amp;ID1=02553E10&amp;VALUEID=02101&amp;SDATE=200903&amp;PERIODTYPE=QTR_STD&amp;window=popup_no_bar&amp;width=385&amp;height=120&amp;START_MAXIMIZED=FALSE&amp;creator=factset&amp;display_string=Audit"}</definedName>
    <definedName name="_1601__FDSAUDITLINK__" hidden="1">{"fdsup://Directions/FactSet Auditing Viewer?action=AUDIT_VALUE&amp;DB=129&amp;ID1=02553E10&amp;VALUEID=01001&amp;SDATE=200903&amp;PERIODTYPE=QTR_STD&amp;window=popup_no_bar&amp;width=385&amp;height=120&amp;START_MAXIMIZED=FALSE&amp;creator=factset&amp;display_string=Audit"}</definedName>
    <definedName name="_1602__FDSAUDITLINK__" hidden="1">{"fdsup://Directions/FactSet Auditing Viewer?action=AUDIT_VALUE&amp;DB=129&amp;ID1=00786510&amp;VALUEID=02101&amp;SDATE=200903&amp;PERIODTYPE=QTR_STD&amp;window=popup_no_bar&amp;width=385&amp;height=120&amp;START_MAXIMIZED=FALSE&amp;creator=factset&amp;display_string=Audit"}</definedName>
    <definedName name="_1603__FDSAUDITLINK__" hidden="1">{"fdsup://Directions/FactSet Auditing Viewer?action=AUDIT_VALUE&amp;DB=129&amp;ID1=00786510&amp;VALUEID=01001&amp;SDATE=200903&amp;PERIODTYPE=QTR_STD&amp;window=popup_no_bar&amp;width=385&amp;height=120&amp;START_MAXIMIZED=FALSE&amp;creator=factset&amp;display_string=Audit"}</definedName>
    <definedName name="_1604__FDSAUDITLINK__" hidden="1">{"fdsup://Directions/FactSet Auditing Viewer?action=AUDIT_VALUE&amp;DB=129&amp;ID1=00786510&amp;VALUEID=13040&amp;SDATE=200903&amp;PERIODTYPE=QTR_STD&amp;window=popup_no_bar&amp;width=385&amp;height=120&amp;START_MAXIMIZED=FALSE&amp;creator=factset&amp;display_string=Audit"}</definedName>
    <definedName name="_1605__FDSAUDITLINK__" hidden="1">{"fdsup://Directions/FactSet Auditing Viewer?action=AUDIT_VALUE&amp;DB=129&amp;ID1=00289620&amp;VALUEID=02101&amp;SDATE=200903&amp;PERIODTYPE=QTR_STD&amp;window=popup_no_bar&amp;width=385&amp;height=120&amp;START_MAXIMIZED=FALSE&amp;creator=factset&amp;display_string=Audit"}</definedName>
    <definedName name="_1606__FDSAUDITLINK__" hidden="1">{"fdsup://Directions/FactSet Auditing Viewer?action=AUDIT_VALUE&amp;DB=129&amp;ID1=00289620&amp;VALUEID=01001&amp;SDATE=200903&amp;PERIODTYPE=QTR_STD&amp;window=popup_no_bar&amp;width=385&amp;height=120&amp;START_MAXIMIZED=FALSE&amp;creator=factset&amp;display_string=Audit"}</definedName>
    <definedName name="_1607__FDSAUDITLINK__" hidden="1">{"fdsup://Directions/FactSet Auditing Viewer?action=AUDIT_VALUE&amp;DB=129&amp;ID1=00289620&amp;VALUEID=13040&amp;SDATE=200903&amp;PERIODTYPE=QTR_STD&amp;window=popup_no_bar&amp;width=385&amp;height=120&amp;START_MAXIMIZED=FALSE&amp;creator=factset&amp;display_string=Audit"}</definedName>
    <definedName name="_1608__FDSAUDITLINK__" hidden="1">{"fdsup://Directions/FactSet Auditing Viewer?action=AUDIT_VALUE&amp;DB=129&amp;ID1=87416110&amp;VALUEID=02101&amp;SDATE=200902&amp;PERIODTYPE=QTR_STD&amp;window=popup_no_bar&amp;width=385&amp;height=120&amp;START_MAXIMIZED=FALSE&amp;creator=factset&amp;display_string=Audit"}</definedName>
    <definedName name="_1609__FDSAUDITLINK__" hidden="1">{"fdsup://Directions/FactSet Auditing Viewer?action=AUDIT_VALUE&amp;DB=129&amp;ID1=87416110&amp;VALUEID=01001&amp;SDATE=200902&amp;PERIODTYPE=QTR_STD&amp;window=popup_no_bar&amp;width=385&amp;height=120&amp;START_MAXIMIZED=FALSE&amp;creator=factset&amp;display_string=Audit"}</definedName>
    <definedName name="_161__FDSAUDITLINK__" hidden="1">{"fdsup://Directions/FactSet Auditing Viewer?action=AUDIT_VALUE&amp;DB=129&amp;ID1=00289620&amp;VALUEID=01001&amp;SDATE=200802&amp;PERIODTYPE=QTR_STD&amp;window=popup_no_bar&amp;width=385&amp;height=120&amp;START_MAXIMIZED=FALSE&amp;creator=factset&amp;display_string=Audit"}</definedName>
    <definedName name="_1610__FDSAUDITLINK__" hidden="1">{"fdsup://Directions/FactSet Auditing Viewer?action=AUDIT_VALUE&amp;DB=129&amp;ID1=53271610&amp;VALUEID=02101&amp;SDATE=200902&amp;PERIODTYPE=QTR_STD&amp;window=popup_no_bar&amp;width=385&amp;height=120&amp;START_MAXIMIZED=FALSE&amp;creator=factset&amp;display_string=Audit"}</definedName>
    <definedName name="_1611__FDSAUDITLINK__" hidden="1">{"fdsup://Directions/FactSet Auditing Viewer?action=AUDIT_VALUE&amp;DB=129&amp;ID1=53271610&amp;VALUEID=01001&amp;SDATE=200902&amp;PERIODTYPE=QTR_STD&amp;window=popup_no_bar&amp;width=385&amp;height=120&amp;START_MAXIMIZED=FALSE&amp;creator=factset&amp;display_string=Audit"}</definedName>
    <definedName name="_1612__FDSAUDITLINK__" hidden="1">{"fdsup://Directions/FactSet Auditing Viewer?action=AUDIT_VALUE&amp;DB=129&amp;ID1=53271610&amp;VALUEID=13040&amp;SDATE=200902&amp;PERIODTYPE=QTR_STD&amp;window=popup_no_bar&amp;width=385&amp;height=120&amp;START_MAXIMIZED=FALSE&amp;creator=factset&amp;display_string=Audit"}</definedName>
    <definedName name="_1613__FDSAUDITLINK__" hidden="1">{"fdsup://Directions/FactSet Auditing Viewer?action=AUDIT_VALUE&amp;DB=129&amp;ID1=46612H40&amp;VALUEID=02101&amp;SDATE=200902&amp;PERIODTYPE=QTR_STD&amp;window=popup_no_bar&amp;width=385&amp;height=120&amp;START_MAXIMIZED=FALSE&amp;creator=factset&amp;display_string=Audit"}</definedName>
    <definedName name="_1614__FDSAUDITLINK__" hidden="1">{"fdsup://Directions/FactSet Auditing Viewer?action=AUDIT_VALUE&amp;DB=129&amp;ID1=46612H40&amp;VALUEID=01001&amp;SDATE=200902&amp;PERIODTYPE=QTR_STD&amp;window=popup_no_bar&amp;width=385&amp;height=120&amp;START_MAXIMIZED=FALSE&amp;creator=factset&amp;display_string=Audit"}</definedName>
    <definedName name="_1615__FDSAUDITLINK__" hidden="1">{"fdsup://Directions/FactSet Auditing Viewer?action=AUDIT_VALUE&amp;DB=129&amp;ID1=46612H40&amp;VALUEID=13040&amp;SDATE=200902&amp;PERIODTYPE=QTR_STD&amp;window=popup_no_bar&amp;width=385&amp;height=120&amp;START_MAXIMIZED=FALSE&amp;creator=factset&amp;display_string=Audit"}</definedName>
    <definedName name="_1616__FDSAUDITLINK__" hidden="1">{"fdsup://Directions/FactSet Auditing Viewer?action=AUDIT_VALUE&amp;DB=129&amp;ID1=36476010&amp;VALUEID=02101&amp;SDATE=200902&amp;PERIODTYPE=QTR_STD&amp;window=popup_no_bar&amp;width=385&amp;height=120&amp;START_MAXIMIZED=FALSE&amp;creator=factset&amp;display_string=Audit"}</definedName>
    <definedName name="_1617__FDSAUDITLINK__" hidden="1">{"fdsup://Directions/FactSet Auditing Viewer?action=AUDIT_VALUE&amp;DB=129&amp;ID1=36476010&amp;VALUEID=01001&amp;SDATE=200902&amp;PERIODTYPE=QTR_STD&amp;window=popup_no_bar&amp;width=385&amp;height=120&amp;START_MAXIMIZED=FALSE&amp;creator=factset&amp;display_string=Audit"}</definedName>
    <definedName name="_1618__FDSAUDITLINK__" hidden="1">{"fdsup://Directions/FactSet Auditing Viewer?action=AUDIT_VALUE&amp;DB=129&amp;ID1=36476010&amp;VALUEID=13040&amp;SDATE=200902&amp;PERIODTYPE=QTR_STD&amp;window=popup_no_bar&amp;width=385&amp;height=120&amp;START_MAXIMIZED=FALSE&amp;creator=factset&amp;display_string=Audit"}</definedName>
    <definedName name="_1619__FDSAUDITLINK__" hidden="1">{"fdsup://Directions/FactSet Auditing Viewer?action=AUDIT_VALUE&amp;DB=129&amp;ID1=03611510&amp;VALUEID=02101&amp;SDATE=200902&amp;PERIODTYPE=QTR_STD&amp;window=popup_no_bar&amp;width=385&amp;height=120&amp;START_MAXIMIZED=FALSE&amp;creator=factset&amp;display_string=Audit"}</definedName>
    <definedName name="_162__FDSAUDITLINK__" hidden="1">{"fdsup://Directions/FactSet Auditing Viewer?action=AUDIT_VALUE&amp;DB=129&amp;ID1=00289620&amp;VALUEID=13040&amp;SDATE=200802&amp;PERIODTYPE=QTR_STD&amp;window=popup_no_bar&amp;width=385&amp;height=120&amp;START_MAXIMIZED=FALSE&amp;creator=factset&amp;display_string=Audit"}</definedName>
    <definedName name="_1620__FDSAUDITLINK__" hidden="1">{"fdsup://Directions/FactSet Auditing Viewer?action=AUDIT_VALUE&amp;DB=129&amp;ID1=03611510&amp;VALUEID=01001&amp;SDATE=200902&amp;PERIODTYPE=QTR_STD&amp;window=popup_no_bar&amp;width=385&amp;height=120&amp;START_MAXIMIZED=FALSE&amp;creator=factset&amp;display_string=Audit"}</definedName>
    <definedName name="_1621__FDSAUDITLINK__" hidden="1">{"fdsup://Directions/FactSet Auditing Viewer?action=AUDIT_VALUE&amp;DB=129&amp;ID1=03611510&amp;VALUEID=13040&amp;SDATE=200902&amp;PERIODTYPE=QTR_STD&amp;window=popup_no_bar&amp;width=385&amp;height=120&amp;START_MAXIMIZED=FALSE&amp;creator=factset&amp;display_string=Audit"}</definedName>
    <definedName name="_1622__FDSAUDITLINK__" hidden="1">{"fdsup://Directions/FactSet Auditing Viewer?action=AUDIT_VALUE&amp;DB=129&amp;ID1=16890510&amp;VALUEID=02101&amp;SDATE=200902&amp;PERIODTYPE=QTR_STD&amp;window=popup_no_bar&amp;width=385&amp;height=120&amp;START_MAXIMIZED=FALSE&amp;creator=factset&amp;display_string=Audit"}</definedName>
    <definedName name="_1623__FDSAUDITLINK__" hidden="1">{"fdsup://Directions/FactSet Auditing Viewer?action=AUDIT_VALUE&amp;DB=129&amp;ID1=16890510&amp;VALUEID=01001&amp;SDATE=200902&amp;PERIODTYPE=QTR_STD&amp;window=popup_no_bar&amp;width=385&amp;height=120&amp;START_MAXIMIZED=FALSE&amp;creator=factset&amp;display_string=Audit"}</definedName>
    <definedName name="_1624__FDSAUDITLINK__" hidden="1">{"fdsup://Directions/FactSet Auditing Viewer?action=AUDIT_VALUE&amp;DB=129&amp;ID1=91704710&amp;VALUEID=02101&amp;SDATE=200902&amp;PERIODTYPE=QTR_STD&amp;window=popup_no_bar&amp;width=385&amp;height=120&amp;START_MAXIMIZED=FALSE&amp;creator=factset&amp;display_string=Audit"}</definedName>
    <definedName name="_1625__FDSAUDITLINK__" hidden="1">{"fdsup://Directions/FactSet Auditing Viewer?action=AUDIT_VALUE&amp;DB=129&amp;ID1=91704710&amp;VALUEID=01001&amp;SDATE=200902&amp;PERIODTYPE=QTR_STD&amp;window=popup_no_bar&amp;width=385&amp;height=120&amp;START_MAXIMIZED=FALSE&amp;creator=factset&amp;display_string=Audit"}</definedName>
    <definedName name="_1626__FDSAUDITLINK__" hidden="1">{"fdsup://Directions/FactSet Auditing Viewer?action=AUDIT_VALUE&amp;DB=129&amp;ID1=02553E10&amp;VALUEID=02101&amp;SDATE=200902&amp;PERIODTYPE=QTR_STD&amp;window=popup_no_bar&amp;width=385&amp;height=120&amp;START_MAXIMIZED=FALSE&amp;creator=factset&amp;display_string=Audit"}</definedName>
    <definedName name="_1627__FDSAUDITLINK__" hidden="1">{"fdsup://Directions/FactSet Auditing Viewer?action=AUDIT_VALUE&amp;DB=129&amp;ID1=02553E10&amp;VALUEID=01001&amp;SDATE=200902&amp;PERIODTYPE=QTR_STD&amp;window=popup_no_bar&amp;width=385&amp;height=120&amp;START_MAXIMIZED=FALSE&amp;creator=factset&amp;display_string=Audit"}</definedName>
    <definedName name="_1628__FDSAUDITLINK__" hidden="1">{"fdsup://Directions/FactSet Auditing Viewer?action=AUDIT_VALUE&amp;DB=129&amp;ID1=02553E10&amp;VALUEID=13040&amp;SDATE=200902&amp;PERIODTYPE=QTR_STD&amp;window=popup_no_bar&amp;width=385&amp;height=120&amp;START_MAXIMIZED=FALSE&amp;creator=factset&amp;display_string=Audit"}</definedName>
    <definedName name="_1629__FDSAUDITLINK__" hidden="1">{"fdsup://Directions/FactSet Auditing Viewer?action=AUDIT_VALUE&amp;DB=129&amp;ID1=00786510&amp;VALUEID=02101&amp;SDATE=200902&amp;PERIODTYPE=QTR_STD&amp;window=popup_no_bar&amp;width=385&amp;height=120&amp;START_MAXIMIZED=FALSE&amp;creator=factset&amp;display_string=Audit"}</definedName>
    <definedName name="_163__FDSAUDITLINK__" hidden="1">{"fdsup://Directions/FactSet Auditing Viewer?action=AUDIT_VALUE&amp;DB=129&amp;ID1=87416110&amp;VALUEID=02101&amp;SDATE=200801&amp;PERIODTYPE=QTR_STD&amp;window=popup_no_bar&amp;width=385&amp;height=120&amp;START_MAXIMIZED=FALSE&amp;creator=factset&amp;display_string=Audit"}</definedName>
    <definedName name="_1630__FDSAUDITLINK__" hidden="1">{"fdsup://Directions/FactSet Auditing Viewer?action=AUDIT_VALUE&amp;DB=129&amp;ID1=00786510&amp;VALUEID=01001&amp;SDATE=200902&amp;PERIODTYPE=QTR_STD&amp;window=popup_no_bar&amp;width=385&amp;height=120&amp;START_MAXIMIZED=FALSE&amp;creator=factset&amp;display_string=Audit"}</definedName>
    <definedName name="_1631__FDSAUDITLINK__" hidden="1">{"fdsup://Directions/FactSet Auditing Viewer?action=AUDIT_VALUE&amp;DB=129&amp;ID1=00786510&amp;VALUEID=13040&amp;SDATE=200902&amp;PERIODTYPE=QTR_STD&amp;window=popup_no_bar&amp;width=385&amp;height=120&amp;START_MAXIMIZED=FALSE&amp;creator=factset&amp;display_string=Audit"}</definedName>
    <definedName name="_1632__FDSAUDITLINK__" hidden="1">{"fdsup://Directions/FactSet Auditing Viewer?action=AUDIT_VALUE&amp;DB=129&amp;ID1=00289620&amp;VALUEID=02101&amp;SDATE=200902&amp;PERIODTYPE=QTR_STD&amp;window=popup_no_bar&amp;width=385&amp;height=120&amp;START_MAXIMIZED=FALSE&amp;creator=factset&amp;display_string=Audit"}</definedName>
    <definedName name="_1633__FDSAUDITLINK__" hidden="1">{"fdsup://Directions/FactSet Auditing Viewer?action=AUDIT_VALUE&amp;DB=129&amp;ID1=00289620&amp;VALUEID=01001&amp;SDATE=200902&amp;PERIODTYPE=QTR_STD&amp;window=popup_no_bar&amp;width=385&amp;height=120&amp;START_MAXIMIZED=FALSE&amp;creator=factset&amp;display_string=Audit"}</definedName>
    <definedName name="_1634__FDSAUDITLINK__" hidden="1">{"fdsup://Directions/FactSet Auditing Viewer?action=AUDIT_VALUE&amp;DB=129&amp;ID1=00289620&amp;VALUEID=13040&amp;SDATE=200902&amp;PERIODTYPE=QTR_STD&amp;window=popup_no_bar&amp;width=385&amp;height=120&amp;START_MAXIMIZED=FALSE&amp;creator=factset&amp;display_string=Audit"}</definedName>
    <definedName name="_1635__FDSAUDITLINK__" hidden="1">{"fdsup://Directions/FactSet Auditing Viewer?action=AUDIT_VALUE&amp;DB=129&amp;ID1=87416110&amp;VALUEID=02101&amp;SDATE=200901&amp;PERIODTYPE=QTR_STD&amp;window=popup_no_bar&amp;width=385&amp;height=120&amp;START_MAXIMIZED=FALSE&amp;creator=factset&amp;display_string=Audit"}</definedName>
    <definedName name="_1636__FDSAUDITLINK__" hidden="1">{"fdsup://Directions/FactSet Auditing Viewer?action=AUDIT_VALUE&amp;DB=129&amp;ID1=87416110&amp;VALUEID=01001&amp;SDATE=200901&amp;PERIODTYPE=QTR_STD&amp;window=popup_no_bar&amp;width=385&amp;height=120&amp;START_MAXIMIZED=FALSE&amp;creator=factset&amp;display_string=Audit"}</definedName>
    <definedName name="_1637__FDSAUDITLINK__" hidden="1">{"fdsup://Directions/FactSet Auditing Viewer?action=AUDIT_VALUE&amp;DB=129&amp;ID1=87416110&amp;VALUEID=13040&amp;SDATE=200901&amp;PERIODTYPE=QTR_STD&amp;window=popup_no_bar&amp;width=385&amp;height=120&amp;START_MAXIMIZED=FALSE&amp;creator=factset&amp;display_string=Audit"}</definedName>
    <definedName name="_1638__FDSAUDITLINK__" hidden="1">{"fdsup://directions/FAT Viewer?action=UPDATE&amp;creator=factset&amp;DYN_ARGS=TRUE&amp;DOC_NAME=FAT:FQL_AUDITING_CLIENT_TEMPLATE.FAT&amp;display_string=Audit&amp;VAR:KEY=RSZCXYZEJW&amp;VAR:QUERY=RkZfUlRfU0ZfVE9UX0dST1NTKFFUUiwtNCk=&amp;WINDOW=FIRST_POPUP&amp;HEIGHT=450&amp;WIDTH=450&amp;START_MA","XIMIZED=FALSE&amp;VAR:CALENDAR=US&amp;VAR:SYMBOL=TLB&amp;VAR:INDEX=0"}</definedName>
    <definedName name="_1639__FDSAUDITLINK__" hidden="1">{"fdsup://Directions/FactSet Auditing Viewer?action=AUDIT_VALUE&amp;DB=129&amp;ID1=53271610&amp;VALUEID=13040&amp;SDATE=200901&amp;PERIODTYPE=QTR_STD&amp;window=popup_no_bar&amp;width=385&amp;height=120&amp;START_MAXIMIZED=FALSE&amp;creator=factset&amp;display_string=Audit"}</definedName>
    <definedName name="_164__FDSAUDITLINK__" hidden="1">{"fdsup://Directions/FactSet Auditing Viewer?action=AUDIT_VALUE&amp;DB=129&amp;ID1=87416110&amp;VALUEID=01001&amp;SDATE=200801&amp;PERIODTYPE=QTR_STD&amp;window=popup_no_bar&amp;width=385&amp;height=120&amp;START_MAXIMIZED=FALSE&amp;creator=factset&amp;display_string=Audit"}</definedName>
    <definedName name="_1640__FDSAUDITLINK__" hidden="1">{"fdsup://Directions/FactSet Auditing Viewer?action=AUDIT_VALUE&amp;DB=129&amp;ID1=46612H40&amp;VALUEID=02101&amp;SDATE=200901&amp;PERIODTYPE=QTR_STD&amp;window=popup_no_bar&amp;width=385&amp;height=120&amp;START_MAXIMIZED=FALSE&amp;creator=factset&amp;display_string=Audit"}</definedName>
    <definedName name="_1641__FDSAUDITLINK__" hidden="1">{"fdsup://Directions/FactSet Auditing Viewer?action=AUDIT_VALUE&amp;DB=129&amp;ID1=46612H40&amp;VALUEID=01001&amp;SDATE=200901&amp;PERIODTYPE=QTR_STD&amp;window=popup_no_bar&amp;width=385&amp;height=120&amp;START_MAXIMIZED=FALSE&amp;creator=factset&amp;display_string=Audit"}</definedName>
    <definedName name="_1642__FDSAUDITLINK__" hidden="1">{"fdsup://Directions/FactSet Auditing Viewer?action=AUDIT_VALUE&amp;DB=129&amp;ID1=46612H40&amp;VALUEID=13040&amp;SDATE=200901&amp;PERIODTYPE=QTR_STD&amp;window=popup_no_bar&amp;width=385&amp;height=120&amp;START_MAXIMIZED=FALSE&amp;creator=factset&amp;display_string=Audit"}</definedName>
    <definedName name="_1643__FDSAUDITLINK__" hidden="1">{"fdsup://Directions/FactSet Auditing Viewer?action=AUDIT_VALUE&amp;DB=129&amp;ID1=03611510&amp;VALUEID=02101&amp;SDATE=200901&amp;PERIODTYPE=QTR_STD&amp;window=popup_no_bar&amp;width=385&amp;height=120&amp;START_MAXIMIZED=FALSE&amp;creator=factset&amp;display_string=Audit"}</definedName>
    <definedName name="_1644__FDSAUDITLINK__" hidden="1">{"fdsup://Directions/FactSet Auditing Viewer?action=AUDIT_VALUE&amp;DB=129&amp;ID1=03611510&amp;VALUEID=01001&amp;SDATE=200901&amp;PERIODTYPE=QTR_STD&amp;window=popup_no_bar&amp;width=385&amp;height=120&amp;START_MAXIMIZED=FALSE&amp;creator=factset&amp;display_string=Audit"}</definedName>
    <definedName name="_1645__FDSAUDITLINK__" hidden="1">{"fdsup://Directions/FactSet Auditing Viewer?action=AUDIT_VALUE&amp;DB=129&amp;ID1=16890510&amp;VALUEID=02101&amp;SDATE=200901&amp;PERIODTYPE=QTR_STD&amp;window=popup_no_bar&amp;width=385&amp;height=120&amp;START_MAXIMIZED=FALSE&amp;creator=factset&amp;display_string=Audit"}</definedName>
    <definedName name="_1646__FDSAUDITLINK__" hidden="1">{"fdsup://Directions/FactSet Auditing Viewer?action=AUDIT_VALUE&amp;DB=129&amp;ID1=16890510&amp;VALUEID=01001&amp;SDATE=200901&amp;PERIODTYPE=QTR_STD&amp;window=popup_no_bar&amp;width=385&amp;height=120&amp;START_MAXIMIZED=FALSE&amp;creator=factset&amp;display_string=Audit"}</definedName>
    <definedName name="_1647__FDSAUDITLINK__" hidden="1">{"fdsup://Directions/FactSet Auditing Viewer?action=AUDIT_VALUE&amp;DB=129&amp;ID1=00786510&amp;VALUEID=02101&amp;SDATE=200901&amp;PERIODTYPE=QTR_STD&amp;window=popup_no_bar&amp;width=385&amp;height=120&amp;START_MAXIMIZED=FALSE&amp;creator=factset&amp;display_string=Audit"}</definedName>
    <definedName name="_1648__FDSAUDITLINK__" hidden="1">{"fdsup://Directions/FactSet Auditing Viewer?action=AUDIT_VALUE&amp;DB=129&amp;ID1=00786510&amp;VALUEID=01001&amp;SDATE=200901&amp;PERIODTYPE=QTR_STD&amp;window=popup_no_bar&amp;width=385&amp;height=120&amp;START_MAXIMIZED=FALSE&amp;creator=factset&amp;display_string=Audit"}</definedName>
    <definedName name="_1649__FDSAUDITLINK__" hidden="1">{"fdsup://Directions/FactSet Auditing Viewer?action=AUDIT_VALUE&amp;DB=129&amp;ID1=00786510&amp;VALUEID=13040&amp;SDATE=200901&amp;PERIODTYPE=QTR_STD&amp;window=popup_no_bar&amp;width=385&amp;height=120&amp;START_MAXIMIZED=FALSE&amp;creator=factset&amp;display_string=Audit"}</definedName>
    <definedName name="_165__FDSAUDITLINK__" hidden="1">{"fdsup://Directions/FactSet Auditing Viewer?action=AUDIT_VALUE&amp;DB=129&amp;ID1=53271610&amp;VALUEID=02101&amp;SDATE=200801&amp;PERIODTYPE=QTR_STD&amp;window=popup_no_bar&amp;width=385&amp;height=120&amp;START_MAXIMIZED=FALSE&amp;creator=factset&amp;display_string=Audit"}</definedName>
    <definedName name="_1650__FDSAUDITLINK__" hidden="1">{"fdsup://Directions/FactSet Auditing Viewer?action=AUDIT_VALUE&amp;DB=129&amp;ID1=00289620&amp;VALUEID=13040&amp;SDATE=200901&amp;PERIODTYPE=QTR_STD&amp;window=popup_no_bar&amp;width=385&amp;height=120&amp;START_MAXIMIZED=FALSE&amp;creator=factset&amp;display_string=Audit"}</definedName>
    <definedName name="_1651__FDSAUDITLINK__" hidden="1">{"fdsup://Directions/FactSet Auditing Viewer?action=AUDIT_VALUE&amp;DB=129&amp;ID1=87416110&amp;VALUEID=01001&amp;SDATE=200804&amp;PERIODTYPE=QTR_STD&amp;window=popup_no_bar&amp;width=385&amp;height=120&amp;START_MAXIMIZED=FALSE&amp;creator=factset&amp;display_string=Audit"}</definedName>
    <definedName name="_1652__FDSAUDITLINK__" hidden="1">{"fdsup://directions/FAT Viewer?action=UPDATE&amp;creator=factset&amp;DYN_ARGS=TRUE&amp;DOC_NAME=FAT:FQL_AUDITING_CLIENT_TEMPLATE.FAT&amp;display_string=Audit&amp;VAR:KEY=BSXQNALGBC&amp;VAR:QUERY=RkZfUlRfU0ZfVE9UX0dST1NTKFFUUiwtNSk=&amp;WINDOW=FIRST_POPUP&amp;HEIGHT=450&amp;WIDTH=450&amp;START_MA","XIMIZED=FALSE&amp;VAR:CALENDAR=US&amp;VAR:SYMBOL=TLB&amp;VAR:INDEX=0"}</definedName>
    <definedName name="_1653__FDSAUDITLINK__" hidden="1">{"fdsup://Directions/FactSet Auditing Viewer?action=AUDIT_VALUE&amp;DB=129&amp;ID1=46612H40&amp;VALUEID=01001&amp;SDATE=200804&amp;PERIODTYPE=QTR_STD&amp;window=popup_no_bar&amp;width=385&amp;height=120&amp;START_MAXIMIZED=FALSE&amp;creator=factset&amp;display_string=Audit"}</definedName>
    <definedName name="_1654__FDSAUDITLINK__" hidden="1">{"fdsup://Directions/FactSet Auditing Viewer?action=AUDIT_VALUE&amp;DB=129&amp;ID1=46612H40&amp;VALUEID=13040&amp;SDATE=200804&amp;PERIODTYPE=QTR_STD&amp;window=popup_no_bar&amp;width=385&amp;height=120&amp;START_MAXIMIZED=FALSE&amp;creator=factset&amp;display_string=Audit"}</definedName>
    <definedName name="_1655__FDSAUDITLINK__" hidden="1">{"fdsup://Directions/FactSet Auditing Viewer?action=AUDIT_VALUE&amp;DB=129&amp;ID1=36476010&amp;VALUEID=01001&amp;SDATE=200804&amp;PERIODTYPE=QTR_STD&amp;window=popup_no_bar&amp;width=385&amp;height=120&amp;START_MAXIMIZED=FALSE&amp;creator=factset&amp;display_string=Audit"}</definedName>
    <definedName name="_1656__FDSAUDITLINK__" hidden="1">{"fdsup://Directions/FactSet Auditing Viewer?action=AUDIT_VALUE&amp;DB=129&amp;ID1=03611510&amp;VALUEID=01001&amp;SDATE=200804&amp;PERIODTYPE=QTR_STD&amp;window=popup_no_bar&amp;width=385&amp;height=120&amp;START_MAXIMIZED=FALSE&amp;creator=factset&amp;display_string=Audit"}</definedName>
    <definedName name="_1657__FDSAUDITLINK__" hidden="1">{"fdsup://Directions/FactSet Auditing Viewer?action=AUDIT_VALUE&amp;DB=129&amp;ID1=16890510&amp;VALUEID=01001&amp;SDATE=200804&amp;PERIODTYPE=QTR_STD&amp;window=popup_no_bar&amp;width=385&amp;height=120&amp;START_MAXIMIZED=FALSE&amp;creator=factset&amp;display_string=Audit"}</definedName>
    <definedName name="_1658__FDSAUDITLINK__" hidden="1">{"fdsup://Directions/FactSet Auditing Viewer?action=AUDIT_VALUE&amp;DB=129&amp;ID1=00786510&amp;VALUEID=01001&amp;SDATE=200804&amp;PERIODTYPE=QTR_STD&amp;window=popup_no_bar&amp;width=385&amp;height=120&amp;START_MAXIMIZED=FALSE&amp;creator=factset&amp;display_string=Audit"}</definedName>
    <definedName name="_1659__FDSAUDITLINK__" hidden="1">{"fdsup://Directions/FactSet Auditing Viewer?action=AUDIT_VALUE&amp;DB=129&amp;ID1=87416110&amp;VALUEID=02101&amp;SDATE=200803&amp;PERIODTYPE=QTR_STD&amp;window=popup_no_bar&amp;width=385&amp;height=120&amp;START_MAXIMIZED=FALSE&amp;creator=factset&amp;display_string=Audit"}</definedName>
    <definedName name="_166__FDSAUDITLINK__" hidden="1">{"fdsup://Directions/FactSet Auditing Viewer?action=AUDIT_VALUE&amp;DB=129&amp;ID1=53271610&amp;VALUEID=01001&amp;SDATE=200801&amp;PERIODTYPE=QTR_STD&amp;window=popup_no_bar&amp;width=385&amp;height=120&amp;START_MAXIMIZED=FALSE&amp;creator=factset&amp;display_string=Audit"}</definedName>
    <definedName name="_1660__FDSAUDITLINK__" hidden="1">{"fdsup://Directions/FactSet Auditing Viewer?action=AUDIT_VALUE&amp;DB=129&amp;ID1=87416110&amp;VALUEID=01001&amp;SDATE=200803&amp;PERIODTYPE=QTR_STD&amp;window=popup_no_bar&amp;width=385&amp;height=120&amp;START_MAXIMIZED=FALSE&amp;creator=factset&amp;display_string=Audit"}</definedName>
    <definedName name="_1661__FDSAUDITLINK__" hidden="1">{"fdsup://Directions/FactSet Auditing Viewer?action=AUDIT_VALUE&amp;DB=129&amp;ID1=87416110&amp;VALUEID=13040&amp;SDATE=200803&amp;PERIODTYPE=QTR_STD&amp;window=popup_no_bar&amp;width=385&amp;height=120&amp;START_MAXIMIZED=FALSE&amp;creator=factset&amp;display_string=Audit"}</definedName>
    <definedName name="_1662__FDSAUDITLINK__" hidden="1">{"fdsup://directions/FAT Viewer?action=UPDATE&amp;creator=factset&amp;DYN_ARGS=TRUE&amp;DOC_NAME=FAT:FQL_AUDITING_CLIENT_TEMPLATE.FAT&amp;display_string=Audit&amp;VAR:KEY=VAFWFCDYFC&amp;VAR:QUERY=RkZfUlRfU0ZfVE9UX0dST1NTKFFUUiwtNik=&amp;WINDOW=FIRST_POPUP&amp;HEIGHT=450&amp;WIDTH=450&amp;START_MA","XIMIZED=FALSE&amp;VAR:CALENDAR=US&amp;VAR:SYMBOL=TLB&amp;VAR:INDEX=0"}</definedName>
    <definedName name="_1663__FDSAUDITLINK__" hidden="1">{"fdsup://Directions/FactSet Auditing Viewer?action=AUDIT_VALUE&amp;DB=129&amp;ID1=46612H40&amp;VALUEID=02101&amp;SDATE=200803&amp;PERIODTYPE=QTR_STD&amp;window=popup_no_bar&amp;width=385&amp;height=120&amp;START_MAXIMIZED=FALSE&amp;creator=factset&amp;display_string=Audit"}</definedName>
    <definedName name="_1664__FDSAUDITLINK__" hidden="1">{"fdsup://Directions/FactSet Auditing Viewer?action=AUDIT_VALUE&amp;DB=129&amp;ID1=46612H40&amp;VALUEID=01001&amp;SDATE=200803&amp;PERIODTYPE=QTR_STD&amp;window=popup_no_bar&amp;width=385&amp;height=120&amp;START_MAXIMIZED=FALSE&amp;creator=factset&amp;display_string=Audit"}</definedName>
    <definedName name="_1665__FDSAUDITLINK__" hidden="1">{"fdsup://Directions/FactSet Auditing Viewer?action=AUDIT_VALUE&amp;DB=129&amp;ID1=46612H40&amp;VALUEID=13040&amp;SDATE=200803&amp;PERIODTYPE=QTR_STD&amp;window=popup_no_bar&amp;width=385&amp;height=120&amp;START_MAXIMIZED=FALSE&amp;creator=factset&amp;display_string=Audit"}</definedName>
    <definedName name="_1666__FDSAUDITLINK__" hidden="1">{"fdsup://Directions/FactSet Auditing Viewer?action=AUDIT_VALUE&amp;DB=129&amp;ID1=36476010&amp;VALUEID=02101&amp;SDATE=200803&amp;PERIODTYPE=QTR_STD&amp;window=popup_no_bar&amp;width=385&amp;height=120&amp;START_MAXIMIZED=FALSE&amp;creator=factset&amp;display_string=Audit"}</definedName>
    <definedName name="_1667__FDSAUDITLINK__" hidden="1">{"fdsup://Directions/FactSet Auditing Viewer?action=AUDIT_VALUE&amp;DB=129&amp;ID1=36476010&amp;VALUEID=01001&amp;SDATE=200803&amp;PERIODTYPE=QTR_STD&amp;window=popup_no_bar&amp;width=385&amp;height=120&amp;START_MAXIMIZED=FALSE&amp;creator=factset&amp;display_string=Audit"}</definedName>
    <definedName name="_1668__FDSAUDITLINK__" hidden="1">{"fdsup://Directions/FactSet Auditing Viewer?action=AUDIT_VALUE&amp;DB=129&amp;ID1=36476010&amp;VALUEID=13040&amp;SDATE=200803&amp;PERIODTYPE=QTR_STD&amp;window=popup_no_bar&amp;width=385&amp;height=120&amp;START_MAXIMIZED=FALSE&amp;creator=factset&amp;display_string=Audit"}</definedName>
    <definedName name="_1669__FDSAUDITLINK__" hidden="1">{"fdsup://Directions/FactSet Auditing Viewer?action=AUDIT_VALUE&amp;DB=129&amp;ID1=03611510&amp;VALUEID=02101&amp;SDATE=200803&amp;PERIODTYPE=QTR_STD&amp;window=popup_no_bar&amp;width=385&amp;height=120&amp;START_MAXIMIZED=FALSE&amp;creator=factset&amp;display_string=Audit"}</definedName>
    <definedName name="_167__FDSAUDITLINK__" hidden="1">{"fdsup://Directions/FactSet Auditing Viewer?action=AUDIT_VALUE&amp;DB=129&amp;ID1=53271610&amp;VALUEID=13040&amp;SDATE=200801&amp;PERIODTYPE=QTR_STD&amp;window=popup_no_bar&amp;width=385&amp;height=120&amp;START_MAXIMIZED=FALSE&amp;creator=factset&amp;display_string=Audit"}</definedName>
    <definedName name="_1670__FDSAUDITLINK__" hidden="1">{"fdsup://Directions/FactSet Auditing Viewer?action=AUDIT_VALUE&amp;DB=129&amp;ID1=03611510&amp;VALUEID=01001&amp;SDATE=200803&amp;PERIODTYPE=QTR_STD&amp;window=popup_no_bar&amp;width=385&amp;height=120&amp;START_MAXIMIZED=FALSE&amp;creator=factset&amp;display_string=Audit"}</definedName>
    <definedName name="_1671__FDSAUDITLINK__" hidden="1">{"fdsup://Directions/FactSet Auditing Viewer?action=AUDIT_VALUE&amp;DB=129&amp;ID1=16890510&amp;VALUEID=02101&amp;SDATE=200803&amp;PERIODTYPE=QTR_STD&amp;window=popup_no_bar&amp;width=385&amp;height=120&amp;START_MAXIMIZED=FALSE&amp;creator=factset&amp;display_string=Audit"}</definedName>
    <definedName name="_1672__FDSAUDITLINK__" hidden="1">{"fdsup://Directions/FactSet Auditing Viewer?action=AUDIT_VALUE&amp;DB=129&amp;ID1=16890510&amp;VALUEID=01001&amp;SDATE=200803&amp;PERIODTYPE=QTR_STD&amp;window=popup_no_bar&amp;width=385&amp;height=120&amp;START_MAXIMIZED=FALSE&amp;creator=factset&amp;display_string=Audit"}</definedName>
    <definedName name="_1673__FDSAUDITLINK__" hidden="1">{"fdsup://Directions/FactSet Auditing Viewer?action=AUDIT_VALUE&amp;DB=129&amp;ID1=91704710&amp;VALUEID=02101&amp;SDATE=200803&amp;PERIODTYPE=QTR_STD&amp;window=popup_no_bar&amp;width=385&amp;height=120&amp;START_MAXIMIZED=FALSE&amp;creator=factset&amp;display_string=Audit"}</definedName>
    <definedName name="_1674__FDSAUDITLINK__" hidden="1">{"fdsup://Directions/FactSet Auditing Viewer?action=AUDIT_VALUE&amp;DB=129&amp;ID1=91704710&amp;VALUEID=01001&amp;SDATE=200803&amp;PERIODTYPE=QTR_STD&amp;window=popup_no_bar&amp;width=385&amp;height=120&amp;START_MAXIMIZED=FALSE&amp;creator=factset&amp;display_string=Audit"}</definedName>
    <definedName name="_1675__FDSAUDITLINK__" hidden="1">{"fdsup://Directions/FactSet Auditing Viewer?action=AUDIT_VALUE&amp;DB=129&amp;ID1=91704710&amp;VALUEID=13040&amp;SDATE=200803&amp;PERIODTYPE=QTR_STD&amp;window=popup_no_bar&amp;width=385&amp;height=120&amp;START_MAXIMIZED=FALSE&amp;creator=factset&amp;display_string=Audit"}</definedName>
    <definedName name="_1676__FDSAUDITLINK__" hidden="1">{"fdsup://Directions/FactSet Auditing Viewer?action=AUDIT_VALUE&amp;DB=129&amp;ID1=02553E10&amp;VALUEID=02101&amp;SDATE=200803&amp;PERIODTYPE=QTR_STD&amp;window=popup_no_bar&amp;width=385&amp;height=120&amp;START_MAXIMIZED=FALSE&amp;creator=factset&amp;display_string=Audit"}</definedName>
    <definedName name="_1677__FDSAUDITLINK__" hidden="1">{"fdsup://Directions/FactSet Auditing Viewer?action=AUDIT_VALUE&amp;DB=129&amp;ID1=02553E10&amp;VALUEID=01001&amp;SDATE=200803&amp;PERIODTYPE=QTR_STD&amp;window=popup_no_bar&amp;width=385&amp;height=120&amp;START_MAXIMIZED=FALSE&amp;creator=factset&amp;display_string=Audit"}</definedName>
    <definedName name="_1678__FDSAUDITLINK__" hidden="1">{"fdsup://Directions/FactSet Auditing Viewer?action=AUDIT_VALUE&amp;DB=129&amp;ID1=02553E10&amp;VALUEID=13040&amp;SDATE=200803&amp;PERIODTYPE=QTR_STD&amp;window=popup_no_bar&amp;width=385&amp;height=120&amp;START_MAXIMIZED=FALSE&amp;creator=factset&amp;display_string=Audit"}</definedName>
    <definedName name="_1679__FDSAUDITLINK__" hidden="1">{"fdsup://Directions/FactSet Auditing Viewer?action=AUDIT_VALUE&amp;DB=129&amp;ID1=00786510&amp;VALUEID=02101&amp;SDATE=200803&amp;PERIODTYPE=QTR_STD&amp;window=popup_no_bar&amp;width=385&amp;height=120&amp;START_MAXIMIZED=FALSE&amp;creator=factset&amp;display_string=Audit"}</definedName>
    <definedName name="_168__FDSAUDITLINK__" hidden="1">{"fdsup://Directions/FactSet Auditing Viewer?action=AUDIT_VALUE&amp;DB=129&amp;ID1=46612H40&amp;VALUEID=02101&amp;SDATE=200801&amp;PERIODTYPE=QTR_STD&amp;window=popup_no_bar&amp;width=385&amp;height=120&amp;START_MAXIMIZED=FALSE&amp;creator=factset&amp;display_string=Audit"}</definedName>
    <definedName name="_1680__FDSAUDITLINK__" hidden="1">{"fdsup://Directions/FactSet Auditing Viewer?action=AUDIT_VALUE&amp;DB=129&amp;ID1=00786510&amp;VALUEID=01001&amp;SDATE=200803&amp;PERIODTYPE=QTR_STD&amp;window=popup_no_bar&amp;width=385&amp;height=120&amp;START_MAXIMIZED=FALSE&amp;creator=factset&amp;display_string=Audit"}</definedName>
    <definedName name="_1681__FDSAUDITLINK__" hidden="1">{"fdsup://Directions/FactSet Auditing Viewer?action=AUDIT_VALUE&amp;DB=129&amp;ID1=00786510&amp;VALUEID=13040&amp;SDATE=200803&amp;PERIODTYPE=QTR_STD&amp;window=popup_no_bar&amp;width=385&amp;height=120&amp;START_MAXIMIZED=FALSE&amp;creator=factset&amp;display_string=Audit"}</definedName>
    <definedName name="_1682__FDSAUDITLINK__" hidden="1">{"fdsup://Directions/FactSet Auditing Viewer?action=AUDIT_VALUE&amp;DB=129&amp;ID1=00289620&amp;VALUEID=02101&amp;SDATE=200803&amp;PERIODTYPE=QTR_STD&amp;window=popup_no_bar&amp;width=385&amp;height=120&amp;START_MAXIMIZED=FALSE&amp;creator=factset&amp;display_string=Audit"}</definedName>
    <definedName name="_1683__FDSAUDITLINK__" hidden="1">{"fdsup://Directions/FactSet Auditing Viewer?action=AUDIT_VALUE&amp;DB=129&amp;ID1=00289620&amp;VALUEID=01001&amp;SDATE=200803&amp;PERIODTYPE=QTR_STD&amp;window=popup_no_bar&amp;width=385&amp;height=120&amp;START_MAXIMIZED=FALSE&amp;creator=factset&amp;display_string=Audit"}</definedName>
    <definedName name="_1684__FDSAUDITLINK__" hidden="1">{"fdsup://Directions/FactSet Auditing Viewer?action=AUDIT_VALUE&amp;DB=129&amp;ID1=00289620&amp;VALUEID=13040&amp;SDATE=200803&amp;PERIODTYPE=QTR_STD&amp;window=popup_no_bar&amp;width=385&amp;height=120&amp;START_MAXIMIZED=FALSE&amp;creator=factset&amp;display_string=Audit"}</definedName>
    <definedName name="_1685__FDSAUDITLINK__" hidden="1">{"fdsup://Directions/FactSet Auditing Viewer?action=AUDIT_VALUE&amp;DB=129&amp;ID1=87416110&amp;VALUEID=02101&amp;SDATE=200802&amp;PERIODTYPE=QTR_STD&amp;window=popup_no_bar&amp;width=385&amp;height=120&amp;START_MAXIMIZED=FALSE&amp;creator=factset&amp;display_string=Audit"}</definedName>
    <definedName name="_1686__FDSAUDITLINK__" hidden="1">{"fdsup://Directions/FactSet Auditing Viewer?action=AUDIT_VALUE&amp;DB=129&amp;ID1=87416110&amp;VALUEID=01001&amp;SDATE=200802&amp;PERIODTYPE=QTR_STD&amp;window=popup_no_bar&amp;width=385&amp;height=120&amp;START_MAXIMIZED=FALSE&amp;creator=factset&amp;display_string=Audit"}</definedName>
    <definedName name="_1687__FDSAUDITLINK__" hidden="1">{"fdsup://Directions/FactSet Auditing Viewer?action=AUDIT_VALUE&amp;DB=129&amp;ID1=53271610&amp;VALUEID=02101&amp;SDATE=200802&amp;PERIODTYPE=QTR_STD&amp;window=popup_no_bar&amp;width=385&amp;height=120&amp;START_MAXIMIZED=FALSE&amp;creator=factset&amp;display_string=Audit"}</definedName>
    <definedName name="_1688__FDSAUDITLINK__" hidden="1">{"fdsup://Directions/FactSet Auditing Viewer?action=AUDIT_VALUE&amp;DB=129&amp;ID1=53271610&amp;VALUEID=01001&amp;SDATE=200802&amp;PERIODTYPE=QTR_STD&amp;window=popup_no_bar&amp;width=385&amp;height=120&amp;START_MAXIMIZED=FALSE&amp;creator=factset&amp;display_string=Audit"}</definedName>
    <definedName name="_1689__FDSAUDITLINK__" hidden="1">{"fdsup://Directions/FactSet Auditing Viewer?action=AUDIT_VALUE&amp;DB=129&amp;ID1=53271610&amp;VALUEID=13040&amp;SDATE=200802&amp;PERIODTYPE=QTR_STD&amp;window=popup_no_bar&amp;width=385&amp;height=120&amp;START_MAXIMIZED=FALSE&amp;creator=factset&amp;display_string=Audit"}</definedName>
    <definedName name="_169__FDSAUDITLINK__" hidden="1">{"fdsup://Directions/FactSet Auditing Viewer?action=AUDIT_VALUE&amp;DB=129&amp;ID1=46612H40&amp;VALUEID=01001&amp;SDATE=200801&amp;PERIODTYPE=QTR_STD&amp;window=popup_no_bar&amp;width=385&amp;height=120&amp;START_MAXIMIZED=FALSE&amp;creator=factset&amp;display_string=Audit"}</definedName>
    <definedName name="_1690__FDSAUDITLINK__" hidden="1">{"fdsup://Directions/FactSet Auditing Viewer?action=AUDIT_VALUE&amp;DB=129&amp;ID1=46612H40&amp;VALUEID=02101&amp;SDATE=200802&amp;PERIODTYPE=QTR_STD&amp;window=popup_no_bar&amp;width=385&amp;height=120&amp;START_MAXIMIZED=FALSE&amp;creator=factset&amp;display_string=Audit"}</definedName>
    <definedName name="_1691__FDSAUDITLINK__" hidden="1">{"fdsup://Directions/FactSet Auditing Viewer?action=AUDIT_VALUE&amp;DB=129&amp;ID1=46612H40&amp;VALUEID=01001&amp;SDATE=200802&amp;PERIODTYPE=QTR_STD&amp;window=popup_no_bar&amp;width=385&amp;height=120&amp;START_MAXIMIZED=FALSE&amp;creator=factset&amp;display_string=Audit"}</definedName>
    <definedName name="_1692__FDSAUDITLINK__" hidden="1">{"fdsup://Directions/FactSet Auditing Viewer?action=AUDIT_VALUE&amp;DB=129&amp;ID1=46612H40&amp;VALUEID=13040&amp;SDATE=200802&amp;PERIODTYPE=QTR_STD&amp;window=popup_no_bar&amp;width=385&amp;height=120&amp;START_MAXIMIZED=FALSE&amp;creator=factset&amp;display_string=Audit"}</definedName>
    <definedName name="_1693__FDSAUDITLINK__" hidden="1">{"fdsup://Directions/FactSet Auditing Viewer?action=AUDIT_VALUE&amp;DB=129&amp;ID1=36476010&amp;VALUEID=02101&amp;SDATE=200802&amp;PERIODTYPE=QTR_STD&amp;window=popup_no_bar&amp;width=385&amp;height=120&amp;START_MAXIMIZED=FALSE&amp;creator=factset&amp;display_string=Audit"}</definedName>
    <definedName name="_1694__FDSAUDITLINK__" hidden="1">{"fdsup://Directions/FactSet Auditing Viewer?action=AUDIT_VALUE&amp;DB=129&amp;ID1=36476010&amp;VALUEID=01001&amp;SDATE=200802&amp;PERIODTYPE=QTR_STD&amp;window=popup_no_bar&amp;width=385&amp;height=120&amp;START_MAXIMIZED=FALSE&amp;creator=factset&amp;display_string=Audit"}</definedName>
    <definedName name="_1695__FDSAUDITLINK__" hidden="1">{"fdsup://Directions/FactSet Auditing Viewer?action=AUDIT_VALUE&amp;DB=129&amp;ID1=36476010&amp;VALUEID=13040&amp;SDATE=200802&amp;PERIODTYPE=QTR_STD&amp;window=popup_no_bar&amp;width=385&amp;height=120&amp;START_MAXIMIZED=FALSE&amp;creator=factset&amp;display_string=Audit"}</definedName>
    <definedName name="_1696__FDSAUDITLINK__" hidden="1">{"fdsup://Directions/FactSet Auditing Viewer?action=AUDIT_VALUE&amp;DB=129&amp;ID1=03611510&amp;VALUEID=02101&amp;SDATE=200802&amp;PERIODTYPE=QTR_STD&amp;window=popup_no_bar&amp;width=385&amp;height=120&amp;START_MAXIMIZED=FALSE&amp;creator=factset&amp;display_string=Audit"}</definedName>
    <definedName name="_1697__FDSAUDITLINK__" hidden="1">{"fdsup://Directions/FactSet Auditing Viewer?action=AUDIT_VALUE&amp;DB=129&amp;ID1=03611510&amp;VALUEID=01001&amp;SDATE=200802&amp;PERIODTYPE=QTR_STD&amp;window=popup_no_bar&amp;width=385&amp;height=120&amp;START_MAXIMIZED=FALSE&amp;creator=factset&amp;display_string=Audit"}</definedName>
    <definedName name="_1698__FDSAUDITLINK__" hidden="1">{"fdsup://Directions/FactSet Auditing Viewer?action=AUDIT_VALUE&amp;DB=129&amp;ID1=16890510&amp;VALUEID=02101&amp;SDATE=200802&amp;PERIODTYPE=QTR_STD&amp;window=popup_no_bar&amp;width=385&amp;height=120&amp;START_MAXIMIZED=FALSE&amp;creator=factset&amp;display_string=Audit"}</definedName>
    <definedName name="_1699__FDSAUDITLINK__" hidden="1">{"fdsup://Directions/FactSet Auditing Viewer?action=AUDIT_VALUE&amp;DB=129&amp;ID1=16890510&amp;VALUEID=01001&amp;SDATE=200802&amp;PERIODTYPE=QTR_STD&amp;window=popup_no_bar&amp;width=385&amp;height=120&amp;START_MAXIMIZED=FALSE&amp;creator=factset&amp;display_string=Audit"}</definedName>
    <definedName name="_17__FDSAUDITLINK__" hidden="1">{"fdsup://Directions/FactSet Auditing Viewer?action=AUDIT_VALUE&amp;DB=129&amp;ID1=00786510&amp;VALUEID=02101&amp;SDATE=201001&amp;PERIODTYPE=QTR_STD&amp;window=popup_no_bar&amp;width=385&amp;height=120&amp;START_MAXIMIZED=FALSE&amp;creator=factset&amp;display_string=Audit"}</definedName>
    <definedName name="_170__FDSAUDITLINK__" hidden="1">{"fdsup://Directions/FactSet Auditing Viewer?action=AUDIT_VALUE&amp;DB=129&amp;ID1=46612H40&amp;VALUEID=13040&amp;SDATE=200801&amp;PERIODTYPE=QTR_STD&amp;window=popup_no_bar&amp;width=385&amp;height=120&amp;START_MAXIMIZED=FALSE&amp;creator=factset&amp;display_string=Audit"}</definedName>
    <definedName name="_1700__FDSAUDITLINK__" hidden="1">{"fdsup://Directions/FactSet Auditing Viewer?action=AUDIT_VALUE&amp;DB=129&amp;ID1=91704710&amp;VALUEID=02101&amp;SDATE=200802&amp;PERIODTYPE=QTR_STD&amp;window=popup_no_bar&amp;width=385&amp;height=120&amp;START_MAXIMIZED=FALSE&amp;creator=factset&amp;display_string=Audit"}</definedName>
    <definedName name="_1701__FDSAUDITLINK__" hidden="1">{"fdsup://Directions/FactSet Auditing Viewer?action=AUDIT_VALUE&amp;DB=129&amp;ID1=91704710&amp;VALUEID=01001&amp;SDATE=200802&amp;PERIODTYPE=QTR_STD&amp;window=popup_no_bar&amp;width=385&amp;height=120&amp;START_MAXIMIZED=FALSE&amp;creator=factset&amp;display_string=Audit"}</definedName>
    <definedName name="_1702__FDSAUDITLINK__" hidden="1">{"fdsup://Directions/FactSet Auditing Viewer?action=AUDIT_VALUE&amp;DB=129&amp;ID1=91704710&amp;VALUEID=13040&amp;SDATE=200802&amp;PERIODTYPE=QTR_STD&amp;window=popup_no_bar&amp;width=385&amp;height=120&amp;START_MAXIMIZED=FALSE&amp;creator=factset&amp;display_string=Audit"}</definedName>
    <definedName name="_1703__FDSAUDITLINK__" hidden="1">{"fdsup://Directions/FactSet Auditing Viewer?action=AUDIT_VALUE&amp;DB=129&amp;ID1=02553E10&amp;VALUEID=02101&amp;SDATE=200802&amp;PERIODTYPE=QTR_STD&amp;window=popup_no_bar&amp;width=385&amp;height=120&amp;START_MAXIMIZED=FALSE&amp;creator=factset&amp;display_string=Audit"}</definedName>
    <definedName name="_1704__FDSAUDITLINK__" hidden="1">{"fdsup://Directions/FactSet Auditing Viewer?action=AUDIT_VALUE&amp;DB=129&amp;ID1=02553E10&amp;VALUEID=01001&amp;SDATE=200802&amp;PERIODTYPE=QTR_STD&amp;window=popup_no_bar&amp;width=385&amp;height=120&amp;START_MAXIMIZED=FALSE&amp;creator=factset&amp;display_string=Audit"}</definedName>
    <definedName name="_1705__FDSAUDITLINK__" hidden="1">{"fdsup://Directions/FactSet Auditing Viewer?action=AUDIT_VALUE&amp;DB=129&amp;ID1=02553E10&amp;VALUEID=13040&amp;SDATE=200802&amp;PERIODTYPE=QTR_STD&amp;window=popup_no_bar&amp;width=385&amp;height=120&amp;START_MAXIMIZED=FALSE&amp;creator=factset&amp;display_string=Audit"}</definedName>
    <definedName name="_1706__FDSAUDITLINK__" hidden="1">{"fdsup://Directions/FactSet Auditing Viewer?action=AUDIT_VALUE&amp;DB=129&amp;ID1=00786510&amp;VALUEID=02101&amp;SDATE=200802&amp;PERIODTYPE=QTR_STD&amp;window=popup_no_bar&amp;width=385&amp;height=120&amp;START_MAXIMIZED=FALSE&amp;creator=factset&amp;display_string=Audit"}</definedName>
    <definedName name="_1707__FDSAUDITLINK__" hidden="1">{"fdsup://Directions/FactSet Auditing Viewer?action=AUDIT_VALUE&amp;DB=129&amp;ID1=00786510&amp;VALUEID=01001&amp;SDATE=200802&amp;PERIODTYPE=QTR_STD&amp;window=popup_no_bar&amp;width=385&amp;height=120&amp;START_MAXIMIZED=FALSE&amp;creator=factset&amp;display_string=Audit"}</definedName>
    <definedName name="_1708__FDSAUDITLINK__" hidden="1">{"fdsup://Directions/FactSet Auditing Viewer?action=AUDIT_VALUE&amp;DB=129&amp;ID1=00786510&amp;VALUEID=13040&amp;SDATE=200802&amp;PERIODTYPE=QTR_STD&amp;window=popup_no_bar&amp;width=385&amp;height=120&amp;START_MAXIMIZED=FALSE&amp;creator=factset&amp;display_string=Audit"}</definedName>
    <definedName name="_1709__FDSAUDITLINK__" hidden="1">{"fdsup://Directions/FactSet Auditing Viewer?action=AUDIT_VALUE&amp;DB=129&amp;ID1=00289620&amp;VALUEID=02101&amp;SDATE=200802&amp;PERIODTYPE=QTR_STD&amp;window=popup_no_bar&amp;width=385&amp;height=120&amp;START_MAXIMIZED=FALSE&amp;creator=factset&amp;display_string=Audit"}</definedName>
    <definedName name="_171__FDSAUDITLINK__" hidden="1">{"fdsup://Directions/FactSet Auditing Viewer?action=AUDIT_VALUE&amp;DB=129&amp;ID1=36476010&amp;VALUEID=02101&amp;SDATE=200801&amp;PERIODTYPE=QTR_STD&amp;window=popup_no_bar&amp;width=385&amp;height=120&amp;START_MAXIMIZED=FALSE&amp;creator=factset&amp;display_string=Audit"}</definedName>
    <definedName name="_1710__FDSAUDITLINK__" hidden="1">{"fdsup://Directions/FactSet Auditing Viewer?action=AUDIT_VALUE&amp;DB=129&amp;ID1=00289620&amp;VALUEID=01001&amp;SDATE=200802&amp;PERIODTYPE=QTR_STD&amp;window=popup_no_bar&amp;width=385&amp;height=120&amp;START_MAXIMIZED=FALSE&amp;creator=factset&amp;display_string=Audit"}</definedName>
    <definedName name="_1711__FDSAUDITLINK__" hidden="1">{"fdsup://Directions/FactSet Auditing Viewer?action=AUDIT_VALUE&amp;DB=129&amp;ID1=00289620&amp;VALUEID=13040&amp;SDATE=200802&amp;PERIODTYPE=QTR_STD&amp;window=popup_no_bar&amp;width=385&amp;height=120&amp;START_MAXIMIZED=FALSE&amp;creator=factset&amp;display_string=Audit"}</definedName>
    <definedName name="_1712__FDSAUDITLINK__" hidden="1">{"fdsup://Directions/FactSet Auditing Viewer?action=AUDIT_VALUE&amp;DB=129&amp;ID1=87416110&amp;VALUEID=02101&amp;SDATE=200801&amp;PERIODTYPE=QTR_STD&amp;window=popup_no_bar&amp;width=385&amp;height=120&amp;START_MAXIMIZED=FALSE&amp;creator=factset&amp;display_string=Audit"}</definedName>
    <definedName name="_1713__FDSAUDITLINK__" hidden="1">{"fdsup://Directions/FactSet Auditing Viewer?action=AUDIT_VALUE&amp;DB=129&amp;ID1=87416110&amp;VALUEID=01001&amp;SDATE=200801&amp;PERIODTYPE=QTR_STD&amp;window=popup_no_bar&amp;width=385&amp;height=120&amp;START_MAXIMIZED=FALSE&amp;creator=factset&amp;display_string=Audit"}</definedName>
    <definedName name="_1714__FDSAUDITLINK__" hidden="1">{"fdsup://Directions/FactSet Auditing Viewer?action=AUDIT_VALUE&amp;DB=129&amp;ID1=53271610&amp;VALUEID=02101&amp;SDATE=200801&amp;PERIODTYPE=QTR_STD&amp;window=popup_no_bar&amp;width=385&amp;height=120&amp;START_MAXIMIZED=FALSE&amp;creator=factset&amp;display_string=Audit"}</definedName>
    <definedName name="_1715__FDSAUDITLINK__" hidden="1">{"fdsup://Directions/FactSet Auditing Viewer?action=AUDIT_VALUE&amp;DB=129&amp;ID1=53271610&amp;VALUEID=01001&amp;SDATE=200801&amp;PERIODTYPE=QTR_STD&amp;window=popup_no_bar&amp;width=385&amp;height=120&amp;START_MAXIMIZED=FALSE&amp;creator=factset&amp;display_string=Audit"}</definedName>
    <definedName name="_1716__FDSAUDITLINK__" hidden="1">{"fdsup://Directions/FactSet Auditing Viewer?action=AUDIT_VALUE&amp;DB=129&amp;ID1=53271610&amp;VALUEID=13040&amp;SDATE=200801&amp;PERIODTYPE=QTR_STD&amp;window=popup_no_bar&amp;width=385&amp;height=120&amp;START_MAXIMIZED=FALSE&amp;creator=factset&amp;display_string=Audit"}</definedName>
    <definedName name="_1717__FDSAUDITLINK__" hidden="1">{"fdsup://Directions/FactSet Auditing Viewer?action=AUDIT_VALUE&amp;DB=129&amp;ID1=46612H40&amp;VALUEID=02101&amp;SDATE=200801&amp;PERIODTYPE=QTR_STD&amp;window=popup_no_bar&amp;width=385&amp;height=120&amp;START_MAXIMIZED=FALSE&amp;creator=factset&amp;display_string=Audit"}</definedName>
    <definedName name="_1718__FDSAUDITLINK__" hidden="1">{"fdsup://Directions/FactSet Auditing Viewer?action=AUDIT_VALUE&amp;DB=129&amp;ID1=46612H40&amp;VALUEID=01001&amp;SDATE=200801&amp;PERIODTYPE=QTR_STD&amp;window=popup_no_bar&amp;width=385&amp;height=120&amp;START_MAXIMIZED=FALSE&amp;creator=factset&amp;display_string=Audit"}</definedName>
    <definedName name="_1719__FDSAUDITLINK__" hidden="1">{"fdsup://Directions/FactSet Auditing Viewer?action=AUDIT_VALUE&amp;DB=129&amp;ID1=46612H40&amp;VALUEID=13040&amp;SDATE=200801&amp;PERIODTYPE=QTR_STD&amp;window=popup_no_bar&amp;width=385&amp;height=120&amp;START_MAXIMIZED=FALSE&amp;creator=factset&amp;display_string=Audit"}</definedName>
    <definedName name="_172__FDSAUDITLINK__" hidden="1">{"fdsup://Directions/FactSet Auditing Viewer?action=AUDIT_VALUE&amp;DB=129&amp;ID1=36476010&amp;VALUEID=01001&amp;SDATE=200801&amp;PERIODTYPE=QTR_STD&amp;window=popup_no_bar&amp;width=385&amp;height=120&amp;START_MAXIMIZED=FALSE&amp;creator=factset&amp;display_string=Audit"}</definedName>
    <definedName name="_1720__FDSAUDITLINK__" hidden="1">{"fdsup://Directions/FactSet Auditing Viewer?action=AUDIT_VALUE&amp;DB=129&amp;ID1=36476010&amp;VALUEID=02101&amp;SDATE=200801&amp;PERIODTYPE=QTR_STD&amp;window=popup_no_bar&amp;width=385&amp;height=120&amp;START_MAXIMIZED=FALSE&amp;creator=factset&amp;display_string=Audit"}</definedName>
    <definedName name="_1721__FDSAUDITLINK__" hidden="1">{"fdsup://Directions/FactSet Auditing Viewer?action=AUDIT_VALUE&amp;DB=129&amp;ID1=36476010&amp;VALUEID=01001&amp;SDATE=200801&amp;PERIODTYPE=QTR_STD&amp;window=popup_no_bar&amp;width=385&amp;height=120&amp;START_MAXIMIZED=FALSE&amp;creator=factset&amp;display_string=Audit"}</definedName>
    <definedName name="_1722__FDSAUDITLINK__" hidden="1">{"fdsup://Directions/FactSet Auditing Viewer?action=AUDIT_VALUE&amp;DB=129&amp;ID1=36476010&amp;VALUEID=13040&amp;SDATE=200801&amp;PERIODTYPE=QTR_STD&amp;window=popup_no_bar&amp;width=385&amp;height=120&amp;START_MAXIMIZED=FALSE&amp;creator=factset&amp;display_string=Audit"}</definedName>
    <definedName name="_1723__FDSAUDITLINK__" hidden="1">{"fdsup://Directions/FactSet Auditing Viewer?action=AUDIT_VALUE&amp;DB=129&amp;ID1=03611510&amp;VALUEID=02101&amp;SDATE=200801&amp;PERIODTYPE=QTR_STD&amp;window=popup_no_bar&amp;width=385&amp;height=120&amp;START_MAXIMIZED=FALSE&amp;creator=factset&amp;display_string=Audit"}</definedName>
    <definedName name="_1724__FDSAUDITLINK__" hidden="1">{"fdsup://Directions/FactSet Auditing Viewer?action=AUDIT_VALUE&amp;DB=129&amp;ID1=03611510&amp;VALUEID=01001&amp;SDATE=200801&amp;PERIODTYPE=QTR_STD&amp;window=popup_no_bar&amp;width=385&amp;height=120&amp;START_MAXIMIZED=FALSE&amp;creator=factset&amp;display_string=Audit"}</definedName>
    <definedName name="_1725__FDSAUDITLINK__" hidden="1">{"fdsup://Directions/FactSet Auditing Viewer?action=AUDIT_VALUE&amp;DB=129&amp;ID1=03611510&amp;VALUEID=13040&amp;SDATE=200801&amp;PERIODTYPE=QTR_STD&amp;window=popup_no_bar&amp;width=385&amp;height=120&amp;START_MAXIMIZED=FALSE&amp;creator=factset&amp;display_string=Audit"}</definedName>
    <definedName name="_1726__FDSAUDITLINK__" hidden="1">{"fdsup://Directions/FactSet Auditing Viewer?action=AUDIT_VALUE&amp;DB=129&amp;ID1=16890510&amp;VALUEID=02101&amp;SDATE=200801&amp;PERIODTYPE=QTR_STD&amp;window=popup_no_bar&amp;width=385&amp;height=120&amp;START_MAXIMIZED=FALSE&amp;creator=factset&amp;display_string=Audit"}</definedName>
    <definedName name="_1727__FDSAUDITLINK__" hidden="1">{"fdsup://Directions/FactSet Auditing Viewer?action=AUDIT_VALUE&amp;DB=129&amp;ID1=16890510&amp;VALUEID=01001&amp;SDATE=200801&amp;PERIODTYPE=QTR_STD&amp;window=popup_no_bar&amp;width=385&amp;height=120&amp;START_MAXIMIZED=FALSE&amp;creator=factset&amp;display_string=Audit"}</definedName>
    <definedName name="_1728__FDSAUDITLINK__" hidden="1">{"fdsup://Directions/FactSet Auditing Viewer?action=AUDIT_VALUE&amp;DB=129&amp;ID1=91704710&amp;VALUEID=02101&amp;SDATE=200801&amp;PERIODTYPE=QTR_STD&amp;window=popup_no_bar&amp;width=385&amp;height=120&amp;START_MAXIMIZED=FALSE&amp;creator=factset&amp;display_string=Audit"}</definedName>
    <definedName name="_1729__FDSAUDITLINK__" hidden="1">{"fdsup://Directions/FactSet Auditing Viewer?action=AUDIT_VALUE&amp;DB=129&amp;ID1=91704710&amp;VALUEID=01001&amp;SDATE=200801&amp;PERIODTYPE=QTR_STD&amp;window=popup_no_bar&amp;width=385&amp;height=120&amp;START_MAXIMIZED=FALSE&amp;creator=factset&amp;display_string=Audit"}</definedName>
    <definedName name="_173__FDSAUDITLINK__" hidden="1">{"fdsup://Directions/FactSet Auditing Viewer?action=AUDIT_VALUE&amp;DB=129&amp;ID1=36476010&amp;VALUEID=13040&amp;SDATE=200801&amp;PERIODTYPE=QTR_STD&amp;window=popup_no_bar&amp;width=385&amp;height=120&amp;START_MAXIMIZED=FALSE&amp;creator=factset&amp;display_string=Audit"}</definedName>
    <definedName name="_1730__FDSAUDITLINK__" hidden="1">{"fdsup://Directions/FactSet Auditing Viewer?action=AUDIT_VALUE&amp;DB=129&amp;ID1=91704710&amp;VALUEID=13040&amp;SDATE=200801&amp;PERIODTYPE=QTR_STD&amp;window=popup_no_bar&amp;width=385&amp;height=120&amp;START_MAXIMIZED=FALSE&amp;creator=factset&amp;display_string=Audit"}</definedName>
    <definedName name="_1731__FDSAUDITLINK__" hidden="1">{"fdsup://Directions/FactSet Auditing Viewer?action=AUDIT_VALUE&amp;DB=129&amp;ID1=02553E10&amp;VALUEID=02101&amp;SDATE=200801&amp;PERIODTYPE=QTR_STD&amp;window=popup_no_bar&amp;width=385&amp;height=120&amp;START_MAXIMIZED=FALSE&amp;creator=factset&amp;display_string=Audit"}</definedName>
    <definedName name="_1732__FDSAUDITLINK__" hidden="1">{"fdsup://Directions/FactSet Auditing Viewer?action=AUDIT_VALUE&amp;DB=129&amp;ID1=02553E10&amp;VALUEID=01001&amp;SDATE=200801&amp;PERIODTYPE=QTR_STD&amp;window=popup_no_bar&amp;width=385&amp;height=120&amp;START_MAXIMIZED=FALSE&amp;creator=factset&amp;display_string=Audit"}</definedName>
    <definedName name="_1733__FDSAUDITLINK__" hidden="1">{"fdsup://Directions/FactSet Auditing Viewer?action=AUDIT_VALUE&amp;DB=129&amp;ID1=02553E10&amp;VALUEID=13040&amp;SDATE=200801&amp;PERIODTYPE=QTR_STD&amp;window=popup_no_bar&amp;width=385&amp;height=120&amp;START_MAXIMIZED=FALSE&amp;creator=factset&amp;display_string=Audit"}</definedName>
    <definedName name="_1734__FDSAUDITLINK__" hidden="1">{"fdsup://Directions/FactSet Auditing Viewer?action=AUDIT_VALUE&amp;DB=129&amp;ID1=00786510&amp;VALUEID=02101&amp;SDATE=200801&amp;PERIODTYPE=QTR_STD&amp;window=popup_no_bar&amp;width=385&amp;height=120&amp;START_MAXIMIZED=FALSE&amp;creator=factset&amp;display_string=Audit"}</definedName>
    <definedName name="_1735__FDSAUDITLINK__" hidden="1">{"fdsup://Directions/FactSet Auditing Viewer?action=AUDIT_VALUE&amp;DB=129&amp;ID1=00786510&amp;VALUEID=01001&amp;SDATE=200801&amp;PERIODTYPE=QTR_STD&amp;window=popup_no_bar&amp;width=385&amp;height=120&amp;START_MAXIMIZED=FALSE&amp;creator=factset&amp;display_string=Audit"}</definedName>
    <definedName name="_1736__FDSAUDITLINK__" hidden="1">{"fdsup://Directions/FactSet Auditing Viewer?action=AUDIT_VALUE&amp;DB=129&amp;ID1=00786510&amp;VALUEID=13040&amp;SDATE=200801&amp;PERIODTYPE=QTR_STD&amp;window=popup_no_bar&amp;width=385&amp;height=120&amp;START_MAXIMIZED=FALSE&amp;creator=factset&amp;display_string=Audit"}</definedName>
    <definedName name="_1737__FDSAUDITLINK__" hidden="1">{"fdsup://Directions/FactSet Auditing Viewer?action=AUDIT_VALUE&amp;DB=129&amp;ID1=00289620&amp;VALUEID=02101&amp;SDATE=200801&amp;PERIODTYPE=QTR_STD&amp;window=popup_no_bar&amp;width=385&amp;height=120&amp;START_MAXIMIZED=FALSE&amp;creator=factset&amp;display_string=Audit"}</definedName>
    <definedName name="_1738__FDSAUDITLINK__" hidden="1">{"fdsup://Directions/FactSet Auditing Viewer?action=AUDIT_VALUE&amp;DB=129&amp;ID1=00289620&amp;VALUEID=01001&amp;SDATE=200801&amp;PERIODTYPE=QTR_STD&amp;window=popup_no_bar&amp;width=385&amp;height=120&amp;START_MAXIMIZED=FALSE&amp;creator=factset&amp;display_string=Audit"}</definedName>
    <definedName name="_1739__FDSAUDITLINK__" hidden="1">{"fdsup://Directions/FactSet Auditing Viewer?action=AUDIT_VALUE&amp;DB=129&amp;ID1=00289620&amp;VALUEID=13040&amp;SDATE=200801&amp;PERIODTYPE=QTR_STD&amp;window=popup_no_bar&amp;width=385&amp;height=120&amp;START_MAXIMIZED=FALSE&amp;creator=factset&amp;display_string=Audit"}</definedName>
    <definedName name="_174__FDSAUDITLINK__" hidden="1">{"fdsup://Directions/FactSet Auditing Viewer?action=AUDIT_VALUE&amp;DB=129&amp;ID1=03611510&amp;VALUEID=02101&amp;SDATE=200801&amp;PERIODTYPE=QTR_STD&amp;window=popup_no_bar&amp;width=385&amp;height=120&amp;START_MAXIMIZED=FALSE&amp;creator=factset&amp;display_string=Audit"}</definedName>
    <definedName name="_1740__FDSAUDITLINK__" hidden="1">{"fdsup://Directions/FactSet Auditing Viewer?action=AUDIT_VALUE&amp;DB=129&amp;ID1=87416110&amp;VALUEID=01001&amp;SDATE=200704&amp;PERIODTYPE=QTR_STD&amp;window=popup_no_bar&amp;width=385&amp;height=120&amp;START_MAXIMIZED=FALSE&amp;creator=factset&amp;display_string=Audit"}</definedName>
    <definedName name="_1741__FDSAUDITLINK__" hidden="1">{"fdsup://Directions/FactSet Auditing Viewer?action=AUDIT_VALUE&amp;DB=129&amp;ID1=46612H40&amp;VALUEID=01001&amp;SDATE=200704&amp;PERIODTYPE=QTR_STD&amp;window=popup_no_bar&amp;width=385&amp;height=120&amp;START_MAXIMIZED=FALSE&amp;creator=factset&amp;display_string=Audit"}</definedName>
    <definedName name="_1742__FDSAUDITLINK__" hidden="1">{"fdsup://Directions/FactSet Auditing Viewer?action=AUDIT_VALUE&amp;DB=129&amp;ID1=46612H40&amp;VALUEID=13040&amp;SDATE=200704&amp;PERIODTYPE=QTR_STD&amp;window=popup_no_bar&amp;width=385&amp;height=120&amp;START_MAXIMIZED=FALSE&amp;creator=factset&amp;display_string=Audit"}</definedName>
    <definedName name="_1743__FDSAUDITLINK__" hidden="1">{"fdsup://Directions/FactSet Auditing Viewer?action=AUDIT_VALUE&amp;DB=129&amp;ID1=36476010&amp;VALUEID=01001&amp;SDATE=200704&amp;PERIODTYPE=QTR_STD&amp;window=popup_no_bar&amp;width=385&amp;height=120&amp;START_MAXIMIZED=FALSE&amp;creator=factset&amp;display_string=Audit"}</definedName>
    <definedName name="_1744__FDSAUDITLINK__" hidden="1">{"fdsup://Directions/FactSet Auditing Viewer?action=AUDIT_VALUE&amp;DB=129&amp;ID1=03611510&amp;VALUEID=01001&amp;SDATE=200704&amp;PERIODTYPE=QTR_STD&amp;window=popup_no_bar&amp;width=385&amp;height=120&amp;START_MAXIMIZED=FALSE&amp;creator=factset&amp;display_string=Audit"}</definedName>
    <definedName name="_1745__FDSAUDITLINK__" hidden="1">{"fdsup://Directions/FactSet Auditing Viewer?action=AUDIT_VALUE&amp;DB=129&amp;ID1=03611510&amp;VALUEID=13040&amp;SDATE=200704&amp;PERIODTYPE=QTR_STD&amp;window=popup_no_bar&amp;width=385&amp;height=120&amp;START_MAXIMIZED=FALSE&amp;creator=factset&amp;display_string=Audit"}</definedName>
    <definedName name="_1746__FDSAUDITLINK__" hidden="1">{"fdsup://Directions/FactSet Auditing Viewer?action=AUDIT_VALUE&amp;DB=129&amp;ID1=16890510&amp;VALUEID=01001&amp;SDATE=200704&amp;PERIODTYPE=QTR_STD&amp;window=popup_no_bar&amp;width=385&amp;height=120&amp;START_MAXIMIZED=FALSE&amp;creator=factset&amp;display_string=Audit"}</definedName>
    <definedName name="_1747__FDSAUDITLINK__" hidden="1">{"fdsup://Directions/FactSet Auditing Viewer?action=AUDIT_VALUE&amp;DB=129&amp;ID1=00786510&amp;VALUEID=01001&amp;SDATE=200704&amp;PERIODTYPE=QTR_STD&amp;window=popup_no_bar&amp;width=385&amp;height=120&amp;START_MAXIMIZED=FALSE&amp;creator=factset&amp;display_string=Audit"}</definedName>
    <definedName name="_1748__FDSAUDITLINK__" hidden="1">{"fdsup://Directions/FactSet Auditing Viewer?action=AUDIT_VALUE&amp;DB=129&amp;ID1=87416110&amp;VALUEID=02101&amp;SDATE=200703&amp;PERIODTYPE=QTR_STD&amp;window=popup_no_bar&amp;width=385&amp;height=120&amp;START_MAXIMIZED=FALSE&amp;creator=factset&amp;display_string=Audit"}</definedName>
    <definedName name="_1749__FDSAUDITLINK__" hidden="1">{"fdsup://Directions/FactSet Auditing Viewer?action=AUDIT_VALUE&amp;DB=129&amp;ID1=87416110&amp;VALUEID=01001&amp;SDATE=200703&amp;PERIODTYPE=QTR_STD&amp;window=popup_no_bar&amp;width=385&amp;height=120&amp;START_MAXIMIZED=FALSE&amp;creator=factset&amp;display_string=Audit"}</definedName>
    <definedName name="_175__FDSAUDITLINK__" hidden="1">{"fdsup://Directions/FactSet Auditing Viewer?action=AUDIT_VALUE&amp;DB=129&amp;ID1=03611510&amp;VALUEID=01001&amp;SDATE=200801&amp;PERIODTYPE=QTR_STD&amp;window=popup_no_bar&amp;width=385&amp;height=120&amp;START_MAXIMIZED=FALSE&amp;creator=factset&amp;display_string=Audit"}</definedName>
    <definedName name="_1750__FDSAUDITLINK__" hidden="1">{"fdsup://Directions/FactSet Auditing Viewer?action=AUDIT_VALUE&amp;DB=129&amp;ID1=53271610&amp;VALUEID=02101&amp;SDATE=200703&amp;PERIODTYPE=QTR_STD&amp;window=popup_no_bar&amp;width=385&amp;height=120&amp;START_MAXIMIZED=FALSE&amp;creator=factset&amp;display_string=Audit"}</definedName>
    <definedName name="_1751__FDSAUDITLINK__" hidden="1">{"fdsup://Directions/FactSet Auditing Viewer?action=AUDIT_VALUE&amp;DB=129&amp;ID1=53271610&amp;VALUEID=01001&amp;SDATE=200703&amp;PERIODTYPE=QTR_STD&amp;window=popup_no_bar&amp;width=385&amp;height=120&amp;START_MAXIMIZED=FALSE&amp;creator=factset&amp;display_string=Audit"}</definedName>
    <definedName name="_1752__FDSAUDITLINK__" hidden="1">{"fdsup://Directions/FactSet Auditing Viewer?action=AUDIT_VALUE&amp;DB=129&amp;ID1=53271610&amp;VALUEID=13040&amp;SDATE=200703&amp;PERIODTYPE=QTR_STD&amp;window=popup_no_bar&amp;width=385&amp;height=120&amp;START_MAXIMIZED=FALSE&amp;creator=factset&amp;display_string=Audit"}</definedName>
    <definedName name="_1753__FDSAUDITLINK__" hidden="1">{"fdsup://Directions/FactSet Auditing Viewer?action=AUDIT_VALUE&amp;DB=129&amp;ID1=46612H40&amp;VALUEID=02101&amp;SDATE=200703&amp;PERIODTYPE=QTR_STD&amp;window=popup_no_bar&amp;width=385&amp;height=120&amp;START_MAXIMIZED=FALSE&amp;creator=factset&amp;display_string=Audit"}</definedName>
    <definedName name="_1754__FDSAUDITLINK__" hidden="1">{"fdsup://Directions/FactSet Auditing Viewer?action=AUDIT_VALUE&amp;DB=129&amp;ID1=46612H40&amp;VALUEID=01001&amp;SDATE=200703&amp;PERIODTYPE=QTR_STD&amp;window=popup_no_bar&amp;width=385&amp;height=120&amp;START_MAXIMIZED=FALSE&amp;creator=factset&amp;display_string=Audit"}</definedName>
    <definedName name="_1755__FDSAUDITLINK__" hidden="1">{"fdsup://Directions/FactSet Auditing Viewer?action=AUDIT_VALUE&amp;DB=129&amp;ID1=46612H40&amp;VALUEID=13040&amp;SDATE=200703&amp;PERIODTYPE=QTR_STD&amp;window=popup_no_bar&amp;width=385&amp;height=120&amp;START_MAXIMIZED=FALSE&amp;creator=factset&amp;display_string=Audit"}</definedName>
    <definedName name="_1756__FDSAUDITLINK__" hidden="1">{"fdsup://Directions/FactSet Auditing Viewer?action=AUDIT_VALUE&amp;DB=129&amp;ID1=36476010&amp;VALUEID=02101&amp;SDATE=200703&amp;PERIODTYPE=QTR_STD&amp;window=popup_no_bar&amp;width=385&amp;height=120&amp;START_MAXIMIZED=FALSE&amp;creator=factset&amp;display_string=Audit"}</definedName>
    <definedName name="_1757__FDSAUDITLINK__" hidden="1">{"fdsup://Directions/FactSet Auditing Viewer?action=AUDIT_VALUE&amp;DB=129&amp;ID1=36476010&amp;VALUEID=01001&amp;SDATE=200703&amp;PERIODTYPE=QTR_STD&amp;window=popup_no_bar&amp;width=385&amp;height=120&amp;START_MAXIMIZED=FALSE&amp;creator=factset&amp;display_string=Audit"}</definedName>
    <definedName name="_1758__FDSAUDITLINK__" hidden="1">{"fdsup://Directions/FactSet Auditing Viewer?action=AUDIT_VALUE&amp;DB=129&amp;ID1=36476010&amp;VALUEID=13040&amp;SDATE=200703&amp;PERIODTYPE=QTR_STD&amp;window=popup_no_bar&amp;width=385&amp;height=120&amp;START_MAXIMIZED=FALSE&amp;creator=factset&amp;display_string=Audit"}</definedName>
    <definedName name="_1759__FDSAUDITLINK__" hidden="1">{"fdsup://Directions/FactSet Auditing Viewer?action=AUDIT_VALUE&amp;DB=129&amp;ID1=03611510&amp;VALUEID=02101&amp;SDATE=200703&amp;PERIODTYPE=QTR_STD&amp;window=popup_no_bar&amp;width=385&amp;height=120&amp;START_MAXIMIZED=FALSE&amp;creator=factset&amp;display_string=Audit"}</definedName>
    <definedName name="_176__FDSAUDITLINK__" hidden="1">{"fdsup://Directions/FactSet Auditing Viewer?action=AUDIT_VALUE&amp;DB=129&amp;ID1=03611510&amp;VALUEID=13040&amp;SDATE=200801&amp;PERIODTYPE=QTR_STD&amp;window=popup_no_bar&amp;width=385&amp;height=120&amp;START_MAXIMIZED=FALSE&amp;creator=factset&amp;display_string=Audit"}</definedName>
    <definedName name="_1760__FDSAUDITLINK__" hidden="1">{"fdsup://Directions/FactSet Auditing Viewer?action=AUDIT_VALUE&amp;DB=129&amp;ID1=03611510&amp;VALUEID=01001&amp;SDATE=200703&amp;PERIODTYPE=QTR_STD&amp;window=popup_no_bar&amp;width=385&amp;height=120&amp;START_MAXIMIZED=FALSE&amp;creator=factset&amp;display_string=Audit"}</definedName>
    <definedName name="_1761__FDSAUDITLINK__" hidden="1">{"fdsup://Directions/FactSet Auditing Viewer?action=AUDIT_VALUE&amp;DB=129&amp;ID1=03611510&amp;VALUEID=13040&amp;SDATE=200703&amp;PERIODTYPE=QTR_STD&amp;window=popup_no_bar&amp;width=385&amp;height=120&amp;START_MAXIMIZED=FALSE&amp;creator=factset&amp;display_string=Audit"}</definedName>
    <definedName name="_1762__FDSAUDITLINK__" hidden="1">{"fdsup://Directions/FactSet Auditing Viewer?action=AUDIT_VALUE&amp;DB=129&amp;ID1=16890510&amp;VALUEID=02101&amp;SDATE=200703&amp;PERIODTYPE=QTR_STD&amp;window=popup_no_bar&amp;width=385&amp;height=120&amp;START_MAXIMIZED=FALSE&amp;creator=factset&amp;display_string=Audit"}</definedName>
    <definedName name="_1763__FDSAUDITLINK__" hidden="1">{"fdsup://Directions/FactSet Auditing Viewer?action=AUDIT_VALUE&amp;DB=129&amp;ID1=16890510&amp;VALUEID=01001&amp;SDATE=200703&amp;PERIODTYPE=QTR_STD&amp;window=popup_no_bar&amp;width=385&amp;height=120&amp;START_MAXIMIZED=FALSE&amp;creator=factset&amp;display_string=Audit"}</definedName>
    <definedName name="_1764__FDSAUDITLINK__" hidden="1">{"fdsup://Directions/FactSet Auditing Viewer?action=AUDIT_VALUE&amp;DB=129&amp;ID1=91704710&amp;VALUEID=02101&amp;SDATE=200703&amp;PERIODTYPE=QTR_STD&amp;window=popup_no_bar&amp;width=385&amp;height=120&amp;START_MAXIMIZED=FALSE&amp;creator=factset&amp;display_string=Audit"}</definedName>
    <definedName name="_1765__FDSAUDITLINK__" hidden="1">{"fdsup://Directions/FactSet Auditing Viewer?action=AUDIT_VALUE&amp;DB=129&amp;ID1=91704710&amp;VALUEID=01001&amp;SDATE=200703&amp;PERIODTYPE=QTR_STD&amp;window=popup_no_bar&amp;width=385&amp;height=120&amp;START_MAXIMIZED=FALSE&amp;creator=factset&amp;display_string=Audit"}</definedName>
    <definedName name="_1766__FDSAUDITLINK__" hidden="1">{"fdsup://Directions/FactSet Auditing Viewer?action=AUDIT_VALUE&amp;DB=129&amp;ID1=91704710&amp;VALUEID=13040&amp;SDATE=200703&amp;PERIODTYPE=QTR_STD&amp;window=popup_no_bar&amp;width=385&amp;height=120&amp;START_MAXIMIZED=FALSE&amp;creator=factset&amp;display_string=Audit"}</definedName>
    <definedName name="_1767__FDSAUDITLINK__" hidden="1">{"fdsup://Directions/FactSet Auditing Viewer?action=AUDIT_VALUE&amp;DB=129&amp;ID1=02553E10&amp;VALUEID=02101&amp;SDATE=200703&amp;PERIODTYPE=QTR_STD&amp;window=popup_no_bar&amp;width=385&amp;height=120&amp;START_MAXIMIZED=FALSE&amp;creator=factset&amp;display_string=Audit"}</definedName>
    <definedName name="_1768__FDSAUDITLINK__" hidden="1">{"fdsup://Directions/FactSet Auditing Viewer?action=AUDIT_VALUE&amp;DB=129&amp;ID1=02553E10&amp;VALUEID=01001&amp;SDATE=200703&amp;PERIODTYPE=QTR_STD&amp;window=popup_no_bar&amp;width=385&amp;height=120&amp;START_MAXIMIZED=FALSE&amp;creator=factset&amp;display_string=Audit"}</definedName>
    <definedName name="_1769__FDSAUDITLINK__" hidden="1">{"fdsup://Directions/FactSet Auditing Viewer?action=AUDIT_VALUE&amp;DB=129&amp;ID1=00786510&amp;VALUEID=02101&amp;SDATE=200703&amp;PERIODTYPE=QTR_STD&amp;window=popup_no_bar&amp;width=385&amp;height=120&amp;START_MAXIMIZED=FALSE&amp;creator=factset&amp;display_string=Audit"}</definedName>
    <definedName name="_177__FDSAUDITLINK__" hidden="1">{"fdsup://Directions/FactSet Auditing Viewer?action=AUDIT_VALUE&amp;DB=129&amp;ID1=16890510&amp;VALUEID=02101&amp;SDATE=200801&amp;PERIODTYPE=QTR_STD&amp;window=popup_no_bar&amp;width=385&amp;height=120&amp;START_MAXIMIZED=FALSE&amp;creator=factset&amp;display_string=Audit"}</definedName>
    <definedName name="_1770__FDSAUDITLINK__" hidden="1">{"fdsup://Directions/FactSet Auditing Viewer?action=AUDIT_VALUE&amp;DB=129&amp;ID1=00786510&amp;VALUEID=01001&amp;SDATE=200703&amp;PERIODTYPE=QTR_STD&amp;window=popup_no_bar&amp;width=385&amp;height=120&amp;START_MAXIMIZED=FALSE&amp;creator=factset&amp;display_string=Audit"}</definedName>
    <definedName name="_1771__FDSAUDITLINK__" hidden="1">{"fdsup://Directions/FactSet Auditing Viewer?action=AUDIT_VALUE&amp;DB=129&amp;ID1=00786510&amp;VALUEID=13040&amp;SDATE=200703&amp;PERIODTYPE=QTR_STD&amp;window=popup_no_bar&amp;width=385&amp;height=120&amp;START_MAXIMIZED=FALSE&amp;creator=factset&amp;display_string=Audit"}</definedName>
    <definedName name="_1772__FDSAUDITLINK__" hidden="1">{"fdsup://Directions/FactSet Auditing Viewer?action=AUDIT_VALUE&amp;DB=129&amp;ID1=00289620&amp;VALUEID=02101&amp;SDATE=200703&amp;PERIODTYPE=QTR_STD&amp;window=popup_no_bar&amp;width=385&amp;height=120&amp;START_MAXIMIZED=FALSE&amp;creator=factset&amp;display_string=Audit"}</definedName>
    <definedName name="_1773__FDSAUDITLINK__" hidden="1">{"fdsup://Directions/FactSet Auditing Viewer?action=AUDIT_VALUE&amp;DB=129&amp;ID1=00289620&amp;VALUEID=01001&amp;SDATE=200703&amp;PERIODTYPE=QTR_STD&amp;window=popup_no_bar&amp;width=385&amp;height=120&amp;START_MAXIMIZED=FALSE&amp;creator=factset&amp;display_string=Audit"}</definedName>
    <definedName name="_1774__FDSAUDITLINK__" hidden="1">{"fdsup://Directions/FactSet Auditing Viewer?action=AUDIT_VALUE&amp;DB=129&amp;ID1=00289620&amp;VALUEID=13040&amp;SDATE=200703&amp;PERIODTYPE=QTR_STD&amp;window=popup_no_bar&amp;width=385&amp;height=120&amp;START_MAXIMIZED=FALSE&amp;creator=factset&amp;display_string=Audit"}</definedName>
    <definedName name="_1775__FDSAUDITLINK__" hidden="1">{"fdsup://Directions/FactSet Auditing Viewer?action=AUDIT_VALUE&amp;DB=129&amp;ID1=87416110&amp;VALUEID=02101&amp;SDATE=200702&amp;PERIODTYPE=QTR_STD&amp;window=popup_no_bar&amp;width=385&amp;height=120&amp;START_MAXIMIZED=FALSE&amp;creator=factset&amp;display_string=Audit"}</definedName>
    <definedName name="_1776__FDSAUDITLINK__" hidden="1">{"fdsup://Directions/FactSet Auditing Viewer?action=AUDIT_VALUE&amp;DB=129&amp;ID1=87416110&amp;VALUEID=01001&amp;SDATE=200702&amp;PERIODTYPE=QTR_STD&amp;window=popup_no_bar&amp;width=385&amp;height=120&amp;START_MAXIMIZED=FALSE&amp;creator=factset&amp;display_string=Audit"}</definedName>
    <definedName name="_1777__FDSAUDITLINK__" hidden="1">{"fdsup://Directions/FactSet Auditing Viewer?action=AUDIT_VALUE&amp;DB=129&amp;ID1=53271610&amp;VALUEID=02101&amp;SDATE=200702&amp;PERIODTYPE=QTR_STD&amp;window=popup_no_bar&amp;width=385&amp;height=120&amp;START_MAXIMIZED=FALSE&amp;creator=factset&amp;display_string=Audit"}</definedName>
    <definedName name="_1778__FDSAUDITLINK__" hidden="1">{"fdsup://Directions/FactSet Auditing Viewer?action=AUDIT_VALUE&amp;DB=129&amp;ID1=53271610&amp;VALUEID=01001&amp;SDATE=200702&amp;PERIODTYPE=QTR_STD&amp;window=popup_no_bar&amp;width=385&amp;height=120&amp;START_MAXIMIZED=FALSE&amp;creator=factset&amp;display_string=Audit"}</definedName>
    <definedName name="_1779__FDSAUDITLINK__" hidden="1">{"fdsup://Directions/FactSet Auditing Viewer?action=AUDIT_VALUE&amp;DB=129&amp;ID1=53271610&amp;VALUEID=13040&amp;SDATE=200702&amp;PERIODTYPE=QTR_STD&amp;window=popup_no_bar&amp;width=385&amp;height=120&amp;START_MAXIMIZED=FALSE&amp;creator=factset&amp;display_string=Audit"}</definedName>
    <definedName name="_178__FDSAUDITLINK__" hidden="1">{"fdsup://Directions/FactSet Auditing Viewer?action=AUDIT_VALUE&amp;DB=129&amp;ID1=16890510&amp;VALUEID=01001&amp;SDATE=200801&amp;PERIODTYPE=QTR_STD&amp;window=popup_no_bar&amp;width=385&amp;height=120&amp;START_MAXIMIZED=FALSE&amp;creator=factset&amp;display_string=Audit"}</definedName>
    <definedName name="_1780__FDSAUDITLINK__" hidden="1">{"fdsup://Directions/FactSet Auditing Viewer?action=AUDIT_VALUE&amp;DB=129&amp;ID1=46612H40&amp;VALUEID=02101&amp;SDATE=200702&amp;PERIODTYPE=QTR_STD&amp;window=popup_no_bar&amp;width=385&amp;height=120&amp;START_MAXIMIZED=FALSE&amp;creator=factset&amp;display_string=Audit"}</definedName>
    <definedName name="_1781__FDSAUDITLINK__" hidden="1">{"fdsup://Directions/FactSet Auditing Viewer?action=AUDIT_VALUE&amp;DB=129&amp;ID1=46612H40&amp;VALUEID=01001&amp;SDATE=200702&amp;PERIODTYPE=QTR_STD&amp;window=popup_no_bar&amp;width=385&amp;height=120&amp;START_MAXIMIZED=FALSE&amp;creator=factset&amp;display_string=Audit"}</definedName>
    <definedName name="_1782__FDSAUDITLINK__" hidden="1">{"fdsup://Directions/FactSet Auditing Viewer?action=AUDIT_VALUE&amp;DB=129&amp;ID1=46612H40&amp;VALUEID=13040&amp;SDATE=200702&amp;PERIODTYPE=QTR_STD&amp;window=popup_no_bar&amp;width=385&amp;height=120&amp;START_MAXIMIZED=FALSE&amp;creator=factset&amp;display_string=Audit"}</definedName>
    <definedName name="_1783__FDSAUDITLINK__" hidden="1">{"fdsup://Directions/FactSet Auditing Viewer?action=AUDIT_VALUE&amp;DB=129&amp;ID1=36476010&amp;VALUEID=02101&amp;SDATE=200702&amp;PERIODTYPE=QTR_STD&amp;window=popup_no_bar&amp;width=385&amp;height=120&amp;START_MAXIMIZED=FALSE&amp;creator=factset&amp;display_string=Audit"}</definedName>
    <definedName name="_1784__FDSAUDITLINK__" hidden="1">{"fdsup://Directions/FactSet Auditing Viewer?action=AUDIT_VALUE&amp;DB=129&amp;ID1=36476010&amp;VALUEID=01001&amp;SDATE=200702&amp;PERIODTYPE=QTR_STD&amp;window=popup_no_bar&amp;width=385&amp;height=120&amp;START_MAXIMIZED=FALSE&amp;creator=factset&amp;display_string=Audit"}</definedName>
    <definedName name="_1785__FDSAUDITLINK__" hidden="1">{"fdsup://Directions/FactSet Auditing Viewer?action=AUDIT_VALUE&amp;DB=129&amp;ID1=03611510&amp;VALUEID=02101&amp;SDATE=200702&amp;PERIODTYPE=QTR_STD&amp;window=popup_no_bar&amp;width=385&amp;height=120&amp;START_MAXIMIZED=FALSE&amp;creator=factset&amp;display_string=Audit"}</definedName>
    <definedName name="_1786__FDSAUDITLINK__" hidden="1">{"fdsup://Directions/FactSet Auditing Viewer?action=AUDIT_VALUE&amp;DB=129&amp;ID1=03611510&amp;VALUEID=01001&amp;SDATE=200702&amp;PERIODTYPE=QTR_STD&amp;window=popup_no_bar&amp;width=385&amp;height=120&amp;START_MAXIMIZED=FALSE&amp;creator=factset&amp;display_string=Audit"}</definedName>
    <definedName name="_1787__FDSAUDITLINK__" hidden="1">{"fdsup://Directions/FactSet Auditing Viewer?action=AUDIT_VALUE&amp;DB=129&amp;ID1=03611510&amp;VALUEID=13040&amp;SDATE=200702&amp;PERIODTYPE=QTR_STD&amp;window=popup_no_bar&amp;width=385&amp;height=120&amp;START_MAXIMIZED=FALSE&amp;creator=factset&amp;display_string=Audit"}</definedName>
    <definedName name="_1788__FDSAUDITLINK__" hidden="1">{"fdsup://Directions/FactSet Auditing Viewer?action=AUDIT_VALUE&amp;DB=129&amp;ID1=16890510&amp;VALUEID=02101&amp;SDATE=200702&amp;PERIODTYPE=QTR_STD&amp;window=popup_no_bar&amp;width=385&amp;height=120&amp;START_MAXIMIZED=FALSE&amp;creator=factset&amp;display_string=Audit"}</definedName>
    <definedName name="_1789__FDSAUDITLINK__" hidden="1">{"fdsup://Directions/FactSet Auditing Viewer?action=AUDIT_VALUE&amp;DB=129&amp;ID1=16890510&amp;VALUEID=01001&amp;SDATE=200702&amp;PERIODTYPE=QTR_STD&amp;window=popup_no_bar&amp;width=385&amp;height=120&amp;START_MAXIMIZED=FALSE&amp;creator=factset&amp;display_string=Audit"}</definedName>
    <definedName name="_179__FDSAUDITLINK__" hidden="1">{"fdsup://Directions/FactSet Auditing Viewer?action=AUDIT_VALUE&amp;DB=129&amp;ID1=91704710&amp;VALUEID=02101&amp;SDATE=200801&amp;PERIODTYPE=QTR_STD&amp;window=popup_no_bar&amp;width=385&amp;height=120&amp;START_MAXIMIZED=FALSE&amp;creator=factset&amp;display_string=Audit"}</definedName>
    <definedName name="_1790__FDSAUDITLINK__" hidden="1">{"fdsup://Directions/FactSet Auditing Viewer?action=AUDIT_VALUE&amp;DB=129&amp;ID1=91704710&amp;VALUEID=02101&amp;SDATE=200702&amp;PERIODTYPE=QTR_STD&amp;window=popup_no_bar&amp;width=385&amp;height=120&amp;START_MAXIMIZED=FALSE&amp;creator=factset&amp;display_string=Audit"}</definedName>
    <definedName name="_1791__FDSAUDITLINK__" hidden="1">{"fdsup://Directions/FactSet Auditing Viewer?action=AUDIT_VALUE&amp;DB=129&amp;ID1=91704710&amp;VALUEID=01001&amp;SDATE=200702&amp;PERIODTYPE=QTR_STD&amp;window=popup_no_bar&amp;width=385&amp;height=120&amp;START_MAXIMIZED=FALSE&amp;creator=factset&amp;display_string=Audit"}</definedName>
    <definedName name="_1792__FDSAUDITLINK__" hidden="1">{"fdsup://Directions/FactSet Auditing Viewer?action=AUDIT_VALUE&amp;DB=129&amp;ID1=91704710&amp;VALUEID=13040&amp;SDATE=200702&amp;PERIODTYPE=QTR_STD&amp;window=popup_no_bar&amp;width=385&amp;height=120&amp;START_MAXIMIZED=FALSE&amp;creator=factset&amp;display_string=Audit"}</definedName>
    <definedName name="_1793__FDSAUDITLINK__" hidden="1">{"fdsup://Directions/FactSet Auditing Viewer?action=AUDIT_VALUE&amp;DB=129&amp;ID1=02553E10&amp;VALUEID=02101&amp;SDATE=200702&amp;PERIODTYPE=QTR_STD&amp;window=popup_no_bar&amp;width=385&amp;height=120&amp;START_MAXIMIZED=FALSE&amp;creator=factset&amp;display_string=Audit"}</definedName>
    <definedName name="_1794__FDSAUDITLINK__" hidden="1">{"fdsup://Directions/FactSet Auditing Viewer?action=AUDIT_VALUE&amp;DB=129&amp;ID1=02553E10&amp;VALUEID=01001&amp;SDATE=200702&amp;PERIODTYPE=QTR_STD&amp;window=popup_no_bar&amp;width=385&amp;height=120&amp;START_MAXIMIZED=FALSE&amp;creator=factset&amp;display_string=Audit"}</definedName>
    <definedName name="_1795__FDSAUDITLINK__" hidden="1">{"fdsup://Directions/FactSet Auditing Viewer?action=AUDIT_VALUE&amp;DB=129&amp;ID1=02553E10&amp;VALUEID=13040&amp;SDATE=200702&amp;PERIODTYPE=QTR_STD&amp;window=popup_no_bar&amp;width=385&amp;height=120&amp;START_MAXIMIZED=FALSE&amp;creator=factset&amp;display_string=Audit"}</definedName>
    <definedName name="_1796__FDSAUDITLINK__" hidden="1">{"fdsup://Directions/FactSet Auditing Viewer?action=AUDIT_VALUE&amp;DB=129&amp;ID1=00786510&amp;VALUEID=02101&amp;SDATE=200702&amp;PERIODTYPE=QTR_STD&amp;window=popup_no_bar&amp;width=385&amp;height=120&amp;START_MAXIMIZED=FALSE&amp;creator=factset&amp;display_string=Audit"}</definedName>
    <definedName name="_1797__FDSAUDITLINK__" hidden="1">{"fdsup://Directions/FactSet Auditing Viewer?action=AUDIT_VALUE&amp;DB=129&amp;ID1=00786510&amp;VALUEID=01001&amp;SDATE=200702&amp;PERIODTYPE=QTR_STD&amp;window=popup_no_bar&amp;width=385&amp;height=120&amp;START_MAXIMIZED=FALSE&amp;creator=factset&amp;display_string=Audit"}</definedName>
    <definedName name="_1798__FDSAUDITLINK__" hidden="1">{"fdsup://Directions/FactSet Auditing Viewer?action=AUDIT_VALUE&amp;DB=129&amp;ID1=00786510&amp;VALUEID=13040&amp;SDATE=200702&amp;PERIODTYPE=QTR_STD&amp;window=popup_no_bar&amp;width=385&amp;height=120&amp;START_MAXIMIZED=FALSE&amp;creator=factset&amp;display_string=Audit"}</definedName>
    <definedName name="_1799__FDSAUDITLINK__" hidden="1">{"fdsup://Directions/FactSet Auditing Viewer?action=AUDIT_VALUE&amp;DB=129&amp;ID1=00289620&amp;VALUEID=02101&amp;SDATE=200702&amp;PERIODTYPE=QTR_STD&amp;window=popup_no_bar&amp;width=385&amp;height=120&amp;START_MAXIMIZED=FALSE&amp;creator=factset&amp;display_string=Audit"}</definedName>
    <definedName name="_18__FDSAUDITLINK__" hidden="1">{"fdsup://Directions/FactSet Auditing Viewer?action=AUDIT_VALUE&amp;DB=129&amp;ID1=00786510&amp;VALUEID=13040&amp;SDATE=201001&amp;PERIODTYPE=QTR_STD&amp;window=popup_no_bar&amp;width=385&amp;height=120&amp;START_MAXIMIZED=FALSE&amp;creator=factset&amp;display_string=Audit"}</definedName>
    <definedName name="_180__FDSAUDITLINK__" hidden="1">{"fdsup://Directions/FactSet Auditing Viewer?action=AUDIT_VALUE&amp;DB=129&amp;ID1=91704710&amp;VALUEID=01001&amp;SDATE=200801&amp;PERIODTYPE=QTR_STD&amp;window=popup_no_bar&amp;width=385&amp;height=120&amp;START_MAXIMIZED=FALSE&amp;creator=factset&amp;display_string=Audit"}</definedName>
    <definedName name="_1800__FDSAUDITLINK__" hidden="1">{"fdsup://Directions/FactSet Auditing Viewer?action=AUDIT_VALUE&amp;DB=129&amp;ID1=00289620&amp;VALUEID=01001&amp;SDATE=200702&amp;PERIODTYPE=QTR_STD&amp;window=popup_no_bar&amp;width=385&amp;height=120&amp;START_MAXIMIZED=FALSE&amp;creator=factset&amp;display_string=Audit"}</definedName>
    <definedName name="_1801__FDSAUDITLINK__" hidden="1">{"fdsup://Directions/FactSet Auditing Viewer?action=AUDIT_VALUE&amp;DB=129&amp;ID1=87416110&amp;VALUEID=02101&amp;SDATE=200701&amp;PERIODTYPE=QTR_STD&amp;window=popup_no_bar&amp;width=385&amp;height=120&amp;START_MAXIMIZED=FALSE&amp;creator=factset&amp;display_string=Audit"}</definedName>
    <definedName name="_1802__FDSAUDITLINK__" hidden="1">{"fdsup://Directions/FactSet Auditing Viewer?action=AUDIT_VALUE&amp;DB=129&amp;ID1=87416110&amp;VALUEID=01001&amp;SDATE=200701&amp;PERIODTYPE=QTR_STD&amp;window=popup_no_bar&amp;width=385&amp;height=120&amp;START_MAXIMIZED=FALSE&amp;creator=factset&amp;display_string=Audit"}</definedName>
    <definedName name="_1803__FDSAUDITLINK__" hidden="1">{"fdsup://Directions/FactSet Auditing Viewer?action=AUDIT_VALUE&amp;DB=129&amp;ID1=53271610&amp;VALUEID=02101&amp;SDATE=200701&amp;PERIODTYPE=QTR_STD&amp;window=popup_no_bar&amp;width=385&amp;height=120&amp;START_MAXIMIZED=FALSE&amp;creator=factset&amp;display_string=Audit"}</definedName>
    <definedName name="_1804__FDSAUDITLINK__" hidden="1">{"fdsup://Directions/FactSet Auditing Viewer?action=AUDIT_VALUE&amp;DB=129&amp;ID1=53271610&amp;VALUEID=01001&amp;SDATE=200701&amp;PERIODTYPE=QTR_STD&amp;window=popup_no_bar&amp;width=385&amp;height=120&amp;START_MAXIMIZED=FALSE&amp;creator=factset&amp;display_string=Audit"}</definedName>
    <definedName name="_1805__FDSAUDITLINK__" hidden="1">{"fdsup://Directions/FactSet Auditing Viewer?action=AUDIT_VALUE&amp;DB=129&amp;ID1=53271610&amp;VALUEID=13040&amp;SDATE=200701&amp;PERIODTYPE=QTR_STD&amp;window=popup_no_bar&amp;width=385&amp;height=120&amp;START_MAXIMIZED=FALSE&amp;creator=factset&amp;display_string=Audit"}</definedName>
    <definedName name="_1806__FDSAUDITLINK__" hidden="1">{"fdsup://Directions/FactSet Auditing Viewer?action=AUDIT_VALUE&amp;DB=129&amp;ID1=46612H40&amp;VALUEID=02101&amp;SDATE=200701&amp;PERIODTYPE=QTR_STD&amp;window=popup_no_bar&amp;width=385&amp;height=120&amp;START_MAXIMIZED=FALSE&amp;creator=factset&amp;display_string=Audit"}</definedName>
    <definedName name="_1807__FDSAUDITLINK__" hidden="1">{"fdsup://Directions/FactSet Auditing Viewer?action=AUDIT_VALUE&amp;DB=129&amp;ID1=46612H40&amp;VALUEID=01001&amp;SDATE=200701&amp;PERIODTYPE=QTR_STD&amp;window=popup_no_bar&amp;width=385&amp;height=120&amp;START_MAXIMIZED=FALSE&amp;creator=factset&amp;display_string=Audit"}</definedName>
    <definedName name="_1808__FDSAUDITLINK__" hidden="1">{"fdsup://Directions/FactSet Auditing Viewer?action=AUDIT_VALUE&amp;DB=129&amp;ID1=46612H40&amp;VALUEID=13040&amp;SDATE=200701&amp;PERIODTYPE=QTR_STD&amp;window=popup_no_bar&amp;width=385&amp;height=120&amp;START_MAXIMIZED=FALSE&amp;creator=factset&amp;display_string=Audit"}</definedName>
    <definedName name="_1809__FDSAUDITLINK__" hidden="1">{"fdsup://Directions/FactSet Auditing Viewer?action=AUDIT_VALUE&amp;DB=129&amp;ID1=36476010&amp;VALUEID=02101&amp;SDATE=200701&amp;PERIODTYPE=QTR_STD&amp;window=popup_no_bar&amp;width=385&amp;height=120&amp;START_MAXIMIZED=FALSE&amp;creator=factset&amp;display_string=Audit"}</definedName>
    <definedName name="_181__FDSAUDITLINK__" hidden="1">{"fdsup://Directions/FactSet Auditing Viewer?action=AUDIT_VALUE&amp;DB=129&amp;ID1=91704710&amp;VALUEID=13040&amp;SDATE=200801&amp;PERIODTYPE=QTR_STD&amp;window=popup_no_bar&amp;width=385&amp;height=120&amp;START_MAXIMIZED=FALSE&amp;creator=factset&amp;display_string=Audit"}</definedName>
    <definedName name="_1810__FDSAUDITLINK__" hidden="1">{"fdsup://Directions/FactSet Auditing Viewer?action=AUDIT_VALUE&amp;DB=129&amp;ID1=36476010&amp;VALUEID=01001&amp;SDATE=200701&amp;PERIODTYPE=QTR_STD&amp;window=popup_no_bar&amp;width=385&amp;height=120&amp;START_MAXIMIZED=FALSE&amp;creator=factset&amp;display_string=Audit"}</definedName>
    <definedName name="_1811__FDSAUDITLINK__" hidden="1">{"fdsup://Directions/FactSet Auditing Viewer?action=AUDIT_VALUE&amp;DB=129&amp;ID1=36476010&amp;VALUEID=13040&amp;SDATE=200701&amp;PERIODTYPE=QTR_STD&amp;window=popup_no_bar&amp;width=385&amp;height=120&amp;START_MAXIMIZED=FALSE&amp;creator=factset&amp;display_string=Audit"}</definedName>
    <definedName name="_1812__FDSAUDITLINK__" hidden="1">{"fdsup://Directions/FactSet Auditing Viewer?action=AUDIT_VALUE&amp;DB=129&amp;ID1=03611510&amp;VALUEID=02101&amp;SDATE=200701&amp;PERIODTYPE=QTR_STD&amp;window=popup_no_bar&amp;width=385&amp;height=120&amp;START_MAXIMIZED=FALSE&amp;creator=factset&amp;display_string=Audit"}</definedName>
    <definedName name="_1813__FDSAUDITLINK__" hidden="1">{"fdsup://Directions/FactSet Auditing Viewer?action=AUDIT_VALUE&amp;DB=129&amp;ID1=03611510&amp;VALUEID=01001&amp;SDATE=200701&amp;PERIODTYPE=QTR_STD&amp;window=popup_no_bar&amp;width=385&amp;height=120&amp;START_MAXIMIZED=FALSE&amp;creator=factset&amp;display_string=Audit"}</definedName>
    <definedName name="_1814__FDSAUDITLINK__" hidden="1">{"fdsup://Directions/FactSet Auditing Viewer?action=AUDIT_VALUE&amp;DB=129&amp;ID1=03611510&amp;VALUEID=13040&amp;SDATE=200701&amp;PERIODTYPE=QTR_STD&amp;window=popup_no_bar&amp;width=385&amp;height=120&amp;START_MAXIMIZED=FALSE&amp;creator=factset&amp;display_string=Audit"}</definedName>
    <definedName name="_1815__FDSAUDITLINK__" hidden="1">{"fdsup://Directions/FactSet Auditing Viewer?action=AUDIT_VALUE&amp;DB=129&amp;ID1=16890510&amp;VALUEID=02101&amp;SDATE=200701&amp;PERIODTYPE=QTR_STD&amp;window=popup_no_bar&amp;width=385&amp;height=120&amp;START_MAXIMIZED=FALSE&amp;creator=factset&amp;display_string=Audit"}</definedName>
    <definedName name="_1816__FDSAUDITLINK__" hidden="1">{"fdsup://Directions/FactSet Auditing Viewer?action=AUDIT_VALUE&amp;DB=129&amp;ID1=16890510&amp;VALUEID=01001&amp;SDATE=200701&amp;PERIODTYPE=QTR_STD&amp;window=popup_no_bar&amp;width=385&amp;height=120&amp;START_MAXIMIZED=FALSE&amp;creator=factset&amp;display_string=Audit"}</definedName>
    <definedName name="_1817__FDSAUDITLINK__" hidden="1">{"fdsup://Directions/FactSet Auditing Viewer?action=AUDIT_VALUE&amp;DB=129&amp;ID1=91704710&amp;VALUEID=02101&amp;SDATE=200701&amp;PERIODTYPE=QTR_STD&amp;window=popup_no_bar&amp;width=385&amp;height=120&amp;START_MAXIMIZED=FALSE&amp;creator=factset&amp;display_string=Audit"}</definedName>
    <definedName name="_1818__FDSAUDITLINK__" hidden="1">{"fdsup://Directions/FactSet Auditing Viewer?action=AUDIT_VALUE&amp;DB=129&amp;ID1=91704710&amp;VALUEID=01001&amp;SDATE=200701&amp;PERIODTYPE=QTR_STD&amp;window=popup_no_bar&amp;width=385&amp;height=120&amp;START_MAXIMIZED=FALSE&amp;creator=factset&amp;display_string=Audit"}</definedName>
    <definedName name="_1819__FDSAUDITLINK__" hidden="1">{"fdsup://Directions/FactSet Auditing Viewer?action=AUDIT_VALUE&amp;DB=129&amp;ID1=91704710&amp;VALUEID=13040&amp;SDATE=200701&amp;PERIODTYPE=QTR_STD&amp;window=popup_no_bar&amp;width=385&amp;height=120&amp;START_MAXIMIZED=FALSE&amp;creator=factset&amp;display_string=Audit"}</definedName>
    <definedName name="_182__FDSAUDITLINK__" hidden="1">{"fdsup://Directions/FactSet Auditing Viewer?action=AUDIT_VALUE&amp;DB=129&amp;ID1=02553E10&amp;VALUEID=02101&amp;SDATE=200801&amp;PERIODTYPE=QTR_STD&amp;window=popup_no_bar&amp;width=385&amp;height=120&amp;START_MAXIMIZED=FALSE&amp;creator=factset&amp;display_string=Audit"}</definedName>
    <definedName name="_1820__FDSAUDITLINK__" hidden="1">{"fdsup://Directions/FactSet Auditing Viewer?action=AUDIT_VALUE&amp;DB=129&amp;ID1=02553E10&amp;VALUEID=02101&amp;SDATE=200701&amp;PERIODTYPE=QTR_STD&amp;window=popup_no_bar&amp;width=385&amp;height=120&amp;START_MAXIMIZED=FALSE&amp;creator=factset&amp;display_string=Audit"}</definedName>
    <definedName name="_1821__FDSAUDITLINK__" hidden="1">{"fdsup://Directions/FactSet Auditing Viewer?action=AUDIT_VALUE&amp;DB=129&amp;ID1=02553E10&amp;VALUEID=01001&amp;SDATE=200701&amp;PERIODTYPE=QTR_STD&amp;window=popup_no_bar&amp;width=385&amp;height=120&amp;START_MAXIMIZED=FALSE&amp;creator=factset&amp;display_string=Audit"}</definedName>
    <definedName name="_1822__FDSAUDITLINK__" hidden="1">{"fdsup://Directions/FactSet Auditing Viewer?action=AUDIT_VALUE&amp;DB=129&amp;ID1=02553E10&amp;VALUEID=13040&amp;SDATE=200701&amp;PERIODTYPE=QTR_STD&amp;window=popup_no_bar&amp;width=385&amp;height=120&amp;START_MAXIMIZED=FALSE&amp;creator=factset&amp;display_string=Audit"}</definedName>
    <definedName name="_1823__FDSAUDITLINK__" hidden="1">{"fdsup://Directions/FactSet Auditing Viewer?action=AUDIT_VALUE&amp;DB=129&amp;ID1=00786510&amp;VALUEID=02101&amp;SDATE=200701&amp;PERIODTYPE=QTR_STD&amp;window=popup_no_bar&amp;width=385&amp;height=120&amp;START_MAXIMIZED=FALSE&amp;creator=factset&amp;display_string=Audit"}</definedName>
    <definedName name="_1824__FDSAUDITLINK__" hidden="1">{"fdsup://Directions/FactSet Auditing Viewer?action=AUDIT_VALUE&amp;DB=129&amp;ID1=00786510&amp;VALUEID=01001&amp;SDATE=200701&amp;PERIODTYPE=QTR_STD&amp;window=popup_no_bar&amp;width=385&amp;height=120&amp;START_MAXIMIZED=FALSE&amp;creator=factset&amp;display_string=Audit"}</definedName>
    <definedName name="_1825__FDSAUDITLINK__" hidden="1">{"fdsup://Directions/FactSet Auditing Viewer?action=AUDIT_VALUE&amp;DB=129&amp;ID1=00786510&amp;VALUEID=13040&amp;SDATE=200701&amp;PERIODTYPE=QTR_STD&amp;window=popup_no_bar&amp;width=385&amp;height=120&amp;START_MAXIMIZED=FALSE&amp;creator=factset&amp;display_string=Audit"}</definedName>
    <definedName name="_1826__FDSAUDITLINK__" hidden="1">{"fdsup://Directions/FactSet Auditing Viewer?action=AUDIT_VALUE&amp;DB=129&amp;ID1=00289620&amp;VALUEID=02101&amp;SDATE=200701&amp;PERIODTYPE=QTR_STD&amp;window=popup_no_bar&amp;width=385&amp;height=120&amp;START_MAXIMIZED=FALSE&amp;creator=factset&amp;display_string=Audit"}</definedName>
    <definedName name="_1827__FDSAUDITLINK__" hidden="1">{"fdsup://Directions/FactSet Auditing Viewer?action=AUDIT_VALUE&amp;DB=129&amp;ID1=00289620&amp;VALUEID=01001&amp;SDATE=200701&amp;PERIODTYPE=QTR_STD&amp;window=popup_no_bar&amp;width=385&amp;height=120&amp;START_MAXIMIZED=FALSE&amp;creator=factset&amp;display_string=Audit"}</definedName>
    <definedName name="_1828__FDSAUDITLINK__" hidden="1">{"fdsup://Directions/FactSet Auditing Viewer?action=AUDIT_VALUE&amp;DB=129&amp;ID1=00289620&amp;VALUEID=13040&amp;SDATE=200701&amp;PERIODTYPE=QTR_STD&amp;window=popup_no_bar&amp;width=385&amp;height=120&amp;START_MAXIMIZED=FALSE&amp;creator=factset&amp;display_string=Audit"}</definedName>
    <definedName name="_1829__FDSAUDITLINK__" hidden="1">{"fdsup://Directions/FactSet Auditing Viewer?action=AUDIT_VALUE&amp;DB=129&amp;ID1=87416110&amp;VALUEID=01001&amp;SDATE=200604&amp;PERIODTYPE=QTR_STD&amp;window=popup_no_bar&amp;width=385&amp;height=120&amp;START_MAXIMIZED=FALSE&amp;creator=factset&amp;display_string=Audit"}</definedName>
    <definedName name="_183__FDSAUDITLINK__" hidden="1">{"fdsup://Directions/FactSet Auditing Viewer?action=AUDIT_VALUE&amp;DB=129&amp;ID1=02553E10&amp;VALUEID=01001&amp;SDATE=200801&amp;PERIODTYPE=QTR_STD&amp;window=popup_no_bar&amp;width=385&amp;height=120&amp;START_MAXIMIZED=FALSE&amp;creator=factset&amp;display_string=Audit"}</definedName>
    <definedName name="_1830__FDSAUDITLINK__" hidden="1">{"fdsup://Directions/FactSet Auditing Viewer?action=AUDIT_VALUE&amp;DB=129&amp;ID1=46612H40&amp;VALUEID=01001&amp;SDATE=200604&amp;PERIODTYPE=QTR_STD&amp;window=popup_no_bar&amp;width=385&amp;height=120&amp;START_MAXIMIZED=FALSE&amp;creator=factset&amp;display_string=Audit"}</definedName>
    <definedName name="_1831__FDSAUDITLINK__" hidden="1">{"fdsup://Directions/FactSet Auditing Viewer?action=AUDIT_VALUE&amp;DB=129&amp;ID1=36476010&amp;VALUEID=01001&amp;SDATE=200604&amp;PERIODTYPE=QTR_STD&amp;window=popup_no_bar&amp;width=385&amp;height=120&amp;START_MAXIMIZED=FALSE&amp;creator=factset&amp;display_string=Audit"}</definedName>
    <definedName name="_1832__FDSAUDITLINK__" hidden="1">{"fdsup://Directions/FactSet Auditing Viewer?action=AUDIT_VALUE&amp;DB=129&amp;ID1=03611510&amp;VALUEID=01001&amp;SDATE=200604&amp;PERIODTYPE=QTR_STD&amp;window=popup_no_bar&amp;width=385&amp;height=120&amp;START_MAXIMIZED=FALSE&amp;creator=factset&amp;display_string=Audit"}</definedName>
    <definedName name="_1833__FDSAUDITLINK__" hidden="1">{"fdsup://Directions/FactSet Auditing Viewer?action=AUDIT_VALUE&amp;DB=129&amp;ID1=16890510&amp;VALUEID=01001&amp;SDATE=200604&amp;PERIODTYPE=QTR_STD&amp;window=popup_no_bar&amp;width=385&amp;height=120&amp;START_MAXIMIZED=FALSE&amp;creator=factset&amp;display_string=Audit"}</definedName>
    <definedName name="_1834__FDSAUDITLINK__" hidden="1">{"fdsup://directions/FAT Viewer?action=UPDATE&amp;creator=factset&amp;DYN_ARGS=TRUE&amp;DOC_NAME=FAT:FQL_AUDITING_CLIENT_TEMPLATE.FAT&amp;display_string=Audit&amp;VAR:KEY=BONMBKFGLQ&amp;VAR:QUERY=RkZfUlRfU0ZfVE9UX0dST1NTKFFUUiwtMTMp&amp;WINDOW=FIRST_POPUP&amp;HEIGHT=450&amp;WIDTH=450&amp;START_MA","XIMIZED=FALSE&amp;VAR:CALENDAR=US&amp;VAR:SYMBOL=AEO&amp;VAR:INDEX=0"}</definedName>
    <definedName name="_1835__FDSAUDITLINK__" hidden="1">{"fdsup://Directions/FactSet Auditing Viewer?action=AUDIT_VALUE&amp;DB=129&amp;ID1=00786510&amp;VALUEID=01001&amp;SDATE=200604&amp;PERIODTYPE=QTR_STD&amp;window=popup_no_bar&amp;width=385&amp;height=120&amp;START_MAXIMIZED=FALSE&amp;creator=factset&amp;display_string=Audit"}</definedName>
    <definedName name="_1836__FDSAUDITLINK__" hidden="1">{"fdsup://Directions/FactSet Auditing Viewer?action=AUDIT_VALUE&amp;DB=129&amp;ID1=87416110&amp;VALUEID=02101&amp;SDATE=200603&amp;PERIODTYPE=QTR_STD&amp;window=popup_no_bar&amp;width=385&amp;height=120&amp;START_MAXIMIZED=FALSE&amp;creator=factset&amp;display_string=Audit"}</definedName>
    <definedName name="_1837__FDSAUDITLINK__" hidden="1">{"fdsup://Directions/FactSet Auditing Viewer?action=AUDIT_VALUE&amp;DB=129&amp;ID1=87416110&amp;VALUEID=01001&amp;SDATE=200603&amp;PERIODTYPE=QTR_STD&amp;window=popup_no_bar&amp;width=385&amp;height=120&amp;START_MAXIMIZED=FALSE&amp;creator=factset&amp;display_string=Audit"}</definedName>
    <definedName name="_1838__FDSAUDITLINK__" hidden="1">{"fdsup://Directions/FactSet Auditing Viewer?action=AUDIT_VALUE&amp;DB=129&amp;ID1=53271610&amp;VALUEID=02101&amp;SDATE=200603&amp;PERIODTYPE=QTR_STD&amp;window=popup_no_bar&amp;width=385&amp;height=120&amp;START_MAXIMIZED=FALSE&amp;creator=factset&amp;display_string=Audit"}</definedName>
    <definedName name="_1839__FDSAUDITLINK__" hidden="1">{"fdsup://Directions/FactSet Auditing Viewer?action=AUDIT_VALUE&amp;DB=129&amp;ID1=53271610&amp;VALUEID=01001&amp;SDATE=200603&amp;PERIODTYPE=QTR_STD&amp;window=popup_no_bar&amp;width=385&amp;height=120&amp;START_MAXIMIZED=FALSE&amp;creator=factset&amp;display_string=Audit"}</definedName>
    <definedName name="_184__FDSAUDITLINK__" hidden="1">{"fdsup://Directions/FactSet Auditing Viewer?action=AUDIT_VALUE&amp;DB=129&amp;ID1=02553E10&amp;VALUEID=13040&amp;SDATE=200801&amp;PERIODTYPE=QTR_STD&amp;window=popup_no_bar&amp;width=385&amp;height=120&amp;START_MAXIMIZED=FALSE&amp;creator=factset&amp;display_string=Audit"}</definedName>
    <definedName name="_1840__FDSAUDITLINK__" hidden="1">{"fdsup://Directions/FactSet Auditing Viewer?action=AUDIT_VALUE&amp;DB=129&amp;ID1=53271610&amp;VALUEID=13040&amp;SDATE=200603&amp;PERIODTYPE=QTR_STD&amp;window=popup_no_bar&amp;width=385&amp;height=120&amp;START_MAXIMIZED=FALSE&amp;creator=factset&amp;display_string=Audit"}</definedName>
    <definedName name="_1841__FDSAUDITLINK__" hidden="1">{"fdsup://Directions/FactSet Auditing Viewer?action=AUDIT_VALUE&amp;DB=129&amp;ID1=46612H40&amp;VALUEID=02101&amp;SDATE=200603&amp;PERIODTYPE=QTR_STD&amp;window=popup_no_bar&amp;width=385&amp;height=120&amp;START_MAXIMIZED=FALSE&amp;creator=factset&amp;display_string=Audit"}</definedName>
    <definedName name="_1842__FDSAUDITLINK__" hidden="1">{"fdsup://Directions/FactSet Auditing Viewer?action=AUDIT_VALUE&amp;DB=129&amp;ID1=46612H40&amp;VALUEID=01001&amp;SDATE=200603&amp;PERIODTYPE=QTR_STD&amp;window=popup_no_bar&amp;width=385&amp;height=120&amp;START_MAXIMIZED=FALSE&amp;creator=factset&amp;display_string=Audit"}</definedName>
    <definedName name="_1843__FDSAUDITLINK__" hidden="1">{"fdsup://Directions/FactSet Auditing Viewer?action=AUDIT_VALUE&amp;DB=129&amp;ID1=46612H40&amp;VALUEID=13040&amp;SDATE=200603&amp;PERIODTYPE=QTR_STD&amp;window=popup_no_bar&amp;width=385&amp;height=120&amp;START_MAXIMIZED=FALSE&amp;creator=factset&amp;display_string=Audit"}</definedName>
    <definedName name="_1844__FDSAUDITLINK__" hidden="1">{"fdsup://Directions/FactSet Auditing Viewer?action=AUDIT_VALUE&amp;DB=129&amp;ID1=36476010&amp;VALUEID=02101&amp;SDATE=200603&amp;PERIODTYPE=QTR_STD&amp;window=popup_no_bar&amp;width=385&amp;height=120&amp;START_MAXIMIZED=FALSE&amp;creator=factset&amp;display_string=Audit"}</definedName>
    <definedName name="_1845__FDSAUDITLINK__" hidden="1">{"fdsup://Directions/FactSet Auditing Viewer?action=AUDIT_VALUE&amp;DB=129&amp;ID1=36476010&amp;VALUEID=01001&amp;SDATE=200603&amp;PERIODTYPE=QTR_STD&amp;window=popup_no_bar&amp;width=385&amp;height=120&amp;START_MAXIMIZED=FALSE&amp;creator=factset&amp;display_string=Audit"}</definedName>
    <definedName name="_1846__FDSAUDITLINK__" hidden="1">{"fdsup://Directions/FactSet Auditing Viewer?action=AUDIT_VALUE&amp;DB=129&amp;ID1=36476010&amp;VALUEID=13040&amp;SDATE=200603&amp;PERIODTYPE=QTR_STD&amp;window=popup_no_bar&amp;width=385&amp;height=120&amp;START_MAXIMIZED=FALSE&amp;creator=factset&amp;display_string=Audit"}</definedName>
    <definedName name="_1847__FDSAUDITLINK__" hidden="1">{"fdsup://Directions/FactSet Auditing Viewer?action=AUDIT_VALUE&amp;DB=129&amp;ID1=03611510&amp;VALUEID=02101&amp;SDATE=200603&amp;PERIODTYPE=QTR_STD&amp;window=popup_no_bar&amp;width=385&amp;height=120&amp;START_MAXIMIZED=FALSE&amp;creator=factset&amp;display_string=Audit"}</definedName>
    <definedName name="_1848__FDSAUDITLINK__" hidden="1">{"fdsup://Directions/FactSet Auditing Viewer?action=AUDIT_VALUE&amp;DB=129&amp;ID1=03611510&amp;VALUEID=01001&amp;SDATE=200603&amp;PERIODTYPE=QTR_STD&amp;window=popup_no_bar&amp;width=385&amp;height=120&amp;START_MAXIMIZED=FALSE&amp;creator=factset&amp;display_string=Audit"}</definedName>
    <definedName name="_1849__FDSAUDITLINK__" hidden="1">{"fdsup://Directions/FactSet Auditing Viewer?action=AUDIT_VALUE&amp;DB=129&amp;ID1=03611510&amp;VALUEID=13040&amp;SDATE=200603&amp;PERIODTYPE=QTR_STD&amp;window=popup_no_bar&amp;width=385&amp;height=120&amp;START_MAXIMIZED=FALSE&amp;creator=factset&amp;display_string=Audit"}</definedName>
    <definedName name="_185__FDSAUDITLINK__" hidden="1">{"fdsup://Directions/FactSet Auditing Viewer?action=AUDIT_VALUE&amp;DB=129&amp;ID1=00786510&amp;VALUEID=02101&amp;SDATE=200801&amp;PERIODTYPE=QTR_STD&amp;window=popup_no_bar&amp;width=385&amp;height=120&amp;START_MAXIMIZED=FALSE&amp;creator=factset&amp;display_string=Audit"}</definedName>
    <definedName name="_1850__FDSAUDITLINK__" hidden="1">{"fdsup://Directions/FactSet Auditing Viewer?action=AUDIT_VALUE&amp;DB=129&amp;ID1=16890510&amp;VALUEID=02101&amp;SDATE=200603&amp;PERIODTYPE=QTR_STD&amp;window=popup_no_bar&amp;width=385&amp;height=120&amp;START_MAXIMIZED=FALSE&amp;creator=factset&amp;display_string=Audit"}</definedName>
    <definedName name="_1851__FDSAUDITLINK__" hidden="1">{"fdsup://Directions/FactSet Auditing Viewer?action=AUDIT_VALUE&amp;DB=129&amp;ID1=16890510&amp;VALUEID=01001&amp;SDATE=200603&amp;PERIODTYPE=QTR_STD&amp;window=popup_no_bar&amp;width=385&amp;height=120&amp;START_MAXIMIZED=FALSE&amp;creator=factset&amp;display_string=Audit"}</definedName>
    <definedName name="_1852__FDSAUDITLINK__" hidden="1">{"fdsup://Directions/FactSet Auditing Viewer?action=AUDIT_VALUE&amp;DB=129&amp;ID1=91704710&amp;VALUEID=02101&amp;SDATE=200603&amp;PERIODTYPE=QTR_STD&amp;window=popup_no_bar&amp;width=385&amp;height=120&amp;START_MAXIMIZED=FALSE&amp;creator=factset&amp;display_string=Audit"}</definedName>
    <definedName name="_1853__FDSAUDITLINK__" hidden="1">{"fdsup://Directions/FactSet Auditing Viewer?action=AUDIT_VALUE&amp;DB=129&amp;ID1=91704710&amp;VALUEID=01001&amp;SDATE=200603&amp;PERIODTYPE=QTR_STD&amp;window=popup_no_bar&amp;width=385&amp;height=120&amp;START_MAXIMIZED=FALSE&amp;creator=factset&amp;display_string=Audit"}</definedName>
    <definedName name="_1854__FDSAUDITLINK__" hidden="1">{"fdsup://Directions/FactSet Auditing Viewer?action=AUDIT_VALUE&amp;DB=129&amp;ID1=91704710&amp;VALUEID=13040&amp;SDATE=200603&amp;PERIODTYPE=QTR_STD&amp;window=popup_no_bar&amp;width=385&amp;height=120&amp;START_MAXIMIZED=FALSE&amp;creator=factset&amp;display_string=Audit"}</definedName>
    <definedName name="_1855__FDSAUDITLINK__" hidden="1">{"fdsup://directions/FAT Viewer?action=UPDATE&amp;creator=factset&amp;DYN_ARGS=TRUE&amp;DOC_NAME=FAT:FQL_AUDITING_CLIENT_TEMPLATE.FAT&amp;display_string=Audit&amp;VAR:KEY=NGXYHSLMBY&amp;VAR:QUERY=RkZfUlRfU0ZfVE9UX0dST1NTKFFUUiwtMTQp&amp;WINDOW=FIRST_POPUP&amp;HEIGHT=450&amp;WIDTH=450&amp;START_MA","XIMIZED=FALSE&amp;VAR:CALENDAR=US&amp;VAR:SYMBOL=AEO&amp;VAR:INDEX=0"}</definedName>
    <definedName name="_1856__FDSAUDITLINK__" hidden="1">{"fdsup://Directions/FactSet Auditing Viewer?action=AUDIT_VALUE&amp;DB=129&amp;ID1=00786510&amp;VALUEID=02101&amp;SDATE=200603&amp;PERIODTYPE=QTR_STD&amp;window=popup_no_bar&amp;width=385&amp;height=120&amp;START_MAXIMIZED=FALSE&amp;creator=factset&amp;display_string=Audit"}</definedName>
    <definedName name="_1857__FDSAUDITLINK__" hidden="1">{"fdsup://Directions/FactSet Auditing Viewer?action=AUDIT_VALUE&amp;DB=129&amp;ID1=00786510&amp;VALUEID=01001&amp;SDATE=200603&amp;PERIODTYPE=QTR_STD&amp;window=popup_no_bar&amp;width=385&amp;height=120&amp;START_MAXIMIZED=FALSE&amp;creator=factset&amp;display_string=Audit"}</definedName>
    <definedName name="_1858__FDSAUDITLINK__" hidden="1">{"fdsup://Directions/FactSet Auditing Viewer?action=AUDIT_VALUE&amp;DB=129&amp;ID1=00786510&amp;VALUEID=13040&amp;SDATE=200603&amp;PERIODTYPE=QTR_STD&amp;window=popup_no_bar&amp;width=385&amp;height=120&amp;START_MAXIMIZED=FALSE&amp;creator=factset&amp;display_string=Audit"}</definedName>
    <definedName name="_1859__FDSAUDITLINK__" hidden="1">{"fdsup://Directions/FactSet Auditing Viewer?action=AUDIT_VALUE&amp;DB=129&amp;ID1=00289620&amp;VALUEID=02101&amp;SDATE=200603&amp;PERIODTYPE=QTR_STD&amp;window=popup_no_bar&amp;width=385&amp;height=120&amp;START_MAXIMIZED=FALSE&amp;creator=factset&amp;display_string=Audit"}</definedName>
    <definedName name="_186__FDSAUDITLINK__" hidden="1">{"fdsup://Directions/FactSet Auditing Viewer?action=AUDIT_VALUE&amp;DB=129&amp;ID1=00786510&amp;VALUEID=01001&amp;SDATE=200801&amp;PERIODTYPE=QTR_STD&amp;window=popup_no_bar&amp;width=385&amp;height=120&amp;START_MAXIMIZED=FALSE&amp;creator=factset&amp;display_string=Audit"}</definedName>
    <definedName name="_1860__FDSAUDITLINK__" hidden="1">{"fdsup://Directions/FactSet Auditing Viewer?action=AUDIT_VALUE&amp;DB=129&amp;ID1=00289620&amp;VALUEID=01001&amp;SDATE=200603&amp;PERIODTYPE=QTR_STD&amp;window=popup_no_bar&amp;width=385&amp;height=120&amp;START_MAXIMIZED=FALSE&amp;creator=factset&amp;display_string=Audit"}</definedName>
    <definedName name="_1861__FDSAUDITLINK__" hidden="1">{"fdsup://Directions/FactSet Auditing Viewer?action=AUDIT_VALUE&amp;DB=129&amp;ID1=00289620&amp;VALUEID=13040&amp;SDATE=200603&amp;PERIODTYPE=QTR_STD&amp;window=popup_no_bar&amp;width=385&amp;height=120&amp;START_MAXIMIZED=FALSE&amp;creator=factset&amp;display_string=Audit"}</definedName>
    <definedName name="_1862__FDSAUDITLINK__" hidden="1">{"fdsup://Directions/FactSet Auditing Viewer?action=AUDIT_VALUE&amp;DB=129&amp;ID1=87416110&amp;VALUEID=02101&amp;SDATE=200602&amp;PERIODTYPE=QTR_STD&amp;window=popup_no_bar&amp;width=385&amp;height=120&amp;START_MAXIMIZED=FALSE&amp;creator=factset&amp;display_string=Audit"}</definedName>
    <definedName name="_1863__FDSAUDITLINK__" hidden="1">{"fdsup://Directions/FactSet Auditing Viewer?action=AUDIT_VALUE&amp;DB=129&amp;ID1=87416110&amp;VALUEID=01001&amp;SDATE=200602&amp;PERIODTYPE=QTR_STD&amp;window=popup_no_bar&amp;width=385&amp;height=120&amp;START_MAXIMIZED=FALSE&amp;creator=factset&amp;display_string=Audit"}</definedName>
    <definedName name="_1864__FDSAUDITLINK__" hidden="1">{"fdsup://Directions/FactSet Auditing Viewer?action=AUDIT_VALUE&amp;DB=129&amp;ID1=53271610&amp;VALUEID=02101&amp;SDATE=200602&amp;PERIODTYPE=QTR_STD&amp;window=popup_no_bar&amp;width=385&amp;height=120&amp;START_MAXIMIZED=FALSE&amp;creator=factset&amp;display_string=Audit"}</definedName>
    <definedName name="_1865__FDSAUDITLINK__" hidden="1">{"fdsup://Directions/FactSet Auditing Viewer?action=AUDIT_VALUE&amp;DB=129&amp;ID1=53271610&amp;VALUEID=01001&amp;SDATE=200602&amp;PERIODTYPE=QTR_STD&amp;window=popup_no_bar&amp;width=385&amp;height=120&amp;START_MAXIMIZED=FALSE&amp;creator=factset&amp;display_string=Audit"}</definedName>
    <definedName name="_1866__FDSAUDITLINK__" hidden="1">{"fdsup://Directions/FactSet Auditing Viewer?action=AUDIT_VALUE&amp;DB=129&amp;ID1=53271610&amp;VALUEID=13040&amp;SDATE=200602&amp;PERIODTYPE=QTR_STD&amp;window=popup_no_bar&amp;width=385&amp;height=120&amp;START_MAXIMIZED=FALSE&amp;creator=factset&amp;display_string=Audit"}</definedName>
    <definedName name="_1867__FDSAUDITLINK__" hidden="1">{"fdsup://Directions/FactSet Auditing Viewer?action=AUDIT_VALUE&amp;DB=129&amp;ID1=46612H40&amp;VALUEID=02101&amp;SDATE=200602&amp;PERIODTYPE=QTR_STD&amp;window=popup_no_bar&amp;width=385&amp;height=120&amp;START_MAXIMIZED=FALSE&amp;creator=factset&amp;display_string=Audit"}</definedName>
    <definedName name="_1868__FDSAUDITLINK__" hidden="1">{"fdsup://Directions/FactSet Auditing Viewer?action=AUDIT_VALUE&amp;DB=129&amp;ID1=46612H40&amp;VALUEID=01001&amp;SDATE=200602&amp;PERIODTYPE=QTR_STD&amp;window=popup_no_bar&amp;width=385&amp;height=120&amp;START_MAXIMIZED=FALSE&amp;creator=factset&amp;display_string=Audit"}</definedName>
    <definedName name="_1869__FDSAUDITLINK__" hidden="1">{"fdsup://Directions/FactSet Auditing Viewer?action=AUDIT_VALUE&amp;DB=129&amp;ID1=46612H40&amp;VALUEID=13040&amp;SDATE=200602&amp;PERIODTYPE=QTR_STD&amp;window=popup_no_bar&amp;width=385&amp;height=120&amp;START_MAXIMIZED=FALSE&amp;creator=factset&amp;display_string=Audit"}</definedName>
    <definedName name="_187__FDSAUDITLINK__" hidden="1">{"fdsup://Directions/FactSet Auditing Viewer?action=AUDIT_VALUE&amp;DB=129&amp;ID1=00786510&amp;VALUEID=13040&amp;SDATE=200801&amp;PERIODTYPE=QTR_STD&amp;window=popup_no_bar&amp;width=385&amp;height=120&amp;START_MAXIMIZED=FALSE&amp;creator=factset&amp;display_string=Audit"}</definedName>
    <definedName name="_1870__FDSAUDITLINK__" hidden="1">{"fdsup://Directions/FactSet Auditing Viewer?action=AUDIT_VALUE&amp;DB=129&amp;ID1=36476010&amp;VALUEID=02101&amp;SDATE=200602&amp;PERIODTYPE=QTR_STD&amp;window=popup_no_bar&amp;width=385&amp;height=120&amp;START_MAXIMIZED=FALSE&amp;creator=factset&amp;display_string=Audit"}</definedName>
    <definedName name="_1871__FDSAUDITLINK__" hidden="1">{"fdsup://Directions/FactSet Auditing Viewer?action=AUDIT_VALUE&amp;DB=129&amp;ID1=36476010&amp;VALUEID=01001&amp;SDATE=200602&amp;PERIODTYPE=QTR_STD&amp;window=popup_no_bar&amp;width=385&amp;height=120&amp;START_MAXIMIZED=FALSE&amp;creator=factset&amp;display_string=Audit"}</definedName>
    <definedName name="_1872__FDSAUDITLINK__" hidden="1">{"fdsup://Directions/FactSet Auditing Viewer?action=AUDIT_VALUE&amp;DB=129&amp;ID1=36476010&amp;VALUEID=13040&amp;SDATE=200602&amp;PERIODTYPE=QTR_STD&amp;window=popup_no_bar&amp;width=385&amp;height=120&amp;START_MAXIMIZED=FALSE&amp;creator=factset&amp;display_string=Audit"}</definedName>
    <definedName name="_1873__FDSAUDITLINK__" hidden="1">{"fdsup://Directions/FactSet Auditing Viewer?action=AUDIT_VALUE&amp;DB=129&amp;ID1=03611510&amp;VALUEID=02101&amp;SDATE=200602&amp;PERIODTYPE=QTR_STD&amp;window=popup_no_bar&amp;width=385&amp;height=120&amp;START_MAXIMIZED=FALSE&amp;creator=factset&amp;display_string=Audit"}</definedName>
    <definedName name="_1874__FDSAUDITLINK__" hidden="1">{"fdsup://Directions/FactSet Auditing Viewer?action=AUDIT_VALUE&amp;DB=129&amp;ID1=03611510&amp;VALUEID=01001&amp;SDATE=200602&amp;PERIODTYPE=QTR_STD&amp;window=popup_no_bar&amp;width=385&amp;height=120&amp;START_MAXIMIZED=FALSE&amp;creator=factset&amp;display_string=Audit"}</definedName>
    <definedName name="_1875__FDSAUDITLINK__" hidden="1">{"fdsup://Directions/FactSet Auditing Viewer?action=AUDIT_VALUE&amp;DB=129&amp;ID1=03611510&amp;VALUEID=13040&amp;SDATE=200602&amp;PERIODTYPE=QTR_STD&amp;window=popup_no_bar&amp;width=385&amp;height=120&amp;START_MAXIMIZED=FALSE&amp;creator=factset&amp;display_string=Audit"}</definedName>
    <definedName name="_1876__FDSAUDITLINK__" hidden="1">{"fdsup://Directions/FactSet Auditing Viewer?action=AUDIT_VALUE&amp;DB=129&amp;ID1=16890510&amp;VALUEID=02101&amp;SDATE=200602&amp;PERIODTYPE=QTR_STD&amp;window=popup_no_bar&amp;width=385&amp;height=120&amp;START_MAXIMIZED=FALSE&amp;creator=factset&amp;display_string=Audit"}</definedName>
    <definedName name="_1877__FDSAUDITLINK__" hidden="1">{"fdsup://Directions/FactSet Auditing Viewer?action=AUDIT_VALUE&amp;DB=129&amp;ID1=16890510&amp;VALUEID=01001&amp;SDATE=200602&amp;PERIODTYPE=QTR_STD&amp;window=popup_no_bar&amp;width=385&amp;height=120&amp;START_MAXIMIZED=FALSE&amp;creator=factset&amp;display_string=Audit"}</definedName>
    <definedName name="_1878__FDSAUDITLINK__" hidden="1">{"fdsup://Directions/FactSet Auditing Viewer?action=AUDIT_VALUE&amp;DB=129&amp;ID1=91704710&amp;VALUEID=02101&amp;SDATE=200602&amp;PERIODTYPE=QTR_STD&amp;window=popup_no_bar&amp;width=385&amp;height=120&amp;START_MAXIMIZED=FALSE&amp;creator=factset&amp;display_string=Audit"}</definedName>
    <definedName name="_1879__FDSAUDITLINK__" hidden="1">{"fdsup://Directions/FactSet Auditing Viewer?action=AUDIT_VALUE&amp;DB=129&amp;ID1=91704710&amp;VALUEID=01001&amp;SDATE=200602&amp;PERIODTYPE=QTR_STD&amp;window=popup_no_bar&amp;width=385&amp;height=120&amp;START_MAXIMIZED=FALSE&amp;creator=factset&amp;display_string=Audit"}</definedName>
    <definedName name="_188__FDSAUDITLINK__" hidden="1">{"fdsup://Directions/FactSet Auditing Viewer?action=AUDIT_VALUE&amp;DB=129&amp;ID1=00289620&amp;VALUEID=02101&amp;SDATE=200801&amp;PERIODTYPE=QTR_STD&amp;window=popup_no_bar&amp;width=385&amp;height=120&amp;START_MAXIMIZED=FALSE&amp;creator=factset&amp;display_string=Audit"}</definedName>
    <definedName name="_1880__FDSAUDITLINK__" hidden="1">{"fdsup://Directions/FactSet Auditing Viewer?action=AUDIT_VALUE&amp;DB=129&amp;ID1=91704710&amp;VALUEID=13040&amp;SDATE=200602&amp;PERIODTYPE=QTR_STD&amp;window=popup_no_bar&amp;width=385&amp;height=120&amp;START_MAXIMIZED=FALSE&amp;creator=factset&amp;display_string=Audit"}</definedName>
    <definedName name="_1881__FDSAUDITLINK__" hidden="1">{"fdsup://directions/FAT Viewer?action=UPDATE&amp;creator=factset&amp;DYN_ARGS=TRUE&amp;DOC_NAME=FAT:FQL_AUDITING_CLIENT_TEMPLATE.FAT&amp;display_string=Audit&amp;VAR:KEY=VUNQJUHWBQ&amp;VAR:QUERY=RkZfUlRfU0ZfVE9UX0dST1NTKFFUUiwtMTUp&amp;WINDOW=FIRST_POPUP&amp;HEIGHT=450&amp;WIDTH=450&amp;START_MA","XIMIZED=FALSE&amp;VAR:CALENDAR=US&amp;VAR:SYMBOL=AEO&amp;VAR:INDEX=0"}</definedName>
    <definedName name="_1882__FDSAUDITLINK__" hidden="1">{"fdsup://Directions/FactSet Auditing Viewer?action=AUDIT_VALUE&amp;DB=129&amp;ID1=00786510&amp;VALUEID=02101&amp;SDATE=200602&amp;PERIODTYPE=QTR_STD&amp;window=popup_no_bar&amp;width=385&amp;height=120&amp;START_MAXIMIZED=FALSE&amp;creator=factset&amp;display_string=Audit"}</definedName>
    <definedName name="_1883__FDSAUDITLINK__" hidden="1">{"fdsup://Directions/FactSet Auditing Viewer?action=AUDIT_VALUE&amp;DB=129&amp;ID1=00786510&amp;VALUEID=01001&amp;SDATE=200602&amp;PERIODTYPE=QTR_STD&amp;window=popup_no_bar&amp;width=385&amp;height=120&amp;START_MAXIMIZED=FALSE&amp;creator=factset&amp;display_string=Audit"}</definedName>
    <definedName name="_1884__FDSAUDITLINK__" hidden="1">{"fdsup://Directions/FactSet Auditing Viewer?action=AUDIT_VALUE&amp;DB=129&amp;ID1=00786510&amp;VALUEID=13040&amp;SDATE=200602&amp;PERIODTYPE=QTR_STD&amp;window=popup_no_bar&amp;width=385&amp;height=120&amp;START_MAXIMIZED=FALSE&amp;creator=factset&amp;display_string=Audit"}</definedName>
    <definedName name="_1885__FDSAUDITLINK__" hidden="1">{"fdsup://Directions/FactSet Auditing Viewer?action=AUDIT_VALUE&amp;DB=129&amp;ID1=00289620&amp;VALUEID=02101&amp;SDATE=200602&amp;PERIODTYPE=QTR_STD&amp;window=popup_no_bar&amp;width=385&amp;height=120&amp;START_MAXIMIZED=FALSE&amp;creator=factset&amp;display_string=Audit"}</definedName>
    <definedName name="_1886__FDSAUDITLINK__" hidden="1">{"fdsup://Directions/FactSet Auditing Viewer?action=AUDIT_VALUE&amp;DB=129&amp;ID1=00289620&amp;VALUEID=01001&amp;SDATE=200602&amp;PERIODTYPE=QTR_STD&amp;window=popup_no_bar&amp;width=385&amp;height=120&amp;START_MAXIMIZED=FALSE&amp;creator=factset&amp;display_string=Audit"}</definedName>
    <definedName name="_1887__FDSAUDITLINK__" hidden="1">{"fdsup://Directions/FactSet Auditing Viewer?action=AUDIT_VALUE&amp;DB=129&amp;ID1=00289620&amp;VALUEID=13040&amp;SDATE=200602&amp;PERIODTYPE=QTR_STD&amp;window=popup_no_bar&amp;width=385&amp;height=120&amp;START_MAXIMIZED=FALSE&amp;creator=factset&amp;display_string=Audit"}</definedName>
    <definedName name="_1888__FDSAUDITLINK__" hidden="1">{"fdsup://Directions/FactSet Auditing Viewer?action=AUDIT_VALUE&amp;DB=129&amp;ID1=87416110&amp;VALUEID=02101&amp;SDATE=200601&amp;PERIODTYPE=QTR_STD&amp;window=popup_no_bar&amp;width=385&amp;height=120&amp;START_MAXIMIZED=FALSE&amp;creator=factset&amp;display_string=Audit"}</definedName>
    <definedName name="_1889__FDSAUDITLINK__" hidden="1">{"fdsup://Directions/FactSet Auditing Viewer?action=AUDIT_VALUE&amp;DB=129&amp;ID1=87416110&amp;VALUEID=01001&amp;SDATE=200601&amp;PERIODTYPE=QTR_STD&amp;window=popup_no_bar&amp;width=385&amp;height=120&amp;START_MAXIMIZED=FALSE&amp;creator=factset&amp;display_string=Audit"}</definedName>
    <definedName name="_189__FDSAUDITLINK__" hidden="1">{"fdsup://Directions/FactSet Auditing Viewer?action=AUDIT_VALUE&amp;DB=129&amp;ID1=00289620&amp;VALUEID=01001&amp;SDATE=200801&amp;PERIODTYPE=QTR_STD&amp;window=popup_no_bar&amp;width=385&amp;height=120&amp;START_MAXIMIZED=FALSE&amp;creator=factset&amp;display_string=Audit"}</definedName>
    <definedName name="_1890__FDSAUDITLINK__" hidden="1">{"fdsup://Directions/FactSet Auditing Viewer?action=AUDIT_VALUE&amp;DB=129&amp;ID1=87416110&amp;VALUEID=13040&amp;SDATE=200601&amp;PERIODTYPE=QTR_STD&amp;window=popup_no_bar&amp;width=385&amp;height=120&amp;START_MAXIMIZED=FALSE&amp;creator=factset&amp;display_string=Audit"}</definedName>
    <definedName name="_1891__FDSAUDITLINK__" hidden="1">{"fdsup://directions/FAT Viewer?action=UPDATE&amp;creator=factset&amp;DYN_ARGS=TRUE&amp;DOC_NAME=FAT:FQL_AUDITING_CLIENT_TEMPLATE.FAT&amp;display_string=Audit&amp;VAR:KEY=NUZUBWRSBA&amp;VAR:QUERY=RkZfUlRfU0ZfVE9UX0dST1NTKFFUUiwtMTYp&amp;WINDOW=FIRST_POPUP&amp;HEIGHT=450&amp;WIDTH=450&amp;START_MA","XIMIZED=FALSE&amp;VAR:CALENDAR=US&amp;VAR:SYMBOL=TLB&amp;VAR:INDEX=0"}</definedName>
    <definedName name="_1892__FDSAUDITLINK__" hidden="1">{"fdsup://Directions/FactSet Auditing Viewer?action=AUDIT_VALUE&amp;DB=129&amp;ID1=53271610&amp;VALUEID=02101&amp;SDATE=200601&amp;PERIODTYPE=QTR_STD&amp;window=popup_no_bar&amp;width=385&amp;height=120&amp;START_MAXIMIZED=FALSE&amp;creator=factset&amp;display_string=Audit"}</definedName>
    <definedName name="_1893__FDSAUDITLINK__" hidden="1">{"fdsup://Directions/FactSet Auditing Viewer?action=AUDIT_VALUE&amp;DB=129&amp;ID1=53271610&amp;VALUEID=01001&amp;SDATE=200601&amp;PERIODTYPE=QTR_STD&amp;window=popup_no_bar&amp;width=385&amp;height=120&amp;START_MAXIMIZED=FALSE&amp;creator=factset&amp;display_string=Audit"}</definedName>
    <definedName name="_1894__FDSAUDITLINK__" hidden="1">{"fdsup://Directions/FactSet Auditing Viewer?action=AUDIT_VALUE&amp;DB=129&amp;ID1=53271610&amp;VALUEID=13040&amp;SDATE=200601&amp;PERIODTYPE=QTR_STD&amp;window=popup_no_bar&amp;width=385&amp;height=120&amp;START_MAXIMIZED=FALSE&amp;creator=factset&amp;display_string=Audit"}</definedName>
    <definedName name="_1895__FDSAUDITLINK__" hidden="1">{"fdsup://Directions/FactSet Auditing Viewer?action=AUDIT_VALUE&amp;DB=129&amp;ID1=46612H40&amp;VALUEID=02101&amp;SDATE=200601&amp;PERIODTYPE=QTR_STD&amp;window=popup_no_bar&amp;width=385&amp;height=120&amp;START_MAXIMIZED=FALSE&amp;creator=factset&amp;display_string=Audit"}</definedName>
    <definedName name="_1896__FDSAUDITLINK__" hidden="1">{"fdsup://Directions/FactSet Auditing Viewer?action=AUDIT_VALUE&amp;DB=129&amp;ID1=46612H40&amp;VALUEID=01001&amp;SDATE=200601&amp;PERIODTYPE=QTR_STD&amp;window=popup_no_bar&amp;width=385&amp;height=120&amp;START_MAXIMIZED=FALSE&amp;creator=factset&amp;display_string=Audit"}</definedName>
    <definedName name="_1897__FDSAUDITLINK__" hidden="1">{"fdsup://Directions/FactSet Auditing Viewer?action=AUDIT_VALUE&amp;DB=129&amp;ID1=46612H40&amp;VALUEID=13040&amp;SDATE=200601&amp;PERIODTYPE=QTR_STD&amp;window=popup_no_bar&amp;width=385&amp;height=120&amp;START_MAXIMIZED=FALSE&amp;creator=factset&amp;display_string=Audit"}</definedName>
    <definedName name="_1898__FDSAUDITLINK__" hidden="1">{"fdsup://Directions/FactSet Auditing Viewer?action=AUDIT_VALUE&amp;DB=129&amp;ID1=36476010&amp;VALUEID=02101&amp;SDATE=200601&amp;PERIODTYPE=QTR_STD&amp;window=popup_no_bar&amp;width=385&amp;height=120&amp;START_MAXIMIZED=FALSE&amp;creator=factset&amp;display_string=Audit"}</definedName>
    <definedName name="_1899__FDSAUDITLINK__" hidden="1">{"fdsup://Directions/FactSet Auditing Viewer?action=AUDIT_VALUE&amp;DB=129&amp;ID1=36476010&amp;VALUEID=01001&amp;SDATE=200601&amp;PERIODTYPE=QTR_STD&amp;window=popup_no_bar&amp;width=385&amp;height=120&amp;START_MAXIMIZED=FALSE&amp;creator=factset&amp;display_string=Audit"}</definedName>
    <definedName name="_19__FDSAUDITLINK__" hidden="1">{"fdsup://Directions/FactSet Auditing Viewer?action=AUDIT_VALUE&amp;DB=129&amp;ID1=00289620&amp;VALUEID=02101&amp;SDATE=201001&amp;PERIODTYPE=QTR_STD&amp;window=popup_no_bar&amp;width=385&amp;height=120&amp;START_MAXIMIZED=FALSE&amp;creator=factset&amp;display_string=Audit"}</definedName>
    <definedName name="_190__FDSAUDITLINK__" hidden="1">{"fdsup://Directions/FactSet Auditing Viewer?action=AUDIT_VALUE&amp;DB=129&amp;ID1=00289620&amp;VALUEID=13040&amp;SDATE=200801&amp;PERIODTYPE=QTR_STD&amp;window=popup_no_bar&amp;width=385&amp;height=120&amp;START_MAXIMIZED=FALSE&amp;creator=factset&amp;display_string=Audit"}</definedName>
    <definedName name="_1900__FDSAUDITLINK__" hidden="1">{"fdsup://Directions/FactSet Auditing Viewer?action=AUDIT_VALUE&amp;DB=129&amp;ID1=36476010&amp;VALUEID=13040&amp;SDATE=200601&amp;PERIODTYPE=QTR_STD&amp;window=popup_no_bar&amp;width=385&amp;height=120&amp;START_MAXIMIZED=FALSE&amp;creator=factset&amp;display_string=Audit"}</definedName>
    <definedName name="_1901__FDSAUDITLINK__" hidden="1">{"fdsup://Directions/FactSet Auditing Viewer?action=AUDIT_VALUE&amp;DB=129&amp;ID1=03611510&amp;VALUEID=02101&amp;SDATE=200601&amp;PERIODTYPE=QTR_STD&amp;window=popup_no_bar&amp;width=385&amp;height=120&amp;START_MAXIMIZED=FALSE&amp;creator=factset&amp;display_string=Audit"}</definedName>
    <definedName name="_1902__FDSAUDITLINK__" hidden="1">{"fdsup://Directions/FactSet Auditing Viewer?action=AUDIT_VALUE&amp;DB=129&amp;ID1=03611510&amp;VALUEID=13040&amp;SDATE=200601&amp;PERIODTYPE=QTR_STD&amp;window=popup_no_bar&amp;width=385&amp;height=120&amp;START_MAXIMIZED=FALSE&amp;creator=factset&amp;display_string=Audit"}</definedName>
    <definedName name="_1903__FDSAUDITLINK__" hidden="1">{"fdsup://Directions/FactSet Auditing Viewer?action=AUDIT_VALUE&amp;DB=129&amp;ID1=16890510&amp;VALUEID=02101&amp;SDATE=200601&amp;PERIODTYPE=QTR_STD&amp;window=popup_no_bar&amp;width=385&amp;height=120&amp;START_MAXIMIZED=FALSE&amp;creator=factset&amp;display_string=Audit"}</definedName>
    <definedName name="_1904__FDSAUDITLINK__" hidden="1">{"fdsup://Directions/FactSet Auditing Viewer?action=AUDIT_VALUE&amp;DB=129&amp;ID1=16890510&amp;VALUEID=01001&amp;SDATE=200601&amp;PERIODTYPE=QTR_STD&amp;window=popup_no_bar&amp;width=385&amp;height=120&amp;START_MAXIMIZED=FALSE&amp;creator=factset&amp;display_string=Audit"}</definedName>
    <definedName name="_1905__FDSAUDITLINK__" hidden="1">{"fdsup://Directions/FactSet Auditing Viewer?action=AUDIT_VALUE&amp;DB=129&amp;ID1=91704710&amp;VALUEID=02101&amp;SDATE=200601&amp;PERIODTYPE=QTR_STD&amp;window=popup_no_bar&amp;width=385&amp;height=120&amp;START_MAXIMIZED=FALSE&amp;creator=factset&amp;display_string=Audit"}</definedName>
    <definedName name="_1906__FDSAUDITLINK__" hidden="1">{"fdsup://Directions/FactSet Auditing Viewer?action=AUDIT_VALUE&amp;DB=129&amp;ID1=91704710&amp;VALUEID=01001&amp;SDATE=200601&amp;PERIODTYPE=QTR_STD&amp;window=popup_no_bar&amp;width=385&amp;height=120&amp;START_MAXIMIZED=FALSE&amp;creator=factset&amp;display_string=Audit"}</definedName>
    <definedName name="_1907__FDSAUDITLINK__" hidden="1">{"fdsup://Directions/FactSet Auditing Viewer?action=AUDIT_VALUE&amp;DB=129&amp;ID1=91704710&amp;VALUEID=13040&amp;SDATE=200601&amp;PERIODTYPE=QTR_STD&amp;window=popup_no_bar&amp;width=385&amp;height=120&amp;START_MAXIMIZED=FALSE&amp;creator=factset&amp;display_string=Audit"}</definedName>
    <definedName name="_1908__FDSAUDITLINK__" hidden="1">{"fdsup://Directions/FactSet Auditing Viewer?action=AUDIT_VALUE&amp;DB=129&amp;ID1=02553E10&amp;VALUEID=02101&amp;SDATE=200601&amp;PERIODTYPE=QTR_STD&amp;window=popup_no_bar&amp;width=385&amp;height=120&amp;START_MAXIMIZED=FALSE&amp;creator=factset&amp;display_string=Audit"}</definedName>
    <definedName name="_1909__FDSAUDITLINK__" hidden="1">{"fdsup://Directions/FactSet Auditing Viewer?action=AUDIT_VALUE&amp;DB=129&amp;ID1=02553E10&amp;VALUEID=01001&amp;SDATE=200601&amp;PERIODTYPE=QTR_STD&amp;window=popup_no_bar&amp;width=385&amp;height=120&amp;START_MAXIMIZED=FALSE&amp;creator=factset&amp;display_string=Audit"}</definedName>
    <definedName name="_191__FDSAUDITLINK__" hidden="1">{"fdsup://Directions/FactSet Auditing Viewer?action=AUDIT_VALUE&amp;DB=129&amp;ID1=87416110&amp;VALUEID=01001&amp;SDATE=200704&amp;PERIODTYPE=QTR_STD&amp;window=popup_no_bar&amp;width=385&amp;height=120&amp;START_MAXIMIZED=FALSE&amp;creator=factset&amp;display_string=Audit"}</definedName>
    <definedName name="_1910__FDSAUDITLINK__" hidden="1">{"fdsup://Directions/FactSet Auditing Viewer?action=AUDIT_VALUE&amp;DB=129&amp;ID1=02553E10&amp;VALUEID=13040&amp;SDATE=200601&amp;PERIODTYPE=QTR_STD&amp;window=popup_no_bar&amp;width=385&amp;height=120&amp;START_MAXIMIZED=FALSE&amp;creator=factset&amp;display_string=Audit"}</definedName>
    <definedName name="_1911__FDSAUDITLINK__" hidden="1">{"fdsup://directions/FAT Viewer?action=UPDATE&amp;creator=factset&amp;DYN_ARGS=TRUE&amp;DOC_NAME=FAT:FQL_AUDITING_CLIENT_TEMPLATE.FAT&amp;display_string=Audit&amp;VAR:KEY=RUROHMBELS&amp;VAR:QUERY=RkZfUlRfU0ZfVE9UX0dST1NTKFFUUiwtMTYp&amp;WINDOW=FIRST_POPUP&amp;HEIGHT=450&amp;WIDTH=450&amp;START_MA","XIMIZED=FALSE&amp;VAR:CALENDAR=US&amp;VAR:SYMBOL=AEO&amp;VAR:INDEX=0"}</definedName>
    <definedName name="_1912__FDSAUDITLINK__" hidden="1">{"fdsup://Directions/FactSet Auditing Viewer?action=AUDIT_VALUE&amp;DB=129&amp;ID1=00786510&amp;VALUEID=02101&amp;SDATE=200601&amp;PERIODTYPE=QTR_STD&amp;window=popup_no_bar&amp;width=385&amp;height=120&amp;START_MAXIMIZED=FALSE&amp;creator=factset&amp;display_string=Audit"}</definedName>
    <definedName name="_1913__FDSAUDITLINK__" hidden="1">{"fdsup://Directions/FactSet Auditing Viewer?action=AUDIT_VALUE&amp;DB=129&amp;ID1=00786510&amp;VALUEID=01001&amp;SDATE=200601&amp;PERIODTYPE=QTR_STD&amp;window=popup_no_bar&amp;width=385&amp;height=120&amp;START_MAXIMIZED=FALSE&amp;creator=factset&amp;display_string=Audit"}</definedName>
    <definedName name="_1914__FDSAUDITLINK__" hidden="1">{"fdsup://Directions/FactSet Auditing Viewer?action=AUDIT_VALUE&amp;DB=129&amp;ID1=00786510&amp;VALUEID=13040&amp;SDATE=200601&amp;PERIODTYPE=QTR_STD&amp;window=popup_no_bar&amp;width=385&amp;height=120&amp;START_MAXIMIZED=FALSE&amp;creator=factset&amp;display_string=Audit"}</definedName>
    <definedName name="_1915__FDSAUDITLINK__" hidden="1">{"fdsup://Directions/FactSet Auditing Viewer?action=AUDIT_VALUE&amp;DB=129&amp;ID1=00289620&amp;VALUEID=02101&amp;SDATE=200601&amp;PERIODTYPE=QTR_STD&amp;window=popup_no_bar&amp;width=385&amp;height=120&amp;START_MAXIMIZED=FALSE&amp;creator=factset&amp;display_string=Audit"}</definedName>
    <definedName name="_1916__FDSAUDITLINK__" hidden="1">{"fdsup://Directions/FactSet Auditing Viewer?action=AUDIT_VALUE&amp;DB=129&amp;ID1=00289620&amp;VALUEID=01001&amp;SDATE=200601&amp;PERIODTYPE=QTR_STD&amp;window=popup_no_bar&amp;width=385&amp;height=120&amp;START_MAXIMIZED=FALSE&amp;creator=factset&amp;display_string=Audit"}</definedName>
    <definedName name="_1917__FDSAUDITLINK__" hidden="1">{"fdsup://Directions/FactSet Auditing Viewer?action=AUDIT_VALUE&amp;DB=129&amp;ID1=00289620&amp;VALUEID=13040&amp;SDATE=200601&amp;PERIODTYPE=QTR_STD&amp;window=popup_no_bar&amp;width=385&amp;height=120&amp;START_MAXIMIZED=FALSE&amp;creator=factset&amp;display_string=Audit"}</definedName>
    <definedName name="_1918__FDSAUDITLINK__" hidden="1">{"fdsup://directions/FAT Viewer?action=UPDATE&amp;creator=factset&amp;DYN_ARGS=TRUE&amp;DOC_NAME=FAT:FQL_AUDITING_CLIENT_TEMPLATE.FAT&amp;display_string=Audit&amp;VAR:KEY=NKDWDYVSJA&amp;VAR:QUERY=RkZfUlRfU0ZfVE9UX0dST1NTKFFUUiwtMTcp&amp;WINDOW=FIRST_POPUP&amp;HEIGHT=450&amp;WIDTH=450&amp;START_MA","XIMIZED=FALSE&amp;VAR:CALENDAR=US&amp;VAR:SYMBOL=TLB&amp;VAR:INDEX=0"}</definedName>
    <definedName name="_1919__FDSAUDITLINK__" hidden="1">{"fdsup://directions/FAT Viewer?action=UPDATE&amp;creator=factset&amp;DYN_ARGS=TRUE&amp;DOC_NAME=FAT:FQL_AUDITING_CLIENT_TEMPLATE.FAT&amp;display_string=Audit&amp;VAR:KEY=DEZSPEHMVA&amp;VAR:QUERY=RkZfUlRfU0ZfVE9UX0dST1NTKFFUUiwtMTcp&amp;WINDOW=FIRST_POPUP&amp;HEIGHT=450&amp;WIDTH=450&amp;START_MA","XIMIZED=FALSE&amp;VAR:CALENDAR=US&amp;VAR:SYMBOL=AEO&amp;VAR:INDEX=0"}</definedName>
    <definedName name="_192__FDSAUDITLINK__" hidden="1">{"fdsup://Directions/FactSet Auditing Viewer?action=AUDIT_VALUE&amp;DB=129&amp;ID1=46612H40&amp;VALUEID=01001&amp;SDATE=200704&amp;PERIODTYPE=QTR_STD&amp;window=popup_no_bar&amp;width=385&amp;height=120&amp;START_MAXIMIZED=FALSE&amp;creator=factset&amp;display_string=Audit"}</definedName>
    <definedName name="_1920__FDSAUDITLINK__" hidden="1">{"fdsup://directions/FAT Viewer?action=UPDATE&amp;creator=factset&amp;DYN_ARGS=TRUE&amp;DOC_NAME=FAT:FQL_AUDITING_CLIENT_TEMPLATE.FAT&amp;display_string=Audit&amp;VAR:KEY=TURKDOPIZG&amp;VAR:QUERY=RkZfUlRfU0ZfVE9UX0dST1NTKFFUUiwtMTgp&amp;WINDOW=FIRST_POPUP&amp;HEIGHT=450&amp;WIDTH=450&amp;START_MA","XIMIZED=FALSE&amp;VAR:CALENDAR=US&amp;VAR:SYMBOL=TLB&amp;VAR:INDEX=0"}</definedName>
    <definedName name="_1921__FDSAUDITLINK__" hidden="1">{"fdsup://Directions/FactSet Auditing Viewer?action=AUDIT_VALUE&amp;DB=129&amp;ID1=03611510&amp;VALUEID=13040&amp;SDATE=200503&amp;PERIODTYPE=QTR_STD&amp;window=popup_no_bar&amp;width=385&amp;height=120&amp;START_MAXIMIZED=FALSE&amp;creator=factset&amp;display_string=Audit"}</definedName>
    <definedName name="_1922__FDSAUDITLINK__" hidden="1">{"fdsup://directions/FAT Viewer?action=UPDATE&amp;creator=factset&amp;DYN_ARGS=TRUE&amp;DOC_NAME=FAT:FQL_AUDITING_CLIENT_TEMPLATE.FAT&amp;display_string=Audit&amp;VAR:KEY=NUJIDQTCDM&amp;VAR:QUERY=RkZfUlRfU0ZfVE9UX0dST1NTKFFUUiwtMTgp&amp;WINDOW=FIRST_POPUP&amp;HEIGHT=450&amp;WIDTH=450&amp;START_MA","XIMIZED=FALSE&amp;VAR:CALENDAR=US&amp;VAR:SYMBOL=AEO&amp;VAR:INDEX=0"}</definedName>
    <definedName name="_1923__FDSAUDITLINK__" hidden="1">{"fdsup://directions/FAT Viewer?action=UPDATE&amp;creator=factset&amp;DYN_ARGS=TRUE&amp;DOC_NAME=FAT:FQL_AUDITING_CLIENT_TEMPLATE.FAT&amp;display_string=Audit&amp;VAR:KEY=HIHSXILWDI&amp;VAR:QUERY=RkZfUlRfU0ZfVE9UX0dST1NTKFFUUiwtMTkp&amp;WINDOW=FIRST_POPUP&amp;HEIGHT=450&amp;WIDTH=450&amp;START_MA","XIMIZED=FALSE&amp;VAR:CALENDAR=US&amp;VAR:SYMBOL=TLB&amp;VAR:INDEX=0"}</definedName>
    <definedName name="_1924__FDSAUDITLINK__" hidden="1">{"fdsup://Directions/FactSet Auditing Viewer?action=AUDIT_VALUE&amp;DB=129&amp;ID1=03611510&amp;VALUEID=13040&amp;SDATE=200502&amp;PERIODTYPE=QTR_STD&amp;window=popup_no_bar&amp;width=385&amp;height=120&amp;START_MAXIMIZED=FALSE&amp;creator=factset&amp;display_string=Audit"}</definedName>
    <definedName name="_1925__FDSAUDITLINK__" hidden="1">{"fdsup://directions/FAT Viewer?action=UPDATE&amp;creator=factset&amp;DYN_ARGS=TRUE&amp;DOC_NAME=FAT:FQL_AUDITING_CLIENT_TEMPLATE.FAT&amp;display_string=Audit&amp;VAR:KEY=BKDCTGPMZY&amp;VAR:QUERY=RkZfUlRfU0ZfVE9UX0dST1NTKFFUUiwtMTkp&amp;WINDOW=FIRST_POPUP&amp;HEIGHT=450&amp;WIDTH=450&amp;START_MA","XIMIZED=FALSE&amp;VAR:CALENDAR=US&amp;VAR:SYMBOL=AEO&amp;VAR:INDEX=0"}</definedName>
    <definedName name="_1926__FDSAUDITLINK__" hidden="1">{"fdsup://directions/FAT Viewer?action=UPDATE&amp;creator=factset&amp;DYN_ARGS=TRUE&amp;DOC_NAME=FAT:FQL_AUDITING_CLIENT_TEMPLATE.FAT&amp;display_string=Audit&amp;VAR:KEY=VABGPMHULC&amp;VAR:QUERY=RkZfUlRfU0ZfVE9UX0dST1NTKFFUUiwtMjAp&amp;WINDOW=FIRST_POPUP&amp;HEIGHT=450&amp;WIDTH=450&amp;START_MA","XIMIZED=FALSE&amp;VAR:CALENDAR=US&amp;VAR:SYMBOL=TLB&amp;VAR:INDEX=0"}</definedName>
    <definedName name="_1927__FDSAUDITLINK__" hidden="1">{"fdsup://Directions/FactSet Auditing Viewer?action=AUDIT_VALUE&amp;DB=129&amp;ID1=03611510&amp;VALUEID=13040&amp;SDATE=200501&amp;PERIODTYPE=QTR_STD&amp;window=popup_no_bar&amp;width=385&amp;height=120&amp;START_MAXIMIZED=FALSE&amp;creator=factset&amp;display_string=Audit"}</definedName>
    <definedName name="_1928__FDSAUDITLINK__" hidden="1">{"fdsup://directions/FAT Viewer?action=UPDATE&amp;creator=factset&amp;DYN_ARGS=TRUE&amp;DOC_NAME=FAT:FQL_AUDITING_CLIENT_TEMPLATE.FAT&amp;display_string=Audit&amp;VAR:KEY=VMROTQVYPS&amp;VAR:QUERY=RkZfUlRfU0ZfVE9UX0dST1NTKFFUUiwtMjAp&amp;WINDOW=FIRST_POPUP&amp;HEIGHT=450&amp;WIDTH=450&amp;START_MA","XIMIZED=FALSE&amp;VAR:CALENDAR=US&amp;VAR:SYMBOL=AEO&amp;VAR:INDEX=0"}</definedName>
    <definedName name="_1929__FDSAUDITLINK__" hidden="1">{"fdsup://Directions/FactSet Auditing Viewer?action=AUDIT_VALUE&amp;DB=129&amp;ID1=16890510&amp;VALUEID=13040&amp;SDATE=200602&amp;PERIODTYPE=QTR_STD&amp;window=popup_no_bar&amp;width=385&amp;height=120&amp;START_MAXIMIZED=FALSE&amp;creator=factset&amp;display_string=Audit"}</definedName>
    <definedName name="_193__FDSAUDITLINK__" hidden="1">{"fdsup://Directions/FactSet Auditing Viewer?action=AUDIT_VALUE&amp;DB=129&amp;ID1=46612H40&amp;VALUEID=13040&amp;SDATE=200704&amp;PERIODTYPE=QTR_STD&amp;window=popup_no_bar&amp;width=385&amp;height=120&amp;START_MAXIMIZED=FALSE&amp;creator=factset&amp;display_string=Audit"}</definedName>
    <definedName name="_1930__FDSAUDITLINK__" hidden="1">{"fdsup://Directions/FactSet Auditing Viewer?action=AUDIT_VALUE&amp;DB=129&amp;ID1=16890510&amp;VALUEID=13040&amp;SDATE=200601&amp;PERIODTYPE=QTR_STD&amp;window=popup_no_bar&amp;width=385&amp;height=120&amp;START_MAXIMIZED=FALSE&amp;creator=factset&amp;display_string=Audit"}</definedName>
    <definedName name="_1931__FDSAUDITLINK__" hidden="1">{"fdsup://Directions/FactSet Auditing Viewer?action=AUDIT_VALUE&amp;DB=129&amp;ID1=16890510&amp;VALUEID=13040&amp;SDATE=200603&amp;PERIODTYPE=QTR_STD&amp;window=popup_no_bar&amp;width=385&amp;height=120&amp;START_MAXIMIZED=FALSE&amp;creator=factset&amp;display_string=Audit"}</definedName>
    <definedName name="_1932__FDSAUDITLINK__" hidden="1">{"fdsup://Directions/FactSet Auditing Viewer?action=AUDIT_VALUE&amp;DB=129&amp;ID1=16890510&amp;VALUEID=13040&amp;SDATE=200702&amp;PERIODTYPE=QTR_STD&amp;window=popup_no_bar&amp;width=385&amp;height=120&amp;START_MAXIMIZED=FALSE&amp;creator=factset&amp;display_string=Audit"}</definedName>
    <definedName name="_1933__FDSAUDITLINK__" hidden="1">{"fdsup://Directions/FactSet Auditing Viewer?action=AUDIT_VALUE&amp;DB=129&amp;ID1=16890510&amp;VALUEID=13040&amp;SDATE=200701&amp;PERIODTYPE=QTR_STD&amp;window=popup_no_bar&amp;width=385&amp;height=120&amp;START_MAXIMIZED=FALSE&amp;creator=factset&amp;display_string=Audit"}</definedName>
    <definedName name="_1934__FDSAUDITLINK__" hidden="1">{"fdsup://Directions/FactSet Auditing Viewer?action=AUDIT_VALUE&amp;DB=129&amp;ID1=16890510&amp;VALUEID=13040&amp;SDATE=200703&amp;PERIODTYPE=QTR_STD&amp;window=popup_no_bar&amp;width=385&amp;height=120&amp;START_MAXIMIZED=FALSE&amp;creator=factset&amp;display_string=Audit"}</definedName>
    <definedName name="_1935__FDSAUDITLINK__" hidden="1">{"fdsup://Directions/FactSet Auditing Viewer?action=AUDIT_VALUE&amp;DB=129&amp;ID1=16890510&amp;VALUEID=13040&amp;SDATE=200802&amp;PERIODTYPE=QTR_STD&amp;window=popup_no_bar&amp;width=385&amp;height=120&amp;START_MAXIMIZED=FALSE&amp;creator=factset&amp;display_string=Audit"}</definedName>
    <definedName name="_1936__FDSAUDITLINK__" hidden="1">{"fdsup://Directions/FactSet Auditing Viewer?action=AUDIT_VALUE&amp;DB=129&amp;ID1=16890510&amp;VALUEID=13040&amp;SDATE=200801&amp;PERIODTYPE=QTR_STD&amp;window=popup_no_bar&amp;width=385&amp;height=120&amp;START_MAXIMIZED=FALSE&amp;creator=factset&amp;display_string=Audit"}</definedName>
    <definedName name="_1937__FDSAUDITLINK__" hidden="1">{"fdsup://Directions/FactSet Auditing Viewer?action=AUDIT_VALUE&amp;DB=129&amp;ID1=16890510&amp;VALUEID=13040&amp;SDATE=200803&amp;PERIODTYPE=QTR_STD&amp;window=popup_no_bar&amp;width=385&amp;height=120&amp;START_MAXIMIZED=FALSE&amp;creator=factset&amp;display_string=Audit"}</definedName>
    <definedName name="_1938__FDSAUDITLINK__" hidden="1">{"fdsup://Directions/FactSet Auditing Viewer?action=AUDIT_VALUE&amp;DB=129&amp;ID1=16890510&amp;VALUEID=13040&amp;SDATE=200902&amp;PERIODTYPE=QTR_STD&amp;window=popup_no_bar&amp;width=385&amp;height=120&amp;START_MAXIMIZED=FALSE&amp;creator=factset&amp;display_string=Audit"}</definedName>
    <definedName name="_1939__FDSAUDITLINK__" hidden="1">{"fdsup://Directions/FactSet Auditing Viewer?action=AUDIT_VALUE&amp;DB=129&amp;ID1=16890510&amp;VALUEID=13040&amp;SDATE=200903&amp;PERIODTYPE=QTR_STD&amp;window=popup_no_bar&amp;width=385&amp;height=120&amp;START_MAXIMIZED=FALSE&amp;creator=factset&amp;display_string=Audit"}</definedName>
    <definedName name="_194__FDSAUDITLINK__" hidden="1">{"fdsup://Directions/FactSet Auditing Viewer?action=AUDIT_VALUE&amp;DB=129&amp;ID1=36476010&amp;VALUEID=01001&amp;SDATE=200704&amp;PERIODTYPE=QTR_STD&amp;window=popup_no_bar&amp;width=385&amp;height=120&amp;START_MAXIMIZED=FALSE&amp;creator=factset&amp;display_string=Audit"}</definedName>
    <definedName name="_1940__FDSAUDITLINK__" hidden="1">{"fdsup://Directions/FactSet Auditing Viewer?action=AUDIT_VALUE&amp;DB=129&amp;ID1=16890510&amp;VALUEID=13040&amp;SDATE=201001&amp;PERIODTYPE=QTR_STD&amp;window=popup_no_bar&amp;width=385&amp;height=120&amp;START_MAXIMIZED=FALSE&amp;creator=factset&amp;display_string=Audit"}</definedName>
    <definedName name="_1941__FDSAUDITLINK__" hidden="1">{"fdsup://Directions/FactSet Auditing Viewer?action=AUDIT_VALUE&amp;DB=129&amp;ID1=87416110&amp;VALUEID=01001&amp;SDATE=201001&amp;PERIODTYPE=QTR_STD&amp;window=popup_no_bar&amp;width=385&amp;height=120&amp;START_MAXIMIZED=FALSE&amp;creator=factset&amp;display_string=Audit"}</definedName>
    <definedName name="_1942__FDSAUDITLINK__" hidden="1">{"fdsup://Directions/FactSet Auditing Viewer?action=AUDIT_VALUE&amp;DB=129&amp;ID1=46612H40&amp;VALUEID=01001&amp;SDATE=201001&amp;PERIODTYPE=QTR_STD&amp;window=popup_no_bar&amp;width=385&amp;height=120&amp;START_MAXIMIZED=FALSE&amp;creator=factset&amp;display_string=Audit"}</definedName>
    <definedName name="_1943__FDSAUDITLINK__" hidden="1">{"fdsup://Directions/FactSet Auditing Viewer?action=AUDIT_VALUE&amp;DB=129&amp;ID1=03611510&amp;VALUEID=01001&amp;SDATE=201001&amp;PERIODTYPE=QTR_STD&amp;window=popup_no_bar&amp;width=385&amp;height=120&amp;START_MAXIMIZED=FALSE&amp;creator=factset&amp;display_string=Audit"}</definedName>
    <definedName name="_1944__FDSAUDITLINK__" hidden="1">{"fdsup://Directions/FactSet Auditing Viewer?action=AUDIT_VALUE&amp;DB=129&amp;ID1=16890510&amp;VALUEID=01001&amp;SDATE=201001&amp;PERIODTYPE=QTR_STD&amp;window=popup_no_bar&amp;width=385&amp;height=120&amp;START_MAXIMIZED=FALSE&amp;creator=factset&amp;display_string=Audit"}</definedName>
    <definedName name="_1945__FDSAUDITLINK__" hidden="1">{"fdsup://Directions/FactSet Auditing Viewer?action=AUDIT_VALUE&amp;DB=129&amp;ID1=91704710&amp;VALUEID=01001&amp;SDATE=201001&amp;PERIODTYPE=QTR_STD&amp;window=popup_no_bar&amp;width=385&amp;height=120&amp;START_MAXIMIZED=FALSE&amp;creator=factset&amp;display_string=Audit"}</definedName>
    <definedName name="_1946__FDSAUDITLINK__" hidden="1">{"fdsup://Directions/FactSet Auditing Viewer?action=AUDIT_VALUE&amp;DB=129&amp;ID1=02553E10&amp;VALUEID=01001&amp;SDATE=201001&amp;PERIODTYPE=QTR_STD&amp;window=popup_no_bar&amp;width=385&amp;height=120&amp;START_MAXIMIZED=FALSE&amp;creator=factset&amp;display_string=Audit"}</definedName>
    <definedName name="_1947__FDSAUDITLINK__" hidden="1">{"fdsup://Directions/FactSet Auditing Viewer?action=AUDIT_VALUE&amp;DB=129&amp;ID1=00786510&amp;VALUEID=01001&amp;SDATE=201001&amp;PERIODTYPE=QTR_STD&amp;window=popup_no_bar&amp;width=385&amp;height=120&amp;START_MAXIMIZED=FALSE&amp;creator=factset&amp;display_string=Audit"}</definedName>
    <definedName name="_1948__FDSAUDITLINK__" hidden="1">{"fdsup://Directions/FactSet Auditing Viewer?action=AUDIT_VALUE&amp;DB=129&amp;ID1=00289620&amp;VALUEID=01001&amp;SDATE=201001&amp;PERIODTYPE=QTR_STD&amp;window=popup_no_bar&amp;width=385&amp;height=120&amp;START_MAXIMIZED=FALSE&amp;creator=factset&amp;display_string=Audit"}</definedName>
    <definedName name="_1949__FDSAUDITLINK__" hidden="1">{"fdsup://Directions/FactSet Auditing Viewer?action=AUDIT_VALUE&amp;DB=129&amp;ID1=53271610&amp;VALUEID=01001&amp;SDATE=201001&amp;PERIODTYPE=QTR_STD&amp;window=popup_no_bar&amp;width=385&amp;height=120&amp;START_MAXIMIZED=FALSE&amp;creator=factset&amp;display_string=Audit"}</definedName>
    <definedName name="_195__FDSAUDITLINK__" hidden="1">{"fdsup://Directions/FactSet Auditing Viewer?action=AUDIT_VALUE&amp;DB=129&amp;ID1=03611510&amp;VALUEID=01001&amp;SDATE=200704&amp;PERIODTYPE=QTR_STD&amp;window=popup_no_bar&amp;width=385&amp;height=120&amp;START_MAXIMIZED=FALSE&amp;creator=factset&amp;display_string=Audit"}</definedName>
    <definedName name="_1950__FDSAUDITLINK__" hidden="1">{"fdsup://Directions/FactSet Auditing Viewer?action=AUDIT_VALUE&amp;DB=129&amp;ID1=36476010&amp;VALUEID=01001&amp;SDATE=201001&amp;PERIODTYPE=QTR_STD&amp;window=popup_no_bar&amp;width=385&amp;height=120&amp;START_MAXIMIZED=FALSE&amp;creator=factset&amp;display_string=Audit"}</definedName>
    <definedName name="_1951__FDSAUDITLINK__" hidden="1">{"fdsup://Directions/FactSet Auditing Viewer?action=AUDIT_VALUE&amp;DB=129&amp;ID1=40377710&amp;VALUEID=01001&amp;SDATE=200601&amp;PERIODTYPE=QTR_STD&amp;window=popup_no_bar&amp;width=385&amp;height=120&amp;START_MAXIMIZED=FALSE&amp;creator=factset&amp;display_string=Audit"}</definedName>
    <definedName name="_1952__FDSAUDITLINK__" hidden="1">{"fdsup://Directions/FactSet Auditing Viewer?action=AUDIT_VALUE&amp;DB=129&amp;ID1=40377710&amp;VALUEID=02101&amp;SDATE=200601&amp;PERIODTYPE=QTR_STD&amp;window=popup_no_bar&amp;width=385&amp;height=120&amp;START_MAXIMIZED=FALSE&amp;creator=factset&amp;display_string=Audit"}</definedName>
    <definedName name="_1953__FDSAUDITLINK__" hidden="1">{"fdsup://Directions/FactSet Auditing Viewer?action=AUDIT_VALUE&amp;DB=129&amp;ID1=40377710&amp;VALUEID=01001&amp;SDATE=200602&amp;PERIODTYPE=QTR_STD&amp;window=popup_no_bar&amp;width=385&amp;height=120&amp;START_MAXIMIZED=FALSE&amp;creator=factset&amp;display_string=Audit"}</definedName>
    <definedName name="_1954__FDSAUDITLINK__" hidden="1">{"fdsup://Directions/FactSet Auditing Viewer?action=AUDIT_VALUE&amp;DB=129&amp;ID1=40377710&amp;VALUEID=02101&amp;SDATE=200602&amp;PERIODTYPE=QTR_STD&amp;window=popup_no_bar&amp;width=385&amp;height=120&amp;START_MAXIMIZED=FALSE&amp;creator=factset&amp;display_string=Audit"}</definedName>
    <definedName name="_1955__FDSAUDITLINK__" hidden="1">{"fdsup://Directions/FactSet Auditing Viewer?action=AUDIT_VALUE&amp;DB=129&amp;ID1=40377710&amp;VALUEID=01001&amp;SDATE=200603&amp;PERIODTYPE=QTR_STD&amp;window=popup_no_bar&amp;width=385&amp;height=120&amp;START_MAXIMIZED=FALSE&amp;creator=factset&amp;display_string=Audit"}</definedName>
    <definedName name="_1956__FDSAUDITLINK__" hidden="1">{"fdsup://Directions/FactSet Auditing Viewer?action=AUDIT_VALUE&amp;DB=129&amp;ID1=40377710&amp;VALUEID=02101&amp;SDATE=200603&amp;PERIODTYPE=QTR_STD&amp;window=popup_no_bar&amp;width=385&amp;height=120&amp;START_MAXIMIZED=FALSE&amp;creator=factset&amp;display_string=Audit"}</definedName>
    <definedName name="_1957__FDSAUDITLINK__" hidden="1">{"fdsup://Directions/FactSet Auditing Viewer?action=AUDIT_VALUE&amp;DB=129&amp;ID1=40377710&amp;VALUEID=01001&amp;SDATE=200604&amp;PERIODTYPE=QTR_STD&amp;window=popup_no_bar&amp;width=385&amp;height=120&amp;START_MAXIMIZED=FALSE&amp;creator=factset&amp;display_string=Audit"}</definedName>
    <definedName name="_1958__FDSAUDITLINK__" hidden="1">{"fdsup://Directions/FactSet Auditing Viewer?action=AUDIT_VALUE&amp;DB=129&amp;ID1=40377710&amp;VALUEID=01001&amp;SDATE=200701&amp;PERIODTYPE=QTR_STD&amp;window=popup_no_bar&amp;width=385&amp;height=120&amp;START_MAXIMIZED=FALSE&amp;creator=factset&amp;display_string=Audit"}</definedName>
    <definedName name="_1959__FDSAUDITLINK__" hidden="1">{"fdsup://Directions/FactSet Auditing Viewer?action=AUDIT_VALUE&amp;DB=129&amp;ID1=40377710&amp;VALUEID=02101&amp;SDATE=200701&amp;PERIODTYPE=QTR_STD&amp;window=popup_no_bar&amp;width=385&amp;height=120&amp;START_MAXIMIZED=FALSE&amp;creator=factset&amp;display_string=Audit"}</definedName>
    <definedName name="_196__FDSAUDITLINK__" hidden="1">{"fdsup://Directions/FactSet Auditing Viewer?action=AUDIT_VALUE&amp;DB=129&amp;ID1=03611510&amp;VALUEID=13040&amp;SDATE=200704&amp;PERIODTYPE=QTR_STD&amp;window=popup_no_bar&amp;width=385&amp;height=120&amp;START_MAXIMIZED=FALSE&amp;creator=factset&amp;display_string=Audit"}</definedName>
    <definedName name="_1960__FDSAUDITLINK__" hidden="1">{"fdsup://Directions/FactSet Auditing Viewer?action=AUDIT_VALUE&amp;DB=129&amp;ID1=40377710&amp;VALUEID=01001&amp;SDATE=200702&amp;PERIODTYPE=QTR_STD&amp;window=popup_no_bar&amp;width=385&amp;height=120&amp;START_MAXIMIZED=FALSE&amp;creator=factset&amp;display_string=Audit"}</definedName>
    <definedName name="_1961__FDSAUDITLINK__" hidden="1">{"fdsup://Directions/FactSet Auditing Viewer?action=AUDIT_VALUE&amp;DB=129&amp;ID1=40377710&amp;VALUEID=02101&amp;SDATE=200702&amp;PERIODTYPE=QTR_STD&amp;window=popup_no_bar&amp;width=385&amp;height=120&amp;START_MAXIMIZED=FALSE&amp;creator=factset&amp;display_string=Audit"}</definedName>
    <definedName name="_1962__FDSAUDITLINK__" hidden="1">{"fdsup://Directions/FactSet Auditing Viewer?action=AUDIT_VALUE&amp;DB=129&amp;ID1=40377710&amp;VALUEID=01001&amp;SDATE=200703&amp;PERIODTYPE=QTR_STD&amp;window=popup_no_bar&amp;width=385&amp;height=120&amp;START_MAXIMIZED=FALSE&amp;creator=factset&amp;display_string=Audit"}</definedName>
    <definedName name="_1963__FDSAUDITLINK__" hidden="1">{"fdsup://Directions/FactSet Auditing Viewer?action=AUDIT_VALUE&amp;DB=129&amp;ID1=40377710&amp;VALUEID=02101&amp;SDATE=200703&amp;PERIODTYPE=QTR_STD&amp;window=popup_no_bar&amp;width=385&amp;height=120&amp;START_MAXIMIZED=FALSE&amp;creator=factset&amp;display_string=Audit"}</definedName>
    <definedName name="_1964__FDSAUDITLINK__" hidden="1">{"fdsup://Directions/FactSet Auditing Viewer?action=AUDIT_VALUE&amp;DB=129&amp;ID1=40377710&amp;VALUEID=01001&amp;SDATE=200704&amp;PERIODTYPE=QTR_STD&amp;window=popup_no_bar&amp;width=385&amp;height=120&amp;START_MAXIMIZED=FALSE&amp;creator=factset&amp;display_string=Audit"}</definedName>
    <definedName name="_1965__FDSAUDITLINK__" hidden="1">{"fdsup://Directions/FactSet Auditing Viewer?action=AUDIT_VALUE&amp;DB=129&amp;ID1=40377710&amp;VALUEID=01001&amp;SDATE=200801&amp;PERIODTYPE=QTR_STD&amp;window=popup_no_bar&amp;width=385&amp;height=120&amp;START_MAXIMIZED=FALSE&amp;creator=factset&amp;display_string=Audit"}</definedName>
    <definedName name="_1966__FDSAUDITLINK__" hidden="1">{"fdsup://Directions/FactSet Auditing Viewer?action=AUDIT_VALUE&amp;DB=129&amp;ID1=40377710&amp;VALUEID=02101&amp;SDATE=200801&amp;PERIODTYPE=QTR_STD&amp;window=popup_no_bar&amp;width=385&amp;height=120&amp;START_MAXIMIZED=FALSE&amp;creator=factset&amp;display_string=Audit"}</definedName>
    <definedName name="_1967__FDSAUDITLINK__" hidden="1">{"fdsup://Directions/FactSet Auditing Viewer?action=AUDIT_VALUE&amp;DB=129&amp;ID1=40377710&amp;VALUEID=01001&amp;SDATE=200802&amp;PERIODTYPE=QTR_STD&amp;window=popup_no_bar&amp;width=385&amp;height=120&amp;START_MAXIMIZED=FALSE&amp;creator=factset&amp;display_string=Audit"}</definedName>
    <definedName name="_1968__FDSAUDITLINK__" hidden="1">{"fdsup://Directions/FactSet Auditing Viewer?action=AUDIT_VALUE&amp;DB=129&amp;ID1=40377710&amp;VALUEID=02101&amp;SDATE=200802&amp;PERIODTYPE=QTR_STD&amp;window=popup_no_bar&amp;width=385&amp;height=120&amp;START_MAXIMIZED=FALSE&amp;creator=factset&amp;display_string=Audit"}</definedName>
    <definedName name="_1969__FDSAUDITLINK__" hidden="1">{"fdsup://Directions/FactSet Auditing Viewer?action=AUDIT_VALUE&amp;DB=129&amp;ID1=40377710&amp;VALUEID=01001&amp;SDATE=200803&amp;PERIODTYPE=QTR_STD&amp;window=popup_no_bar&amp;width=385&amp;height=120&amp;START_MAXIMIZED=FALSE&amp;creator=factset&amp;display_string=Audit"}</definedName>
    <definedName name="_197__FDSAUDITLINK__" hidden="1">{"fdsup://Directions/FactSet Auditing Viewer?action=AUDIT_VALUE&amp;DB=129&amp;ID1=16890510&amp;VALUEID=01001&amp;SDATE=200704&amp;PERIODTYPE=QTR_STD&amp;window=popup_no_bar&amp;width=385&amp;height=120&amp;START_MAXIMIZED=FALSE&amp;creator=factset&amp;display_string=Audit"}</definedName>
    <definedName name="_1970__FDSAUDITLINK__" hidden="1">{"fdsup://Directions/FactSet Auditing Viewer?action=AUDIT_VALUE&amp;DB=129&amp;ID1=40377710&amp;VALUEID=02101&amp;SDATE=200803&amp;PERIODTYPE=QTR_STD&amp;window=popup_no_bar&amp;width=385&amp;height=120&amp;START_MAXIMIZED=FALSE&amp;creator=factset&amp;display_string=Audit"}</definedName>
    <definedName name="_1971__FDSAUDITLINK__" hidden="1">{"fdsup://Directions/FactSet Auditing Viewer?action=AUDIT_VALUE&amp;DB=129&amp;ID1=40377710&amp;VALUEID=01001&amp;SDATE=200804&amp;PERIODTYPE=QTR_STD&amp;window=popup_no_bar&amp;width=385&amp;height=120&amp;START_MAXIMIZED=FALSE&amp;creator=factset&amp;display_string=Audit"}</definedName>
    <definedName name="_1972__FDSAUDITLINK__" hidden="1">{"fdsup://Directions/FactSet Auditing Viewer?action=AUDIT_VALUE&amp;DB=129&amp;ID1=40377710&amp;VALUEID=01001&amp;SDATE=200901&amp;PERIODTYPE=QTR_STD&amp;window=popup_no_bar&amp;width=385&amp;height=120&amp;START_MAXIMIZED=FALSE&amp;creator=factset&amp;display_string=Audit"}</definedName>
    <definedName name="_1973__FDSAUDITLINK__" hidden="1">{"fdsup://Directions/FactSet Auditing Viewer?action=AUDIT_VALUE&amp;DB=129&amp;ID1=40377710&amp;VALUEID=02101&amp;SDATE=200901&amp;PERIODTYPE=QTR_STD&amp;window=popup_no_bar&amp;width=385&amp;height=120&amp;START_MAXIMIZED=FALSE&amp;creator=factset&amp;display_string=Audit"}</definedName>
    <definedName name="_1974__FDSAUDITLINK__" hidden="1">{"fdsup://Directions/FactSet Auditing Viewer?action=AUDIT_VALUE&amp;DB=129&amp;ID1=40377710&amp;VALUEID=01001&amp;SDATE=200902&amp;PERIODTYPE=QTR_STD&amp;window=popup_no_bar&amp;width=385&amp;height=120&amp;START_MAXIMIZED=FALSE&amp;creator=factset&amp;display_string=Audit"}</definedName>
    <definedName name="_1975__FDSAUDITLINK__" hidden="1">{"fdsup://Directions/FactSet Auditing Viewer?action=AUDIT_VALUE&amp;DB=129&amp;ID1=40377710&amp;VALUEID=02101&amp;SDATE=200902&amp;PERIODTYPE=QTR_STD&amp;window=popup_no_bar&amp;width=385&amp;height=120&amp;START_MAXIMIZED=FALSE&amp;creator=factset&amp;display_string=Audit"}</definedName>
    <definedName name="_1976__FDSAUDITLINK__" hidden="1">{"fdsup://Directions/FactSet Auditing Viewer?action=AUDIT_VALUE&amp;DB=129&amp;ID1=40377710&amp;VALUEID=01001&amp;SDATE=200903&amp;PERIODTYPE=QTR_STD&amp;window=popup_no_bar&amp;width=385&amp;height=120&amp;START_MAXIMIZED=FALSE&amp;creator=factset&amp;display_string=Audit"}</definedName>
    <definedName name="_1977__FDSAUDITLINK__" hidden="1">{"fdsup://Directions/FactSet Auditing Viewer?action=AUDIT_VALUE&amp;DB=129&amp;ID1=40377710&amp;VALUEID=02101&amp;SDATE=200903&amp;PERIODTYPE=QTR_STD&amp;window=popup_no_bar&amp;width=385&amp;height=120&amp;START_MAXIMIZED=FALSE&amp;creator=factset&amp;display_string=Audit"}</definedName>
    <definedName name="_1978__FDSAUDITLINK__" hidden="1">{"fdsup://Directions/FactSet Auditing Viewer?action=AUDIT_VALUE&amp;DB=129&amp;ID1=40377710&amp;VALUEID=01001&amp;SDATE=200904&amp;PERIODTYPE=QTR_STD&amp;window=popup_no_bar&amp;width=385&amp;height=120&amp;START_MAXIMIZED=FALSE&amp;creator=factset&amp;display_string=Audit"}</definedName>
    <definedName name="_1979__FDSAUDITLINK__" hidden="1">{"fdsup://Directions/FactSet Auditing Viewer?action=AUDIT_VALUE&amp;DB=129&amp;ID1=40377710&amp;VALUEID=01001&amp;SDATE=201001&amp;PERIODTYPE=QTR_STD&amp;window=popup_no_bar&amp;width=385&amp;height=120&amp;START_MAXIMIZED=FALSE&amp;creator=factset&amp;display_string=Audit"}</definedName>
    <definedName name="_198__FDSAUDITLINK__" hidden="1">{"fdsup://Directions/FactSet Auditing Viewer?action=AUDIT_VALUE&amp;DB=129&amp;ID1=00786510&amp;VALUEID=01001&amp;SDATE=200704&amp;PERIODTYPE=QTR_STD&amp;window=popup_no_bar&amp;width=385&amp;height=120&amp;START_MAXIMIZED=FALSE&amp;creator=factset&amp;display_string=Audit"}</definedName>
    <definedName name="_1980__FDSAUDITLINK__" hidden="1">{"fdsup://Directions/FactSet Auditing Viewer?action=AUDIT_VALUE&amp;DB=129&amp;ID1=40377710&amp;VALUEID=02101&amp;SDATE=201001&amp;PERIODTYPE=QTR_STD&amp;window=popup_no_bar&amp;width=385&amp;height=120&amp;START_MAXIMIZED=FALSE&amp;creator=factset&amp;display_string=Audit"}</definedName>
    <definedName name="_1981__FDSAUDITLINK__" hidden="1">{"fdsup://directions/FAT Viewer?action=UPDATE&amp;creator=factset&amp;DYN_ARGS=TRUE&amp;DOC_NAME=FAT:FQL_AUDITING_CLIENT_TEMPLATE.FAT&amp;display_string=Audit&amp;VAR:KEY=TIVULSDMDS&amp;VAR:QUERY=RkZfUlRfU0ZfVE9UX0dST1NTKFFUUiwtNDQp&amp;WINDOW=FIRST_POPUP&amp;HEIGHT=450&amp;WIDTH=450&amp;START_MA","XIMIZED=FALSE&amp;VAR:CALENDAR=US&amp;VAR:SYMBOL=GYMB&amp;VAR:INDEX=0"}</definedName>
    <definedName name="_1982__FDSAUDITLINK__" hidden="1">{"fdsup://directions/FAT Viewer?action=UPDATE&amp;creator=factset&amp;DYN_ARGS=TRUE&amp;DOC_NAME=FAT:FQL_AUDITING_CLIENT_TEMPLATE.FAT&amp;display_string=Audit&amp;VAR:KEY=LGPIREFUFO&amp;VAR:QUERY=RkZfUlRfU0ZfVE9UX0dST1NTKFFUUiwtNDMp&amp;WINDOW=FIRST_POPUP&amp;HEIGHT=450&amp;WIDTH=450&amp;START_MA","XIMIZED=FALSE&amp;VAR:CALENDAR=US&amp;VAR:SYMBOL=GYMB&amp;VAR:INDEX=0"}</definedName>
    <definedName name="_1983__FDSAUDITLINK__" hidden="1">{"fdsup://directions/FAT Viewer?action=UPDATE&amp;creator=factset&amp;DYN_ARGS=TRUE&amp;DOC_NAME=FAT:FQL_AUDITING_CLIENT_TEMPLATE.FAT&amp;display_string=Audit&amp;VAR:KEY=JYTABURKFY&amp;VAR:QUERY=RkZfUlRfU0ZfVE9UX0dST1NTKFFUUiwtNDIp&amp;WINDOW=FIRST_POPUP&amp;HEIGHT=450&amp;WIDTH=450&amp;START_MA","XIMIZED=FALSE&amp;VAR:CALENDAR=US&amp;VAR:SYMBOL=GYMB&amp;VAR:INDEX=0"}</definedName>
    <definedName name="_1984__FDSAUDITLINK__" hidden="1">{"fdsup://directions/FAT Viewer?action=UPDATE&amp;creator=factset&amp;DYN_ARGS=TRUE&amp;DOC_NAME=FAT:FQL_AUDITING_CLIENT_TEMPLATE.FAT&amp;display_string=Audit&amp;VAR:KEY=NQZSJEVCTC&amp;VAR:QUERY=RkZfUlRfU0ZfVE9UX0dST1NTKFFUUiwtNDEp&amp;WINDOW=FIRST_POPUP&amp;HEIGHT=450&amp;WIDTH=450&amp;START_MA","XIMIZED=FALSE&amp;VAR:CALENDAR=US&amp;VAR:SYMBOL=GYMB&amp;VAR:INDEX=0"}</definedName>
    <definedName name="_1985__FDSAUDITLINK__" hidden="1">{"fdsup://directions/FAT Viewer?action=UPDATE&amp;creator=factset&amp;DYN_ARGS=TRUE&amp;DOC_NAME=FAT:FQL_AUDITING_CLIENT_TEMPLATE.FAT&amp;display_string=Audit&amp;VAR:KEY=VAXEBONQHK&amp;VAR:QUERY=RkZfUlRfU0ZfVE9UX0dST1NTKFFUUiwtNDAp&amp;WINDOW=FIRST_POPUP&amp;HEIGHT=450&amp;WIDTH=450&amp;START_MA","XIMIZED=FALSE&amp;VAR:CALENDAR=US&amp;VAR:SYMBOL=GYMB&amp;VAR:INDEX=0"}</definedName>
    <definedName name="_1986__FDSAUDITLINK__" hidden="1">{"fdsup://directions/FAT Viewer?action=UPDATE&amp;creator=factset&amp;DYN_ARGS=TRUE&amp;DOC_NAME=FAT:FQL_AUDITING_CLIENT_TEMPLATE.FAT&amp;display_string=Audit&amp;VAR:KEY=PIHQPQTEFG&amp;VAR:QUERY=RkZfUlRfU0ZfVE9UX0dST1NTKFFUUiwtMzkp&amp;WINDOW=FIRST_POPUP&amp;HEIGHT=450&amp;WIDTH=450&amp;START_MA","XIMIZED=FALSE&amp;VAR:CALENDAR=US&amp;VAR:SYMBOL=GYMB&amp;VAR:INDEX=0"}</definedName>
    <definedName name="_1987__FDSAUDITLINK__" hidden="1">{"fdsup://directions/FAT Viewer?action=UPDATE&amp;creator=factset&amp;DYN_ARGS=TRUE&amp;DOC_NAME=FAT:FQL_AUDITING_CLIENT_TEMPLATE.FAT&amp;display_string=Audit&amp;VAR:KEY=PWPALKRENU&amp;VAR:QUERY=RkZfUlRfU0ZfVE9UX0dST1NTKFFUUiwtMzgp&amp;WINDOW=FIRST_POPUP&amp;HEIGHT=450&amp;WIDTH=450&amp;START_MA","XIMIZED=FALSE&amp;VAR:CALENDAR=US&amp;VAR:SYMBOL=GYMB&amp;VAR:INDEX=0"}</definedName>
    <definedName name="_1988__FDSAUDITLINK__" hidden="1">{"fdsup://directions/FAT Viewer?action=UPDATE&amp;creator=factset&amp;DYN_ARGS=TRUE&amp;DOC_NAME=FAT:FQL_AUDITING_CLIENT_TEMPLATE.FAT&amp;display_string=Audit&amp;VAR:KEY=FKZQDQZSLI&amp;VAR:QUERY=RkZfUlRfU0ZfVE9UX0dST1NTKFFUUiwtMzcp&amp;WINDOW=FIRST_POPUP&amp;HEIGHT=450&amp;WIDTH=450&amp;START_MA","XIMIZED=FALSE&amp;VAR:CALENDAR=US&amp;VAR:SYMBOL=GYMB&amp;VAR:INDEX=0"}</definedName>
    <definedName name="_1989__FDSAUDITLINK__" hidden="1">{"fdsup://directions/FAT Viewer?action=UPDATE&amp;creator=factset&amp;DYN_ARGS=TRUE&amp;DOC_NAME=FAT:FQL_AUDITING_CLIENT_TEMPLATE.FAT&amp;display_string=Audit&amp;VAR:KEY=HQVKRWHAXM&amp;VAR:QUERY=RkZfUlRfU0ZfVE9UX0dST1NTKFFUUiwtMzYp&amp;WINDOW=FIRST_POPUP&amp;HEIGHT=450&amp;WIDTH=450&amp;START_MA","XIMIZED=FALSE&amp;VAR:CALENDAR=US&amp;VAR:SYMBOL=GYMB&amp;VAR:INDEX=0"}</definedName>
    <definedName name="_199__FDSAUDITLINK__" hidden="1">{"fdsup://Directions/FactSet Auditing Viewer?action=AUDIT_VALUE&amp;DB=129&amp;ID1=87416110&amp;VALUEID=02101&amp;SDATE=200703&amp;PERIODTYPE=QTR_STD&amp;window=popup_no_bar&amp;width=385&amp;height=120&amp;START_MAXIMIZED=FALSE&amp;creator=factset&amp;display_string=Audit"}</definedName>
    <definedName name="_1990__FDSAUDITLINK__" hidden="1">{"fdsup://directions/FAT Viewer?action=UPDATE&amp;creator=factset&amp;DYN_ARGS=TRUE&amp;DOC_NAME=FAT:FQL_AUDITING_CLIENT_TEMPLATE.FAT&amp;display_string=Audit&amp;VAR:KEY=FKDCROBATC&amp;VAR:QUERY=RkZfUlRfU0ZfVE9UX0dST1NTKFFUUiwtMzUp&amp;WINDOW=FIRST_POPUP&amp;HEIGHT=450&amp;WIDTH=450&amp;START_MA","XIMIZED=FALSE&amp;VAR:CALENDAR=US&amp;VAR:SYMBOL=GYMB&amp;VAR:INDEX=0"}</definedName>
    <definedName name="_1991__FDSAUDITLINK__" hidden="1">{"fdsup://directions/FAT Viewer?action=UPDATE&amp;creator=factset&amp;DYN_ARGS=TRUE&amp;DOC_NAME=FAT:FQL_AUDITING_CLIENT_TEMPLATE.FAT&amp;display_string=Audit&amp;VAR:KEY=RGXKJGXSRY&amp;VAR:QUERY=RkZfUlRfU0ZfVE9UX0dST1NTKFFUUiwtMzQp&amp;WINDOW=FIRST_POPUP&amp;HEIGHT=450&amp;WIDTH=450&amp;START_MA","XIMIZED=FALSE&amp;VAR:CALENDAR=US&amp;VAR:SYMBOL=GYMB&amp;VAR:INDEX=0"}</definedName>
    <definedName name="_1992__FDSAUDITLINK__" hidden="1">{"fdsup://directions/FAT Viewer?action=UPDATE&amp;creator=factset&amp;DYN_ARGS=TRUE&amp;DOC_NAME=FAT:FQL_AUDITING_CLIENT_TEMPLATE.FAT&amp;display_string=Audit&amp;VAR:KEY=NEDCPADABM&amp;VAR:QUERY=RkZfUlRfU0ZfVE9UX0dST1NTKFFUUiwtMzMp&amp;WINDOW=FIRST_POPUP&amp;HEIGHT=450&amp;WIDTH=450&amp;START_MA","XIMIZED=FALSE&amp;VAR:CALENDAR=US&amp;VAR:SYMBOL=GYMB&amp;VAR:INDEX=0"}</definedName>
    <definedName name="_1993__FDSAUDITLINK__" hidden="1">{"fdsup://directions/FAT Viewer?action=UPDATE&amp;creator=factset&amp;DYN_ARGS=TRUE&amp;DOC_NAME=FAT:FQL_AUDITING_CLIENT_TEMPLATE.FAT&amp;display_string=Audit&amp;VAR:KEY=LSHCBIVWFW&amp;VAR:QUERY=RkZfUlRfU0ZfVE9UX0dST1NTKFFUUiwtMzIp&amp;WINDOW=FIRST_POPUP&amp;HEIGHT=450&amp;WIDTH=450&amp;START_MA","XIMIZED=FALSE&amp;VAR:CALENDAR=US&amp;VAR:SYMBOL=GYMB&amp;VAR:INDEX=0"}</definedName>
    <definedName name="_1994__FDSAUDITLINK__" hidden="1">{"fdsup://directions/FAT Viewer?action=UPDATE&amp;creator=factset&amp;DYN_ARGS=TRUE&amp;DOC_NAME=FAT:FQL_AUDITING_CLIENT_TEMPLATE.FAT&amp;display_string=Audit&amp;VAR:KEY=RIBYZAVYBO&amp;VAR:QUERY=RkZfUlRfU0ZfVE9UX0dST1NTKFFUUiwtMzEp&amp;WINDOW=FIRST_POPUP&amp;HEIGHT=450&amp;WIDTH=450&amp;START_MA","XIMIZED=FALSE&amp;VAR:CALENDAR=US&amp;VAR:SYMBOL=GYMB&amp;VAR:INDEX=0"}</definedName>
    <definedName name="_1995__FDSAUDITLINK__" hidden="1">{"fdsup://directions/FAT Viewer?action=UPDATE&amp;creator=factset&amp;DYN_ARGS=TRUE&amp;DOC_NAME=FAT:FQL_AUDITING_CLIENT_TEMPLATE.FAT&amp;display_string=Audit&amp;VAR:KEY=DKPUNITODE&amp;VAR:QUERY=RkZfUlRfU0ZfVE9UX0dST1NTKFFUUiwtMzAp&amp;WINDOW=FIRST_POPUP&amp;HEIGHT=450&amp;WIDTH=450&amp;START_MA","XIMIZED=FALSE&amp;VAR:CALENDAR=US&amp;VAR:SYMBOL=GYMB&amp;VAR:INDEX=0"}</definedName>
    <definedName name="_1996__FDSAUDITLINK__" hidden="1">{"fdsup://directions/FAT Viewer?action=UPDATE&amp;creator=factset&amp;DYN_ARGS=TRUE&amp;DOC_NAME=FAT:FQL_AUDITING_CLIENT_TEMPLATE.FAT&amp;display_string=Audit&amp;VAR:KEY=DCZMDKFYDS&amp;VAR:QUERY=RkZfUlRfU0ZfVE9UX0dST1NTKFFUUiwtMjkp&amp;WINDOW=FIRST_POPUP&amp;HEIGHT=450&amp;WIDTH=450&amp;START_MA","XIMIZED=FALSE&amp;VAR:CALENDAR=US&amp;VAR:SYMBOL=GYMB&amp;VAR:INDEX=0"}</definedName>
    <definedName name="_1997__FDSAUDITLINK__" hidden="1">{"fdsup://directions/FAT Viewer?action=UPDATE&amp;creator=factset&amp;DYN_ARGS=TRUE&amp;DOC_NAME=FAT:FQL_AUDITING_CLIENT_TEMPLATE.FAT&amp;display_string=Audit&amp;VAR:KEY=REBEDKBEJS&amp;VAR:QUERY=RkZfUlRfU0ZfVE9UX0dST1NTKFFUUiwtMjgp&amp;WINDOW=FIRST_POPUP&amp;HEIGHT=450&amp;WIDTH=450&amp;START_MA","XIMIZED=FALSE&amp;VAR:CALENDAR=US&amp;VAR:SYMBOL=GYMB&amp;VAR:INDEX=0"}</definedName>
    <definedName name="_1998__FDSAUDITLINK__" hidden="1">{"fdsup://directions/FAT Viewer?action=UPDATE&amp;creator=factset&amp;DYN_ARGS=TRUE&amp;DOC_NAME=FAT:FQL_AUDITING_CLIENT_TEMPLATE.FAT&amp;display_string=Audit&amp;VAR:KEY=LOPKLIVKBE&amp;VAR:QUERY=RkZfUlRfU0ZfVE9UX0dST1NTKFFUUiwtMjcp&amp;WINDOW=FIRST_POPUP&amp;HEIGHT=450&amp;WIDTH=450&amp;START_MA","XIMIZED=FALSE&amp;VAR:CALENDAR=US&amp;VAR:SYMBOL=GYMB&amp;VAR:INDEX=0"}</definedName>
    <definedName name="_1999__FDSAUDITLINK__" hidden="1">{"fdsup://directions/FAT Viewer?action=UPDATE&amp;creator=factset&amp;DYN_ARGS=TRUE&amp;DOC_NAME=FAT:FQL_AUDITING_CLIENT_TEMPLATE.FAT&amp;display_string=Audit&amp;VAR:KEY=HWTMTYBQHY&amp;VAR:QUERY=RkZfUlRfU0ZfVE9UX0dST1NTKFFUUiwtMjYp&amp;WINDOW=FIRST_POPUP&amp;HEIGHT=450&amp;WIDTH=450&amp;START_MA","XIMIZED=FALSE&amp;VAR:CALENDAR=US&amp;VAR:SYMBOL=GYMB&amp;VAR:INDEX=0"}</definedName>
    <definedName name="_2__FDSAUDITLINK__" hidden="1">{"fdsup://Directions/FactSet Auditing Viewer?action=AUDIT_VALUE&amp;DB=129&amp;ID1=87416110&amp;VALUEID=13040&amp;SDATE=201001&amp;PERIODTYPE=QTR_STD&amp;window=popup_no_bar&amp;width=385&amp;height=120&amp;START_MAXIMIZED=FALSE&amp;creator=factset&amp;display_string=Audit"}</definedName>
    <definedName name="_20__FDSAUDITLINK__" hidden="1">{"fdsup://Directions/FactSet Auditing Viewer?action=AUDIT_VALUE&amp;DB=129&amp;ID1=00289620&amp;VALUEID=13040&amp;SDATE=201001&amp;PERIODTYPE=QTR_STD&amp;window=popup_no_bar&amp;width=385&amp;height=120&amp;START_MAXIMIZED=FALSE&amp;creator=factset&amp;display_string=Audit"}</definedName>
    <definedName name="_200__FDSAUDITLINK__" hidden="1">{"fdsup://Directions/FactSet Auditing Viewer?action=AUDIT_VALUE&amp;DB=129&amp;ID1=87416110&amp;VALUEID=01001&amp;SDATE=200703&amp;PERIODTYPE=QTR_STD&amp;window=popup_no_bar&amp;width=385&amp;height=120&amp;START_MAXIMIZED=FALSE&amp;creator=factset&amp;display_string=Audit"}</definedName>
    <definedName name="_2000__FDSAUDITLINK__" hidden="1">{"fdsup://directions/FAT Viewer?action=UPDATE&amp;creator=factset&amp;DYN_ARGS=TRUE&amp;DOC_NAME=FAT:FQL_AUDITING_CLIENT_TEMPLATE.FAT&amp;display_string=Audit&amp;VAR:KEY=PUPOZEVABO&amp;VAR:QUERY=RkZfUlRfU0ZfVE9UX0dST1NTKFFUUiwtMjUp&amp;WINDOW=FIRST_POPUP&amp;HEIGHT=450&amp;WIDTH=450&amp;START_MA","XIMIZED=FALSE&amp;VAR:CALENDAR=US&amp;VAR:SYMBOL=GYMB&amp;VAR:INDEX=0"}</definedName>
    <definedName name="_2001__FDSAUDITLINK__" hidden="1">{"fdsup://directions/FAT Viewer?action=UPDATE&amp;creator=factset&amp;DYN_ARGS=TRUE&amp;DOC_NAME=FAT:FQL_AUDITING_CLIENT_TEMPLATE.FAT&amp;display_string=Audit&amp;VAR:KEY=DCZYDEDCZQ&amp;VAR:QUERY=RkZfUlRfU0ZfVE9UX0dST1NTKFFUUiwtMjQp&amp;WINDOW=FIRST_POPUP&amp;HEIGHT=450&amp;WIDTH=450&amp;START_MA","XIMIZED=FALSE&amp;VAR:CALENDAR=US&amp;VAR:SYMBOL=GYMB&amp;VAR:INDEX=0"}</definedName>
    <definedName name="_2002__FDSAUDITLINK__" hidden="1">{"fdsup://directions/FAT Viewer?action=UPDATE&amp;creator=factset&amp;DYN_ARGS=TRUE&amp;DOC_NAME=FAT:FQL_AUDITING_CLIENT_TEMPLATE.FAT&amp;display_string=Audit&amp;VAR:KEY=FOBGXGRATQ&amp;VAR:QUERY=RkZfUlRfU0ZfVE9UX0dST1NTKFFUUiwtMjMp&amp;WINDOW=FIRST_POPUP&amp;HEIGHT=450&amp;WIDTH=450&amp;START_MA","XIMIZED=FALSE&amp;VAR:CALENDAR=US&amp;VAR:SYMBOL=GYMB&amp;VAR:INDEX=0"}</definedName>
    <definedName name="_2003__FDSAUDITLINK__" hidden="1">{"fdsup://directions/FAT Viewer?action=UPDATE&amp;creator=factset&amp;DYN_ARGS=TRUE&amp;DOC_NAME=FAT:FQL_AUDITING_CLIENT_TEMPLATE.FAT&amp;display_string=Audit&amp;VAR:KEY=HIRWDWNUXK&amp;VAR:QUERY=RkZfUlRfU0ZfVE9UX0dST1NTKFFUUiwtMjIp&amp;WINDOW=FIRST_POPUP&amp;HEIGHT=450&amp;WIDTH=450&amp;START_MA","XIMIZED=FALSE&amp;VAR:CALENDAR=US&amp;VAR:SYMBOL=GYMB&amp;VAR:INDEX=0"}</definedName>
    <definedName name="_2004__FDSAUDITLINK__" hidden="1">{"fdsup://directions/FAT Viewer?action=UPDATE&amp;creator=factset&amp;DYN_ARGS=TRUE&amp;DOC_NAME=FAT:FQL_AUDITING_CLIENT_TEMPLATE.FAT&amp;display_string=Audit&amp;VAR:KEY=JURGFOXYHE&amp;VAR:QUERY=RkZfUlRfU0ZfVE9UX0dST1NTKFFUUiwtMjEp&amp;WINDOW=FIRST_POPUP&amp;HEIGHT=450&amp;WIDTH=450&amp;START_MA","XIMIZED=FALSE&amp;VAR:CALENDAR=US&amp;VAR:SYMBOL=GYMB&amp;VAR:INDEX=0"}</definedName>
    <definedName name="_2005__FDSAUDITLINK__" hidden="1">{"fdsup://directions/FAT Viewer?action=UPDATE&amp;creator=factset&amp;DYN_ARGS=TRUE&amp;DOC_NAME=FAT:FQL_AUDITING_CLIENT_TEMPLATE.FAT&amp;display_string=Audit&amp;VAR:KEY=DSNMNEJEJG&amp;VAR:QUERY=RkZfUlRfU0ZfVE9UX0dST1NTKFFUUiwtMjAp&amp;WINDOW=FIRST_POPUP&amp;HEIGHT=450&amp;WIDTH=450&amp;START_MA","XIMIZED=FALSE&amp;VAR:CALENDAR=US&amp;VAR:SYMBOL=GYMB&amp;VAR:INDEX=0"}</definedName>
    <definedName name="_2006__FDSAUDITLINK__" hidden="1">{"fdsup://directions/FAT Viewer?action=UPDATE&amp;creator=factset&amp;DYN_ARGS=TRUE&amp;DOC_NAME=FAT:FQL_AUDITING_CLIENT_TEMPLATE.FAT&amp;display_string=Audit&amp;VAR:KEY=PWTUNSTSTY&amp;VAR:QUERY=RkZfUlRfU0ZfVE9UX0dST1NTKFFUUiwtMTkp&amp;WINDOW=FIRST_POPUP&amp;HEIGHT=450&amp;WIDTH=450&amp;START_MA","XIMIZED=FALSE&amp;VAR:CALENDAR=US&amp;VAR:SYMBOL=GYMB&amp;VAR:INDEX=0"}</definedName>
    <definedName name="_2007__FDSAUDITLINK__" hidden="1">{"fdsup://directions/FAT Viewer?action=UPDATE&amp;creator=factset&amp;DYN_ARGS=TRUE&amp;DOC_NAME=FAT:FQL_AUDITING_CLIENT_TEMPLATE.FAT&amp;display_string=Audit&amp;VAR:KEY=ZQNKHKRKLC&amp;VAR:QUERY=RkZfUlRfU0ZfVE9UX0dST1NTKFFUUiwtMTgp&amp;WINDOW=FIRST_POPUP&amp;HEIGHT=450&amp;WIDTH=450&amp;START_MA","XIMIZED=FALSE&amp;VAR:CALENDAR=US&amp;VAR:SYMBOL=GYMB&amp;VAR:INDEX=0"}</definedName>
    <definedName name="_2008__FDSAUDITLINK__" hidden="1">{"fdsup://Directions/FactSet Auditing Viewer?action=AUDIT_VALUE&amp;DB=129&amp;ID1=40377710&amp;VALUEID=13040&amp;SDATE=200802&amp;PERIODTYPE=QTR_STD&amp;window=popup_no_bar&amp;width=385&amp;height=120&amp;START_MAXIMIZED=FALSE&amp;creator=factset&amp;display_string=Audit"}</definedName>
    <definedName name="_2009__FDSAUDITLINK__" hidden="1">{"fdsup://directions/FAT Viewer?action=UPDATE&amp;creator=factset&amp;DYN_ARGS=TRUE&amp;DOC_NAME=FAT:FQL_AUDITING_CLIENT_TEMPLATE.FAT&amp;display_string=Audit&amp;VAR:KEY=NUNSNKTEFS&amp;VAR:QUERY=RkZfUlRfU0ZfVE9UX0dST1NTKFFUUiwtNyk=&amp;WINDOW=FIRST_POPUP&amp;HEIGHT=450&amp;WIDTH=450&amp;START_MA","XIMIZED=FALSE&amp;VAR:CALENDAR=US&amp;VAR:SYMBOL=GYMB&amp;VAR:INDEX=0"}</definedName>
    <definedName name="_201__FDSAUDITLINK__" hidden="1">{"fdsup://Directions/FactSet Auditing Viewer?action=AUDIT_VALUE&amp;DB=129&amp;ID1=53271610&amp;VALUEID=02101&amp;SDATE=200703&amp;PERIODTYPE=QTR_STD&amp;window=popup_no_bar&amp;width=385&amp;height=120&amp;START_MAXIMIZED=FALSE&amp;creator=factset&amp;display_string=Audit"}</definedName>
    <definedName name="_2010__FDSAUDITLINK__" hidden="1">{"fdsup://Directions/FactSet Auditing Viewer?action=AUDIT_VALUE&amp;DB=129&amp;ID1=40377710&amp;VALUEID=13040&amp;SDATE=200803&amp;PERIODTYPE=QTR_STD&amp;window=popup_no_bar&amp;width=385&amp;height=120&amp;START_MAXIMIZED=FALSE&amp;creator=factset&amp;display_string=Audit"}</definedName>
    <definedName name="_2011__FDSAUDITLINK__" hidden="1">{"fdsup://directions/FAT Viewer?action=UPDATE&amp;creator=factset&amp;DYN_ARGS=TRUE&amp;DOC_NAME=FAT:FQL_AUDITING_CLIENT_TEMPLATE.FAT&amp;display_string=Audit&amp;VAR:KEY=BGRGLCFUJA&amp;VAR:QUERY=RkZfUlRfU0ZfVE9UX0dST1NTKFFUUiwtNik=&amp;WINDOW=FIRST_POPUP&amp;HEIGHT=450&amp;WIDTH=450&amp;START_MA","XIMIZED=FALSE&amp;VAR:CALENDAR=US&amp;VAR:SYMBOL=GYMB&amp;VAR:INDEX=0"}</definedName>
    <definedName name="_2012__FDSAUDITLINK__" hidden="1">{"fdsup://directions/FAT Viewer?action=UPDATE&amp;creator=factset&amp;DYN_ARGS=TRUE&amp;DOC_NAME=FAT:FQL_AUDITING_CLIENT_TEMPLATE.FAT&amp;display_string=Audit&amp;VAR:KEY=FQBWFOZQXU&amp;VAR:QUERY=RkZfUlRfU0ZfVE9UX0dST1NTKFFUUiwtNSk=&amp;WINDOW=FIRST_POPUP&amp;HEIGHT=450&amp;WIDTH=450&amp;START_MA","XIMIZED=FALSE&amp;VAR:CALENDAR=US&amp;VAR:SYMBOL=GYMB&amp;VAR:INDEX=0"}</definedName>
    <definedName name="_2013__FDSAUDITLINK__" hidden="1">{"fdsup://Directions/FactSet Auditing Viewer?action=AUDIT_VALUE&amp;DB=129&amp;ID1=40377710&amp;VALUEID=13040&amp;SDATE=200901&amp;PERIODTYPE=QTR_STD&amp;window=popup_no_bar&amp;width=385&amp;height=120&amp;START_MAXIMIZED=FALSE&amp;creator=factset&amp;display_string=Audit"}</definedName>
    <definedName name="_2014__FDSAUDITLINK__" hidden="1">{"fdsup://directions/FAT Viewer?action=UPDATE&amp;creator=factset&amp;DYN_ARGS=TRUE&amp;DOC_NAME=FAT:FQL_AUDITING_CLIENT_TEMPLATE.FAT&amp;display_string=Audit&amp;VAR:KEY=JGROVCLUZW&amp;VAR:QUERY=RkZfUlRfU0ZfVE9UX0dST1NTKFFUUiwtNCk=&amp;WINDOW=FIRST_POPUP&amp;HEIGHT=450&amp;WIDTH=450&amp;START_MA","XIMIZED=FALSE&amp;VAR:CALENDAR=US&amp;VAR:SYMBOL=GYMB&amp;VAR:INDEX=0"}</definedName>
    <definedName name="_2015__FDSAUDITLINK__" hidden="1">{"fdsup://Directions/FactSet Auditing Viewer?action=AUDIT_VALUE&amp;DB=129&amp;ID1=40377710&amp;VALUEID=13040&amp;SDATE=201001&amp;PERIODTYPE=QTR_STD&amp;window=popup_no_bar&amp;width=385&amp;height=120&amp;START_MAXIMIZED=FALSE&amp;creator=factset&amp;display_string=Audit"}</definedName>
    <definedName name="_2016__FDSAUDITLINK__" hidden="1">{"fdsup://Directions/FactSet Auditing Viewer?action=AUDIT_VALUE&amp;DB=129&amp;ID1=40377710&amp;VALUEID=13040&amp;SDATE=200602&amp;PERIODTYPE=QTR_STD&amp;window=popup_no_bar&amp;width=385&amp;height=120&amp;START_MAXIMIZED=FALSE&amp;creator=factset&amp;display_string=Audit"}</definedName>
    <definedName name="_2017__FDSAUDITLINK__" hidden="1">{"fdsup://Directions/FactSet Auditing Viewer?action=AUDIT_VALUE&amp;DB=129&amp;ID1=40377710&amp;VALUEID=13040&amp;SDATE=200601&amp;PERIODTYPE=QTR_STD&amp;window=popup_no_bar&amp;width=385&amp;height=120&amp;START_MAXIMIZED=FALSE&amp;creator=factset&amp;display_string=Audit"}</definedName>
    <definedName name="_2018__FDSAUDITLINK__" hidden="1">{"fdsup://directions/FAT Viewer?action=UPDATE&amp;creator=factset&amp;DYN_ARGS=TRUE&amp;DOC_NAME=FAT:FQL_AUDITING_CLIENT_TEMPLATE.FAT&amp;display_string=Audit&amp;VAR:KEY=XGDODMRERE&amp;VAR:QUERY=RkZfUlRfU0ZfVE9UX0dST1NTKFFUUiwtMTcp&amp;WINDOW=FIRST_POPUP&amp;HEIGHT=450&amp;WIDTH=450&amp;START_MA","XIMIZED=FALSE&amp;VAR:CALENDAR=US&amp;VAR:SYMBOL=GYMB&amp;VAR:INDEX=0"}</definedName>
    <definedName name="_2019__FDSAUDITLINK__" hidden="1">{"fdsup://Directions/FactSet Auditing Viewer?action=AUDIT_VALUE&amp;DB=129&amp;ID1=40377710&amp;VALUEID=13040&amp;SDATE=200603&amp;PERIODTYPE=QTR_STD&amp;window=popup_no_bar&amp;width=385&amp;height=120&amp;START_MAXIMIZED=FALSE&amp;creator=factset&amp;display_string=Audit"}</definedName>
    <definedName name="_202__FDSAUDITLINK__" hidden="1">{"fdsup://Directions/FactSet Auditing Viewer?action=AUDIT_VALUE&amp;DB=129&amp;ID1=53271610&amp;VALUEID=01001&amp;SDATE=200703&amp;PERIODTYPE=QTR_STD&amp;window=popup_no_bar&amp;width=385&amp;height=120&amp;START_MAXIMIZED=FALSE&amp;creator=factset&amp;display_string=Audit"}</definedName>
    <definedName name="_2020__FDSAUDITLINK__" hidden="1">{"fdsup://Directions/FactSet Auditing Viewer?action=AUDIT_VALUE&amp;DB=129&amp;ID1=40377710&amp;VALUEID=13040&amp;SDATE=200702&amp;PERIODTYPE=QTR_STD&amp;window=popup_no_bar&amp;width=385&amp;height=120&amp;START_MAXIMIZED=FALSE&amp;creator=factset&amp;display_string=Audit"}</definedName>
    <definedName name="_2021__FDSAUDITLINK__" hidden="1">{"fdsup://Directions/FactSet Auditing Viewer?action=AUDIT_VALUE&amp;DB=129&amp;ID1=40377710&amp;VALUEID=13040&amp;SDATE=200701&amp;PERIODTYPE=QTR_STD&amp;window=popup_no_bar&amp;width=385&amp;height=120&amp;START_MAXIMIZED=FALSE&amp;creator=factset&amp;display_string=Audit"}</definedName>
    <definedName name="_2022__FDSAUDITLINK__" hidden="1">{"fdsup://directions/FAT Viewer?action=UPDATE&amp;creator=factset&amp;DYN_ARGS=TRUE&amp;DOC_NAME=FAT:FQL_AUDITING_CLIENT_TEMPLATE.FAT&amp;display_string=Audit&amp;VAR:KEY=TCTMPMPOZI&amp;VAR:QUERY=RkZfUlRfU0ZfVE9UX0dST1NTKFFUUiwtMTMp&amp;WINDOW=FIRST_POPUP&amp;HEIGHT=450&amp;WIDTH=450&amp;START_MA","XIMIZED=FALSE&amp;VAR:CALENDAR=US&amp;VAR:SYMBOL=GYMB&amp;VAR:INDEX=0"}</definedName>
    <definedName name="_2023__FDSAUDITLINK__" hidden="1">{"fdsup://Directions/FactSet Auditing Viewer?action=AUDIT_VALUE&amp;DB=129&amp;ID1=40377710&amp;VALUEID=13040&amp;SDATE=200703&amp;PERIODTYPE=QTR_STD&amp;window=popup_no_bar&amp;width=385&amp;height=120&amp;START_MAXIMIZED=FALSE&amp;creator=factset&amp;display_string=Audit"}</definedName>
    <definedName name="_2024__FDSAUDITLINK__" hidden="1">{"fdsup://Directions/FactSet Auditing Viewer?action=AUDIT_VALUE&amp;DB=129&amp;ID1=40377710&amp;VALUEID=13040&amp;SDATE=200801&amp;PERIODTYPE=QTR_STD&amp;window=popup_no_bar&amp;width=385&amp;height=120&amp;START_MAXIMIZED=FALSE&amp;creator=factset&amp;display_string=Audit"}</definedName>
    <definedName name="_2025__FDSAUDITLINK__" hidden="1">{"fdsup://Directions/FactSet Auditing Viewer?action=AUDIT_VALUE&amp;DB=129&amp;ID1=40377710&amp;VALUEID=13040&amp;SDATE=200704&amp;PERIODTYPE=QTR_STD&amp;window=popup_no_bar&amp;width=385&amp;height=120&amp;START_MAXIMIZED=FALSE&amp;creator=factset&amp;display_string=Audit"}</definedName>
    <definedName name="_2026__FDSAUDITLINK__" hidden="1">{"fdsup://directions/FAT Viewer?action=UPDATE&amp;creator=factset&amp;DYN_ARGS=TRUE&amp;DOC_NAME=FAT:FQL_AUDITING_CLIENT_TEMPLATE.FAT&amp;display_string=Audit&amp;VAR:KEY=TERAZMHAFK&amp;VAR:QUERY=RkZfUlRfU0ZfVE9UX0dST1NTKFFUUiwtOSk=&amp;WINDOW=FIRST_POPUP&amp;HEIGHT=450&amp;WIDTH=450&amp;START_MA","XIMIZED=FALSE&amp;VAR:CALENDAR=US&amp;VAR:SYMBOL=GYMB&amp;VAR:INDEX=0"}</definedName>
    <definedName name="_2027__FDSAUDITLINK__" hidden="1">{"fdsup://Directions/FactSet Auditing Viewer?action=AUDIT_VALUE&amp;DB=129&amp;ID1=40377710&amp;VALUEID=13040&amp;SDATE=200903&amp;PERIODTYPE=QTR_STD&amp;window=popup_no_bar&amp;width=385&amp;height=120&amp;START_MAXIMIZED=FALSE&amp;creator=factset&amp;display_string=Audit"}</definedName>
    <definedName name="_2028__FDSAUDITLINK__" hidden="1">{"fdsup://Directions/FactSet Auditing Viewer?action=AUDIT_VALUE&amp;DB=129&amp;ID1=40377710&amp;VALUEID=13040&amp;SDATE=200902&amp;PERIODTYPE=QTR_STD&amp;window=popup_no_bar&amp;width=385&amp;height=120&amp;START_MAXIMIZED=FALSE&amp;creator=factset&amp;display_string=Audit"}</definedName>
    <definedName name="_2029__FDSAUDITLINK__" hidden="1">{"fdsup://Directions/FactSet Auditing Viewer?action=AUDIT_VALUE&amp;DB=129&amp;ID1=58711810&amp;VALUEID=01001&amp;SDATE=200601&amp;PERIODTYPE=QTR_STD&amp;window=popup_no_bar&amp;width=385&amp;height=120&amp;START_MAXIMIZED=FALSE&amp;creator=factset&amp;display_string=Audit"}</definedName>
    <definedName name="_203__FDSAUDITLINK__" hidden="1">{"fdsup://Directions/FactSet Auditing Viewer?action=AUDIT_VALUE&amp;DB=129&amp;ID1=53271610&amp;VALUEID=13040&amp;SDATE=200703&amp;PERIODTYPE=QTR_STD&amp;window=popup_no_bar&amp;width=385&amp;height=120&amp;START_MAXIMIZED=FALSE&amp;creator=factset&amp;display_string=Audit"}</definedName>
    <definedName name="_2030__FDSAUDITLINK__" hidden="1">{"fdsup://Directions/FactSet Auditing Viewer?action=AUDIT_VALUE&amp;DB=129&amp;ID1=58711810&amp;VALUEID=02101&amp;SDATE=200601&amp;PERIODTYPE=QTR_STD&amp;window=popup_no_bar&amp;width=385&amp;height=120&amp;START_MAXIMIZED=FALSE&amp;creator=factset&amp;display_string=Audit"}</definedName>
    <definedName name="_2031__FDSAUDITLINK__" hidden="1">{"fdsup://Directions/FactSet Auditing Viewer?action=AUDIT_VALUE&amp;DB=129&amp;ID1=58711810&amp;VALUEID=01001&amp;SDATE=200602&amp;PERIODTYPE=QTR_STD&amp;window=popup_no_bar&amp;width=385&amp;height=120&amp;START_MAXIMIZED=FALSE&amp;creator=factset&amp;display_string=Audit"}</definedName>
    <definedName name="_2032__FDSAUDITLINK__" hidden="1">{"fdsup://Directions/FactSet Auditing Viewer?action=AUDIT_VALUE&amp;DB=129&amp;ID1=58711810&amp;VALUEID=02101&amp;SDATE=200602&amp;PERIODTYPE=QTR_STD&amp;window=popup_no_bar&amp;width=385&amp;height=120&amp;START_MAXIMIZED=FALSE&amp;creator=factset&amp;display_string=Audit"}</definedName>
    <definedName name="_2033__FDSAUDITLINK__" hidden="1">{"fdsup://Directions/FactSet Auditing Viewer?action=AUDIT_VALUE&amp;DB=129&amp;ID1=58711810&amp;VALUEID=01001&amp;SDATE=200603&amp;PERIODTYPE=QTR_STD&amp;window=popup_no_bar&amp;width=385&amp;height=120&amp;START_MAXIMIZED=FALSE&amp;creator=factset&amp;display_string=Audit"}</definedName>
    <definedName name="_2034__FDSAUDITLINK__" hidden="1">{"fdsup://Directions/FactSet Auditing Viewer?action=AUDIT_VALUE&amp;DB=129&amp;ID1=58711810&amp;VALUEID=02101&amp;SDATE=200603&amp;PERIODTYPE=QTR_STD&amp;window=popup_no_bar&amp;width=385&amp;height=120&amp;START_MAXIMIZED=FALSE&amp;creator=factset&amp;display_string=Audit"}</definedName>
    <definedName name="_2035__FDSAUDITLINK__" hidden="1">{"fdsup://Directions/FactSet Auditing Viewer?action=AUDIT_VALUE&amp;DB=129&amp;ID1=58711810&amp;VALUEID=01001&amp;SDATE=200604&amp;PERIODTYPE=QTR_STD&amp;window=popup_no_bar&amp;width=385&amp;height=120&amp;START_MAXIMIZED=FALSE&amp;creator=factset&amp;display_string=Audit"}</definedName>
    <definedName name="_2036__FDSAUDITLINK__" hidden="1">{"fdsup://Directions/FactSet Auditing Viewer?action=AUDIT_VALUE&amp;DB=129&amp;ID1=58711810&amp;VALUEID=01001&amp;SDATE=200701&amp;PERIODTYPE=QTR_STD&amp;window=popup_no_bar&amp;width=385&amp;height=120&amp;START_MAXIMIZED=FALSE&amp;creator=factset&amp;display_string=Audit"}</definedName>
    <definedName name="_2037__FDSAUDITLINK__" hidden="1">{"fdsup://Directions/FactSet Auditing Viewer?action=AUDIT_VALUE&amp;DB=129&amp;ID1=58711810&amp;VALUEID=02101&amp;SDATE=200701&amp;PERIODTYPE=QTR_STD&amp;window=popup_no_bar&amp;width=385&amp;height=120&amp;START_MAXIMIZED=FALSE&amp;creator=factset&amp;display_string=Audit"}</definedName>
    <definedName name="_2038__FDSAUDITLINK__" hidden="1">{"fdsup://Directions/FactSet Auditing Viewer?action=AUDIT_VALUE&amp;DB=129&amp;ID1=58711810&amp;VALUEID=01001&amp;SDATE=200702&amp;PERIODTYPE=QTR_STD&amp;window=popup_no_bar&amp;width=385&amp;height=120&amp;START_MAXIMIZED=FALSE&amp;creator=factset&amp;display_string=Audit"}</definedName>
    <definedName name="_2039__FDSAUDITLINK__" hidden="1">{"fdsup://Directions/FactSet Auditing Viewer?action=AUDIT_VALUE&amp;DB=129&amp;ID1=58711810&amp;VALUEID=02101&amp;SDATE=200702&amp;PERIODTYPE=QTR_STD&amp;window=popup_no_bar&amp;width=385&amp;height=120&amp;START_MAXIMIZED=FALSE&amp;creator=factset&amp;display_string=Audit"}</definedName>
    <definedName name="_204__FDSAUDITLINK__" hidden="1">{"fdsup://Directions/FactSet Auditing Viewer?action=AUDIT_VALUE&amp;DB=129&amp;ID1=46612H40&amp;VALUEID=02101&amp;SDATE=200703&amp;PERIODTYPE=QTR_STD&amp;window=popup_no_bar&amp;width=385&amp;height=120&amp;START_MAXIMIZED=FALSE&amp;creator=factset&amp;display_string=Audit"}</definedName>
    <definedName name="_2040__FDSAUDITLINK__" hidden="1">{"fdsup://Directions/FactSet Auditing Viewer?action=AUDIT_VALUE&amp;DB=129&amp;ID1=58711810&amp;VALUEID=01001&amp;SDATE=200703&amp;PERIODTYPE=QTR_STD&amp;window=popup_no_bar&amp;width=385&amp;height=120&amp;START_MAXIMIZED=FALSE&amp;creator=factset&amp;display_string=Audit"}</definedName>
    <definedName name="_2041__FDSAUDITLINK__" hidden="1">{"fdsup://Directions/FactSet Auditing Viewer?action=AUDIT_VALUE&amp;DB=129&amp;ID1=58711810&amp;VALUEID=02101&amp;SDATE=200703&amp;PERIODTYPE=QTR_STD&amp;window=popup_no_bar&amp;width=385&amp;height=120&amp;START_MAXIMIZED=FALSE&amp;creator=factset&amp;display_string=Audit"}</definedName>
    <definedName name="_2042__FDSAUDITLINK__" hidden="1">{"fdsup://Directions/FactSet Auditing Viewer?action=AUDIT_VALUE&amp;DB=129&amp;ID1=58711810&amp;VALUEID=01001&amp;SDATE=200704&amp;PERIODTYPE=QTR_STD&amp;window=popup_no_bar&amp;width=385&amp;height=120&amp;START_MAXIMIZED=FALSE&amp;creator=factset&amp;display_string=Audit"}</definedName>
    <definedName name="_2043__FDSAUDITLINK__" hidden="1">{"fdsup://Directions/FactSet Auditing Viewer?action=AUDIT_VALUE&amp;DB=129&amp;ID1=58711810&amp;VALUEID=01001&amp;SDATE=200801&amp;PERIODTYPE=QTR_STD&amp;window=popup_no_bar&amp;width=385&amp;height=120&amp;START_MAXIMIZED=FALSE&amp;creator=factset&amp;display_string=Audit"}</definedName>
    <definedName name="_2044__FDSAUDITLINK__" hidden="1">{"fdsup://Directions/FactSet Auditing Viewer?action=AUDIT_VALUE&amp;DB=129&amp;ID1=58711810&amp;VALUEID=02101&amp;SDATE=200801&amp;PERIODTYPE=QTR_STD&amp;window=popup_no_bar&amp;width=385&amp;height=120&amp;START_MAXIMIZED=FALSE&amp;creator=factset&amp;display_string=Audit"}</definedName>
    <definedName name="_2045__FDSAUDITLINK__" hidden="1">{"fdsup://Directions/FactSet Auditing Viewer?action=AUDIT_VALUE&amp;DB=129&amp;ID1=58711810&amp;VALUEID=01001&amp;SDATE=200802&amp;PERIODTYPE=QTR_STD&amp;window=popup_no_bar&amp;width=385&amp;height=120&amp;START_MAXIMIZED=FALSE&amp;creator=factset&amp;display_string=Audit"}</definedName>
    <definedName name="_2046__FDSAUDITLINK__" hidden="1">{"fdsup://Directions/FactSet Auditing Viewer?action=AUDIT_VALUE&amp;DB=129&amp;ID1=58711810&amp;VALUEID=02101&amp;SDATE=200802&amp;PERIODTYPE=QTR_STD&amp;window=popup_no_bar&amp;width=385&amp;height=120&amp;START_MAXIMIZED=FALSE&amp;creator=factset&amp;display_string=Audit"}</definedName>
    <definedName name="_2047__FDSAUDITLINK__" hidden="1">{"fdsup://Directions/FactSet Auditing Viewer?action=AUDIT_VALUE&amp;DB=129&amp;ID1=58711810&amp;VALUEID=01001&amp;SDATE=200803&amp;PERIODTYPE=QTR_STD&amp;window=popup_no_bar&amp;width=385&amp;height=120&amp;START_MAXIMIZED=FALSE&amp;creator=factset&amp;display_string=Audit"}</definedName>
    <definedName name="_2048__FDSAUDITLINK__" hidden="1">{"fdsup://Directions/FactSet Auditing Viewer?action=AUDIT_VALUE&amp;DB=129&amp;ID1=58711810&amp;VALUEID=02101&amp;SDATE=200803&amp;PERIODTYPE=QTR_STD&amp;window=popup_no_bar&amp;width=385&amp;height=120&amp;START_MAXIMIZED=FALSE&amp;creator=factset&amp;display_string=Audit"}</definedName>
    <definedName name="_2049__FDSAUDITLINK__" hidden="1">{"fdsup://Directions/FactSet Auditing Viewer?action=AUDIT_VALUE&amp;DB=129&amp;ID1=58711810&amp;VALUEID=01001&amp;SDATE=200804&amp;PERIODTYPE=QTR_STD&amp;window=popup_no_bar&amp;width=385&amp;height=120&amp;START_MAXIMIZED=FALSE&amp;creator=factset&amp;display_string=Audit"}</definedName>
    <definedName name="_205__FDSAUDITLINK__" hidden="1">{"fdsup://Directions/FactSet Auditing Viewer?action=AUDIT_VALUE&amp;DB=129&amp;ID1=46612H40&amp;VALUEID=01001&amp;SDATE=200703&amp;PERIODTYPE=QTR_STD&amp;window=popup_no_bar&amp;width=385&amp;height=120&amp;START_MAXIMIZED=FALSE&amp;creator=factset&amp;display_string=Audit"}</definedName>
    <definedName name="_2050__FDSAUDITLINK__" hidden="1">{"fdsup://Directions/FactSet Auditing Viewer?action=AUDIT_VALUE&amp;DB=129&amp;ID1=58711810&amp;VALUEID=01001&amp;SDATE=200902&amp;PERIODTYPE=QTR_STD&amp;window=popup_no_bar&amp;width=385&amp;height=120&amp;START_MAXIMIZED=FALSE&amp;creator=factset&amp;display_string=Audit"}</definedName>
    <definedName name="_2051__FDSAUDITLINK__" hidden="1">{"fdsup://Directions/FactSet Auditing Viewer?action=AUDIT_VALUE&amp;DB=129&amp;ID1=58711810&amp;VALUEID=02101&amp;SDATE=200902&amp;PERIODTYPE=QTR_STD&amp;window=popup_no_bar&amp;width=385&amp;height=120&amp;START_MAXIMIZED=FALSE&amp;creator=factset&amp;display_string=Audit"}</definedName>
    <definedName name="_2052__FDSAUDITLINK__" hidden="1">{"fdsup://Directions/FactSet Auditing Viewer?action=AUDIT_VALUE&amp;DB=129&amp;ID1=58711810&amp;VALUEID=01001&amp;SDATE=200903&amp;PERIODTYPE=QTR_STD&amp;window=popup_no_bar&amp;width=385&amp;height=120&amp;START_MAXIMIZED=FALSE&amp;creator=factset&amp;display_string=Audit"}</definedName>
    <definedName name="_2053__FDSAUDITLINK__" hidden="1">{"fdsup://Directions/FactSet Auditing Viewer?action=AUDIT_VALUE&amp;DB=129&amp;ID1=58711810&amp;VALUEID=02101&amp;SDATE=200903&amp;PERIODTYPE=QTR_STD&amp;window=popup_no_bar&amp;width=385&amp;height=120&amp;START_MAXIMIZED=FALSE&amp;creator=factset&amp;display_string=Audit"}</definedName>
    <definedName name="_2054__FDSAUDITLINK__" hidden="1">{"fdsup://Directions/FactSet Auditing Viewer?action=AUDIT_VALUE&amp;DB=129&amp;ID1=58711810&amp;VALUEID=01001&amp;SDATE=200904&amp;PERIODTYPE=QTR_STD&amp;window=popup_no_bar&amp;width=385&amp;height=120&amp;START_MAXIMIZED=FALSE&amp;creator=factset&amp;display_string=Audit"}</definedName>
    <definedName name="_2055__FDSAUDITLINK__" hidden="1">{"fdsup://Directions/FactSet Auditing Viewer?action=AUDIT_VALUE&amp;DB=129&amp;ID1=58711810&amp;VALUEID=01001&amp;SDATE=201001&amp;PERIODTYPE=QTR_STD&amp;window=popup_no_bar&amp;width=385&amp;height=120&amp;START_MAXIMIZED=FALSE&amp;creator=factset&amp;display_string=Audit"}</definedName>
    <definedName name="_2056__FDSAUDITLINK__" hidden="1">{"fdsup://Directions/FactSet Auditing Viewer?action=AUDIT_VALUE&amp;DB=129&amp;ID1=58711810&amp;VALUEID=02101&amp;SDATE=201001&amp;PERIODTYPE=QTR_STD&amp;window=popup_no_bar&amp;width=385&amp;height=120&amp;START_MAXIMIZED=FALSE&amp;creator=factset&amp;display_string=Audit"}</definedName>
    <definedName name="_2057__FDSAUDITLINK__" hidden="1">{"fdsup://directions/FAT Viewer?action=UPDATE&amp;creator=factset&amp;DYN_ARGS=TRUE&amp;DOC_NAME=FAT:FQL_AUDITING_CLIENT_TEMPLATE.FAT&amp;display_string=Audit&amp;VAR:KEY=XOLCTGDGVG&amp;VAR:QUERY=RkZfUlRfU0ZfVE9UX0dST1NTKFFUUiwtNDQp&amp;WINDOW=FIRST_POPUP&amp;HEIGHT=450&amp;WIDTH=450&amp;START_MA","XIMIZED=FALSE&amp;VAR:CALENDAR=US&amp;VAR:SYMBOL=MW&amp;VAR:INDEX=0"}</definedName>
    <definedName name="_2058__FDSAUDITLINK__" hidden="1">{"fdsup://directions/FAT Viewer?action=UPDATE&amp;creator=factset&amp;DYN_ARGS=TRUE&amp;DOC_NAME=FAT:FQL_AUDITING_CLIENT_TEMPLATE.FAT&amp;display_string=Audit&amp;VAR:KEY=LCLADYJIPS&amp;VAR:QUERY=RkZfUlRfU0ZfVE9UX0dST1NTKFFUUiwtNDMp&amp;WINDOW=FIRST_POPUP&amp;HEIGHT=450&amp;WIDTH=450&amp;START_MA","XIMIZED=FALSE&amp;VAR:CALENDAR=US&amp;VAR:SYMBOL=MW&amp;VAR:INDEX=0"}</definedName>
    <definedName name="_2059__FDSAUDITLINK__" hidden="1">{"fdsup://directions/FAT Viewer?action=UPDATE&amp;creator=factset&amp;DYN_ARGS=TRUE&amp;DOC_NAME=FAT:FQL_AUDITING_CLIENT_TEMPLATE.FAT&amp;display_string=Audit&amp;VAR:KEY=XWVCNWVOLS&amp;VAR:QUERY=RkZfUlRfU0ZfVE9UX0dST1NTKFFUUiwtNDIp&amp;WINDOW=FIRST_POPUP&amp;HEIGHT=450&amp;WIDTH=450&amp;START_MA","XIMIZED=FALSE&amp;VAR:CALENDAR=US&amp;VAR:SYMBOL=MW&amp;VAR:INDEX=0"}</definedName>
    <definedName name="_206__FDSAUDITLINK__" hidden="1">{"fdsup://Directions/FactSet Auditing Viewer?action=AUDIT_VALUE&amp;DB=129&amp;ID1=46612H40&amp;VALUEID=13040&amp;SDATE=200703&amp;PERIODTYPE=QTR_STD&amp;window=popup_no_bar&amp;width=385&amp;height=120&amp;START_MAXIMIZED=FALSE&amp;creator=factset&amp;display_string=Audit"}</definedName>
    <definedName name="_2060__FDSAUDITLINK__" hidden="1">{"fdsup://directions/FAT Viewer?action=UPDATE&amp;creator=factset&amp;DYN_ARGS=TRUE&amp;DOC_NAME=FAT:FQL_AUDITING_CLIENT_TEMPLATE.FAT&amp;display_string=Audit&amp;VAR:KEY=RQLYDYBETO&amp;VAR:QUERY=RkZfUlRfU0ZfVE9UX0dST1NTKFFUUiwtNDEp&amp;WINDOW=FIRST_POPUP&amp;HEIGHT=450&amp;WIDTH=450&amp;START_MA","XIMIZED=FALSE&amp;VAR:CALENDAR=US&amp;VAR:SYMBOL=MW&amp;VAR:INDEX=0"}</definedName>
    <definedName name="_2061__FDSAUDITLINK__" hidden="1">{"fdsup://directions/FAT Viewer?action=UPDATE&amp;creator=factset&amp;DYN_ARGS=TRUE&amp;DOC_NAME=FAT:FQL_AUDITING_CLIENT_TEMPLATE.FAT&amp;display_string=Audit&amp;VAR:KEY=NEZQTKDIVO&amp;VAR:QUERY=RkZfUlRfU0ZfVE9UX0dST1NTKFFUUiwtNDAp&amp;WINDOW=FIRST_POPUP&amp;HEIGHT=450&amp;WIDTH=450&amp;START_MA","XIMIZED=FALSE&amp;VAR:CALENDAR=US&amp;VAR:SYMBOL=MW&amp;VAR:INDEX=0"}</definedName>
    <definedName name="_2062__FDSAUDITLINK__" hidden="1">{"fdsup://directions/FAT Viewer?action=UPDATE&amp;creator=factset&amp;DYN_ARGS=TRUE&amp;DOC_NAME=FAT:FQL_AUDITING_CLIENT_TEMPLATE.FAT&amp;display_string=Audit&amp;VAR:KEY=LWNOPUVYPS&amp;VAR:QUERY=RkZfUlRfU0ZfVE9UX0dST1NTKFFUUiwtMzkp&amp;WINDOW=FIRST_POPUP&amp;HEIGHT=450&amp;WIDTH=450&amp;START_MA","XIMIZED=FALSE&amp;VAR:CALENDAR=US&amp;VAR:SYMBOL=MW&amp;VAR:INDEX=0"}</definedName>
    <definedName name="_2063__FDSAUDITLINK__" hidden="1">{"fdsup://directions/FAT Viewer?action=UPDATE&amp;creator=factset&amp;DYN_ARGS=TRUE&amp;DOC_NAME=FAT:FQL_AUDITING_CLIENT_TEMPLATE.FAT&amp;display_string=Audit&amp;VAR:KEY=ZAPGLCVOZS&amp;VAR:QUERY=RkZfUlRfU0ZfVE9UX0dST1NTKFFUUiwtMzgp&amp;WINDOW=FIRST_POPUP&amp;HEIGHT=450&amp;WIDTH=450&amp;START_MA","XIMIZED=FALSE&amp;VAR:CALENDAR=US&amp;VAR:SYMBOL=MW&amp;VAR:INDEX=0"}</definedName>
    <definedName name="_2064__FDSAUDITLINK__" hidden="1">{"fdsup://directions/FAT Viewer?action=UPDATE&amp;creator=factset&amp;DYN_ARGS=TRUE&amp;DOC_NAME=FAT:FQL_AUDITING_CLIENT_TEMPLATE.FAT&amp;display_string=Audit&amp;VAR:KEY=BQDYNQXQZQ&amp;VAR:QUERY=RkZfUlRfU0ZfVE9UX0dST1NTKFFUUiwtMzcp&amp;WINDOW=FIRST_POPUP&amp;HEIGHT=450&amp;WIDTH=450&amp;START_MA","XIMIZED=FALSE&amp;VAR:CALENDAR=US&amp;VAR:SYMBOL=MW&amp;VAR:INDEX=0"}</definedName>
    <definedName name="_2065__FDSAUDITLINK__" hidden="1">{"fdsup://directions/FAT Viewer?action=UPDATE&amp;creator=factset&amp;DYN_ARGS=TRUE&amp;DOC_NAME=FAT:FQL_AUDITING_CLIENT_TEMPLATE.FAT&amp;display_string=Audit&amp;VAR:KEY=LQRYLIVQRM&amp;VAR:QUERY=RkZfUlRfU0ZfVE9UX0dST1NTKFFUUiwtMzYp&amp;WINDOW=FIRST_POPUP&amp;HEIGHT=450&amp;WIDTH=450&amp;START_MA","XIMIZED=FALSE&amp;VAR:CALENDAR=US&amp;VAR:SYMBOL=MW&amp;VAR:INDEX=0"}</definedName>
    <definedName name="_2066__FDSAUDITLINK__" hidden="1">{"fdsup://directions/FAT Viewer?action=UPDATE&amp;creator=factset&amp;DYN_ARGS=TRUE&amp;DOC_NAME=FAT:FQL_AUDITING_CLIENT_TEMPLATE.FAT&amp;display_string=Audit&amp;VAR:KEY=BANQNYDSXS&amp;VAR:QUERY=RkZfUlRfU0ZfVE9UX0dST1NTKFFUUiwtMzUp&amp;WINDOW=FIRST_POPUP&amp;HEIGHT=450&amp;WIDTH=450&amp;START_MA","XIMIZED=FALSE&amp;VAR:CALENDAR=US&amp;VAR:SYMBOL=MW&amp;VAR:INDEX=0"}</definedName>
    <definedName name="_2067__FDSAUDITLINK__" hidden="1">{"fdsup://directions/FAT Viewer?action=UPDATE&amp;creator=factset&amp;DYN_ARGS=TRUE&amp;DOC_NAME=FAT:FQL_AUDITING_CLIENT_TEMPLATE.FAT&amp;display_string=Audit&amp;VAR:KEY=HSNSXAXATY&amp;VAR:QUERY=RkZfUlRfU0ZfVE9UX0dST1NTKFFUUiwtMzQp&amp;WINDOW=FIRST_POPUP&amp;HEIGHT=450&amp;WIDTH=450&amp;START_MA","XIMIZED=FALSE&amp;VAR:CALENDAR=US&amp;VAR:SYMBOL=MW&amp;VAR:INDEX=0"}</definedName>
    <definedName name="_2068__FDSAUDITLINK__" hidden="1">{"fdsup://directions/FAT Viewer?action=UPDATE&amp;creator=factset&amp;DYN_ARGS=TRUE&amp;DOC_NAME=FAT:FQL_AUDITING_CLIENT_TEMPLATE.FAT&amp;display_string=Audit&amp;VAR:KEY=PGFANMDELU&amp;VAR:QUERY=RkZfUlRfU0ZfVE9UX0dST1NTKFFUUiwtMzMp&amp;WINDOW=FIRST_POPUP&amp;HEIGHT=450&amp;WIDTH=450&amp;START_MA","XIMIZED=FALSE&amp;VAR:CALENDAR=US&amp;VAR:SYMBOL=MW&amp;VAR:INDEX=0"}</definedName>
    <definedName name="_2069__FDSAUDITLINK__" hidden="1">{"fdsup://directions/FAT Viewer?action=UPDATE&amp;creator=factset&amp;DYN_ARGS=TRUE&amp;DOC_NAME=FAT:FQL_AUDITING_CLIENT_TEMPLATE.FAT&amp;display_string=Audit&amp;VAR:KEY=FMTMTIJOFY&amp;VAR:QUERY=RkZfUlRfU0ZfVE9UX0dST1NTKFFUUiwtMzIp&amp;WINDOW=FIRST_POPUP&amp;HEIGHT=450&amp;WIDTH=450&amp;START_MA","XIMIZED=FALSE&amp;VAR:CALENDAR=US&amp;VAR:SYMBOL=MW&amp;VAR:INDEX=0"}</definedName>
    <definedName name="_207__FDSAUDITLINK__" hidden="1">{"fdsup://Directions/FactSet Auditing Viewer?action=AUDIT_VALUE&amp;DB=129&amp;ID1=36476010&amp;VALUEID=02101&amp;SDATE=200703&amp;PERIODTYPE=QTR_STD&amp;window=popup_no_bar&amp;width=385&amp;height=120&amp;START_MAXIMIZED=FALSE&amp;creator=factset&amp;display_string=Audit"}</definedName>
    <definedName name="_2070__FDSAUDITLINK__" hidden="1">{"fdsup://directions/FAT Viewer?action=UPDATE&amp;creator=factset&amp;DYN_ARGS=TRUE&amp;DOC_NAME=FAT:FQL_AUDITING_CLIENT_TEMPLATE.FAT&amp;display_string=Audit&amp;VAR:KEY=DIDGTQFMXG&amp;VAR:QUERY=RkZfUlRfU0ZfVE9UX0dST1NTKFFUUiwtMzEp&amp;WINDOW=FIRST_POPUP&amp;HEIGHT=450&amp;WIDTH=450&amp;START_MA","XIMIZED=FALSE&amp;VAR:CALENDAR=US&amp;VAR:SYMBOL=MW&amp;VAR:INDEX=0"}</definedName>
    <definedName name="_2071__FDSAUDITLINK__" hidden="1">{"fdsup://directions/FAT Viewer?action=UPDATE&amp;creator=factset&amp;DYN_ARGS=TRUE&amp;DOC_NAME=FAT:FQL_AUDITING_CLIENT_TEMPLATE.FAT&amp;display_string=Audit&amp;VAR:KEY=TOHEJERMXU&amp;VAR:QUERY=RkZfUlRfU0ZfVE9UX0dST1NTKFFUUiwtMzAp&amp;WINDOW=FIRST_POPUP&amp;HEIGHT=450&amp;WIDTH=450&amp;START_MA","XIMIZED=FALSE&amp;VAR:CALENDAR=US&amp;VAR:SYMBOL=MW&amp;VAR:INDEX=0"}</definedName>
    <definedName name="_2072__FDSAUDITLINK__" hidden="1">{"fdsup://directions/FAT Viewer?action=UPDATE&amp;creator=factset&amp;DYN_ARGS=TRUE&amp;DOC_NAME=FAT:FQL_AUDITING_CLIENT_TEMPLATE.FAT&amp;display_string=Audit&amp;VAR:KEY=DYHMTQXUBK&amp;VAR:QUERY=RkZfUlRfU0ZfVE9UX0dST1NTKFFUUiwtMjkp&amp;WINDOW=FIRST_POPUP&amp;HEIGHT=450&amp;WIDTH=450&amp;START_MA","XIMIZED=FALSE&amp;VAR:CALENDAR=US&amp;VAR:SYMBOL=MW&amp;VAR:INDEX=0"}</definedName>
    <definedName name="_2073__FDSAUDITLINK__" hidden="1">{"fdsup://directions/FAT Viewer?action=UPDATE&amp;creator=factset&amp;DYN_ARGS=TRUE&amp;DOC_NAME=FAT:FQL_AUDITING_CLIENT_TEMPLATE.FAT&amp;display_string=Audit&amp;VAR:KEY=FGTULCXKBM&amp;VAR:QUERY=RkZfUlRfU0ZfVE9UX0dST1NTKFFUUiwtMjgp&amp;WINDOW=FIRST_POPUP&amp;HEIGHT=450&amp;WIDTH=450&amp;START_MA","XIMIZED=FALSE&amp;VAR:CALENDAR=US&amp;VAR:SYMBOL=MW&amp;VAR:INDEX=0"}</definedName>
    <definedName name="_2074__FDSAUDITLINK__" hidden="1">{"fdsup://directions/FAT Viewer?action=UPDATE&amp;creator=factset&amp;DYN_ARGS=TRUE&amp;DOC_NAME=FAT:FQL_AUDITING_CLIENT_TEMPLATE.FAT&amp;display_string=Audit&amp;VAR:KEY=RERODQDOZG&amp;VAR:QUERY=RkZfUlRfU0ZfVE9UX0dST1NTKFFUUiwtMjcp&amp;WINDOW=FIRST_POPUP&amp;HEIGHT=450&amp;WIDTH=450&amp;START_MA","XIMIZED=FALSE&amp;VAR:CALENDAR=US&amp;VAR:SYMBOL=MW&amp;VAR:INDEX=0"}</definedName>
    <definedName name="_2075__FDSAUDITLINK__" hidden="1">{"fdsup://directions/FAT Viewer?action=UPDATE&amp;creator=factset&amp;DYN_ARGS=TRUE&amp;DOC_NAME=FAT:FQL_AUDITING_CLIENT_TEMPLATE.FAT&amp;display_string=Audit&amp;VAR:KEY=BUXULIDQNI&amp;VAR:QUERY=RkZfUlRfU0ZfVE9UX0dST1NTKFFUUiwtMjYp&amp;WINDOW=FIRST_POPUP&amp;HEIGHT=450&amp;WIDTH=450&amp;START_MA","XIMIZED=FALSE&amp;VAR:CALENDAR=US&amp;VAR:SYMBOL=MW&amp;VAR:INDEX=0"}</definedName>
    <definedName name="_2076__FDSAUDITLINK__" hidden="1">{"fdsup://directions/FAT Viewer?action=UPDATE&amp;creator=factset&amp;DYN_ARGS=TRUE&amp;DOC_NAME=FAT:FQL_AUDITING_CLIENT_TEMPLATE.FAT&amp;display_string=Audit&amp;VAR:KEY=VUVGPOJEXO&amp;VAR:QUERY=RkZfUlRfU0ZfVE9UX0dST1NTKFFUUiwtMjUp&amp;WINDOW=FIRST_POPUP&amp;HEIGHT=450&amp;WIDTH=450&amp;START_MA","XIMIZED=FALSE&amp;VAR:CALENDAR=US&amp;VAR:SYMBOL=MW&amp;VAR:INDEX=0"}</definedName>
    <definedName name="_2077__FDSAUDITLINK__" hidden="1">{"fdsup://directions/FAT Viewer?action=UPDATE&amp;creator=factset&amp;DYN_ARGS=TRUE&amp;DOC_NAME=FAT:FQL_AUDITING_CLIENT_TEMPLATE.FAT&amp;display_string=Audit&amp;VAR:KEY=HAHQZOFKDO&amp;VAR:QUERY=RkZfUlRfU0ZfVE9UX0dST1NTKFFUUiwtMjQp&amp;WINDOW=FIRST_POPUP&amp;HEIGHT=450&amp;WIDTH=450&amp;START_MA","XIMIZED=FALSE&amp;VAR:CALENDAR=US&amp;VAR:SYMBOL=MW&amp;VAR:INDEX=0"}</definedName>
    <definedName name="_2078__FDSAUDITLINK__" hidden="1">{"fdsup://directions/FAT Viewer?action=UPDATE&amp;creator=factset&amp;DYN_ARGS=TRUE&amp;DOC_NAME=FAT:FQL_AUDITING_CLIENT_TEMPLATE.FAT&amp;display_string=Audit&amp;VAR:KEY=VGDWVEVYDO&amp;VAR:QUERY=RkZfUlRfU0ZfVE9UX0dST1NTKFFUUiwtMjMp&amp;WINDOW=FIRST_POPUP&amp;HEIGHT=450&amp;WIDTH=450&amp;START_MA","XIMIZED=FALSE&amp;VAR:CALENDAR=US&amp;VAR:SYMBOL=MW&amp;VAR:INDEX=0"}</definedName>
    <definedName name="_2079__FDSAUDITLINK__" hidden="1">{"fdsup://directions/FAT Viewer?action=UPDATE&amp;creator=factset&amp;DYN_ARGS=TRUE&amp;DOC_NAME=FAT:FQL_AUDITING_CLIENT_TEMPLATE.FAT&amp;display_string=Audit&amp;VAR:KEY=XKFGJGNSBQ&amp;VAR:QUERY=RkZfUlRfU0ZfVE9UX0dST1NTKFFUUiwtMjIp&amp;WINDOW=FIRST_POPUP&amp;HEIGHT=450&amp;WIDTH=450&amp;START_MA","XIMIZED=FALSE&amp;VAR:CALENDAR=US&amp;VAR:SYMBOL=MW&amp;VAR:INDEX=0"}</definedName>
    <definedName name="_208__FDSAUDITLINK__" hidden="1">{"fdsup://Directions/FactSet Auditing Viewer?action=AUDIT_VALUE&amp;DB=129&amp;ID1=36476010&amp;VALUEID=01001&amp;SDATE=200703&amp;PERIODTYPE=QTR_STD&amp;window=popup_no_bar&amp;width=385&amp;height=120&amp;START_MAXIMIZED=FALSE&amp;creator=factset&amp;display_string=Audit"}</definedName>
    <definedName name="_2080__FDSAUDITLINK__" hidden="1">{"fdsup://directions/FAT Viewer?action=UPDATE&amp;creator=factset&amp;DYN_ARGS=TRUE&amp;DOC_NAME=FAT:FQL_AUDITING_CLIENT_TEMPLATE.FAT&amp;display_string=Audit&amp;VAR:KEY=VGTKVQRMDE&amp;VAR:QUERY=RkZfUlRfU0ZfVE9UX0dST1NTKFFUUiwtMjEp&amp;WINDOW=FIRST_POPUP&amp;HEIGHT=450&amp;WIDTH=450&amp;START_MA","XIMIZED=FALSE&amp;VAR:CALENDAR=US&amp;VAR:SYMBOL=MW&amp;VAR:INDEX=0"}</definedName>
    <definedName name="_2081__FDSAUDITLINK__" hidden="1">{"fdsup://directions/FAT Viewer?action=UPDATE&amp;creator=factset&amp;DYN_ARGS=TRUE&amp;DOC_NAME=FAT:FQL_AUDITING_CLIENT_TEMPLATE.FAT&amp;display_string=Audit&amp;VAR:KEY=HATCRWXIPY&amp;VAR:QUERY=RkZfUlRfU0ZfVE9UX0dST1NTKFFUUiwtMjAp&amp;WINDOW=FIRST_POPUP&amp;HEIGHT=450&amp;WIDTH=450&amp;START_MA","XIMIZED=FALSE&amp;VAR:CALENDAR=US&amp;VAR:SYMBOL=MW&amp;VAR:INDEX=0"}</definedName>
    <definedName name="_2082__FDSAUDITLINK__" hidden="1">{"fdsup://directions/FAT Viewer?action=UPDATE&amp;creator=factset&amp;DYN_ARGS=TRUE&amp;DOC_NAME=FAT:FQL_AUDITING_CLIENT_TEMPLATE.FAT&amp;display_string=Audit&amp;VAR:KEY=LSDEZKHSLO&amp;VAR:QUERY=RkZfUlRfU0ZfVE9UX0dST1NTKFFUUiwtMTkp&amp;WINDOW=FIRST_POPUP&amp;HEIGHT=450&amp;WIDTH=450&amp;START_MA","XIMIZED=FALSE&amp;VAR:CALENDAR=US&amp;VAR:SYMBOL=MW&amp;VAR:INDEX=0"}</definedName>
    <definedName name="_2083__FDSAUDITLINK__" hidden="1">{"fdsup://directions/FAT Viewer?action=UPDATE&amp;creator=factset&amp;DYN_ARGS=TRUE&amp;DOC_NAME=FAT:FQL_AUDITING_CLIENT_TEMPLATE.FAT&amp;display_string=Audit&amp;VAR:KEY=PGHYZMZMNW&amp;VAR:QUERY=RkZfUlRfU0ZfVE9UX0dST1NTKFFUUiwtMTgp&amp;WINDOW=FIRST_POPUP&amp;HEIGHT=450&amp;WIDTH=450&amp;START_MA","XIMIZED=FALSE&amp;VAR:CALENDAR=US&amp;VAR:SYMBOL=MW&amp;VAR:INDEX=0"}</definedName>
    <definedName name="_2084__FDSAUDITLINK__" hidden="1">{"fdsup://Directions/FactSet Auditing Viewer?action=AUDIT_VALUE&amp;DB=129&amp;ID1=58711810&amp;VALUEID=13040&amp;SDATE=200702&amp;PERIODTYPE=QTR_STD&amp;window=popup_no_bar&amp;width=385&amp;height=120&amp;START_MAXIMIZED=FALSE&amp;creator=factset&amp;display_string=Audit"}</definedName>
    <definedName name="_2085__FDSAUDITLINK__" hidden="1">{"fdsup://Directions/FactSet Auditing Viewer?action=AUDIT_VALUE&amp;DB=129&amp;ID1=58711810&amp;VALUEID=13040&amp;SDATE=200701&amp;PERIODTYPE=QTR_STD&amp;window=popup_no_bar&amp;width=385&amp;height=120&amp;START_MAXIMIZED=FALSE&amp;creator=factset&amp;display_string=Audit"}</definedName>
    <definedName name="_2086__FDSAUDITLINK__" hidden="1">{"fdsup://Directions/FactSet Auditing Viewer?action=AUDIT_VALUE&amp;DB=129&amp;ID1=58711810&amp;VALUEID=13040&amp;SDATE=200703&amp;PERIODTYPE=QTR_STD&amp;window=popup_no_bar&amp;width=385&amp;height=120&amp;START_MAXIMIZED=FALSE&amp;creator=factset&amp;display_string=Audit"}</definedName>
    <definedName name="_2087__FDSAUDITLINK__" hidden="1">{"fdsup://Directions/FactSet Auditing Viewer?action=AUDIT_VALUE&amp;DB=129&amp;ID1=58711810&amp;VALUEID=13040&amp;SDATE=200802&amp;PERIODTYPE=QTR_STD&amp;window=popup_no_bar&amp;width=385&amp;height=120&amp;START_MAXIMIZED=FALSE&amp;creator=factset&amp;display_string=Audit"}</definedName>
    <definedName name="_2088__FDSAUDITLINK__" hidden="1">{"fdsup://Directions/FactSet Auditing Viewer?action=AUDIT_VALUE&amp;DB=129&amp;ID1=58711810&amp;VALUEID=13040&amp;SDATE=200801&amp;PERIODTYPE=QTR_STD&amp;window=popup_no_bar&amp;width=385&amp;height=120&amp;START_MAXIMIZED=FALSE&amp;creator=factset&amp;display_string=Audit"}</definedName>
    <definedName name="_2089__FDSAUDITLINK__" hidden="1">{"fdsup://directions/FAT Viewer?action=UPDATE&amp;creator=factset&amp;DYN_ARGS=TRUE&amp;DOC_NAME=FAT:FQL_AUDITING_CLIENT_TEMPLATE.FAT&amp;display_string=Audit&amp;VAR:KEY=LIFEZIXONO&amp;VAR:QUERY=RkZfUlRfU0ZfVE9UX0dST1NTKFFUUiwtOSk=&amp;WINDOW=FIRST_POPUP&amp;HEIGHT=450&amp;WIDTH=450&amp;START_MA","XIMIZED=FALSE&amp;VAR:CALENDAR=US&amp;VAR:SYMBOL=MW&amp;VAR:INDEX=0"}</definedName>
    <definedName name="_209__FDSAUDITLINK__" hidden="1">{"fdsup://Directions/FactSet Auditing Viewer?action=AUDIT_VALUE&amp;DB=129&amp;ID1=36476010&amp;VALUEID=13040&amp;SDATE=200703&amp;PERIODTYPE=QTR_STD&amp;window=popup_no_bar&amp;width=385&amp;height=120&amp;START_MAXIMIZED=FALSE&amp;creator=factset&amp;display_string=Audit"}</definedName>
    <definedName name="_2090__FDSAUDITLINK__" hidden="1">{"fdsup://Directions/FactSet Auditing Viewer?action=AUDIT_VALUE&amp;DB=129&amp;ID1=58711810&amp;VALUEID=13040&amp;SDATE=200803&amp;PERIODTYPE=QTR_STD&amp;window=popup_no_bar&amp;width=385&amp;height=120&amp;START_MAXIMIZED=FALSE&amp;creator=factset&amp;display_string=Audit"}</definedName>
    <definedName name="_2091__FDSAUDITLINK__" hidden="1">{"fdsup://Directions/FactSet Auditing Viewer?action=AUDIT_VALUE&amp;DB=129&amp;ID1=58711810&amp;VALUEID=13040&amp;SDATE=200902&amp;PERIODTYPE=QTR_STD&amp;window=popup_no_bar&amp;width=385&amp;height=120&amp;START_MAXIMIZED=FALSE&amp;creator=factset&amp;display_string=Audit"}</definedName>
    <definedName name="_2092__FDSAUDITLINK__" hidden="1">{"fdsup://directions/FAT Viewer?action=UPDATE&amp;creator=factset&amp;DYN_ARGS=TRUE&amp;DOC_NAME=FAT:FQL_AUDITING_CLIENT_TEMPLATE.FAT&amp;display_string=Audit&amp;VAR:KEY=JOTIDWFUPO&amp;VAR:QUERY=RkZfUlRfU0ZfVE9UX0dST1NTKFFUUiwtNSk=&amp;WINDOW=FIRST_POPUP&amp;HEIGHT=450&amp;WIDTH=450&amp;START_MA","XIMIZED=FALSE&amp;VAR:CALENDAR=US&amp;VAR:SYMBOL=MW&amp;VAR:INDEX=0"}</definedName>
    <definedName name="_2093__FDSAUDITLINK__" hidden="1">{"fdsup://Directions/FactSet Auditing Viewer?action=AUDIT_VALUE&amp;DB=129&amp;ID1=58711810&amp;VALUEID=13040&amp;SDATE=200903&amp;PERIODTYPE=QTR_STD&amp;window=popup_no_bar&amp;width=385&amp;height=120&amp;START_MAXIMIZED=FALSE&amp;creator=factset&amp;display_string=Audit"}</definedName>
    <definedName name="_2094__FDSAUDITLINK__" hidden="1">{"fdsup://Directions/FactSet Auditing Viewer?action=AUDIT_VALUE&amp;DB=129&amp;ID1=58711810&amp;VALUEID=13040&amp;SDATE=200602&amp;PERIODTYPE=QTR_STD&amp;window=popup_no_bar&amp;width=385&amp;height=120&amp;START_MAXIMIZED=FALSE&amp;creator=factset&amp;display_string=Audit"}</definedName>
    <definedName name="_2095__FDSAUDITLINK__" hidden="1">{"fdsup://Directions/FactSet Auditing Viewer?action=AUDIT_VALUE&amp;DB=129&amp;ID1=58711810&amp;VALUEID=13040&amp;SDATE=200601&amp;PERIODTYPE=QTR_STD&amp;window=popup_no_bar&amp;width=385&amp;height=120&amp;START_MAXIMIZED=FALSE&amp;creator=factset&amp;display_string=Audit"}</definedName>
    <definedName name="_2096__FDSAUDITLINK__" hidden="1">{"fdsup://directions/FAT Viewer?action=UPDATE&amp;creator=factset&amp;DYN_ARGS=TRUE&amp;DOC_NAME=FAT:FQL_AUDITING_CLIENT_TEMPLATE.FAT&amp;display_string=Audit&amp;VAR:KEY=NIHCFUBCLC&amp;VAR:QUERY=RkZfUlRfU0ZfVE9UX0dST1NTKFFUUiwtMTcp&amp;WINDOW=FIRST_POPUP&amp;HEIGHT=450&amp;WIDTH=450&amp;START_MA","XIMIZED=FALSE&amp;VAR:CALENDAR=US&amp;VAR:SYMBOL=MW&amp;VAR:INDEX=0"}</definedName>
    <definedName name="_2097__FDSAUDITLINK__" hidden="1">{"fdsup://Directions/FactSet Auditing Viewer?action=AUDIT_VALUE&amp;DB=129&amp;ID1=58711810&amp;VALUEID=13040&amp;SDATE=200603&amp;PERIODTYPE=QTR_STD&amp;window=popup_no_bar&amp;width=385&amp;height=120&amp;START_MAXIMIZED=FALSE&amp;creator=factset&amp;display_string=Audit"}</definedName>
    <definedName name="_2098__FDSAUDITLINK__" hidden="1">{"fdsup://directions/FAT Viewer?action=UPDATE&amp;creator=factset&amp;DYN_ARGS=TRUE&amp;DOC_NAME=FAT:FQL_AUDITING_CLIENT_TEMPLATE.FAT&amp;display_string=Audit&amp;VAR:KEY=HGNWDSTIVA&amp;VAR:QUERY=RkZfUlRfU0ZfVE9UX0dST1NTKFFUUiwtMTMp&amp;WINDOW=FIRST_POPUP&amp;HEIGHT=450&amp;WIDTH=450&amp;START_MA","XIMIZED=FALSE&amp;VAR:CALENDAR=US&amp;VAR:SYMBOL=MW&amp;VAR:INDEX=0"}</definedName>
    <definedName name="_2099__FDSAUDITLINK__" hidden="1">{"fdsup://Directions/FactSet Auditing Viewer?action=AUDIT_VALUE&amp;DB=129&amp;ID1=58711810&amp;VALUEID=13040&amp;SDATE=201001&amp;PERIODTYPE=QTR_STD&amp;window=popup_no_bar&amp;width=385&amp;height=120&amp;START_MAXIMIZED=FALSE&amp;creator=factset&amp;display_string=Audit"}</definedName>
    <definedName name="_21__FDSAUDITLINK__" hidden="1">{"fdsup://Directions/FactSet Auditing Viewer?action=AUDIT_VALUE&amp;DB=129&amp;ID1=87416110&amp;VALUEID=01001&amp;SDATE=200904&amp;PERIODTYPE=QTR_STD&amp;window=popup_no_bar&amp;width=385&amp;height=120&amp;START_MAXIMIZED=FALSE&amp;creator=factset&amp;display_string=Audit"}</definedName>
    <definedName name="_210__FDSAUDITLINK__" hidden="1">{"fdsup://Directions/FactSet Auditing Viewer?action=AUDIT_VALUE&amp;DB=129&amp;ID1=03611510&amp;VALUEID=02101&amp;SDATE=200703&amp;PERIODTYPE=QTR_STD&amp;window=popup_no_bar&amp;width=385&amp;height=120&amp;START_MAXIMIZED=FALSE&amp;creator=factset&amp;display_string=Audit"}</definedName>
    <definedName name="_2100__FDSAUDITLINK__" hidden="1">{"fdsup://Directions/FactSet Auditing Viewer?action=AUDIT_VALUE&amp;DB=129&amp;ID1=58711810&amp;VALUEID=13040&amp;SDATE=200904&amp;PERIODTYPE=QTR_STD&amp;window=popup_no_bar&amp;width=385&amp;height=120&amp;START_MAXIMIZED=FALSE&amp;creator=factset&amp;display_string=Audit"}</definedName>
    <definedName name="_2101__FDSAUDITLINK__" hidden="1">{"fdsup://directions/FAT Viewer?action=UPDATE&amp;creator=factset&amp;DYN_ARGS=TRUE&amp;DOC_NAME=FAT:FQL_AUDITING_CLIENT_TEMPLATE.FAT&amp;display_string=Audit&amp;VAR:KEY=NAVAPYPWTC&amp;VAR:QUERY=RkZfUlRfU0ZfVE9UX0dST1NTKFFUUiwtMSk=&amp;WINDOW=FIRST_POPUP&amp;HEIGHT=450&amp;WIDTH=450&amp;START_MA","XIMIZED=FALSE&amp;VAR:CALENDAR=US&amp;VAR:SYMBOL=MW&amp;VAR:INDEX=0"}</definedName>
    <definedName name="_2102__FDSAUDITLINK__" hidden="1">{"fdsup://Directions/FactSet Auditing Viewer?action=AUDIT_VALUE&amp;DB=129&amp;ID1=03611510&amp;VALUEID=13040&amp;SDATE=200501&amp;PERIODTYPE=QTR_STD&amp;window=popup_no_bar&amp;width=385&amp;height=120&amp;START_MAXIMIZED=FALSE&amp;creator=factset&amp;display_string=Audit"}</definedName>
    <definedName name="_2103__FDSAUDITLINK__" hidden="1">{"fdsup://Directions/FactSet Auditing Viewer?action=AUDIT_VALUE&amp;DB=129&amp;ID1=03611510&amp;VALUEID=13040&amp;SDATE=200502&amp;PERIODTYPE=QTR_STD&amp;window=popup_no_bar&amp;width=385&amp;height=120&amp;START_MAXIMIZED=FALSE&amp;creator=factset&amp;display_string=Audit"}</definedName>
    <definedName name="_2104__FDSAUDITLINK__" hidden="1">{"fdsup://Directions/FactSet Auditing Viewer?action=AUDIT_VALUE&amp;DB=129&amp;ID1=03611510&amp;VALUEID=13040&amp;SDATE=200503&amp;PERIODTYPE=QTR_STD&amp;window=popup_no_bar&amp;width=385&amp;height=120&amp;START_MAXIMIZED=FALSE&amp;creator=factset&amp;display_string=Audit"}</definedName>
    <definedName name="_2105__FDSAUDITLINK__" hidden="1">{"fdsup://Directions/FactSet Auditing Viewer?action=AUDIT_VALUE&amp;DB=129&amp;ID1=03611510&amp;VALUEID=13040&amp;SDATE=200601&amp;PERIODTYPE=QTR_STD&amp;window=popup_no_bar&amp;width=385&amp;height=120&amp;START_MAXIMIZED=FALSE&amp;creator=factset&amp;display_string=Audit"}</definedName>
    <definedName name="_2106__FDSAUDITLINK__" hidden="1">{"fdsup://Directions/FactSet Auditing Viewer?action=AUDIT_VALUE&amp;DB=129&amp;ID1=03611510&amp;VALUEID=02101&amp;SDATE=200601&amp;PERIODTYPE=QTR_STD&amp;window=popup_no_bar&amp;width=385&amp;height=120&amp;START_MAXIMIZED=FALSE&amp;creator=factset&amp;display_string=Audit"}</definedName>
    <definedName name="_2107__FDSAUDITLINK__" hidden="1">{"fdsup://Directions/FactSet Auditing Viewer?action=AUDIT_VALUE&amp;DB=129&amp;ID1=03611510&amp;VALUEID=13040&amp;SDATE=200602&amp;PERIODTYPE=QTR_STD&amp;window=popup_no_bar&amp;width=385&amp;height=120&amp;START_MAXIMIZED=FALSE&amp;creator=factset&amp;display_string=Audit"}</definedName>
    <definedName name="_2108__FDSAUDITLINK__" hidden="1">{"fdsup://Directions/FactSet Auditing Viewer?action=AUDIT_VALUE&amp;DB=129&amp;ID1=03611510&amp;VALUEID=01001&amp;SDATE=200602&amp;PERIODTYPE=QTR_STD&amp;window=popup_no_bar&amp;width=385&amp;height=120&amp;START_MAXIMIZED=FALSE&amp;creator=factset&amp;display_string=Audit"}</definedName>
    <definedName name="_2109__FDSAUDITLINK__" hidden="1">{"fdsup://Directions/FactSet Auditing Viewer?action=AUDIT_VALUE&amp;DB=129&amp;ID1=03611510&amp;VALUEID=02101&amp;SDATE=200602&amp;PERIODTYPE=QTR_STD&amp;window=popup_no_bar&amp;width=385&amp;height=120&amp;START_MAXIMIZED=FALSE&amp;creator=factset&amp;display_string=Audit"}</definedName>
    <definedName name="_211__FDSAUDITLINK__" hidden="1">{"fdsup://Directions/FactSet Auditing Viewer?action=AUDIT_VALUE&amp;DB=129&amp;ID1=03611510&amp;VALUEID=01001&amp;SDATE=200703&amp;PERIODTYPE=QTR_STD&amp;window=popup_no_bar&amp;width=385&amp;height=120&amp;START_MAXIMIZED=FALSE&amp;creator=factset&amp;display_string=Audit"}</definedName>
    <definedName name="_2110__FDSAUDITLINK__" hidden="1">{"fdsup://Directions/FactSet Auditing Viewer?action=AUDIT_VALUE&amp;DB=129&amp;ID1=03611510&amp;VALUEID=13040&amp;SDATE=200603&amp;PERIODTYPE=QTR_STD&amp;window=popup_no_bar&amp;width=385&amp;height=120&amp;START_MAXIMIZED=FALSE&amp;creator=factset&amp;display_string=Audit"}</definedName>
    <definedName name="_2111__FDSAUDITLINK__" hidden="1">{"fdsup://Directions/FactSet Auditing Viewer?action=AUDIT_VALUE&amp;DB=129&amp;ID1=03611510&amp;VALUEID=01001&amp;SDATE=200603&amp;PERIODTYPE=QTR_STD&amp;window=popup_no_bar&amp;width=385&amp;height=120&amp;START_MAXIMIZED=FALSE&amp;creator=factset&amp;display_string=Audit"}</definedName>
    <definedName name="_2112__FDSAUDITLINK__" hidden="1">{"fdsup://Directions/FactSet Auditing Viewer?action=AUDIT_VALUE&amp;DB=129&amp;ID1=03611510&amp;VALUEID=02101&amp;SDATE=200603&amp;PERIODTYPE=QTR_STD&amp;window=popup_no_bar&amp;width=385&amp;height=120&amp;START_MAXIMIZED=FALSE&amp;creator=factset&amp;display_string=Audit"}</definedName>
    <definedName name="_2113__FDSAUDITLINK__" hidden="1">{"fdsup://Directions/FactSet Auditing Viewer?action=AUDIT_VALUE&amp;DB=129&amp;ID1=03611510&amp;VALUEID=01001&amp;SDATE=200604&amp;PERIODTYPE=QTR_STD&amp;window=popup_no_bar&amp;width=385&amp;height=120&amp;START_MAXIMIZED=FALSE&amp;creator=factset&amp;display_string=Audit"}</definedName>
    <definedName name="_2114__FDSAUDITLINK__" hidden="1">{"fdsup://Directions/FactSet Auditing Viewer?action=AUDIT_VALUE&amp;DB=129&amp;ID1=03611510&amp;VALUEID=13040&amp;SDATE=200701&amp;PERIODTYPE=QTR_STD&amp;window=popup_no_bar&amp;width=385&amp;height=120&amp;START_MAXIMIZED=FALSE&amp;creator=factset&amp;display_string=Audit"}</definedName>
    <definedName name="_2115__FDSAUDITLINK__" hidden="1">{"fdsup://Directions/FactSet Auditing Viewer?action=AUDIT_VALUE&amp;DB=129&amp;ID1=03611510&amp;VALUEID=01001&amp;SDATE=200701&amp;PERIODTYPE=QTR_STD&amp;window=popup_no_bar&amp;width=385&amp;height=120&amp;START_MAXIMIZED=FALSE&amp;creator=factset&amp;display_string=Audit"}</definedName>
    <definedName name="_2116__FDSAUDITLINK__" hidden="1">{"fdsup://Directions/FactSet Auditing Viewer?action=AUDIT_VALUE&amp;DB=129&amp;ID1=03611510&amp;VALUEID=02101&amp;SDATE=200701&amp;PERIODTYPE=QTR_STD&amp;window=popup_no_bar&amp;width=385&amp;height=120&amp;START_MAXIMIZED=FALSE&amp;creator=factset&amp;display_string=Audit"}</definedName>
    <definedName name="_2117__FDSAUDITLINK__" hidden="1">{"fdsup://Directions/FactSet Auditing Viewer?action=AUDIT_VALUE&amp;DB=129&amp;ID1=03611510&amp;VALUEID=13040&amp;SDATE=200702&amp;PERIODTYPE=QTR_STD&amp;window=popup_no_bar&amp;width=385&amp;height=120&amp;START_MAXIMIZED=FALSE&amp;creator=factset&amp;display_string=Audit"}</definedName>
    <definedName name="_2118__FDSAUDITLINK__" hidden="1">{"fdsup://Directions/FactSet Auditing Viewer?action=AUDIT_VALUE&amp;DB=129&amp;ID1=03611510&amp;VALUEID=01001&amp;SDATE=200702&amp;PERIODTYPE=QTR_STD&amp;window=popup_no_bar&amp;width=385&amp;height=120&amp;START_MAXIMIZED=FALSE&amp;creator=factset&amp;display_string=Audit"}</definedName>
    <definedName name="_2119__FDSAUDITLINK__" hidden="1">{"fdsup://Directions/FactSet Auditing Viewer?action=AUDIT_VALUE&amp;DB=129&amp;ID1=03611510&amp;VALUEID=02101&amp;SDATE=200702&amp;PERIODTYPE=QTR_STD&amp;window=popup_no_bar&amp;width=385&amp;height=120&amp;START_MAXIMIZED=FALSE&amp;creator=factset&amp;display_string=Audit"}</definedName>
    <definedName name="_212__FDSAUDITLINK__" hidden="1">{"fdsup://Directions/FactSet Auditing Viewer?action=AUDIT_VALUE&amp;DB=129&amp;ID1=03611510&amp;VALUEID=13040&amp;SDATE=200703&amp;PERIODTYPE=QTR_STD&amp;window=popup_no_bar&amp;width=385&amp;height=120&amp;START_MAXIMIZED=FALSE&amp;creator=factset&amp;display_string=Audit"}</definedName>
    <definedName name="_2120__FDSAUDITLINK__" hidden="1">{"fdsup://Directions/FactSet Auditing Viewer?action=AUDIT_VALUE&amp;DB=129&amp;ID1=03611510&amp;VALUEID=13040&amp;SDATE=200703&amp;PERIODTYPE=QTR_STD&amp;window=popup_no_bar&amp;width=385&amp;height=120&amp;START_MAXIMIZED=FALSE&amp;creator=factset&amp;display_string=Audit"}</definedName>
    <definedName name="_2121__FDSAUDITLINK__" hidden="1">{"fdsup://Directions/FactSet Auditing Viewer?action=AUDIT_VALUE&amp;DB=129&amp;ID1=03611510&amp;VALUEID=01001&amp;SDATE=200703&amp;PERIODTYPE=QTR_STD&amp;window=popup_no_bar&amp;width=385&amp;height=120&amp;START_MAXIMIZED=FALSE&amp;creator=factset&amp;display_string=Audit"}</definedName>
    <definedName name="_2122__FDSAUDITLINK__" hidden="1">{"fdsup://Directions/FactSet Auditing Viewer?action=AUDIT_VALUE&amp;DB=129&amp;ID1=03611510&amp;VALUEID=02101&amp;SDATE=200703&amp;PERIODTYPE=QTR_STD&amp;window=popup_no_bar&amp;width=385&amp;height=120&amp;START_MAXIMIZED=FALSE&amp;creator=factset&amp;display_string=Audit"}</definedName>
    <definedName name="_2123__FDSAUDITLINK__" hidden="1">{"fdsup://Directions/FactSet Auditing Viewer?action=AUDIT_VALUE&amp;DB=129&amp;ID1=03611510&amp;VALUEID=13040&amp;SDATE=200704&amp;PERIODTYPE=QTR_STD&amp;window=popup_no_bar&amp;width=385&amp;height=120&amp;START_MAXIMIZED=FALSE&amp;creator=factset&amp;display_string=Audit"}</definedName>
    <definedName name="_2124__FDSAUDITLINK__" hidden="1">{"fdsup://Directions/FactSet Auditing Viewer?action=AUDIT_VALUE&amp;DB=129&amp;ID1=03611510&amp;VALUEID=01001&amp;SDATE=200704&amp;PERIODTYPE=QTR_STD&amp;window=popup_no_bar&amp;width=385&amp;height=120&amp;START_MAXIMIZED=FALSE&amp;creator=factset&amp;display_string=Audit"}</definedName>
    <definedName name="_2125__FDSAUDITLINK__" hidden="1">{"fdsup://Directions/FactSet Auditing Viewer?action=AUDIT_VALUE&amp;DB=129&amp;ID1=03611510&amp;VALUEID=13040&amp;SDATE=200801&amp;PERIODTYPE=QTR_STD&amp;window=popup_no_bar&amp;width=385&amp;height=120&amp;START_MAXIMIZED=FALSE&amp;creator=factset&amp;display_string=Audit"}</definedName>
    <definedName name="_2126__FDSAUDITLINK__" hidden="1">{"fdsup://Directions/FactSet Auditing Viewer?action=AUDIT_VALUE&amp;DB=129&amp;ID1=03611510&amp;VALUEID=01001&amp;SDATE=200801&amp;PERIODTYPE=QTR_STD&amp;window=popup_no_bar&amp;width=385&amp;height=120&amp;START_MAXIMIZED=FALSE&amp;creator=factset&amp;display_string=Audit"}</definedName>
    <definedName name="_2127__FDSAUDITLINK__" hidden="1">{"fdsup://Directions/FactSet Auditing Viewer?action=AUDIT_VALUE&amp;DB=129&amp;ID1=03611510&amp;VALUEID=02101&amp;SDATE=200801&amp;PERIODTYPE=QTR_STD&amp;window=popup_no_bar&amp;width=385&amp;height=120&amp;START_MAXIMIZED=FALSE&amp;creator=factset&amp;display_string=Audit"}</definedName>
    <definedName name="_2128__FDSAUDITLINK__" hidden="1">{"fdsup://Directions/FactSet Auditing Viewer?action=AUDIT_VALUE&amp;DB=129&amp;ID1=03611510&amp;VALUEID=01001&amp;SDATE=200802&amp;PERIODTYPE=QTR_STD&amp;window=popup_no_bar&amp;width=385&amp;height=120&amp;START_MAXIMIZED=FALSE&amp;creator=factset&amp;display_string=Audit"}</definedName>
    <definedName name="_2129__FDSAUDITLINK__" hidden="1">{"fdsup://Directions/FactSet Auditing Viewer?action=AUDIT_VALUE&amp;DB=129&amp;ID1=03611510&amp;VALUEID=02101&amp;SDATE=200802&amp;PERIODTYPE=QTR_STD&amp;window=popup_no_bar&amp;width=385&amp;height=120&amp;START_MAXIMIZED=FALSE&amp;creator=factset&amp;display_string=Audit"}</definedName>
    <definedName name="_213__FDSAUDITLINK__" hidden="1">{"fdsup://Directions/FactSet Auditing Viewer?action=AUDIT_VALUE&amp;DB=129&amp;ID1=16890510&amp;VALUEID=02101&amp;SDATE=200703&amp;PERIODTYPE=QTR_STD&amp;window=popup_no_bar&amp;width=385&amp;height=120&amp;START_MAXIMIZED=FALSE&amp;creator=factset&amp;display_string=Audit"}</definedName>
    <definedName name="_2130__FDSAUDITLINK__" hidden="1">{"fdsup://Directions/FactSet Auditing Viewer?action=AUDIT_VALUE&amp;DB=129&amp;ID1=03611510&amp;VALUEID=01001&amp;SDATE=200803&amp;PERIODTYPE=QTR_STD&amp;window=popup_no_bar&amp;width=385&amp;height=120&amp;START_MAXIMIZED=FALSE&amp;creator=factset&amp;display_string=Audit"}</definedName>
    <definedName name="_2131__FDSAUDITLINK__" hidden="1">{"fdsup://Directions/FactSet Auditing Viewer?action=AUDIT_VALUE&amp;DB=129&amp;ID1=03611510&amp;VALUEID=02101&amp;SDATE=200803&amp;PERIODTYPE=QTR_STD&amp;window=popup_no_bar&amp;width=385&amp;height=120&amp;START_MAXIMIZED=FALSE&amp;creator=factset&amp;display_string=Audit"}</definedName>
    <definedName name="_2132__FDSAUDITLINK__" hidden="1">{"fdsup://Directions/FactSet Auditing Viewer?action=AUDIT_VALUE&amp;DB=129&amp;ID1=03611510&amp;VALUEID=01001&amp;SDATE=200804&amp;PERIODTYPE=QTR_STD&amp;window=popup_no_bar&amp;width=385&amp;height=120&amp;START_MAXIMIZED=FALSE&amp;creator=factset&amp;display_string=Audit"}</definedName>
    <definedName name="_2133__FDSAUDITLINK__" hidden="1">{"fdsup://Directions/FactSet Auditing Viewer?action=AUDIT_VALUE&amp;DB=129&amp;ID1=03611510&amp;VALUEID=01001&amp;SDATE=200901&amp;PERIODTYPE=QTR_STD&amp;window=popup_no_bar&amp;width=385&amp;height=120&amp;START_MAXIMIZED=FALSE&amp;creator=factset&amp;display_string=Audit"}</definedName>
    <definedName name="_2134__FDSAUDITLINK__" hidden="1">{"fdsup://Directions/FactSet Auditing Viewer?action=AUDIT_VALUE&amp;DB=129&amp;ID1=03611510&amp;VALUEID=02101&amp;SDATE=200901&amp;PERIODTYPE=QTR_STD&amp;window=popup_no_bar&amp;width=385&amp;height=120&amp;START_MAXIMIZED=FALSE&amp;creator=factset&amp;display_string=Audit"}</definedName>
    <definedName name="_2135__FDSAUDITLINK__" hidden="1">{"fdsup://Directions/FactSet Auditing Viewer?action=AUDIT_VALUE&amp;DB=129&amp;ID1=03611510&amp;VALUEID=13040&amp;SDATE=200902&amp;PERIODTYPE=QTR_STD&amp;window=popup_no_bar&amp;width=385&amp;height=120&amp;START_MAXIMIZED=FALSE&amp;creator=factset&amp;display_string=Audit"}</definedName>
    <definedName name="_2136__FDSAUDITLINK__" hidden="1">{"fdsup://Directions/FactSet Auditing Viewer?action=AUDIT_VALUE&amp;DB=129&amp;ID1=03611510&amp;VALUEID=01001&amp;SDATE=200902&amp;PERIODTYPE=QTR_STD&amp;window=popup_no_bar&amp;width=385&amp;height=120&amp;START_MAXIMIZED=FALSE&amp;creator=factset&amp;display_string=Audit"}</definedName>
    <definedName name="_2137__FDSAUDITLINK__" hidden="1">{"fdsup://Directions/FactSet Auditing Viewer?action=AUDIT_VALUE&amp;DB=129&amp;ID1=03611510&amp;VALUEID=02101&amp;SDATE=200902&amp;PERIODTYPE=QTR_STD&amp;window=popup_no_bar&amp;width=385&amp;height=120&amp;START_MAXIMIZED=FALSE&amp;creator=factset&amp;display_string=Audit"}</definedName>
    <definedName name="_2138__FDSAUDITLINK__" hidden="1">{"fdsup://Directions/FactSet Auditing Viewer?action=AUDIT_VALUE&amp;DB=129&amp;ID1=03611510&amp;VALUEID=13040&amp;SDATE=200903&amp;PERIODTYPE=QTR_STD&amp;window=popup_no_bar&amp;width=385&amp;height=120&amp;START_MAXIMIZED=FALSE&amp;creator=factset&amp;display_string=Audit"}</definedName>
    <definedName name="_2139__FDSAUDITLINK__" hidden="1">{"fdsup://Directions/FactSet Auditing Viewer?action=AUDIT_VALUE&amp;DB=129&amp;ID1=03611510&amp;VALUEID=01001&amp;SDATE=200903&amp;PERIODTYPE=QTR_STD&amp;window=popup_no_bar&amp;width=385&amp;height=120&amp;START_MAXIMIZED=FALSE&amp;creator=factset&amp;display_string=Audit"}</definedName>
    <definedName name="_214__FDSAUDITLINK__" hidden="1">{"fdsup://Directions/FactSet Auditing Viewer?action=AUDIT_VALUE&amp;DB=129&amp;ID1=16890510&amp;VALUEID=01001&amp;SDATE=200703&amp;PERIODTYPE=QTR_STD&amp;window=popup_no_bar&amp;width=385&amp;height=120&amp;START_MAXIMIZED=FALSE&amp;creator=factset&amp;display_string=Audit"}</definedName>
    <definedName name="_2140__FDSAUDITLINK__" hidden="1">{"fdsup://Directions/FactSet Auditing Viewer?action=AUDIT_VALUE&amp;DB=129&amp;ID1=03611510&amp;VALUEID=02101&amp;SDATE=200903&amp;PERIODTYPE=QTR_STD&amp;window=popup_no_bar&amp;width=385&amp;height=120&amp;START_MAXIMIZED=FALSE&amp;creator=factset&amp;display_string=Audit"}</definedName>
    <definedName name="_2141__FDSAUDITLINK__" hidden="1">{"fdsup://Directions/FactSet Auditing Viewer?action=AUDIT_VALUE&amp;DB=129&amp;ID1=03611510&amp;VALUEID=01001&amp;SDATE=200904&amp;PERIODTYPE=QTR_STD&amp;window=popup_no_bar&amp;width=385&amp;height=120&amp;START_MAXIMIZED=FALSE&amp;creator=factset&amp;display_string=Audit"}</definedName>
    <definedName name="_2142__FDSAUDITLINK__" hidden="1">{"fdsup://Directions/FactSet Auditing Viewer?action=AUDIT_VALUE&amp;DB=129&amp;ID1=03611510&amp;VALUEID=13040&amp;SDATE=201001&amp;PERIODTYPE=QTR_STD&amp;window=popup_no_bar&amp;width=385&amp;height=120&amp;START_MAXIMIZED=FALSE&amp;creator=factset&amp;display_string=Audit"}</definedName>
    <definedName name="_2143__FDSAUDITLINK__" hidden="1">{"fdsup://Directions/FactSet Auditing Viewer?action=AUDIT_VALUE&amp;DB=129&amp;ID1=03611510&amp;VALUEID=01001&amp;SDATE=201001&amp;PERIODTYPE=QTR_STD&amp;window=popup_no_bar&amp;width=385&amp;height=120&amp;START_MAXIMIZED=FALSE&amp;creator=factset&amp;display_string=Audit"}</definedName>
    <definedName name="_2144__FDSAUDITLINK__" hidden="1">{"fdsup://Directions/FactSet Auditing Viewer?action=AUDIT_VALUE&amp;DB=129&amp;ID1=03611510&amp;VALUEID=02101&amp;SDATE=201001&amp;PERIODTYPE=QTR_STD&amp;window=popup_no_bar&amp;width=385&amp;height=120&amp;START_MAXIMIZED=FALSE&amp;creator=factset&amp;display_string=Audit"}</definedName>
    <definedName name="_2145__FDSAUDITLINK__" hidden="1">{"fdsup://Directions/FactSet Auditing Viewer?action=AUDIT_VALUE&amp;DB=129&amp;ID1=87416110&amp;VALUEID=02101&amp;SDATE=201001&amp;PERIODTYPE=QTR_STD&amp;window=popup_no_bar&amp;width=385&amp;height=120&amp;START_MAXIMIZED=FALSE&amp;creator=factset&amp;display_string=Audit"}</definedName>
    <definedName name="_2146__FDSAUDITLINK__" hidden="1">{"fdsup://Directions/FactSet Auditing Viewer?action=AUDIT_VALUE&amp;DB=129&amp;ID1=87416110&amp;VALUEID=13040&amp;SDATE=201001&amp;PERIODTYPE=QTR_STD&amp;window=popup_no_bar&amp;width=385&amp;height=120&amp;START_MAXIMIZED=FALSE&amp;creator=factset&amp;display_string=Audit"}</definedName>
    <definedName name="_2147__FDSAUDITLINK__" hidden="1">{"fdsup://directions/FAT Viewer?action=UPDATE&amp;creator=factset&amp;DYN_ARGS=TRUE&amp;DOC_NAME=FAT:FQL_AUDITING_CLIENT_TEMPLATE.FAT&amp;display_string=Audit&amp;VAR:KEY=FSTUHMJIBA&amp;VAR:QUERY=RkZfUlRfU0ZfVE9UX0dST1NTKFFUUiwwKQ==&amp;WINDOW=FIRST_POPUP&amp;HEIGHT=450&amp;WIDTH=450&amp;START_MA","XIMIZED=FALSE&amp;VAR:CALENDAR=US&amp;VAR:SYMBOL=TLB&amp;VAR:INDEX=0"}</definedName>
    <definedName name="_2148__FDSAUDITLINK__" hidden="1">{"fdsup://Directions/FactSet Auditing Viewer?action=AUDIT_VALUE&amp;DB=129&amp;ID1=53271610&amp;VALUEID=02101&amp;SDATE=201001&amp;PERIODTYPE=QTR_STD&amp;window=popup_no_bar&amp;width=385&amp;height=120&amp;START_MAXIMIZED=FALSE&amp;creator=factset&amp;display_string=Audit"}</definedName>
    <definedName name="_2149__FDSAUDITLINK__" hidden="1">{"fdsup://Directions/FactSet Auditing Viewer?action=AUDIT_VALUE&amp;DB=129&amp;ID1=53271610&amp;VALUEID=13040&amp;SDATE=201001&amp;PERIODTYPE=QTR_STD&amp;window=popup_no_bar&amp;width=385&amp;height=120&amp;START_MAXIMIZED=FALSE&amp;creator=factset&amp;display_string=Audit"}</definedName>
    <definedName name="_215__FDSAUDITLINK__" hidden="1">{"fdsup://Directions/FactSet Auditing Viewer?action=AUDIT_VALUE&amp;DB=129&amp;ID1=91704710&amp;VALUEID=02101&amp;SDATE=200703&amp;PERIODTYPE=QTR_STD&amp;window=popup_no_bar&amp;width=385&amp;height=120&amp;START_MAXIMIZED=FALSE&amp;creator=factset&amp;display_string=Audit"}</definedName>
    <definedName name="_2150__FDSAUDITLINK__" hidden="1">{"fdsup://Directions/FactSet Auditing Viewer?action=AUDIT_VALUE&amp;DB=129&amp;ID1=46612H40&amp;VALUEID=02101&amp;SDATE=201001&amp;PERIODTYPE=QTR_STD&amp;window=popup_no_bar&amp;width=385&amp;height=120&amp;START_MAXIMIZED=FALSE&amp;creator=factset&amp;display_string=Audit"}</definedName>
    <definedName name="_2151__FDSAUDITLINK__" hidden="1">{"fdsup://Directions/FactSet Auditing Viewer?action=AUDIT_VALUE&amp;DB=129&amp;ID1=46612H40&amp;VALUEID=13040&amp;SDATE=201001&amp;PERIODTYPE=QTR_STD&amp;window=popup_no_bar&amp;width=385&amp;height=120&amp;START_MAXIMIZED=FALSE&amp;creator=factset&amp;display_string=Audit"}</definedName>
    <definedName name="_2152__FDSAUDITLINK__" hidden="1">{"fdsup://Directions/FactSet Auditing Viewer?action=AUDIT_VALUE&amp;DB=129&amp;ID1=36476010&amp;VALUEID=02101&amp;SDATE=201001&amp;PERIODTYPE=QTR_STD&amp;window=popup_no_bar&amp;width=385&amp;height=120&amp;START_MAXIMIZED=FALSE&amp;creator=factset&amp;display_string=Audit"}</definedName>
    <definedName name="_2153__FDSAUDITLINK__" hidden="1">{"fdsup://Directions/FactSet Auditing Viewer?action=AUDIT_VALUE&amp;DB=129&amp;ID1=36476010&amp;VALUEID=13040&amp;SDATE=201001&amp;PERIODTYPE=QTR_STD&amp;window=popup_no_bar&amp;width=385&amp;height=120&amp;START_MAXIMIZED=FALSE&amp;creator=factset&amp;display_string=Audit"}</definedName>
    <definedName name="_2154__FDSAUDITLINK__" hidden="1">{"fdsup://Directions/FactSet Auditing Viewer?action=AUDIT_VALUE&amp;DB=129&amp;ID1=03611510&amp;VALUEID=02101&amp;SDATE=201001&amp;PERIODTYPE=QTR_STD&amp;window=popup_no_bar&amp;width=385&amp;height=120&amp;START_MAXIMIZED=FALSE&amp;creator=factset&amp;display_string=Audit"}</definedName>
    <definedName name="_2155__FDSAUDITLINK__" hidden="1">{"fdsup://Directions/FactSet Auditing Viewer?action=AUDIT_VALUE&amp;DB=129&amp;ID1=03611510&amp;VALUEID=13040&amp;SDATE=201001&amp;PERIODTYPE=QTR_STD&amp;window=popup_no_bar&amp;width=385&amp;height=120&amp;START_MAXIMIZED=FALSE&amp;creator=factset&amp;display_string=Audit"}</definedName>
    <definedName name="_2156__FDSAUDITLINK__" hidden="1">{"fdsup://Directions/FactSet Auditing Viewer?action=AUDIT_VALUE&amp;DB=129&amp;ID1=16890510&amp;VALUEID=02101&amp;SDATE=201001&amp;PERIODTYPE=QTR_STD&amp;window=popup_no_bar&amp;width=385&amp;height=120&amp;START_MAXIMIZED=FALSE&amp;creator=factset&amp;display_string=Audit"}</definedName>
    <definedName name="_2157__FDSAUDITLINK__" hidden="1">{"fdsup://Directions/FactSet Auditing Viewer?action=AUDIT_VALUE&amp;DB=129&amp;ID1=91704710&amp;VALUEID=02101&amp;SDATE=201001&amp;PERIODTYPE=QTR_STD&amp;window=popup_no_bar&amp;width=385&amp;height=120&amp;START_MAXIMIZED=FALSE&amp;creator=factset&amp;display_string=Audit"}</definedName>
    <definedName name="_2158__FDSAUDITLINK__" hidden="1">{"fdsup://Directions/FactSet Auditing Viewer?action=AUDIT_VALUE&amp;DB=129&amp;ID1=91704710&amp;VALUEID=13040&amp;SDATE=201001&amp;PERIODTYPE=QTR_STD&amp;window=popup_no_bar&amp;width=385&amp;height=120&amp;START_MAXIMIZED=FALSE&amp;creator=factset&amp;display_string=Audit"}</definedName>
    <definedName name="_2159__FDSAUDITLINK__" hidden="1">{"fdsup://Directions/FactSet Auditing Viewer?action=AUDIT_VALUE&amp;DB=129&amp;ID1=02553E10&amp;VALUEID=02101&amp;SDATE=201001&amp;PERIODTYPE=QTR_STD&amp;window=popup_no_bar&amp;width=385&amp;height=120&amp;START_MAXIMIZED=FALSE&amp;creator=factset&amp;display_string=Audit"}</definedName>
    <definedName name="_216__FDSAUDITLINK__" hidden="1">{"fdsup://Directions/FactSet Auditing Viewer?action=AUDIT_VALUE&amp;DB=129&amp;ID1=91704710&amp;VALUEID=01001&amp;SDATE=200703&amp;PERIODTYPE=QTR_STD&amp;window=popup_no_bar&amp;width=385&amp;height=120&amp;START_MAXIMIZED=FALSE&amp;creator=factset&amp;display_string=Audit"}</definedName>
    <definedName name="_2160__FDSAUDITLINK__" hidden="1">{"fdsup://Directions/FactSet Auditing Viewer?action=AUDIT_VALUE&amp;DB=129&amp;ID1=02553E10&amp;VALUEID=13040&amp;SDATE=201001&amp;PERIODTYPE=QTR_STD&amp;window=popup_no_bar&amp;width=385&amp;height=120&amp;START_MAXIMIZED=FALSE&amp;creator=factset&amp;display_string=Audit"}</definedName>
    <definedName name="_2161__FDSAUDITLINK__" hidden="1">{"fdsup://Directions/FactSet Auditing Viewer?action=AUDIT_VALUE&amp;DB=129&amp;ID1=00786510&amp;VALUEID=02101&amp;SDATE=201001&amp;PERIODTYPE=QTR_STD&amp;window=popup_no_bar&amp;width=385&amp;height=120&amp;START_MAXIMIZED=FALSE&amp;creator=factset&amp;display_string=Audit"}</definedName>
    <definedName name="_2162__FDSAUDITLINK__" hidden="1">{"fdsup://Directions/FactSet Auditing Viewer?action=AUDIT_VALUE&amp;DB=129&amp;ID1=00786510&amp;VALUEID=13040&amp;SDATE=201001&amp;PERIODTYPE=QTR_STD&amp;window=popup_no_bar&amp;width=385&amp;height=120&amp;START_MAXIMIZED=FALSE&amp;creator=factset&amp;display_string=Audit"}</definedName>
    <definedName name="_2163__FDSAUDITLINK__" hidden="1">{"fdsup://Directions/FactSet Auditing Viewer?action=AUDIT_VALUE&amp;DB=129&amp;ID1=00289620&amp;VALUEID=02101&amp;SDATE=201001&amp;PERIODTYPE=QTR_STD&amp;window=popup_no_bar&amp;width=385&amp;height=120&amp;START_MAXIMIZED=FALSE&amp;creator=factset&amp;display_string=Audit"}</definedName>
    <definedName name="_2164__FDSAUDITLINK__" hidden="1">{"fdsup://Directions/FactSet Auditing Viewer?action=AUDIT_VALUE&amp;DB=129&amp;ID1=00289620&amp;VALUEID=13040&amp;SDATE=201001&amp;PERIODTYPE=QTR_STD&amp;window=popup_no_bar&amp;width=385&amp;height=120&amp;START_MAXIMIZED=FALSE&amp;creator=factset&amp;display_string=Audit"}</definedName>
    <definedName name="_2165__FDSAUDITLINK__" hidden="1">{"fdsup://Directions/FactSet Auditing Viewer?action=AUDIT_VALUE&amp;DB=129&amp;ID1=87416110&amp;VALUEID=01001&amp;SDATE=200904&amp;PERIODTYPE=QTR_STD&amp;window=popup_no_bar&amp;width=385&amp;height=120&amp;START_MAXIMIZED=FALSE&amp;creator=factset&amp;display_string=Audit"}</definedName>
    <definedName name="_2166__FDSAUDITLINK__" hidden="1">{"fdsup://directions/FAT Viewer?action=UPDATE&amp;creator=factset&amp;DYN_ARGS=TRUE&amp;DOC_NAME=FAT:FQL_AUDITING_CLIENT_TEMPLATE.FAT&amp;display_string=Audit&amp;VAR:KEY=BIFCDOPIRG&amp;VAR:QUERY=RkZfUlRfU0ZfVE9UX0dST1NTKFFUUiwtMSk=&amp;WINDOW=FIRST_POPUP&amp;HEIGHT=450&amp;WIDTH=450&amp;START_MA","XIMIZED=FALSE&amp;VAR:CALENDAR=US&amp;VAR:SYMBOL=TLB&amp;VAR:INDEX=0"}</definedName>
    <definedName name="_2167__FDSAUDITLINK__" hidden="1">{"fdsup://Directions/FactSet Auditing Viewer?action=AUDIT_VALUE&amp;DB=129&amp;ID1=46612H40&amp;VALUEID=01001&amp;SDATE=200904&amp;PERIODTYPE=QTR_STD&amp;window=popup_no_bar&amp;width=385&amp;height=120&amp;START_MAXIMIZED=FALSE&amp;creator=factset&amp;display_string=Audit"}</definedName>
    <definedName name="_2168__FDSAUDITLINK__" hidden="1">{"fdsup://Directions/FactSet Auditing Viewer?action=AUDIT_VALUE&amp;DB=129&amp;ID1=36476010&amp;VALUEID=01001&amp;SDATE=200904&amp;PERIODTYPE=QTR_STD&amp;window=popup_no_bar&amp;width=385&amp;height=120&amp;START_MAXIMIZED=FALSE&amp;creator=factset&amp;display_string=Audit"}</definedName>
    <definedName name="_2169__FDSAUDITLINK__" hidden="1">{"fdsup://Directions/FactSet Auditing Viewer?action=AUDIT_VALUE&amp;DB=129&amp;ID1=03611510&amp;VALUEID=01001&amp;SDATE=200904&amp;PERIODTYPE=QTR_STD&amp;window=popup_no_bar&amp;width=385&amp;height=120&amp;START_MAXIMIZED=FALSE&amp;creator=factset&amp;display_string=Audit"}</definedName>
    <definedName name="_217__FDSAUDITLINK__" hidden="1">{"fdsup://Directions/FactSet Auditing Viewer?action=AUDIT_VALUE&amp;DB=129&amp;ID1=91704710&amp;VALUEID=13040&amp;SDATE=200703&amp;PERIODTYPE=QTR_STD&amp;window=popup_no_bar&amp;width=385&amp;height=120&amp;START_MAXIMIZED=FALSE&amp;creator=factset&amp;display_string=Audit"}</definedName>
    <definedName name="_2170__FDSAUDITLINK__" hidden="1">{"fdsup://Directions/FactSet Auditing Viewer?action=AUDIT_VALUE&amp;DB=129&amp;ID1=16890510&amp;VALUEID=01001&amp;SDATE=200904&amp;PERIODTYPE=QTR_STD&amp;window=popup_no_bar&amp;width=385&amp;height=120&amp;START_MAXIMIZED=FALSE&amp;creator=factset&amp;display_string=Audit"}</definedName>
    <definedName name="_2171__FDSAUDITLINK__" hidden="1">{"fdsup://Directions/FactSet Auditing Viewer?action=AUDIT_VALUE&amp;DB=129&amp;ID1=91704710&amp;VALUEID=01001&amp;SDATE=200904&amp;PERIODTYPE=QTR_STD&amp;window=popup_no_bar&amp;width=385&amp;height=120&amp;START_MAXIMIZED=FALSE&amp;creator=factset&amp;display_string=Audit"}</definedName>
    <definedName name="_2172__FDSAUDITLINK__" hidden="1">{"fdsup://Directions/FactSet Auditing Viewer?action=AUDIT_VALUE&amp;DB=129&amp;ID1=02553E10&amp;VALUEID=01001&amp;SDATE=200904&amp;PERIODTYPE=QTR_STD&amp;window=popup_no_bar&amp;width=385&amp;height=120&amp;START_MAXIMIZED=FALSE&amp;creator=factset&amp;display_string=Audit"}</definedName>
    <definedName name="_2173__FDSAUDITLINK__" hidden="1">{"fdsup://Directions/FactSet Auditing Viewer?action=AUDIT_VALUE&amp;DB=129&amp;ID1=00786510&amp;VALUEID=01001&amp;SDATE=200904&amp;PERIODTYPE=QTR_STD&amp;window=popup_no_bar&amp;width=385&amp;height=120&amp;START_MAXIMIZED=FALSE&amp;creator=factset&amp;display_string=Audit"}</definedName>
    <definedName name="_2174__FDSAUDITLINK__" hidden="1">{"fdsup://Directions/FactSet Auditing Viewer?action=AUDIT_VALUE&amp;DB=129&amp;ID1=87416110&amp;VALUEID=02101&amp;SDATE=200903&amp;PERIODTYPE=QTR_STD&amp;window=popup_no_bar&amp;width=385&amp;height=120&amp;START_MAXIMIZED=FALSE&amp;creator=factset&amp;display_string=Audit"}</definedName>
    <definedName name="_2175__FDSAUDITLINK__" hidden="1">{"fdsup://Directions/FactSet Auditing Viewer?action=AUDIT_VALUE&amp;DB=129&amp;ID1=87416110&amp;VALUEID=01001&amp;SDATE=200903&amp;PERIODTYPE=QTR_STD&amp;window=popup_no_bar&amp;width=385&amp;height=120&amp;START_MAXIMIZED=FALSE&amp;creator=factset&amp;display_string=Audit"}</definedName>
    <definedName name="_2176__FDSAUDITLINK__" hidden="1">{"fdsup://Directions/FactSet Auditing Viewer?action=AUDIT_VALUE&amp;DB=129&amp;ID1=87416110&amp;VALUEID=13040&amp;SDATE=200903&amp;PERIODTYPE=QTR_STD&amp;window=popup_no_bar&amp;width=385&amp;height=120&amp;START_MAXIMIZED=FALSE&amp;creator=factset&amp;display_string=Audit"}</definedName>
    <definedName name="_2177__FDSAUDITLINK__" hidden="1">{"fdsup://directions/FAT Viewer?action=UPDATE&amp;creator=factset&amp;DYN_ARGS=TRUE&amp;DOC_NAME=FAT:FQL_AUDITING_CLIENT_TEMPLATE.FAT&amp;display_string=Audit&amp;VAR:KEY=XAZODYBEXK&amp;VAR:QUERY=RkZfUlRfU0ZfVE9UX0dST1NTKFFUUiwtMik=&amp;WINDOW=FIRST_POPUP&amp;HEIGHT=450&amp;WIDTH=450&amp;START_MA","XIMIZED=FALSE&amp;VAR:CALENDAR=US&amp;VAR:SYMBOL=TLB&amp;VAR:INDEX=0"}</definedName>
    <definedName name="_2178__FDSAUDITLINK__" hidden="1">{"fdsup://Directions/FactSet Auditing Viewer?action=AUDIT_VALUE&amp;DB=129&amp;ID1=53271610&amp;VALUEID=02101&amp;SDATE=200903&amp;PERIODTYPE=QTR_STD&amp;window=popup_no_bar&amp;width=385&amp;height=120&amp;START_MAXIMIZED=FALSE&amp;creator=factset&amp;display_string=Audit"}</definedName>
    <definedName name="_2179__FDSAUDITLINK__" hidden="1">{"fdsup://Directions/FactSet Auditing Viewer?action=AUDIT_VALUE&amp;DB=129&amp;ID1=53271610&amp;VALUEID=01001&amp;SDATE=200903&amp;PERIODTYPE=QTR_STD&amp;window=popup_no_bar&amp;width=385&amp;height=120&amp;START_MAXIMIZED=FALSE&amp;creator=factset&amp;display_string=Audit"}</definedName>
    <definedName name="_218__FDSAUDITLINK__" hidden="1">{"fdsup://Directions/FactSet Auditing Viewer?action=AUDIT_VALUE&amp;DB=129&amp;ID1=02553E10&amp;VALUEID=02101&amp;SDATE=200703&amp;PERIODTYPE=QTR_STD&amp;window=popup_no_bar&amp;width=385&amp;height=120&amp;START_MAXIMIZED=FALSE&amp;creator=factset&amp;display_string=Audit"}</definedName>
    <definedName name="_2180__FDSAUDITLINK__" hidden="1">{"fdsup://Directions/FactSet Auditing Viewer?action=AUDIT_VALUE&amp;DB=129&amp;ID1=53271610&amp;VALUEID=13040&amp;SDATE=200903&amp;PERIODTYPE=QTR_STD&amp;window=popup_no_bar&amp;width=385&amp;height=120&amp;START_MAXIMIZED=FALSE&amp;creator=factset&amp;display_string=Audit"}</definedName>
    <definedName name="_2181__FDSAUDITLINK__" hidden="1">{"fdsup://Directions/FactSet Auditing Viewer?action=AUDIT_VALUE&amp;DB=129&amp;ID1=46612H40&amp;VALUEID=02101&amp;SDATE=200903&amp;PERIODTYPE=QTR_STD&amp;window=popup_no_bar&amp;width=385&amp;height=120&amp;START_MAXIMIZED=FALSE&amp;creator=factset&amp;display_string=Audit"}</definedName>
    <definedName name="_2182__FDSAUDITLINK__" hidden="1">{"fdsup://Directions/FactSet Auditing Viewer?action=AUDIT_VALUE&amp;DB=129&amp;ID1=46612H40&amp;VALUEID=01001&amp;SDATE=200903&amp;PERIODTYPE=QTR_STD&amp;window=popup_no_bar&amp;width=385&amp;height=120&amp;START_MAXIMIZED=FALSE&amp;creator=factset&amp;display_string=Audit"}</definedName>
    <definedName name="_2183__FDSAUDITLINK__" hidden="1">{"fdsup://Directions/FactSet Auditing Viewer?action=AUDIT_VALUE&amp;DB=129&amp;ID1=46612H40&amp;VALUEID=13040&amp;SDATE=200903&amp;PERIODTYPE=QTR_STD&amp;window=popup_no_bar&amp;width=385&amp;height=120&amp;START_MAXIMIZED=FALSE&amp;creator=factset&amp;display_string=Audit"}</definedName>
    <definedName name="_2184__FDSAUDITLINK__" hidden="1">{"fdsup://Directions/FactSet Auditing Viewer?action=AUDIT_VALUE&amp;DB=129&amp;ID1=36476010&amp;VALUEID=02101&amp;SDATE=200903&amp;PERIODTYPE=QTR_STD&amp;window=popup_no_bar&amp;width=385&amp;height=120&amp;START_MAXIMIZED=FALSE&amp;creator=factset&amp;display_string=Audit"}</definedName>
    <definedName name="_2185__FDSAUDITLINK__" hidden="1">{"fdsup://Directions/FactSet Auditing Viewer?action=AUDIT_VALUE&amp;DB=129&amp;ID1=36476010&amp;VALUEID=01001&amp;SDATE=200903&amp;PERIODTYPE=QTR_STD&amp;window=popup_no_bar&amp;width=385&amp;height=120&amp;START_MAXIMIZED=FALSE&amp;creator=factset&amp;display_string=Audit"}</definedName>
    <definedName name="_2186__FDSAUDITLINK__" hidden="1">{"fdsup://Directions/FactSet Auditing Viewer?action=AUDIT_VALUE&amp;DB=129&amp;ID1=36476010&amp;VALUEID=13040&amp;SDATE=200903&amp;PERIODTYPE=QTR_STD&amp;window=popup_no_bar&amp;width=385&amp;height=120&amp;START_MAXIMIZED=FALSE&amp;creator=factset&amp;display_string=Audit"}</definedName>
    <definedName name="_2187__FDSAUDITLINK__" hidden="1">{"fdsup://Directions/FactSet Auditing Viewer?action=AUDIT_VALUE&amp;DB=129&amp;ID1=03611510&amp;VALUEID=02101&amp;SDATE=200903&amp;PERIODTYPE=QTR_STD&amp;window=popup_no_bar&amp;width=385&amp;height=120&amp;START_MAXIMIZED=FALSE&amp;creator=factset&amp;display_string=Audit"}</definedName>
    <definedName name="_2188__FDSAUDITLINK__" hidden="1">{"fdsup://Directions/FactSet Auditing Viewer?action=AUDIT_VALUE&amp;DB=129&amp;ID1=03611510&amp;VALUEID=01001&amp;SDATE=200903&amp;PERIODTYPE=QTR_STD&amp;window=popup_no_bar&amp;width=385&amp;height=120&amp;START_MAXIMIZED=FALSE&amp;creator=factset&amp;display_string=Audit"}</definedName>
    <definedName name="_2189__FDSAUDITLINK__" hidden="1">{"fdsup://Directions/FactSet Auditing Viewer?action=AUDIT_VALUE&amp;DB=129&amp;ID1=03611510&amp;VALUEID=13040&amp;SDATE=200903&amp;PERIODTYPE=QTR_STD&amp;window=popup_no_bar&amp;width=385&amp;height=120&amp;START_MAXIMIZED=FALSE&amp;creator=factset&amp;display_string=Audit"}</definedName>
    <definedName name="_219__FDSAUDITLINK__" hidden="1">{"fdsup://Directions/FactSet Auditing Viewer?action=AUDIT_VALUE&amp;DB=129&amp;ID1=02553E10&amp;VALUEID=01001&amp;SDATE=200703&amp;PERIODTYPE=QTR_STD&amp;window=popup_no_bar&amp;width=385&amp;height=120&amp;START_MAXIMIZED=FALSE&amp;creator=factset&amp;display_string=Audit"}</definedName>
    <definedName name="_2190__FDSAUDITLINK__" hidden="1">{"fdsup://Directions/FactSet Auditing Viewer?action=AUDIT_VALUE&amp;DB=129&amp;ID1=16890510&amp;VALUEID=02101&amp;SDATE=200903&amp;PERIODTYPE=QTR_STD&amp;window=popup_no_bar&amp;width=385&amp;height=120&amp;START_MAXIMIZED=FALSE&amp;creator=factset&amp;display_string=Audit"}</definedName>
    <definedName name="_2191__FDSAUDITLINK__" hidden="1">{"fdsup://Directions/FactSet Auditing Viewer?action=AUDIT_VALUE&amp;DB=129&amp;ID1=16890510&amp;VALUEID=01001&amp;SDATE=200903&amp;PERIODTYPE=QTR_STD&amp;window=popup_no_bar&amp;width=385&amp;height=120&amp;START_MAXIMIZED=FALSE&amp;creator=factset&amp;display_string=Audit"}</definedName>
    <definedName name="_2192__FDSAUDITLINK__" hidden="1">{"fdsup://Directions/FactSet Auditing Viewer?action=AUDIT_VALUE&amp;DB=129&amp;ID1=91704710&amp;VALUEID=02101&amp;SDATE=200903&amp;PERIODTYPE=QTR_STD&amp;window=popup_no_bar&amp;width=385&amp;height=120&amp;START_MAXIMIZED=FALSE&amp;creator=factset&amp;display_string=Audit"}</definedName>
    <definedName name="_2193__FDSAUDITLINK__" hidden="1">{"fdsup://Directions/FactSet Auditing Viewer?action=AUDIT_VALUE&amp;DB=129&amp;ID1=91704710&amp;VALUEID=01001&amp;SDATE=200903&amp;PERIODTYPE=QTR_STD&amp;window=popup_no_bar&amp;width=385&amp;height=120&amp;START_MAXIMIZED=FALSE&amp;creator=factset&amp;display_string=Audit"}</definedName>
    <definedName name="_2194__FDSAUDITLINK__" hidden="1">{"fdsup://Directions/FactSet Auditing Viewer?action=AUDIT_VALUE&amp;DB=129&amp;ID1=91704710&amp;VALUEID=13040&amp;SDATE=200903&amp;PERIODTYPE=QTR_STD&amp;window=popup_no_bar&amp;width=385&amp;height=120&amp;START_MAXIMIZED=FALSE&amp;creator=factset&amp;display_string=Audit"}</definedName>
    <definedName name="_2195__FDSAUDITLINK__" hidden="1">{"fdsup://Directions/FactSet Auditing Viewer?action=AUDIT_VALUE&amp;DB=129&amp;ID1=02553E10&amp;VALUEID=02101&amp;SDATE=200903&amp;PERIODTYPE=QTR_STD&amp;window=popup_no_bar&amp;width=385&amp;height=120&amp;START_MAXIMIZED=FALSE&amp;creator=factset&amp;display_string=Audit"}</definedName>
    <definedName name="_2196__FDSAUDITLINK__" hidden="1">{"fdsup://Directions/FactSet Auditing Viewer?action=AUDIT_VALUE&amp;DB=129&amp;ID1=02553E10&amp;VALUEID=01001&amp;SDATE=200903&amp;PERIODTYPE=QTR_STD&amp;window=popup_no_bar&amp;width=385&amp;height=120&amp;START_MAXIMIZED=FALSE&amp;creator=factset&amp;display_string=Audit"}</definedName>
    <definedName name="_2197__FDSAUDITLINK__" hidden="1">{"fdsup://Directions/FactSet Auditing Viewer?action=AUDIT_VALUE&amp;DB=129&amp;ID1=00786510&amp;VALUEID=02101&amp;SDATE=200903&amp;PERIODTYPE=QTR_STD&amp;window=popup_no_bar&amp;width=385&amp;height=120&amp;START_MAXIMIZED=FALSE&amp;creator=factset&amp;display_string=Audit"}</definedName>
    <definedName name="_2198__FDSAUDITLINK__" hidden="1">{"fdsup://Directions/FactSet Auditing Viewer?action=AUDIT_VALUE&amp;DB=129&amp;ID1=00786510&amp;VALUEID=01001&amp;SDATE=200903&amp;PERIODTYPE=QTR_STD&amp;window=popup_no_bar&amp;width=385&amp;height=120&amp;START_MAXIMIZED=FALSE&amp;creator=factset&amp;display_string=Audit"}</definedName>
    <definedName name="_2199__FDSAUDITLINK__" hidden="1">{"fdsup://Directions/FactSet Auditing Viewer?action=AUDIT_VALUE&amp;DB=129&amp;ID1=00786510&amp;VALUEID=13040&amp;SDATE=200903&amp;PERIODTYPE=QTR_STD&amp;window=popup_no_bar&amp;width=385&amp;height=120&amp;START_MAXIMIZED=FALSE&amp;creator=factset&amp;display_string=Audit"}</definedName>
    <definedName name="_22__FDSAUDITLINK__" hidden="1">{"fdsup://directions/FAT Viewer?action=UPDATE&amp;creator=factset&amp;DYN_ARGS=TRUE&amp;DOC_NAME=FAT:FQL_AUDITING_CLIENT_TEMPLATE.FAT&amp;display_string=Audit&amp;VAR:KEY=BIFCDOPIRG&amp;VAR:QUERY=RkZfUlRfU0ZfVE9UX0dST1NTKFFUUiwtMSk=&amp;WINDOW=FIRST_POPUP&amp;HEIGHT=450&amp;WIDTH=450&amp;START_MA","XIMIZED=FALSE&amp;VAR:CALENDAR=US&amp;VAR:SYMBOL=TLB&amp;VAR:INDEX=0"}</definedName>
    <definedName name="_220__FDSAUDITLINK__" hidden="1">{"fdsup://Directions/FactSet Auditing Viewer?action=AUDIT_VALUE&amp;DB=129&amp;ID1=00786510&amp;VALUEID=02101&amp;SDATE=200703&amp;PERIODTYPE=QTR_STD&amp;window=popup_no_bar&amp;width=385&amp;height=120&amp;START_MAXIMIZED=FALSE&amp;creator=factset&amp;display_string=Audit"}</definedName>
    <definedName name="_2200__FDSAUDITLINK__" hidden="1">{"fdsup://Directions/FactSet Auditing Viewer?action=AUDIT_VALUE&amp;DB=129&amp;ID1=00289620&amp;VALUEID=02101&amp;SDATE=200903&amp;PERIODTYPE=QTR_STD&amp;window=popup_no_bar&amp;width=385&amp;height=120&amp;START_MAXIMIZED=FALSE&amp;creator=factset&amp;display_string=Audit"}</definedName>
    <definedName name="_2201__FDSAUDITLINK__" hidden="1">{"fdsup://Directions/FactSet Auditing Viewer?action=AUDIT_VALUE&amp;DB=129&amp;ID1=00289620&amp;VALUEID=01001&amp;SDATE=200903&amp;PERIODTYPE=QTR_STD&amp;window=popup_no_bar&amp;width=385&amp;height=120&amp;START_MAXIMIZED=FALSE&amp;creator=factset&amp;display_string=Audit"}</definedName>
    <definedName name="_2202__FDSAUDITLINK__" hidden="1">{"fdsup://Directions/FactSet Auditing Viewer?action=AUDIT_VALUE&amp;DB=129&amp;ID1=00289620&amp;VALUEID=13040&amp;SDATE=200903&amp;PERIODTYPE=QTR_STD&amp;window=popup_no_bar&amp;width=385&amp;height=120&amp;START_MAXIMIZED=FALSE&amp;creator=factset&amp;display_string=Audit"}</definedName>
    <definedName name="_2203__FDSAUDITLINK__" hidden="1">{"fdsup://Directions/FactSet Auditing Viewer?action=AUDIT_VALUE&amp;DB=129&amp;ID1=87416110&amp;VALUEID=02101&amp;SDATE=200902&amp;PERIODTYPE=QTR_STD&amp;window=popup_no_bar&amp;width=385&amp;height=120&amp;START_MAXIMIZED=FALSE&amp;creator=factset&amp;display_string=Audit"}</definedName>
    <definedName name="_2204__FDSAUDITLINK__" hidden="1">{"fdsup://Directions/FactSet Auditing Viewer?action=AUDIT_VALUE&amp;DB=129&amp;ID1=87416110&amp;VALUEID=01001&amp;SDATE=200902&amp;PERIODTYPE=QTR_STD&amp;window=popup_no_bar&amp;width=385&amp;height=120&amp;START_MAXIMIZED=FALSE&amp;creator=factset&amp;display_string=Audit"}</definedName>
    <definedName name="_2205__FDSAUDITLINK__" hidden="1">{"fdsup://Directions/FactSet Auditing Viewer?action=AUDIT_VALUE&amp;DB=129&amp;ID1=53271610&amp;VALUEID=02101&amp;SDATE=200902&amp;PERIODTYPE=QTR_STD&amp;window=popup_no_bar&amp;width=385&amp;height=120&amp;START_MAXIMIZED=FALSE&amp;creator=factset&amp;display_string=Audit"}</definedName>
    <definedName name="_2206__FDSAUDITLINK__" hidden="1">{"fdsup://Directions/FactSet Auditing Viewer?action=AUDIT_VALUE&amp;DB=129&amp;ID1=53271610&amp;VALUEID=01001&amp;SDATE=200902&amp;PERIODTYPE=QTR_STD&amp;window=popup_no_bar&amp;width=385&amp;height=120&amp;START_MAXIMIZED=FALSE&amp;creator=factset&amp;display_string=Audit"}</definedName>
    <definedName name="_2207__FDSAUDITLINK__" hidden="1">{"fdsup://Directions/FactSet Auditing Viewer?action=AUDIT_VALUE&amp;DB=129&amp;ID1=53271610&amp;VALUEID=13040&amp;SDATE=200902&amp;PERIODTYPE=QTR_STD&amp;window=popup_no_bar&amp;width=385&amp;height=120&amp;START_MAXIMIZED=FALSE&amp;creator=factset&amp;display_string=Audit"}</definedName>
    <definedName name="_2208__FDSAUDITLINK__" hidden="1">{"fdsup://Directions/FactSet Auditing Viewer?action=AUDIT_VALUE&amp;DB=129&amp;ID1=46612H40&amp;VALUEID=02101&amp;SDATE=200902&amp;PERIODTYPE=QTR_STD&amp;window=popup_no_bar&amp;width=385&amp;height=120&amp;START_MAXIMIZED=FALSE&amp;creator=factset&amp;display_string=Audit"}</definedName>
    <definedName name="_2209__FDSAUDITLINK__" hidden="1">{"fdsup://Directions/FactSet Auditing Viewer?action=AUDIT_VALUE&amp;DB=129&amp;ID1=46612H40&amp;VALUEID=01001&amp;SDATE=200902&amp;PERIODTYPE=QTR_STD&amp;window=popup_no_bar&amp;width=385&amp;height=120&amp;START_MAXIMIZED=FALSE&amp;creator=factset&amp;display_string=Audit"}</definedName>
    <definedName name="_221__FDSAUDITLINK__" hidden="1">{"fdsup://Directions/FactSet Auditing Viewer?action=AUDIT_VALUE&amp;DB=129&amp;ID1=00786510&amp;VALUEID=01001&amp;SDATE=200703&amp;PERIODTYPE=QTR_STD&amp;window=popup_no_bar&amp;width=385&amp;height=120&amp;START_MAXIMIZED=FALSE&amp;creator=factset&amp;display_string=Audit"}</definedName>
    <definedName name="_2210__FDSAUDITLINK__" hidden="1">{"fdsup://Directions/FactSet Auditing Viewer?action=AUDIT_VALUE&amp;DB=129&amp;ID1=46612H40&amp;VALUEID=13040&amp;SDATE=200902&amp;PERIODTYPE=QTR_STD&amp;window=popup_no_bar&amp;width=385&amp;height=120&amp;START_MAXIMIZED=FALSE&amp;creator=factset&amp;display_string=Audit"}</definedName>
    <definedName name="_2211__FDSAUDITLINK__" hidden="1">{"fdsup://Directions/FactSet Auditing Viewer?action=AUDIT_VALUE&amp;DB=129&amp;ID1=36476010&amp;VALUEID=02101&amp;SDATE=200902&amp;PERIODTYPE=QTR_STD&amp;window=popup_no_bar&amp;width=385&amp;height=120&amp;START_MAXIMIZED=FALSE&amp;creator=factset&amp;display_string=Audit"}</definedName>
    <definedName name="_2212__FDSAUDITLINK__" hidden="1">{"fdsup://Directions/FactSet Auditing Viewer?action=AUDIT_VALUE&amp;DB=129&amp;ID1=36476010&amp;VALUEID=01001&amp;SDATE=200902&amp;PERIODTYPE=QTR_STD&amp;window=popup_no_bar&amp;width=385&amp;height=120&amp;START_MAXIMIZED=FALSE&amp;creator=factset&amp;display_string=Audit"}</definedName>
    <definedName name="_2213__FDSAUDITLINK__" hidden="1">{"fdsup://Directions/FactSet Auditing Viewer?action=AUDIT_VALUE&amp;DB=129&amp;ID1=36476010&amp;VALUEID=13040&amp;SDATE=200902&amp;PERIODTYPE=QTR_STD&amp;window=popup_no_bar&amp;width=385&amp;height=120&amp;START_MAXIMIZED=FALSE&amp;creator=factset&amp;display_string=Audit"}</definedName>
    <definedName name="_2214__FDSAUDITLINK__" hidden="1">{"fdsup://Directions/FactSet Auditing Viewer?action=AUDIT_VALUE&amp;DB=129&amp;ID1=03611510&amp;VALUEID=02101&amp;SDATE=200902&amp;PERIODTYPE=QTR_STD&amp;window=popup_no_bar&amp;width=385&amp;height=120&amp;START_MAXIMIZED=FALSE&amp;creator=factset&amp;display_string=Audit"}</definedName>
    <definedName name="_2215__FDSAUDITLINK__" hidden="1">{"fdsup://Directions/FactSet Auditing Viewer?action=AUDIT_VALUE&amp;DB=129&amp;ID1=03611510&amp;VALUEID=01001&amp;SDATE=200902&amp;PERIODTYPE=QTR_STD&amp;window=popup_no_bar&amp;width=385&amp;height=120&amp;START_MAXIMIZED=FALSE&amp;creator=factset&amp;display_string=Audit"}</definedName>
    <definedName name="_2216__FDSAUDITLINK__" hidden="1">{"fdsup://Directions/FactSet Auditing Viewer?action=AUDIT_VALUE&amp;DB=129&amp;ID1=03611510&amp;VALUEID=13040&amp;SDATE=200902&amp;PERIODTYPE=QTR_STD&amp;window=popup_no_bar&amp;width=385&amp;height=120&amp;START_MAXIMIZED=FALSE&amp;creator=factset&amp;display_string=Audit"}</definedName>
    <definedName name="_2217__FDSAUDITLINK__" hidden="1">{"fdsup://Directions/FactSet Auditing Viewer?action=AUDIT_VALUE&amp;DB=129&amp;ID1=16890510&amp;VALUEID=02101&amp;SDATE=200902&amp;PERIODTYPE=QTR_STD&amp;window=popup_no_bar&amp;width=385&amp;height=120&amp;START_MAXIMIZED=FALSE&amp;creator=factset&amp;display_string=Audit"}</definedName>
    <definedName name="_2218__FDSAUDITLINK__" hidden="1">{"fdsup://Directions/FactSet Auditing Viewer?action=AUDIT_VALUE&amp;DB=129&amp;ID1=16890510&amp;VALUEID=01001&amp;SDATE=200902&amp;PERIODTYPE=QTR_STD&amp;window=popup_no_bar&amp;width=385&amp;height=120&amp;START_MAXIMIZED=FALSE&amp;creator=factset&amp;display_string=Audit"}</definedName>
    <definedName name="_2219__FDSAUDITLINK__" hidden="1">{"fdsup://Directions/FactSet Auditing Viewer?action=AUDIT_VALUE&amp;DB=129&amp;ID1=91704710&amp;VALUEID=02101&amp;SDATE=200902&amp;PERIODTYPE=QTR_STD&amp;window=popup_no_bar&amp;width=385&amp;height=120&amp;START_MAXIMIZED=FALSE&amp;creator=factset&amp;display_string=Audit"}</definedName>
    <definedName name="_222__FDSAUDITLINK__" hidden="1">{"fdsup://Directions/FactSet Auditing Viewer?action=AUDIT_VALUE&amp;DB=129&amp;ID1=00786510&amp;VALUEID=13040&amp;SDATE=200703&amp;PERIODTYPE=QTR_STD&amp;window=popup_no_bar&amp;width=385&amp;height=120&amp;START_MAXIMIZED=FALSE&amp;creator=factset&amp;display_string=Audit"}</definedName>
    <definedName name="_2220__FDSAUDITLINK__" hidden="1">{"fdsup://Directions/FactSet Auditing Viewer?action=AUDIT_VALUE&amp;DB=129&amp;ID1=91704710&amp;VALUEID=01001&amp;SDATE=200902&amp;PERIODTYPE=QTR_STD&amp;window=popup_no_bar&amp;width=385&amp;height=120&amp;START_MAXIMIZED=FALSE&amp;creator=factset&amp;display_string=Audit"}</definedName>
    <definedName name="_2221__FDSAUDITLINK__" hidden="1">{"fdsup://Directions/FactSet Auditing Viewer?action=AUDIT_VALUE&amp;DB=129&amp;ID1=02553E10&amp;VALUEID=02101&amp;SDATE=200902&amp;PERIODTYPE=QTR_STD&amp;window=popup_no_bar&amp;width=385&amp;height=120&amp;START_MAXIMIZED=FALSE&amp;creator=factset&amp;display_string=Audit"}</definedName>
    <definedName name="_2222__FDSAUDITLINK__" hidden="1">{"fdsup://Directions/FactSet Auditing Viewer?action=AUDIT_VALUE&amp;DB=129&amp;ID1=02553E10&amp;VALUEID=01001&amp;SDATE=200902&amp;PERIODTYPE=QTR_STD&amp;window=popup_no_bar&amp;width=385&amp;height=120&amp;START_MAXIMIZED=FALSE&amp;creator=factset&amp;display_string=Audit"}</definedName>
    <definedName name="_2223__FDSAUDITLINK__" hidden="1">{"fdsup://Directions/FactSet Auditing Viewer?action=AUDIT_VALUE&amp;DB=129&amp;ID1=02553E10&amp;VALUEID=13040&amp;SDATE=200902&amp;PERIODTYPE=QTR_STD&amp;window=popup_no_bar&amp;width=385&amp;height=120&amp;START_MAXIMIZED=FALSE&amp;creator=factset&amp;display_string=Audit"}</definedName>
    <definedName name="_2224__FDSAUDITLINK__" hidden="1">{"fdsup://Directions/FactSet Auditing Viewer?action=AUDIT_VALUE&amp;DB=129&amp;ID1=00786510&amp;VALUEID=02101&amp;SDATE=200902&amp;PERIODTYPE=QTR_STD&amp;window=popup_no_bar&amp;width=385&amp;height=120&amp;START_MAXIMIZED=FALSE&amp;creator=factset&amp;display_string=Audit"}</definedName>
    <definedName name="_2225__FDSAUDITLINK__" hidden="1">{"fdsup://Directions/FactSet Auditing Viewer?action=AUDIT_VALUE&amp;DB=129&amp;ID1=00786510&amp;VALUEID=01001&amp;SDATE=200902&amp;PERIODTYPE=QTR_STD&amp;window=popup_no_bar&amp;width=385&amp;height=120&amp;START_MAXIMIZED=FALSE&amp;creator=factset&amp;display_string=Audit"}</definedName>
    <definedName name="_2226__FDSAUDITLINK__" hidden="1">{"fdsup://Directions/FactSet Auditing Viewer?action=AUDIT_VALUE&amp;DB=129&amp;ID1=00786510&amp;VALUEID=13040&amp;SDATE=200902&amp;PERIODTYPE=QTR_STD&amp;window=popup_no_bar&amp;width=385&amp;height=120&amp;START_MAXIMIZED=FALSE&amp;creator=factset&amp;display_string=Audit"}</definedName>
    <definedName name="_2227__FDSAUDITLINK__" hidden="1">{"fdsup://Directions/FactSet Auditing Viewer?action=AUDIT_VALUE&amp;DB=129&amp;ID1=00289620&amp;VALUEID=02101&amp;SDATE=200902&amp;PERIODTYPE=QTR_STD&amp;window=popup_no_bar&amp;width=385&amp;height=120&amp;START_MAXIMIZED=FALSE&amp;creator=factset&amp;display_string=Audit"}</definedName>
    <definedName name="_2228__FDSAUDITLINK__" hidden="1">{"fdsup://Directions/FactSet Auditing Viewer?action=AUDIT_VALUE&amp;DB=129&amp;ID1=00289620&amp;VALUEID=01001&amp;SDATE=200902&amp;PERIODTYPE=QTR_STD&amp;window=popup_no_bar&amp;width=385&amp;height=120&amp;START_MAXIMIZED=FALSE&amp;creator=factset&amp;display_string=Audit"}</definedName>
    <definedName name="_2229__FDSAUDITLINK__" hidden="1">{"fdsup://Directions/FactSet Auditing Viewer?action=AUDIT_VALUE&amp;DB=129&amp;ID1=00289620&amp;VALUEID=13040&amp;SDATE=200902&amp;PERIODTYPE=QTR_STD&amp;window=popup_no_bar&amp;width=385&amp;height=120&amp;START_MAXIMIZED=FALSE&amp;creator=factset&amp;display_string=Audit"}</definedName>
    <definedName name="_223__FDSAUDITLINK__" hidden="1">{"fdsup://Directions/FactSet Auditing Viewer?action=AUDIT_VALUE&amp;DB=129&amp;ID1=00289620&amp;VALUEID=02101&amp;SDATE=200703&amp;PERIODTYPE=QTR_STD&amp;window=popup_no_bar&amp;width=385&amp;height=120&amp;START_MAXIMIZED=FALSE&amp;creator=factset&amp;display_string=Audit"}</definedName>
    <definedName name="_2230__FDSAUDITLINK__" hidden="1">{"fdsup://Directions/FactSet Auditing Viewer?action=AUDIT_VALUE&amp;DB=129&amp;ID1=87416110&amp;VALUEID=02101&amp;SDATE=200901&amp;PERIODTYPE=QTR_STD&amp;window=popup_no_bar&amp;width=385&amp;height=120&amp;START_MAXIMIZED=FALSE&amp;creator=factset&amp;display_string=Audit"}</definedName>
    <definedName name="_2231__FDSAUDITLINK__" hidden="1">{"fdsup://Directions/FactSet Auditing Viewer?action=AUDIT_VALUE&amp;DB=129&amp;ID1=87416110&amp;VALUEID=01001&amp;SDATE=200901&amp;PERIODTYPE=QTR_STD&amp;window=popup_no_bar&amp;width=385&amp;height=120&amp;START_MAXIMIZED=FALSE&amp;creator=factset&amp;display_string=Audit"}</definedName>
    <definedName name="_2232__FDSAUDITLINK__" hidden="1">{"fdsup://Directions/FactSet Auditing Viewer?action=AUDIT_VALUE&amp;DB=129&amp;ID1=87416110&amp;VALUEID=13040&amp;SDATE=200901&amp;PERIODTYPE=QTR_STD&amp;window=popup_no_bar&amp;width=385&amp;height=120&amp;START_MAXIMIZED=FALSE&amp;creator=factset&amp;display_string=Audit"}</definedName>
    <definedName name="_2233__FDSAUDITLINK__" hidden="1">{"fdsup://directions/FAT Viewer?action=UPDATE&amp;creator=factset&amp;DYN_ARGS=TRUE&amp;DOC_NAME=FAT:FQL_AUDITING_CLIENT_TEMPLATE.FAT&amp;display_string=Audit&amp;VAR:KEY=RSZCXYZEJW&amp;VAR:QUERY=RkZfUlRfU0ZfVE9UX0dST1NTKFFUUiwtNCk=&amp;WINDOW=FIRST_POPUP&amp;HEIGHT=450&amp;WIDTH=450&amp;START_MA","XIMIZED=FALSE&amp;VAR:CALENDAR=US&amp;VAR:SYMBOL=TLB&amp;VAR:INDEX=0"}</definedName>
    <definedName name="_2234__FDSAUDITLINK__" hidden="1">{"fdsup://Directions/FactSet Auditing Viewer?action=AUDIT_VALUE&amp;DB=129&amp;ID1=53271610&amp;VALUEID=13040&amp;SDATE=200901&amp;PERIODTYPE=QTR_STD&amp;window=popup_no_bar&amp;width=385&amp;height=120&amp;START_MAXIMIZED=FALSE&amp;creator=factset&amp;display_string=Audit"}</definedName>
    <definedName name="_2235__FDSAUDITLINK__" hidden="1">{"fdsup://Directions/FactSet Auditing Viewer?action=AUDIT_VALUE&amp;DB=129&amp;ID1=46612H40&amp;VALUEID=02101&amp;SDATE=200901&amp;PERIODTYPE=QTR_STD&amp;window=popup_no_bar&amp;width=385&amp;height=120&amp;START_MAXIMIZED=FALSE&amp;creator=factset&amp;display_string=Audit"}</definedName>
    <definedName name="_2236__FDSAUDITLINK__" hidden="1">{"fdsup://Directions/FactSet Auditing Viewer?action=AUDIT_VALUE&amp;DB=129&amp;ID1=46612H40&amp;VALUEID=01001&amp;SDATE=200901&amp;PERIODTYPE=QTR_STD&amp;window=popup_no_bar&amp;width=385&amp;height=120&amp;START_MAXIMIZED=FALSE&amp;creator=factset&amp;display_string=Audit"}</definedName>
    <definedName name="_2237__FDSAUDITLINK__" hidden="1">{"fdsup://Directions/FactSet Auditing Viewer?action=AUDIT_VALUE&amp;DB=129&amp;ID1=46612H40&amp;VALUEID=13040&amp;SDATE=200901&amp;PERIODTYPE=QTR_STD&amp;window=popup_no_bar&amp;width=385&amp;height=120&amp;START_MAXIMIZED=FALSE&amp;creator=factset&amp;display_string=Audit"}</definedName>
    <definedName name="_2238__FDSAUDITLINK__" hidden="1">{"fdsup://Directions/FactSet Auditing Viewer?action=AUDIT_VALUE&amp;DB=129&amp;ID1=03611510&amp;VALUEID=02101&amp;SDATE=200901&amp;PERIODTYPE=QTR_STD&amp;window=popup_no_bar&amp;width=385&amp;height=120&amp;START_MAXIMIZED=FALSE&amp;creator=factset&amp;display_string=Audit"}</definedName>
    <definedName name="_2239__FDSAUDITLINK__" hidden="1">{"fdsup://Directions/FactSet Auditing Viewer?action=AUDIT_VALUE&amp;DB=129&amp;ID1=03611510&amp;VALUEID=01001&amp;SDATE=200901&amp;PERIODTYPE=QTR_STD&amp;window=popup_no_bar&amp;width=385&amp;height=120&amp;START_MAXIMIZED=FALSE&amp;creator=factset&amp;display_string=Audit"}</definedName>
    <definedName name="_224__FDSAUDITLINK__" hidden="1">{"fdsup://Directions/FactSet Auditing Viewer?action=AUDIT_VALUE&amp;DB=129&amp;ID1=00289620&amp;VALUEID=01001&amp;SDATE=200703&amp;PERIODTYPE=QTR_STD&amp;window=popup_no_bar&amp;width=385&amp;height=120&amp;START_MAXIMIZED=FALSE&amp;creator=factset&amp;display_string=Audit"}</definedName>
    <definedName name="_2240__FDSAUDITLINK__" hidden="1">{"fdsup://Directions/FactSet Auditing Viewer?action=AUDIT_VALUE&amp;DB=129&amp;ID1=16890510&amp;VALUEID=02101&amp;SDATE=200901&amp;PERIODTYPE=QTR_STD&amp;window=popup_no_bar&amp;width=385&amp;height=120&amp;START_MAXIMIZED=FALSE&amp;creator=factset&amp;display_string=Audit"}</definedName>
    <definedName name="_2241__FDSAUDITLINK__" hidden="1">{"fdsup://Directions/FactSet Auditing Viewer?action=AUDIT_VALUE&amp;DB=129&amp;ID1=16890510&amp;VALUEID=01001&amp;SDATE=200901&amp;PERIODTYPE=QTR_STD&amp;window=popup_no_bar&amp;width=385&amp;height=120&amp;START_MAXIMIZED=FALSE&amp;creator=factset&amp;display_string=Audit"}</definedName>
    <definedName name="_2242__FDSAUDITLINK__" hidden="1">{"fdsup://Directions/FactSet Auditing Viewer?action=AUDIT_VALUE&amp;DB=129&amp;ID1=00786510&amp;VALUEID=02101&amp;SDATE=200901&amp;PERIODTYPE=QTR_STD&amp;window=popup_no_bar&amp;width=385&amp;height=120&amp;START_MAXIMIZED=FALSE&amp;creator=factset&amp;display_string=Audit"}</definedName>
    <definedName name="_2243__FDSAUDITLINK__" hidden="1">{"fdsup://Directions/FactSet Auditing Viewer?action=AUDIT_VALUE&amp;DB=129&amp;ID1=00786510&amp;VALUEID=01001&amp;SDATE=200901&amp;PERIODTYPE=QTR_STD&amp;window=popup_no_bar&amp;width=385&amp;height=120&amp;START_MAXIMIZED=FALSE&amp;creator=factset&amp;display_string=Audit"}</definedName>
    <definedName name="_2244__FDSAUDITLINK__" hidden="1">{"fdsup://Directions/FactSet Auditing Viewer?action=AUDIT_VALUE&amp;DB=129&amp;ID1=00786510&amp;VALUEID=13040&amp;SDATE=200901&amp;PERIODTYPE=QTR_STD&amp;window=popup_no_bar&amp;width=385&amp;height=120&amp;START_MAXIMIZED=FALSE&amp;creator=factset&amp;display_string=Audit"}</definedName>
    <definedName name="_2245__FDSAUDITLINK__" hidden="1">{"fdsup://Directions/FactSet Auditing Viewer?action=AUDIT_VALUE&amp;DB=129&amp;ID1=00289620&amp;VALUEID=13040&amp;SDATE=200901&amp;PERIODTYPE=QTR_STD&amp;window=popup_no_bar&amp;width=385&amp;height=120&amp;START_MAXIMIZED=FALSE&amp;creator=factset&amp;display_string=Audit"}</definedName>
    <definedName name="_2246__FDSAUDITLINK__" hidden="1">{"fdsup://Directions/FactSet Auditing Viewer?action=AUDIT_VALUE&amp;DB=129&amp;ID1=87416110&amp;VALUEID=01001&amp;SDATE=200804&amp;PERIODTYPE=QTR_STD&amp;window=popup_no_bar&amp;width=385&amp;height=120&amp;START_MAXIMIZED=FALSE&amp;creator=factset&amp;display_string=Audit"}</definedName>
    <definedName name="_2247__FDSAUDITLINK__" hidden="1">{"fdsup://directions/FAT Viewer?action=UPDATE&amp;creator=factset&amp;DYN_ARGS=TRUE&amp;DOC_NAME=FAT:FQL_AUDITING_CLIENT_TEMPLATE.FAT&amp;display_string=Audit&amp;VAR:KEY=BSXQNALGBC&amp;VAR:QUERY=RkZfUlRfU0ZfVE9UX0dST1NTKFFUUiwtNSk=&amp;WINDOW=FIRST_POPUP&amp;HEIGHT=450&amp;WIDTH=450&amp;START_MA","XIMIZED=FALSE&amp;VAR:CALENDAR=US&amp;VAR:SYMBOL=TLB&amp;VAR:INDEX=0"}</definedName>
    <definedName name="_2248__FDSAUDITLINK__" hidden="1">{"fdsup://Directions/FactSet Auditing Viewer?action=AUDIT_VALUE&amp;DB=129&amp;ID1=46612H40&amp;VALUEID=01001&amp;SDATE=200804&amp;PERIODTYPE=QTR_STD&amp;window=popup_no_bar&amp;width=385&amp;height=120&amp;START_MAXIMIZED=FALSE&amp;creator=factset&amp;display_string=Audit"}</definedName>
    <definedName name="_2249__FDSAUDITLINK__" hidden="1">{"fdsup://Directions/FactSet Auditing Viewer?action=AUDIT_VALUE&amp;DB=129&amp;ID1=46612H40&amp;VALUEID=13040&amp;SDATE=200804&amp;PERIODTYPE=QTR_STD&amp;window=popup_no_bar&amp;width=385&amp;height=120&amp;START_MAXIMIZED=FALSE&amp;creator=factset&amp;display_string=Audit"}</definedName>
    <definedName name="_225__FDSAUDITLINK__" hidden="1">{"fdsup://Directions/FactSet Auditing Viewer?action=AUDIT_VALUE&amp;DB=129&amp;ID1=00289620&amp;VALUEID=13040&amp;SDATE=200703&amp;PERIODTYPE=QTR_STD&amp;window=popup_no_bar&amp;width=385&amp;height=120&amp;START_MAXIMIZED=FALSE&amp;creator=factset&amp;display_string=Audit"}</definedName>
    <definedName name="_2250__FDSAUDITLINK__" hidden="1">{"fdsup://Directions/FactSet Auditing Viewer?action=AUDIT_VALUE&amp;DB=129&amp;ID1=36476010&amp;VALUEID=01001&amp;SDATE=200804&amp;PERIODTYPE=QTR_STD&amp;window=popup_no_bar&amp;width=385&amp;height=120&amp;START_MAXIMIZED=FALSE&amp;creator=factset&amp;display_string=Audit"}</definedName>
    <definedName name="_2251__FDSAUDITLINK__" hidden="1">{"fdsup://Directions/FactSet Auditing Viewer?action=AUDIT_VALUE&amp;DB=129&amp;ID1=03611510&amp;VALUEID=01001&amp;SDATE=200804&amp;PERIODTYPE=QTR_STD&amp;window=popup_no_bar&amp;width=385&amp;height=120&amp;START_MAXIMIZED=FALSE&amp;creator=factset&amp;display_string=Audit"}</definedName>
    <definedName name="_2252__FDSAUDITLINK__" hidden="1">{"fdsup://Directions/FactSet Auditing Viewer?action=AUDIT_VALUE&amp;DB=129&amp;ID1=16890510&amp;VALUEID=01001&amp;SDATE=200804&amp;PERIODTYPE=QTR_STD&amp;window=popup_no_bar&amp;width=385&amp;height=120&amp;START_MAXIMIZED=FALSE&amp;creator=factset&amp;display_string=Audit"}</definedName>
    <definedName name="_2253__FDSAUDITLINK__" hidden="1">{"fdsup://Directions/FactSet Auditing Viewer?action=AUDIT_VALUE&amp;DB=129&amp;ID1=00786510&amp;VALUEID=01001&amp;SDATE=200804&amp;PERIODTYPE=QTR_STD&amp;window=popup_no_bar&amp;width=385&amp;height=120&amp;START_MAXIMIZED=FALSE&amp;creator=factset&amp;display_string=Audit"}</definedName>
    <definedName name="_2254__FDSAUDITLINK__" hidden="1">{"fdsup://Directions/FactSet Auditing Viewer?action=AUDIT_VALUE&amp;DB=129&amp;ID1=87416110&amp;VALUEID=02101&amp;SDATE=200803&amp;PERIODTYPE=QTR_STD&amp;window=popup_no_bar&amp;width=385&amp;height=120&amp;START_MAXIMIZED=FALSE&amp;creator=factset&amp;display_string=Audit"}</definedName>
    <definedName name="_2255__FDSAUDITLINK__" hidden="1">{"fdsup://Directions/FactSet Auditing Viewer?action=AUDIT_VALUE&amp;DB=129&amp;ID1=87416110&amp;VALUEID=01001&amp;SDATE=200803&amp;PERIODTYPE=QTR_STD&amp;window=popup_no_bar&amp;width=385&amp;height=120&amp;START_MAXIMIZED=FALSE&amp;creator=factset&amp;display_string=Audit"}</definedName>
    <definedName name="_2256__FDSAUDITLINK__" hidden="1">{"fdsup://Directions/FactSet Auditing Viewer?action=AUDIT_VALUE&amp;DB=129&amp;ID1=87416110&amp;VALUEID=13040&amp;SDATE=200803&amp;PERIODTYPE=QTR_STD&amp;window=popup_no_bar&amp;width=385&amp;height=120&amp;START_MAXIMIZED=FALSE&amp;creator=factset&amp;display_string=Audit"}</definedName>
    <definedName name="_2257__FDSAUDITLINK__" hidden="1">{"fdsup://directions/FAT Viewer?action=UPDATE&amp;creator=factset&amp;DYN_ARGS=TRUE&amp;DOC_NAME=FAT:FQL_AUDITING_CLIENT_TEMPLATE.FAT&amp;display_string=Audit&amp;VAR:KEY=VAFWFCDYFC&amp;VAR:QUERY=RkZfUlRfU0ZfVE9UX0dST1NTKFFUUiwtNik=&amp;WINDOW=FIRST_POPUP&amp;HEIGHT=450&amp;WIDTH=450&amp;START_MA","XIMIZED=FALSE&amp;VAR:CALENDAR=US&amp;VAR:SYMBOL=TLB&amp;VAR:INDEX=0"}</definedName>
    <definedName name="_2258__FDSAUDITLINK__" hidden="1">{"fdsup://Directions/FactSet Auditing Viewer?action=AUDIT_VALUE&amp;DB=129&amp;ID1=46612H40&amp;VALUEID=02101&amp;SDATE=200803&amp;PERIODTYPE=QTR_STD&amp;window=popup_no_bar&amp;width=385&amp;height=120&amp;START_MAXIMIZED=FALSE&amp;creator=factset&amp;display_string=Audit"}</definedName>
    <definedName name="_2259__FDSAUDITLINK__" hidden="1">{"fdsup://Directions/FactSet Auditing Viewer?action=AUDIT_VALUE&amp;DB=129&amp;ID1=46612H40&amp;VALUEID=01001&amp;SDATE=200803&amp;PERIODTYPE=QTR_STD&amp;window=popup_no_bar&amp;width=385&amp;height=120&amp;START_MAXIMIZED=FALSE&amp;creator=factset&amp;display_string=Audit"}</definedName>
    <definedName name="_226__FDSAUDITLINK__" hidden="1">{"fdsup://Directions/FactSet Auditing Viewer?action=AUDIT_VALUE&amp;DB=129&amp;ID1=87416110&amp;VALUEID=02101&amp;SDATE=200702&amp;PERIODTYPE=QTR_STD&amp;window=popup_no_bar&amp;width=385&amp;height=120&amp;START_MAXIMIZED=FALSE&amp;creator=factset&amp;display_string=Audit"}</definedName>
    <definedName name="_2260__FDSAUDITLINK__" hidden="1">{"fdsup://Directions/FactSet Auditing Viewer?action=AUDIT_VALUE&amp;DB=129&amp;ID1=46612H40&amp;VALUEID=13040&amp;SDATE=200803&amp;PERIODTYPE=QTR_STD&amp;window=popup_no_bar&amp;width=385&amp;height=120&amp;START_MAXIMIZED=FALSE&amp;creator=factset&amp;display_string=Audit"}</definedName>
    <definedName name="_2261__FDSAUDITLINK__" hidden="1">{"fdsup://Directions/FactSet Auditing Viewer?action=AUDIT_VALUE&amp;DB=129&amp;ID1=36476010&amp;VALUEID=02101&amp;SDATE=200803&amp;PERIODTYPE=QTR_STD&amp;window=popup_no_bar&amp;width=385&amp;height=120&amp;START_MAXIMIZED=FALSE&amp;creator=factset&amp;display_string=Audit"}</definedName>
    <definedName name="_2262__FDSAUDITLINK__" hidden="1">{"fdsup://Directions/FactSet Auditing Viewer?action=AUDIT_VALUE&amp;DB=129&amp;ID1=36476010&amp;VALUEID=01001&amp;SDATE=200803&amp;PERIODTYPE=QTR_STD&amp;window=popup_no_bar&amp;width=385&amp;height=120&amp;START_MAXIMIZED=FALSE&amp;creator=factset&amp;display_string=Audit"}</definedName>
    <definedName name="_2263__FDSAUDITLINK__" hidden="1">{"fdsup://Directions/FactSet Auditing Viewer?action=AUDIT_VALUE&amp;DB=129&amp;ID1=36476010&amp;VALUEID=13040&amp;SDATE=200803&amp;PERIODTYPE=QTR_STD&amp;window=popup_no_bar&amp;width=385&amp;height=120&amp;START_MAXIMIZED=FALSE&amp;creator=factset&amp;display_string=Audit"}</definedName>
    <definedName name="_2264__FDSAUDITLINK__" hidden="1">{"fdsup://Directions/FactSet Auditing Viewer?action=AUDIT_VALUE&amp;DB=129&amp;ID1=03611510&amp;VALUEID=02101&amp;SDATE=200803&amp;PERIODTYPE=QTR_STD&amp;window=popup_no_bar&amp;width=385&amp;height=120&amp;START_MAXIMIZED=FALSE&amp;creator=factset&amp;display_string=Audit"}</definedName>
    <definedName name="_2265__FDSAUDITLINK__" hidden="1">{"fdsup://Directions/FactSet Auditing Viewer?action=AUDIT_VALUE&amp;DB=129&amp;ID1=03611510&amp;VALUEID=01001&amp;SDATE=200803&amp;PERIODTYPE=QTR_STD&amp;window=popup_no_bar&amp;width=385&amp;height=120&amp;START_MAXIMIZED=FALSE&amp;creator=factset&amp;display_string=Audit"}</definedName>
    <definedName name="_2266__FDSAUDITLINK__" hidden="1">{"fdsup://Directions/FactSet Auditing Viewer?action=AUDIT_VALUE&amp;DB=129&amp;ID1=16890510&amp;VALUEID=02101&amp;SDATE=200803&amp;PERIODTYPE=QTR_STD&amp;window=popup_no_bar&amp;width=385&amp;height=120&amp;START_MAXIMIZED=FALSE&amp;creator=factset&amp;display_string=Audit"}</definedName>
    <definedName name="_2267__FDSAUDITLINK__" hidden="1">{"fdsup://Directions/FactSet Auditing Viewer?action=AUDIT_VALUE&amp;DB=129&amp;ID1=16890510&amp;VALUEID=01001&amp;SDATE=200803&amp;PERIODTYPE=QTR_STD&amp;window=popup_no_bar&amp;width=385&amp;height=120&amp;START_MAXIMIZED=FALSE&amp;creator=factset&amp;display_string=Audit"}</definedName>
    <definedName name="_2268__FDSAUDITLINK__" hidden="1">{"fdsup://Directions/FactSet Auditing Viewer?action=AUDIT_VALUE&amp;DB=129&amp;ID1=91704710&amp;VALUEID=02101&amp;SDATE=200803&amp;PERIODTYPE=QTR_STD&amp;window=popup_no_bar&amp;width=385&amp;height=120&amp;START_MAXIMIZED=FALSE&amp;creator=factset&amp;display_string=Audit"}</definedName>
    <definedName name="_2269__FDSAUDITLINK__" hidden="1">{"fdsup://Directions/FactSet Auditing Viewer?action=AUDIT_VALUE&amp;DB=129&amp;ID1=91704710&amp;VALUEID=01001&amp;SDATE=200803&amp;PERIODTYPE=QTR_STD&amp;window=popup_no_bar&amp;width=385&amp;height=120&amp;START_MAXIMIZED=FALSE&amp;creator=factset&amp;display_string=Audit"}</definedName>
    <definedName name="_227__FDSAUDITLINK__" hidden="1">{"fdsup://Directions/FactSet Auditing Viewer?action=AUDIT_VALUE&amp;DB=129&amp;ID1=87416110&amp;VALUEID=01001&amp;SDATE=200702&amp;PERIODTYPE=QTR_STD&amp;window=popup_no_bar&amp;width=385&amp;height=120&amp;START_MAXIMIZED=FALSE&amp;creator=factset&amp;display_string=Audit"}</definedName>
    <definedName name="_2270__FDSAUDITLINK__" hidden="1">{"fdsup://Directions/FactSet Auditing Viewer?action=AUDIT_VALUE&amp;DB=129&amp;ID1=91704710&amp;VALUEID=13040&amp;SDATE=200803&amp;PERIODTYPE=QTR_STD&amp;window=popup_no_bar&amp;width=385&amp;height=120&amp;START_MAXIMIZED=FALSE&amp;creator=factset&amp;display_string=Audit"}</definedName>
    <definedName name="_2271__FDSAUDITLINK__" hidden="1">{"fdsup://Directions/FactSet Auditing Viewer?action=AUDIT_VALUE&amp;DB=129&amp;ID1=02553E10&amp;VALUEID=02101&amp;SDATE=200803&amp;PERIODTYPE=QTR_STD&amp;window=popup_no_bar&amp;width=385&amp;height=120&amp;START_MAXIMIZED=FALSE&amp;creator=factset&amp;display_string=Audit"}</definedName>
    <definedName name="_2272__FDSAUDITLINK__" hidden="1">{"fdsup://Directions/FactSet Auditing Viewer?action=AUDIT_VALUE&amp;DB=129&amp;ID1=02553E10&amp;VALUEID=01001&amp;SDATE=200803&amp;PERIODTYPE=QTR_STD&amp;window=popup_no_bar&amp;width=385&amp;height=120&amp;START_MAXIMIZED=FALSE&amp;creator=factset&amp;display_string=Audit"}</definedName>
    <definedName name="_2273__FDSAUDITLINK__" hidden="1">{"fdsup://Directions/FactSet Auditing Viewer?action=AUDIT_VALUE&amp;DB=129&amp;ID1=02553E10&amp;VALUEID=13040&amp;SDATE=200803&amp;PERIODTYPE=QTR_STD&amp;window=popup_no_bar&amp;width=385&amp;height=120&amp;START_MAXIMIZED=FALSE&amp;creator=factset&amp;display_string=Audit"}</definedName>
    <definedName name="_2274__FDSAUDITLINK__" hidden="1">{"fdsup://Directions/FactSet Auditing Viewer?action=AUDIT_VALUE&amp;DB=129&amp;ID1=00786510&amp;VALUEID=02101&amp;SDATE=200803&amp;PERIODTYPE=QTR_STD&amp;window=popup_no_bar&amp;width=385&amp;height=120&amp;START_MAXIMIZED=FALSE&amp;creator=factset&amp;display_string=Audit"}</definedName>
    <definedName name="_2275__FDSAUDITLINK__" hidden="1">{"fdsup://Directions/FactSet Auditing Viewer?action=AUDIT_VALUE&amp;DB=129&amp;ID1=00786510&amp;VALUEID=01001&amp;SDATE=200803&amp;PERIODTYPE=QTR_STD&amp;window=popup_no_bar&amp;width=385&amp;height=120&amp;START_MAXIMIZED=FALSE&amp;creator=factset&amp;display_string=Audit"}</definedName>
    <definedName name="_2276__FDSAUDITLINK__" hidden="1">{"fdsup://Directions/FactSet Auditing Viewer?action=AUDIT_VALUE&amp;DB=129&amp;ID1=00786510&amp;VALUEID=13040&amp;SDATE=200803&amp;PERIODTYPE=QTR_STD&amp;window=popup_no_bar&amp;width=385&amp;height=120&amp;START_MAXIMIZED=FALSE&amp;creator=factset&amp;display_string=Audit"}</definedName>
    <definedName name="_2277__FDSAUDITLINK__" hidden="1">{"fdsup://Directions/FactSet Auditing Viewer?action=AUDIT_VALUE&amp;DB=129&amp;ID1=00289620&amp;VALUEID=02101&amp;SDATE=200803&amp;PERIODTYPE=QTR_STD&amp;window=popup_no_bar&amp;width=385&amp;height=120&amp;START_MAXIMIZED=FALSE&amp;creator=factset&amp;display_string=Audit"}</definedName>
    <definedName name="_2278__FDSAUDITLINK__" hidden="1">{"fdsup://Directions/FactSet Auditing Viewer?action=AUDIT_VALUE&amp;DB=129&amp;ID1=00289620&amp;VALUEID=01001&amp;SDATE=200803&amp;PERIODTYPE=QTR_STD&amp;window=popup_no_bar&amp;width=385&amp;height=120&amp;START_MAXIMIZED=FALSE&amp;creator=factset&amp;display_string=Audit"}</definedName>
    <definedName name="_2279__FDSAUDITLINK__" hidden="1">{"fdsup://Directions/FactSet Auditing Viewer?action=AUDIT_VALUE&amp;DB=129&amp;ID1=00289620&amp;VALUEID=13040&amp;SDATE=200803&amp;PERIODTYPE=QTR_STD&amp;window=popup_no_bar&amp;width=385&amp;height=120&amp;START_MAXIMIZED=FALSE&amp;creator=factset&amp;display_string=Audit"}</definedName>
    <definedName name="_228__FDSAUDITLINK__" hidden="1">{"fdsup://Directions/FactSet Auditing Viewer?action=AUDIT_VALUE&amp;DB=129&amp;ID1=53271610&amp;VALUEID=02101&amp;SDATE=200702&amp;PERIODTYPE=QTR_STD&amp;window=popup_no_bar&amp;width=385&amp;height=120&amp;START_MAXIMIZED=FALSE&amp;creator=factset&amp;display_string=Audit"}</definedName>
    <definedName name="_2280__FDSAUDITLINK__" hidden="1">{"fdsup://Directions/FactSet Auditing Viewer?action=AUDIT_VALUE&amp;DB=129&amp;ID1=87416110&amp;VALUEID=02101&amp;SDATE=200802&amp;PERIODTYPE=QTR_STD&amp;window=popup_no_bar&amp;width=385&amp;height=120&amp;START_MAXIMIZED=FALSE&amp;creator=factset&amp;display_string=Audit"}</definedName>
    <definedName name="_2281__FDSAUDITLINK__" hidden="1">{"fdsup://Directions/FactSet Auditing Viewer?action=AUDIT_VALUE&amp;DB=129&amp;ID1=87416110&amp;VALUEID=01001&amp;SDATE=200802&amp;PERIODTYPE=QTR_STD&amp;window=popup_no_bar&amp;width=385&amp;height=120&amp;START_MAXIMIZED=FALSE&amp;creator=factset&amp;display_string=Audit"}</definedName>
    <definedName name="_2282__FDSAUDITLINK__" hidden="1">{"fdsup://Directions/FactSet Auditing Viewer?action=AUDIT_VALUE&amp;DB=129&amp;ID1=53271610&amp;VALUEID=02101&amp;SDATE=200802&amp;PERIODTYPE=QTR_STD&amp;window=popup_no_bar&amp;width=385&amp;height=120&amp;START_MAXIMIZED=FALSE&amp;creator=factset&amp;display_string=Audit"}</definedName>
    <definedName name="_2283__FDSAUDITLINK__" hidden="1">{"fdsup://Directions/FactSet Auditing Viewer?action=AUDIT_VALUE&amp;DB=129&amp;ID1=53271610&amp;VALUEID=01001&amp;SDATE=200802&amp;PERIODTYPE=QTR_STD&amp;window=popup_no_bar&amp;width=385&amp;height=120&amp;START_MAXIMIZED=FALSE&amp;creator=factset&amp;display_string=Audit"}</definedName>
    <definedName name="_2284__FDSAUDITLINK__" hidden="1">{"fdsup://Directions/FactSet Auditing Viewer?action=AUDIT_VALUE&amp;DB=129&amp;ID1=53271610&amp;VALUEID=13040&amp;SDATE=200802&amp;PERIODTYPE=QTR_STD&amp;window=popup_no_bar&amp;width=385&amp;height=120&amp;START_MAXIMIZED=FALSE&amp;creator=factset&amp;display_string=Audit"}</definedName>
    <definedName name="_2285__FDSAUDITLINK__" hidden="1">{"fdsup://Directions/FactSet Auditing Viewer?action=AUDIT_VALUE&amp;DB=129&amp;ID1=46612H40&amp;VALUEID=02101&amp;SDATE=200802&amp;PERIODTYPE=QTR_STD&amp;window=popup_no_bar&amp;width=385&amp;height=120&amp;START_MAXIMIZED=FALSE&amp;creator=factset&amp;display_string=Audit"}</definedName>
    <definedName name="_2286__FDSAUDITLINK__" hidden="1">{"fdsup://Directions/FactSet Auditing Viewer?action=AUDIT_VALUE&amp;DB=129&amp;ID1=46612H40&amp;VALUEID=01001&amp;SDATE=200802&amp;PERIODTYPE=QTR_STD&amp;window=popup_no_bar&amp;width=385&amp;height=120&amp;START_MAXIMIZED=FALSE&amp;creator=factset&amp;display_string=Audit"}</definedName>
    <definedName name="_2287__FDSAUDITLINK__" hidden="1">{"fdsup://Directions/FactSet Auditing Viewer?action=AUDIT_VALUE&amp;DB=129&amp;ID1=46612H40&amp;VALUEID=13040&amp;SDATE=200802&amp;PERIODTYPE=QTR_STD&amp;window=popup_no_bar&amp;width=385&amp;height=120&amp;START_MAXIMIZED=FALSE&amp;creator=factset&amp;display_string=Audit"}</definedName>
    <definedName name="_2288__FDSAUDITLINK__" hidden="1">{"fdsup://Directions/FactSet Auditing Viewer?action=AUDIT_VALUE&amp;DB=129&amp;ID1=36476010&amp;VALUEID=02101&amp;SDATE=200802&amp;PERIODTYPE=QTR_STD&amp;window=popup_no_bar&amp;width=385&amp;height=120&amp;START_MAXIMIZED=FALSE&amp;creator=factset&amp;display_string=Audit"}</definedName>
    <definedName name="_2289__FDSAUDITLINK__" hidden="1">{"fdsup://Directions/FactSet Auditing Viewer?action=AUDIT_VALUE&amp;DB=129&amp;ID1=36476010&amp;VALUEID=01001&amp;SDATE=200802&amp;PERIODTYPE=QTR_STD&amp;window=popup_no_bar&amp;width=385&amp;height=120&amp;START_MAXIMIZED=FALSE&amp;creator=factset&amp;display_string=Audit"}</definedName>
    <definedName name="_229__FDSAUDITLINK__" hidden="1">{"fdsup://Directions/FactSet Auditing Viewer?action=AUDIT_VALUE&amp;DB=129&amp;ID1=53271610&amp;VALUEID=01001&amp;SDATE=200702&amp;PERIODTYPE=QTR_STD&amp;window=popup_no_bar&amp;width=385&amp;height=120&amp;START_MAXIMIZED=FALSE&amp;creator=factset&amp;display_string=Audit"}</definedName>
    <definedName name="_2290__FDSAUDITLINK__" hidden="1">{"fdsup://Directions/FactSet Auditing Viewer?action=AUDIT_VALUE&amp;DB=129&amp;ID1=36476010&amp;VALUEID=13040&amp;SDATE=200802&amp;PERIODTYPE=QTR_STD&amp;window=popup_no_bar&amp;width=385&amp;height=120&amp;START_MAXIMIZED=FALSE&amp;creator=factset&amp;display_string=Audit"}</definedName>
    <definedName name="_2291__FDSAUDITLINK__" hidden="1">{"fdsup://Directions/FactSet Auditing Viewer?action=AUDIT_VALUE&amp;DB=129&amp;ID1=03611510&amp;VALUEID=02101&amp;SDATE=200802&amp;PERIODTYPE=QTR_STD&amp;window=popup_no_bar&amp;width=385&amp;height=120&amp;START_MAXIMIZED=FALSE&amp;creator=factset&amp;display_string=Audit"}</definedName>
    <definedName name="_2292__FDSAUDITLINK__" hidden="1">{"fdsup://Directions/FactSet Auditing Viewer?action=AUDIT_VALUE&amp;DB=129&amp;ID1=03611510&amp;VALUEID=01001&amp;SDATE=200802&amp;PERIODTYPE=QTR_STD&amp;window=popup_no_bar&amp;width=385&amp;height=120&amp;START_MAXIMIZED=FALSE&amp;creator=factset&amp;display_string=Audit"}</definedName>
    <definedName name="_2293__FDSAUDITLINK__" hidden="1">{"fdsup://Directions/FactSet Auditing Viewer?action=AUDIT_VALUE&amp;DB=129&amp;ID1=16890510&amp;VALUEID=02101&amp;SDATE=200802&amp;PERIODTYPE=QTR_STD&amp;window=popup_no_bar&amp;width=385&amp;height=120&amp;START_MAXIMIZED=FALSE&amp;creator=factset&amp;display_string=Audit"}</definedName>
    <definedName name="_2294__FDSAUDITLINK__" hidden="1">{"fdsup://Directions/FactSet Auditing Viewer?action=AUDIT_VALUE&amp;DB=129&amp;ID1=16890510&amp;VALUEID=01001&amp;SDATE=200802&amp;PERIODTYPE=QTR_STD&amp;window=popup_no_bar&amp;width=385&amp;height=120&amp;START_MAXIMIZED=FALSE&amp;creator=factset&amp;display_string=Audit"}</definedName>
    <definedName name="_2295__FDSAUDITLINK__" hidden="1">{"fdsup://Directions/FactSet Auditing Viewer?action=AUDIT_VALUE&amp;DB=129&amp;ID1=91704710&amp;VALUEID=02101&amp;SDATE=200802&amp;PERIODTYPE=QTR_STD&amp;window=popup_no_bar&amp;width=385&amp;height=120&amp;START_MAXIMIZED=FALSE&amp;creator=factset&amp;display_string=Audit"}</definedName>
    <definedName name="_2296__FDSAUDITLINK__" hidden="1">{"fdsup://Directions/FactSet Auditing Viewer?action=AUDIT_VALUE&amp;DB=129&amp;ID1=91704710&amp;VALUEID=01001&amp;SDATE=200802&amp;PERIODTYPE=QTR_STD&amp;window=popup_no_bar&amp;width=385&amp;height=120&amp;START_MAXIMIZED=FALSE&amp;creator=factset&amp;display_string=Audit"}</definedName>
    <definedName name="_2297__FDSAUDITLINK__" hidden="1">{"fdsup://Directions/FactSet Auditing Viewer?action=AUDIT_VALUE&amp;DB=129&amp;ID1=91704710&amp;VALUEID=13040&amp;SDATE=200802&amp;PERIODTYPE=QTR_STD&amp;window=popup_no_bar&amp;width=385&amp;height=120&amp;START_MAXIMIZED=FALSE&amp;creator=factset&amp;display_string=Audit"}</definedName>
    <definedName name="_2298__FDSAUDITLINK__" hidden="1">{"fdsup://Directions/FactSet Auditing Viewer?action=AUDIT_VALUE&amp;DB=129&amp;ID1=02553E10&amp;VALUEID=02101&amp;SDATE=200802&amp;PERIODTYPE=QTR_STD&amp;window=popup_no_bar&amp;width=385&amp;height=120&amp;START_MAXIMIZED=FALSE&amp;creator=factset&amp;display_string=Audit"}</definedName>
    <definedName name="_2299__FDSAUDITLINK__" hidden="1">{"fdsup://Directions/FactSet Auditing Viewer?action=AUDIT_VALUE&amp;DB=129&amp;ID1=02553E10&amp;VALUEID=01001&amp;SDATE=200802&amp;PERIODTYPE=QTR_STD&amp;window=popup_no_bar&amp;width=385&amp;height=120&amp;START_MAXIMIZED=FALSE&amp;creator=factset&amp;display_string=Audit"}</definedName>
    <definedName name="_23__FDSAUDITLINK__" hidden="1">{"fdsup://Directions/FactSet Auditing Viewer?action=AUDIT_VALUE&amp;DB=129&amp;ID1=46612H40&amp;VALUEID=01001&amp;SDATE=200904&amp;PERIODTYPE=QTR_STD&amp;window=popup_no_bar&amp;width=385&amp;height=120&amp;START_MAXIMIZED=FALSE&amp;creator=factset&amp;display_string=Audit"}</definedName>
    <definedName name="_230__FDSAUDITLINK__" hidden="1">{"fdsup://Directions/FactSet Auditing Viewer?action=AUDIT_VALUE&amp;DB=129&amp;ID1=53271610&amp;VALUEID=13040&amp;SDATE=200702&amp;PERIODTYPE=QTR_STD&amp;window=popup_no_bar&amp;width=385&amp;height=120&amp;START_MAXIMIZED=FALSE&amp;creator=factset&amp;display_string=Audit"}</definedName>
    <definedName name="_2300__FDSAUDITLINK__" hidden="1">{"fdsup://Directions/FactSet Auditing Viewer?action=AUDIT_VALUE&amp;DB=129&amp;ID1=02553E10&amp;VALUEID=13040&amp;SDATE=200802&amp;PERIODTYPE=QTR_STD&amp;window=popup_no_bar&amp;width=385&amp;height=120&amp;START_MAXIMIZED=FALSE&amp;creator=factset&amp;display_string=Audit"}</definedName>
    <definedName name="_2301__FDSAUDITLINK__" hidden="1">{"fdsup://Directions/FactSet Auditing Viewer?action=AUDIT_VALUE&amp;DB=129&amp;ID1=00786510&amp;VALUEID=02101&amp;SDATE=200802&amp;PERIODTYPE=QTR_STD&amp;window=popup_no_bar&amp;width=385&amp;height=120&amp;START_MAXIMIZED=FALSE&amp;creator=factset&amp;display_string=Audit"}</definedName>
    <definedName name="_2302__FDSAUDITLINK__" hidden="1">{"fdsup://Directions/FactSet Auditing Viewer?action=AUDIT_VALUE&amp;DB=129&amp;ID1=00786510&amp;VALUEID=01001&amp;SDATE=200802&amp;PERIODTYPE=QTR_STD&amp;window=popup_no_bar&amp;width=385&amp;height=120&amp;START_MAXIMIZED=FALSE&amp;creator=factset&amp;display_string=Audit"}</definedName>
    <definedName name="_2303__FDSAUDITLINK__" hidden="1">{"fdsup://Directions/FactSet Auditing Viewer?action=AUDIT_VALUE&amp;DB=129&amp;ID1=00786510&amp;VALUEID=13040&amp;SDATE=200802&amp;PERIODTYPE=QTR_STD&amp;window=popup_no_bar&amp;width=385&amp;height=120&amp;START_MAXIMIZED=FALSE&amp;creator=factset&amp;display_string=Audit"}</definedName>
    <definedName name="_2304__FDSAUDITLINK__" hidden="1">{"fdsup://Directions/FactSet Auditing Viewer?action=AUDIT_VALUE&amp;DB=129&amp;ID1=00289620&amp;VALUEID=02101&amp;SDATE=200802&amp;PERIODTYPE=QTR_STD&amp;window=popup_no_bar&amp;width=385&amp;height=120&amp;START_MAXIMIZED=FALSE&amp;creator=factset&amp;display_string=Audit"}</definedName>
    <definedName name="_2305__FDSAUDITLINK__" hidden="1">{"fdsup://Directions/FactSet Auditing Viewer?action=AUDIT_VALUE&amp;DB=129&amp;ID1=00289620&amp;VALUEID=01001&amp;SDATE=200802&amp;PERIODTYPE=QTR_STD&amp;window=popup_no_bar&amp;width=385&amp;height=120&amp;START_MAXIMIZED=FALSE&amp;creator=factset&amp;display_string=Audit"}</definedName>
    <definedName name="_2306__FDSAUDITLINK__" hidden="1">{"fdsup://Directions/FactSet Auditing Viewer?action=AUDIT_VALUE&amp;DB=129&amp;ID1=00289620&amp;VALUEID=13040&amp;SDATE=200802&amp;PERIODTYPE=QTR_STD&amp;window=popup_no_bar&amp;width=385&amp;height=120&amp;START_MAXIMIZED=FALSE&amp;creator=factset&amp;display_string=Audit"}</definedName>
    <definedName name="_2307__FDSAUDITLINK__" hidden="1">{"fdsup://Directions/FactSet Auditing Viewer?action=AUDIT_VALUE&amp;DB=129&amp;ID1=87416110&amp;VALUEID=02101&amp;SDATE=200801&amp;PERIODTYPE=QTR_STD&amp;window=popup_no_bar&amp;width=385&amp;height=120&amp;START_MAXIMIZED=FALSE&amp;creator=factset&amp;display_string=Audit"}</definedName>
    <definedName name="_2308__FDSAUDITLINK__" hidden="1">{"fdsup://Directions/FactSet Auditing Viewer?action=AUDIT_VALUE&amp;DB=129&amp;ID1=87416110&amp;VALUEID=01001&amp;SDATE=200801&amp;PERIODTYPE=QTR_STD&amp;window=popup_no_bar&amp;width=385&amp;height=120&amp;START_MAXIMIZED=FALSE&amp;creator=factset&amp;display_string=Audit"}</definedName>
    <definedName name="_2309__FDSAUDITLINK__" hidden="1">{"fdsup://Directions/FactSet Auditing Viewer?action=AUDIT_VALUE&amp;DB=129&amp;ID1=53271610&amp;VALUEID=02101&amp;SDATE=200801&amp;PERIODTYPE=QTR_STD&amp;window=popup_no_bar&amp;width=385&amp;height=120&amp;START_MAXIMIZED=FALSE&amp;creator=factset&amp;display_string=Audit"}</definedName>
    <definedName name="_231__FDSAUDITLINK__" hidden="1">{"fdsup://Directions/FactSet Auditing Viewer?action=AUDIT_VALUE&amp;DB=129&amp;ID1=46612H40&amp;VALUEID=02101&amp;SDATE=200702&amp;PERIODTYPE=QTR_STD&amp;window=popup_no_bar&amp;width=385&amp;height=120&amp;START_MAXIMIZED=FALSE&amp;creator=factset&amp;display_string=Audit"}</definedName>
    <definedName name="_2310__FDSAUDITLINK__" hidden="1">{"fdsup://Directions/FactSet Auditing Viewer?action=AUDIT_VALUE&amp;DB=129&amp;ID1=53271610&amp;VALUEID=01001&amp;SDATE=200801&amp;PERIODTYPE=QTR_STD&amp;window=popup_no_bar&amp;width=385&amp;height=120&amp;START_MAXIMIZED=FALSE&amp;creator=factset&amp;display_string=Audit"}</definedName>
    <definedName name="_2311__FDSAUDITLINK__" hidden="1">{"fdsup://Directions/FactSet Auditing Viewer?action=AUDIT_VALUE&amp;DB=129&amp;ID1=53271610&amp;VALUEID=13040&amp;SDATE=200801&amp;PERIODTYPE=QTR_STD&amp;window=popup_no_bar&amp;width=385&amp;height=120&amp;START_MAXIMIZED=FALSE&amp;creator=factset&amp;display_string=Audit"}</definedName>
    <definedName name="_2312__FDSAUDITLINK__" hidden="1">{"fdsup://Directions/FactSet Auditing Viewer?action=AUDIT_VALUE&amp;DB=129&amp;ID1=46612H40&amp;VALUEID=02101&amp;SDATE=200801&amp;PERIODTYPE=QTR_STD&amp;window=popup_no_bar&amp;width=385&amp;height=120&amp;START_MAXIMIZED=FALSE&amp;creator=factset&amp;display_string=Audit"}</definedName>
    <definedName name="_2313__FDSAUDITLINK__" hidden="1">{"fdsup://Directions/FactSet Auditing Viewer?action=AUDIT_VALUE&amp;DB=129&amp;ID1=46612H40&amp;VALUEID=01001&amp;SDATE=200801&amp;PERIODTYPE=QTR_STD&amp;window=popup_no_bar&amp;width=385&amp;height=120&amp;START_MAXIMIZED=FALSE&amp;creator=factset&amp;display_string=Audit"}</definedName>
    <definedName name="_2314__FDSAUDITLINK__" hidden="1">{"fdsup://Directions/FactSet Auditing Viewer?action=AUDIT_VALUE&amp;DB=129&amp;ID1=46612H40&amp;VALUEID=13040&amp;SDATE=200801&amp;PERIODTYPE=QTR_STD&amp;window=popup_no_bar&amp;width=385&amp;height=120&amp;START_MAXIMIZED=FALSE&amp;creator=factset&amp;display_string=Audit"}</definedName>
    <definedName name="_2315__FDSAUDITLINK__" hidden="1">{"fdsup://Directions/FactSet Auditing Viewer?action=AUDIT_VALUE&amp;DB=129&amp;ID1=36476010&amp;VALUEID=02101&amp;SDATE=200801&amp;PERIODTYPE=QTR_STD&amp;window=popup_no_bar&amp;width=385&amp;height=120&amp;START_MAXIMIZED=FALSE&amp;creator=factset&amp;display_string=Audit"}</definedName>
    <definedName name="_2316__FDSAUDITLINK__" hidden="1">{"fdsup://Directions/FactSet Auditing Viewer?action=AUDIT_VALUE&amp;DB=129&amp;ID1=36476010&amp;VALUEID=01001&amp;SDATE=200801&amp;PERIODTYPE=QTR_STD&amp;window=popup_no_bar&amp;width=385&amp;height=120&amp;START_MAXIMIZED=FALSE&amp;creator=factset&amp;display_string=Audit"}</definedName>
    <definedName name="_2317__FDSAUDITLINK__" hidden="1">{"fdsup://Directions/FactSet Auditing Viewer?action=AUDIT_VALUE&amp;DB=129&amp;ID1=36476010&amp;VALUEID=13040&amp;SDATE=200801&amp;PERIODTYPE=QTR_STD&amp;window=popup_no_bar&amp;width=385&amp;height=120&amp;START_MAXIMIZED=FALSE&amp;creator=factset&amp;display_string=Audit"}</definedName>
    <definedName name="_2318__FDSAUDITLINK__" hidden="1">{"fdsup://Directions/FactSet Auditing Viewer?action=AUDIT_VALUE&amp;DB=129&amp;ID1=03611510&amp;VALUEID=02101&amp;SDATE=200801&amp;PERIODTYPE=QTR_STD&amp;window=popup_no_bar&amp;width=385&amp;height=120&amp;START_MAXIMIZED=FALSE&amp;creator=factset&amp;display_string=Audit"}</definedName>
    <definedName name="_2319__FDSAUDITLINK__" hidden="1">{"fdsup://Directions/FactSet Auditing Viewer?action=AUDIT_VALUE&amp;DB=129&amp;ID1=03611510&amp;VALUEID=01001&amp;SDATE=200801&amp;PERIODTYPE=QTR_STD&amp;window=popup_no_bar&amp;width=385&amp;height=120&amp;START_MAXIMIZED=FALSE&amp;creator=factset&amp;display_string=Audit"}</definedName>
    <definedName name="_232__FDSAUDITLINK__" hidden="1">{"fdsup://Directions/FactSet Auditing Viewer?action=AUDIT_VALUE&amp;DB=129&amp;ID1=46612H40&amp;VALUEID=01001&amp;SDATE=200702&amp;PERIODTYPE=QTR_STD&amp;window=popup_no_bar&amp;width=385&amp;height=120&amp;START_MAXIMIZED=FALSE&amp;creator=factset&amp;display_string=Audit"}</definedName>
    <definedName name="_2320__FDSAUDITLINK__" hidden="1">{"fdsup://Directions/FactSet Auditing Viewer?action=AUDIT_VALUE&amp;DB=129&amp;ID1=03611510&amp;VALUEID=13040&amp;SDATE=200801&amp;PERIODTYPE=QTR_STD&amp;window=popup_no_bar&amp;width=385&amp;height=120&amp;START_MAXIMIZED=FALSE&amp;creator=factset&amp;display_string=Audit"}</definedName>
    <definedName name="_2321__FDSAUDITLINK__" hidden="1">{"fdsup://Directions/FactSet Auditing Viewer?action=AUDIT_VALUE&amp;DB=129&amp;ID1=16890510&amp;VALUEID=02101&amp;SDATE=200801&amp;PERIODTYPE=QTR_STD&amp;window=popup_no_bar&amp;width=385&amp;height=120&amp;START_MAXIMIZED=FALSE&amp;creator=factset&amp;display_string=Audit"}</definedName>
    <definedName name="_2322__FDSAUDITLINK__" hidden="1">{"fdsup://Directions/FactSet Auditing Viewer?action=AUDIT_VALUE&amp;DB=129&amp;ID1=16890510&amp;VALUEID=01001&amp;SDATE=200801&amp;PERIODTYPE=QTR_STD&amp;window=popup_no_bar&amp;width=385&amp;height=120&amp;START_MAXIMIZED=FALSE&amp;creator=factset&amp;display_string=Audit"}</definedName>
    <definedName name="_2323__FDSAUDITLINK__" hidden="1">{"fdsup://Directions/FactSet Auditing Viewer?action=AUDIT_VALUE&amp;DB=129&amp;ID1=91704710&amp;VALUEID=02101&amp;SDATE=200801&amp;PERIODTYPE=QTR_STD&amp;window=popup_no_bar&amp;width=385&amp;height=120&amp;START_MAXIMIZED=FALSE&amp;creator=factset&amp;display_string=Audit"}</definedName>
    <definedName name="_2324__FDSAUDITLINK__" hidden="1">{"fdsup://Directions/FactSet Auditing Viewer?action=AUDIT_VALUE&amp;DB=129&amp;ID1=91704710&amp;VALUEID=01001&amp;SDATE=200801&amp;PERIODTYPE=QTR_STD&amp;window=popup_no_bar&amp;width=385&amp;height=120&amp;START_MAXIMIZED=FALSE&amp;creator=factset&amp;display_string=Audit"}</definedName>
    <definedName name="_2325__FDSAUDITLINK__" hidden="1">{"fdsup://Directions/FactSet Auditing Viewer?action=AUDIT_VALUE&amp;DB=129&amp;ID1=91704710&amp;VALUEID=13040&amp;SDATE=200801&amp;PERIODTYPE=QTR_STD&amp;window=popup_no_bar&amp;width=385&amp;height=120&amp;START_MAXIMIZED=FALSE&amp;creator=factset&amp;display_string=Audit"}</definedName>
    <definedName name="_2326__FDSAUDITLINK__" hidden="1">{"fdsup://Directions/FactSet Auditing Viewer?action=AUDIT_VALUE&amp;DB=129&amp;ID1=02553E10&amp;VALUEID=02101&amp;SDATE=200801&amp;PERIODTYPE=QTR_STD&amp;window=popup_no_bar&amp;width=385&amp;height=120&amp;START_MAXIMIZED=FALSE&amp;creator=factset&amp;display_string=Audit"}</definedName>
    <definedName name="_2327__FDSAUDITLINK__" hidden="1">{"fdsup://Directions/FactSet Auditing Viewer?action=AUDIT_VALUE&amp;DB=129&amp;ID1=02553E10&amp;VALUEID=01001&amp;SDATE=200801&amp;PERIODTYPE=QTR_STD&amp;window=popup_no_bar&amp;width=385&amp;height=120&amp;START_MAXIMIZED=FALSE&amp;creator=factset&amp;display_string=Audit"}</definedName>
    <definedName name="_2328__FDSAUDITLINK__" hidden="1">{"fdsup://Directions/FactSet Auditing Viewer?action=AUDIT_VALUE&amp;DB=129&amp;ID1=02553E10&amp;VALUEID=13040&amp;SDATE=200801&amp;PERIODTYPE=QTR_STD&amp;window=popup_no_bar&amp;width=385&amp;height=120&amp;START_MAXIMIZED=FALSE&amp;creator=factset&amp;display_string=Audit"}</definedName>
    <definedName name="_2329__FDSAUDITLINK__" hidden="1">{"fdsup://Directions/FactSet Auditing Viewer?action=AUDIT_VALUE&amp;DB=129&amp;ID1=00786510&amp;VALUEID=02101&amp;SDATE=200801&amp;PERIODTYPE=QTR_STD&amp;window=popup_no_bar&amp;width=385&amp;height=120&amp;START_MAXIMIZED=FALSE&amp;creator=factset&amp;display_string=Audit"}</definedName>
    <definedName name="_233__FDSAUDITLINK__" hidden="1">{"fdsup://Directions/FactSet Auditing Viewer?action=AUDIT_VALUE&amp;DB=129&amp;ID1=46612H40&amp;VALUEID=13040&amp;SDATE=200702&amp;PERIODTYPE=QTR_STD&amp;window=popup_no_bar&amp;width=385&amp;height=120&amp;START_MAXIMIZED=FALSE&amp;creator=factset&amp;display_string=Audit"}</definedName>
    <definedName name="_2330__FDSAUDITLINK__" hidden="1">{"fdsup://Directions/FactSet Auditing Viewer?action=AUDIT_VALUE&amp;DB=129&amp;ID1=00786510&amp;VALUEID=01001&amp;SDATE=200801&amp;PERIODTYPE=QTR_STD&amp;window=popup_no_bar&amp;width=385&amp;height=120&amp;START_MAXIMIZED=FALSE&amp;creator=factset&amp;display_string=Audit"}</definedName>
    <definedName name="_2331__FDSAUDITLINK__" hidden="1">{"fdsup://Directions/FactSet Auditing Viewer?action=AUDIT_VALUE&amp;DB=129&amp;ID1=00786510&amp;VALUEID=13040&amp;SDATE=200801&amp;PERIODTYPE=QTR_STD&amp;window=popup_no_bar&amp;width=385&amp;height=120&amp;START_MAXIMIZED=FALSE&amp;creator=factset&amp;display_string=Audit"}</definedName>
    <definedName name="_2332__FDSAUDITLINK__" hidden="1">{"fdsup://Directions/FactSet Auditing Viewer?action=AUDIT_VALUE&amp;DB=129&amp;ID1=00289620&amp;VALUEID=02101&amp;SDATE=200801&amp;PERIODTYPE=QTR_STD&amp;window=popup_no_bar&amp;width=385&amp;height=120&amp;START_MAXIMIZED=FALSE&amp;creator=factset&amp;display_string=Audit"}</definedName>
    <definedName name="_2333__FDSAUDITLINK__" hidden="1">{"fdsup://Directions/FactSet Auditing Viewer?action=AUDIT_VALUE&amp;DB=129&amp;ID1=00289620&amp;VALUEID=01001&amp;SDATE=200801&amp;PERIODTYPE=QTR_STD&amp;window=popup_no_bar&amp;width=385&amp;height=120&amp;START_MAXIMIZED=FALSE&amp;creator=factset&amp;display_string=Audit"}</definedName>
    <definedName name="_2334__FDSAUDITLINK__" hidden="1">{"fdsup://Directions/FactSet Auditing Viewer?action=AUDIT_VALUE&amp;DB=129&amp;ID1=00289620&amp;VALUEID=13040&amp;SDATE=200801&amp;PERIODTYPE=QTR_STD&amp;window=popup_no_bar&amp;width=385&amp;height=120&amp;START_MAXIMIZED=FALSE&amp;creator=factset&amp;display_string=Audit"}</definedName>
    <definedName name="_2335__FDSAUDITLINK__" hidden="1">{"fdsup://Directions/FactSet Auditing Viewer?action=AUDIT_VALUE&amp;DB=129&amp;ID1=87416110&amp;VALUEID=01001&amp;SDATE=200704&amp;PERIODTYPE=QTR_STD&amp;window=popup_no_bar&amp;width=385&amp;height=120&amp;START_MAXIMIZED=FALSE&amp;creator=factset&amp;display_string=Audit"}</definedName>
    <definedName name="_2336__FDSAUDITLINK__" hidden="1">{"fdsup://Directions/FactSet Auditing Viewer?action=AUDIT_VALUE&amp;DB=129&amp;ID1=46612H40&amp;VALUEID=01001&amp;SDATE=200704&amp;PERIODTYPE=QTR_STD&amp;window=popup_no_bar&amp;width=385&amp;height=120&amp;START_MAXIMIZED=FALSE&amp;creator=factset&amp;display_string=Audit"}</definedName>
    <definedName name="_2337__FDSAUDITLINK__" hidden="1">{"fdsup://Directions/FactSet Auditing Viewer?action=AUDIT_VALUE&amp;DB=129&amp;ID1=46612H40&amp;VALUEID=13040&amp;SDATE=200704&amp;PERIODTYPE=QTR_STD&amp;window=popup_no_bar&amp;width=385&amp;height=120&amp;START_MAXIMIZED=FALSE&amp;creator=factset&amp;display_string=Audit"}</definedName>
    <definedName name="_2338__FDSAUDITLINK__" hidden="1">{"fdsup://Directions/FactSet Auditing Viewer?action=AUDIT_VALUE&amp;DB=129&amp;ID1=36476010&amp;VALUEID=01001&amp;SDATE=200704&amp;PERIODTYPE=QTR_STD&amp;window=popup_no_bar&amp;width=385&amp;height=120&amp;START_MAXIMIZED=FALSE&amp;creator=factset&amp;display_string=Audit"}</definedName>
    <definedName name="_2339__FDSAUDITLINK__" hidden="1">{"fdsup://Directions/FactSet Auditing Viewer?action=AUDIT_VALUE&amp;DB=129&amp;ID1=03611510&amp;VALUEID=01001&amp;SDATE=200704&amp;PERIODTYPE=QTR_STD&amp;window=popup_no_bar&amp;width=385&amp;height=120&amp;START_MAXIMIZED=FALSE&amp;creator=factset&amp;display_string=Audit"}</definedName>
    <definedName name="_234__FDSAUDITLINK__" hidden="1">{"fdsup://Directions/FactSet Auditing Viewer?action=AUDIT_VALUE&amp;DB=129&amp;ID1=36476010&amp;VALUEID=02101&amp;SDATE=200702&amp;PERIODTYPE=QTR_STD&amp;window=popup_no_bar&amp;width=385&amp;height=120&amp;START_MAXIMIZED=FALSE&amp;creator=factset&amp;display_string=Audit"}</definedName>
    <definedName name="_2340__FDSAUDITLINK__" hidden="1">{"fdsup://Directions/FactSet Auditing Viewer?action=AUDIT_VALUE&amp;DB=129&amp;ID1=03611510&amp;VALUEID=13040&amp;SDATE=200704&amp;PERIODTYPE=QTR_STD&amp;window=popup_no_bar&amp;width=385&amp;height=120&amp;START_MAXIMIZED=FALSE&amp;creator=factset&amp;display_string=Audit"}</definedName>
    <definedName name="_2341__FDSAUDITLINK__" hidden="1">{"fdsup://Directions/FactSet Auditing Viewer?action=AUDIT_VALUE&amp;DB=129&amp;ID1=16890510&amp;VALUEID=01001&amp;SDATE=200704&amp;PERIODTYPE=QTR_STD&amp;window=popup_no_bar&amp;width=385&amp;height=120&amp;START_MAXIMIZED=FALSE&amp;creator=factset&amp;display_string=Audit"}</definedName>
    <definedName name="_2342__FDSAUDITLINK__" hidden="1">{"fdsup://Directions/FactSet Auditing Viewer?action=AUDIT_VALUE&amp;DB=129&amp;ID1=00786510&amp;VALUEID=01001&amp;SDATE=200704&amp;PERIODTYPE=QTR_STD&amp;window=popup_no_bar&amp;width=385&amp;height=120&amp;START_MAXIMIZED=FALSE&amp;creator=factset&amp;display_string=Audit"}</definedName>
    <definedName name="_2343__FDSAUDITLINK__" hidden="1">{"fdsup://Directions/FactSet Auditing Viewer?action=AUDIT_VALUE&amp;DB=129&amp;ID1=87416110&amp;VALUEID=02101&amp;SDATE=200703&amp;PERIODTYPE=QTR_STD&amp;window=popup_no_bar&amp;width=385&amp;height=120&amp;START_MAXIMIZED=FALSE&amp;creator=factset&amp;display_string=Audit"}</definedName>
    <definedName name="_2344__FDSAUDITLINK__" hidden="1">{"fdsup://Directions/FactSet Auditing Viewer?action=AUDIT_VALUE&amp;DB=129&amp;ID1=87416110&amp;VALUEID=01001&amp;SDATE=200703&amp;PERIODTYPE=QTR_STD&amp;window=popup_no_bar&amp;width=385&amp;height=120&amp;START_MAXIMIZED=FALSE&amp;creator=factset&amp;display_string=Audit"}</definedName>
    <definedName name="_2345__FDSAUDITLINK__" hidden="1">{"fdsup://Directions/FactSet Auditing Viewer?action=AUDIT_VALUE&amp;DB=129&amp;ID1=53271610&amp;VALUEID=02101&amp;SDATE=200703&amp;PERIODTYPE=QTR_STD&amp;window=popup_no_bar&amp;width=385&amp;height=120&amp;START_MAXIMIZED=FALSE&amp;creator=factset&amp;display_string=Audit"}</definedName>
    <definedName name="_2346__FDSAUDITLINK__" hidden="1">{"fdsup://Directions/FactSet Auditing Viewer?action=AUDIT_VALUE&amp;DB=129&amp;ID1=53271610&amp;VALUEID=01001&amp;SDATE=200703&amp;PERIODTYPE=QTR_STD&amp;window=popup_no_bar&amp;width=385&amp;height=120&amp;START_MAXIMIZED=FALSE&amp;creator=factset&amp;display_string=Audit"}</definedName>
    <definedName name="_2347__FDSAUDITLINK__" hidden="1">{"fdsup://Directions/FactSet Auditing Viewer?action=AUDIT_VALUE&amp;DB=129&amp;ID1=53271610&amp;VALUEID=13040&amp;SDATE=200703&amp;PERIODTYPE=QTR_STD&amp;window=popup_no_bar&amp;width=385&amp;height=120&amp;START_MAXIMIZED=FALSE&amp;creator=factset&amp;display_string=Audit"}</definedName>
    <definedName name="_2348__FDSAUDITLINK__" hidden="1">{"fdsup://Directions/FactSet Auditing Viewer?action=AUDIT_VALUE&amp;DB=129&amp;ID1=46612H40&amp;VALUEID=02101&amp;SDATE=200703&amp;PERIODTYPE=QTR_STD&amp;window=popup_no_bar&amp;width=385&amp;height=120&amp;START_MAXIMIZED=FALSE&amp;creator=factset&amp;display_string=Audit"}</definedName>
    <definedName name="_2349__FDSAUDITLINK__" hidden="1">{"fdsup://Directions/FactSet Auditing Viewer?action=AUDIT_VALUE&amp;DB=129&amp;ID1=46612H40&amp;VALUEID=01001&amp;SDATE=200703&amp;PERIODTYPE=QTR_STD&amp;window=popup_no_bar&amp;width=385&amp;height=120&amp;START_MAXIMIZED=FALSE&amp;creator=factset&amp;display_string=Audit"}</definedName>
    <definedName name="_235__FDSAUDITLINK__" hidden="1">{"fdsup://Directions/FactSet Auditing Viewer?action=AUDIT_VALUE&amp;DB=129&amp;ID1=36476010&amp;VALUEID=01001&amp;SDATE=200702&amp;PERIODTYPE=QTR_STD&amp;window=popup_no_bar&amp;width=385&amp;height=120&amp;START_MAXIMIZED=FALSE&amp;creator=factset&amp;display_string=Audit"}</definedName>
    <definedName name="_2350__FDSAUDITLINK__" hidden="1">{"fdsup://Directions/FactSet Auditing Viewer?action=AUDIT_VALUE&amp;DB=129&amp;ID1=46612H40&amp;VALUEID=13040&amp;SDATE=200703&amp;PERIODTYPE=QTR_STD&amp;window=popup_no_bar&amp;width=385&amp;height=120&amp;START_MAXIMIZED=FALSE&amp;creator=factset&amp;display_string=Audit"}</definedName>
    <definedName name="_2351__FDSAUDITLINK__" hidden="1">{"fdsup://Directions/FactSet Auditing Viewer?action=AUDIT_VALUE&amp;DB=129&amp;ID1=36476010&amp;VALUEID=02101&amp;SDATE=200703&amp;PERIODTYPE=QTR_STD&amp;window=popup_no_bar&amp;width=385&amp;height=120&amp;START_MAXIMIZED=FALSE&amp;creator=factset&amp;display_string=Audit"}</definedName>
    <definedName name="_2352__FDSAUDITLINK__" hidden="1">{"fdsup://Directions/FactSet Auditing Viewer?action=AUDIT_VALUE&amp;DB=129&amp;ID1=36476010&amp;VALUEID=01001&amp;SDATE=200703&amp;PERIODTYPE=QTR_STD&amp;window=popup_no_bar&amp;width=385&amp;height=120&amp;START_MAXIMIZED=FALSE&amp;creator=factset&amp;display_string=Audit"}</definedName>
    <definedName name="_2353__FDSAUDITLINK__" hidden="1">{"fdsup://Directions/FactSet Auditing Viewer?action=AUDIT_VALUE&amp;DB=129&amp;ID1=36476010&amp;VALUEID=13040&amp;SDATE=200703&amp;PERIODTYPE=QTR_STD&amp;window=popup_no_bar&amp;width=385&amp;height=120&amp;START_MAXIMIZED=FALSE&amp;creator=factset&amp;display_string=Audit"}</definedName>
    <definedName name="_2354__FDSAUDITLINK__" hidden="1">{"fdsup://Directions/FactSet Auditing Viewer?action=AUDIT_VALUE&amp;DB=129&amp;ID1=03611510&amp;VALUEID=02101&amp;SDATE=200703&amp;PERIODTYPE=QTR_STD&amp;window=popup_no_bar&amp;width=385&amp;height=120&amp;START_MAXIMIZED=FALSE&amp;creator=factset&amp;display_string=Audit"}</definedName>
    <definedName name="_2355__FDSAUDITLINK__" hidden="1">{"fdsup://Directions/FactSet Auditing Viewer?action=AUDIT_VALUE&amp;DB=129&amp;ID1=03611510&amp;VALUEID=01001&amp;SDATE=200703&amp;PERIODTYPE=QTR_STD&amp;window=popup_no_bar&amp;width=385&amp;height=120&amp;START_MAXIMIZED=FALSE&amp;creator=factset&amp;display_string=Audit"}</definedName>
    <definedName name="_2356__FDSAUDITLINK__" hidden="1">{"fdsup://Directions/FactSet Auditing Viewer?action=AUDIT_VALUE&amp;DB=129&amp;ID1=03611510&amp;VALUEID=13040&amp;SDATE=200703&amp;PERIODTYPE=QTR_STD&amp;window=popup_no_bar&amp;width=385&amp;height=120&amp;START_MAXIMIZED=FALSE&amp;creator=factset&amp;display_string=Audit"}</definedName>
    <definedName name="_2357__FDSAUDITLINK__" hidden="1">{"fdsup://Directions/FactSet Auditing Viewer?action=AUDIT_VALUE&amp;DB=129&amp;ID1=16890510&amp;VALUEID=02101&amp;SDATE=200703&amp;PERIODTYPE=QTR_STD&amp;window=popup_no_bar&amp;width=385&amp;height=120&amp;START_MAXIMIZED=FALSE&amp;creator=factset&amp;display_string=Audit"}</definedName>
    <definedName name="_2358__FDSAUDITLINK__" hidden="1">{"fdsup://Directions/FactSet Auditing Viewer?action=AUDIT_VALUE&amp;DB=129&amp;ID1=16890510&amp;VALUEID=01001&amp;SDATE=200703&amp;PERIODTYPE=QTR_STD&amp;window=popup_no_bar&amp;width=385&amp;height=120&amp;START_MAXIMIZED=FALSE&amp;creator=factset&amp;display_string=Audit"}</definedName>
    <definedName name="_2359__FDSAUDITLINK__" hidden="1">{"fdsup://Directions/FactSet Auditing Viewer?action=AUDIT_VALUE&amp;DB=129&amp;ID1=91704710&amp;VALUEID=02101&amp;SDATE=200703&amp;PERIODTYPE=QTR_STD&amp;window=popup_no_bar&amp;width=385&amp;height=120&amp;START_MAXIMIZED=FALSE&amp;creator=factset&amp;display_string=Audit"}</definedName>
    <definedName name="_236__FDSAUDITLINK__" hidden="1">{"fdsup://Directions/FactSet Auditing Viewer?action=AUDIT_VALUE&amp;DB=129&amp;ID1=03611510&amp;VALUEID=02101&amp;SDATE=200702&amp;PERIODTYPE=QTR_STD&amp;window=popup_no_bar&amp;width=385&amp;height=120&amp;START_MAXIMIZED=FALSE&amp;creator=factset&amp;display_string=Audit"}</definedName>
    <definedName name="_2360__FDSAUDITLINK__" hidden="1">{"fdsup://Directions/FactSet Auditing Viewer?action=AUDIT_VALUE&amp;DB=129&amp;ID1=91704710&amp;VALUEID=01001&amp;SDATE=200703&amp;PERIODTYPE=QTR_STD&amp;window=popup_no_bar&amp;width=385&amp;height=120&amp;START_MAXIMIZED=FALSE&amp;creator=factset&amp;display_string=Audit"}</definedName>
    <definedName name="_2361__FDSAUDITLINK__" hidden="1">{"fdsup://Directions/FactSet Auditing Viewer?action=AUDIT_VALUE&amp;DB=129&amp;ID1=91704710&amp;VALUEID=13040&amp;SDATE=200703&amp;PERIODTYPE=QTR_STD&amp;window=popup_no_bar&amp;width=385&amp;height=120&amp;START_MAXIMIZED=FALSE&amp;creator=factset&amp;display_string=Audit"}</definedName>
    <definedName name="_2362__FDSAUDITLINK__" hidden="1">{"fdsup://Directions/FactSet Auditing Viewer?action=AUDIT_VALUE&amp;DB=129&amp;ID1=02553E10&amp;VALUEID=02101&amp;SDATE=200703&amp;PERIODTYPE=QTR_STD&amp;window=popup_no_bar&amp;width=385&amp;height=120&amp;START_MAXIMIZED=FALSE&amp;creator=factset&amp;display_string=Audit"}</definedName>
    <definedName name="_2363__FDSAUDITLINK__" hidden="1">{"fdsup://Directions/FactSet Auditing Viewer?action=AUDIT_VALUE&amp;DB=129&amp;ID1=02553E10&amp;VALUEID=01001&amp;SDATE=200703&amp;PERIODTYPE=QTR_STD&amp;window=popup_no_bar&amp;width=385&amp;height=120&amp;START_MAXIMIZED=FALSE&amp;creator=factset&amp;display_string=Audit"}</definedName>
    <definedName name="_2364__FDSAUDITLINK__" hidden="1">{"fdsup://Directions/FactSet Auditing Viewer?action=AUDIT_VALUE&amp;DB=129&amp;ID1=00786510&amp;VALUEID=02101&amp;SDATE=200703&amp;PERIODTYPE=QTR_STD&amp;window=popup_no_bar&amp;width=385&amp;height=120&amp;START_MAXIMIZED=FALSE&amp;creator=factset&amp;display_string=Audit"}</definedName>
    <definedName name="_2365__FDSAUDITLINK__" hidden="1">{"fdsup://Directions/FactSet Auditing Viewer?action=AUDIT_VALUE&amp;DB=129&amp;ID1=00786510&amp;VALUEID=01001&amp;SDATE=200703&amp;PERIODTYPE=QTR_STD&amp;window=popup_no_bar&amp;width=385&amp;height=120&amp;START_MAXIMIZED=FALSE&amp;creator=factset&amp;display_string=Audit"}</definedName>
    <definedName name="_2366__FDSAUDITLINK__" hidden="1">{"fdsup://Directions/FactSet Auditing Viewer?action=AUDIT_VALUE&amp;DB=129&amp;ID1=00786510&amp;VALUEID=13040&amp;SDATE=200703&amp;PERIODTYPE=QTR_STD&amp;window=popup_no_bar&amp;width=385&amp;height=120&amp;START_MAXIMIZED=FALSE&amp;creator=factset&amp;display_string=Audit"}</definedName>
    <definedName name="_2367__FDSAUDITLINK__" hidden="1">{"fdsup://Directions/FactSet Auditing Viewer?action=AUDIT_VALUE&amp;DB=129&amp;ID1=00289620&amp;VALUEID=02101&amp;SDATE=200703&amp;PERIODTYPE=QTR_STD&amp;window=popup_no_bar&amp;width=385&amp;height=120&amp;START_MAXIMIZED=FALSE&amp;creator=factset&amp;display_string=Audit"}</definedName>
    <definedName name="_2368__FDSAUDITLINK__" hidden="1">{"fdsup://Directions/FactSet Auditing Viewer?action=AUDIT_VALUE&amp;DB=129&amp;ID1=00289620&amp;VALUEID=01001&amp;SDATE=200703&amp;PERIODTYPE=QTR_STD&amp;window=popup_no_bar&amp;width=385&amp;height=120&amp;START_MAXIMIZED=FALSE&amp;creator=factset&amp;display_string=Audit"}</definedName>
    <definedName name="_2369__FDSAUDITLINK__" hidden="1">{"fdsup://Directions/FactSet Auditing Viewer?action=AUDIT_VALUE&amp;DB=129&amp;ID1=00289620&amp;VALUEID=13040&amp;SDATE=200703&amp;PERIODTYPE=QTR_STD&amp;window=popup_no_bar&amp;width=385&amp;height=120&amp;START_MAXIMIZED=FALSE&amp;creator=factset&amp;display_string=Audit"}</definedName>
    <definedName name="_237__FDSAUDITLINK__" hidden="1">{"fdsup://Directions/FactSet Auditing Viewer?action=AUDIT_VALUE&amp;DB=129&amp;ID1=03611510&amp;VALUEID=01001&amp;SDATE=200702&amp;PERIODTYPE=QTR_STD&amp;window=popup_no_bar&amp;width=385&amp;height=120&amp;START_MAXIMIZED=FALSE&amp;creator=factset&amp;display_string=Audit"}</definedName>
    <definedName name="_2370__FDSAUDITLINK__" hidden="1">{"fdsup://Directions/FactSet Auditing Viewer?action=AUDIT_VALUE&amp;DB=129&amp;ID1=87416110&amp;VALUEID=02101&amp;SDATE=200702&amp;PERIODTYPE=QTR_STD&amp;window=popup_no_bar&amp;width=385&amp;height=120&amp;START_MAXIMIZED=FALSE&amp;creator=factset&amp;display_string=Audit"}</definedName>
    <definedName name="_2371__FDSAUDITLINK__" hidden="1">{"fdsup://Directions/FactSet Auditing Viewer?action=AUDIT_VALUE&amp;DB=129&amp;ID1=87416110&amp;VALUEID=01001&amp;SDATE=200702&amp;PERIODTYPE=QTR_STD&amp;window=popup_no_bar&amp;width=385&amp;height=120&amp;START_MAXIMIZED=FALSE&amp;creator=factset&amp;display_string=Audit"}</definedName>
    <definedName name="_2372__FDSAUDITLINK__" hidden="1">{"fdsup://Directions/FactSet Auditing Viewer?action=AUDIT_VALUE&amp;DB=129&amp;ID1=53271610&amp;VALUEID=02101&amp;SDATE=200702&amp;PERIODTYPE=QTR_STD&amp;window=popup_no_bar&amp;width=385&amp;height=120&amp;START_MAXIMIZED=FALSE&amp;creator=factset&amp;display_string=Audit"}</definedName>
    <definedName name="_2373__FDSAUDITLINK__" hidden="1">{"fdsup://Directions/FactSet Auditing Viewer?action=AUDIT_VALUE&amp;DB=129&amp;ID1=53271610&amp;VALUEID=01001&amp;SDATE=200702&amp;PERIODTYPE=QTR_STD&amp;window=popup_no_bar&amp;width=385&amp;height=120&amp;START_MAXIMIZED=FALSE&amp;creator=factset&amp;display_string=Audit"}</definedName>
    <definedName name="_2374__FDSAUDITLINK__" hidden="1">{"fdsup://Directions/FactSet Auditing Viewer?action=AUDIT_VALUE&amp;DB=129&amp;ID1=53271610&amp;VALUEID=13040&amp;SDATE=200702&amp;PERIODTYPE=QTR_STD&amp;window=popup_no_bar&amp;width=385&amp;height=120&amp;START_MAXIMIZED=FALSE&amp;creator=factset&amp;display_string=Audit"}</definedName>
    <definedName name="_2375__FDSAUDITLINK__" hidden="1">{"fdsup://Directions/FactSet Auditing Viewer?action=AUDIT_VALUE&amp;DB=129&amp;ID1=46612H40&amp;VALUEID=02101&amp;SDATE=200702&amp;PERIODTYPE=QTR_STD&amp;window=popup_no_bar&amp;width=385&amp;height=120&amp;START_MAXIMIZED=FALSE&amp;creator=factset&amp;display_string=Audit"}</definedName>
    <definedName name="_2376__FDSAUDITLINK__" hidden="1">{"fdsup://Directions/FactSet Auditing Viewer?action=AUDIT_VALUE&amp;DB=129&amp;ID1=46612H40&amp;VALUEID=01001&amp;SDATE=200702&amp;PERIODTYPE=QTR_STD&amp;window=popup_no_bar&amp;width=385&amp;height=120&amp;START_MAXIMIZED=FALSE&amp;creator=factset&amp;display_string=Audit"}</definedName>
    <definedName name="_2377__FDSAUDITLINK__" hidden="1">{"fdsup://Directions/FactSet Auditing Viewer?action=AUDIT_VALUE&amp;DB=129&amp;ID1=46612H40&amp;VALUEID=13040&amp;SDATE=200702&amp;PERIODTYPE=QTR_STD&amp;window=popup_no_bar&amp;width=385&amp;height=120&amp;START_MAXIMIZED=FALSE&amp;creator=factset&amp;display_string=Audit"}</definedName>
    <definedName name="_2378__FDSAUDITLINK__" hidden="1">{"fdsup://Directions/FactSet Auditing Viewer?action=AUDIT_VALUE&amp;DB=129&amp;ID1=36476010&amp;VALUEID=02101&amp;SDATE=200702&amp;PERIODTYPE=QTR_STD&amp;window=popup_no_bar&amp;width=385&amp;height=120&amp;START_MAXIMIZED=FALSE&amp;creator=factset&amp;display_string=Audit"}</definedName>
    <definedName name="_2379__FDSAUDITLINK__" hidden="1">{"fdsup://Directions/FactSet Auditing Viewer?action=AUDIT_VALUE&amp;DB=129&amp;ID1=36476010&amp;VALUEID=01001&amp;SDATE=200702&amp;PERIODTYPE=QTR_STD&amp;window=popup_no_bar&amp;width=385&amp;height=120&amp;START_MAXIMIZED=FALSE&amp;creator=factset&amp;display_string=Audit"}</definedName>
    <definedName name="_238__FDSAUDITLINK__" hidden="1">{"fdsup://Directions/FactSet Auditing Viewer?action=AUDIT_VALUE&amp;DB=129&amp;ID1=03611510&amp;VALUEID=13040&amp;SDATE=200702&amp;PERIODTYPE=QTR_STD&amp;window=popup_no_bar&amp;width=385&amp;height=120&amp;START_MAXIMIZED=FALSE&amp;creator=factset&amp;display_string=Audit"}</definedName>
    <definedName name="_2380__FDSAUDITLINK__" hidden="1">{"fdsup://Directions/FactSet Auditing Viewer?action=AUDIT_VALUE&amp;DB=129&amp;ID1=03611510&amp;VALUEID=02101&amp;SDATE=200702&amp;PERIODTYPE=QTR_STD&amp;window=popup_no_bar&amp;width=385&amp;height=120&amp;START_MAXIMIZED=FALSE&amp;creator=factset&amp;display_string=Audit"}</definedName>
    <definedName name="_2381__FDSAUDITLINK__" hidden="1">{"fdsup://Directions/FactSet Auditing Viewer?action=AUDIT_VALUE&amp;DB=129&amp;ID1=03611510&amp;VALUEID=01001&amp;SDATE=200702&amp;PERIODTYPE=QTR_STD&amp;window=popup_no_bar&amp;width=385&amp;height=120&amp;START_MAXIMIZED=FALSE&amp;creator=factset&amp;display_string=Audit"}</definedName>
    <definedName name="_2382__FDSAUDITLINK__" hidden="1">{"fdsup://Directions/FactSet Auditing Viewer?action=AUDIT_VALUE&amp;DB=129&amp;ID1=03611510&amp;VALUEID=13040&amp;SDATE=200702&amp;PERIODTYPE=QTR_STD&amp;window=popup_no_bar&amp;width=385&amp;height=120&amp;START_MAXIMIZED=FALSE&amp;creator=factset&amp;display_string=Audit"}</definedName>
    <definedName name="_2383__FDSAUDITLINK__" hidden="1">{"fdsup://Directions/FactSet Auditing Viewer?action=AUDIT_VALUE&amp;DB=129&amp;ID1=16890510&amp;VALUEID=02101&amp;SDATE=200702&amp;PERIODTYPE=QTR_STD&amp;window=popup_no_bar&amp;width=385&amp;height=120&amp;START_MAXIMIZED=FALSE&amp;creator=factset&amp;display_string=Audit"}</definedName>
    <definedName name="_2384__FDSAUDITLINK__" hidden="1">{"fdsup://Directions/FactSet Auditing Viewer?action=AUDIT_VALUE&amp;DB=129&amp;ID1=16890510&amp;VALUEID=01001&amp;SDATE=200702&amp;PERIODTYPE=QTR_STD&amp;window=popup_no_bar&amp;width=385&amp;height=120&amp;START_MAXIMIZED=FALSE&amp;creator=factset&amp;display_string=Audit"}</definedName>
    <definedName name="_2385__FDSAUDITLINK__" hidden="1">{"fdsup://Directions/FactSet Auditing Viewer?action=AUDIT_VALUE&amp;DB=129&amp;ID1=91704710&amp;VALUEID=02101&amp;SDATE=200702&amp;PERIODTYPE=QTR_STD&amp;window=popup_no_bar&amp;width=385&amp;height=120&amp;START_MAXIMIZED=FALSE&amp;creator=factset&amp;display_string=Audit"}</definedName>
    <definedName name="_2386__FDSAUDITLINK__" hidden="1">{"fdsup://Directions/FactSet Auditing Viewer?action=AUDIT_VALUE&amp;DB=129&amp;ID1=91704710&amp;VALUEID=01001&amp;SDATE=200702&amp;PERIODTYPE=QTR_STD&amp;window=popup_no_bar&amp;width=385&amp;height=120&amp;START_MAXIMIZED=FALSE&amp;creator=factset&amp;display_string=Audit"}</definedName>
    <definedName name="_2387__FDSAUDITLINK__" hidden="1">{"fdsup://Directions/FactSet Auditing Viewer?action=AUDIT_VALUE&amp;DB=129&amp;ID1=91704710&amp;VALUEID=13040&amp;SDATE=200702&amp;PERIODTYPE=QTR_STD&amp;window=popup_no_bar&amp;width=385&amp;height=120&amp;START_MAXIMIZED=FALSE&amp;creator=factset&amp;display_string=Audit"}</definedName>
    <definedName name="_2388__FDSAUDITLINK__" hidden="1">{"fdsup://Directions/FactSet Auditing Viewer?action=AUDIT_VALUE&amp;DB=129&amp;ID1=02553E10&amp;VALUEID=02101&amp;SDATE=200702&amp;PERIODTYPE=QTR_STD&amp;window=popup_no_bar&amp;width=385&amp;height=120&amp;START_MAXIMIZED=FALSE&amp;creator=factset&amp;display_string=Audit"}</definedName>
    <definedName name="_2389__FDSAUDITLINK__" hidden="1">{"fdsup://Directions/FactSet Auditing Viewer?action=AUDIT_VALUE&amp;DB=129&amp;ID1=02553E10&amp;VALUEID=01001&amp;SDATE=200702&amp;PERIODTYPE=QTR_STD&amp;window=popup_no_bar&amp;width=385&amp;height=120&amp;START_MAXIMIZED=FALSE&amp;creator=factset&amp;display_string=Audit"}</definedName>
    <definedName name="_239__FDSAUDITLINK__" hidden="1">{"fdsup://Directions/FactSet Auditing Viewer?action=AUDIT_VALUE&amp;DB=129&amp;ID1=16890510&amp;VALUEID=02101&amp;SDATE=200702&amp;PERIODTYPE=QTR_STD&amp;window=popup_no_bar&amp;width=385&amp;height=120&amp;START_MAXIMIZED=FALSE&amp;creator=factset&amp;display_string=Audit"}</definedName>
    <definedName name="_2390__FDSAUDITLINK__" hidden="1">{"fdsup://Directions/FactSet Auditing Viewer?action=AUDIT_VALUE&amp;DB=129&amp;ID1=02553E10&amp;VALUEID=13040&amp;SDATE=200702&amp;PERIODTYPE=QTR_STD&amp;window=popup_no_bar&amp;width=385&amp;height=120&amp;START_MAXIMIZED=FALSE&amp;creator=factset&amp;display_string=Audit"}</definedName>
    <definedName name="_2391__FDSAUDITLINK__" hidden="1">{"fdsup://Directions/FactSet Auditing Viewer?action=AUDIT_VALUE&amp;DB=129&amp;ID1=00786510&amp;VALUEID=02101&amp;SDATE=200702&amp;PERIODTYPE=QTR_STD&amp;window=popup_no_bar&amp;width=385&amp;height=120&amp;START_MAXIMIZED=FALSE&amp;creator=factset&amp;display_string=Audit"}</definedName>
    <definedName name="_2392__FDSAUDITLINK__" hidden="1">{"fdsup://Directions/FactSet Auditing Viewer?action=AUDIT_VALUE&amp;DB=129&amp;ID1=00786510&amp;VALUEID=01001&amp;SDATE=200702&amp;PERIODTYPE=QTR_STD&amp;window=popup_no_bar&amp;width=385&amp;height=120&amp;START_MAXIMIZED=FALSE&amp;creator=factset&amp;display_string=Audit"}</definedName>
    <definedName name="_2393__FDSAUDITLINK__" hidden="1">{"fdsup://Directions/FactSet Auditing Viewer?action=AUDIT_VALUE&amp;DB=129&amp;ID1=00786510&amp;VALUEID=13040&amp;SDATE=200702&amp;PERIODTYPE=QTR_STD&amp;window=popup_no_bar&amp;width=385&amp;height=120&amp;START_MAXIMIZED=FALSE&amp;creator=factset&amp;display_string=Audit"}</definedName>
    <definedName name="_2394__FDSAUDITLINK__" hidden="1">{"fdsup://Directions/FactSet Auditing Viewer?action=AUDIT_VALUE&amp;DB=129&amp;ID1=00289620&amp;VALUEID=02101&amp;SDATE=200702&amp;PERIODTYPE=QTR_STD&amp;window=popup_no_bar&amp;width=385&amp;height=120&amp;START_MAXIMIZED=FALSE&amp;creator=factset&amp;display_string=Audit"}</definedName>
    <definedName name="_2395__FDSAUDITLINK__" hidden="1">{"fdsup://Directions/FactSet Auditing Viewer?action=AUDIT_VALUE&amp;DB=129&amp;ID1=00289620&amp;VALUEID=01001&amp;SDATE=200702&amp;PERIODTYPE=QTR_STD&amp;window=popup_no_bar&amp;width=385&amp;height=120&amp;START_MAXIMIZED=FALSE&amp;creator=factset&amp;display_string=Audit"}</definedName>
    <definedName name="_2396__FDSAUDITLINK__" hidden="1">{"fdsup://Directions/FactSet Auditing Viewer?action=AUDIT_VALUE&amp;DB=129&amp;ID1=87416110&amp;VALUEID=02101&amp;SDATE=200701&amp;PERIODTYPE=QTR_STD&amp;window=popup_no_bar&amp;width=385&amp;height=120&amp;START_MAXIMIZED=FALSE&amp;creator=factset&amp;display_string=Audit"}</definedName>
    <definedName name="_2397__FDSAUDITLINK__" hidden="1">{"fdsup://Directions/FactSet Auditing Viewer?action=AUDIT_VALUE&amp;DB=129&amp;ID1=87416110&amp;VALUEID=01001&amp;SDATE=200701&amp;PERIODTYPE=QTR_STD&amp;window=popup_no_bar&amp;width=385&amp;height=120&amp;START_MAXIMIZED=FALSE&amp;creator=factset&amp;display_string=Audit"}</definedName>
    <definedName name="_2398__FDSAUDITLINK__" hidden="1">{"fdsup://Directions/FactSet Auditing Viewer?action=AUDIT_VALUE&amp;DB=129&amp;ID1=53271610&amp;VALUEID=02101&amp;SDATE=200701&amp;PERIODTYPE=QTR_STD&amp;window=popup_no_bar&amp;width=385&amp;height=120&amp;START_MAXIMIZED=FALSE&amp;creator=factset&amp;display_string=Audit"}</definedName>
    <definedName name="_2399__FDSAUDITLINK__" hidden="1">{"fdsup://Directions/FactSet Auditing Viewer?action=AUDIT_VALUE&amp;DB=129&amp;ID1=53271610&amp;VALUEID=01001&amp;SDATE=200701&amp;PERIODTYPE=QTR_STD&amp;window=popup_no_bar&amp;width=385&amp;height=120&amp;START_MAXIMIZED=FALSE&amp;creator=factset&amp;display_string=Audit"}</definedName>
    <definedName name="_24__FDSAUDITLINK__" hidden="1">{"fdsup://Directions/FactSet Auditing Viewer?action=AUDIT_VALUE&amp;DB=129&amp;ID1=36476010&amp;VALUEID=01001&amp;SDATE=200904&amp;PERIODTYPE=QTR_STD&amp;window=popup_no_bar&amp;width=385&amp;height=120&amp;START_MAXIMIZED=FALSE&amp;creator=factset&amp;display_string=Audit"}</definedName>
    <definedName name="_240__FDSAUDITLINK__" hidden="1">{"fdsup://Directions/FactSet Auditing Viewer?action=AUDIT_VALUE&amp;DB=129&amp;ID1=16890510&amp;VALUEID=01001&amp;SDATE=200702&amp;PERIODTYPE=QTR_STD&amp;window=popup_no_bar&amp;width=385&amp;height=120&amp;START_MAXIMIZED=FALSE&amp;creator=factset&amp;display_string=Audit"}</definedName>
    <definedName name="_2400__FDSAUDITLINK__" hidden="1">{"fdsup://Directions/FactSet Auditing Viewer?action=AUDIT_VALUE&amp;DB=129&amp;ID1=53271610&amp;VALUEID=13040&amp;SDATE=200701&amp;PERIODTYPE=QTR_STD&amp;window=popup_no_bar&amp;width=385&amp;height=120&amp;START_MAXIMIZED=FALSE&amp;creator=factset&amp;display_string=Audit"}</definedName>
    <definedName name="_2401__FDSAUDITLINK__" hidden="1">{"fdsup://Directions/FactSet Auditing Viewer?action=AUDIT_VALUE&amp;DB=129&amp;ID1=46612H40&amp;VALUEID=02101&amp;SDATE=200701&amp;PERIODTYPE=QTR_STD&amp;window=popup_no_bar&amp;width=385&amp;height=120&amp;START_MAXIMIZED=FALSE&amp;creator=factset&amp;display_string=Audit"}</definedName>
    <definedName name="_2402__FDSAUDITLINK__" hidden="1">{"fdsup://Directions/FactSet Auditing Viewer?action=AUDIT_VALUE&amp;DB=129&amp;ID1=46612H40&amp;VALUEID=01001&amp;SDATE=200701&amp;PERIODTYPE=QTR_STD&amp;window=popup_no_bar&amp;width=385&amp;height=120&amp;START_MAXIMIZED=FALSE&amp;creator=factset&amp;display_string=Audit"}</definedName>
    <definedName name="_2403__FDSAUDITLINK__" hidden="1">{"fdsup://Directions/FactSet Auditing Viewer?action=AUDIT_VALUE&amp;DB=129&amp;ID1=46612H40&amp;VALUEID=13040&amp;SDATE=200701&amp;PERIODTYPE=QTR_STD&amp;window=popup_no_bar&amp;width=385&amp;height=120&amp;START_MAXIMIZED=FALSE&amp;creator=factset&amp;display_string=Audit"}</definedName>
    <definedName name="_2404__FDSAUDITLINK__" hidden="1">{"fdsup://Directions/FactSet Auditing Viewer?action=AUDIT_VALUE&amp;DB=129&amp;ID1=36476010&amp;VALUEID=02101&amp;SDATE=200701&amp;PERIODTYPE=QTR_STD&amp;window=popup_no_bar&amp;width=385&amp;height=120&amp;START_MAXIMIZED=FALSE&amp;creator=factset&amp;display_string=Audit"}</definedName>
    <definedName name="_2405__FDSAUDITLINK__" hidden="1">{"fdsup://Directions/FactSet Auditing Viewer?action=AUDIT_VALUE&amp;DB=129&amp;ID1=36476010&amp;VALUEID=01001&amp;SDATE=200701&amp;PERIODTYPE=QTR_STD&amp;window=popup_no_bar&amp;width=385&amp;height=120&amp;START_MAXIMIZED=FALSE&amp;creator=factset&amp;display_string=Audit"}</definedName>
    <definedName name="_2406__FDSAUDITLINK__" hidden="1">{"fdsup://Directions/FactSet Auditing Viewer?action=AUDIT_VALUE&amp;DB=129&amp;ID1=36476010&amp;VALUEID=13040&amp;SDATE=200701&amp;PERIODTYPE=QTR_STD&amp;window=popup_no_bar&amp;width=385&amp;height=120&amp;START_MAXIMIZED=FALSE&amp;creator=factset&amp;display_string=Audit"}</definedName>
    <definedName name="_2407__FDSAUDITLINK__" hidden="1">{"fdsup://Directions/FactSet Auditing Viewer?action=AUDIT_VALUE&amp;DB=129&amp;ID1=03611510&amp;VALUEID=02101&amp;SDATE=200701&amp;PERIODTYPE=QTR_STD&amp;window=popup_no_bar&amp;width=385&amp;height=120&amp;START_MAXIMIZED=FALSE&amp;creator=factset&amp;display_string=Audit"}</definedName>
    <definedName name="_2408__FDSAUDITLINK__" hidden="1">{"fdsup://Directions/FactSet Auditing Viewer?action=AUDIT_VALUE&amp;DB=129&amp;ID1=03611510&amp;VALUEID=01001&amp;SDATE=200701&amp;PERIODTYPE=QTR_STD&amp;window=popup_no_bar&amp;width=385&amp;height=120&amp;START_MAXIMIZED=FALSE&amp;creator=factset&amp;display_string=Audit"}</definedName>
    <definedName name="_2409__FDSAUDITLINK__" hidden="1">{"fdsup://Directions/FactSet Auditing Viewer?action=AUDIT_VALUE&amp;DB=129&amp;ID1=03611510&amp;VALUEID=13040&amp;SDATE=200701&amp;PERIODTYPE=QTR_STD&amp;window=popup_no_bar&amp;width=385&amp;height=120&amp;START_MAXIMIZED=FALSE&amp;creator=factset&amp;display_string=Audit"}</definedName>
    <definedName name="_241__FDSAUDITLINK__" hidden="1">{"fdsup://Directions/FactSet Auditing Viewer?action=AUDIT_VALUE&amp;DB=129&amp;ID1=91704710&amp;VALUEID=02101&amp;SDATE=200702&amp;PERIODTYPE=QTR_STD&amp;window=popup_no_bar&amp;width=385&amp;height=120&amp;START_MAXIMIZED=FALSE&amp;creator=factset&amp;display_string=Audit"}</definedName>
    <definedName name="_2410__FDSAUDITLINK__" hidden="1">{"fdsup://Directions/FactSet Auditing Viewer?action=AUDIT_VALUE&amp;DB=129&amp;ID1=16890510&amp;VALUEID=02101&amp;SDATE=200701&amp;PERIODTYPE=QTR_STD&amp;window=popup_no_bar&amp;width=385&amp;height=120&amp;START_MAXIMIZED=FALSE&amp;creator=factset&amp;display_string=Audit"}</definedName>
    <definedName name="_2411__FDSAUDITLINK__" hidden="1">{"fdsup://Directions/FactSet Auditing Viewer?action=AUDIT_VALUE&amp;DB=129&amp;ID1=16890510&amp;VALUEID=01001&amp;SDATE=200701&amp;PERIODTYPE=QTR_STD&amp;window=popup_no_bar&amp;width=385&amp;height=120&amp;START_MAXIMIZED=FALSE&amp;creator=factset&amp;display_string=Audit"}</definedName>
    <definedName name="_2412__FDSAUDITLINK__" hidden="1">{"fdsup://Directions/FactSet Auditing Viewer?action=AUDIT_VALUE&amp;DB=129&amp;ID1=91704710&amp;VALUEID=02101&amp;SDATE=200701&amp;PERIODTYPE=QTR_STD&amp;window=popup_no_bar&amp;width=385&amp;height=120&amp;START_MAXIMIZED=FALSE&amp;creator=factset&amp;display_string=Audit"}</definedName>
    <definedName name="_2413__FDSAUDITLINK__" hidden="1">{"fdsup://Directions/FactSet Auditing Viewer?action=AUDIT_VALUE&amp;DB=129&amp;ID1=91704710&amp;VALUEID=01001&amp;SDATE=200701&amp;PERIODTYPE=QTR_STD&amp;window=popup_no_bar&amp;width=385&amp;height=120&amp;START_MAXIMIZED=FALSE&amp;creator=factset&amp;display_string=Audit"}</definedName>
    <definedName name="_2414__FDSAUDITLINK__" hidden="1">{"fdsup://Directions/FactSet Auditing Viewer?action=AUDIT_VALUE&amp;DB=129&amp;ID1=91704710&amp;VALUEID=13040&amp;SDATE=200701&amp;PERIODTYPE=QTR_STD&amp;window=popup_no_bar&amp;width=385&amp;height=120&amp;START_MAXIMIZED=FALSE&amp;creator=factset&amp;display_string=Audit"}</definedName>
    <definedName name="_2415__FDSAUDITLINK__" hidden="1">{"fdsup://Directions/FactSet Auditing Viewer?action=AUDIT_VALUE&amp;DB=129&amp;ID1=02553E10&amp;VALUEID=02101&amp;SDATE=200701&amp;PERIODTYPE=QTR_STD&amp;window=popup_no_bar&amp;width=385&amp;height=120&amp;START_MAXIMIZED=FALSE&amp;creator=factset&amp;display_string=Audit"}</definedName>
    <definedName name="_2416__FDSAUDITLINK__" hidden="1">{"fdsup://Directions/FactSet Auditing Viewer?action=AUDIT_VALUE&amp;DB=129&amp;ID1=02553E10&amp;VALUEID=01001&amp;SDATE=200701&amp;PERIODTYPE=QTR_STD&amp;window=popup_no_bar&amp;width=385&amp;height=120&amp;START_MAXIMIZED=FALSE&amp;creator=factset&amp;display_string=Audit"}</definedName>
    <definedName name="_2417__FDSAUDITLINK__" hidden="1">{"fdsup://Directions/FactSet Auditing Viewer?action=AUDIT_VALUE&amp;DB=129&amp;ID1=02553E10&amp;VALUEID=13040&amp;SDATE=200701&amp;PERIODTYPE=QTR_STD&amp;window=popup_no_bar&amp;width=385&amp;height=120&amp;START_MAXIMIZED=FALSE&amp;creator=factset&amp;display_string=Audit"}</definedName>
    <definedName name="_2418__FDSAUDITLINK__" hidden="1">{"fdsup://Directions/FactSet Auditing Viewer?action=AUDIT_VALUE&amp;DB=129&amp;ID1=00786510&amp;VALUEID=02101&amp;SDATE=200701&amp;PERIODTYPE=QTR_STD&amp;window=popup_no_bar&amp;width=385&amp;height=120&amp;START_MAXIMIZED=FALSE&amp;creator=factset&amp;display_string=Audit"}</definedName>
    <definedName name="_2419__FDSAUDITLINK__" hidden="1">{"fdsup://Directions/FactSet Auditing Viewer?action=AUDIT_VALUE&amp;DB=129&amp;ID1=00786510&amp;VALUEID=01001&amp;SDATE=200701&amp;PERIODTYPE=QTR_STD&amp;window=popup_no_bar&amp;width=385&amp;height=120&amp;START_MAXIMIZED=FALSE&amp;creator=factset&amp;display_string=Audit"}</definedName>
    <definedName name="_242__FDSAUDITLINK__" hidden="1">{"fdsup://Directions/FactSet Auditing Viewer?action=AUDIT_VALUE&amp;DB=129&amp;ID1=91704710&amp;VALUEID=01001&amp;SDATE=200702&amp;PERIODTYPE=QTR_STD&amp;window=popup_no_bar&amp;width=385&amp;height=120&amp;START_MAXIMIZED=FALSE&amp;creator=factset&amp;display_string=Audit"}</definedName>
    <definedName name="_2420__FDSAUDITLINK__" hidden="1">{"fdsup://Directions/FactSet Auditing Viewer?action=AUDIT_VALUE&amp;DB=129&amp;ID1=00786510&amp;VALUEID=13040&amp;SDATE=200701&amp;PERIODTYPE=QTR_STD&amp;window=popup_no_bar&amp;width=385&amp;height=120&amp;START_MAXIMIZED=FALSE&amp;creator=factset&amp;display_string=Audit"}</definedName>
    <definedName name="_2421__FDSAUDITLINK__" hidden="1">{"fdsup://Directions/FactSet Auditing Viewer?action=AUDIT_VALUE&amp;DB=129&amp;ID1=00289620&amp;VALUEID=02101&amp;SDATE=200701&amp;PERIODTYPE=QTR_STD&amp;window=popup_no_bar&amp;width=385&amp;height=120&amp;START_MAXIMIZED=FALSE&amp;creator=factset&amp;display_string=Audit"}</definedName>
    <definedName name="_2422__FDSAUDITLINK__" hidden="1">{"fdsup://Directions/FactSet Auditing Viewer?action=AUDIT_VALUE&amp;DB=129&amp;ID1=00289620&amp;VALUEID=01001&amp;SDATE=200701&amp;PERIODTYPE=QTR_STD&amp;window=popup_no_bar&amp;width=385&amp;height=120&amp;START_MAXIMIZED=FALSE&amp;creator=factset&amp;display_string=Audit"}</definedName>
    <definedName name="_2423__FDSAUDITLINK__" hidden="1">{"fdsup://Directions/FactSet Auditing Viewer?action=AUDIT_VALUE&amp;DB=129&amp;ID1=00289620&amp;VALUEID=13040&amp;SDATE=200701&amp;PERIODTYPE=QTR_STD&amp;window=popup_no_bar&amp;width=385&amp;height=120&amp;START_MAXIMIZED=FALSE&amp;creator=factset&amp;display_string=Audit"}</definedName>
    <definedName name="_2424__FDSAUDITLINK__" hidden="1">{"fdsup://Directions/FactSet Auditing Viewer?action=AUDIT_VALUE&amp;DB=129&amp;ID1=87416110&amp;VALUEID=01001&amp;SDATE=200604&amp;PERIODTYPE=QTR_STD&amp;window=popup_no_bar&amp;width=385&amp;height=120&amp;START_MAXIMIZED=FALSE&amp;creator=factset&amp;display_string=Audit"}</definedName>
    <definedName name="_2425__FDSAUDITLINK__" hidden="1">{"fdsup://Directions/FactSet Auditing Viewer?action=AUDIT_VALUE&amp;DB=129&amp;ID1=46612H40&amp;VALUEID=01001&amp;SDATE=200604&amp;PERIODTYPE=QTR_STD&amp;window=popup_no_bar&amp;width=385&amp;height=120&amp;START_MAXIMIZED=FALSE&amp;creator=factset&amp;display_string=Audit"}</definedName>
    <definedName name="_2426__FDSAUDITLINK__" hidden="1">{"fdsup://Directions/FactSet Auditing Viewer?action=AUDIT_VALUE&amp;DB=129&amp;ID1=36476010&amp;VALUEID=01001&amp;SDATE=200604&amp;PERIODTYPE=QTR_STD&amp;window=popup_no_bar&amp;width=385&amp;height=120&amp;START_MAXIMIZED=FALSE&amp;creator=factset&amp;display_string=Audit"}</definedName>
    <definedName name="_2427__FDSAUDITLINK__" hidden="1">{"fdsup://Directions/FactSet Auditing Viewer?action=AUDIT_VALUE&amp;DB=129&amp;ID1=03611510&amp;VALUEID=01001&amp;SDATE=200604&amp;PERIODTYPE=QTR_STD&amp;window=popup_no_bar&amp;width=385&amp;height=120&amp;START_MAXIMIZED=FALSE&amp;creator=factset&amp;display_string=Audit"}</definedName>
    <definedName name="_2428__FDSAUDITLINK__" hidden="1">{"fdsup://Directions/FactSet Auditing Viewer?action=AUDIT_VALUE&amp;DB=129&amp;ID1=16890510&amp;VALUEID=01001&amp;SDATE=200604&amp;PERIODTYPE=QTR_STD&amp;window=popup_no_bar&amp;width=385&amp;height=120&amp;START_MAXIMIZED=FALSE&amp;creator=factset&amp;display_string=Audit"}</definedName>
    <definedName name="_2429__FDSAUDITLINK__" hidden="1">{"fdsup://directions/FAT Viewer?action=UPDATE&amp;creator=factset&amp;DYN_ARGS=TRUE&amp;DOC_NAME=FAT:FQL_AUDITING_CLIENT_TEMPLATE.FAT&amp;display_string=Audit&amp;VAR:KEY=BONMBKFGLQ&amp;VAR:QUERY=RkZfUlRfU0ZfVE9UX0dST1NTKFFUUiwtMTMp&amp;WINDOW=FIRST_POPUP&amp;HEIGHT=450&amp;WIDTH=450&amp;START_MA","XIMIZED=FALSE&amp;VAR:CALENDAR=US&amp;VAR:SYMBOL=AEO&amp;VAR:INDEX=0"}</definedName>
    <definedName name="_243__FDSAUDITLINK__" hidden="1">{"fdsup://Directions/FactSet Auditing Viewer?action=AUDIT_VALUE&amp;DB=129&amp;ID1=91704710&amp;VALUEID=13040&amp;SDATE=200702&amp;PERIODTYPE=QTR_STD&amp;window=popup_no_bar&amp;width=385&amp;height=120&amp;START_MAXIMIZED=FALSE&amp;creator=factset&amp;display_string=Audit"}</definedName>
    <definedName name="_2430__FDSAUDITLINK__" hidden="1">{"fdsup://Directions/FactSet Auditing Viewer?action=AUDIT_VALUE&amp;DB=129&amp;ID1=00786510&amp;VALUEID=01001&amp;SDATE=200604&amp;PERIODTYPE=QTR_STD&amp;window=popup_no_bar&amp;width=385&amp;height=120&amp;START_MAXIMIZED=FALSE&amp;creator=factset&amp;display_string=Audit"}</definedName>
    <definedName name="_2431__FDSAUDITLINK__" hidden="1">{"fdsup://Directions/FactSet Auditing Viewer?action=AUDIT_VALUE&amp;DB=129&amp;ID1=87416110&amp;VALUEID=02101&amp;SDATE=200603&amp;PERIODTYPE=QTR_STD&amp;window=popup_no_bar&amp;width=385&amp;height=120&amp;START_MAXIMIZED=FALSE&amp;creator=factset&amp;display_string=Audit"}</definedName>
    <definedName name="_2432__FDSAUDITLINK__" hidden="1">{"fdsup://Directions/FactSet Auditing Viewer?action=AUDIT_VALUE&amp;DB=129&amp;ID1=87416110&amp;VALUEID=01001&amp;SDATE=200603&amp;PERIODTYPE=QTR_STD&amp;window=popup_no_bar&amp;width=385&amp;height=120&amp;START_MAXIMIZED=FALSE&amp;creator=factset&amp;display_string=Audit"}</definedName>
    <definedName name="_2433__FDSAUDITLINK__" hidden="1">{"fdsup://Directions/FactSet Auditing Viewer?action=AUDIT_VALUE&amp;DB=129&amp;ID1=53271610&amp;VALUEID=02101&amp;SDATE=200603&amp;PERIODTYPE=QTR_STD&amp;window=popup_no_bar&amp;width=385&amp;height=120&amp;START_MAXIMIZED=FALSE&amp;creator=factset&amp;display_string=Audit"}</definedName>
    <definedName name="_2434__FDSAUDITLINK__" hidden="1">{"fdsup://Directions/FactSet Auditing Viewer?action=AUDIT_VALUE&amp;DB=129&amp;ID1=53271610&amp;VALUEID=01001&amp;SDATE=200603&amp;PERIODTYPE=QTR_STD&amp;window=popup_no_bar&amp;width=385&amp;height=120&amp;START_MAXIMIZED=FALSE&amp;creator=factset&amp;display_string=Audit"}</definedName>
    <definedName name="_2435__FDSAUDITLINK__" hidden="1">{"fdsup://Directions/FactSet Auditing Viewer?action=AUDIT_VALUE&amp;DB=129&amp;ID1=53271610&amp;VALUEID=13040&amp;SDATE=200603&amp;PERIODTYPE=QTR_STD&amp;window=popup_no_bar&amp;width=385&amp;height=120&amp;START_MAXIMIZED=FALSE&amp;creator=factset&amp;display_string=Audit"}</definedName>
    <definedName name="_2436__FDSAUDITLINK__" hidden="1">{"fdsup://Directions/FactSet Auditing Viewer?action=AUDIT_VALUE&amp;DB=129&amp;ID1=46612H40&amp;VALUEID=02101&amp;SDATE=200603&amp;PERIODTYPE=QTR_STD&amp;window=popup_no_bar&amp;width=385&amp;height=120&amp;START_MAXIMIZED=FALSE&amp;creator=factset&amp;display_string=Audit"}</definedName>
    <definedName name="_2437__FDSAUDITLINK__" hidden="1">{"fdsup://Directions/FactSet Auditing Viewer?action=AUDIT_VALUE&amp;DB=129&amp;ID1=46612H40&amp;VALUEID=01001&amp;SDATE=200603&amp;PERIODTYPE=QTR_STD&amp;window=popup_no_bar&amp;width=385&amp;height=120&amp;START_MAXIMIZED=FALSE&amp;creator=factset&amp;display_string=Audit"}</definedName>
    <definedName name="_2438__FDSAUDITLINK__" hidden="1">{"fdsup://Directions/FactSet Auditing Viewer?action=AUDIT_VALUE&amp;DB=129&amp;ID1=46612H40&amp;VALUEID=13040&amp;SDATE=200603&amp;PERIODTYPE=QTR_STD&amp;window=popup_no_bar&amp;width=385&amp;height=120&amp;START_MAXIMIZED=FALSE&amp;creator=factset&amp;display_string=Audit"}</definedName>
    <definedName name="_2439__FDSAUDITLINK__" hidden="1">{"fdsup://Directions/FactSet Auditing Viewer?action=AUDIT_VALUE&amp;DB=129&amp;ID1=36476010&amp;VALUEID=02101&amp;SDATE=200603&amp;PERIODTYPE=QTR_STD&amp;window=popup_no_bar&amp;width=385&amp;height=120&amp;START_MAXIMIZED=FALSE&amp;creator=factset&amp;display_string=Audit"}</definedName>
    <definedName name="_244__FDSAUDITLINK__" hidden="1">{"fdsup://Directions/FactSet Auditing Viewer?action=AUDIT_VALUE&amp;DB=129&amp;ID1=02553E10&amp;VALUEID=02101&amp;SDATE=200702&amp;PERIODTYPE=QTR_STD&amp;window=popup_no_bar&amp;width=385&amp;height=120&amp;START_MAXIMIZED=FALSE&amp;creator=factset&amp;display_string=Audit"}</definedName>
    <definedName name="_2440__FDSAUDITLINK__" hidden="1">{"fdsup://Directions/FactSet Auditing Viewer?action=AUDIT_VALUE&amp;DB=129&amp;ID1=36476010&amp;VALUEID=01001&amp;SDATE=200603&amp;PERIODTYPE=QTR_STD&amp;window=popup_no_bar&amp;width=385&amp;height=120&amp;START_MAXIMIZED=FALSE&amp;creator=factset&amp;display_string=Audit"}</definedName>
    <definedName name="_2441__FDSAUDITLINK__" hidden="1">{"fdsup://Directions/FactSet Auditing Viewer?action=AUDIT_VALUE&amp;DB=129&amp;ID1=36476010&amp;VALUEID=13040&amp;SDATE=200603&amp;PERIODTYPE=QTR_STD&amp;window=popup_no_bar&amp;width=385&amp;height=120&amp;START_MAXIMIZED=FALSE&amp;creator=factset&amp;display_string=Audit"}</definedName>
    <definedName name="_2442__FDSAUDITLINK__" hidden="1">{"fdsup://Directions/FactSet Auditing Viewer?action=AUDIT_VALUE&amp;DB=129&amp;ID1=03611510&amp;VALUEID=02101&amp;SDATE=200603&amp;PERIODTYPE=QTR_STD&amp;window=popup_no_bar&amp;width=385&amp;height=120&amp;START_MAXIMIZED=FALSE&amp;creator=factset&amp;display_string=Audit"}</definedName>
    <definedName name="_2443__FDSAUDITLINK__" hidden="1">{"fdsup://Directions/FactSet Auditing Viewer?action=AUDIT_VALUE&amp;DB=129&amp;ID1=03611510&amp;VALUEID=01001&amp;SDATE=200603&amp;PERIODTYPE=QTR_STD&amp;window=popup_no_bar&amp;width=385&amp;height=120&amp;START_MAXIMIZED=FALSE&amp;creator=factset&amp;display_string=Audit"}</definedName>
    <definedName name="_2444__FDSAUDITLINK__" hidden="1">{"fdsup://Directions/FactSet Auditing Viewer?action=AUDIT_VALUE&amp;DB=129&amp;ID1=03611510&amp;VALUEID=13040&amp;SDATE=200603&amp;PERIODTYPE=QTR_STD&amp;window=popup_no_bar&amp;width=385&amp;height=120&amp;START_MAXIMIZED=FALSE&amp;creator=factset&amp;display_string=Audit"}</definedName>
    <definedName name="_2445__FDSAUDITLINK__" hidden="1">{"fdsup://Directions/FactSet Auditing Viewer?action=AUDIT_VALUE&amp;DB=129&amp;ID1=16890510&amp;VALUEID=02101&amp;SDATE=200603&amp;PERIODTYPE=QTR_STD&amp;window=popup_no_bar&amp;width=385&amp;height=120&amp;START_MAXIMIZED=FALSE&amp;creator=factset&amp;display_string=Audit"}</definedName>
    <definedName name="_2446__FDSAUDITLINK__" hidden="1">{"fdsup://Directions/FactSet Auditing Viewer?action=AUDIT_VALUE&amp;DB=129&amp;ID1=16890510&amp;VALUEID=01001&amp;SDATE=200603&amp;PERIODTYPE=QTR_STD&amp;window=popup_no_bar&amp;width=385&amp;height=120&amp;START_MAXIMIZED=FALSE&amp;creator=factset&amp;display_string=Audit"}</definedName>
    <definedName name="_2447__FDSAUDITLINK__" hidden="1">{"fdsup://Directions/FactSet Auditing Viewer?action=AUDIT_VALUE&amp;DB=129&amp;ID1=91704710&amp;VALUEID=02101&amp;SDATE=200603&amp;PERIODTYPE=QTR_STD&amp;window=popup_no_bar&amp;width=385&amp;height=120&amp;START_MAXIMIZED=FALSE&amp;creator=factset&amp;display_string=Audit"}</definedName>
    <definedName name="_2448__FDSAUDITLINK__" hidden="1">{"fdsup://Directions/FactSet Auditing Viewer?action=AUDIT_VALUE&amp;DB=129&amp;ID1=91704710&amp;VALUEID=01001&amp;SDATE=200603&amp;PERIODTYPE=QTR_STD&amp;window=popup_no_bar&amp;width=385&amp;height=120&amp;START_MAXIMIZED=FALSE&amp;creator=factset&amp;display_string=Audit"}</definedName>
    <definedName name="_2449__FDSAUDITLINK__" hidden="1">{"fdsup://Directions/FactSet Auditing Viewer?action=AUDIT_VALUE&amp;DB=129&amp;ID1=91704710&amp;VALUEID=13040&amp;SDATE=200603&amp;PERIODTYPE=QTR_STD&amp;window=popup_no_bar&amp;width=385&amp;height=120&amp;START_MAXIMIZED=FALSE&amp;creator=factset&amp;display_string=Audit"}</definedName>
    <definedName name="_245__FDSAUDITLINK__" hidden="1">{"fdsup://Directions/FactSet Auditing Viewer?action=AUDIT_VALUE&amp;DB=129&amp;ID1=02553E10&amp;VALUEID=01001&amp;SDATE=200702&amp;PERIODTYPE=QTR_STD&amp;window=popup_no_bar&amp;width=385&amp;height=120&amp;START_MAXIMIZED=FALSE&amp;creator=factset&amp;display_string=Audit"}</definedName>
    <definedName name="_2450__FDSAUDITLINK__" hidden="1">{"fdsup://directions/FAT Viewer?action=UPDATE&amp;creator=factset&amp;DYN_ARGS=TRUE&amp;DOC_NAME=FAT:FQL_AUDITING_CLIENT_TEMPLATE.FAT&amp;display_string=Audit&amp;VAR:KEY=NGXYHSLMBY&amp;VAR:QUERY=RkZfUlRfU0ZfVE9UX0dST1NTKFFUUiwtMTQp&amp;WINDOW=FIRST_POPUP&amp;HEIGHT=450&amp;WIDTH=450&amp;START_MA","XIMIZED=FALSE&amp;VAR:CALENDAR=US&amp;VAR:SYMBOL=AEO&amp;VAR:INDEX=0"}</definedName>
    <definedName name="_2451__FDSAUDITLINK__" hidden="1">{"fdsup://Directions/FactSet Auditing Viewer?action=AUDIT_VALUE&amp;DB=129&amp;ID1=00786510&amp;VALUEID=02101&amp;SDATE=200603&amp;PERIODTYPE=QTR_STD&amp;window=popup_no_bar&amp;width=385&amp;height=120&amp;START_MAXIMIZED=FALSE&amp;creator=factset&amp;display_string=Audit"}</definedName>
    <definedName name="_2452__FDSAUDITLINK__" hidden="1">{"fdsup://Directions/FactSet Auditing Viewer?action=AUDIT_VALUE&amp;DB=129&amp;ID1=00786510&amp;VALUEID=01001&amp;SDATE=200603&amp;PERIODTYPE=QTR_STD&amp;window=popup_no_bar&amp;width=385&amp;height=120&amp;START_MAXIMIZED=FALSE&amp;creator=factset&amp;display_string=Audit"}</definedName>
    <definedName name="_2453__FDSAUDITLINK__" hidden="1">{"fdsup://Directions/FactSet Auditing Viewer?action=AUDIT_VALUE&amp;DB=129&amp;ID1=00786510&amp;VALUEID=13040&amp;SDATE=200603&amp;PERIODTYPE=QTR_STD&amp;window=popup_no_bar&amp;width=385&amp;height=120&amp;START_MAXIMIZED=FALSE&amp;creator=factset&amp;display_string=Audit"}</definedName>
    <definedName name="_2454__FDSAUDITLINK__" hidden="1">{"fdsup://Directions/FactSet Auditing Viewer?action=AUDIT_VALUE&amp;DB=129&amp;ID1=00289620&amp;VALUEID=02101&amp;SDATE=200603&amp;PERIODTYPE=QTR_STD&amp;window=popup_no_bar&amp;width=385&amp;height=120&amp;START_MAXIMIZED=FALSE&amp;creator=factset&amp;display_string=Audit"}</definedName>
    <definedName name="_2455__FDSAUDITLINK__" hidden="1">{"fdsup://Directions/FactSet Auditing Viewer?action=AUDIT_VALUE&amp;DB=129&amp;ID1=00289620&amp;VALUEID=01001&amp;SDATE=200603&amp;PERIODTYPE=QTR_STD&amp;window=popup_no_bar&amp;width=385&amp;height=120&amp;START_MAXIMIZED=FALSE&amp;creator=factset&amp;display_string=Audit"}</definedName>
    <definedName name="_2456__FDSAUDITLINK__" hidden="1">{"fdsup://Directions/FactSet Auditing Viewer?action=AUDIT_VALUE&amp;DB=129&amp;ID1=00289620&amp;VALUEID=13040&amp;SDATE=200603&amp;PERIODTYPE=QTR_STD&amp;window=popup_no_bar&amp;width=385&amp;height=120&amp;START_MAXIMIZED=FALSE&amp;creator=factset&amp;display_string=Audit"}</definedName>
    <definedName name="_2457__FDSAUDITLINK__" hidden="1">{"fdsup://Directions/FactSet Auditing Viewer?action=AUDIT_VALUE&amp;DB=129&amp;ID1=87416110&amp;VALUEID=02101&amp;SDATE=200602&amp;PERIODTYPE=QTR_STD&amp;window=popup_no_bar&amp;width=385&amp;height=120&amp;START_MAXIMIZED=FALSE&amp;creator=factset&amp;display_string=Audit"}</definedName>
    <definedName name="_2458__FDSAUDITLINK__" hidden="1">{"fdsup://Directions/FactSet Auditing Viewer?action=AUDIT_VALUE&amp;DB=129&amp;ID1=87416110&amp;VALUEID=01001&amp;SDATE=200602&amp;PERIODTYPE=QTR_STD&amp;window=popup_no_bar&amp;width=385&amp;height=120&amp;START_MAXIMIZED=FALSE&amp;creator=factset&amp;display_string=Audit"}</definedName>
    <definedName name="_2459__FDSAUDITLINK__" hidden="1">{"fdsup://Directions/FactSet Auditing Viewer?action=AUDIT_VALUE&amp;DB=129&amp;ID1=53271610&amp;VALUEID=02101&amp;SDATE=200602&amp;PERIODTYPE=QTR_STD&amp;window=popup_no_bar&amp;width=385&amp;height=120&amp;START_MAXIMIZED=FALSE&amp;creator=factset&amp;display_string=Audit"}</definedName>
    <definedName name="_246__FDSAUDITLINK__" hidden="1">{"fdsup://Directions/FactSet Auditing Viewer?action=AUDIT_VALUE&amp;DB=129&amp;ID1=02553E10&amp;VALUEID=13040&amp;SDATE=200702&amp;PERIODTYPE=QTR_STD&amp;window=popup_no_bar&amp;width=385&amp;height=120&amp;START_MAXIMIZED=FALSE&amp;creator=factset&amp;display_string=Audit"}</definedName>
    <definedName name="_2460__FDSAUDITLINK__" hidden="1">{"fdsup://Directions/FactSet Auditing Viewer?action=AUDIT_VALUE&amp;DB=129&amp;ID1=53271610&amp;VALUEID=01001&amp;SDATE=200602&amp;PERIODTYPE=QTR_STD&amp;window=popup_no_bar&amp;width=385&amp;height=120&amp;START_MAXIMIZED=FALSE&amp;creator=factset&amp;display_string=Audit"}</definedName>
    <definedName name="_2461__FDSAUDITLINK__" hidden="1">{"fdsup://Directions/FactSet Auditing Viewer?action=AUDIT_VALUE&amp;DB=129&amp;ID1=53271610&amp;VALUEID=13040&amp;SDATE=200602&amp;PERIODTYPE=QTR_STD&amp;window=popup_no_bar&amp;width=385&amp;height=120&amp;START_MAXIMIZED=FALSE&amp;creator=factset&amp;display_string=Audit"}</definedName>
    <definedName name="_2462__FDSAUDITLINK__" hidden="1">{"fdsup://Directions/FactSet Auditing Viewer?action=AUDIT_VALUE&amp;DB=129&amp;ID1=46612H40&amp;VALUEID=02101&amp;SDATE=200602&amp;PERIODTYPE=QTR_STD&amp;window=popup_no_bar&amp;width=385&amp;height=120&amp;START_MAXIMIZED=FALSE&amp;creator=factset&amp;display_string=Audit"}</definedName>
    <definedName name="_2463__FDSAUDITLINK__" hidden="1">{"fdsup://Directions/FactSet Auditing Viewer?action=AUDIT_VALUE&amp;DB=129&amp;ID1=46612H40&amp;VALUEID=01001&amp;SDATE=200602&amp;PERIODTYPE=QTR_STD&amp;window=popup_no_bar&amp;width=385&amp;height=120&amp;START_MAXIMIZED=FALSE&amp;creator=factset&amp;display_string=Audit"}</definedName>
    <definedName name="_2464__FDSAUDITLINK__" hidden="1">{"fdsup://Directions/FactSet Auditing Viewer?action=AUDIT_VALUE&amp;DB=129&amp;ID1=46612H40&amp;VALUEID=13040&amp;SDATE=200602&amp;PERIODTYPE=QTR_STD&amp;window=popup_no_bar&amp;width=385&amp;height=120&amp;START_MAXIMIZED=FALSE&amp;creator=factset&amp;display_string=Audit"}</definedName>
    <definedName name="_2465__FDSAUDITLINK__" hidden="1">{"fdsup://Directions/FactSet Auditing Viewer?action=AUDIT_VALUE&amp;DB=129&amp;ID1=36476010&amp;VALUEID=02101&amp;SDATE=200602&amp;PERIODTYPE=QTR_STD&amp;window=popup_no_bar&amp;width=385&amp;height=120&amp;START_MAXIMIZED=FALSE&amp;creator=factset&amp;display_string=Audit"}</definedName>
    <definedName name="_2466__FDSAUDITLINK__" hidden="1">{"fdsup://Directions/FactSet Auditing Viewer?action=AUDIT_VALUE&amp;DB=129&amp;ID1=36476010&amp;VALUEID=01001&amp;SDATE=200602&amp;PERIODTYPE=QTR_STD&amp;window=popup_no_bar&amp;width=385&amp;height=120&amp;START_MAXIMIZED=FALSE&amp;creator=factset&amp;display_string=Audit"}</definedName>
    <definedName name="_2467__FDSAUDITLINK__" hidden="1">{"fdsup://Directions/FactSet Auditing Viewer?action=AUDIT_VALUE&amp;DB=129&amp;ID1=36476010&amp;VALUEID=13040&amp;SDATE=200602&amp;PERIODTYPE=QTR_STD&amp;window=popup_no_bar&amp;width=385&amp;height=120&amp;START_MAXIMIZED=FALSE&amp;creator=factset&amp;display_string=Audit"}</definedName>
    <definedName name="_2468__FDSAUDITLINK__" hidden="1">{"fdsup://Directions/FactSet Auditing Viewer?action=AUDIT_VALUE&amp;DB=129&amp;ID1=03611510&amp;VALUEID=02101&amp;SDATE=200602&amp;PERIODTYPE=QTR_STD&amp;window=popup_no_bar&amp;width=385&amp;height=120&amp;START_MAXIMIZED=FALSE&amp;creator=factset&amp;display_string=Audit"}</definedName>
    <definedName name="_2469__FDSAUDITLINK__" hidden="1">{"fdsup://Directions/FactSet Auditing Viewer?action=AUDIT_VALUE&amp;DB=129&amp;ID1=03611510&amp;VALUEID=01001&amp;SDATE=200602&amp;PERIODTYPE=QTR_STD&amp;window=popup_no_bar&amp;width=385&amp;height=120&amp;START_MAXIMIZED=FALSE&amp;creator=factset&amp;display_string=Audit"}</definedName>
    <definedName name="_247__FDSAUDITLINK__" hidden="1">{"fdsup://Directions/FactSet Auditing Viewer?action=AUDIT_VALUE&amp;DB=129&amp;ID1=00786510&amp;VALUEID=02101&amp;SDATE=200702&amp;PERIODTYPE=QTR_STD&amp;window=popup_no_bar&amp;width=385&amp;height=120&amp;START_MAXIMIZED=FALSE&amp;creator=factset&amp;display_string=Audit"}</definedName>
    <definedName name="_2470__FDSAUDITLINK__" hidden="1">{"fdsup://Directions/FactSet Auditing Viewer?action=AUDIT_VALUE&amp;DB=129&amp;ID1=03611510&amp;VALUEID=13040&amp;SDATE=200602&amp;PERIODTYPE=QTR_STD&amp;window=popup_no_bar&amp;width=385&amp;height=120&amp;START_MAXIMIZED=FALSE&amp;creator=factset&amp;display_string=Audit"}</definedName>
    <definedName name="_2471__FDSAUDITLINK__" hidden="1">{"fdsup://Directions/FactSet Auditing Viewer?action=AUDIT_VALUE&amp;DB=129&amp;ID1=16890510&amp;VALUEID=02101&amp;SDATE=200602&amp;PERIODTYPE=QTR_STD&amp;window=popup_no_bar&amp;width=385&amp;height=120&amp;START_MAXIMIZED=FALSE&amp;creator=factset&amp;display_string=Audit"}</definedName>
    <definedName name="_2472__FDSAUDITLINK__" hidden="1">{"fdsup://Directions/FactSet Auditing Viewer?action=AUDIT_VALUE&amp;DB=129&amp;ID1=16890510&amp;VALUEID=01001&amp;SDATE=200602&amp;PERIODTYPE=QTR_STD&amp;window=popup_no_bar&amp;width=385&amp;height=120&amp;START_MAXIMIZED=FALSE&amp;creator=factset&amp;display_string=Audit"}</definedName>
    <definedName name="_2473__FDSAUDITLINK__" hidden="1">{"fdsup://Directions/FactSet Auditing Viewer?action=AUDIT_VALUE&amp;DB=129&amp;ID1=91704710&amp;VALUEID=02101&amp;SDATE=200602&amp;PERIODTYPE=QTR_STD&amp;window=popup_no_bar&amp;width=385&amp;height=120&amp;START_MAXIMIZED=FALSE&amp;creator=factset&amp;display_string=Audit"}</definedName>
    <definedName name="_2474__FDSAUDITLINK__" hidden="1">{"fdsup://Directions/FactSet Auditing Viewer?action=AUDIT_VALUE&amp;DB=129&amp;ID1=91704710&amp;VALUEID=01001&amp;SDATE=200602&amp;PERIODTYPE=QTR_STD&amp;window=popup_no_bar&amp;width=385&amp;height=120&amp;START_MAXIMIZED=FALSE&amp;creator=factset&amp;display_string=Audit"}</definedName>
    <definedName name="_2475__FDSAUDITLINK__" hidden="1">{"fdsup://Directions/FactSet Auditing Viewer?action=AUDIT_VALUE&amp;DB=129&amp;ID1=91704710&amp;VALUEID=13040&amp;SDATE=200602&amp;PERIODTYPE=QTR_STD&amp;window=popup_no_bar&amp;width=385&amp;height=120&amp;START_MAXIMIZED=FALSE&amp;creator=factset&amp;display_string=Audit"}</definedName>
    <definedName name="_2476__FDSAUDITLINK__" hidden="1">{"fdsup://directions/FAT Viewer?action=UPDATE&amp;creator=factset&amp;DYN_ARGS=TRUE&amp;DOC_NAME=FAT:FQL_AUDITING_CLIENT_TEMPLATE.FAT&amp;display_string=Audit&amp;VAR:KEY=VUNQJUHWBQ&amp;VAR:QUERY=RkZfUlRfU0ZfVE9UX0dST1NTKFFUUiwtMTUp&amp;WINDOW=FIRST_POPUP&amp;HEIGHT=450&amp;WIDTH=450&amp;START_MA","XIMIZED=FALSE&amp;VAR:CALENDAR=US&amp;VAR:SYMBOL=AEO&amp;VAR:INDEX=0"}</definedName>
    <definedName name="_2477__FDSAUDITLINK__" hidden="1">{"fdsup://Directions/FactSet Auditing Viewer?action=AUDIT_VALUE&amp;DB=129&amp;ID1=00786510&amp;VALUEID=02101&amp;SDATE=200602&amp;PERIODTYPE=QTR_STD&amp;window=popup_no_bar&amp;width=385&amp;height=120&amp;START_MAXIMIZED=FALSE&amp;creator=factset&amp;display_string=Audit"}</definedName>
    <definedName name="_2478__FDSAUDITLINK__" hidden="1">{"fdsup://Directions/FactSet Auditing Viewer?action=AUDIT_VALUE&amp;DB=129&amp;ID1=00786510&amp;VALUEID=01001&amp;SDATE=200602&amp;PERIODTYPE=QTR_STD&amp;window=popup_no_bar&amp;width=385&amp;height=120&amp;START_MAXIMIZED=FALSE&amp;creator=factset&amp;display_string=Audit"}</definedName>
    <definedName name="_2479__FDSAUDITLINK__" hidden="1">{"fdsup://Directions/FactSet Auditing Viewer?action=AUDIT_VALUE&amp;DB=129&amp;ID1=00786510&amp;VALUEID=13040&amp;SDATE=200602&amp;PERIODTYPE=QTR_STD&amp;window=popup_no_bar&amp;width=385&amp;height=120&amp;START_MAXIMIZED=FALSE&amp;creator=factset&amp;display_string=Audit"}</definedName>
    <definedName name="_248__FDSAUDITLINK__" hidden="1">{"fdsup://Directions/FactSet Auditing Viewer?action=AUDIT_VALUE&amp;DB=129&amp;ID1=00786510&amp;VALUEID=01001&amp;SDATE=200702&amp;PERIODTYPE=QTR_STD&amp;window=popup_no_bar&amp;width=385&amp;height=120&amp;START_MAXIMIZED=FALSE&amp;creator=factset&amp;display_string=Audit"}</definedName>
    <definedName name="_2480__FDSAUDITLINK__" hidden="1">{"fdsup://Directions/FactSet Auditing Viewer?action=AUDIT_VALUE&amp;DB=129&amp;ID1=00289620&amp;VALUEID=02101&amp;SDATE=200602&amp;PERIODTYPE=QTR_STD&amp;window=popup_no_bar&amp;width=385&amp;height=120&amp;START_MAXIMIZED=FALSE&amp;creator=factset&amp;display_string=Audit"}</definedName>
    <definedName name="_2481__FDSAUDITLINK__" hidden="1">{"fdsup://Directions/FactSet Auditing Viewer?action=AUDIT_VALUE&amp;DB=129&amp;ID1=00289620&amp;VALUEID=01001&amp;SDATE=200602&amp;PERIODTYPE=QTR_STD&amp;window=popup_no_bar&amp;width=385&amp;height=120&amp;START_MAXIMIZED=FALSE&amp;creator=factset&amp;display_string=Audit"}</definedName>
    <definedName name="_2482__FDSAUDITLINK__" hidden="1">{"fdsup://Directions/FactSet Auditing Viewer?action=AUDIT_VALUE&amp;DB=129&amp;ID1=00289620&amp;VALUEID=13040&amp;SDATE=200602&amp;PERIODTYPE=QTR_STD&amp;window=popup_no_bar&amp;width=385&amp;height=120&amp;START_MAXIMIZED=FALSE&amp;creator=factset&amp;display_string=Audit"}</definedName>
    <definedName name="_2483__FDSAUDITLINK__" hidden="1">{"fdsup://Directions/FactSet Auditing Viewer?action=AUDIT_VALUE&amp;DB=129&amp;ID1=87416110&amp;VALUEID=02101&amp;SDATE=200601&amp;PERIODTYPE=QTR_STD&amp;window=popup_no_bar&amp;width=385&amp;height=120&amp;START_MAXIMIZED=FALSE&amp;creator=factset&amp;display_string=Audit"}</definedName>
    <definedName name="_2484__FDSAUDITLINK__" hidden="1">{"fdsup://Directions/FactSet Auditing Viewer?action=AUDIT_VALUE&amp;DB=129&amp;ID1=87416110&amp;VALUEID=01001&amp;SDATE=200601&amp;PERIODTYPE=QTR_STD&amp;window=popup_no_bar&amp;width=385&amp;height=120&amp;START_MAXIMIZED=FALSE&amp;creator=factset&amp;display_string=Audit"}</definedName>
    <definedName name="_2485__FDSAUDITLINK__" hidden="1">{"fdsup://Directions/FactSet Auditing Viewer?action=AUDIT_VALUE&amp;DB=129&amp;ID1=87416110&amp;VALUEID=13040&amp;SDATE=200601&amp;PERIODTYPE=QTR_STD&amp;window=popup_no_bar&amp;width=385&amp;height=120&amp;START_MAXIMIZED=FALSE&amp;creator=factset&amp;display_string=Audit"}</definedName>
    <definedName name="_2486__FDSAUDITLINK__" hidden="1">{"fdsup://directions/FAT Viewer?action=UPDATE&amp;creator=factset&amp;DYN_ARGS=TRUE&amp;DOC_NAME=FAT:FQL_AUDITING_CLIENT_TEMPLATE.FAT&amp;display_string=Audit&amp;VAR:KEY=NUZUBWRSBA&amp;VAR:QUERY=RkZfUlRfU0ZfVE9UX0dST1NTKFFUUiwtMTYp&amp;WINDOW=FIRST_POPUP&amp;HEIGHT=450&amp;WIDTH=450&amp;START_MA","XIMIZED=FALSE&amp;VAR:CALENDAR=US&amp;VAR:SYMBOL=TLB&amp;VAR:INDEX=0"}</definedName>
    <definedName name="_2487__FDSAUDITLINK__" hidden="1">{"fdsup://Directions/FactSet Auditing Viewer?action=AUDIT_VALUE&amp;DB=129&amp;ID1=53271610&amp;VALUEID=02101&amp;SDATE=200601&amp;PERIODTYPE=QTR_STD&amp;window=popup_no_bar&amp;width=385&amp;height=120&amp;START_MAXIMIZED=FALSE&amp;creator=factset&amp;display_string=Audit"}</definedName>
    <definedName name="_2488__FDSAUDITLINK__" hidden="1">{"fdsup://Directions/FactSet Auditing Viewer?action=AUDIT_VALUE&amp;DB=129&amp;ID1=53271610&amp;VALUEID=01001&amp;SDATE=200601&amp;PERIODTYPE=QTR_STD&amp;window=popup_no_bar&amp;width=385&amp;height=120&amp;START_MAXIMIZED=FALSE&amp;creator=factset&amp;display_string=Audit"}</definedName>
    <definedName name="_2489__FDSAUDITLINK__" hidden="1">{"fdsup://Directions/FactSet Auditing Viewer?action=AUDIT_VALUE&amp;DB=129&amp;ID1=53271610&amp;VALUEID=13040&amp;SDATE=200601&amp;PERIODTYPE=QTR_STD&amp;window=popup_no_bar&amp;width=385&amp;height=120&amp;START_MAXIMIZED=FALSE&amp;creator=factset&amp;display_string=Audit"}</definedName>
    <definedName name="_249__FDSAUDITLINK__" hidden="1">{"fdsup://Directions/FactSet Auditing Viewer?action=AUDIT_VALUE&amp;DB=129&amp;ID1=00786510&amp;VALUEID=13040&amp;SDATE=200702&amp;PERIODTYPE=QTR_STD&amp;window=popup_no_bar&amp;width=385&amp;height=120&amp;START_MAXIMIZED=FALSE&amp;creator=factset&amp;display_string=Audit"}</definedName>
    <definedName name="_2490__FDSAUDITLINK__" hidden="1">{"fdsup://Directions/FactSet Auditing Viewer?action=AUDIT_VALUE&amp;DB=129&amp;ID1=46612H40&amp;VALUEID=02101&amp;SDATE=200601&amp;PERIODTYPE=QTR_STD&amp;window=popup_no_bar&amp;width=385&amp;height=120&amp;START_MAXIMIZED=FALSE&amp;creator=factset&amp;display_string=Audit"}</definedName>
    <definedName name="_2491__FDSAUDITLINK__" hidden="1">{"fdsup://Directions/FactSet Auditing Viewer?action=AUDIT_VALUE&amp;DB=129&amp;ID1=46612H40&amp;VALUEID=01001&amp;SDATE=200601&amp;PERIODTYPE=QTR_STD&amp;window=popup_no_bar&amp;width=385&amp;height=120&amp;START_MAXIMIZED=FALSE&amp;creator=factset&amp;display_string=Audit"}</definedName>
    <definedName name="_2492__FDSAUDITLINK__" hidden="1">{"fdsup://Directions/FactSet Auditing Viewer?action=AUDIT_VALUE&amp;DB=129&amp;ID1=46612H40&amp;VALUEID=13040&amp;SDATE=200601&amp;PERIODTYPE=QTR_STD&amp;window=popup_no_bar&amp;width=385&amp;height=120&amp;START_MAXIMIZED=FALSE&amp;creator=factset&amp;display_string=Audit"}</definedName>
    <definedName name="_2493__FDSAUDITLINK__" hidden="1">{"fdsup://Directions/FactSet Auditing Viewer?action=AUDIT_VALUE&amp;DB=129&amp;ID1=36476010&amp;VALUEID=02101&amp;SDATE=200601&amp;PERIODTYPE=QTR_STD&amp;window=popup_no_bar&amp;width=385&amp;height=120&amp;START_MAXIMIZED=FALSE&amp;creator=factset&amp;display_string=Audit"}</definedName>
    <definedName name="_2494__FDSAUDITLINK__" hidden="1">{"fdsup://Directions/FactSet Auditing Viewer?action=AUDIT_VALUE&amp;DB=129&amp;ID1=36476010&amp;VALUEID=01001&amp;SDATE=200601&amp;PERIODTYPE=QTR_STD&amp;window=popup_no_bar&amp;width=385&amp;height=120&amp;START_MAXIMIZED=FALSE&amp;creator=factset&amp;display_string=Audit"}</definedName>
    <definedName name="_2495__FDSAUDITLINK__" hidden="1">{"fdsup://Directions/FactSet Auditing Viewer?action=AUDIT_VALUE&amp;DB=129&amp;ID1=36476010&amp;VALUEID=13040&amp;SDATE=200601&amp;PERIODTYPE=QTR_STD&amp;window=popup_no_bar&amp;width=385&amp;height=120&amp;START_MAXIMIZED=FALSE&amp;creator=factset&amp;display_string=Audit"}</definedName>
    <definedName name="_2496__FDSAUDITLINK__" hidden="1">{"fdsup://Directions/FactSet Auditing Viewer?action=AUDIT_VALUE&amp;DB=129&amp;ID1=03611510&amp;VALUEID=02101&amp;SDATE=200601&amp;PERIODTYPE=QTR_STD&amp;window=popup_no_bar&amp;width=385&amp;height=120&amp;START_MAXIMIZED=FALSE&amp;creator=factset&amp;display_string=Audit"}</definedName>
    <definedName name="_2497__FDSAUDITLINK__" hidden="1">{"fdsup://Directions/FactSet Auditing Viewer?action=AUDIT_VALUE&amp;DB=129&amp;ID1=03611510&amp;VALUEID=13040&amp;SDATE=200601&amp;PERIODTYPE=QTR_STD&amp;window=popup_no_bar&amp;width=385&amp;height=120&amp;START_MAXIMIZED=FALSE&amp;creator=factset&amp;display_string=Audit"}</definedName>
    <definedName name="_2498__FDSAUDITLINK__" hidden="1">{"fdsup://Directions/FactSet Auditing Viewer?action=AUDIT_VALUE&amp;DB=129&amp;ID1=16890510&amp;VALUEID=02101&amp;SDATE=200601&amp;PERIODTYPE=QTR_STD&amp;window=popup_no_bar&amp;width=385&amp;height=120&amp;START_MAXIMIZED=FALSE&amp;creator=factset&amp;display_string=Audit"}</definedName>
    <definedName name="_2499__FDSAUDITLINK__" hidden="1">{"fdsup://Directions/FactSet Auditing Viewer?action=AUDIT_VALUE&amp;DB=129&amp;ID1=16890510&amp;VALUEID=01001&amp;SDATE=200601&amp;PERIODTYPE=QTR_STD&amp;window=popup_no_bar&amp;width=385&amp;height=120&amp;START_MAXIMIZED=FALSE&amp;creator=factset&amp;display_string=Audit"}</definedName>
    <definedName name="_25__FDSAUDITLINK__" hidden="1">{"fdsup://Directions/FactSet Auditing Viewer?action=AUDIT_VALUE&amp;DB=129&amp;ID1=03611510&amp;VALUEID=01001&amp;SDATE=200904&amp;PERIODTYPE=QTR_STD&amp;window=popup_no_bar&amp;width=385&amp;height=120&amp;START_MAXIMIZED=FALSE&amp;creator=factset&amp;display_string=Audit"}</definedName>
    <definedName name="_250__FDSAUDITLINK__" hidden="1">{"fdsup://Directions/FactSet Auditing Viewer?action=AUDIT_VALUE&amp;DB=129&amp;ID1=00289620&amp;VALUEID=02101&amp;SDATE=200702&amp;PERIODTYPE=QTR_STD&amp;window=popup_no_bar&amp;width=385&amp;height=120&amp;START_MAXIMIZED=FALSE&amp;creator=factset&amp;display_string=Audit"}</definedName>
    <definedName name="_2500__FDSAUDITLINK__" hidden="1">{"fdsup://Directions/FactSet Auditing Viewer?action=AUDIT_VALUE&amp;DB=129&amp;ID1=91704710&amp;VALUEID=02101&amp;SDATE=200601&amp;PERIODTYPE=QTR_STD&amp;window=popup_no_bar&amp;width=385&amp;height=120&amp;START_MAXIMIZED=FALSE&amp;creator=factset&amp;display_string=Audit"}</definedName>
    <definedName name="_2501__FDSAUDITLINK__" hidden="1">{"fdsup://Directions/FactSet Auditing Viewer?action=AUDIT_VALUE&amp;DB=129&amp;ID1=91704710&amp;VALUEID=01001&amp;SDATE=200601&amp;PERIODTYPE=QTR_STD&amp;window=popup_no_bar&amp;width=385&amp;height=120&amp;START_MAXIMIZED=FALSE&amp;creator=factset&amp;display_string=Audit"}</definedName>
    <definedName name="_2502__FDSAUDITLINK__" hidden="1">{"fdsup://Directions/FactSet Auditing Viewer?action=AUDIT_VALUE&amp;DB=129&amp;ID1=91704710&amp;VALUEID=13040&amp;SDATE=200601&amp;PERIODTYPE=QTR_STD&amp;window=popup_no_bar&amp;width=385&amp;height=120&amp;START_MAXIMIZED=FALSE&amp;creator=factset&amp;display_string=Audit"}</definedName>
    <definedName name="_2503__FDSAUDITLINK__" hidden="1">{"fdsup://Directions/FactSet Auditing Viewer?action=AUDIT_VALUE&amp;DB=129&amp;ID1=02553E10&amp;VALUEID=02101&amp;SDATE=200601&amp;PERIODTYPE=QTR_STD&amp;window=popup_no_bar&amp;width=385&amp;height=120&amp;START_MAXIMIZED=FALSE&amp;creator=factset&amp;display_string=Audit"}</definedName>
    <definedName name="_2504__FDSAUDITLINK__" hidden="1">{"fdsup://Directions/FactSet Auditing Viewer?action=AUDIT_VALUE&amp;DB=129&amp;ID1=02553E10&amp;VALUEID=01001&amp;SDATE=200601&amp;PERIODTYPE=QTR_STD&amp;window=popup_no_bar&amp;width=385&amp;height=120&amp;START_MAXIMIZED=FALSE&amp;creator=factset&amp;display_string=Audit"}</definedName>
    <definedName name="_2505__FDSAUDITLINK__" hidden="1">{"fdsup://Directions/FactSet Auditing Viewer?action=AUDIT_VALUE&amp;DB=129&amp;ID1=02553E10&amp;VALUEID=13040&amp;SDATE=200601&amp;PERIODTYPE=QTR_STD&amp;window=popup_no_bar&amp;width=385&amp;height=120&amp;START_MAXIMIZED=FALSE&amp;creator=factset&amp;display_string=Audit"}</definedName>
    <definedName name="_2506__FDSAUDITLINK__" hidden="1">{"fdsup://directions/FAT Viewer?action=UPDATE&amp;creator=factset&amp;DYN_ARGS=TRUE&amp;DOC_NAME=FAT:FQL_AUDITING_CLIENT_TEMPLATE.FAT&amp;display_string=Audit&amp;VAR:KEY=RUROHMBELS&amp;VAR:QUERY=RkZfUlRfU0ZfVE9UX0dST1NTKFFUUiwtMTYp&amp;WINDOW=FIRST_POPUP&amp;HEIGHT=450&amp;WIDTH=450&amp;START_MA","XIMIZED=FALSE&amp;VAR:CALENDAR=US&amp;VAR:SYMBOL=AEO&amp;VAR:INDEX=0"}</definedName>
    <definedName name="_2507__FDSAUDITLINK__" hidden="1">{"fdsup://Directions/FactSet Auditing Viewer?action=AUDIT_VALUE&amp;DB=129&amp;ID1=00786510&amp;VALUEID=02101&amp;SDATE=200601&amp;PERIODTYPE=QTR_STD&amp;window=popup_no_bar&amp;width=385&amp;height=120&amp;START_MAXIMIZED=FALSE&amp;creator=factset&amp;display_string=Audit"}</definedName>
    <definedName name="_2508__FDSAUDITLINK__" hidden="1">{"fdsup://Directions/FactSet Auditing Viewer?action=AUDIT_VALUE&amp;DB=129&amp;ID1=00786510&amp;VALUEID=01001&amp;SDATE=200601&amp;PERIODTYPE=QTR_STD&amp;window=popup_no_bar&amp;width=385&amp;height=120&amp;START_MAXIMIZED=FALSE&amp;creator=factset&amp;display_string=Audit"}</definedName>
    <definedName name="_2509__FDSAUDITLINK__" hidden="1">{"fdsup://Directions/FactSet Auditing Viewer?action=AUDIT_VALUE&amp;DB=129&amp;ID1=00786510&amp;VALUEID=13040&amp;SDATE=200601&amp;PERIODTYPE=QTR_STD&amp;window=popup_no_bar&amp;width=385&amp;height=120&amp;START_MAXIMIZED=FALSE&amp;creator=factset&amp;display_string=Audit"}</definedName>
    <definedName name="_251__FDSAUDITLINK__" hidden="1">{"fdsup://Directions/FactSet Auditing Viewer?action=AUDIT_VALUE&amp;DB=129&amp;ID1=00289620&amp;VALUEID=01001&amp;SDATE=200702&amp;PERIODTYPE=QTR_STD&amp;window=popup_no_bar&amp;width=385&amp;height=120&amp;START_MAXIMIZED=FALSE&amp;creator=factset&amp;display_string=Audit"}</definedName>
    <definedName name="_2510__FDSAUDITLINK__" hidden="1">{"fdsup://Directions/FactSet Auditing Viewer?action=AUDIT_VALUE&amp;DB=129&amp;ID1=00289620&amp;VALUEID=02101&amp;SDATE=200601&amp;PERIODTYPE=QTR_STD&amp;window=popup_no_bar&amp;width=385&amp;height=120&amp;START_MAXIMIZED=FALSE&amp;creator=factset&amp;display_string=Audit"}</definedName>
    <definedName name="_2511__FDSAUDITLINK__" hidden="1">{"fdsup://Directions/FactSet Auditing Viewer?action=AUDIT_VALUE&amp;DB=129&amp;ID1=00289620&amp;VALUEID=01001&amp;SDATE=200601&amp;PERIODTYPE=QTR_STD&amp;window=popup_no_bar&amp;width=385&amp;height=120&amp;START_MAXIMIZED=FALSE&amp;creator=factset&amp;display_string=Audit"}</definedName>
    <definedName name="_2512__FDSAUDITLINK__" hidden="1">{"fdsup://Directions/FactSet Auditing Viewer?action=AUDIT_VALUE&amp;DB=129&amp;ID1=00289620&amp;VALUEID=13040&amp;SDATE=200601&amp;PERIODTYPE=QTR_STD&amp;window=popup_no_bar&amp;width=385&amp;height=120&amp;START_MAXIMIZED=FALSE&amp;creator=factset&amp;display_string=Audit"}</definedName>
    <definedName name="_2513__FDSAUDITLINK__" hidden="1">{"fdsup://directions/FAT Viewer?action=UPDATE&amp;creator=factset&amp;DYN_ARGS=TRUE&amp;DOC_NAME=FAT:FQL_AUDITING_CLIENT_TEMPLATE.FAT&amp;display_string=Audit&amp;VAR:KEY=NKDWDYVSJA&amp;VAR:QUERY=RkZfUlRfU0ZfVE9UX0dST1NTKFFUUiwtMTcp&amp;WINDOW=FIRST_POPUP&amp;HEIGHT=450&amp;WIDTH=450&amp;START_MA","XIMIZED=FALSE&amp;VAR:CALENDAR=US&amp;VAR:SYMBOL=TLB&amp;VAR:INDEX=0"}</definedName>
    <definedName name="_2514__FDSAUDITLINK__" hidden="1">{"fdsup://directions/FAT Viewer?action=UPDATE&amp;creator=factset&amp;DYN_ARGS=TRUE&amp;DOC_NAME=FAT:FQL_AUDITING_CLIENT_TEMPLATE.FAT&amp;display_string=Audit&amp;VAR:KEY=DEZSPEHMVA&amp;VAR:QUERY=RkZfUlRfU0ZfVE9UX0dST1NTKFFUUiwtMTcp&amp;WINDOW=FIRST_POPUP&amp;HEIGHT=450&amp;WIDTH=450&amp;START_MA","XIMIZED=FALSE&amp;VAR:CALENDAR=US&amp;VAR:SYMBOL=AEO&amp;VAR:INDEX=0"}</definedName>
    <definedName name="_2515__FDSAUDITLINK__" hidden="1">{"fdsup://directions/FAT Viewer?action=UPDATE&amp;creator=factset&amp;DYN_ARGS=TRUE&amp;DOC_NAME=FAT:FQL_AUDITING_CLIENT_TEMPLATE.FAT&amp;display_string=Audit&amp;VAR:KEY=TURKDOPIZG&amp;VAR:QUERY=RkZfUlRfU0ZfVE9UX0dST1NTKFFUUiwtMTgp&amp;WINDOW=FIRST_POPUP&amp;HEIGHT=450&amp;WIDTH=450&amp;START_MA","XIMIZED=FALSE&amp;VAR:CALENDAR=US&amp;VAR:SYMBOL=TLB&amp;VAR:INDEX=0"}</definedName>
    <definedName name="_2516__FDSAUDITLINK__" hidden="1">{"fdsup://Directions/FactSet Auditing Viewer?action=AUDIT_VALUE&amp;DB=129&amp;ID1=03611510&amp;VALUEID=13040&amp;SDATE=200503&amp;PERIODTYPE=QTR_STD&amp;window=popup_no_bar&amp;width=385&amp;height=120&amp;START_MAXIMIZED=FALSE&amp;creator=factset&amp;display_string=Audit"}</definedName>
    <definedName name="_2517__FDSAUDITLINK__" hidden="1">{"fdsup://directions/FAT Viewer?action=UPDATE&amp;creator=factset&amp;DYN_ARGS=TRUE&amp;DOC_NAME=FAT:FQL_AUDITING_CLIENT_TEMPLATE.FAT&amp;display_string=Audit&amp;VAR:KEY=NUJIDQTCDM&amp;VAR:QUERY=RkZfUlRfU0ZfVE9UX0dST1NTKFFUUiwtMTgp&amp;WINDOW=FIRST_POPUP&amp;HEIGHT=450&amp;WIDTH=450&amp;START_MA","XIMIZED=FALSE&amp;VAR:CALENDAR=US&amp;VAR:SYMBOL=AEO&amp;VAR:INDEX=0"}</definedName>
    <definedName name="_2518__FDSAUDITLINK__" hidden="1">{"fdsup://directions/FAT Viewer?action=UPDATE&amp;creator=factset&amp;DYN_ARGS=TRUE&amp;DOC_NAME=FAT:FQL_AUDITING_CLIENT_TEMPLATE.FAT&amp;display_string=Audit&amp;VAR:KEY=HIHSXILWDI&amp;VAR:QUERY=RkZfUlRfU0ZfVE9UX0dST1NTKFFUUiwtMTkp&amp;WINDOW=FIRST_POPUP&amp;HEIGHT=450&amp;WIDTH=450&amp;START_MA","XIMIZED=FALSE&amp;VAR:CALENDAR=US&amp;VAR:SYMBOL=TLB&amp;VAR:INDEX=0"}</definedName>
    <definedName name="_2519__FDSAUDITLINK__" hidden="1">{"fdsup://Directions/FactSet Auditing Viewer?action=AUDIT_VALUE&amp;DB=129&amp;ID1=03611510&amp;VALUEID=13040&amp;SDATE=200502&amp;PERIODTYPE=QTR_STD&amp;window=popup_no_bar&amp;width=385&amp;height=120&amp;START_MAXIMIZED=FALSE&amp;creator=factset&amp;display_string=Audit"}</definedName>
    <definedName name="_252__FDSAUDITLINK__" hidden="1">{"fdsup://Directions/FactSet Auditing Viewer?action=AUDIT_VALUE&amp;DB=129&amp;ID1=87416110&amp;VALUEID=02101&amp;SDATE=200701&amp;PERIODTYPE=QTR_STD&amp;window=popup_no_bar&amp;width=385&amp;height=120&amp;START_MAXIMIZED=FALSE&amp;creator=factset&amp;display_string=Audit"}</definedName>
    <definedName name="_2520__FDSAUDITLINK__" hidden="1">{"fdsup://directions/FAT Viewer?action=UPDATE&amp;creator=factset&amp;DYN_ARGS=TRUE&amp;DOC_NAME=FAT:FQL_AUDITING_CLIENT_TEMPLATE.FAT&amp;display_string=Audit&amp;VAR:KEY=BKDCTGPMZY&amp;VAR:QUERY=RkZfUlRfU0ZfVE9UX0dST1NTKFFUUiwtMTkp&amp;WINDOW=FIRST_POPUP&amp;HEIGHT=450&amp;WIDTH=450&amp;START_MA","XIMIZED=FALSE&amp;VAR:CALENDAR=US&amp;VAR:SYMBOL=AEO&amp;VAR:INDEX=0"}</definedName>
    <definedName name="_2521__FDSAUDITLINK__" hidden="1">{"fdsup://directions/FAT Viewer?action=UPDATE&amp;creator=factset&amp;DYN_ARGS=TRUE&amp;DOC_NAME=FAT:FQL_AUDITING_CLIENT_TEMPLATE.FAT&amp;display_string=Audit&amp;VAR:KEY=VABGPMHULC&amp;VAR:QUERY=RkZfUlRfU0ZfVE9UX0dST1NTKFFUUiwtMjAp&amp;WINDOW=FIRST_POPUP&amp;HEIGHT=450&amp;WIDTH=450&amp;START_MA","XIMIZED=FALSE&amp;VAR:CALENDAR=US&amp;VAR:SYMBOL=TLB&amp;VAR:INDEX=0"}</definedName>
    <definedName name="_2522__FDSAUDITLINK__" hidden="1">{"fdsup://Directions/FactSet Auditing Viewer?action=AUDIT_VALUE&amp;DB=129&amp;ID1=03611510&amp;VALUEID=13040&amp;SDATE=200501&amp;PERIODTYPE=QTR_STD&amp;window=popup_no_bar&amp;width=385&amp;height=120&amp;START_MAXIMIZED=FALSE&amp;creator=factset&amp;display_string=Audit"}</definedName>
    <definedName name="_2523__FDSAUDITLINK__" hidden="1">{"fdsup://directions/FAT Viewer?action=UPDATE&amp;creator=factset&amp;DYN_ARGS=TRUE&amp;DOC_NAME=FAT:FQL_AUDITING_CLIENT_TEMPLATE.FAT&amp;display_string=Audit&amp;VAR:KEY=VMROTQVYPS&amp;VAR:QUERY=RkZfUlRfU0ZfVE9UX0dST1NTKFFUUiwtMjAp&amp;WINDOW=FIRST_POPUP&amp;HEIGHT=450&amp;WIDTH=450&amp;START_MA","XIMIZED=FALSE&amp;VAR:CALENDAR=US&amp;VAR:SYMBOL=AEO&amp;VAR:INDEX=0"}</definedName>
    <definedName name="_2524__FDSAUDITLINK__" hidden="1">{"fdsup://Directions/FactSet Auditing Viewer?action=AUDIT_VALUE&amp;DB=129&amp;ID1=16890510&amp;VALUEID=13040&amp;SDATE=200602&amp;PERIODTYPE=QTR_STD&amp;window=popup_no_bar&amp;width=385&amp;height=120&amp;START_MAXIMIZED=FALSE&amp;creator=factset&amp;display_string=Audit"}</definedName>
    <definedName name="_2525__FDSAUDITLINK__" hidden="1">{"fdsup://Directions/FactSet Auditing Viewer?action=AUDIT_VALUE&amp;DB=129&amp;ID1=16890510&amp;VALUEID=13040&amp;SDATE=200601&amp;PERIODTYPE=QTR_STD&amp;window=popup_no_bar&amp;width=385&amp;height=120&amp;START_MAXIMIZED=FALSE&amp;creator=factset&amp;display_string=Audit"}</definedName>
    <definedName name="_2526__FDSAUDITLINK__" hidden="1">{"fdsup://Directions/FactSet Auditing Viewer?action=AUDIT_VALUE&amp;DB=129&amp;ID1=16890510&amp;VALUEID=13040&amp;SDATE=200603&amp;PERIODTYPE=QTR_STD&amp;window=popup_no_bar&amp;width=385&amp;height=120&amp;START_MAXIMIZED=FALSE&amp;creator=factset&amp;display_string=Audit"}</definedName>
    <definedName name="_2527__FDSAUDITLINK__" hidden="1">{"fdsup://Directions/FactSet Auditing Viewer?action=AUDIT_VALUE&amp;DB=129&amp;ID1=16890510&amp;VALUEID=13040&amp;SDATE=200702&amp;PERIODTYPE=QTR_STD&amp;window=popup_no_bar&amp;width=385&amp;height=120&amp;START_MAXIMIZED=FALSE&amp;creator=factset&amp;display_string=Audit"}</definedName>
    <definedName name="_2528__FDSAUDITLINK__" hidden="1">{"fdsup://Directions/FactSet Auditing Viewer?action=AUDIT_VALUE&amp;DB=129&amp;ID1=16890510&amp;VALUEID=13040&amp;SDATE=200701&amp;PERIODTYPE=QTR_STD&amp;window=popup_no_bar&amp;width=385&amp;height=120&amp;START_MAXIMIZED=FALSE&amp;creator=factset&amp;display_string=Audit"}</definedName>
    <definedName name="_2529__FDSAUDITLINK__" hidden="1">{"fdsup://Directions/FactSet Auditing Viewer?action=AUDIT_VALUE&amp;DB=129&amp;ID1=16890510&amp;VALUEID=13040&amp;SDATE=200703&amp;PERIODTYPE=QTR_STD&amp;window=popup_no_bar&amp;width=385&amp;height=120&amp;START_MAXIMIZED=FALSE&amp;creator=factset&amp;display_string=Audit"}</definedName>
    <definedName name="_253__FDSAUDITLINK__" hidden="1">{"fdsup://Directions/FactSet Auditing Viewer?action=AUDIT_VALUE&amp;DB=129&amp;ID1=87416110&amp;VALUEID=01001&amp;SDATE=200701&amp;PERIODTYPE=QTR_STD&amp;window=popup_no_bar&amp;width=385&amp;height=120&amp;START_MAXIMIZED=FALSE&amp;creator=factset&amp;display_string=Audit"}</definedName>
    <definedName name="_2530__FDSAUDITLINK__" hidden="1">{"fdsup://Directions/FactSet Auditing Viewer?action=AUDIT_VALUE&amp;DB=129&amp;ID1=16890510&amp;VALUEID=13040&amp;SDATE=200802&amp;PERIODTYPE=QTR_STD&amp;window=popup_no_bar&amp;width=385&amp;height=120&amp;START_MAXIMIZED=FALSE&amp;creator=factset&amp;display_string=Audit"}</definedName>
    <definedName name="_2531__FDSAUDITLINK__" hidden="1">{"fdsup://Directions/FactSet Auditing Viewer?action=AUDIT_VALUE&amp;DB=129&amp;ID1=16890510&amp;VALUEID=13040&amp;SDATE=200801&amp;PERIODTYPE=QTR_STD&amp;window=popup_no_bar&amp;width=385&amp;height=120&amp;START_MAXIMIZED=FALSE&amp;creator=factset&amp;display_string=Audit"}</definedName>
    <definedName name="_2532__FDSAUDITLINK__" hidden="1">{"fdsup://Directions/FactSet Auditing Viewer?action=AUDIT_VALUE&amp;DB=129&amp;ID1=16890510&amp;VALUEID=13040&amp;SDATE=200803&amp;PERIODTYPE=QTR_STD&amp;window=popup_no_bar&amp;width=385&amp;height=120&amp;START_MAXIMIZED=FALSE&amp;creator=factset&amp;display_string=Audit"}</definedName>
    <definedName name="_2533__FDSAUDITLINK__" hidden="1">{"fdsup://Directions/FactSet Auditing Viewer?action=AUDIT_VALUE&amp;DB=129&amp;ID1=16890510&amp;VALUEID=13040&amp;SDATE=200902&amp;PERIODTYPE=QTR_STD&amp;window=popup_no_bar&amp;width=385&amp;height=120&amp;START_MAXIMIZED=FALSE&amp;creator=factset&amp;display_string=Audit"}</definedName>
    <definedName name="_2534__FDSAUDITLINK__" hidden="1">{"fdsup://Directions/FactSet Auditing Viewer?action=AUDIT_VALUE&amp;DB=129&amp;ID1=16890510&amp;VALUEID=13040&amp;SDATE=200903&amp;PERIODTYPE=QTR_STD&amp;window=popup_no_bar&amp;width=385&amp;height=120&amp;START_MAXIMIZED=FALSE&amp;creator=factset&amp;display_string=Audit"}</definedName>
    <definedName name="_2535__FDSAUDITLINK__" hidden="1">{"fdsup://Directions/FactSet Auditing Viewer?action=AUDIT_VALUE&amp;DB=129&amp;ID1=16890510&amp;VALUEID=13040&amp;SDATE=201001&amp;PERIODTYPE=QTR_STD&amp;window=popup_no_bar&amp;width=385&amp;height=120&amp;START_MAXIMIZED=FALSE&amp;creator=factset&amp;display_string=Audit"}</definedName>
    <definedName name="_2536__FDSAUDITLINK__" hidden="1">{"fdsup://Directions/FactSet Auditing Viewer?action=AUDIT_VALUE&amp;DB=129&amp;ID1=40377710&amp;VALUEID=01001&amp;SDATE=200601&amp;PERIODTYPE=QTR_STD&amp;window=popup_no_bar&amp;width=385&amp;height=120&amp;START_MAXIMIZED=FALSE&amp;creator=factset&amp;display_string=Audit"}</definedName>
    <definedName name="_2537__FDSAUDITLINK__" hidden="1">{"fdsup://Directions/FactSet Auditing Viewer?action=AUDIT_VALUE&amp;DB=129&amp;ID1=40377710&amp;VALUEID=02101&amp;SDATE=200601&amp;PERIODTYPE=QTR_STD&amp;window=popup_no_bar&amp;width=385&amp;height=120&amp;START_MAXIMIZED=FALSE&amp;creator=factset&amp;display_string=Audit"}</definedName>
    <definedName name="_2538__FDSAUDITLINK__" hidden="1">{"fdsup://Directions/FactSet Auditing Viewer?action=AUDIT_VALUE&amp;DB=129&amp;ID1=40377710&amp;VALUEID=01001&amp;SDATE=200602&amp;PERIODTYPE=QTR_STD&amp;window=popup_no_bar&amp;width=385&amp;height=120&amp;START_MAXIMIZED=FALSE&amp;creator=factset&amp;display_string=Audit"}</definedName>
    <definedName name="_2539__FDSAUDITLINK__" hidden="1">{"fdsup://Directions/FactSet Auditing Viewer?action=AUDIT_VALUE&amp;DB=129&amp;ID1=40377710&amp;VALUEID=02101&amp;SDATE=200602&amp;PERIODTYPE=QTR_STD&amp;window=popup_no_bar&amp;width=385&amp;height=120&amp;START_MAXIMIZED=FALSE&amp;creator=factset&amp;display_string=Audit"}</definedName>
    <definedName name="_254__FDSAUDITLINK__" hidden="1">{"fdsup://Directions/FactSet Auditing Viewer?action=AUDIT_VALUE&amp;DB=129&amp;ID1=53271610&amp;VALUEID=02101&amp;SDATE=200701&amp;PERIODTYPE=QTR_STD&amp;window=popup_no_bar&amp;width=385&amp;height=120&amp;START_MAXIMIZED=FALSE&amp;creator=factset&amp;display_string=Audit"}</definedName>
    <definedName name="_2540__FDSAUDITLINK__" hidden="1">{"fdsup://Directions/FactSet Auditing Viewer?action=AUDIT_VALUE&amp;DB=129&amp;ID1=40377710&amp;VALUEID=01001&amp;SDATE=200603&amp;PERIODTYPE=QTR_STD&amp;window=popup_no_bar&amp;width=385&amp;height=120&amp;START_MAXIMIZED=FALSE&amp;creator=factset&amp;display_string=Audit"}</definedName>
    <definedName name="_2541__FDSAUDITLINK__" hidden="1">{"fdsup://Directions/FactSet Auditing Viewer?action=AUDIT_VALUE&amp;DB=129&amp;ID1=40377710&amp;VALUEID=02101&amp;SDATE=200603&amp;PERIODTYPE=QTR_STD&amp;window=popup_no_bar&amp;width=385&amp;height=120&amp;START_MAXIMIZED=FALSE&amp;creator=factset&amp;display_string=Audit"}</definedName>
    <definedName name="_2542__FDSAUDITLINK__" hidden="1">{"fdsup://Directions/FactSet Auditing Viewer?action=AUDIT_VALUE&amp;DB=129&amp;ID1=40377710&amp;VALUEID=01001&amp;SDATE=200604&amp;PERIODTYPE=QTR_STD&amp;window=popup_no_bar&amp;width=385&amp;height=120&amp;START_MAXIMIZED=FALSE&amp;creator=factset&amp;display_string=Audit"}</definedName>
    <definedName name="_2543__FDSAUDITLINK__" hidden="1">{"fdsup://Directions/FactSet Auditing Viewer?action=AUDIT_VALUE&amp;DB=129&amp;ID1=40377710&amp;VALUEID=01001&amp;SDATE=200701&amp;PERIODTYPE=QTR_STD&amp;window=popup_no_bar&amp;width=385&amp;height=120&amp;START_MAXIMIZED=FALSE&amp;creator=factset&amp;display_string=Audit"}</definedName>
    <definedName name="_2544__FDSAUDITLINK__" hidden="1">{"fdsup://Directions/FactSet Auditing Viewer?action=AUDIT_VALUE&amp;DB=129&amp;ID1=40377710&amp;VALUEID=02101&amp;SDATE=200701&amp;PERIODTYPE=QTR_STD&amp;window=popup_no_bar&amp;width=385&amp;height=120&amp;START_MAXIMIZED=FALSE&amp;creator=factset&amp;display_string=Audit"}</definedName>
    <definedName name="_2545__FDSAUDITLINK__" hidden="1">{"fdsup://Directions/FactSet Auditing Viewer?action=AUDIT_VALUE&amp;DB=129&amp;ID1=40377710&amp;VALUEID=01001&amp;SDATE=200702&amp;PERIODTYPE=QTR_STD&amp;window=popup_no_bar&amp;width=385&amp;height=120&amp;START_MAXIMIZED=FALSE&amp;creator=factset&amp;display_string=Audit"}</definedName>
    <definedName name="_2546__FDSAUDITLINK__" hidden="1">{"fdsup://Directions/FactSet Auditing Viewer?action=AUDIT_VALUE&amp;DB=129&amp;ID1=40377710&amp;VALUEID=02101&amp;SDATE=200702&amp;PERIODTYPE=QTR_STD&amp;window=popup_no_bar&amp;width=385&amp;height=120&amp;START_MAXIMIZED=FALSE&amp;creator=factset&amp;display_string=Audit"}</definedName>
    <definedName name="_2547__FDSAUDITLINK__" hidden="1">{"fdsup://Directions/FactSet Auditing Viewer?action=AUDIT_VALUE&amp;DB=129&amp;ID1=40377710&amp;VALUEID=01001&amp;SDATE=200703&amp;PERIODTYPE=QTR_STD&amp;window=popup_no_bar&amp;width=385&amp;height=120&amp;START_MAXIMIZED=FALSE&amp;creator=factset&amp;display_string=Audit"}</definedName>
    <definedName name="_2548__FDSAUDITLINK__" hidden="1">{"fdsup://Directions/FactSet Auditing Viewer?action=AUDIT_VALUE&amp;DB=129&amp;ID1=40377710&amp;VALUEID=02101&amp;SDATE=200703&amp;PERIODTYPE=QTR_STD&amp;window=popup_no_bar&amp;width=385&amp;height=120&amp;START_MAXIMIZED=FALSE&amp;creator=factset&amp;display_string=Audit"}</definedName>
    <definedName name="_2549__FDSAUDITLINK__" hidden="1">{"fdsup://Directions/FactSet Auditing Viewer?action=AUDIT_VALUE&amp;DB=129&amp;ID1=40377710&amp;VALUEID=01001&amp;SDATE=200704&amp;PERIODTYPE=QTR_STD&amp;window=popup_no_bar&amp;width=385&amp;height=120&amp;START_MAXIMIZED=FALSE&amp;creator=factset&amp;display_string=Audit"}</definedName>
    <definedName name="_255__FDSAUDITLINK__" hidden="1">{"fdsup://Directions/FactSet Auditing Viewer?action=AUDIT_VALUE&amp;DB=129&amp;ID1=53271610&amp;VALUEID=01001&amp;SDATE=200701&amp;PERIODTYPE=QTR_STD&amp;window=popup_no_bar&amp;width=385&amp;height=120&amp;START_MAXIMIZED=FALSE&amp;creator=factset&amp;display_string=Audit"}</definedName>
    <definedName name="_2550__FDSAUDITLINK__" hidden="1">{"fdsup://Directions/FactSet Auditing Viewer?action=AUDIT_VALUE&amp;DB=129&amp;ID1=40377710&amp;VALUEID=01001&amp;SDATE=200801&amp;PERIODTYPE=QTR_STD&amp;window=popup_no_bar&amp;width=385&amp;height=120&amp;START_MAXIMIZED=FALSE&amp;creator=factset&amp;display_string=Audit"}</definedName>
    <definedName name="_2551__FDSAUDITLINK__" hidden="1">{"fdsup://Directions/FactSet Auditing Viewer?action=AUDIT_VALUE&amp;DB=129&amp;ID1=40377710&amp;VALUEID=02101&amp;SDATE=200801&amp;PERIODTYPE=QTR_STD&amp;window=popup_no_bar&amp;width=385&amp;height=120&amp;START_MAXIMIZED=FALSE&amp;creator=factset&amp;display_string=Audit"}</definedName>
    <definedName name="_2552__FDSAUDITLINK__" hidden="1">{"fdsup://Directions/FactSet Auditing Viewer?action=AUDIT_VALUE&amp;DB=129&amp;ID1=40377710&amp;VALUEID=01001&amp;SDATE=200802&amp;PERIODTYPE=QTR_STD&amp;window=popup_no_bar&amp;width=385&amp;height=120&amp;START_MAXIMIZED=FALSE&amp;creator=factset&amp;display_string=Audit"}</definedName>
    <definedName name="_2553__FDSAUDITLINK__" hidden="1">{"fdsup://Directions/FactSet Auditing Viewer?action=AUDIT_VALUE&amp;DB=129&amp;ID1=40377710&amp;VALUEID=02101&amp;SDATE=200802&amp;PERIODTYPE=QTR_STD&amp;window=popup_no_bar&amp;width=385&amp;height=120&amp;START_MAXIMIZED=FALSE&amp;creator=factset&amp;display_string=Audit"}</definedName>
    <definedName name="_2554__FDSAUDITLINK__" hidden="1">{"fdsup://Directions/FactSet Auditing Viewer?action=AUDIT_VALUE&amp;DB=129&amp;ID1=40377710&amp;VALUEID=01001&amp;SDATE=200803&amp;PERIODTYPE=QTR_STD&amp;window=popup_no_bar&amp;width=385&amp;height=120&amp;START_MAXIMIZED=FALSE&amp;creator=factset&amp;display_string=Audit"}</definedName>
    <definedName name="_2555__FDSAUDITLINK__" hidden="1">{"fdsup://Directions/FactSet Auditing Viewer?action=AUDIT_VALUE&amp;DB=129&amp;ID1=40377710&amp;VALUEID=02101&amp;SDATE=200803&amp;PERIODTYPE=QTR_STD&amp;window=popup_no_bar&amp;width=385&amp;height=120&amp;START_MAXIMIZED=FALSE&amp;creator=factset&amp;display_string=Audit"}</definedName>
    <definedName name="_2556__FDSAUDITLINK__" hidden="1">{"fdsup://Directions/FactSet Auditing Viewer?action=AUDIT_VALUE&amp;DB=129&amp;ID1=40377710&amp;VALUEID=01001&amp;SDATE=200804&amp;PERIODTYPE=QTR_STD&amp;window=popup_no_bar&amp;width=385&amp;height=120&amp;START_MAXIMIZED=FALSE&amp;creator=factset&amp;display_string=Audit"}</definedName>
    <definedName name="_2557__FDSAUDITLINK__" hidden="1">{"fdsup://Directions/FactSet Auditing Viewer?action=AUDIT_VALUE&amp;DB=129&amp;ID1=40377710&amp;VALUEID=01001&amp;SDATE=200901&amp;PERIODTYPE=QTR_STD&amp;window=popup_no_bar&amp;width=385&amp;height=120&amp;START_MAXIMIZED=FALSE&amp;creator=factset&amp;display_string=Audit"}</definedName>
    <definedName name="_2558__FDSAUDITLINK__" hidden="1">{"fdsup://Directions/FactSet Auditing Viewer?action=AUDIT_VALUE&amp;DB=129&amp;ID1=40377710&amp;VALUEID=02101&amp;SDATE=200901&amp;PERIODTYPE=QTR_STD&amp;window=popup_no_bar&amp;width=385&amp;height=120&amp;START_MAXIMIZED=FALSE&amp;creator=factset&amp;display_string=Audit"}</definedName>
    <definedName name="_2559__FDSAUDITLINK__" hidden="1">{"fdsup://Directions/FactSet Auditing Viewer?action=AUDIT_VALUE&amp;DB=129&amp;ID1=40377710&amp;VALUEID=01001&amp;SDATE=200902&amp;PERIODTYPE=QTR_STD&amp;window=popup_no_bar&amp;width=385&amp;height=120&amp;START_MAXIMIZED=FALSE&amp;creator=factset&amp;display_string=Audit"}</definedName>
    <definedName name="_256__FDSAUDITLINK__" hidden="1">{"fdsup://Directions/FactSet Auditing Viewer?action=AUDIT_VALUE&amp;DB=129&amp;ID1=53271610&amp;VALUEID=13040&amp;SDATE=200701&amp;PERIODTYPE=QTR_STD&amp;window=popup_no_bar&amp;width=385&amp;height=120&amp;START_MAXIMIZED=FALSE&amp;creator=factset&amp;display_string=Audit"}</definedName>
    <definedName name="_2560__FDSAUDITLINK__" hidden="1">{"fdsup://Directions/FactSet Auditing Viewer?action=AUDIT_VALUE&amp;DB=129&amp;ID1=40377710&amp;VALUEID=02101&amp;SDATE=200902&amp;PERIODTYPE=QTR_STD&amp;window=popup_no_bar&amp;width=385&amp;height=120&amp;START_MAXIMIZED=FALSE&amp;creator=factset&amp;display_string=Audit"}</definedName>
    <definedName name="_2561__FDSAUDITLINK__" hidden="1">{"fdsup://Directions/FactSet Auditing Viewer?action=AUDIT_VALUE&amp;DB=129&amp;ID1=40377710&amp;VALUEID=01001&amp;SDATE=200903&amp;PERIODTYPE=QTR_STD&amp;window=popup_no_bar&amp;width=385&amp;height=120&amp;START_MAXIMIZED=FALSE&amp;creator=factset&amp;display_string=Audit"}</definedName>
    <definedName name="_2562__FDSAUDITLINK__" hidden="1">{"fdsup://Directions/FactSet Auditing Viewer?action=AUDIT_VALUE&amp;DB=129&amp;ID1=40377710&amp;VALUEID=02101&amp;SDATE=200903&amp;PERIODTYPE=QTR_STD&amp;window=popup_no_bar&amp;width=385&amp;height=120&amp;START_MAXIMIZED=FALSE&amp;creator=factset&amp;display_string=Audit"}</definedName>
    <definedName name="_2563__FDSAUDITLINK__" hidden="1">{"fdsup://Directions/FactSet Auditing Viewer?action=AUDIT_VALUE&amp;DB=129&amp;ID1=40377710&amp;VALUEID=01001&amp;SDATE=200904&amp;PERIODTYPE=QTR_STD&amp;window=popup_no_bar&amp;width=385&amp;height=120&amp;START_MAXIMIZED=FALSE&amp;creator=factset&amp;display_string=Audit"}</definedName>
    <definedName name="_2564__FDSAUDITLINK__" hidden="1">{"fdsup://Directions/FactSet Auditing Viewer?action=AUDIT_VALUE&amp;DB=129&amp;ID1=40377710&amp;VALUEID=02101&amp;SDATE=201001&amp;PERIODTYPE=QTR_STD&amp;window=popup_no_bar&amp;width=385&amp;height=120&amp;START_MAXIMIZED=FALSE&amp;creator=factset&amp;display_string=Audit"}</definedName>
    <definedName name="_2565__FDSAUDITLINK__" hidden="1">{"fdsup://directions/FAT Viewer?action=UPDATE&amp;creator=factset&amp;DYN_ARGS=TRUE&amp;DOC_NAME=FAT:FQL_AUDITING_CLIENT_TEMPLATE.FAT&amp;display_string=Audit&amp;VAR:KEY=TIVULSDMDS&amp;VAR:QUERY=RkZfUlRfU0ZfVE9UX0dST1NTKFFUUiwtNDQp&amp;WINDOW=FIRST_POPUP&amp;HEIGHT=450&amp;WIDTH=450&amp;START_MA","XIMIZED=FALSE&amp;VAR:CALENDAR=US&amp;VAR:SYMBOL=GYMB&amp;VAR:INDEX=0"}</definedName>
    <definedName name="_2566__FDSAUDITLINK__" hidden="1">{"fdsup://directions/FAT Viewer?action=UPDATE&amp;creator=factset&amp;DYN_ARGS=TRUE&amp;DOC_NAME=FAT:FQL_AUDITING_CLIENT_TEMPLATE.FAT&amp;display_string=Audit&amp;VAR:KEY=LGPIREFUFO&amp;VAR:QUERY=RkZfUlRfU0ZfVE9UX0dST1NTKFFUUiwtNDMp&amp;WINDOW=FIRST_POPUP&amp;HEIGHT=450&amp;WIDTH=450&amp;START_MA","XIMIZED=FALSE&amp;VAR:CALENDAR=US&amp;VAR:SYMBOL=GYMB&amp;VAR:INDEX=0"}</definedName>
    <definedName name="_2567__FDSAUDITLINK__" hidden="1">{"fdsup://directions/FAT Viewer?action=UPDATE&amp;creator=factset&amp;DYN_ARGS=TRUE&amp;DOC_NAME=FAT:FQL_AUDITING_CLIENT_TEMPLATE.FAT&amp;display_string=Audit&amp;VAR:KEY=JYTABURKFY&amp;VAR:QUERY=RkZfUlRfU0ZfVE9UX0dST1NTKFFUUiwtNDIp&amp;WINDOW=FIRST_POPUP&amp;HEIGHT=450&amp;WIDTH=450&amp;START_MA","XIMIZED=FALSE&amp;VAR:CALENDAR=US&amp;VAR:SYMBOL=GYMB&amp;VAR:INDEX=0"}</definedName>
    <definedName name="_2568__FDSAUDITLINK__" hidden="1">{"fdsup://directions/FAT Viewer?action=UPDATE&amp;creator=factset&amp;DYN_ARGS=TRUE&amp;DOC_NAME=FAT:FQL_AUDITING_CLIENT_TEMPLATE.FAT&amp;display_string=Audit&amp;VAR:KEY=NQZSJEVCTC&amp;VAR:QUERY=RkZfUlRfU0ZfVE9UX0dST1NTKFFUUiwtNDEp&amp;WINDOW=FIRST_POPUP&amp;HEIGHT=450&amp;WIDTH=450&amp;START_MA","XIMIZED=FALSE&amp;VAR:CALENDAR=US&amp;VAR:SYMBOL=GYMB&amp;VAR:INDEX=0"}</definedName>
    <definedName name="_2569__FDSAUDITLINK__" hidden="1">{"fdsup://directions/FAT Viewer?action=UPDATE&amp;creator=factset&amp;DYN_ARGS=TRUE&amp;DOC_NAME=FAT:FQL_AUDITING_CLIENT_TEMPLATE.FAT&amp;display_string=Audit&amp;VAR:KEY=VAXEBONQHK&amp;VAR:QUERY=RkZfUlRfU0ZfVE9UX0dST1NTKFFUUiwtNDAp&amp;WINDOW=FIRST_POPUP&amp;HEIGHT=450&amp;WIDTH=450&amp;START_MA","XIMIZED=FALSE&amp;VAR:CALENDAR=US&amp;VAR:SYMBOL=GYMB&amp;VAR:INDEX=0"}</definedName>
    <definedName name="_257__FDSAUDITLINK__" hidden="1">{"fdsup://Directions/FactSet Auditing Viewer?action=AUDIT_VALUE&amp;DB=129&amp;ID1=46612H40&amp;VALUEID=02101&amp;SDATE=200701&amp;PERIODTYPE=QTR_STD&amp;window=popup_no_bar&amp;width=385&amp;height=120&amp;START_MAXIMIZED=FALSE&amp;creator=factset&amp;display_string=Audit"}</definedName>
    <definedName name="_2570__FDSAUDITLINK__" hidden="1">{"fdsup://directions/FAT Viewer?action=UPDATE&amp;creator=factset&amp;DYN_ARGS=TRUE&amp;DOC_NAME=FAT:FQL_AUDITING_CLIENT_TEMPLATE.FAT&amp;display_string=Audit&amp;VAR:KEY=PIHQPQTEFG&amp;VAR:QUERY=RkZfUlRfU0ZfVE9UX0dST1NTKFFUUiwtMzkp&amp;WINDOW=FIRST_POPUP&amp;HEIGHT=450&amp;WIDTH=450&amp;START_MA","XIMIZED=FALSE&amp;VAR:CALENDAR=US&amp;VAR:SYMBOL=GYMB&amp;VAR:INDEX=0"}</definedName>
    <definedName name="_2571__FDSAUDITLINK__" hidden="1">{"fdsup://directions/FAT Viewer?action=UPDATE&amp;creator=factset&amp;DYN_ARGS=TRUE&amp;DOC_NAME=FAT:FQL_AUDITING_CLIENT_TEMPLATE.FAT&amp;display_string=Audit&amp;VAR:KEY=PWPALKRENU&amp;VAR:QUERY=RkZfUlRfU0ZfVE9UX0dST1NTKFFUUiwtMzgp&amp;WINDOW=FIRST_POPUP&amp;HEIGHT=450&amp;WIDTH=450&amp;START_MA","XIMIZED=FALSE&amp;VAR:CALENDAR=US&amp;VAR:SYMBOL=GYMB&amp;VAR:INDEX=0"}</definedName>
    <definedName name="_2572__FDSAUDITLINK__" hidden="1">{"fdsup://directions/FAT Viewer?action=UPDATE&amp;creator=factset&amp;DYN_ARGS=TRUE&amp;DOC_NAME=FAT:FQL_AUDITING_CLIENT_TEMPLATE.FAT&amp;display_string=Audit&amp;VAR:KEY=FKZQDQZSLI&amp;VAR:QUERY=RkZfUlRfU0ZfVE9UX0dST1NTKFFUUiwtMzcp&amp;WINDOW=FIRST_POPUP&amp;HEIGHT=450&amp;WIDTH=450&amp;START_MA","XIMIZED=FALSE&amp;VAR:CALENDAR=US&amp;VAR:SYMBOL=GYMB&amp;VAR:INDEX=0"}</definedName>
    <definedName name="_2573__FDSAUDITLINK__" hidden="1">{"fdsup://directions/FAT Viewer?action=UPDATE&amp;creator=factset&amp;DYN_ARGS=TRUE&amp;DOC_NAME=FAT:FQL_AUDITING_CLIENT_TEMPLATE.FAT&amp;display_string=Audit&amp;VAR:KEY=HQVKRWHAXM&amp;VAR:QUERY=RkZfUlRfU0ZfVE9UX0dST1NTKFFUUiwtMzYp&amp;WINDOW=FIRST_POPUP&amp;HEIGHT=450&amp;WIDTH=450&amp;START_MA","XIMIZED=FALSE&amp;VAR:CALENDAR=US&amp;VAR:SYMBOL=GYMB&amp;VAR:INDEX=0"}</definedName>
    <definedName name="_2574__FDSAUDITLINK__" hidden="1">{"fdsup://directions/FAT Viewer?action=UPDATE&amp;creator=factset&amp;DYN_ARGS=TRUE&amp;DOC_NAME=FAT:FQL_AUDITING_CLIENT_TEMPLATE.FAT&amp;display_string=Audit&amp;VAR:KEY=FKDCROBATC&amp;VAR:QUERY=RkZfUlRfU0ZfVE9UX0dST1NTKFFUUiwtMzUp&amp;WINDOW=FIRST_POPUP&amp;HEIGHT=450&amp;WIDTH=450&amp;START_MA","XIMIZED=FALSE&amp;VAR:CALENDAR=US&amp;VAR:SYMBOL=GYMB&amp;VAR:INDEX=0"}</definedName>
    <definedName name="_2575__FDSAUDITLINK__" hidden="1">{"fdsup://directions/FAT Viewer?action=UPDATE&amp;creator=factset&amp;DYN_ARGS=TRUE&amp;DOC_NAME=FAT:FQL_AUDITING_CLIENT_TEMPLATE.FAT&amp;display_string=Audit&amp;VAR:KEY=RGXKJGXSRY&amp;VAR:QUERY=RkZfUlRfU0ZfVE9UX0dST1NTKFFUUiwtMzQp&amp;WINDOW=FIRST_POPUP&amp;HEIGHT=450&amp;WIDTH=450&amp;START_MA","XIMIZED=FALSE&amp;VAR:CALENDAR=US&amp;VAR:SYMBOL=GYMB&amp;VAR:INDEX=0"}</definedName>
    <definedName name="_2576__FDSAUDITLINK__" hidden="1">{"fdsup://directions/FAT Viewer?action=UPDATE&amp;creator=factset&amp;DYN_ARGS=TRUE&amp;DOC_NAME=FAT:FQL_AUDITING_CLIENT_TEMPLATE.FAT&amp;display_string=Audit&amp;VAR:KEY=NEDCPADABM&amp;VAR:QUERY=RkZfUlRfU0ZfVE9UX0dST1NTKFFUUiwtMzMp&amp;WINDOW=FIRST_POPUP&amp;HEIGHT=450&amp;WIDTH=450&amp;START_MA","XIMIZED=FALSE&amp;VAR:CALENDAR=US&amp;VAR:SYMBOL=GYMB&amp;VAR:INDEX=0"}</definedName>
    <definedName name="_2577__FDSAUDITLINK__" hidden="1">{"fdsup://directions/FAT Viewer?action=UPDATE&amp;creator=factset&amp;DYN_ARGS=TRUE&amp;DOC_NAME=FAT:FQL_AUDITING_CLIENT_TEMPLATE.FAT&amp;display_string=Audit&amp;VAR:KEY=LSHCBIVWFW&amp;VAR:QUERY=RkZfUlRfU0ZfVE9UX0dST1NTKFFUUiwtMzIp&amp;WINDOW=FIRST_POPUP&amp;HEIGHT=450&amp;WIDTH=450&amp;START_MA","XIMIZED=FALSE&amp;VAR:CALENDAR=US&amp;VAR:SYMBOL=GYMB&amp;VAR:INDEX=0"}</definedName>
    <definedName name="_2578__FDSAUDITLINK__" hidden="1">{"fdsup://directions/FAT Viewer?action=UPDATE&amp;creator=factset&amp;DYN_ARGS=TRUE&amp;DOC_NAME=FAT:FQL_AUDITING_CLIENT_TEMPLATE.FAT&amp;display_string=Audit&amp;VAR:KEY=RIBYZAVYBO&amp;VAR:QUERY=RkZfUlRfU0ZfVE9UX0dST1NTKFFUUiwtMzEp&amp;WINDOW=FIRST_POPUP&amp;HEIGHT=450&amp;WIDTH=450&amp;START_MA","XIMIZED=FALSE&amp;VAR:CALENDAR=US&amp;VAR:SYMBOL=GYMB&amp;VAR:INDEX=0"}</definedName>
    <definedName name="_2579__FDSAUDITLINK__" hidden="1">{"fdsup://directions/FAT Viewer?action=UPDATE&amp;creator=factset&amp;DYN_ARGS=TRUE&amp;DOC_NAME=FAT:FQL_AUDITING_CLIENT_TEMPLATE.FAT&amp;display_string=Audit&amp;VAR:KEY=DKPUNITODE&amp;VAR:QUERY=RkZfUlRfU0ZfVE9UX0dST1NTKFFUUiwtMzAp&amp;WINDOW=FIRST_POPUP&amp;HEIGHT=450&amp;WIDTH=450&amp;START_MA","XIMIZED=FALSE&amp;VAR:CALENDAR=US&amp;VAR:SYMBOL=GYMB&amp;VAR:INDEX=0"}</definedName>
    <definedName name="_258__FDSAUDITLINK__" hidden="1">{"fdsup://Directions/FactSet Auditing Viewer?action=AUDIT_VALUE&amp;DB=129&amp;ID1=46612H40&amp;VALUEID=01001&amp;SDATE=200701&amp;PERIODTYPE=QTR_STD&amp;window=popup_no_bar&amp;width=385&amp;height=120&amp;START_MAXIMIZED=FALSE&amp;creator=factset&amp;display_string=Audit"}</definedName>
    <definedName name="_2580__FDSAUDITLINK__" hidden="1">{"fdsup://directions/FAT Viewer?action=UPDATE&amp;creator=factset&amp;DYN_ARGS=TRUE&amp;DOC_NAME=FAT:FQL_AUDITING_CLIENT_TEMPLATE.FAT&amp;display_string=Audit&amp;VAR:KEY=DCZMDKFYDS&amp;VAR:QUERY=RkZfUlRfU0ZfVE9UX0dST1NTKFFUUiwtMjkp&amp;WINDOW=FIRST_POPUP&amp;HEIGHT=450&amp;WIDTH=450&amp;START_MA","XIMIZED=FALSE&amp;VAR:CALENDAR=US&amp;VAR:SYMBOL=GYMB&amp;VAR:INDEX=0"}</definedName>
    <definedName name="_2581__FDSAUDITLINK__" hidden="1">{"fdsup://directions/FAT Viewer?action=UPDATE&amp;creator=factset&amp;DYN_ARGS=TRUE&amp;DOC_NAME=FAT:FQL_AUDITING_CLIENT_TEMPLATE.FAT&amp;display_string=Audit&amp;VAR:KEY=REBEDKBEJS&amp;VAR:QUERY=RkZfUlRfU0ZfVE9UX0dST1NTKFFUUiwtMjgp&amp;WINDOW=FIRST_POPUP&amp;HEIGHT=450&amp;WIDTH=450&amp;START_MA","XIMIZED=FALSE&amp;VAR:CALENDAR=US&amp;VAR:SYMBOL=GYMB&amp;VAR:INDEX=0"}</definedName>
    <definedName name="_2582__FDSAUDITLINK__" hidden="1">{"fdsup://directions/FAT Viewer?action=UPDATE&amp;creator=factset&amp;DYN_ARGS=TRUE&amp;DOC_NAME=FAT:FQL_AUDITING_CLIENT_TEMPLATE.FAT&amp;display_string=Audit&amp;VAR:KEY=LOPKLIVKBE&amp;VAR:QUERY=RkZfUlRfU0ZfVE9UX0dST1NTKFFUUiwtMjcp&amp;WINDOW=FIRST_POPUP&amp;HEIGHT=450&amp;WIDTH=450&amp;START_MA","XIMIZED=FALSE&amp;VAR:CALENDAR=US&amp;VAR:SYMBOL=GYMB&amp;VAR:INDEX=0"}</definedName>
    <definedName name="_2583__FDSAUDITLINK__" hidden="1">{"fdsup://directions/FAT Viewer?action=UPDATE&amp;creator=factset&amp;DYN_ARGS=TRUE&amp;DOC_NAME=FAT:FQL_AUDITING_CLIENT_TEMPLATE.FAT&amp;display_string=Audit&amp;VAR:KEY=HWTMTYBQHY&amp;VAR:QUERY=RkZfUlRfU0ZfVE9UX0dST1NTKFFUUiwtMjYp&amp;WINDOW=FIRST_POPUP&amp;HEIGHT=450&amp;WIDTH=450&amp;START_MA","XIMIZED=FALSE&amp;VAR:CALENDAR=US&amp;VAR:SYMBOL=GYMB&amp;VAR:INDEX=0"}</definedName>
    <definedName name="_2584__FDSAUDITLINK__" hidden="1">{"fdsup://directions/FAT Viewer?action=UPDATE&amp;creator=factset&amp;DYN_ARGS=TRUE&amp;DOC_NAME=FAT:FQL_AUDITING_CLIENT_TEMPLATE.FAT&amp;display_string=Audit&amp;VAR:KEY=PUPOZEVABO&amp;VAR:QUERY=RkZfUlRfU0ZfVE9UX0dST1NTKFFUUiwtMjUp&amp;WINDOW=FIRST_POPUP&amp;HEIGHT=450&amp;WIDTH=450&amp;START_MA","XIMIZED=FALSE&amp;VAR:CALENDAR=US&amp;VAR:SYMBOL=GYMB&amp;VAR:INDEX=0"}</definedName>
    <definedName name="_2585__FDSAUDITLINK__" hidden="1">{"fdsup://directions/FAT Viewer?action=UPDATE&amp;creator=factset&amp;DYN_ARGS=TRUE&amp;DOC_NAME=FAT:FQL_AUDITING_CLIENT_TEMPLATE.FAT&amp;display_string=Audit&amp;VAR:KEY=DCZYDEDCZQ&amp;VAR:QUERY=RkZfUlRfU0ZfVE9UX0dST1NTKFFUUiwtMjQp&amp;WINDOW=FIRST_POPUP&amp;HEIGHT=450&amp;WIDTH=450&amp;START_MA","XIMIZED=FALSE&amp;VAR:CALENDAR=US&amp;VAR:SYMBOL=GYMB&amp;VAR:INDEX=0"}</definedName>
    <definedName name="_2586__FDSAUDITLINK__" hidden="1">{"fdsup://directions/FAT Viewer?action=UPDATE&amp;creator=factset&amp;DYN_ARGS=TRUE&amp;DOC_NAME=FAT:FQL_AUDITING_CLIENT_TEMPLATE.FAT&amp;display_string=Audit&amp;VAR:KEY=FOBGXGRATQ&amp;VAR:QUERY=RkZfUlRfU0ZfVE9UX0dST1NTKFFUUiwtMjMp&amp;WINDOW=FIRST_POPUP&amp;HEIGHT=450&amp;WIDTH=450&amp;START_MA","XIMIZED=FALSE&amp;VAR:CALENDAR=US&amp;VAR:SYMBOL=GYMB&amp;VAR:INDEX=0"}</definedName>
    <definedName name="_2587__FDSAUDITLINK__" hidden="1">{"fdsup://directions/FAT Viewer?action=UPDATE&amp;creator=factset&amp;DYN_ARGS=TRUE&amp;DOC_NAME=FAT:FQL_AUDITING_CLIENT_TEMPLATE.FAT&amp;display_string=Audit&amp;VAR:KEY=HIRWDWNUXK&amp;VAR:QUERY=RkZfUlRfU0ZfVE9UX0dST1NTKFFUUiwtMjIp&amp;WINDOW=FIRST_POPUP&amp;HEIGHT=450&amp;WIDTH=450&amp;START_MA","XIMIZED=FALSE&amp;VAR:CALENDAR=US&amp;VAR:SYMBOL=GYMB&amp;VAR:INDEX=0"}</definedName>
    <definedName name="_2588__FDSAUDITLINK__" hidden="1">{"fdsup://directions/FAT Viewer?action=UPDATE&amp;creator=factset&amp;DYN_ARGS=TRUE&amp;DOC_NAME=FAT:FQL_AUDITING_CLIENT_TEMPLATE.FAT&amp;display_string=Audit&amp;VAR:KEY=JURGFOXYHE&amp;VAR:QUERY=RkZfUlRfU0ZfVE9UX0dST1NTKFFUUiwtMjEp&amp;WINDOW=FIRST_POPUP&amp;HEIGHT=450&amp;WIDTH=450&amp;START_MA","XIMIZED=FALSE&amp;VAR:CALENDAR=US&amp;VAR:SYMBOL=GYMB&amp;VAR:INDEX=0"}</definedName>
    <definedName name="_2589__FDSAUDITLINK__" hidden="1">{"fdsup://directions/FAT Viewer?action=UPDATE&amp;creator=factset&amp;DYN_ARGS=TRUE&amp;DOC_NAME=FAT:FQL_AUDITING_CLIENT_TEMPLATE.FAT&amp;display_string=Audit&amp;VAR:KEY=DSNMNEJEJG&amp;VAR:QUERY=RkZfUlRfU0ZfVE9UX0dST1NTKFFUUiwtMjAp&amp;WINDOW=FIRST_POPUP&amp;HEIGHT=450&amp;WIDTH=450&amp;START_MA","XIMIZED=FALSE&amp;VAR:CALENDAR=US&amp;VAR:SYMBOL=GYMB&amp;VAR:INDEX=0"}</definedName>
    <definedName name="_259__FDSAUDITLINK__" hidden="1">{"fdsup://Directions/FactSet Auditing Viewer?action=AUDIT_VALUE&amp;DB=129&amp;ID1=46612H40&amp;VALUEID=13040&amp;SDATE=200701&amp;PERIODTYPE=QTR_STD&amp;window=popup_no_bar&amp;width=385&amp;height=120&amp;START_MAXIMIZED=FALSE&amp;creator=factset&amp;display_string=Audit"}</definedName>
    <definedName name="_2590__FDSAUDITLINK__" hidden="1">{"fdsup://directions/FAT Viewer?action=UPDATE&amp;creator=factset&amp;DYN_ARGS=TRUE&amp;DOC_NAME=FAT:FQL_AUDITING_CLIENT_TEMPLATE.FAT&amp;display_string=Audit&amp;VAR:KEY=PWTUNSTSTY&amp;VAR:QUERY=RkZfUlRfU0ZfVE9UX0dST1NTKFFUUiwtMTkp&amp;WINDOW=FIRST_POPUP&amp;HEIGHT=450&amp;WIDTH=450&amp;START_MA","XIMIZED=FALSE&amp;VAR:CALENDAR=US&amp;VAR:SYMBOL=GYMB&amp;VAR:INDEX=0"}</definedName>
    <definedName name="_2591__FDSAUDITLINK__" hidden="1">{"fdsup://directions/FAT Viewer?action=UPDATE&amp;creator=factset&amp;DYN_ARGS=TRUE&amp;DOC_NAME=FAT:FQL_AUDITING_CLIENT_TEMPLATE.FAT&amp;display_string=Audit&amp;VAR:KEY=ZQNKHKRKLC&amp;VAR:QUERY=RkZfUlRfU0ZfVE9UX0dST1NTKFFUUiwtMTgp&amp;WINDOW=FIRST_POPUP&amp;HEIGHT=450&amp;WIDTH=450&amp;START_MA","XIMIZED=FALSE&amp;VAR:CALENDAR=US&amp;VAR:SYMBOL=GYMB&amp;VAR:INDEX=0"}</definedName>
    <definedName name="_2592__FDSAUDITLINK__" hidden="1">{"fdsup://Directions/FactSet Auditing Viewer?action=AUDIT_VALUE&amp;DB=129&amp;ID1=40377710&amp;VALUEID=13040&amp;SDATE=200802&amp;PERIODTYPE=QTR_STD&amp;window=popup_no_bar&amp;width=385&amp;height=120&amp;START_MAXIMIZED=FALSE&amp;creator=factset&amp;display_string=Audit"}</definedName>
    <definedName name="_2593__FDSAUDITLINK__" hidden="1">{"fdsup://directions/FAT Viewer?action=UPDATE&amp;creator=factset&amp;DYN_ARGS=TRUE&amp;DOC_NAME=FAT:FQL_AUDITING_CLIENT_TEMPLATE.FAT&amp;display_string=Audit&amp;VAR:KEY=NUNSNKTEFS&amp;VAR:QUERY=RkZfUlRfU0ZfVE9UX0dST1NTKFFUUiwtNyk=&amp;WINDOW=FIRST_POPUP&amp;HEIGHT=450&amp;WIDTH=450&amp;START_MA","XIMIZED=FALSE&amp;VAR:CALENDAR=US&amp;VAR:SYMBOL=GYMB&amp;VAR:INDEX=0"}</definedName>
    <definedName name="_2594__FDSAUDITLINK__" hidden="1">{"fdsup://Directions/FactSet Auditing Viewer?action=AUDIT_VALUE&amp;DB=129&amp;ID1=40377710&amp;VALUEID=13040&amp;SDATE=200803&amp;PERIODTYPE=QTR_STD&amp;window=popup_no_bar&amp;width=385&amp;height=120&amp;START_MAXIMIZED=FALSE&amp;creator=factset&amp;display_string=Audit"}</definedName>
    <definedName name="_2595__FDSAUDITLINK__" hidden="1">{"fdsup://directions/FAT Viewer?action=UPDATE&amp;creator=factset&amp;DYN_ARGS=TRUE&amp;DOC_NAME=FAT:FQL_AUDITING_CLIENT_TEMPLATE.FAT&amp;display_string=Audit&amp;VAR:KEY=BGRGLCFUJA&amp;VAR:QUERY=RkZfUlRfU0ZfVE9UX0dST1NTKFFUUiwtNik=&amp;WINDOW=FIRST_POPUP&amp;HEIGHT=450&amp;WIDTH=450&amp;START_MA","XIMIZED=FALSE&amp;VAR:CALENDAR=US&amp;VAR:SYMBOL=GYMB&amp;VAR:INDEX=0"}</definedName>
    <definedName name="_2596__FDSAUDITLINK__" hidden="1">{"fdsup://directions/FAT Viewer?action=UPDATE&amp;creator=factset&amp;DYN_ARGS=TRUE&amp;DOC_NAME=FAT:FQL_AUDITING_CLIENT_TEMPLATE.FAT&amp;display_string=Audit&amp;VAR:KEY=FQBWFOZQXU&amp;VAR:QUERY=RkZfUlRfU0ZfVE9UX0dST1NTKFFUUiwtNSk=&amp;WINDOW=FIRST_POPUP&amp;HEIGHT=450&amp;WIDTH=450&amp;START_MA","XIMIZED=FALSE&amp;VAR:CALENDAR=US&amp;VAR:SYMBOL=GYMB&amp;VAR:INDEX=0"}</definedName>
    <definedName name="_2597__FDSAUDITLINK__" hidden="1">{"fdsup://Directions/FactSet Auditing Viewer?action=AUDIT_VALUE&amp;DB=129&amp;ID1=40377710&amp;VALUEID=13040&amp;SDATE=200901&amp;PERIODTYPE=QTR_STD&amp;window=popup_no_bar&amp;width=385&amp;height=120&amp;START_MAXIMIZED=FALSE&amp;creator=factset&amp;display_string=Audit"}</definedName>
    <definedName name="_2598__FDSAUDITLINK__" hidden="1">{"fdsup://directions/FAT Viewer?action=UPDATE&amp;creator=factset&amp;DYN_ARGS=TRUE&amp;DOC_NAME=FAT:FQL_AUDITING_CLIENT_TEMPLATE.FAT&amp;display_string=Audit&amp;VAR:KEY=JGROVCLUZW&amp;VAR:QUERY=RkZfUlRfU0ZfVE9UX0dST1NTKFFUUiwtNCk=&amp;WINDOW=FIRST_POPUP&amp;HEIGHT=450&amp;WIDTH=450&amp;START_MA","XIMIZED=FALSE&amp;VAR:CALENDAR=US&amp;VAR:SYMBOL=GYMB&amp;VAR:INDEX=0"}</definedName>
    <definedName name="_2599__FDSAUDITLINK__" hidden="1">{"fdsup://Directions/FactSet Auditing Viewer?action=AUDIT_VALUE&amp;DB=129&amp;ID1=40377710&amp;VALUEID=13040&amp;SDATE=201001&amp;PERIODTYPE=QTR_STD&amp;window=popup_no_bar&amp;width=385&amp;height=120&amp;START_MAXIMIZED=FALSE&amp;creator=factset&amp;display_string=Audit"}</definedName>
    <definedName name="_26__FDSAUDITLINK__" hidden="1">{"fdsup://Directions/FactSet Auditing Viewer?action=AUDIT_VALUE&amp;DB=129&amp;ID1=16890510&amp;VALUEID=01001&amp;SDATE=200904&amp;PERIODTYPE=QTR_STD&amp;window=popup_no_bar&amp;width=385&amp;height=120&amp;START_MAXIMIZED=FALSE&amp;creator=factset&amp;display_string=Audit"}</definedName>
    <definedName name="_260__FDSAUDITLINK__" hidden="1">{"fdsup://Directions/FactSet Auditing Viewer?action=AUDIT_VALUE&amp;DB=129&amp;ID1=36476010&amp;VALUEID=02101&amp;SDATE=200701&amp;PERIODTYPE=QTR_STD&amp;window=popup_no_bar&amp;width=385&amp;height=120&amp;START_MAXIMIZED=FALSE&amp;creator=factset&amp;display_string=Audit"}</definedName>
    <definedName name="_2600__FDSAUDITLINK__" hidden="1">{"fdsup://Directions/FactSet Auditing Viewer?action=AUDIT_VALUE&amp;DB=129&amp;ID1=40377710&amp;VALUEID=13040&amp;SDATE=200602&amp;PERIODTYPE=QTR_STD&amp;window=popup_no_bar&amp;width=385&amp;height=120&amp;START_MAXIMIZED=FALSE&amp;creator=factset&amp;display_string=Audit"}</definedName>
    <definedName name="_2601__FDSAUDITLINK__" hidden="1">{"fdsup://Directions/FactSet Auditing Viewer?action=AUDIT_VALUE&amp;DB=129&amp;ID1=40377710&amp;VALUEID=13040&amp;SDATE=200601&amp;PERIODTYPE=QTR_STD&amp;window=popup_no_bar&amp;width=385&amp;height=120&amp;START_MAXIMIZED=FALSE&amp;creator=factset&amp;display_string=Audit"}</definedName>
    <definedName name="_2602__FDSAUDITLINK__" hidden="1">{"fdsup://directions/FAT Viewer?action=UPDATE&amp;creator=factset&amp;DYN_ARGS=TRUE&amp;DOC_NAME=FAT:FQL_AUDITING_CLIENT_TEMPLATE.FAT&amp;display_string=Audit&amp;VAR:KEY=XGDODMRERE&amp;VAR:QUERY=RkZfUlRfU0ZfVE9UX0dST1NTKFFUUiwtMTcp&amp;WINDOW=FIRST_POPUP&amp;HEIGHT=450&amp;WIDTH=450&amp;START_MA","XIMIZED=FALSE&amp;VAR:CALENDAR=US&amp;VAR:SYMBOL=GYMB&amp;VAR:INDEX=0"}</definedName>
    <definedName name="_2603__FDSAUDITLINK__" hidden="1">{"fdsup://Directions/FactSet Auditing Viewer?action=AUDIT_VALUE&amp;DB=129&amp;ID1=40377710&amp;VALUEID=13040&amp;SDATE=200603&amp;PERIODTYPE=QTR_STD&amp;window=popup_no_bar&amp;width=385&amp;height=120&amp;START_MAXIMIZED=FALSE&amp;creator=factset&amp;display_string=Audit"}</definedName>
    <definedName name="_2604__FDSAUDITLINK__" hidden="1">{"fdsup://Directions/FactSet Auditing Viewer?action=AUDIT_VALUE&amp;DB=129&amp;ID1=40377710&amp;VALUEID=13040&amp;SDATE=200702&amp;PERIODTYPE=QTR_STD&amp;window=popup_no_bar&amp;width=385&amp;height=120&amp;START_MAXIMIZED=FALSE&amp;creator=factset&amp;display_string=Audit"}</definedName>
    <definedName name="_2605__FDSAUDITLINK__" hidden="1">{"fdsup://Directions/FactSet Auditing Viewer?action=AUDIT_VALUE&amp;DB=129&amp;ID1=40377710&amp;VALUEID=13040&amp;SDATE=200701&amp;PERIODTYPE=QTR_STD&amp;window=popup_no_bar&amp;width=385&amp;height=120&amp;START_MAXIMIZED=FALSE&amp;creator=factset&amp;display_string=Audit"}</definedName>
    <definedName name="_2606__FDSAUDITLINK__" hidden="1">{"fdsup://directions/FAT Viewer?action=UPDATE&amp;creator=factset&amp;DYN_ARGS=TRUE&amp;DOC_NAME=FAT:FQL_AUDITING_CLIENT_TEMPLATE.FAT&amp;display_string=Audit&amp;VAR:KEY=TCTMPMPOZI&amp;VAR:QUERY=RkZfUlRfU0ZfVE9UX0dST1NTKFFUUiwtMTMp&amp;WINDOW=FIRST_POPUP&amp;HEIGHT=450&amp;WIDTH=450&amp;START_MA","XIMIZED=FALSE&amp;VAR:CALENDAR=US&amp;VAR:SYMBOL=GYMB&amp;VAR:INDEX=0"}</definedName>
    <definedName name="_2607__FDSAUDITLINK__" hidden="1">{"fdsup://Directions/FactSet Auditing Viewer?action=AUDIT_VALUE&amp;DB=129&amp;ID1=40377710&amp;VALUEID=13040&amp;SDATE=200703&amp;PERIODTYPE=QTR_STD&amp;window=popup_no_bar&amp;width=385&amp;height=120&amp;START_MAXIMIZED=FALSE&amp;creator=factset&amp;display_string=Audit"}</definedName>
    <definedName name="_2608__FDSAUDITLINK__" hidden="1">{"fdsup://Directions/FactSet Auditing Viewer?action=AUDIT_VALUE&amp;DB=129&amp;ID1=40377710&amp;VALUEID=13040&amp;SDATE=200801&amp;PERIODTYPE=QTR_STD&amp;window=popup_no_bar&amp;width=385&amp;height=120&amp;START_MAXIMIZED=FALSE&amp;creator=factset&amp;display_string=Audit"}</definedName>
    <definedName name="_2609__FDSAUDITLINK__" hidden="1">{"fdsup://Directions/FactSet Auditing Viewer?action=AUDIT_VALUE&amp;DB=129&amp;ID1=40377710&amp;VALUEID=13040&amp;SDATE=200704&amp;PERIODTYPE=QTR_STD&amp;window=popup_no_bar&amp;width=385&amp;height=120&amp;START_MAXIMIZED=FALSE&amp;creator=factset&amp;display_string=Audit"}</definedName>
    <definedName name="_261__FDSAUDITLINK__" hidden="1">{"fdsup://Directions/FactSet Auditing Viewer?action=AUDIT_VALUE&amp;DB=129&amp;ID1=36476010&amp;VALUEID=01001&amp;SDATE=200701&amp;PERIODTYPE=QTR_STD&amp;window=popup_no_bar&amp;width=385&amp;height=120&amp;START_MAXIMIZED=FALSE&amp;creator=factset&amp;display_string=Audit"}</definedName>
    <definedName name="_2610__FDSAUDITLINK__" hidden="1">{"fdsup://directions/FAT Viewer?action=UPDATE&amp;creator=factset&amp;DYN_ARGS=TRUE&amp;DOC_NAME=FAT:FQL_AUDITING_CLIENT_TEMPLATE.FAT&amp;display_string=Audit&amp;VAR:KEY=TERAZMHAFK&amp;VAR:QUERY=RkZfUlRfU0ZfVE9UX0dST1NTKFFUUiwtOSk=&amp;WINDOW=FIRST_POPUP&amp;HEIGHT=450&amp;WIDTH=450&amp;START_MA","XIMIZED=FALSE&amp;VAR:CALENDAR=US&amp;VAR:SYMBOL=GYMB&amp;VAR:INDEX=0"}</definedName>
    <definedName name="_2611__FDSAUDITLINK__" hidden="1">{"fdsup://Directions/FactSet Auditing Viewer?action=AUDIT_VALUE&amp;DB=129&amp;ID1=40377710&amp;VALUEID=13040&amp;SDATE=200903&amp;PERIODTYPE=QTR_STD&amp;window=popup_no_bar&amp;width=385&amp;height=120&amp;START_MAXIMIZED=FALSE&amp;creator=factset&amp;display_string=Audit"}</definedName>
    <definedName name="_2612__FDSAUDITLINK__" hidden="1">{"fdsup://Directions/FactSet Auditing Viewer?action=AUDIT_VALUE&amp;DB=129&amp;ID1=40377710&amp;VALUEID=13040&amp;SDATE=200902&amp;PERIODTYPE=QTR_STD&amp;window=popup_no_bar&amp;width=385&amp;height=120&amp;START_MAXIMIZED=FALSE&amp;creator=factset&amp;display_string=Audit"}</definedName>
    <definedName name="_2613__FDSAUDITLINK__" hidden="1">{"fdsup://Directions/FactSet Auditing Viewer?action=AUDIT_VALUE&amp;DB=129&amp;ID1=58711810&amp;VALUEID=01001&amp;SDATE=200601&amp;PERIODTYPE=QTR_STD&amp;window=popup_no_bar&amp;width=385&amp;height=120&amp;START_MAXIMIZED=FALSE&amp;creator=factset&amp;display_string=Audit"}</definedName>
    <definedName name="_2614__FDSAUDITLINK__" hidden="1">{"fdsup://Directions/FactSet Auditing Viewer?action=AUDIT_VALUE&amp;DB=129&amp;ID1=58711810&amp;VALUEID=02101&amp;SDATE=200601&amp;PERIODTYPE=QTR_STD&amp;window=popup_no_bar&amp;width=385&amp;height=120&amp;START_MAXIMIZED=FALSE&amp;creator=factset&amp;display_string=Audit"}</definedName>
    <definedName name="_2615__FDSAUDITLINK__" hidden="1">{"fdsup://Directions/FactSet Auditing Viewer?action=AUDIT_VALUE&amp;DB=129&amp;ID1=58711810&amp;VALUEID=01001&amp;SDATE=200602&amp;PERIODTYPE=QTR_STD&amp;window=popup_no_bar&amp;width=385&amp;height=120&amp;START_MAXIMIZED=FALSE&amp;creator=factset&amp;display_string=Audit"}</definedName>
    <definedName name="_2616__FDSAUDITLINK__" hidden="1">{"fdsup://Directions/FactSet Auditing Viewer?action=AUDIT_VALUE&amp;DB=129&amp;ID1=58711810&amp;VALUEID=02101&amp;SDATE=200602&amp;PERIODTYPE=QTR_STD&amp;window=popup_no_bar&amp;width=385&amp;height=120&amp;START_MAXIMIZED=FALSE&amp;creator=factset&amp;display_string=Audit"}</definedName>
    <definedName name="_2617__FDSAUDITLINK__" hidden="1">{"fdsup://Directions/FactSet Auditing Viewer?action=AUDIT_VALUE&amp;DB=129&amp;ID1=58711810&amp;VALUEID=01001&amp;SDATE=200603&amp;PERIODTYPE=QTR_STD&amp;window=popup_no_bar&amp;width=385&amp;height=120&amp;START_MAXIMIZED=FALSE&amp;creator=factset&amp;display_string=Audit"}</definedName>
    <definedName name="_2618__FDSAUDITLINK__" hidden="1">{"fdsup://Directions/FactSet Auditing Viewer?action=AUDIT_VALUE&amp;DB=129&amp;ID1=58711810&amp;VALUEID=02101&amp;SDATE=200603&amp;PERIODTYPE=QTR_STD&amp;window=popup_no_bar&amp;width=385&amp;height=120&amp;START_MAXIMIZED=FALSE&amp;creator=factset&amp;display_string=Audit"}</definedName>
    <definedName name="_2619__FDSAUDITLINK__" hidden="1">{"fdsup://Directions/FactSet Auditing Viewer?action=AUDIT_VALUE&amp;DB=129&amp;ID1=58711810&amp;VALUEID=01001&amp;SDATE=200604&amp;PERIODTYPE=QTR_STD&amp;window=popup_no_bar&amp;width=385&amp;height=120&amp;START_MAXIMIZED=FALSE&amp;creator=factset&amp;display_string=Audit"}</definedName>
    <definedName name="_262__FDSAUDITLINK__" hidden="1">{"fdsup://Directions/FactSet Auditing Viewer?action=AUDIT_VALUE&amp;DB=129&amp;ID1=36476010&amp;VALUEID=13040&amp;SDATE=200701&amp;PERIODTYPE=QTR_STD&amp;window=popup_no_bar&amp;width=385&amp;height=120&amp;START_MAXIMIZED=FALSE&amp;creator=factset&amp;display_string=Audit"}</definedName>
    <definedName name="_2620__FDSAUDITLINK__" hidden="1">{"fdsup://Directions/FactSet Auditing Viewer?action=AUDIT_VALUE&amp;DB=129&amp;ID1=58711810&amp;VALUEID=01001&amp;SDATE=200701&amp;PERIODTYPE=QTR_STD&amp;window=popup_no_bar&amp;width=385&amp;height=120&amp;START_MAXIMIZED=FALSE&amp;creator=factset&amp;display_string=Audit"}</definedName>
    <definedName name="_2621__FDSAUDITLINK__" hidden="1">{"fdsup://Directions/FactSet Auditing Viewer?action=AUDIT_VALUE&amp;DB=129&amp;ID1=58711810&amp;VALUEID=02101&amp;SDATE=200701&amp;PERIODTYPE=QTR_STD&amp;window=popup_no_bar&amp;width=385&amp;height=120&amp;START_MAXIMIZED=FALSE&amp;creator=factset&amp;display_string=Audit"}</definedName>
    <definedName name="_2622__FDSAUDITLINK__" hidden="1">{"fdsup://Directions/FactSet Auditing Viewer?action=AUDIT_VALUE&amp;DB=129&amp;ID1=58711810&amp;VALUEID=01001&amp;SDATE=200702&amp;PERIODTYPE=QTR_STD&amp;window=popup_no_bar&amp;width=385&amp;height=120&amp;START_MAXIMIZED=FALSE&amp;creator=factset&amp;display_string=Audit"}</definedName>
    <definedName name="_2623__FDSAUDITLINK__" hidden="1">{"fdsup://Directions/FactSet Auditing Viewer?action=AUDIT_VALUE&amp;DB=129&amp;ID1=58711810&amp;VALUEID=02101&amp;SDATE=200702&amp;PERIODTYPE=QTR_STD&amp;window=popup_no_bar&amp;width=385&amp;height=120&amp;START_MAXIMIZED=FALSE&amp;creator=factset&amp;display_string=Audit"}</definedName>
    <definedName name="_2624__FDSAUDITLINK__" hidden="1">{"fdsup://Directions/FactSet Auditing Viewer?action=AUDIT_VALUE&amp;DB=129&amp;ID1=58711810&amp;VALUEID=01001&amp;SDATE=200703&amp;PERIODTYPE=QTR_STD&amp;window=popup_no_bar&amp;width=385&amp;height=120&amp;START_MAXIMIZED=FALSE&amp;creator=factset&amp;display_string=Audit"}</definedName>
    <definedName name="_2625__FDSAUDITLINK__" hidden="1">{"fdsup://Directions/FactSet Auditing Viewer?action=AUDIT_VALUE&amp;DB=129&amp;ID1=58711810&amp;VALUEID=02101&amp;SDATE=200703&amp;PERIODTYPE=QTR_STD&amp;window=popup_no_bar&amp;width=385&amp;height=120&amp;START_MAXIMIZED=FALSE&amp;creator=factset&amp;display_string=Audit"}</definedName>
    <definedName name="_2626__FDSAUDITLINK__" hidden="1">{"fdsup://Directions/FactSet Auditing Viewer?action=AUDIT_VALUE&amp;DB=129&amp;ID1=58711810&amp;VALUEID=01001&amp;SDATE=200704&amp;PERIODTYPE=QTR_STD&amp;window=popup_no_bar&amp;width=385&amp;height=120&amp;START_MAXIMIZED=FALSE&amp;creator=factset&amp;display_string=Audit"}</definedName>
    <definedName name="_2627__FDSAUDITLINK__" hidden="1">{"fdsup://Directions/FactSet Auditing Viewer?action=AUDIT_VALUE&amp;DB=129&amp;ID1=58711810&amp;VALUEID=01001&amp;SDATE=200801&amp;PERIODTYPE=QTR_STD&amp;window=popup_no_bar&amp;width=385&amp;height=120&amp;START_MAXIMIZED=FALSE&amp;creator=factset&amp;display_string=Audit"}</definedName>
    <definedName name="_2628__FDSAUDITLINK__" hidden="1">{"fdsup://Directions/FactSet Auditing Viewer?action=AUDIT_VALUE&amp;DB=129&amp;ID1=58711810&amp;VALUEID=02101&amp;SDATE=200801&amp;PERIODTYPE=QTR_STD&amp;window=popup_no_bar&amp;width=385&amp;height=120&amp;START_MAXIMIZED=FALSE&amp;creator=factset&amp;display_string=Audit"}</definedName>
    <definedName name="_2629__FDSAUDITLINK__" hidden="1">{"fdsup://Directions/FactSet Auditing Viewer?action=AUDIT_VALUE&amp;DB=129&amp;ID1=58711810&amp;VALUEID=01001&amp;SDATE=200802&amp;PERIODTYPE=QTR_STD&amp;window=popup_no_bar&amp;width=385&amp;height=120&amp;START_MAXIMIZED=FALSE&amp;creator=factset&amp;display_string=Audit"}</definedName>
    <definedName name="_263__FDSAUDITLINK__" hidden="1">{"fdsup://Directions/FactSet Auditing Viewer?action=AUDIT_VALUE&amp;DB=129&amp;ID1=03611510&amp;VALUEID=02101&amp;SDATE=200701&amp;PERIODTYPE=QTR_STD&amp;window=popup_no_bar&amp;width=385&amp;height=120&amp;START_MAXIMIZED=FALSE&amp;creator=factset&amp;display_string=Audit"}</definedName>
    <definedName name="_2630__FDSAUDITLINK__" hidden="1">{"fdsup://Directions/FactSet Auditing Viewer?action=AUDIT_VALUE&amp;DB=129&amp;ID1=58711810&amp;VALUEID=02101&amp;SDATE=200802&amp;PERIODTYPE=QTR_STD&amp;window=popup_no_bar&amp;width=385&amp;height=120&amp;START_MAXIMIZED=FALSE&amp;creator=factset&amp;display_string=Audit"}</definedName>
    <definedName name="_2631__FDSAUDITLINK__" hidden="1">{"fdsup://Directions/FactSet Auditing Viewer?action=AUDIT_VALUE&amp;DB=129&amp;ID1=58711810&amp;VALUEID=01001&amp;SDATE=200803&amp;PERIODTYPE=QTR_STD&amp;window=popup_no_bar&amp;width=385&amp;height=120&amp;START_MAXIMIZED=FALSE&amp;creator=factset&amp;display_string=Audit"}</definedName>
    <definedName name="_2632__FDSAUDITLINK__" hidden="1">{"fdsup://Directions/FactSet Auditing Viewer?action=AUDIT_VALUE&amp;DB=129&amp;ID1=58711810&amp;VALUEID=02101&amp;SDATE=200803&amp;PERIODTYPE=QTR_STD&amp;window=popup_no_bar&amp;width=385&amp;height=120&amp;START_MAXIMIZED=FALSE&amp;creator=factset&amp;display_string=Audit"}</definedName>
    <definedName name="_2633__FDSAUDITLINK__" hidden="1">{"fdsup://Directions/FactSet Auditing Viewer?action=AUDIT_VALUE&amp;DB=129&amp;ID1=58711810&amp;VALUEID=01001&amp;SDATE=200804&amp;PERIODTYPE=QTR_STD&amp;window=popup_no_bar&amp;width=385&amp;height=120&amp;START_MAXIMIZED=FALSE&amp;creator=factset&amp;display_string=Audit"}</definedName>
    <definedName name="_2634__FDSAUDITLINK__" hidden="1">{"fdsup://Directions/FactSet Auditing Viewer?action=AUDIT_VALUE&amp;DB=129&amp;ID1=58711810&amp;VALUEID=01001&amp;SDATE=200902&amp;PERIODTYPE=QTR_STD&amp;window=popup_no_bar&amp;width=385&amp;height=120&amp;START_MAXIMIZED=FALSE&amp;creator=factset&amp;display_string=Audit"}</definedName>
    <definedName name="_2635__FDSAUDITLINK__" hidden="1">{"fdsup://Directions/FactSet Auditing Viewer?action=AUDIT_VALUE&amp;DB=129&amp;ID1=58711810&amp;VALUEID=02101&amp;SDATE=200902&amp;PERIODTYPE=QTR_STD&amp;window=popup_no_bar&amp;width=385&amp;height=120&amp;START_MAXIMIZED=FALSE&amp;creator=factset&amp;display_string=Audit"}</definedName>
    <definedName name="_2636__FDSAUDITLINK__" hidden="1">{"fdsup://Directions/FactSet Auditing Viewer?action=AUDIT_VALUE&amp;DB=129&amp;ID1=58711810&amp;VALUEID=01001&amp;SDATE=200903&amp;PERIODTYPE=QTR_STD&amp;window=popup_no_bar&amp;width=385&amp;height=120&amp;START_MAXIMIZED=FALSE&amp;creator=factset&amp;display_string=Audit"}</definedName>
    <definedName name="_2637__FDSAUDITLINK__" hidden="1">{"fdsup://Directions/FactSet Auditing Viewer?action=AUDIT_VALUE&amp;DB=129&amp;ID1=58711810&amp;VALUEID=02101&amp;SDATE=200903&amp;PERIODTYPE=QTR_STD&amp;window=popup_no_bar&amp;width=385&amp;height=120&amp;START_MAXIMIZED=FALSE&amp;creator=factset&amp;display_string=Audit"}</definedName>
    <definedName name="_2638__FDSAUDITLINK__" hidden="1">{"fdsup://Directions/FactSet Auditing Viewer?action=AUDIT_VALUE&amp;DB=129&amp;ID1=58711810&amp;VALUEID=01001&amp;SDATE=200904&amp;PERIODTYPE=QTR_STD&amp;window=popup_no_bar&amp;width=385&amp;height=120&amp;START_MAXIMIZED=FALSE&amp;creator=factset&amp;display_string=Audit"}</definedName>
    <definedName name="_2639__FDSAUDITLINK__" hidden="1">{"fdsup://Directions/FactSet Auditing Viewer?action=AUDIT_VALUE&amp;DB=129&amp;ID1=58711810&amp;VALUEID=02101&amp;SDATE=201001&amp;PERIODTYPE=QTR_STD&amp;window=popup_no_bar&amp;width=385&amp;height=120&amp;START_MAXIMIZED=FALSE&amp;creator=factset&amp;display_string=Audit"}</definedName>
    <definedName name="_264__FDSAUDITLINK__" hidden="1">{"fdsup://Directions/FactSet Auditing Viewer?action=AUDIT_VALUE&amp;DB=129&amp;ID1=03611510&amp;VALUEID=01001&amp;SDATE=200701&amp;PERIODTYPE=QTR_STD&amp;window=popup_no_bar&amp;width=385&amp;height=120&amp;START_MAXIMIZED=FALSE&amp;creator=factset&amp;display_string=Audit"}</definedName>
    <definedName name="_2640__FDSAUDITLINK__" hidden="1">{"fdsup://directions/FAT Viewer?action=UPDATE&amp;creator=factset&amp;DYN_ARGS=TRUE&amp;DOC_NAME=FAT:FQL_AUDITING_CLIENT_TEMPLATE.FAT&amp;display_string=Audit&amp;VAR:KEY=XOLCTGDGVG&amp;VAR:QUERY=RkZfUlRfU0ZfVE9UX0dST1NTKFFUUiwtNDQp&amp;WINDOW=FIRST_POPUP&amp;HEIGHT=450&amp;WIDTH=450&amp;START_MA","XIMIZED=FALSE&amp;VAR:CALENDAR=US&amp;VAR:SYMBOL=MW&amp;VAR:INDEX=0"}</definedName>
    <definedName name="_2641__FDSAUDITLINK__" hidden="1">{"fdsup://directions/FAT Viewer?action=UPDATE&amp;creator=factset&amp;DYN_ARGS=TRUE&amp;DOC_NAME=FAT:FQL_AUDITING_CLIENT_TEMPLATE.FAT&amp;display_string=Audit&amp;VAR:KEY=LCLADYJIPS&amp;VAR:QUERY=RkZfUlRfU0ZfVE9UX0dST1NTKFFUUiwtNDMp&amp;WINDOW=FIRST_POPUP&amp;HEIGHT=450&amp;WIDTH=450&amp;START_MA","XIMIZED=FALSE&amp;VAR:CALENDAR=US&amp;VAR:SYMBOL=MW&amp;VAR:INDEX=0"}</definedName>
    <definedName name="_2642__FDSAUDITLINK__" hidden="1">{"fdsup://directions/FAT Viewer?action=UPDATE&amp;creator=factset&amp;DYN_ARGS=TRUE&amp;DOC_NAME=FAT:FQL_AUDITING_CLIENT_TEMPLATE.FAT&amp;display_string=Audit&amp;VAR:KEY=XWVCNWVOLS&amp;VAR:QUERY=RkZfUlRfU0ZfVE9UX0dST1NTKFFUUiwtNDIp&amp;WINDOW=FIRST_POPUP&amp;HEIGHT=450&amp;WIDTH=450&amp;START_MA","XIMIZED=FALSE&amp;VAR:CALENDAR=US&amp;VAR:SYMBOL=MW&amp;VAR:INDEX=0"}</definedName>
    <definedName name="_2643__FDSAUDITLINK__" hidden="1">{"fdsup://directions/FAT Viewer?action=UPDATE&amp;creator=factset&amp;DYN_ARGS=TRUE&amp;DOC_NAME=FAT:FQL_AUDITING_CLIENT_TEMPLATE.FAT&amp;display_string=Audit&amp;VAR:KEY=RQLYDYBETO&amp;VAR:QUERY=RkZfUlRfU0ZfVE9UX0dST1NTKFFUUiwtNDEp&amp;WINDOW=FIRST_POPUP&amp;HEIGHT=450&amp;WIDTH=450&amp;START_MA","XIMIZED=FALSE&amp;VAR:CALENDAR=US&amp;VAR:SYMBOL=MW&amp;VAR:INDEX=0"}</definedName>
    <definedName name="_2644__FDSAUDITLINK__" hidden="1">{"fdsup://directions/FAT Viewer?action=UPDATE&amp;creator=factset&amp;DYN_ARGS=TRUE&amp;DOC_NAME=FAT:FQL_AUDITING_CLIENT_TEMPLATE.FAT&amp;display_string=Audit&amp;VAR:KEY=NEZQTKDIVO&amp;VAR:QUERY=RkZfUlRfU0ZfVE9UX0dST1NTKFFUUiwtNDAp&amp;WINDOW=FIRST_POPUP&amp;HEIGHT=450&amp;WIDTH=450&amp;START_MA","XIMIZED=FALSE&amp;VAR:CALENDAR=US&amp;VAR:SYMBOL=MW&amp;VAR:INDEX=0"}</definedName>
    <definedName name="_2645__FDSAUDITLINK__" hidden="1">{"fdsup://directions/FAT Viewer?action=UPDATE&amp;creator=factset&amp;DYN_ARGS=TRUE&amp;DOC_NAME=FAT:FQL_AUDITING_CLIENT_TEMPLATE.FAT&amp;display_string=Audit&amp;VAR:KEY=LWNOPUVYPS&amp;VAR:QUERY=RkZfUlRfU0ZfVE9UX0dST1NTKFFUUiwtMzkp&amp;WINDOW=FIRST_POPUP&amp;HEIGHT=450&amp;WIDTH=450&amp;START_MA","XIMIZED=FALSE&amp;VAR:CALENDAR=US&amp;VAR:SYMBOL=MW&amp;VAR:INDEX=0"}</definedName>
    <definedName name="_2646__FDSAUDITLINK__" hidden="1">{"fdsup://directions/FAT Viewer?action=UPDATE&amp;creator=factset&amp;DYN_ARGS=TRUE&amp;DOC_NAME=FAT:FQL_AUDITING_CLIENT_TEMPLATE.FAT&amp;display_string=Audit&amp;VAR:KEY=ZAPGLCVOZS&amp;VAR:QUERY=RkZfUlRfU0ZfVE9UX0dST1NTKFFUUiwtMzgp&amp;WINDOW=FIRST_POPUP&amp;HEIGHT=450&amp;WIDTH=450&amp;START_MA","XIMIZED=FALSE&amp;VAR:CALENDAR=US&amp;VAR:SYMBOL=MW&amp;VAR:INDEX=0"}</definedName>
    <definedName name="_2647__FDSAUDITLINK__" hidden="1">{"fdsup://directions/FAT Viewer?action=UPDATE&amp;creator=factset&amp;DYN_ARGS=TRUE&amp;DOC_NAME=FAT:FQL_AUDITING_CLIENT_TEMPLATE.FAT&amp;display_string=Audit&amp;VAR:KEY=BQDYNQXQZQ&amp;VAR:QUERY=RkZfUlRfU0ZfVE9UX0dST1NTKFFUUiwtMzcp&amp;WINDOW=FIRST_POPUP&amp;HEIGHT=450&amp;WIDTH=450&amp;START_MA","XIMIZED=FALSE&amp;VAR:CALENDAR=US&amp;VAR:SYMBOL=MW&amp;VAR:INDEX=0"}</definedName>
    <definedName name="_2648__FDSAUDITLINK__" hidden="1">{"fdsup://directions/FAT Viewer?action=UPDATE&amp;creator=factset&amp;DYN_ARGS=TRUE&amp;DOC_NAME=FAT:FQL_AUDITING_CLIENT_TEMPLATE.FAT&amp;display_string=Audit&amp;VAR:KEY=LQRYLIVQRM&amp;VAR:QUERY=RkZfUlRfU0ZfVE9UX0dST1NTKFFUUiwtMzYp&amp;WINDOW=FIRST_POPUP&amp;HEIGHT=450&amp;WIDTH=450&amp;START_MA","XIMIZED=FALSE&amp;VAR:CALENDAR=US&amp;VAR:SYMBOL=MW&amp;VAR:INDEX=0"}</definedName>
    <definedName name="_2649__FDSAUDITLINK__" hidden="1">{"fdsup://directions/FAT Viewer?action=UPDATE&amp;creator=factset&amp;DYN_ARGS=TRUE&amp;DOC_NAME=FAT:FQL_AUDITING_CLIENT_TEMPLATE.FAT&amp;display_string=Audit&amp;VAR:KEY=BANQNYDSXS&amp;VAR:QUERY=RkZfUlRfU0ZfVE9UX0dST1NTKFFUUiwtMzUp&amp;WINDOW=FIRST_POPUP&amp;HEIGHT=450&amp;WIDTH=450&amp;START_MA","XIMIZED=FALSE&amp;VAR:CALENDAR=US&amp;VAR:SYMBOL=MW&amp;VAR:INDEX=0"}</definedName>
    <definedName name="_265__FDSAUDITLINK__" hidden="1">{"fdsup://Directions/FactSet Auditing Viewer?action=AUDIT_VALUE&amp;DB=129&amp;ID1=03611510&amp;VALUEID=13040&amp;SDATE=200701&amp;PERIODTYPE=QTR_STD&amp;window=popup_no_bar&amp;width=385&amp;height=120&amp;START_MAXIMIZED=FALSE&amp;creator=factset&amp;display_string=Audit"}</definedName>
    <definedName name="_2650__FDSAUDITLINK__" hidden="1">{"fdsup://directions/FAT Viewer?action=UPDATE&amp;creator=factset&amp;DYN_ARGS=TRUE&amp;DOC_NAME=FAT:FQL_AUDITING_CLIENT_TEMPLATE.FAT&amp;display_string=Audit&amp;VAR:KEY=HSNSXAXATY&amp;VAR:QUERY=RkZfUlRfU0ZfVE9UX0dST1NTKFFUUiwtMzQp&amp;WINDOW=FIRST_POPUP&amp;HEIGHT=450&amp;WIDTH=450&amp;START_MA","XIMIZED=FALSE&amp;VAR:CALENDAR=US&amp;VAR:SYMBOL=MW&amp;VAR:INDEX=0"}</definedName>
    <definedName name="_2651__FDSAUDITLINK__" hidden="1">{"fdsup://directions/FAT Viewer?action=UPDATE&amp;creator=factset&amp;DYN_ARGS=TRUE&amp;DOC_NAME=FAT:FQL_AUDITING_CLIENT_TEMPLATE.FAT&amp;display_string=Audit&amp;VAR:KEY=PGFANMDELU&amp;VAR:QUERY=RkZfUlRfU0ZfVE9UX0dST1NTKFFUUiwtMzMp&amp;WINDOW=FIRST_POPUP&amp;HEIGHT=450&amp;WIDTH=450&amp;START_MA","XIMIZED=FALSE&amp;VAR:CALENDAR=US&amp;VAR:SYMBOL=MW&amp;VAR:INDEX=0"}</definedName>
    <definedName name="_2652__FDSAUDITLINK__" hidden="1">{"fdsup://directions/FAT Viewer?action=UPDATE&amp;creator=factset&amp;DYN_ARGS=TRUE&amp;DOC_NAME=FAT:FQL_AUDITING_CLIENT_TEMPLATE.FAT&amp;display_string=Audit&amp;VAR:KEY=FMTMTIJOFY&amp;VAR:QUERY=RkZfUlRfU0ZfVE9UX0dST1NTKFFUUiwtMzIp&amp;WINDOW=FIRST_POPUP&amp;HEIGHT=450&amp;WIDTH=450&amp;START_MA","XIMIZED=FALSE&amp;VAR:CALENDAR=US&amp;VAR:SYMBOL=MW&amp;VAR:INDEX=0"}</definedName>
    <definedName name="_2653__FDSAUDITLINK__" hidden="1">{"fdsup://directions/FAT Viewer?action=UPDATE&amp;creator=factset&amp;DYN_ARGS=TRUE&amp;DOC_NAME=FAT:FQL_AUDITING_CLIENT_TEMPLATE.FAT&amp;display_string=Audit&amp;VAR:KEY=DIDGTQFMXG&amp;VAR:QUERY=RkZfUlRfU0ZfVE9UX0dST1NTKFFUUiwtMzEp&amp;WINDOW=FIRST_POPUP&amp;HEIGHT=450&amp;WIDTH=450&amp;START_MA","XIMIZED=FALSE&amp;VAR:CALENDAR=US&amp;VAR:SYMBOL=MW&amp;VAR:INDEX=0"}</definedName>
    <definedName name="_2654__FDSAUDITLINK__" hidden="1">{"fdsup://directions/FAT Viewer?action=UPDATE&amp;creator=factset&amp;DYN_ARGS=TRUE&amp;DOC_NAME=FAT:FQL_AUDITING_CLIENT_TEMPLATE.FAT&amp;display_string=Audit&amp;VAR:KEY=TOHEJERMXU&amp;VAR:QUERY=RkZfUlRfU0ZfVE9UX0dST1NTKFFUUiwtMzAp&amp;WINDOW=FIRST_POPUP&amp;HEIGHT=450&amp;WIDTH=450&amp;START_MA","XIMIZED=FALSE&amp;VAR:CALENDAR=US&amp;VAR:SYMBOL=MW&amp;VAR:INDEX=0"}</definedName>
    <definedName name="_2655__FDSAUDITLINK__" hidden="1">{"fdsup://directions/FAT Viewer?action=UPDATE&amp;creator=factset&amp;DYN_ARGS=TRUE&amp;DOC_NAME=FAT:FQL_AUDITING_CLIENT_TEMPLATE.FAT&amp;display_string=Audit&amp;VAR:KEY=DYHMTQXUBK&amp;VAR:QUERY=RkZfUlRfU0ZfVE9UX0dST1NTKFFUUiwtMjkp&amp;WINDOW=FIRST_POPUP&amp;HEIGHT=450&amp;WIDTH=450&amp;START_MA","XIMIZED=FALSE&amp;VAR:CALENDAR=US&amp;VAR:SYMBOL=MW&amp;VAR:INDEX=0"}</definedName>
    <definedName name="_2656__FDSAUDITLINK__" hidden="1">{"fdsup://directions/FAT Viewer?action=UPDATE&amp;creator=factset&amp;DYN_ARGS=TRUE&amp;DOC_NAME=FAT:FQL_AUDITING_CLIENT_TEMPLATE.FAT&amp;display_string=Audit&amp;VAR:KEY=FGTULCXKBM&amp;VAR:QUERY=RkZfUlRfU0ZfVE9UX0dST1NTKFFUUiwtMjgp&amp;WINDOW=FIRST_POPUP&amp;HEIGHT=450&amp;WIDTH=450&amp;START_MA","XIMIZED=FALSE&amp;VAR:CALENDAR=US&amp;VAR:SYMBOL=MW&amp;VAR:INDEX=0"}</definedName>
    <definedName name="_2657__FDSAUDITLINK__" hidden="1">{"fdsup://directions/FAT Viewer?action=UPDATE&amp;creator=factset&amp;DYN_ARGS=TRUE&amp;DOC_NAME=FAT:FQL_AUDITING_CLIENT_TEMPLATE.FAT&amp;display_string=Audit&amp;VAR:KEY=RERODQDOZG&amp;VAR:QUERY=RkZfUlRfU0ZfVE9UX0dST1NTKFFUUiwtMjcp&amp;WINDOW=FIRST_POPUP&amp;HEIGHT=450&amp;WIDTH=450&amp;START_MA","XIMIZED=FALSE&amp;VAR:CALENDAR=US&amp;VAR:SYMBOL=MW&amp;VAR:INDEX=0"}</definedName>
    <definedName name="_2658__FDSAUDITLINK__" hidden="1">{"fdsup://directions/FAT Viewer?action=UPDATE&amp;creator=factset&amp;DYN_ARGS=TRUE&amp;DOC_NAME=FAT:FQL_AUDITING_CLIENT_TEMPLATE.FAT&amp;display_string=Audit&amp;VAR:KEY=BUXULIDQNI&amp;VAR:QUERY=RkZfUlRfU0ZfVE9UX0dST1NTKFFUUiwtMjYp&amp;WINDOW=FIRST_POPUP&amp;HEIGHT=450&amp;WIDTH=450&amp;START_MA","XIMIZED=FALSE&amp;VAR:CALENDAR=US&amp;VAR:SYMBOL=MW&amp;VAR:INDEX=0"}</definedName>
    <definedName name="_2659__FDSAUDITLINK__" hidden="1">{"fdsup://directions/FAT Viewer?action=UPDATE&amp;creator=factset&amp;DYN_ARGS=TRUE&amp;DOC_NAME=FAT:FQL_AUDITING_CLIENT_TEMPLATE.FAT&amp;display_string=Audit&amp;VAR:KEY=VUVGPOJEXO&amp;VAR:QUERY=RkZfUlRfU0ZfVE9UX0dST1NTKFFUUiwtMjUp&amp;WINDOW=FIRST_POPUP&amp;HEIGHT=450&amp;WIDTH=450&amp;START_MA","XIMIZED=FALSE&amp;VAR:CALENDAR=US&amp;VAR:SYMBOL=MW&amp;VAR:INDEX=0"}</definedName>
    <definedName name="_266__FDSAUDITLINK__" hidden="1">{"fdsup://Directions/FactSet Auditing Viewer?action=AUDIT_VALUE&amp;DB=129&amp;ID1=16890510&amp;VALUEID=02101&amp;SDATE=200701&amp;PERIODTYPE=QTR_STD&amp;window=popup_no_bar&amp;width=385&amp;height=120&amp;START_MAXIMIZED=FALSE&amp;creator=factset&amp;display_string=Audit"}</definedName>
    <definedName name="_2660__FDSAUDITLINK__" hidden="1">{"fdsup://directions/FAT Viewer?action=UPDATE&amp;creator=factset&amp;DYN_ARGS=TRUE&amp;DOC_NAME=FAT:FQL_AUDITING_CLIENT_TEMPLATE.FAT&amp;display_string=Audit&amp;VAR:KEY=HAHQZOFKDO&amp;VAR:QUERY=RkZfUlRfU0ZfVE9UX0dST1NTKFFUUiwtMjQp&amp;WINDOW=FIRST_POPUP&amp;HEIGHT=450&amp;WIDTH=450&amp;START_MA","XIMIZED=FALSE&amp;VAR:CALENDAR=US&amp;VAR:SYMBOL=MW&amp;VAR:INDEX=0"}</definedName>
    <definedName name="_2661__FDSAUDITLINK__" hidden="1">{"fdsup://directions/FAT Viewer?action=UPDATE&amp;creator=factset&amp;DYN_ARGS=TRUE&amp;DOC_NAME=FAT:FQL_AUDITING_CLIENT_TEMPLATE.FAT&amp;display_string=Audit&amp;VAR:KEY=VGDWVEVYDO&amp;VAR:QUERY=RkZfUlRfU0ZfVE9UX0dST1NTKFFUUiwtMjMp&amp;WINDOW=FIRST_POPUP&amp;HEIGHT=450&amp;WIDTH=450&amp;START_MA","XIMIZED=FALSE&amp;VAR:CALENDAR=US&amp;VAR:SYMBOL=MW&amp;VAR:INDEX=0"}</definedName>
    <definedName name="_2662__FDSAUDITLINK__" hidden="1">{"fdsup://directions/FAT Viewer?action=UPDATE&amp;creator=factset&amp;DYN_ARGS=TRUE&amp;DOC_NAME=FAT:FQL_AUDITING_CLIENT_TEMPLATE.FAT&amp;display_string=Audit&amp;VAR:KEY=XKFGJGNSBQ&amp;VAR:QUERY=RkZfUlRfU0ZfVE9UX0dST1NTKFFUUiwtMjIp&amp;WINDOW=FIRST_POPUP&amp;HEIGHT=450&amp;WIDTH=450&amp;START_MA","XIMIZED=FALSE&amp;VAR:CALENDAR=US&amp;VAR:SYMBOL=MW&amp;VAR:INDEX=0"}</definedName>
    <definedName name="_2663__FDSAUDITLINK__" hidden="1">{"fdsup://directions/FAT Viewer?action=UPDATE&amp;creator=factset&amp;DYN_ARGS=TRUE&amp;DOC_NAME=FAT:FQL_AUDITING_CLIENT_TEMPLATE.FAT&amp;display_string=Audit&amp;VAR:KEY=VGTKVQRMDE&amp;VAR:QUERY=RkZfUlRfU0ZfVE9UX0dST1NTKFFUUiwtMjEp&amp;WINDOW=FIRST_POPUP&amp;HEIGHT=450&amp;WIDTH=450&amp;START_MA","XIMIZED=FALSE&amp;VAR:CALENDAR=US&amp;VAR:SYMBOL=MW&amp;VAR:INDEX=0"}</definedName>
    <definedName name="_2664__FDSAUDITLINK__" hidden="1">{"fdsup://directions/FAT Viewer?action=UPDATE&amp;creator=factset&amp;DYN_ARGS=TRUE&amp;DOC_NAME=FAT:FQL_AUDITING_CLIENT_TEMPLATE.FAT&amp;display_string=Audit&amp;VAR:KEY=HATCRWXIPY&amp;VAR:QUERY=RkZfUlRfU0ZfVE9UX0dST1NTKFFUUiwtMjAp&amp;WINDOW=FIRST_POPUP&amp;HEIGHT=450&amp;WIDTH=450&amp;START_MA","XIMIZED=FALSE&amp;VAR:CALENDAR=US&amp;VAR:SYMBOL=MW&amp;VAR:INDEX=0"}</definedName>
    <definedName name="_2665__FDSAUDITLINK__" hidden="1">{"fdsup://directions/FAT Viewer?action=UPDATE&amp;creator=factset&amp;DYN_ARGS=TRUE&amp;DOC_NAME=FAT:FQL_AUDITING_CLIENT_TEMPLATE.FAT&amp;display_string=Audit&amp;VAR:KEY=LSDEZKHSLO&amp;VAR:QUERY=RkZfUlRfU0ZfVE9UX0dST1NTKFFUUiwtMTkp&amp;WINDOW=FIRST_POPUP&amp;HEIGHT=450&amp;WIDTH=450&amp;START_MA","XIMIZED=FALSE&amp;VAR:CALENDAR=US&amp;VAR:SYMBOL=MW&amp;VAR:INDEX=0"}</definedName>
    <definedName name="_2666__FDSAUDITLINK__" hidden="1">{"fdsup://directions/FAT Viewer?action=UPDATE&amp;creator=factset&amp;DYN_ARGS=TRUE&amp;DOC_NAME=FAT:FQL_AUDITING_CLIENT_TEMPLATE.FAT&amp;display_string=Audit&amp;VAR:KEY=PGHYZMZMNW&amp;VAR:QUERY=RkZfUlRfU0ZfVE9UX0dST1NTKFFUUiwtMTgp&amp;WINDOW=FIRST_POPUP&amp;HEIGHT=450&amp;WIDTH=450&amp;START_MA","XIMIZED=FALSE&amp;VAR:CALENDAR=US&amp;VAR:SYMBOL=MW&amp;VAR:INDEX=0"}</definedName>
    <definedName name="_2667__FDSAUDITLINK__" hidden="1">{"fdsup://Directions/FactSet Auditing Viewer?action=AUDIT_VALUE&amp;DB=129&amp;ID1=58711810&amp;VALUEID=13040&amp;SDATE=200702&amp;PERIODTYPE=QTR_STD&amp;window=popup_no_bar&amp;width=385&amp;height=120&amp;START_MAXIMIZED=FALSE&amp;creator=factset&amp;display_string=Audit"}</definedName>
    <definedName name="_2668__FDSAUDITLINK__" hidden="1">{"fdsup://Directions/FactSet Auditing Viewer?action=AUDIT_VALUE&amp;DB=129&amp;ID1=58711810&amp;VALUEID=13040&amp;SDATE=200701&amp;PERIODTYPE=QTR_STD&amp;window=popup_no_bar&amp;width=385&amp;height=120&amp;START_MAXIMIZED=FALSE&amp;creator=factset&amp;display_string=Audit"}</definedName>
    <definedName name="_2669__FDSAUDITLINK__" hidden="1">{"fdsup://Directions/FactSet Auditing Viewer?action=AUDIT_VALUE&amp;DB=129&amp;ID1=58711810&amp;VALUEID=13040&amp;SDATE=200703&amp;PERIODTYPE=QTR_STD&amp;window=popup_no_bar&amp;width=385&amp;height=120&amp;START_MAXIMIZED=FALSE&amp;creator=factset&amp;display_string=Audit"}</definedName>
    <definedName name="_267__FDSAUDITLINK__" hidden="1">{"fdsup://Directions/FactSet Auditing Viewer?action=AUDIT_VALUE&amp;DB=129&amp;ID1=16890510&amp;VALUEID=01001&amp;SDATE=200701&amp;PERIODTYPE=QTR_STD&amp;window=popup_no_bar&amp;width=385&amp;height=120&amp;START_MAXIMIZED=FALSE&amp;creator=factset&amp;display_string=Audit"}</definedName>
    <definedName name="_2670__FDSAUDITLINK__" hidden="1">{"fdsup://Directions/FactSet Auditing Viewer?action=AUDIT_VALUE&amp;DB=129&amp;ID1=58711810&amp;VALUEID=13040&amp;SDATE=200802&amp;PERIODTYPE=QTR_STD&amp;window=popup_no_bar&amp;width=385&amp;height=120&amp;START_MAXIMIZED=FALSE&amp;creator=factset&amp;display_string=Audit"}</definedName>
    <definedName name="_2671__FDSAUDITLINK__" hidden="1">{"fdsup://Directions/FactSet Auditing Viewer?action=AUDIT_VALUE&amp;DB=129&amp;ID1=58711810&amp;VALUEID=13040&amp;SDATE=200801&amp;PERIODTYPE=QTR_STD&amp;window=popup_no_bar&amp;width=385&amp;height=120&amp;START_MAXIMIZED=FALSE&amp;creator=factset&amp;display_string=Audit"}</definedName>
    <definedName name="_2672__FDSAUDITLINK__" hidden="1">{"fdsup://directions/FAT Viewer?action=UPDATE&amp;creator=factset&amp;DYN_ARGS=TRUE&amp;DOC_NAME=FAT:FQL_AUDITING_CLIENT_TEMPLATE.FAT&amp;display_string=Audit&amp;VAR:KEY=LIFEZIXONO&amp;VAR:QUERY=RkZfUlRfU0ZfVE9UX0dST1NTKFFUUiwtOSk=&amp;WINDOW=FIRST_POPUP&amp;HEIGHT=450&amp;WIDTH=450&amp;START_MA","XIMIZED=FALSE&amp;VAR:CALENDAR=US&amp;VAR:SYMBOL=MW&amp;VAR:INDEX=0"}</definedName>
    <definedName name="_2673__FDSAUDITLINK__" hidden="1">{"fdsup://Directions/FactSet Auditing Viewer?action=AUDIT_VALUE&amp;DB=129&amp;ID1=58711810&amp;VALUEID=13040&amp;SDATE=200803&amp;PERIODTYPE=QTR_STD&amp;window=popup_no_bar&amp;width=385&amp;height=120&amp;START_MAXIMIZED=FALSE&amp;creator=factset&amp;display_string=Audit"}</definedName>
    <definedName name="_2674__FDSAUDITLINK__" hidden="1">{"fdsup://Directions/FactSet Auditing Viewer?action=AUDIT_VALUE&amp;DB=129&amp;ID1=58711810&amp;VALUEID=13040&amp;SDATE=200902&amp;PERIODTYPE=QTR_STD&amp;window=popup_no_bar&amp;width=385&amp;height=120&amp;START_MAXIMIZED=FALSE&amp;creator=factset&amp;display_string=Audit"}</definedName>
    <definedName name="_2675__FDSAUDITLINK__" hidden="1">{"fdsup://directions/FAT Viewer?action=UPDATE&amp;creator=factset&amp;DYN_ARGS=TRUE&amp;DOC_NAME=FAT:FQL_AUDITING_CLIENT_TEMPLATE.FAT&amp;display_string=Audit&amp;VAR:KEY=JOTIDWFUPO&amp;VAR:QUERY=RkZfUlRfU0ZfVE9UX0dST1NTKFFUUiwtNSk=&amp;WINDOW=FIRST_POPUP&amp;HEIGHT=450&amp;WIDTH=450&amp;START_MA","XIMIZED=FALSE&amp;VAR:CALENDAR=US&amp;VAR:SYMBOL=MW&amp;VAR:INDEX=0"}</definedName>
    <definedName name="_2676__FDSAUDITLINK__" hidden="1">{"fdsup://Directions/FactSet Auditing Viewer?action=AUDIT_VALUE&amp;DB=129&amp;ID1=58711810&amp;VALUEID=13040&amp;SDATE=200903&amp;PERIODTYPE=QTR_STD&amp;window=popup_no_bar&amp;width=385&amp;height=120&amp;START_MAXIMIZED=FALSE&amp;creator=factset&amp;display_string=Audit"}</definedName>
    <definedName name="_2677__FDSAUDITLINK__" hidden="1">{"fdsup://Directions/FactSet Auditing Viewer?action=AUDIT_VALUE&amp;DB=129&amp;ID1=58711810&amp;VALUEID=13040&amp;SDATE=200602&amp;PERIODTYPE=QTR_STD&amp;window=popup_no_bar&amp;width=385&amp;height=120&amp;START_MAXIMIZED=FALSE&amp;creator=factset&amp;display_string=Audit"}</definedName>
    <definedName name="_2678__FDSAUDITLINK__" hidden="1">{"fdsup://Directions/FactSet Auditing Viewer?action=AUDIT_VALUE&amp;DB=129&amp;ID1=58711810&amp;VALUEID=13040&amp;SDATE=200601&amp;PERIODTYPE=QTR_STD&amp;window=popup_no_bar&amp;width=385&amp;height=120&amp;START_MAXIMIZED=FALSE&amp;creator=factset&amp;display_string=Audit"}</definedName>
    <definedName name="_2679__FDSAUDITLINK__" hidden="1">{"fdsup://directions/FAT Viewer?action=UPDATE&amp;creator=factset&amp;DYN_ARGS=TRUE&amp;DOC_NAME=FAT:FQL_AUDITING_CLIENT_TEMPLATE.FAT&amp;display_string=Audit&amp;VAR:KEY=NIHCFUBCLC&amp;VAR:QUERY=RkZfUlRfU0ZfVE9UX0dST1NTKFFUUiwtMTcp&amp;WINDOW=FIRST_POPUP&amp;HEIGHT=450&amp;WIDTH=450&amp;START_MA","XIMIZED=FALSE&amp;VAR:CALENDAR=US&amp;VAR:SYMBOL=MW&amp;VAR:INDEX=0"}</definedName>
    <definedName name="_268__FDSAUDITLINK__" hidden="1">{"fdsup://Directions/FactSet Auditing Viewer?action=AUDIT_VALUE&amp;DB=129&amp;ID1=91704710&amp;VALUEID=02101&amp;SDATE=200701&amp;PERIODTYPE=QTR_STD&amp;window=popup_no_bar&amp;width=385&amp;height=120&amp;START_MAXIMIZED=FALSE&amp;creator=factset&amp;display_string=Audit"}</definedName>
    <definedName name="_2680__FDSAUDITLINK__" hidden="1">{"fdsup://Directions/FactSet Auditing Viewer?action=AUDIT_VALUE&amp;DB=129&amp;ID1=58711810&amp;VALUEID=13040&amp;SDATE=200603&amp;PERIODTYPE=QTR_STD&amp;window=popup_no_bar&amp;width=385&amp;height=120&amp;START_MAXIMIZED=FALSE&amp;creator=factset&amp;display_string=Audit"}</definedName>
    <definedName name="_2681__FDSAUDITLINK__" hidden="1">{"fdsup://directions/FAT Viewer?action=UPDATE&amp;creator=factset&amp;DYN_ARGS=TRUE&amp;DOC_NAME=FAT:FQL_AUDITING_CLIENT_TEMPLATE.FAT&amp;display_string=Audit&amp;VAR:KEY=HGNWDSTIVA&amp;VAR:QUERY=RkZfUlRfU0ZfVE9UX0dST1NTKFFUUiwtMTMp&amp;WINDOW=FIRST_POPUP&amp;HEIGHT=450&amp;WIDTH=450&amp;START_MA","XIMIZED=FALSE&amp;VAR:CALENDAR=US&amp;VAR:SYMBOL=MW&amp;VAR:INDEX=0"}</definedName>
    <definedName name="_2682__FDSAUDITLINK__" hidden="1">{"fdsup://Directions/FactSet Auditing Viewer?action=AUDIT_VALUE&amp;DB=129&amp;ID1=58711810&amp;VALUEID=13040&amp;SDATE=201001&amp;PERIODTYPE=QTR_STD&amp;window=popup_no_bar&amp;width=385&amp;height=120&amp;START_MAXIMIZED=FALSE&amp;creator=factset&amp;display_string=Audit"}</definedName>
    <definedName name="_2683__FDSAUDITLINK__" hidden="1">{"fdsup://Directions/FactSet Auditing Viewer?action=AUDIT_VALUE&amp;DB=129&amp;ID1=58711810&amp;VALUEID=13040&amp;SDATE=200904&amp;PERIODTYPE=QTR_STD&amp;window=popup_no_bar&amp;width=385&amp;height=120&amp;START_MAXIMIZED=FALSE&amp;creator=factset&amp;display_string=Audit"}</definedName>
    <definedName name="_2684__FDSAUDITLINK__" hidden="1">{"fdsup://directions/FAT Viewer?action=UPDATE&amp;creator=factset&amp;DYN_ARGS=TRUE&amp;DOC_NAME=FAT:FQL_AUDITING_CLIENT_TEMPLATE.FAT&amp;display_string=Audit&amp;VAR:KEY=NAVAPYPWTC&amp;VAR:QUERY=RkZfUlRfU0ZfVE9UX0dST1NTKFFUUiwtMSk=&amp;WINDOW=FIRST_POPUP&amp;HEIGHT=450&amp;WIDTH=450&amp;START_MA","XIMIZED=FALSE&amp;VAR:CALENDAR=US&amp;VAR:SYMBOL=MW&amp;VAR:INDEX=0"}</definedName>
    <definedName name="_2685__FDSAUDITLINK__" hidden="1">{"fdsup://Directions/FactSet Auditing Viewer?action=AUDIT_VALUE&amp;DB=129&amp;ID1=87416110&amp;VALUEID=01001&amp;SDATE=201001&amp;PERIODTYPE=QTR_STD&amp;window=popup_no_bar&amp;width=385&amp;height=120&amp;START_MAXIMIZED=FALSE&amp;creator=factset&amp;display_string=Audit"}</definedName>
    <definedName name="_2686__FDSAUDITLINK__" hidden="1">{"fdsup://Directions/FactSet Auditing Viewer?action=AUDIT_VALUE&amp;DB=129&amp;ID1=58711810&amp;VALUEID=01001&amp;SDATE=201001&amp;PERIODTYPE=QTR_STD&amp;window=popup_no_bar&amp;width=385&amp;height=120&amp;START_MAXIMIZED=FALSE&amp;creator=factset&amp;display_string=Audit"}</definedName>
    <definedName name="_2687__FDSAUDITLINK__" hidden="1">{"fdsup://Directions/FactSet Auditing Viewer?action=AUDIT_VALUE&amp;DB=129&amp;ID1=53271610&amp;VALUEID=01001&amp;SDATE=201001&amp;PERIODTYPE=QTR_STD&amp;window=popup_no_bar&amp;width=385&amp;height=120&amp;START_MAXIMIZED=FALSE&amp;creator=factset&amp;display_string=Audit"}</definedName>
    <definedName name="_2688__FDSAUDITLINK__" hidden="1">{"fdsup://Directions/FactSet Auditing Viewer?action=AUDIT_VALUE&amp;DB=129&amp;ID1=46612H40&amp;VALUEID=01001&amp;SDATE=201001&amp;PERIODTYPE=QTR_STD&amp;window=popup_no_bar&amp;width=385&amp;height=120&amp;START_MAXIMIZED=FALSE&amp;creator=factset&amp;display_string=Audit"}</definedName>
    <definedName name="_2689__FDSAUDITLINK__" hidden="1">{"fdsup://Directions/FactSet Auditing Viewer?action=AUDIT_VALUE&amp;DB=129&amp;ID1=36476010&amp;VALUEID=01001&amp;SDATE=201001&amp;PERIODTYPE=QTR_STD&amp;window=popup_no_bar&amp;width=385&amp;height=120&amp;START_MAXIMIZED=FALSE&amp;creator=factset&amp;display_string=Audit"}</definedName>
    <definedName name="_269__FDSAUDITLINK__" hidden="1">{"fdsup://Directions/FactSet Auditing Viewer?action=AUDIT_VALUE&amp;DB=129&amp;ID1=91704710&amp;VALUEID=01001&amp;SDATE=200701&amp;PERIODTYPE=QTR_STD&amp;window=popup_no_bar&amp;width=385&amp;height=120&amp;START_MAXIMIZED=FALSE&amp;creator=factset&amp;display_string=Audit"}</definedName>
    <definedName name="_2690__FDSAUDITLINK__" hidden="1">{"fdsup://Directions/FactSet Auditing Viewer?action=AUDIT_VALUE&amp;DB=129&amp;ID1=03611510&amp;VALUEID=01001&amp;SDATE=201001&amp;PERIODTYPE=QTR_STD&amp;window=popup_no_bar&amp;width=385&amp;height=120&amp;START_MAXIMIZED=FALSE&amp;creator=factset&amp;display_string=Audit"}</definedName>
    <definedName name="_2691__FDSAUDITLINK__" hidden="1">{"fdsup://Directions/FactSet Auditing Viewer?action=AUDIT_VALUE&amp;DB=129&amp;ID1=40377710&amp;VALUEID=01001&amp;SDATE=201001&amp;PERIODTYPE=QTR_STD&amp;window=popup_no_bar&amp;width=385&amp;height=120&amp;START_MAXIMIZED=FALSE&amp;creator=factset&amp;display_string=Audit"}</definedName>
    <definedName name="_2692__FDSAUDITLINK__" hidden="1">{"fdsup://Directions/FactSet Auditing Viewer?action=AUDIT_VALUE&amp;DB=129&amp;ID1=16890510&amp;VALUEID=01001&amp;SDATE=201001&amp;PERIODTYPE=QTR_STD&amp;window=popup_no_bar&amp;width=385&amp;height=120&amp;START_MAXIMIZED=FALSE&amp;creator=factset&amp;display_string=Audit"}</definedName>
    <definedName name="_2693__FDSAUDITLINK__" hidden="1">{"fdsup://Directions/FactSet Auditing Viewer?action=AUDIT_VALUE&amp;DB=129&amp;ID1=91704710&amp;VALUEID=01001&amp;SDATE=201001&amp;PERIODTYPE=QTR_STD&amp;window=popup_no_bar&amp;width=385&amp;height=120&amp;START_MAXIMIZED=FALSE&amp;creator=factset&amp;display_string=Audit"}</definedName>
    <definedName name="_2694__FDSAUDITLINK__" hidden="1">{"fdsup://Directions/FactSet Auditing Viewer?action=AUDIT_VALUE&amp;DB=129&amp;ID1=02553E10&amp;VALUEID=01001&amp;SDATE=201001&amp;PERIODTYPE=QTR_STD&amp;window=popup_no_bar&amp;width=385&amp;height=120&amp;START_MAXIMIZED=FALSE&amp;creator=factset&amp;display_string=Audit"}</definedName>
    <definedName name="_2695__FDSAUDITLINK__" hidden="1">{"fdsup://Directions/FactSet Auditing Viewer?action=AUDIT_VALUE&amp;DB=129&amp;ID1=00786510&amp;VALUEID=01001&amp;SDATE=201001&amp;PERIODTYPE=QTR_STD&amp;window=popup_no_bar&amp;width=385&amp;height=120&amp;START_MAXIMIZED=FALSE&amp;creator=factset&amp;display_string=Audit"}</definedName>
    <definedName name="_2696__FDSAUDITLINK__" hidden="1">{"fdsup://Directions/FactSet Auditing Viewer?action=AUDIT_VALUE&amp;DB=129&amp;ID1=00289620&amp;VALUEID=01001&amp;SDATE=201001&amp;PERIODTYPE=QTR_STD&amp;window=popup_no_bar&amp;width=385&amp;height=120&amp;START_MAXIMIZED=FALSE&amp;creator=factset&amp;display_string=Audit"}</definedName>
    <definedName name="_2697__FDSAUDITLINK__" hidden="1">{"fdsup://Directions/FactSet Auditing Viewer?action=AUDIT_VALUE&amp;DB=129&amp;ID1=26157010&amp;VALUEID=13040&amp;SDATE=200602&amp;PERIODTYPE=QTR_STD&amp;window=popup_no_bar&amp;width=385&amp;height=120&amp;START_MAXIMIZED=FALSE&amp;creator=factset&amp;display_string=Audit"}</definedName>
    <definedName name="_2698__FDSAUDITLINK__" hidden="1">{"fdsup://Directions/FactSet Auditing Viewer?action=AUDIT_VALUE&amp;DB=129&amp;ID1=26157010&amp;VALUEID=01001&amp;SDATE=200602&amp;PERIODTYPE=QTR_STD&amp;window=popup_no_bar&amp;width=385&amp;height=120&amp;START_MAXIMIZED=FALSE&amp;creator=factset&amp;display_string=Audit"}</definedName>
    <definedName name="_2699__FDSAUDITLINK__" hidden="1">{"fdsup://Directions/FactSet Auditing Viewer?action=AUDIT_VALUE&amp;DB=129&amp;ID1=26157010&amp;VALUEID=02101&amp;SDATE=200602&amp;PERIODTYPE=QTR_STD&amp;window=popup_no_bar&amp;width=385&amp;height=120&amp;START_MAXIMIZED=FALSE&amp;creator=factset&amp;display_string=Audit"}</definedName>
    <definedName name="_27__FDSAUDITLINK__" hidden="1">{"fdsup://Directions/FactSet Auditing Viewer?action=AUDIT_VALUE&amp;DB=129&amp;ID1=91704710&amp;VALUEID=01001&amp;SDATE=200904&amp;PERIODTYPE=QTR_STD&amp;window=popup_no_bar&amp;width=385&amp;height=120&amp;START_MAXIMIZED=FALSE&amp;creator=factset&amp;display_string=Audit"}</definedName>
    <definedName name="_270__FDSAUDITLINK__" hidden="1">{"fdsup://Directions/FactSet Auditing Viewer?action=AUDIT_VALUE&amp;DB=129&amp;ID1=91704710&amp;VALUEID=13040&amp;SDATE=200701&amp;PERIODTYPE=QTR_STD&amp;window=popup_no_bar&amp;width=385&amp;height=120&amp;START_MAXIMIZED=FALSE&amp;creator=factset&amp;display_string=Audit"}</definedName>
    <definedName name="_2700__FDSAUDITLINK__" hidden="1">{"fdsup://Directions/FactSet Auditing Viewer?action=AUDIT_VALUE&amp;DB=129&amp;ID1=26157010&amp;VALUEID=13040&amp;SDATE=200603&amp;PERIODTYPE=QTR_STD&amp;window=popup_no_bar&amp;width=385&amp;height=120&amp;START_MAXIMIZED=FALSE&amp;creator=factset&amp;display_string=Audit"}</definedName>
    <definedName name="_2701__FDSAUDITLINK__" hidden="1">{"fdsup://Directions/FactSet Auditing Viewer?action=AUDIT_VALUE&amp;DB=129&amp;ID1=26157010&amp;VALUEID=01001&amp;SDATE=200603&amp;PERIODTYPE=QTR_STD&amp;window=popup_no_bar&amp;width=385&amp;height=120&amp;START_MAXIMIZED=FALSE&amp;creator=factset&amp;display_string=Audit"}</definedName>
    <definedName name="_2702__FDSAUDITLINK__" hidden="1">{"fdsup://Directions/FactSet Auditing Viewer?action=AUDIT_VALUE&amp;DB=129&amp;ID1=26157010&amp;VALUEID=02101&amp;SDATE=200603&amp;PERIODTYPE=QTR_STD&amp;window=popup_no_bar&amp;width=385&amp;height=120&amp;START_MAXIMIZED=FALSE&amp;creator=factset&amp;display_string=Audit"}</definedName>
    <definedName name="_2703__FDSAUDITLINK__" hidden="1">{"fdsup://Directions/FactSet Auditing Viewer?action=AUDIT_VALUE&amp;DB=129&amp;ID1=26157010&amp;VALUEID=13040&amp;SDATE=200701&amp;PERIODTYPE=QTR_STD&amp;window=popup_no_bar&amp;width=385&amp;height=120&amp;START_MAXIMIZED=FALSE&amp;creator=factset&amp;display_string=Audit"}</definedName>
    <definedName name="_2704__FDSAUDITLINK__" hidden="1">{"fdsup://Directions/FactSet Auditing Viewer?action=AUDIT_VALUE&amp;DB=129&amp;ID1=26157010&amp;VALUEID=01001&amp;SDATE=200701&amp;PERIODTYPE=QTR_STD&amp;window=popup_no_bar&amp;width=385&amp;height=120&amp;START_MAXIMIZED=FALSE&amp;creator=factset&amp;display_string=Audit"}</definedName>
    <definedName name="_2705__FDSAUDITLINK__" hidden="1">{"fdsup://Directions/FactSet Auditing Viewer?action=AUDIT_VALUE&amp;DB=129&amp;ID1=26157010&amp;VALUEID=02101&amp;SDATE=200701&amp;PERIODTYPE=QTR_STD&amp;window=popup_no_bar&amp;width=385&amp;height=120&amp;START_MAXIMIZED=FALSE&amp;creator=factset&amp;display_string=Audit"}</definedName>
    <definedName name="_2706__FDSAUDITLINK__" hidden="1">{"fdsup://Directions/FactSet Auditing Viewer?action=AUDIT_VALUE&amp;DB=129&amp;ID1=26157010&amp;VALUEID=13040&amp;SDATE=200702&amp;PERIODTYPE=QTR_STD&amp;window=popup_no_bar&amp;width=385&amp;height=120&amp;START_MAXIMIZED=FALSE&amp;creator=factset&amp;display_string=Audit"}</definedName>
    <definedName name="_2707__FDSAUDITLINK__" hidden="1">{"fdsup://Directions/FactSet Auditing Viewer?action=AUDIT_VALUE&amp;DB=129&amp;ID1=26157010&amp;VALUEID=01001&amp;SDATE=200702&amp;PERIODTYPE=QTR_STD&amp;window=popup_no_bar&amp;width=385&amp;height=120&amp;START_MAXIMIZED=FALSE&amp;creator=factset&amp;display_string=Audit"}</definedName>
    <definedName name="_2708__FDSAUDITLINK__" hidden="1">{"fdsup://Directions/FactSet Auditing Viewer?action=AUDIT_VALUE&amp;DB=129&amp;ID1=26157010&amp;VALUEID=02101&amp;SDATE=200702&amp;PERIODTYPE=QTR_STD&amp;window=popup_no_bar&amp;width=385&amp;height=120&amp;START_MAXIMIZED=FALSE&amp;creator=factset&amp;display_string=Audit"}</definedName>
    <definedName name="_2709__FDSAUDITLINK__" hidden="1">{"fdsup://Directions/FactSet Auditing Viewer?action=AUDIT_VALUE&amp;DB=129&amp;ID1=26157010&amp;VALUEID=13040&amp;SDATE=200703&amp;PERIODTYPE=QTR_STD&amp;window=popup_no_bar&amp;width=385&amp;height=120&amp;START_MAXIMIZED=FALSE&amp;creator=factset&amp;display_string=Audit"}</definedName>
    <definedName name="_271__FDSAUDITLINK__" hidden="1">{"fdsup://Directions/FactSet Auditing Viewer?action=AUDIT_VALUE&amp;DB=129&amp;ID1=02553E10&amp;VALUEID=02101&amp;SDATE=200701&amp;PERIODTYPE=QTR_STD&amp;window=popup_no_bar&amp;width=385&amp;height=120&amp;START_MAXIMIZED=FALSE&amp;creator=factset&amp;display_string=Audit"}</definedName>
    <definedName name="_2710__FDSAUDITLINK__" hidden="1">{"fdsup://Directions/FactSet Auditing Viewer?action=AUDIT_VALUE&amp;DB=129&amp;ID1=26157010&amp;VALUEID=01001&amp;SDATE=200703&amp;PERIODTYPE=QTR_STD&amp;window=popup_no_bar&amp;width=385&amp;height=120&amp;START_MAXIMIZED=FALSE&amp;creator=factset&amp;display_string=Audit"}</definedName>
    <definedName name="_2711__FDSAUDITLINK__" hidden="1">{"fdsup://Directions/FactSet Auditing Viewer?action=AUDIT_VALUE&amp;DB=129&amp;ID1=26157010&amp;VALUEID=02101&amp;SDATE=200703&amp;PERIODTYPE=QTR_STD&amp;window=popup_no_bar&amp;width=385&amp;height=120&amp;START_MAXIMIZED=FALSE&amp;creator=factset&amp;display_string=Audit"}</definedName>
    <definedName name="_2712__FDSAUDITLINK__" hidden="1">{"fdsup://Directions/FactSet Auditing Viewer?action=AUDIT_VALUE&amp;DB=129&amp;ID1=26157010&amp;VALUEID=01001&amp;SDATE=200704&amp;PERIODTYPE=QTR_STD&amp;window=popup_no_bar&amp;width=385&amp;height=120&amp;START_MAXIMIZED=FALSE&amp;creator=factset&amp;display_string=Audit"}</definedName>
    <definedName name="_2713__FDSAUDITLINK__" hidden="1">{"fdsup://Directions/FactSet Auditing Viewer?action=AUDIT_VALUE&amp;DB=129&amp;ID1=26157010&amp;VALUEID=13040&amp;SDATE=200801&amp;PERIODTYPE=QTR_STD&amp;window=popup_no_bar&amp;width=385&amp;height=120&amp;START_MAXIMIZED=FALSE&amp;creator=factset&amp;display_string=Audit"}</definedName>
    <definedName name="_2714__FDSAUDITLINK__" hidden="1">{"fdsup://Directions/FactSet Auditing Viewer?action=AUDIT_VALUE&amp;DB=129&amp;ID1=26157010&amp;VALUEID=01001&amp;SDATE=200801&amp;PERIODTYPE=QTR_STD&amp;window=popup_no_bar&amp;width=385&amp;height=120&amp;START_MAXIMIZED=FALSE&amp;creator=factset&amp;display_string=Audit"}</definedName>
    <definedName name="_2715__FDSAUDITLINK__" hidden="1">{"fdsup://Directions/FactSet Auditing Viewer?action=AUDIT_VALUE&amp;DB=129&amp;ID1=26157010&amp;VALUEID=02101&amp;SDATE=200801&amp;PERIODTYPE=QTR_STD&amp;window=popup_no_bar&amp;width=385&amp;height=120&amp;START_MAXIMIZED=FALSE&amp;creator=factset&amp;display_string=Audit"}</definedName>
    <definedName name="_2716__FDSAUDITLINK__" hidden="1">{"fdsup://Directions/FactSet Auditing Viewer?action=AUDIT_VALUE&amp;DB=129&amp;ID1=26157010&amp;VALUEID=01001&amp;SDATE=200802&amp;PERIODTYPE=QTR_STD&amp;window=popup_no_bar&amp;width=385&amp;height=120&amp;START_MAXIMIZED=FALSE&amp;creator=factset&amp;display_string=Audit"}</definedName>
    <definedName name="_2717__FDSAUDITLINK__" hidden="1">{"fdsup://Directions/FactSet Auditing Viewer?action=AUDIT_VALUE&amp;DB=129&amp;ID1=26157010&amp;VALUEID=02101&amp;SDATE=200802&amp;PERIODTYPE=QTR_STD&amp;window=popup_no_bar&amp;width=385&amp;height=120&amp;START_MAXIMIZED=FALSE&amp;creator=factset&amp;display_string=Audit"}</definedName>
    <definedName name="_2718__FDSAUDITLINK__" hidden="1">{"fdsup://Directions/FactSet Auditing Viewer?action=AUDIT_VALUE&amp;DB=129&amp;ID1=26157010&amp;VALUEID=13040&amp;SDATE=200803&amp;PERIODTYPE=QTR_STD&amp;window=popup_no_bar&amp;width=385&amp;height=120&amp;START_MAXIMIZED=FALSE&amp;creator=factset&amp;display_string=Audit"}</definedName>
    <definedName name="_2719__FDSAUDITLINK__" hidden="1">{"fdsup://Directions/FactSet Auditing Viewer?action=AUDIT_VALUE&amp;DB=129&amp;ID1=26157010&amp;VALUEID=01001&amp;SDATE=200803&amp;PERIODTYPE=QTR_STD&amp;window=popup_no_bar&amp;width=385&amp;height=120&amp;START_MAXIMIZED=FALSE&amp;creator=factset&amp;display_string=Audit"}</definedName>
    <definedName name="_272__FDSAUDITLINK__" hidden="1">{"fdsup://Directions/FactSet Auditing Viewer?action=AUDIT_VALUE&amp;DB=129&amp;ID1=02553E10&amp;VALUEID=01001&amp;SDATE=200701&amp;PERIODTYPE=QTR_STD&amp;window=popup_no_bar&amp;width=385&amp;height=120&amp;START_MAXIMIZED=FALSE&amp;creator=factset&amp;display_string=Audit"}</definedName>
    <definedName name="_2720__FDSAUDITLINK__" hidden="1">{"fdsup://Directions/FactSet Auditing Viewer?action=AUDIT_VALUE&amp;DB=129&amp;ID1=26157010&amp;VALUEID=02101&amp;SDATE=200803&amp;PERIODTYPE=QTR_STD&amp;window=popup_no_bar&amp;width=385&amp;height=120&amp;START_MAXIMIZED=FALSE&amp;creator=factset&amp;display_string=Audit"}</definedName>
    <definedName name="_2721__FDSAUDITLINK__" hidden="1">{"fdsup://Directions/FactSet Auditing Viewer?action=AUDIT_VALUE&amp;DB=129&amp;ID1=26157010&amp;VALUEID=13040&amp;SDATE=200901&amp;PERIODTYPE=QTR_STD&amp;window=popup_no_bar&amp;width=385&amp;height=120&amp;START_MAXIMIZED=FALSE&amp;creator=factset&amp;display_string=Audit"}</definedName>
    <definedName name="_2722__FDSAUDITLINK__" hidden="1">{"fdsup://Directions/FactSet Auditing Viewer?action=AUDIT_VALUE&amp;DB=129&amp;ID1=26157010&amp;VALUEID=01001&amp;SDATE=200901&amp;PERIODTYPE=QTR_STD&amp;window=popup_no_bar&amp;width=385&amp;height=120&amp;START_MAXIMIZED=FALSE&amp;creator=factset&amp;display_string=Audit"}</definedName>
    <definedName name="_2723__FDSAUDITLINK__" hidden="1">{"fdsup://Directions/FactSet Auditing Viewer?action=AUDIT_VALUE&amp;DB=129&amp;ID1=26157010&amp;VALUEID=02101&amp;SDATE=200901&amp;PERIODTYPE=QTR_STD&amp;window=popup_no_bar&amp;width=385&amp;height=120&amp;START_MAXIMIZED=FALSE&amp;creator=factset&amp;display_string=Audit"}</definedName>
    <definedName name="_2724__FDSAUDITLINK__" hidden="1">{"fdsup://Directions/FactSet Auditing Viewer?action=AUDIT_VALUE&amp;DB=129&amp;ID1=26157010&amp;VALUEID=13040&amp;SDATE=200902&amp;PERIODTYPE=QTR_STD&amp;window=popup_no_bar&amp;width=385&amp;height=120&amp;START_MAXIMIZED=FALSE&amp;creator=factset&amp;display_string=Audit"}</definedName>
    <definedName name="_2725__FDSAUDITLINK__" hidden="1">{"fdsup://Directions/FactSet Auditing Viewer?action=AUDIT_VALUE&amp;DB=129&amp;ID1=26157010&amp;VALUEID=01001&amp;SDATE=200902&amp;PERIODTYPE=QTR_STD&amp;window=popup_no_bar&amp;width=385&amp;height=120&amp;START_MAXIMIZED=FALSE&amp;creator=factset&amp;display_string=Audit"}</definedName>
    <definedName name="_2726__FDSAUDITLINK__" hidden="1">{"fdsup://Directions/FactSet Auditing Viewer?action=AUDIT_VALUE&amp;DB=129&amp;ID1=26157010&amp;VALUEID=02101&amp;SDATE=200902&amp;PERIODTYPE=QTR_STD&amp;window=popup_no_bar&amp;width=385&amp;height=120&amp;START_MAXIMIZED=FALSE&amp;creator=factset&amp;display_string=Audit"}</definedName>
    <definedName name="_2727__FDSAUDITLINK__" hidden="1">{"fdsup://Directions/FactSet Auditing Viewer?action=AUDIT_VALUE&amp;DB=129&amp;ID1=26157010&amp;VALUEID=01001&amp;SDATE=200904&amp;PERIODTYPE=QTR_STD&amp;window=popup_no_bar&amp;width=385&amp;height=120&amp;START_MAXIMIZED=FALSE&amp;creator=factset&amp;display_string=Audit"}</definedName>
    <definedName name="_2728__FDSAUDITLINK__" hidden="1">{"fdsup://Directions/FactSet Auditing Viewer?action=AUDIT_VALUE&amp;DB=129&amp;ID1=26157010&amp;VALUEID=13040&amp;SDATE=201001&amp;PERIODTYPE=QTR_STD&amp;window=popup_no_bar&amp;width=385&amp;height=120&amp;START_MAXIMIZED=FALSE&amp;creator=factset&amp;display_string=Audit"}</definedName>
    <definedName name="_2729__FDSAUDITLINK__" hidden="1">{"fdsup://Directions/FactSet Auditing Viewer?action=AUDIT_VALUE&amp;DB=129&amp;ID1=26157010&amp;VALUEID=01001&amp;SDATE=201001&amp;PERIODTYPE=QTR_STD&amp;window=popup_no_bar&amp;width=385&amp;height=120&amp;START_MAXIMIZED=FALSE&amp;creator=factset&amp;display_string=Audit"}</definedName>
    <definedName name="_273__FDSAUDITLINK__" hidden="1">{"fdsup://Directions/FactSet Auditing Viewer?action=AUDIT_VALUE&amp;DB=129&amp;ID1=02553E10&amp;VALUEID=13040&amp;SDATE=200701&amp;PERIODTYPE=QTR_STD&amp;window=popup_no_bar&amp;width=385&amp;height=120&amp;START_MAXIMIZED=FALSE&amp;creator=factset&amp;display_string=Audit"}</definedName>
    <definedName name="_2730__FDSAUDITLINK__" hidden="1">{"fdsup://Directions/FactSet Auditing Viewer?action=AUDIT_VALUE&amp;DB=129&amp;ID1=26157010&amp;VALUEID=02101&amp;SDATE=201001&amp;PERIODTYPE=QTR_STD&amp;window=popup_no_bar&amp;width=385&amp;height=120&amp;START_MAXIMIZED=FALSE&amp;creator=factset&amp;display_string=Audit"}</definedName>
    <definedName name="_2731__FDSAUDITLINK__" hidden="1">{"fdsup://Directions/FactSet Auditing Viewer?action=AUDIT_VALUE&amp;DB=129&amp;ID1=26157010&amp;VALUEID=01001&amp;SDATE=201002&amp;PERIODTYPE=QTR_STD&amp;window=popup_no_bar&amp;width=385&amp;height=120&amp;START_MAXIMIZED=FALSE&amp;creator=factset&amp;display_string=Audit"}</definedName>
    <definedName name="_2732__FDSAUDITLINK__" hidden="1">{"fdsup://Directions/FactSet Auditing Viewer?action=AUDIT_VALUE&amp;DB=129&amp;ID1=26157010&amp;VALUEID=02101&amp;SDATE=201002&amp;PERIODTYPE=QTR_STD&amp;window=popup_no_bar&amp;width=385&amp;height=120&amp;START_MAXIMIZED=FALSE&amp;creator=factset&amp;display_string=Audit"}</definedName>
    <definedName name="_2733__FDSAUDITLINK__" hidden="1">{"fdsup://Directions/FactSet Auditing Viewer?action=AUDIT_VALUE&amp;DB=129&amp;ID1=26157010&amp;VALUEID=13040&amp;SDATE=201003&amp;PERIODTYPE=QTR_STD&amp;window=popup_no_bar&amp;width=385&amp;height=120&amp;START_MAXIMIZED=FALSE&amp;creator=factset&amp;display_string=Audit"}</definedName>
    <definedName name="_2734__FDSAUDITLINK__" hidden="1">{"fdsup://Directions/FactSet Auditing Viewer?action=AUDIT_VALUE&amp;DB=129&amp;ID1=26157010&amp;VALUEID=01001&amp;SDATE=201003&amp;PERIODTYPE=QTR_STD&amp;window=popup_no_bar&amp;width=385&amp;height=120&amp;START_MAXIMIZED=FALSE&amp;creator=factset&amp;display_string=Audit"}</definedName>
    <definedName name="_2735__FDSAUDITLINK__" hidden="1">{"fdsup://Directions/FactSet Auditing Viewer?action=AUDIT_VALUE&amp;DB=129&amp;ID1=26157010&amp;VALUEID=02101&amp;SDATE=201003&amp;PERIODTYPE=QTR_STD&amp;window=popup_no_bar&amp;width=385&amp;height=120&amp;START_MAXIMIZED=FALSE&amp;creator=factset&amp;display_string=Audit"}</definedName>
    <definedName name="_2736__FDSAUDITLINK__" hidden="1">{"fdsup://directions/FAT Viewer?action=UPDATE&amp;creator=factset&amp;DYN_ARGS=TRUE&amp;DOC_NAME=FAT:FQL_AUDITING_CLIENT_TEMPLATE.FAT&amp;display_string=Audit&amp;VAR:KEY=TMTSRWJYFA&amp;VAR:QUERY=RkZfUlRfU0ZfVE9UX0dST1NTKFFUUiwtNDQp&amp;WINDOW=FIRST_POPUP&amp;HEIGHT=450&amp;WIDTH=450&amp;START_MA","XIMIZED=FALSE&amp;VAR:CALENDAR=US&amp;VAR:SYMBOL=DBRN&amp;VAR:INDEX=0"}</definedName>
    <definedName name="_2737__FDSAUDITLINK__" hidden="1">{"fdsup://directions/FAT Viewer?action=UPDATE&amp;creator=factset&amp;DYN_ARGS=TRUE&amp;DOC_NAME=FAT:FQL_AUDITING_CLIENT_TEMPLATE.FAT&amp;display_string=Audit&amp;VAR:KEY=ZGPAREJEDG&amp;VAR:QUERY=RkZfUlRfU0ZfVE9UX0dST1NTKFFUUiwtNDMp&amp;WINDOW=FIRST_POPUP&amp;HEIGHT=450&amp;WIDTH=450&amp;START_MA","XIMIZED=FALSE&amp;VAR:CALENDAR=US&amp;VAR:SYMBOL=DBRN&amp;VAR:INDEX=0"}</definedName>
    <definedName name="_2738__FDSAUDITLINK__" hidden="1">{"fdsup://directions/FAT Viewer?action=UPDATE&amp;creator=factset&amp;DYN_ARGS=TRUE&amp;DOC_NAME=FAT:FQL_AUDITING_CLIENT_TEMPLATE.FAT&amp;display_string=Audit&amp;VAR:KEY=VOXSREHORM&amp;VAR:QUERY=RkZfUlRfU0ZfVE9UX0dST1NTKFFUUiwtNDIp&amp;WINDOW=FIRST_POPUP&amp;HEIGHT=450&amp;WIDTH=450&amp;START_MA","XIMIZED=FALSE&amp;VAR:CALENDAR=US&amp;VAR:SYMBOL=DBRN&amp;VAR:INDEX=0"}</definedName>
    <definedName name="_2739__FDSAUDITLINK__" hidden="1">{"fdsup://directions/FAT Viewer?action=UPDATE&amp;creator=factset&amp;DYN_ARGS=TRUE&amp;DOC_NAME=FAT:FQL_AUDITING_CLIENT_TEMPLATE.FAT&amp;display_string=Audit&amp;VAR:KEY=VWNGJWDSNC&amp;VAR:QUERY=RkZfUlRfU0ZfVE9UX0dST1NTKFFUUiwtNDEp&amp;WINDOW=FIRST_POPUP&amp;HEIGHT=450&amp;WIDTH=450&amp;START_MA","XIMIZED=FALSE&amp;VAR:CALENDAR=US&amp;VAR:SYMBOL=DBRN&amp;VAR:INDEX=0"}</definedName>
    <definedName name="_274__FDSAUDITLINK__" hidden="1">{"fdsup://Directions/FactSet Auditing Viewer?action=AUDIT_VALUE&amp;DB=129&amp;ID1=00786510&amp;VALUEID=02101&amp;SDATE=200701&amp;PERIODTYPE=QTR_STD&amp;window=popup_no_bar&amp;width=385&amp;height=120&amp;START_MAXIMIZED=FALSE&amp;creator=factset&amp;display_string=Audit"}</definedName>
    <definedName name="_2740__FDSAUDITLINK__" hidden="1">{"fdsup://directions/FAT Viewer?action=UPDATE&amp;creator=factset&amp;DYN_ARGS=TRUE&amp;DOC_NAME=FAT:FQL_AUDITING_CLIENT_TEMPLATE.FAT&amp;display_string=Audit&amp;VAR:KEY=JGJWPYNKXE&amp;VAR:QUERY=RkZfUlRfU0ZfVE9UX0dST1NTKFFUUiwtNDAp&amp;WINDOW=FIRST_POPUP&amp;HEIGHT=450&amp;WIDTH=450&amp;START_MA","XIMIZED=FALSE&amp;VAR:CALENDAR=US&amp;VAR:SYMBOL=DBRN&amp;VAR:INDEX=0"}</definedName>
    <definedName name="_2741__FDSAUDITLINK__" hidden="1">{"fdsup://directions/FAT Viewer?action=UPDATE&amp;creator=factset&amp;DYN_ARGS=TRUE&amp;DOC_NAME=FAT:FQL_AUDITING_CLIENT_TEMPLATE.FAT&amp;display_string=Audit&amp;VAR:KEY=DCROFUZQNW&amp;VAR:QUERY=RkZfUlRfU0ZfVE9UX0dST1NTKFFUUiwtMzkp&amp;WINDOW=FIRST_POPUP&amp;HEIGHT=450&amp;WIDTH=450&amp;START_MA","XIMIZED=FALSE&amp;VAR:CALENDAR=US&amp;VAR:SYMBOL=DBRN&amp;VAR:INDEX=0"}</definedName>
    <definedName name="_2742__FDSAUDITLINK__" hidden="1">{"fdsup://directions/FAT Viewer?action=UPDATE&amp;creator=factset&amp;DYN_ARGS=TRUE&amp;DOC_NAME=FAT:FQL_AUDITING_CLIENT_TEMPLATE.FAT&amp;display_string=Audit&amp;VAR:KEY=NGTSNGJMPW&amp;VAR:QUERY=RkZfUlRfU0ZfVE9UX0dST1NTKFFUUiwtMzgp&amp;WINDOW=FIRST_POPUP&amp;HEIGHT=450&amp;WIDTH=450&amp;START_MA","XIMIZED=FALSE&amp;VAR:CALENDAR=US&amp;VAR:SYMBOL=DBRN&amp;VAR:INDEX=0"}</definedName>
    <definedName name="_2743__FDSAUDITLINK__" hidden="1">{"fdsup://directions/FAT Viewer?action=UPDATE&amp;creator=factset&amp;DYN_ARGS=TRUE&amp;DOC_NAME=FAT:FQL_AUDITING_CLIENT_TEMPLATE.FAT&amp;display_string=Audit&amp;VAR:KEY=LYVOVQVWJK&amp;VAR:QUERY=RkZfUlRfU0ZfVE9UX0dST1NTKFFUUiwtMzcp&amp;WINDOW=FIRST_POPUP&amp;HEIGHT=450&amp;WIDTH=450&amp;START_MA","XIMIZED=FALSE&amp;VAR:CALENDAR=US&amp;VAR:SYMBOL=DBRN&amp;VAR:INDEX=0"}</definedName>
    <definedName name="_2744__FDSAUDITLINK__" hidden="1">{"fdsup://directions/FAT Viewer?action=UPDATE&amp;creator=factset&amp;DYN_ARGS=TRUE&amp;DOC_NAME=FAT:FQL_AUDITING_CLIENT_TEMPLATE.FAT&amp;display_string=Audit&amp;VAR:KEY=NGTGVKJKLU&amp;VAR:QUERY=RkZfUlRfU0ZfVE9UX0dST1NTKFFUUiwtMzYp&amp;WINDOW=FIRST_POPUP&amp;HEIGHT=450&amp;WIDTH=450&amp;START_MA","XIMIZED=FALSE&amp;VAR:CALENDAR=US&amp;VAR:SYMBOL=DBRN&amp;VAR:INDEX=0"}</definedName>
    <definedName name="_2745__FDSAUDITLINK__" hidden="1">{"fdsup://directions/FAT Viewer?action=UPDATE&amp;creator=factset&amp;DYN_ARGS=TRUE&amp;DOC_NAME=FAT:FQL_AUDITING_CLIENT_TEMPLATE.FAT&amp;display_string=Audit&amp;VAR:KEY=RUPKHALQHU&amp;VAR:QUERY=RkZfUlRfU0ZfVE9UX0dST1NTKFFUUiwtMzUp&amp;WINDOW=FIRST_POPUP&amp;HEIGHT=450&amp;WIDTH=450&amp;START_MA","XIMIZED=FALSE&amp;VAR:CALENDAR=US&amp;VAR:SYMBOL=DBRN&amp;VAR:INDEX=0"}</definedName>
    <definedName name="_2746__FDSAUDITLINK__" hidden="1">{"fdsup://directions/FAT Viewer?action=UPDATE&amp;creator=factset&amp;DYN_ARGS=TRUE&amp;DOC_NAME=FAT:FQL_AUDITING_CLIENT_TEMPLATE.FAT&amp;display_string=Audit&amp;VAR:KEY=NKVOJYFWZI&amp;VAR:QUERY=RkZfUlRfU0ZfVE9UX0dST1NTKFFUUiwtMzQp&amp;WINDOW=FIRST_POPUP&amp;HEIGHT=450&amp;WIDTH=450&amp;START_MA","XIMIZED=FALSE&amp;VAR:CALENDAR=US&amp;VAR:SYMBOL=DBRN&amp;VAR:INDEX=0"}</definedName>
    <definedName name="_2747__FDSAUDITLINK__" hidden="1">{"fdsup://directions/FAT Viewer?action=UPDATE&amp;creator=factset&amp;DYN_ARGS=TRUE&amp;DOC_NAME=FAT:FQL_AUDITING_CLIENT_TEMPLATE.FAT&amp;display_string=Audit&amp;VAR:KEY=XCPADWPADE&amp;VAR:QUERY=RkZfUlRfU0ZfVE9UX0dST1NTKFFUUiwtMzMp&amp;WINDOW=FIRST_POPUP&amp;HEIGHT=450&amp;WIDTH=450&amp;START_MA","XIMIZED=FALSE&amp;VAR:CALENDAR=US&amp;VAR:SYMBOL=DBRN&amp;VAR:INDEX=0"}</definedName>
    <definedName name="_2748__FDSAUDITLINK__" hidden="1">{"fdsup://directions/FAT Viewer?action=UPDATE&amp;creator=factset&amp;DYN_ARGS=TRUE&amp;DOC_NAME=FAT:FQL_AUDITING_CLIENT_TEMPLATE.FAT&amp;display_string=Audit&amp;VAR:KEY=RKTCJUHCJM&amp;VAR:QUERY=RkZfUlRfU0ZfVE9UX0dST1NTKFFUUiwtMzIp&amp;WINDOW=FIRST_POPUP&amp;HEIGHT=450&amp;WIDTH=450&amp;START_MA","XIMIZED=FALSE&amp;VAR:CALENDAR=US&amp;VAR:SYMBOL=DBRN&amp;VAR:INDEX=0"}</definedName>
    <definedName name="_2749__FDSAUDITLINK__" hidden="1">{"fdsup://directions/FAT Viewer?action=UPDATE&amp;creator=factset&amp;DYN_ARGS=TRUE&amp;DOC_NAME=FAT:FQL_AUDITING_CLIENT_TEMPLATE.FAT&amp;display_string=Audit&amp;VAR:KEY=VQBUBCVANQ&amp;VAR:QUERY=RkZfUlRfU0ZfVE9UX0dST1NTKFFUUiwtMzEp&amp;WINDOW=FIRST_POPUP&amp;HEIGHT=450&amp;WIDTH=450&amp;START_MA","XIMIZED=FALSE&amp;VAR:CALENDAR=US&amp;VAR:SYMBOL=DBRN&amp;VAR:INDEX=0"}</definedName>
    <definedName name="_275__FDSAUDITLINK__" hidden="1">{"fdsup://Directions/FactSet Auditing Viewer?action=AUDIT_VALUE&amp;DB=129&amp;ID1=00786510&amp;VALUEID=01001&amp;SDATE=200701&amp;PERIODTYPE=QTR_STD&amp;window=popup_no_bar&amp;width=385&amp;height=120&amp;START_MAXIMIZED=FALSE&amp;creator=factset&amp;display_string=Audit"}</definedName>
    <definedName name="_2750__FDSAUDITLINK__" hidden="1">{"fdsup://directions/FAT Viewer?action=UPDATE&amp;creator=factset&amp;DYN_ARGS=TRUE&amp;DOC_NAME=FAT:FQL_AUDITING_CLIENT_TEMPLATE.FAT&amp;display_string=Audit&amp;VAR:KEY=LIBWRWZOFE&amp;VAR:QUERY=RkZfUlRfU0ZfVE9UX0dST1NTKFFUUiwtMzAp&amp;WINDOW=FIRST_POPUP&amp;HEIGHT=450&amp;WIDTH=450&amp;START_MA","XIMIZED=FALSE&amp;VAR:CALENDAR=US&amp;VAR:SYMBOL=DBRN&amp;VAR:INDEX=0"}</definedName>
    <definedName name="_2751__FDSAUDITLINK__" hidden="1">{"fdsup://directions/FAT Viewer?action=UPDATE&amp;creator=factset&amp;DYN_ARGS=TRUE&amp;DOC_NAME=FAT:FQL_AUDITING_CLIENT_TEMPLATE.FAT&amp;display_string=Audit&amp;VAR:KEY=HMDIRANAZM&amp;VAR:QUERY=RkZfUlRfU0ZfVE9UX0dST1NTKFFUUiwtMjkp&amp;WINDOW=FIRST_POPUP&amp;HEIGHT=450&amp;WIDTH=450&amp;START_MA","XIMIZED=FALSE&amp;VAR:CALENDAR=US&amp;VAR:SYMBOL=DBRN&amp;VAR:INDEX=0"}</definedName>
    <definedName name="_2752__FDSAUDITLINK__" hidden="1">{"fdsup://directions/FAT Viewer?action=UPDATE&amp;creator=factset&amp;DYN_ARGS=TRUE&amp;DOC_NAME=FAT:FQL_AUDITING_CLIENT_TEMPLATE.FAT&amp;display_string=Audit&amp;VAR:KEY=BUPMXCPCFM&amp;VAR:QUERY=RkZfUlRfU0ZfVE9UX0dST1NTKFFUUiwtMjgp&amp;WINDOW=FIRST_POPUP&amp;HEIGHT=450&amp;WIDTH=450&amp;START_MA","XIMIZED=FALSE&amp;VAR:CALENDAR=US&amp;VAR:SYMBOL=DBRN&amp;VAR:INDEX=0"}</definedName>
    <definedName name="_2753__FDSAUDITLINK__" hidden="1">{"fdsup://directions/FAT Viewer?action=UPDATE&amp;creator=factset&amp;DYN_ARGS=TRUE&amp;DOC_NAME=FAT:FQL_AUDITING_CLIENT_TEMPLATE.FAT&amp;display_string=Audit&amp;VAR:KEY=ZEJGTYHGNY&amp;VAR:QUERY=RkZfUlRfU0ZfVE9UX0dST1NTKFFUUiwtMjcp&amp;WINDOW=FIRST_POPUP&amp;HEIGHT=450&amp;WIDTH=450&amp;START_MA","XIMIZED=FALSE&amp;VAR:CALENDAR=US&amp;VAR:SYMBOL=DBRN&amp;VAR:INDEX=0"}</definedName>
    <definedName name="_2754__FDSAUDITLINK__" hidden="1">{"fdsup://directions/FAT Viewer?action=UPDATE&amp;creator=factset&amp;DYN_ARGS=TRUE&amp;DOC_NAME=FAT:FQL_AUDITING_CLIENT_TEMPLATE.FAT&amp;display_string=Audit&amp;VAR:KEY=ZMXYXARSHK&amp;VAR:QUERY=RkZfUlRfU0ZfVE9UX0dST1NTKFFUUiwtMjYp&amp;WINDOW=FIRST_POPUP&amp;HEIGHT=450&amp;WIDTH=450&amp;START_MA","XIMIZED=FALSE&amp;VAR:CALENDAR=US&amp;VAR:SYMBOL=DBRN&amp;VAR:INDEX=0"}</definedName>
    <definedName name="_2755__FDSAUDITLINK__" hidden="1">{"fdsup://directions/FAT Viewer?action=UPDATE&amp;creator=factset&amp;DYN_ARGS=TRUE&amp;DOC_NAME=FAT:FQL_AUDITING_CLIENT_TEMPLATE.FAT&amp;display_string=Audit&amp;VAR:KEY=ZGDMXCXMLA&amp;VAR:QUERY=RkZfUlRfU0ZfVE9UX0dST1NTKFFUUiwtMjUp&amp;WINDOW=FIRST_POPUP&amp;HEIGHT=450&amp;WIDTH=450&amp;START_MA","XIMIZED=FALSE&amp;VAR:CALENDAR=US&amp;VAR:SYMBOL=DBRN&amp;VAR:INDEX=0"}</definedName>
    <definedName name="_2756__FDSAUDITLINK__" hidden="1">{"fdsup://directions/FAT Viewer?action=UPDATE&amp;creator=factset&amp;DYN_ARGS=TRUE&amp;DOC_NAME=FAT:FQL_AUDITING_CLIENT_TEMPLATE.FAT&amp;display_string=Audit&amp;VAR:KEY=RAPUZEXQDA&amp;VAR:QUERY=RkZfUlRfU0ZfVE9UX0dST1NTKFFUUiwtMjQp&amp;WINDOW=FIRST_POPUP&amp;HEIGHT=450&amp;WIDTH=450&amp;START_MA","XIMIZED=FALSE&amp;VAR:CALENDAR=US&amp;VAR:SYMBOL=DBRN&amp;VAR:INDEX=0"}</definedName>
    <definedName name="_2757__FDSAUDITLINK__" hidden="1">{"fdsup://directions/FAT Viewer?action=UPDATE&amp;creator=factset&amp;DYN_ARGS=TRUE&amp;DOC_NAME=FAT:FQL_AUDITING_CLIENT_TEMPLATE.FAT&amp;display_string=Audit&amp;VAR:KEY=FUPMROVYPW&amp;VAR:QUERY=RkZfUlRfU0ZfVE9UX0dST1NTKFFUUiwtMjMp&amp;WINDOW=FIRST_POPUP&amp;HEIGHT=450&amp;WIDTH=450&amp;START_MA","XIMIZED=FALSE&amp;VAR:CALENDAR=US&amp;VAR:SYMBOL=DBRN&amp;VAR:INDEX=0"}</definedName>
    <definedName name="_2758__FDSAUDITLINK__" hidden="1">{"fdsup://directions/FAT Viewer?action=UPDATE&amp;creator=factset&amp;DYN_ARGS=TRUE&amp;DOC_NAME=FAT:FQL_AUDITING_CLIENT_TEMPLATE.FAT&amp;display_string=Audit&amp;VAR:KEY=PCHYVEJMZO&amp;VAR:QUERY=RkZfUlRfU0ZfVE9UX0dST1NTKFFUUiwtMjIp&amp;WINDOW=FIRST_POPUP&amp;HEIGHT=450&amp;WIDTH=450&amp;START_MA","XIMIZED=FALSE&amp;VAR:CALENDAR=US&amp;VAR:SYMBOL=DBRN&amp;VAR:INDEX=0"}</definedName>
    <definedName name="_2759__FDSAUDITLINK__" hidden="1">{"fdsup://directions/FAT Viewer?action=UPDATE&amp;creator=factset&amp;DYN_ARGS=TRUE&amp;DOC_NAME=FAT:FQL_AUDITING_CLIENT_TEMPLATE.FAT&amp;display_string=Audit&amp;VAR:KEY=PEBSFAHQFE&amp;VAR:QUERY=RkZfUlRfU0ZfVE9UX0dST1NTKFFUUiwtMjEp&amp;WINDOW=FIRST_POPUP&amp;HEIGHT=450&amp;WIDTH=450&amp;START_MA","XIMIZED=FALSE&amp;VAR:CALENDAR=US&amp;VAR:SYMBOL=DBRN&amp;VAR:INDEX=0"}</definedName>
    <definedName name="_276__FDSAUDITLINK__" hidden="1">{"fdsup://Directions/FactSet Auditing Viewer?action=AUDIT_VALUE&amp;DB=129&amp;ID1=00786510&amp;VALUEID=13040&amp;SDATE=200701&amp;PERIODTYPE=QTR_STD&amp;window=popup_no_bar&amp;width=385&amp;height=120&amp;START_MAXIMIZED=FALSE&amp;creator=factset&amp;display_string=Audit"}</definedName>
    <definedName name="_2760__FDSAUDITLINK__" hidden="1">{"fdsup://directions/FAT Viewer?action=UPDATE&amp;creator=factset&amp;DYN_ARGS=TRUE&amp;DOC_NAME=FAT:FQL_AUDITING_CLIENT_TEMPLATE.FAT&amp;display_string=Audit&amp;VAR:KEY=XAHOVYTITS&amp;VAR:QUERY=RkZfUlRfU0ZfVE9UX0dST1NTKFFUUiwtMjAp&amp;WINDOW=FIRST_POPUP&amp;HEIGHT=450&amp;WIDTH=450&amp;START_MA","XIMIZED=FALSE&amp;VAR:CALENDAR=US&amp;VAR:SYMBOL=DBRN&amp;VAR:INDEX=0"}</definedName>
    <definedName name="_2761__FDSAUDITLINK__" hidden="1">{"fdsup://directions/FAT Viewer?action=UPDATE&amp;creator=factset&amp;DYN_ARGS=TRUE&amp;DOC_NAME=FAT:FQL_AUDITING_CLIENT_TEMPLATE.FAT&amp;display_string=Audit&amp;VAR:KEY=PCZURWLAJY&amp;VAR:QUERY=RkZfUlRfU0ZfVE9UX0dST1NTKFFUUiwtMTkp&amp;WINDOW=FIRST_POPUP&amp;HEIGHT=450&amp;WIDTH=450&amp;START_MA","XIMIZED=FALSE&amp;VAR:CALENDAR=US&amp;VAR:SYMBOL=DBRN&amp;VAR:INDEX=0"}</definedName>
    <definedName name="_2762__FDSAUDITLINK__" hidden="1">{"fdsup://directions/FAT Viewer?action=UPDATE&amp;creator=factset&amp;DYN_ARGS=TRUE&amp;DOC_NAME=FAT:FQL_AUDITING_CLIENT_TEMPLATE.FAT&amp;display_string=Audit&amp;VAR:KEY=PWNQRKFAJI&amp;VAR:QUERY=RkZfUlRfU0ZfVE9UX0dST1NTKFFUUiwtMTgp&amp;WINDOW=FIRST_POPUP&amp;HEIGHT=450&amp;WIDTH=450&amp;START_MA","XIMIZED=FALSE&amp;VAR:CALENDAR=US&amp;VAR:SYMBOL=DBRN&amp;VAR:INDEX=0"}</definedName>
    <definedName name="_2763__FDSAUDITLINK__" hidden="1">{"fdsup://directions/FAT Viewer?action=UPDATE&amp;creator=factset&amp;DYN_ARGS=TRUE&amp;DOC_NAME=FAT:FQL_AUDITING_CLIENT_TEMPLATE.FAT&amp;display_string=Audit&amp;VAR:KEY=VEJSFSLURG&amp;VAR:QUERY=RkZfUlRfU0ZfVE9UX0dST1NTKFFUUiwtMTcp&amp;WINDOW=FIRST_POPUP&amp;HEIGHT=450&amp;WIDTH=450&amp;START_MA","XIMIZED=FALSE&amp;VAR:CALENDAR=US&amp;VAR:SYMBOL=DBRN&amp;VAR:INDEX=0"}</definedName>
    <definedName name="_2764__FDSAUDITLINK__" hidden="1">{"fdsup://directions/FAT Viewer?action=UPDATE&amp;creator=factset&amp;DYN_ARGS=TRUE&amp;DOC_NAME=FAT:FQL_AUDITING_CLIENT_TEMPLATE.FAT&amp;display_string=Audit&amp;VAR:KEY=VMZSFOTIPO&amp;VAR:QUERY=RkZfUlRfU0ZfVE9UX0dST1NTKFFUUiwtMTYp&amp;WINDOW=FIRST_POPUP&amp;HEIGHT=450&amp;WIDTH=450&amp;START_MA","XIMIZED=FALSE&amp;VAR:CALENDAR=US&amp;VAR:SYMBOL=DBRN&amp;VAR:INDEX=0"}</definedName>
    <definedName name="_2765__FDSAUDITLINK__" hidden="1">{"fdsup://directions/FAT Viewer?action=UPDATE&amp;creator=factset&amp;DYN_ARGS=TRUE&amp;DOC_NAME=FAT:FQL_AUDITING_CLIENT_TEMPLATE.FAT&amp;display_string=Audit&amp;VAR:KEY=NYTEXIPWHK&amp;VAR:QUERY=RkZfUlRfU0ZfVE9UX0dST1NTKFFUUiwtMTUp&amp;WINDOW=FIRST_POPUP&amp;HEIGHT=450&amp;WIDTH=450&amp;START_MA","XIMIZED=FALSE&amp;VAR:CALENDAR=US&amp;VAR:SYMBOL=DBRN&amp;VAR:INDEX=0"}</definedName>
    <definedName name="_2766__FDSAUDITLINK__" hidden="1">{"fdsup://directions/FAT Viewer?action=UPDATE&amp;creator=factset&amp;DYN_ARGS=TRUE&amp;DOC_NAME=FAT:FQL_AUDITING_CLIENT_TEMPLATE.FAT&amp;display_string=Audit&amp;VAR:KEY=DSVMZSVMZO&amp;VAR:QUERY=RkZfUlRfU0ZfVE9UX0dST1NTKFFUUiwtMTQp&amp;WINDOW=FIRST_POPUP&amp;HEIGHT=450&amp;WIDTH=450&amp;START_MA","XIMIZED=FALSE&amp;VAR:CALENDAR=US&amp;VAR:SYMBOL=DBRN&amp;VAR:INDEX=0"}</definedName>
    <definedName name="_2767__FDSAUDITLINK__" hidden="1">{"fdsup://directions/FAT Viewer?action=UPDATE&amp;creator=factset&amp;DYN_ARGS=TRUE&amp;DOC_NAME=FAT:FQL_AUDITING_CLIENT_TEMPLATE.FAT&amp;display_string=Audit&amp;VAR:KEY=VQXSJSNKJG&amp;VAR:QUERY=RkZfUlRfU0ZfVE9UX0dST1NTKFFUUiwtMTMp&amp;WINDOW=FIRST_POPUP&amp;HEIGHT=450&amp;WIDTH=450&amp;START_MA","XIMIZED=FALSE&amp;VAR:CALENDAR=US&amp;VAR:SYMBOL=DBRN&amp;VAR:INDEX=0"}</definedName>
    <definedName name="_2768__FDSAUDITLINK__" hidden="1">{"fdsup://directions/FAT Viewer?action=UPDATE&amp;creator=factset&amp;DYN_ARGS=TRUE&amp;DOC_NAME=FAT:FQL_AUDITING_CLIENT_TEMPLATE.FAT&amp;display_string=Audit&amp;VAR:KEY=PUFCXIVAXG&amp;VAR:QUERY=RkZfUlRfU0ZfVE9UX0dST1NTKFFUUiwtMTIp&amp;WINDOW=FIRST_POPUP&amp;HEIGHT=450&amp;WIDTH=450&amp;START_MA","XIMIZED=FALSE&amp;VAR:CALENDAR=US&amp;VAR:SYMBOL=DBRN&amp;VAR:INDEX=0"}</definedName>
    <definedName name="_2769__FDSAUDITLINK__" hidden="1">{"fdsup://directions/FAT Viewer?action=UPDATE&amp;creator=factset&amp;DYN_ARGS=TRUE&amp;DOC_NAME=FAT:FQL_AUDITING_CLIENT_TEMPLATE.FAT&amp;display_string=Audit&amp;VAR:KEY=DUPETUHELY&amp;VAR:QUERY=RkZfUlRfU0ZfVE9UX0dST1NTKFFUUiwtMTEp&amp;WINDOW=FIRST_POPUP&amp;HEIGHT=450&amp;WIDTH=450&amp;START_MA","XIMIZED=FALSE&amp;VAR:CALENDAR=US&amp;VAR:SYMBOL=DBRN&amp;VAR:INDEX=0"}</definedName>
    <definedName name="_277__FDSAUDITLINK__" hidden="1">{"fdsup://Directions/FactSet Auditing Viewer?action=AUDIT_VALUE&amp;DB=129&amp;ID1=00289620&amp;VALUEID=02101&amp;SDATE=200701&amp;PERIODTYPE=QTR_STD&amp;window=popup_no_bar&amp;width=385&amp;height=120&amp;START_MAXIMIZED=FALSE&amp;creator=factset&amp;display_string=Audit"}</definedName>
    <definedName name="_2770__FDSAUDITLINK__" hidden="1">{"fdsup://directions/FAT Viewer?action=UPDATE&amp;creator=factset&amp;DYN_ARGS=TRUE&amp;DOC_NAME=FAT:FQL_AUDITING_CLIENT_TEMPLATE.FAT&amp;display_string=Audit&amp;VAR:KEY=NSVOPELSHM&amp;VAR:QUERY=RkZfUlRfU0ZfVE9UX0dST1NTKFFUUiwtMTAp&amp;WINDOW=FIRST_POPUP&amp;HEIGHT=450&amp;WIDTH=450&amp;START_MA","XIMIZED=FALSE&amp;VAR:CALENDAR=US&amp;VAR:SYMBOL=DBRN&amp;VAR:INDEX=0"}</definedName>
    <definedName name="_2771__FDSAUDITLINK__" hidden="1">{"fdsup://directions/FAT Viewer?action=UPDATE&amp;creator=factset&amp;DYN_ARGS=TRUE&amp;DOC_NAME=FAT:FQL_AUDITING_CLIENT_TEMPLATE.FAT&amp;display_string=Audit&amp;VAR:KEY=LUJMZERCNC&amp;VAR:QUERY=RkZfUlRfU0ZfVE9UX0dST1NTKFFUUiwtOSk=&amp;WINDOW=FIRST_POPUP&amp;HEIGHT=450&amp;WIDTH=450&amp;START_MA","XIMIZED=FALSE&amp;VAR:CALENDAR=US&amp;VAR:SYMBOL=DBRN&amp;VAR:INDEX=0"}</definedName>
    <definedName name="_2772__FDSAUDITLINK__" hidden="1">{"fdsup://directions/FAT Viewer?action=UPDATE&amp;creator=factset&amp;DYN_ARGS=TRUE&amp;DOC_NAME=FAT:FQL_AUDITING_CLIENT_TEMPLATE.FAT&amp;display_string=Audit&amp;VAR:KEY=TMDOHSFIJW&amp;VAR:QUERY=RkZfUlRfU0ZfVE9UX0dST1NTKFFUUiwtOCk=&amp;WINDOW=FIRST_POPUP&amp;HEIGHT=450&amp;WIDTH=450&amp;START_MA","XIMIZED=FALSE&amp;VAR:CALENDAR=US&amp;VAR:SYMBOL=DBRN&amp;VAR:INDEX=0"}</definedName>
    <definedName name="_2773__FDSAUDITLINK__" hidden="1">{"fdsup://directions/FAT Viewer?action=UPDATE&amp;creator=factset&amp;DYN_ARGS=TRUE&amp;DOC_NAME=FAT:FQL_AUDITING_CLIENT_TEMPLATE.FAT&amp;display_string=Audit&amp;VAR:KEY=HYDSPKZIXU&amp;VAR:QUERY=RkZfUlRfU0ZfVE9UX0dST1NTKFFUUiwtNyk=&amp;WINDOW=FIRST_POPUP&amp;HEIGHT=450&amp;WIDTH=450&amp;START_MA","XIMIZED=FALSE&amp;VAR:CALENDAR=US&amp;VAR:SYMBOL=DBRN&amp;VAR:INDEX=0"}</definedName>
    <definedName name="_2774__FDSAUDITLINK__" hidden="1">{"fdsup://directions/FAT Viewer?action=UPDATE&amp;creator=factset&amp;DYN_ARGS=TRUE&amp;DOC_NAME=FAT:FQL_AUDITING_CLIENT_TEMPLATE.FAT&amp;display_string=Audit&amp;VAR:KEY=DUDYFUJIHE&amp;VAR:QUERY=RkZfUlRfU0ZfVE9UX0dST1NTKFFUUiwtNik=&amp;WINDOW=FIRST_POPUP&amp;HEIGHT=450&amp;WIDTH=450&amp;START_MA","XIMIZED=FALSE&amp;VAR:CALENDAR=US&amp;VAR:SYMBOL=DBRN&amp;VAR:INDEX=0"}</definedName>
    <definedName name="_2775__FDSAUDITLINK__" hidden="1">{"fdsup://directions/FAT Viewer?action=UPDATE&amp;creator=factset&amp;DYN_ARGS=TRUE&amp;DOC_NAME=FAT:FQL_AUDITING_CLIENT_TEMPLATE.FAT&amp;display_string=Audit&amp;VAR:KEY=BMXMBQZYBW&amp;VAR:QUERY=RkZfUlRfU0ZfVE9UX0dST1NTKFFUUiwtNSk=&amp;WINDOW=FIRST_POPUP&amp;HEIGHT=450&amp;WIDTH=450&amp;START_MA","XIMIZED=FALSE&amp;VAR:CALENDAR=US&amp;VAR:SYMBOL=DBRN&amp;VAR:INDEX=0"}</definedName>
    <definedName name="_2776__FDSAUDITLINK__" hidden="1">{"fdsup://directions/FAT Viewer?action=UPDATE&amp;creator=factset&amp;DYN_ARGS=TRUE&amp;DOC_NAME=FAT:FQL_AUDITING_CLIENT_TEMPLATE.FAT&amp;display_string=Audit&amp;VAR:KEY=FMXGVCLQVA&amp;VAR:QUERY=RkZfUlRfU0ZfVE9UX0dST1NTKFFUUiwtNCk=&amp;WINDOW=FIRST_POPUP&amp;HEIGHT=450&amp;WIDTH=450&amp;START_MA","XIMIZED=FALSE&amp;VAR:CALENDAR=US&amp;VAR:SYMBOL=DBRN&amp;VAR:INDEX=0"}</definedName>
    <definedName name="_2777__FDSAUDITLINK__" hidden="1">{"fdsup://directions/FAT Viewer?action=UPDATE&amp;creator=factset&amp;DYN_ARGS=TRUE&amp;DOC_NAME=FAT:FQL_AUDITING_CLIENT_TEMPLATE.FAT&amp;display_string=Audit&amp;VAR:KEY=JKNULCRGRS&amp;VAR:QUERY=RkZfUlRfU0ZfVE9UX0dST1NTKFFUUiwtMyk=&amp;WINDOW=FIRST_POPUP&amp;HEIGHT=450&amp;WIDTH=450&amp;START_MA","XIMIZED=FALSE&amp;VAR:CALENDAR=US&amp;VAR:SYMBOL=DBRN&amp;VAR:INDEX=0"}</definedName>
    <definedName name="_2778__FDSAUDITLINK__" hidden="1">{"fdsup://directions/FAT Viewer?action=UPDATE&amp;creator=factset&amp;DYN_ARGS=TRUE&amp;DOC_NAME=FAT:FQL_AUDITING_CLIENT_TEMPLATE.FAT&amp;display_string=Audit&amp;VAR:KEY=TIRMXCDUPO&amp;VAR:QUERY=RkZfUlRfU0ZfVE9UX0dST1NTKFFUUiwtMik=&amp;WINDOW=FIRST_POPUP&amp;HEIGHT=450&amp;WIDTH=450&amp;START_MA","XIMIZED=FALSE&amp;VAR:CALENDAR=US&amp;VAR:SYMBOL=DBRN&amp;VAR:INDEX=0"}</definedName>
    <definedName name="_2779__FDSAUDITLINK__" hidden="1">{"fdsup://directions/FAT Viewer?action=UPDATE&amp;creator=factset&amp;DYN_ARGS=TRUE&amp;DOC_NAME=FAT:FQL_AUDITING_CLIENT_TEMPLATE.FAT&amp;display_string=Audit&amp;VAR:KEY=XMFIZGVCXS&amp;VAR:QUERY=RkZfUlRfU0ZfVE9UX0dST1NTKFFUUiwtMSk=&amp;WINDOW=FIRST_POPUP&amp;HEIGHT=450&amp;WIDTH=450&amp;START_MA","XIMIZED=FALSE&amp;VAR:CALENDAR=US&amp;VAR:SYMBOL=DBRN&amp;VAR:INDEX=0"}</definedName>
    <definedName name="_278__FDSAUDITLINK__" hidden="1">{"fdsup://Directions/FactSet Auditing Viewer?action=AUDIT_VALUE&amp;DB=129&amp;ID1=00289620&amp;VALUEID=01001&amp;SDATE=200701&amp;PERIODTYPE=QTR_STD&amp;window=popup_no_bar&amp;width=385&amp;height=120&amp;START_MAXIMIZED=FALSE&amp;creator=factset&amp;display_string=Audit"}</definedName>
    <definedName name="_2780__FDSAUDITLINK__" hidden="1">{"fdsup://directions/FAT Viewer?action=UPDATE&amp;creator=factset&amp;DYN_ARGS=TRUE&amp;DOC_NAME=FAT:FQL_AUDITING_CLIENT_TEMPLATE.FAT&amp;display_string=Audit&amp;VAR:KEY=FCXIFIFAHG&amp;VAR:QUERY=RkZfUlRfU0ZfVE9UX0dST1NTKFFUUiwwKQ==&amp;WINDOW=FIRST_POPUP&amp;HEIGHT=450&amp;WIDTH=450&amp;START_MA","XIMIZED=FALSE&amp;VAR:CALENDAR=US&amp;VAR:SYMBOL=DBRN&amp;VAR:INDEX=0"}</definedName>
    <definedName name="_2781__FDSAUDITLINK__" hidden="1">{"fdsup://directions/FAT Viewer?action=UPDATE&amp;creator=factset&amp;DYN_ARGS=TRUE&amp;DOC_NAME=FAT:FQL_AUDITING_CLIENT_TEMPLATE.FAT&amp;display_string=Audit&amp;VAR:KEY=FCXIFIFAHG&amp;VAR:QUERY=RkZfUlRfU0ZfVE9UX0dST1NTKFFUUiwwKQ==&amp;WINDOW=FIRST_POPUP&amp;HEIGHT=450&amp;WIDTH=450&amp;START_MA","XIMIZED=FALSE&amp;VAR:CALENDAR=US&amp;VAR:SYMBOL=DBRN&amp;VAR:INDEX=0"}</definedName>
    <definedName name="_2782__FDSAUDITLINK__" hidden="1">{"fdsup://directions/FAT Viewer?action=UPDATE&amp;creator=factset&amp;DYN_ARGS=TRUE&amp;DOC_NAME=FAT:FQL_AUDITING_CLIENT_TEMPLATE.FAT&amp;display_string=Audit&amp;VAR:KEY=XMFIZGVCXS&amp;VAR:QUERY=RkZfUlRfU0ZfVE9UX0dST1NTKFFUUiwtMSk=&amp;WINDOW=FIRST_POPUP&amp;HEIGHT=450&amp;WIDTH=450&amp;START_MA","XIMIZED=FALSE&amp;VAR:CALENDAR=US&amp;VAR:SYMBOL=DBRN&amp;VAR:INDEX=0"}</definedName>
    <definedName name="_2783__FDSAUDITLINK__" hidden="1">{"fdsup://directions/FAT Viewer?action=UPDATE&amp;creator=factset&amp;DYN_ARGS=TRUE&amp;DOC_NAME=FAT:FQL_AUDITING_CLIENT_TEMPLATE.FAT&amp;display_string=Audit&amp;VAR:KEY=TIRMXCDUPO&amp;VAR:QUERY=RkZfUlRfU0ZfVE9UX0dST1NTKFFUUiwtMik=&amp;WINDOW=FIRST_POPUP&amp;HEIGHT=450&amp;WIDTH=450&amp;START_MA","XIMIZED=FALSE&amp;VAR:CALENDAR=US&amp;VAR:SYMBOL=DBRN&amp;VAR:INDEX=0"}</definedName>
    <definedName name="_279__FDSAUDITLINK__" hidden="1">{"fdsup://Directions/FactSet Auditing Viewer?action=AUDIT_VALUE&amp;DB=129&amp;ID1=00289620&amp;VALUEID=13040&amp;SDATE=200701&amp;PERIODTYPE=QTR_STD&amp;window=popup_no_bar&amp;width=385&amp;height=120&amp;START_MAXIMIZED=FALSE&amp;creator=factset&amp;display_string=Audit"}</definedName>
    <definedName name="_28__FDSAUDITLINK__" hidden="1">{"fdsup://Directions/FactSet Auditing Viewer?action=AUDIT_VALUE&amp;DB=129&amp;ID1=02553E10&amp;VALUEID=01001&amp;SDATE=200904&amp;PERIODTYPE=QTR_STD&amp;window=popup_no_bar&amp;width=385&amp;height=120&amp;START_MAXIMIZED=FALSE&amp;creator=factset&amp;display_string=Audit"}</definedName>
    <definedName name="_280__FDSAUDITLINK__" hidden="1">{"fdsup://Directions/FactSet Auditing Viewer?action=AUDIT_VALUE&amp;DB=129&amp;ID1=87416110&amp;VALUEID=01001&amp;SDATE=200604&amp;PERIODTYPE=QTR_STD&amp;window=popup_no_bar&amp;width=385&amp;height=120&amp;START_MAXIMIZED=FALSE&amp;creator=factset&amp;display_string=Audit"}</definedName>
    <definedName name="_281__FDSAUDITLINK__" hidden="1">{"fdsup://Directions/FactSet Auditing Viewer?action=AUDIT_VALUE&amp;DB=129&amp;ID1=46612H40&amp;VALUEID=01001&amp;SDATE=200604&amp;PERIODTYPE=QTR_STD&amp;window=popup_no_bar&amp;width=385&amp;height=120&amp;START_MAXIMIZED=FALSE&amp;creator=factset&amp;display_string=Audit"}</definedName>
    <definedName name="_282__FDSAUDITLINK__" hidden="1">{"fdsup://Directions/FactSet Auditing Viewer?action=AUDIT_VALUE&amp;DB=129&amp;ID1=36476010&amp;VALUEID=01001&amp;SDATE=200604&amp;PERIODTYPE=QTR_STD&amp;window=popup_no_bar&amp;width=385&amp;height=120&amp;START_MAXIMIZED=FALSE&amp;creator=factset&amp;display_string=Audit"}</definedName>
    <definedName name="_283__FDSAUDITLINK__" hidden="1">{"fdsup://Directions/FactSet Auditing Viewer?action=AUDIT_VALUE&amp;DB=129&amp;ID1=03611510&amp;VALUEID=01001&amp;SDATE=200604&amp;PERIODTYPE=QTR_STD&amp;window=popup_no_bar&amp;width=385&amp;height=120&amp;START_MAXIMIZED=FALSE&amp;creator=factset&amp;display_string=Audit"}</definedName>
    <definedName name="_284__FDSAUDITLINK__" hidden="1">{"fdsup://Directions/FactSet Auditing Viewer?action=AUDIT_VALUE&amp;DB=129&amp;ID1=16890510&amp;VALUEID=01001&amp;SDATE=200604&amp;PERIODTYPE=QTR_STD&amp;window=popup_no_bar&amp;width=385&amp;height=120&amp;START_MAXIMIZED=FALSE&amp;creator=factset&amp;display_string=Audit"}</definedName>
    <definedName name="_285__FDSAUDITLINK__" hidden="1">{"fdsup://directions/FAT Viewer?action=UPDATE&amp;creator=factset&amp;DYN_ARGS=TRUE&amp;DOC_NAME=FAT:FQL_AUDITING_CLIENT_TEMPLATE.FAT&amp;display_string=Audit&amp;VAR:KEY=BONMBKFGLQ&amp;VAR:QUERY=RkZfUlRfU0ZfVE9UX0dST1NTKFFUUiwtMTMp&amp;WINDOW=FIRST_POPUP&amp;HEIGHT=450&amp;WIDTH=450&amp;START_MA","XIMIZED=FALSE&amp;VAR:CALENDAR=US&amp;VAR:SYMBOL=AEO&amp;VAR:INDEX=0"}</definedName>
    <definedName name="_286__FDSAUDITLINK__" hidden="1">{"fdsup://Directions/FactSet Auditing Viewer?action=AUDIT_VALUE&amp;DB=129&amp;ID1=00786510&amp;VALUEID=01001&amp;SDATE=200604&amp;PERIODTYPE=QTR_STD&amp;window=popup_no_bar&amp;width=385&amp;height=120&amp;START_MAXIMIZED=FALSE&amp;creator=factset&amp;display_string=Audit"}</definedName>
    <definedName name="_287__FDSAUDITLINK__" hidden="1">{"fdsup://Directions/FactSet Auditing Viewer?action=AUDIT_VALUE&amp;DB=129&amp;ID1=87416110&amp;VALUEID=02101&amp;SDATE=200603&amp;PERIODTYPE=QTR_STD&amp;window=popup_no_bar&amp;width=385&amp;height=120&amp;START_MAXIMIZED=FALSE&amp;creator=factset&amp;display_string=Audit"}</definedName>
    <definedName name="_288__FDSAUDITLINK__" hidden="1">{"fdsup://Directions/FactSet Auditing Viewer?action=AUDIT_VALUE&amp;DB=129&amp;ID1=87416110&amp;VALUEID=01001&amp;SDATE=200603&amp;PERIODTYPE=QTR_STD&amp;window=popup_no_bar&amp;width=385&amp;height=120&amp;START_MAXIMIZED=FALSE&amp;creator=factset&amp;display_string=Audit"}</definedName>
    <definedName name="_289__FDSAUDITLINK__" hidden="1">{"fdsup://Directions/FactSet Auditing Viewer?action=AUDIT_VALUE&amp;DB=129&amp;ID1=53271610&amp;VALUEID=02101&amp;SDATE=200603&amp;PERIODTYPE=QTR_STD&amp;window=popup_no_bar&amp;width=385&amp;height=120&amp;START_MAXIMIZED=FALSE&amp;creator=factset&amp;display_string=Audit"}</definedName>
    <definedName name="_29__FDSAUDITLINK__" hidden="1">{"fdsup://Directions/FactSet Auditing Viewer?action=AUDIT_VALUE&amp;DB=129&amp;ID1=00786510&amp;VALUEID=01001&amp;SDATE=200904&amp;PERIODTYPE=QTR_STD&amp;window=popup_no_bar&amp;width=385&amp;height=120&amp;START_MAXIMIZED=FALSE&amp;creator=factset&amp;display_string=Audit"}</definedName>
    <definedName name="_290__FDSAUDITLINK__" hidden="1">{"fdsup://Directions/FactSet Auditing Viewer?action=AUDIT_VALUE&amp;DB=129&amp;ID1=53271610&amp;VALUEID=01001&amp;SDATE=200603&amp;PERIODTYPE=QTR_STD&amp;window=popup_no_bar&amp;width=385&amp;height=120&amp;START_MAXIMIZED=FALSE&amp;creator=factset&amp;display_string=Audit"}</definedName>
    <definedName name="_291__FDSAUDITLINK__" hidden="1">{"fdsup://Directions/FactSet Auditing Viewer?action=AUDIT_VALUE&amp;DB=129&amp;ID1=53271610&amp;VALUEID=13040&amp;SDATE=200603&amp;PERIODTYPE=QTR_STD&amp;window=popup_no_bar&amp;width=385&amp;height=120&amp;START_MAXIMIZED=FALSE&amp;creator=factset&amp;display_string=Audit"}</definedName>
    <definedName name="_292__FDSAUDITLINK__" hidden="1">{"fdsup://Directions/FactSet Auditing Viewer?action=AUDIT_VALUE&amp;DB=129&amp;ID1=46612H40&amp;VALUEID=02101&amp;SDATE=200603&amp;PERIODTYPE=QTR_STD&amp;window=popup_no_bar&amp;width=385&amp;height=120&amp;START_MAXIMIZED=FALSE&amp;creator=factset&amp;display_string=Audit"}</definedName>
    <definedName name="_293__FDSAUDITLINK__" hidden="1">{"fdsup://Directions/FactSet Auditing Viewer?action=AUDIT_VALUE&amp;DB=129&amp;ID1=46612H40&amp;VALUEID=01001&amp;SDATE=200603&amp;PERIODTYPE=QTR_STD&amp;window=popup_no_bar&amp;width=385&amp;height=120&amp;START_MAXIMIZED=FALSE&amp;creator=factset&amp;display_string=Audit"}</definedName>
    <definedName name="_294__FDSAUDITLINK__" hidden="1">{"fdsup://Directions/FactSet Auditing Viewer?action=AUDIT_VALUE&amp;DB=129&amp;ID1=46612H40&amp;VALUEID=13040&amp;SDATE=200603&amp;PERIODTYPE=QTR_STD&amp;window=popup_no_bar&amp;width=385&amp;height=120&amp;START_MAXIMIZED=FALSE&amp;creator=factset&amp;display_string=Audit"}</definedName>
    <definedName name="_295__FDSAUDITLINK__" hidden="1">{"fdsup://Directions/FactSet Auditing Viewer?action=AUDIT_VALUE&amp;DB=129&amp;ID1=36476010&amp;VALUEID=02101&amp;SDATE=200603&amp;PERIODTYPE=QTR_STD&amp;window=popup_no_bar&amp;width=385&amp;height=120&amp;START_MAXIMIZED=FALSE&amp;creator=factset&amp;display_string=Audit"}</definedName>
    <definedName name="_296__FDSAUDITLINK__" hidden="1">{"fdsup://Directions/FactSet Auditing Viewer?action=AUDIT_VALUE&amp;DB=129&amp;ID1=36476010&amp;VALUEID=01001&amp;SDATE=200603&amp;PERIODTYPE=QTR_STD&amp;window=popup_no_bar&amp;width=385&amp;height=120&amp;START_MAXIMIZED=FALSE&amp;creator=factset&amp;display_string=Audit"}</definedName>
    <definedName name="_297__FDSAUDITLINK__" hidden="1">{"fdsup://Directions/FactSet Auditing Viewer?action=AUDIT_VALUE&amp;DB=129&amp;ID1=36476010&amp;VALUEID=13040&amp;SDATE=200603&amp;PERIODTYPE=QTR_STD&amp;window=popup_no_bar&amp;width=385&amp;height=120&amp;START_MAXIMIZED=FALSE&amp;creator=factset&amp;display_string=Audit"}</definedName>
    <definedName name="_298__FDSAUDITLINK__" hidden="1">{"fdsup://Directions/FactSet Auditing Viewer?action=AUDIT_VALUE&amp;DB=129&amp;ID1=03611510&amp;VALUEID=02101&amp;SDATE=200603&amp;PERIODTYPE=QTR_STD&amp;window=popup_no_bar&amp;width=385&amp;height=120&amp;START_MAXIMIZED=FALSE&amp;creator=factset&amp;display_string=Audit"}</definedName>
    <definedName name="_299__FDSAUDITLINK__" hidden="1">{"fdsup://Directions/FactSet Auditing Viewer?action=AUDIT_VALUE&amp;DB=129&amp;ID1=03611510&amp;VALUEID=01001&amp;SDATE=200603&amp;PERIODTYPE=QTR_STD&amp;window=popup_no_bar&amp;width=385&amp;height=120&amp;START_MAXIMIZED=FALSE&amp;creator=factset&amp;display_string=Audit"}</definedName>
    <definedName name="_3__FDSAUDITLINK__" hidden="1">{"fdsup://directions/FAT Viewer?action=UPDATE&amp;creator=factset&amp;DYN_ARGS=TRUE&amp;DOC_NAME=FAT:FQL_AUDITING_CLIENT_TEMPLATE.FAT&amp;display_string=Audit&amp;VAR:KEY=FSTUHMJIBA&amp;VAR:QUERY=RkZfUlRfU0ZfVE9UX0dST1NTKFFUUiwwKQ==&amp;WINDOW=FIRST_POPUP&amp;HEIGHT=450&amp;WIDTH=450&amp;START_MA","XIMIZED=FALSE&amp;VAR:CALENDAR=US&amp;VAR:SYMBOL=TLB&amp;VAR:INDEX=0"}</definedName>
    <definedName name="_30__FDSAUDITLINK__" hidden="1">{"fdsup://Directions/FactSet Auditing Viewer?action=AUDIT_VALUE&amp;DB=129&amp;ID1=87416110&amp;VALUEID=02101&amp;SDATE=200903&amp;PERIODTYPE=QTR_STD&amp;window=popup_no_bar&amp;width=385&amp;height=120&amp;START_MAXIMIZED=FALSE&amp;creator=factset&amp;display_string=Audit"}</definedName>
    <definedName name="_300__FDSAUDITLINK__" hidden="1">{"fdsup://Directions/FactSet Auditing Viewer?action=AUDIT_VALUE&amp;DB=129&amp;ID1=03611510&amp;VALUEID=13040&amp;SDATE=200603&amp;PERIODTYPE=QTR_STD&amp;window=popup_no_bar&amp;width=385&amp;height=120&amp;START_MAXIMIZED=FALSE&amp;creator=factset&amp;display_string=Audit"}</definedName>
    <definedName name="_301__FDSAUDITLINK__" hidden="1">{"fdsup://Directions/FactSet Auditing Viewer?action=AUDIT_VALUE&amp;DB=129&amp;ID1=16890510&amp;VALUEID=02101&amp;SDATE=200603&amp;PERIODTYPE=QTR_STD&amp;window=popup_no_bar&amp;width=385&amp;height=120&amp;START_MAXIMIZED=FALSE&amp;creator=factset&amp;display_string=Audit"}</definedName>
    <definedName name="_302__FDSAUDITLINK__" hidden="1">{"fdsup://Directions/FactSet Auditing Viewer?action=AUDIT_VALUE&amp;DB=129&amp;ID1=16890510&amp;VALUEID=01001&amp;SDATE=200603&amp;PERIODTYPE=QTR_STD&amp;window=popup_no_bar&amp;width=385&amp;height=120&amp;START_MAXIMIZED=FALSE&amp;creator=factset&amp;display_string=Audit"}</definedName>
    <definedName name="_303__FDSAUDITLINK__" hidden="1">{"fdsup://Directions/FactSet Auditing Viewer?action=AUDIT_VALUE&amp;DB=129&amp;ID1=91704710&amp;VALUEID=02101&amp;SDATE=200603&amp;PERIODTYPE=QTR_STD&amp;window=popup_no_bar&amp;width=385&amp;height=120&amp;START_MAXIMIZED=FALSE&amp;creator=factset&amp;display_string=Audit"}</definedName>
    <definedName name="_304__FDSAUDITLINK__" hidden="1">{"fdsup://Directions/FactSet Auditing Viewer?action=AUDIT_VALUE&amp;DB=129&amp;ID1=91704710&amp;VALUEID=01001&amp;SDATE=200603&amp;PERIODTYPE=QTR_STD&amp;window=popup_no_bar&amp;width=385&amp;height=120&amp;START_MAXIMIZED=FALSE&amp;creator=factset&amp;display_string=Audit"}</definedName>
    <definedName name="_305__FDSAUDITLINK__" hidden="1">{"fdsup://Directions/FactSet Auditing Viewer?action=AUDIT_VALUE&amp;DB=129&amp;ID1=91704710&amp;VALUEID=13040&amp;SDATE=200603&amp;PERIODTYPE=QTR_STD&amp;window=popup_no_bar&amp;width=385&amp;height=120&amp;START_MAXIMIZED=FALSE&amp;creator=factset&amp;display_string=Audit"}</definedName>
    <definedName name="_306__FDSAUDITLINK__" hidden="1">{"fdsup://directions/FAT Viewer?action=UPDATE&amp;creator=factset&amp;DYN_ARGS=TRUE&amp;DOC_NAME=FAT:FQL_AUDITING_CLIENT_TEMPLATE.FAT&amp;display_string=Audit&amp;VAR:KEY=NGXYHSLMBY&amp;VAR:QUERY=RkZfUlRfU0ZfVE9UX0dST1NTKFFUUiwtMTQp&amp;WINDOW=FIRST_POPUP&amp;HEIGHT=450&amp;WIDTH=450&amp;START_MA","XIMIZED=FALSE&amp;VAR:CALENDAR=US&amp;VAR:SYMBOL=AEO&amp;VAR:INDEX=0"}</definedName>
    <definedName name="_307__FDSAUDITLINK__" hidden="1">{"fdsup://Directions/FactSet Auditing Viewer?action=AUDIT_VALUE&amp;DB=129&amp;ID1=00786510&amp;VALUEID=02101&amp;SDATE=200603&amp;PERIODTYPE=QTR_STD&amp;window=popup_no_bar&amp;width=385&amp;height=120&amp;START_MAXIMIZED=FALSE&amp;creator=factset&amp;display_string=Audit"}</definedName>
    <definedName name="_308__FDSAUDITLINK__" hidden="1">{"fdsup://Directions/FactSet Auditing Viewer?action=AUDIT_VALUE&amp;DB=129&amp;ID1=00786510&amp;VALUEID=01001&amp;SDATE=200603&amp;PERIODTYPE=QTR_STD&amp;window=popup_no_bar&amp;width=385&amp;height=120&amp;START_MAXIMIZED=FALSE&amp;creator=factset&amp;display_string=Audit"}</definedName>
    <definedName name="_309__FDSAUDITLINK__" hidden="1">{"fdsup://Directions/FactSet Auditing Viewer?action=AUDIT_VALUE&amp;DB=129&amp;ID1=00786510&amp;VALUEID=13040&amp;SDATE=200603&amp;PERIODTYPE=QTR_STD&amp;window=popup_no_bar&amp;width=385&amp;height=120&amp;START_MAXIMIZED=FALSE&amp;creator=factset&amp;display_string=Audit"}</definedName>
    <definedName name="_31__FDSAUDITLINK__" hidden="1">{"fdsup://Directions/FactSet Auditing Viewer?action=AUDIT_VALUE&amp;DB=129&amp;ID1=87416110&amp;VALUEID=01001&amp;SDATE=200903&amp;PERIODTYPE=QTR_STD&amp;window=popup_no_bar&amp;width=385&amp;height=120&amp;START_MAXIMIZED=FALSE&amp;creator=factset&amp;display_string=Audit"}</definedName>
    <definedName name="_310__FDSAUDITLINK__" hidden="1">{"fdsup://Directions/FactSet Auditing Viewer?action=AUDIT_VALUE&amp;DB=129&amp;ID1=00289620&amp;VALUEID=02101&amp;SDATE=200603&amp;PERIODTYPE=QTR_STD&amp;window=popup_no_bar&amp;width=385&amp;height=120&amp;START_MAXIMIZED=FALSE&amp;creator=factset&amp;display_string=Audit"}</definedName>
    <definedName name="_311__FDSAUDITLINK__" hidden="1">{"fdsup://Directions/FactSet Auditing Viewer?action=AUDIT_VALUE&amp;DB=129&amp;ID1=00289620&amp;VALUEID=01001&amp;SDATE=200603&amp;PERIODTYPE=QTR_STD&amp;window=popup_no_bar&amp;width=385&amp;height=120&amp;START_MAXIMIZED=FALSE&amp;creator=factset&amp;display_string=Audit"}</definedName>
    <definedName name="_312__FDSAUDITLINK__" hidden="1">{"fdsup://Directions/FactSet Auditing Viewer?action=AUDIT_VALUE&amp;DB=129&amp;ID1=00289620&amp;VALUEID=13040&amp;SDATE=200603&amp;PERIODTYPE=QTR_STD&amp;window=popup_no_bar&amp;width=385&amp;height=120&amp;START_MAXIMIZED=FALSE&amp;creator=factset&amp;display_string=Audit"}</definedName>
    <definedName name="_313__FDSAUDITLINK__" hidden="1">{"fdsup://Directions/FactSet Auditing Viewer?action=AUDIT_VALUE&amp;DB=129&amp;ID1=87416110&amp;VALUEID=02101&amp;SDATE=200602&amp;PERIODTYPE=QTR_STD&amp;window=popup_no_bar&amp;width=385&amp;height=120&amp;START_MAXIMIZED=FALSE&amp;creator=factset&amp;display_string=Audit"}</definedName>
    <definedName name="_314__FDSAUDITLINK__" hidden="1">{"fdsup://Directions/FactSet Auditing Viewer?action=AUDIT_VALUE&amp;DB=129&amp;ID1=87416110&amp;VALUEID=01001&amp;SDATE=200602&amp;PERIODTYPE=QTR_STD&amp;window=popup_no_bar&amp;width=385&amp;height=120&amp;START_MAXIMIZED=FALSE&amp;creator=factset&amp;display_string=Audit"}</definedName>
    <definedName name="_315__FDSAUDITLINK__" hidden="1">{"fdsup://Directions/FactSet Auditing Viewer?action=AUDIT_VALUE&amp;DB=129&amp;ID1=53271610&amp;VALUEID=02101&amp;SDATE=200602&amp;PERIODTYPE=QTR_STD&amp;window=popup_no_bar&amp;width=385&amp;height=120&amp;START_MAXIMIZED=FALSE&amp;creator=factset&amp;display_string=Audit"}</definedName>
    <definedName name="_316__FDSAUDITLINK__" hidden="1">{"fdsup://Directions/FactSet Auditing Viewer?action=AUDIT_VALUE&amp;DB=129&amp;ID1=53271610&amp;VALUEID=01001&amp;SDATE=200602&amp;PERIODTYPE=QTR_STD&amp;window=popup_no_bar&amp;width=385&amp;height=120&amp;START_MAXIMIZED=FALSE&amp;creator=factset&amp;display_string=Audit"}</definedName>
    <definedName name="_317__FDSAUDITLINK__" hidden="1">{"fdsup://Directions/FactSet Auditing Viewer?action=AUDIT_VALUE&amp;DB=129&amp;ID1=53271610&amp;VALUEID=13040&amp;SDATE=200602&amp;PERIODTYPE=QTR_STD&amp;window=popup_no_bar&amp;width=385&amp;height=120&amp;START_MAXIMIZED=FALSE&amp;creator=factset&amp;display_string=Audit"}</definedName>
    <definedName name="_318__FDSAUDITLINK__" hidden="1">{"fdsup://Directions/FactSet Auditing Viewer?action=AUDIT_VALUE&amp;DB=129&amp;ID1=46612H40&amp;VALUEID=02101&amp;SDATE=200602&amp;PERIODTYPE=QTR_STD&amp;window=popup_no_bar&amp;width=385&amp;height=120&amp;START_MAXIMIZED=FALSE&amp;creator=factset&amp;display_string=Audit"}</definedName>
    <definedName name="_319__FDSAUDITLINK__" hidden="1">{"fdsup://Directions/FactSet Auditing Viewer?action=AUDIT_VALUE&amp;DB=129&amp;ID1=46612H40&amp;VALUEID=01001&amp;SDATE=200602&amp;PERIODTYPE=QTR_STD&amp;window=popup_no_bar&amp;width=385&amp;height=120&amp;START_MAXIMIZED=FALSE&amp;creator=factset&amp;display_string=Audit"}</definedName>
    <definedName name="_32__FDSAUDITLINK__" hidden="1">{"fdsup://Directions/FactSet Auditing Viewer?action=AUDIT_VALUE&amp;DB=129&amp;ID1=87416110&amp;VALUEID=13040&amp;SDATE=200903&amp;PERIODTYPE=QTR_STD&amp;window=popup_no_bar&amp;width=385&amp;height=120&amp;START_MAXIMIZED=FALSE&amp;creator=factset&amp;display_string=Audit"}</definedName>
    <definedName name="_320__FDSAUDITLINK__" hidden="1">{"fdsup://Directions/FactSet Auditing Viewer?action=AUDIT_VALUE&amp;DB=129&amp;ID1=46612H40&amp;VALUEID=13040&amp;SDATE=200602&amp;PERIODTYPE=QTR_STD&amp;window=popup_no_bar&amp;width=385&amp;height=120&amp;START_MAXIMIZED=FALSE&amp;creator=factset&amp;display_string=Audit"}</definedName>
    <definedName name="_321__FDSAUDITLINK__" hidden="1">{"fdsup://Directions/FactSet Auditing Viewer?action=AUDIT_VALUE&amp;DB=129&amp;ID1=36476010&amp;VALUEID=02101&amp;SDATE=200602&amp;PERIODTYPE=QTR_STD&amp;window=popup_no_bar&amp;width=385&amp;height=120&amp;START_MAXIMIZED=FALSE&amp;creator=factset&amp;display_string=Audit"}</definedName>
    <definedName name="_322__FDSAUDITLINK__" hidden="1">{"fdsup://Directions/FactSet Auditing Viewer?action=AUDIT_VALUE&amp;DB=129&amp;ID1=36476010&amp;VALUEID=01001&amp;SDATE=200602&amp;PERIODTYPE=QTR_STD&amp;window=popup_no_bar&amp;width=385&amp;height=120&amp;START_MAXIMIZED=FALSE&amp;creator=factset&amp;display_string=Audit"}</definedName>
    <definedName name="_323__FDSAUDITLINK__" hidden="1">{"fdsup://Directions/FactSet Auditing Viewer?action=AUDIT_VALUE&amp;DB=129&amp;ID1=36476010&amp;VALUEID=13040&amp;SDATE=200602&amp;PERIODTYPE=QTR_STD&amp;window=popup_no_bar&amp;width=385&amp;height=120&amp;START_MAXIMIZED=FALSE&amp;creator=factset&amp;display_string=Audit"}</definedName>
    <definedName name="_324__FDSAUDITLINK__" hidden="1">{"fdsup://Directions/FactSet Auditing Viewer?action=AUDIT_VALUE&amp;DB=129&amp;ID1=03611510&amp;VALUEID=02101&amp;SDATE=200602&amp;PERIODTYPE=QTR_STD&amp;window=popup_no_bar&amp;width=385&amp;height=120&amp;START_MAXIMIZED=FALSE&amp;creator=factset&amp;display_string=Audit"}</definedName>
    <definedName name="_325__FDSAUDITLINK__" hidden="1">{"fdsup://Directions/FactSet Auditing Viewer?action=AUDIT_VALUE&amp;DB=129&amp;ID1=03611510&amp;VALUEID=01001&amp;SDATE=200602&amp;PERIODTYPE=QTR_STD&amp;window=popup_no_bar&amp;width=385&amp;height=120&amp;START_MAXIMIZED=FALSE&amp;creator=factset&amp;display_string=Audit"}</definedName>
    <definedName name="_326__FDSAUDITLINK__" hidden="1">{"fdsup://Directions/FactSet Auditing Viewer?action=AUDIT_VALUE&amp;DB=129&amp;ID1=03611510&amp;VALUEID=13040&amp;SDATE=200602&amp;PERIODTYPE=QTR_STD&amp;window=popup_no_bar&amp;width=385&amp;height=120&amp;START_MAXIMIZED=FALSE&amp;creator=factset&amp;display_string=Audit"}</definedName>
    <definedName name="_327__FDSAUDITLINK__" hidden="1">{"fdsup://Directions/FactSet Auditing Viewer?action=AUDIT_VALUE&amp;DB=129&amp;ID1=16890510&amp;VALUEID=02101&amp;SDATE=200602&amp;PERIODTYPE=QTR_STD&amp;window=popup_no_bar&amp;width=385&amp;height=120&amp;START_MAXIMIZED=FALSE&amp;creator=factset&amp;display_string=Audit"}</definedName>
    <definedName name="_328__FDSAUDITLINK__" hidden="1">{"fdsup://Directions/FactSet Auditing Viewer?action=AUDIT_VALUE&amp;DB=129&amp;ID1=16890510&amp;VALUEID=01001&amp;SDATE=200602&amp;PERIODTYPE=QTR_STD&amp;window=popup_no_bar&amp;width=385&amp;height=120&amp;START_MAXIMIZED=FALSE&amp;creator=factset&amp;display_string=Audit"}</definedName>
    <definedName name="_329__FDSAUDITLINK__" hidden="1">{"fdsup://Directions/FactSet Auditing Viewer?action=AUDIT_VALUE&amp;DB=129&amp;ID1=91704710&amp;VALUEID=02101&amp;SDATE=200602&amp;PERIODTYPE=QTR_STD&amp;window=popup_no_bar&amp;width=385&amp;height=120&amp;START_MAXIMIZED=FALSE&amp;creator=factset&amp;display_string=Audit"}</definedName>
    <definedName name="_33__FDSAUDITLINK__" hidden="1">{"fdsup://directions/FAT Viewer?action=UPDATE&amp;creator=factset&amp;DYN_ARGS=TRUE&amp;DOC_NAME=FAT:FQL_AUDITING_CLIENT_TEMPLATE.FAT&amp;display_string=Audit&amp;VAR:KEY=XAZODYBEXK&amp;VAR:QUERY=RkZfUlRfU0ZfVE9UX0dST1NTKFFUUiwtMik=&amp;WINDOW=FIRST_POPUP&amp;HEIGHT=450&amp;WIDTH=450&amp;START_MA","XIMIZED=FALSE&amp;VAR:CALENDAR=US&amp;VAR:SYMBOL=TLB&amp;VAR:INDEX=0"}</definedName>
    <definedName name="_330__FDSAUDITLINK__" hidden="1">{"fdsup://Directions/FactSet Auditing Viewer?action=AUDIT_VALUE&amp;DB=129&amp;ID1=91704710&amp;VALUEID=01001&amp;SDATE=200602&amp;PERIODTYPE=QTR_STD&amp;window=popup_no_bar&amp;width=385&amp;height=120&amp;START_MAXIMIZED=FALSE&amp;creator=factset&amp;display_string=Audit"}</definedName>
    <definedName name="_331__FDSAUDITLINK__" hidden="1">{"fdsup://Directions/FactSet Auditing Viewer?action=AUDIT_VALUE&amp;DB=129&amp;ID1=91704710&amp;VALUEID=13040&amp;SDATE=200602&amp;PERIODTYPE=QTR_STD&amp;window=popup_no_bar&amp;width=385&amp;height=120&amp;START_MAXIMIZED=FALSE&amp;creator=factset&amp;display_string=Audit"}</definedName>
    <definedName name="_332__FDSAUDITLINK__" hidden="1">{"fdsup://directions/FAT Viewer?action=UPDATE&amp;creator=factset&amp;DYN_ARGS=TRUE&amp;DOC_NAME=FAT:FQL_AUDITING_CLIENT_TEMPLATE.FAT&amp;display_string=Audit&amp;VAR:KEY=VUNQJUHWBQ&amp;VAR:QUERY=RkZfUlRfU0ZfVE9UX0dST1NTKFFUUiwtMTUp&amp;WINDOW=FIRST_POPUP&amp;HEIGHT=450&amp;WIDTH=450&amp;START_MA","XIMIZED=FALSE&amp;VAR:CALENDAR=US&amp;VAR:SYMBOL=AEO&amp;VAR:INDEX=0"}</definedName>
    <definedName name="_333__FDSAUDITLINK__" hidden="1">{"fdsup://Directions/FactSet Auditing Viewer?action=AUDIT_VALUE&amp;DB=129&amp;ID1=00786510&amp;VALUEID=02101&amp;SDATE=200602&amp;PERIODTYPE=QTR_STD&amp;window=popup_no_bar&amp;width=385&amp;height=120&amp;START_MAXIMIZED=FALSE&amp;creator=factset&amp;display_string=Audit"}</definedName>
    <definedName name="_334__FDSAUDITLINK__" hidden="1">{"fdsup://Directions/FactSet Auditing Viewer?action=AUDIT_VALUE&amp;DB=129&amp;ID1=00786510&amp;VALUEID=01001&amp;SDATE=200602&amp;PERIODTYPE=QTR_STD&amp;window=popup_no_bar&amp;width=385&amp;height=120&amp;START_MAXIMIZED=FALSE&amp;creator=factset&amp;display_string=Audit"}</definedName>
    <definedName name="_335__FDSAUDITLINK__" hidden="1">{"fdsup://Directions/FactSet Auditing Viewer?action=AUDIT_VALUE&amp;DB=129&amp;ID1=00786510&amp;VALUEID=13040&amp;SDATE=200602&amp;PERIODTYPE=QTR_STD&amp;window=popup_no_bar&amp;width=385&amp;height=120&amp;START_MAXIMIZED=FALSE&amp;creator=factset&amp;display_string=Audit"}</definedName>
    <definedName name="_336__FDSAUDITLINK__" hidden="1">{"fdsup://Directions/FactSet Auditing Viewer?action=AUDIT_VALUE&amp;DB=129&amp;ID1=00289620&amp;VALUEID=02101&amp;SDATE=200602&amp;PERIODTYPE=QTR_STD&amp;window=popup_no_bar&amp;width=385&amp;height=120&amp;START_MAXIMIZED=FALSE&amp;creator=factset&amp;display_string=Audit"}</definedName>
    <definedName name="_337__FDSAUDITLINK__" hidden="1">{"fdsup://Directions/FactSet Auditing Viewer?action=AUDIT_VALUE&amp;DB=129&amp;ID1=00289620&amp;VALUEID=01001&amp;SDATE=200602&amp;PERIODTYPE=QTR_STD&amp;window=popup_no_bar&amp;width=385&amp;height=120&amp;START_MAXIMIZED=FALSE&amp;creator=factset&amp;display_string=Audit"}</definedName>
    <definedName name="_338__FDSAUDITLINK__" hidden="1">{"fdsup://Directions/FactSet Auditing Viewer?action=AUDIT_VALUE&amp;DB=129&amp;ID1=00289620&amp;VALUEID=13040&amp;SDATE=200602&amp;PERIODTYPE=QTR_STD&amp;window=popup_no_bar&amp;width=385&amp;height=120&amp;START_MAXIMIZED=FALSE&amp;creator=factset&amp;display_string=Audit"}</definedName>
    <definedName name="_339__FDSAUDITLINK__" hidden="1">{"fdsup://Directions/FactSet Auditing Viewer?action=AUDIT_VALUE&amp;DB=129&amp;ID1=87416110&amp;VALUEID=02101&amp;SDATE=200601&amp;PERIODTYPE=QTR_STD&amp;window=popup_no_bar&amp;width=385&amp;height=120&amp;START_MAXIMIZED=FALSE&amp;creator=factset&amp;display_string=Audit"}</definedName>
    <definedName name="_34__FDSAUDITLINK__" hidden="1">{"fdsup://Directions/FactSet Auditing Viewer?action=AUDIT_VALUE&amp;DB=129&amp;ID1=53271610&amp;VALUEID=02101&amp;SDATE=200903&amp;PERIODTYPE=QTR_STD&amp;window=popup_no_bar&amp;width=385&amp;height=120&amp;START_MAXIMIZED=FALSE&amp;creator=factset&amp;display_string=Audit"}</definedName>
    <definedName name="_340__FDSAUDITLINK__" hidden="1">{"fdsup://Directions/FactSet Auditing Viewer?action=AUDIT_VALUE&amp;DB=129&amp;ID1=87416110&amp;VALUEID=01001&amp;SDATE=200601&amp;PERIODTYPE=QTR_STD&amp;window=popup_no_bar&amp;width=385&amp;height=120&amp;START_MAXIMIZED=FALSE&amp;creator=factset&amp;display_string=Audit"}</definedName>
    <definedName name="_341__FDSAUDITLINK__" hidden="1">{"fdsup://Directions/FactSet Auditing Viewer?action=AUDIT_VALUE&amp;DB=129&amp;ID1=87416110&amp;VALUEID=13040&amp;SDATE=200601&amp;PERIODTYPE=QTR_STD&amp;window=popup_no_bar&amp;width=385&amp;height=120&amp;START_MAXIMIZED=FALSE&amp;creator=factset&amp;display_string=Audit"}</definedName>
    <definedName name="_342__FDSAUDITLINK__" hidden="1">{"fdsup://directions/FAT Viewer?action=UPDATE&amp;creator=factset&amp;DYN_ARGS=TRUE&amp;DOC_NAME=FAT:FQL_AUDITING_CLIENT_TEMPLATE.FAT&amp;display_string=Audit&amp;VAR:KEY=NUZUBWRSBA&amp;VAR:QUERY=RkZfUlRfU0ZfVE9UX0dST1NTKFFUUiwtMTYp&amp;WINDOW=FIRST_POPUP&amp;HEIGHT=450&amp;WIDTH=450&amp;START_MA","XIMIZED=FALSE&amp;VAR:CALENDAR=US&amp;VAR:SYMBOL=TLB&amp;VAR:INDEX=0"}</definedName>
    <definedName name="_343__FDSAUDITLINK__" hidden="1">{"fdsup://Directions/FactSet Auditing Viewer?action=AUDIT_VALUE&amp;DB=129&amp;ID1=53271610&amp;VALUEID=02101&amp;SDATE=200601&amp;PERIODTYPE=QTR_STD&amp;window=popup_no_bar&amp;width=385&amp;height=120&amp;START_MAXIMIZED=FALSE&amp;creator=factset&amp;display_string=Audit"}</definedName>
    <definedName name="_344__FDSAUDITLINK__" hidden="1">{"fdsup://Directions/FactSet Auditing Viewer?action=AUDIT_VALUE&amp;DB=129&amp;ID1=53271610&amp;VALUEID=01001&amp;SDATE=200601&amp;PERIODTYPE=QTR_STD&amp;window=popup_no_bar&amp;width=385&amp;height=120&amp;START_MAXIMIZED=FALSE&amp;creator=factset&amp;display_string=Audit"}</definedName>
    <definedName name="_345__FDSAUDITLINK__" hidden="1">{"fdsup://Directions/FactSet Auditing Viewer?action=AUDIT_VALUE&amp;DB=129&amp;ID1=53271610&amp;VALUEID=13040&amp;SDATE=200601&amp;PERIODTYPE=QTR_STD&amp;window=popup_no_bar&amp;width=385&amp;height=120&amp;START_MAXIMIZED=FALSE&amp;creator=factset&amp;display_string=Audit"}</definedName>
    <definedName name="_346__FDSAUDITLINK__" hidden="1">{"fdsup://Directions/FactSet Auditing Viewer?action=AUDIT_VALUE&amp;DB=129&amp;ID1=46612H40&amp;VALUEID=02101&amp;SDATE=200601&amp;PERIODTYPE=QTR_STD&amp;window=popup_no_bar&amp;width=385&amp;height=120&amp;START_MAXIMIZED=FALSE&amp;creator=factset&amp;display_string=Audit"}</definedName>
    <definedName name="_347__FDSAUDITLINK__" hidden="1">{"fdsup://Directions/FactSet Auditing Viewer?action=AUDIT_VALUE&amp;DB=129&amp;ID1=46612H40&amp;VALUEID=01001&amp;SDATE=200601&amp;PERIODTYPE=QTR_STD&amp;window=popup_no_bar&amp;width=385&amp;height=120&amp;START_MAXIMIZED=FALSE&amp;creator=factset&amp;display_string=Audit"}</definedName>
    <definedName name="_348__FDSAUDITLINK__" hidden="1">{"fdsup://Directions/FactSet Auditing Viewer?action=AUDIT_VALUE&amp;DB=129&amp;ID1=46612H40&amp;VALUEID=13040&amp;SDATE=200601&amp;PERIODTYPE=QTR_STD&amp;window=popup_no_bar&amp;width=385&amp;height=120&amp;START_MAXIMIZED=FALSE&amp;creator=factset&amp;display_string=Audit"}</definedName>
    <definedName name="_349__FDSAUDITLINK__" hidden="1">{"fdsup://Directions/FactSet Auditing Viewer?action=AUDIT_VALUE&amp;DB=129&amp;ID1=36476010&amp;VALUEID=02101&amp;SDATE=200601&amp;PERIODTYPE=QTR_STD&amp;window=popup_no_bar&amp;width=385&amp;height=120&amp;START_MAXIMIZED=FALSE&amp;creator=factset&amp;display_string=Audit"}</definedName>
    <definedName name="_35__FDSAUDITLINK__" hidden="1">{"fdsup://Directions/FactSet Auditing Viewer?action=AUDIT_VALUE&amp;DB=129&amp;ID1=53271610&amp;VALUEID=01001&amp;SDATE=200903&amp;PERIODTYPE=QTR_STD&amp;window=popup_no_bar&amp;width=385&amp;height=120&amp;START_MAXIMIZED=FALSE&amp;creator=factset&amp;display_string=Audit"}</definedName>
    <definedName name="_350__FDSAUDITLINK__" hidden="1">{"fdsup://Directions/FactSet Auditing Viewer?action=AUDIT_VALUE&amp;DB=129&amp;ID1=36476010&amp;VALUEID=01001&amp;SDATE=200601&amp;PERIODTYPE=QTR_STD&amp;window=popup_no_bar&amp;width=385&amp;height=120&amp;START_MAXIMIZED=FALSE&amp;creator=factset&amp;display_string=Audit"}</definedName>
    <definedName name="_351__FDSAUDITLINK__" hidden="1">{"fdsup://Directions/FactSet Auditing Viewer?action=AUDIT_VALUE&amp;DB=129&amp;ID1=36476010&amp;VALUEID=13040&amp;SDATE=200601&amp;PERIODTYPE=QTR_STD&amp;window=popup_no_bar&amp;width=385&amp;height=120&amp;START_MAXIMIZED=FALSE&amp;creator=factset&amp;display_string=Audit"}</definedName>
    <definedName name="_352__FDSAUDITLINK__" hidden="1">{"fdsup://Directions/FactSet Auditing Viewer?action=AUDIT_VALUE&amp;DB=129&amp;ID1=03611510&amp;VALUEID=02101&amp;SDATE=200601&amp;PERIODTYPE=QTR_STD&amp;window=popup_no_bar&amp;width=385&amp;height=120&amp;START_MAXIMIZED=FALSE&amp;creator=factset&amp;display_string=Audit"}</definedName>
    <definedName name="_353__FDSAUDITLINK__" hidden="1">{"fdsup://Directions/FactSet Auditing Viewer?action=AUDIT_VALUE&amp;DB=129&amp;ID1=03611510&amp;VALUEID=13040&amp;SDATE=200601&amp;PERIODTYPE=QTR_STD&amp;window=popup_no_bar&amp;width=385&amp;height=120&amp;START_MAXIMIZED=FALSE&amp;creator=factset&amp;display_string=Audit"}</definedName>
    <definedName name="_354__FDSAUDITLINK__" hidden="1">{"fdsup://Directions/FactSet Auditing Viewer?action=AUDIT_VALUE&amp;DB=129&amp;ID1=16890510&amp;VALUEID=02101&amp;SDATE=200601&amp;PERIODTYPE=QTR_STD&amp;window=popup_no_bar&amp;width=385&amp;height=120&amp;START_MAXIMIZED=FALSE&amp;creator=factset&amp;display_string=Audit"}</definedName>
    <definedName name="_355__FDSAUDITLINK__" hidden="1">{"fdsup://Directions/FactSet Auditing Viewer?action=AUDIT_VALUE&amp;DB=129&amp;ID1=16890510&amp;VALUEID=01001&amp;SDATE=200601&amp;PERIODTYPE=QTR_STD&amp;window=popup_no_bar&amp;width=385&amp;height=120&amp;START_MAXIMIZED=FALSE&amp;creator=factset&amp;display_string=Audit"}</definedName>
    <definedName name="_356__FDSAUDITLINK__" hidden="1">{"fdsup://Directions/FactSet Auditing Viewer?action=AUDIT_VALUE&amp;DB=129&amp;ID1=91704710&amp;VALUEID=02101&amp;SDATE=200601&amp;PERIODTYPE=QTR_STD&amp;window=popup_no_bar&amp;width=385&amp;height=120&amp;START_MAXIMIZED=FALSE&amp;creator=factset&amp;display_string=Audit"}</definedName>
    <definedName name="_357__FDSAUDITLINK__" hidden="1">{"fdsup://Directions/FactSet Auditing Viewer?action=AUDIT_VALUE&amp;DB=129&amp;ID1=91704710&amp;VALUEID=01001&amp;SDATE=200601&amp;PERIODTYPE=QTR_STD&amp;window=popup_no_bar&amp;width=385&amp;height=120&amp;START_MAXIMIZED=FALSE&amp;creator=factset&amp;display_string=Audit"}</definedName>
    <definedName name="_358__FDSAUDITLINK__" hidden="1">{"fdsup://Directions/FactSet Auditing Viewer?action=AUDIT_VALUE&amp;DB=129&amp;ID1=91704710&amp;VALUEID=13040&amp;SDATE=200601&amp;PERIODTYPE=QTR_STD&amp;window=popup_no_bar&amp;width=385&amp;height=120&amp;START_MAXIMIZED=FALSE&amp;creator=factset&amp;display_string=Audit"}</definedName>
    <definedName name="_359__FDSAUDITLINK__" hidden="1">{"fdsup://Directions/FactSet Auditing Viewer?action=AUDIT_VALUE&amp;DB=129&amp;ID1=02553E10&amp;VALUEID=02101&amp;SDATE=200601&amp;PERIODTYPE=QTR_STD&amp;window=popup_no_bar&amp;width=385&amp;height=120&amp;START_MAXIMIZED=FALSE&amp;creator=factset&amp;display_string=Audit"}</definedName>
    <definedName name="_36__FDSAUDITLINK__" hidden="1">{"fdsup://Directions/FactSet Auditing Viewer?action=AUDIT_VALUE&amp;DB=129&amp;ID1=53271610&amp;VALUEID=13040&amp;SDATE=200903&amp;PERIODTYPE=QTR_STD&amp;window=popup_no_bar&amp;width=385&amp;height=120&amp;START_MAXIMIZED=FALSE&amp;creator=factset&amp;display_string=Audit"}</definedName>
    <definedName name="_360__FDSAUDITLINK__" hidden="1">{"fdsup://Directions/FactSet Auditing Viewer?action=AUDIT_VALUE&amp;DB=129&amp;ID1=02553E10&amp;VALUEID=01001&amp;SDATE=200601&amp;PERIODTYPE=QTR_STD&amp;window=popup_no_bar&amp;width=385&amp;height=120&amp;START_MAXIMIZED=FALSE&amp;creator=factset&amp;display_string=Audit"}</definedName>
    <definedName name="_361__FDSAUDITLINK__" hidden="1">{"fdsup://Directions/FactSet Auditing Viewer?action=AUDIT_VALUE&amp;DB=129&amp;ID1=02553E10&amp;VALUEID=13040&amp;SDATE=200601&amp;PERIODTYPE=QTR_STD&amp;window=popup_no_bar&amp;width=385&amp;height=120&amp;START_MAXIMIZED=FALSE&amp;creator=factset&amp;display_string=Audit"}</definedName>
    <definedName name="_362__FDSAUDITLINK__" hidden="1">{"fdsup://directions/FAT Viewer?action=UPDATE&amp;creator=factset&amp;DYN_ARGS=TRUE&amp;DOC_NAME=FAT:FQL_AUDITING_CLIENT_TEMPLATE.FAT&amp;display_string=Audit&amp;VAR:KEY=RUROHMBELS&amp;VAR:QUERY=RkZfUlRfU0ZfVE9UX0dST1NTKFFUUiwtMTYp&amp;WINDOW=FIRST_POPUP&amp;HEIGHT=450&amp;WIDTH=450&amp;START_MA","XIMIZED=FALSE&amp;VAR:CALENDAR=US&amp;VAR:SYMBOL=AEO&amp;VAR:INDEX=0"}</definedName>
    <definedName name="_363__FDSAUDITLINK__" hidden="1">{"fdsup://Directions/FactSet Auditing Viewer?action=AUDIT_VALUE&amp;DB=129&amp;ID1=00786510&amp;VALUEID=02101&amp;SDATE=200601&amp;PERIODTYPE=QTR_STD&amp;window=popup_no_bar&amp;width=385&amp;height=120&amp;START_MAXIMIZED=FALSE&amp;creator=factset&amp;display_string=Audit"}</definedName>
    <definedName name="_364__FDSAUDITLINK__" hidden="1">{"fdsup://Directions/FactSet Auditing Viewer?action=AUDIT_VALUE&amp;DB=129&amp;ID1=00786510&amp;VALUEID=01001&amp;SDATE=200601&amp;PERIODTYPE=QTR_STD&amp;window=popup_no_bar&amp;width=385&amp;height=120&amp;START_MAXIMIZED=FALSE&amp;creator=factset&amp;display_string=Audit"}</definedName>
    <definedName name="_365__FDSAUDITLINK__" hidden="1">{"fdsup://Directions/FactSet Auditing Viewer?action=AUDIT_VALUE&amp;DB=129&amp;ID1=00786510&amp;VALUEID=13040&amp;SDATE=200601&amp;PERIODTYPE=QTR_STD&amp;window=popup_no_bar&amp;width=385&amp;height=120&amp;START_MAXIMIZED=FALSE&amp;creator=factset&amp;display_string=Audit"}</definedName>
    <definedName name="_366__FDSAUDITLINK__" hidden="1">{"fdsup://Directions/FactSet Auditing Viewer?action=AUDIT_VALUE&amp;DB=129&amp;ID1=00289620&amp;VALUEID=02101&amp;SDATE=200601&amp;PERIODTYPE=QTR_STD&amp;window=popup_no_bar&amp;width=385&amp;height=120&amp;START_MAXIMIZED=FALSE&amp;creator=factset&amp;display_string=Audit"}</definedName>
    <definedName name="_367__FDSAUDITLINK__" hidden="1">{"fdsup://Directions/FactSet Auditing Viewer?action=AUDIT_VALUE&amp;DB=129&amp;ID1=00289620&amp;VALUEID=01001&amp;SDATE=200601&amp;PERIODTYPE=QTR_STD&amp;window=popup_no_bar&amp;width=385&amp;height=120&amp;START_MAXIMIZED=FALSE&amp;creator=factset&amp;display_string=Audit"}</definedName>
    <definedName name="_368__FDSAUDITLINK__" hidden="1">{"fdsup://Directions/FactSet Auditing Viewer?action=AUDIT_VALUE&amp;DB=129&amp;ID1=00289620&amp;VALUEID=13040&amp;SDATE=200601&amp;PERIODTYPE=QTR_STD&amp;window=popup_no_bar&amp;width=385&amp;height=120&amp;START_MAXIMIZED=FALSE&amp;creator=factset&amp;display_string=Audit"}</definedName>
    <definedName name="_369__FDSAUDITLINK__" hidden="1">{"fdsup://directions/FAT Viewer?action=UPDATE&amp;creator=factset&amp;DYN_ARGS=TRUE&amp;DOC_NAME=FAT:FQL_AUDITING_CLIENT_TEMPLATE.FAT&amp;display_string=Audit&amp;VAR:KEY=NKDWDYVSJA&amp;VAR:QUERY=RkZfUlRfU0ZfVE9UX0dST1NTKFFUUiwtMTcp&amp;WINDOW=FIRST_POPUP&amp;HEIGHT=450&amp;WIDTH=450&amp;START_MA","XIMIZED=FALSE&amp;VAR:CALENDAR=US&amp;VAR:SYMBOL=TLB&amp;VAR:INDEX=0"}</definedName>
    <definedName name="_37__FDSAUDITLINK__" hidden="1">{"fdsup://Directions/FactSet Auditing Viewer?action=AUDIT_VALUE&amp;DB=129&amp;ID1=46612H40&amp;VALUEID=02101&amp;SDATE=200903&amp;PERIODTYPE=QTR_STD&amp;window=popup_no_bar&amp;width=385&amp;height=120&amp;START_MAXIMIZED=FALSE&amp;creator=factset&amp;display_string=Audit"}</definedName>
    <definedName name="_370__FDSAUDITLINK__" hidden="1">{"fdsup://directions/FAT Viewer?action=UPDATE&amp;creator=factset&amp;DYN_ARGS=TRUE&amp;DOC_NAME=FAT:FQL_AUDITING_CLIENT_TEMPLATE.FAT&amp;display_string=Audit&amp;VAR:KEY=DEZSPEHMVA&amp;VAR:QUERY=RkZfUlRfU0ZfVE9UX0dST1NTKFFUUiwtMTcp&amp;WINDOW=FIRST_POPUP&amp;HEIGHT=450&amp;WIDTH=450&amp;START_MA","XIMIZED=FALSE&amp;VAR:CALENDAR=US&amp;VAR:SYMBOL=AEO&amp;VAR:INDEX=0"}</definedName>
    <definedName name="_371__FDSAUDITLINK__" hidden="1">{"fdsup://directions/FAT Viewer?action=UPDATE&amp;creator=factset&amp;DYN_ARGS=TRUE&amp;DOC_NAME=FAT:FQL_AUDITING_CLIENT_TEMPLATE.FAT&amp;display_string=Audit&amp;VAR:KEY=TURKDOPIZG&amp;VAR:QUERY=RkZfUlRfU0ZfVE9UX0dST1NTKFFUUiwtMTgp&amp;WINDOW=FIRST_POPUP&amp;HEIGHT=450&amp;WIDTH=450&amp;START_MA","XIMIZED=FALSE&amp;VAR:CALENDAR=US&amp;VAR:SYMBOL=TLB&amp;VAR:INDEX=0"}</definedName>
    <definedName name="_372__FDSAUDITLINK__" hidden="1">{"fdsup://Directions/FactSet Auditing Viewer?action=AUDIT_VALUE&amp;DB=129&amp;ID1=03611510&amp;VALUEID=13040&amp;SDATE=200503&amp;PERIODTYPE=QTR_STD&amp;window=popup_no_bar&amp;width=385&amp;height=120&amp;START_MAXIMIZED=FALSE&amp;creator=factset&amp;display_string=Audit"}</definedName>
    <definedName name="_373__FDSAUDITLINK__" hidden="1">{"fdsup://directions/FAT Viewer?action=UPDATE&amp;creator=factset&amp;DYN_ARGS=TRUE&amp;DOC_NAME=FAT:FQL_AUDITING_CLIENT_TEMPLATE.FAT&amp;display_string=Audit&amp;VAR:KEY=NUJIDQTCDM&amp;VAR:QUERY=RkZfUlRfU0ZfVE9UX0dST1NTKFFUUiwtMTgp&amp;WINDOW=FIRST_POPUP&amp;HEIGHT=450&amp;WIDTH=450&amp;START_MA","XIMIZED=FALSE&amp;VAR:CALENDAR=US&amp;VAR:SYMBOL=AEO&amp;VAR:INDEX=0"}</definedName>
    <definedName name="_374__FDSAUDITLINK__" hidden="1">{"fdsup://directions/FAT Viewer?action=UPDATE&amp;creator=factset&amp;DYN_ARGS=TRUE&amp;DOC_NAME=FAT:FQL_AUDITING_CLIENT_TEMPLATE.FAT&amp;display_string=Audit&amp;VAR:KEY=HIHSXILWDI&amp;VAR:QUERY=RkZfUlRfU0ZfVE9UX0dST1NTKFFUUiwtMTkp&amp;WINDOW=FIRST_POPUP&amp;HEIGHT=450&amp;WIDTH=450&amp;START_MA","XIMIZED=FALSE&amp;VAR:CALENDAR=US&amp;VAR:SYMBOL=TLB&amp;VAR:INDEX=0"}</definedName>
    <definedName name="_375__FDSAUDITLINK__" hidden="1">{"fdsup://Directions/FactSet Auditing Viewer?action=AUDIT_VALUE&amp;DB=129&amp;ID1=03611510&amp;VALUEID=13040&amp;SDATE=200502&amp;PERIODTYPE=QTR_STD&amp;window=popup_no_bar&amp;width=385&amp;height=120&amp;START_MAXIMIZED=FALSE&amp;creator=factset&amp;display_string=Audit"}</definedName>
    <definedName name="_376__FDSAUDITLINK__" hidden="1">{"fdsup://directions/FAT Viewer?action=UPDATE&amp;creator=factset&amp;DYN_ARGS=TRUE&amp;DOC_NAME=FAT:FQL_AUDITING_CLIENT_TEMPLATE.FAT&amp;display_string=Audit&amp;VAR:KEY=BKDCTGPMZY&amp;VAR:QUERY=RkZfUlRfU0ZfVE9UX0dST1NTKFFUUiwtMTkp&amp;WINDOW=FIRST_POPUP&amp;HEIGHT=450&amp;WIDTH=450&amp;START_MA","XIMIZED=FALSE&amp;VAR:CALENDAR=US&amp;VAR:SYMBOL=AEO&amp;VAR:INDEX=0"}</definedName>
    <definedName name="_377__FDSAUDITLINK__" hidden="1">{"fdsup://directions/FAT Viewer?action=UPDATE&amp;creator=factset&amp;DYN_ARGS=TRUE&amp;DOC_NAME=FAT:FQL_AUDITING_CLIENT_TEMPLATE.FAT&amp;display_string=Audit&amp;VAR:KEY=VABGPMHULC&amp;VAR:QUERY=RkZfUlRfU0ZfVE9UX0dST1NTKFFUUiwtMjAp&amp;WINDOW=FIRST_POPUP&amp;HEIGHT=450&amp;WIDTH=450&amp;START_MA","XIMIZED=FALSE&amp;VAR:CALENDAR=US&amp;VAR:SYMBOL=TLB&amp;VAR:INDEX=0"}</definedName>
    <definedName name="_378__FDSAUDITLINK__" hidden="1">{"fdsup://Directions/FactSet Auditing Viewer?action=AUDIT_VALUE&amp;DB=129&amp;ID1=03611510&amp;VALUEID=13040&amp;SDATE=200501&amp;PERIODTYPE=QTR_STD&amp;window=popup_no_bar&amp;width=385&amp;height=120&amp;START_MAXIMIZED=FALSE&amp;creator=factset&amp;display_string=Audit"}</definedName>
    <definedName name="_379__FDSAUDITLINK__" hidden="1">{"fdsup://directions/FAT Viewer?action=UPDATE&amp;creator=factset&amp;DYN_ARGS=TRUE&amp;DOC_NAME=FAT:FQL_AUDITING_CLIENT_TEMPLATE.FAT&amp;display_string=Audit&amp;VAR:KEY=VMROTQVYPS&amp;VAR:QUERY=RkZfUlRfU0ZfVE9UX0dST1NTKFFUUiwtMjAp&amp;WINDOW=FIRST_POPUP&amp;HEIGHT=450&amp;WIDTH=450&amp;START_MA","XIMIZED=FALSE&amp;VAR:CALENDAR=US&amp;VAR:SYMBOL=AEO&amp;VAR:INDEX=0"}</definedName>
    <definedName name="_38__FDSAUDITLINK__" hidden="1">{"fdsup://Directions/FactSet Auditing Viewer?action=AUDIT_VALUE&amp;DB=129&amp;ID1=46612H40&amp;VALUEID=01001&amp;SDATE=200903&amp;PERIODTYPE=QTR_STD&amp;window=popup_no_bar&amp;width=385&amp;height=120&amp;START_MAXIMIZED=FALSE&amp;creator=factset&amp;display_string=Audit"}</definedName>
    <definedName name="_380__FDSAUDITLINK__" hidden="1">{"fdsup://Directions/FactSet Auditing Viewer?action=AUDIT_VALUE&amp;DB=129&amp;ID1=16890510&amp;VALUEID=13040&amp;SDATE=200602&amp;PERIODTYPE=QTR_STD&amp;window=popup_no_bar&amp;width=385&amp;height=120&amp;START_MAXIMIZED=FALSE&amp;creator=factset&amp;display_string=Audit"}</definedName>
    <definedName name="_381__FDSAUDITLINK__" hidden="1">{"fdsup://Directions/FactSet Auditing Viewer?action=AUDIT_VALUE&amp;DB=129&amp;ID1=16890510&amp;VALUEID=13040&amp;SDATE=200601&amp;PERIODTYPE=QTR_STD&amp;window=popup_no_bar&amp;width=385&amp;height=120&amp;START_MAXIMIZED=FALSE&amp;creator=factset&amp;display_string=Audit"}</definedName>
    <definedName name="_382__FDSAUDITLINK__" hidden="1">{"fdsup://Directions/FactSet Auditing Viewer?action=AUDIT_VALUE&amp;DB=129&amp;ID1=16890510&amp;VALUEID=13040&amp;SDATE=200603&amp;PERIODTYPE=QTR_STD&amp;window=popup_no_bar&amp;width=385&amp;height=120&amp;START_MAXIMIZED=FALSE&amp;creator=factset&amp;display_string=Audit"}</definedName>
    <definedName name="_383__FDSAUDITLINK__" hidden="1">{"fdsup://Directions/FactSet Auditing Viewer?action=AUDIT_VALUE&amp;DB=129&amp;ID1=16890510&amp;VALUEID=13040&amp;SDATE=200702&amp;PERIODTYPE=QTR_STD&amp;window=popup_no_bar&amp;width=385&amp;height=120&amp;START_MAXIMIZED=FALSE&amp;creator=factset&amp;display_string=Audit"}</definedName>
    <definedName name="_384__FDSAUDITLINK__" hidden="1">{"fdsup://Directions/FactSet Auditing Viewer?action=AUDIT_VALUE&amp;DB=129&amp;ID1=16890510&amp;VALUEID=13040&amp;SDATE=200701&amp;PERIODTYPE=QTR_STD&amp;window=popup_no_bar&amp;width=385&amp;height=120&amp;START_MAXIMIZED=FALSE&amp;creator=factset&amp;display_string=Audit"}</definedName>
    <definedName name="_385__FDSAUDITLINK__" hidden="1">{"fdsup://Directions/FactSet Auditing Viewer?action=AUDIT_VALUE&amp;DB=129&amp;ID1=16890510&amp;VALUEID=13040&amp;SDATE=200703&amp;PERIODTYPE=QTR_STD&amp;window=popup_no_bar&amp;width=385&amp;height=120&amp;START_MAXIMIZED=FALSE&amp;creator=factset&amp;display_string=Audit"}</definedName>
    <definedName name="_386__FDSAUDITLINK__" hidden="1">{"fdsup://Directions/FactSet Auditing Viewer?action=AUDIT_VALUE&amp;DB=129&amp;ID1=16890510&amp;VALUEID=13040&amp;SDATE=200802&amp;PERIODTYPE=QTR_STD&amp;window=popup_no_bar&amp;width=385&amp;height=120&amp;START_MAXIMIZED=FALSE&amp;creator=factset&amp;display_string=Audit"}</definedName>
    <definedName name="_387__FDSAUDITLINK__" hidden="1">{"fdsup://Directions/FactSet Auditing Viewer?action=AUDIT_VALUE&amp;DB=129&amp;ID1=16890510&amp;VALUEID=13040&amp;SDATE=200801&amp;PERIODTYPE=QTR_STD&amp;window=popup_no_bar&amp;width=385&amp;height=120&amp;START_MAXIMIZED=FALSE&amp;creator=factset&amp;display_string=Audit"}</definedName>
    <definedName name="_388__FDSAUDITLINK__" hidden="1">{"fdsup://Directions/FactSet Auditing Viewer?action=AUDIT_VALUE&amp;DB=129&amp;ID1=16890510&amp;VALUEID=13040&amp;SDATE=200803&amp;PERIODTYPE=QTR_STD&amp;window=popup_no_bar&amp;width=385&amp;height=120&amp;START_MAXIMIZED=FALSE&amp;creator=factset&amp;display_string=Audit"}</definedName>
    <definedName name="_389__FDSAUDITLINK__" hidden="1">{"fdsup://Directions/FactSet Auditing Viewer?action=AUDIT_VALUE&amp;DB=129&amp;ID1=16890510&amp;VALUEID=13040&amp;SDATE=200902&amp;PERIODTYPE=QTR_STD&amp;window=popup_no_bar&amp;width=385&amp;height=120&amp;START_MAXIMIZED=FALSE&amp;creator=factset&amp;display_string=Audit"}</definedName>
    <definedName name="_39__FDSAUDITLINK__" hidden="1">{"fdsup://Directions/FactSet Auditing Viewer?action=AUDIT_VALUE&amp;DB=129&amp;ID1=46612H40&amp;VALUEID=13040&amp;SDATE=200903&amp;PERIODTYPE=QTR_STD&amp;window=popup_no_bar&amp;width=385&amp;height=120&amp;START_MAXIMIZED=FALSE&amp;creator=factset&amp;display_string=Audit"}</definedName>
    <definedName name="_390__FDSAUDITLINK__" hidden="1">{"fdsup://Directions/FactSet Auditing Viewer?action=AUDIT_VALUE&amp;DB=129&amp;ID1=16890510&amp;VALUEID=13040&amp;SDATE=200903&amp;PERIODTYPE=QTR_STD&amp;window=popup_no_bar&amp;width=385&amp;height=120&amp;START_MAXIMIZED=FALSE&amp;creator=factset&amp;display_string=Audit"}</definedName>
    <definedName name="_391__FDSAUDITLINK__" hidden="1">{"fdsup://Directions/FactSet Auditing Viewer?action=AUDIT_VALUE&amp;DB=129&amp;ID1=16890510&amp;VALUEID=13040&amp;SDATE=201001&amp;PERIODTYPE=QTR_STD&amp;window=popup_no_bar&amp;width=385&amp;height=120&amp;START_MAXIMIZED=FALSE&amp;creator=factset&amp;display_string=Audit"}</definedName>
    <definedName name="_392__FDSAUDITLINK__" hidden="1">{"fdsup://Directions/FactSet Auditing Viewer?action=AUDIT_VALUE&amp;DB=129&amp;ID1=87416110&amp;VALUEID=01001&amp;SDATE=201001&amp;PERIODTYPE=QTR_STD&amp;window=popup_no_bar&amp;width=385&amp;height=120&amp;START_MAXIMIZED=FALSE&amp;creator=factset&amp;display_string=Audit"}</definedName>
    <definedName name="_393__FDSAUDITLINK__" hidden="1">{"fdsup://Directions/FactSet Auditing Viewer?action=AUDIT_VALUE&amp;DB=129&amp;ID1=46612H40&amp;VALUEID=01001&amp;SDATE=201001&amp;PERIODTYPE=QTR_STD&amp;window=popup_no_bar&amp;width=385&amp;height=120&amp;START_MAXIMIZED=FALSE&amp;creator=factset&amp;display_string=Audit"}</definedName>
    <definedName name="_394__FDSAUDITLINK__" hidden="1">{"fdsup://Directions/FactSet Auditing Viewer?action=AUDIT_VALUE&amp;DB=129&amp;ID1=03611510&amp;VALUEID=01001&amp;SDATE=201001&amp;PERIODTYPE=QTR_STD&amp;window=popup_no_bar&amp;width=385&amp;height=120&amp;START_MAXIMIZED=FALSE&amp;creator=factset&amp;display_string=Audit"}</definedName>
    <definedName name="_395__FDSAUDITLINK__" hidden="1">{"fdsup://Directions/FactSet Auditing Viewer?action=AUDIT_VALUE&amp;DB=129&amp;ID1=16890510&amp;VALUEID=01001&amp;SDATE=201001&amp;PERIODTYPE=QTR_STD&amp;window=popup_no_bar&amp;width=385&amp;height=120&amp;START_MAXIMIZED=FALSE&amp;creator=factset&amp;display_string=Audit"}</definedName>
    <definedName name="_396__FDSAUDITLINK__" hidden="1">{"fdsup://Directions/FactSet Auditing Viewer?action=AUDIT_VALUE&amp;DB=129&amp;ID1=91704710&amp;VALUEID=01001&amp;SDATE=201001&amp;PERIODTYPE=QTR_STD&amp;window=popup_no_bar&amp;width=385&amp;height=120&amp;START_MAXIMIZED=FALSE&amp;creator=factset&amp;display_string=Audit"}</definedName>
    <definedName name="_397__FDSAUDITLINK__" hidden="1">{"fdsup://Directions/FactSet Auditing Viewer?action=AUDIT_VALUE&amp;DB=129&amp;ID1=02553E10&amp;VALUEID=01001&amp;SDATE=201001&amp;PERIODTYPE=QTR_STD&amp;window=popup_no_bar&amp;width=385&amp;height=120&amp;START_MAXIMIZED=FALSE&amp;creator=factset&amp;display_string=Audit"}</definedName>
    <definedName name="_398__FDSAUDITLINK__" hidden="1">{"fdsup://Directions/FactSet Auditing Viewer?action=AUDIT_VALUE&amp;DB=129&amp;ID1=00786510&amp;VALUEID=01001&amp;SDATE=201001&amp;PERIODTYPE=QTR_STD&amp;window=popup_no_bar&amp;width=385&amp;height=120&amp;START_MAXIMIZED=FALSE&amp;creator=factset&amp;display_string=Audit"}</definedName>
    <definedName name="_399__FDSAUDITLINK__" hidden="1">{"fdsup://Directions/FactSet Auditing Viewer?action=AUDIT_VALUE&amp;DB=129&amp;ID1=00289620&amp;VALUEID=01001&amp;SDATE=201001&amp;PERIODTYPE=QTR_STD&amp;window=popup_no_bar&amp;width=385&amp;height=120&amp;START_MAXIMIZED=FALSE&amp;creator=factset&amp;display_string=Audit"}</definedName>
    <definedName name="_4__FDSAUDITLINK__" hidden="1">{"fdsup://Directions/FactSet Auditing Viewer?action=AUDIT_VALUE&amp;DB=129&amp;ID1=53271610&amp;VALUEID=02101&amp;SDATE=201001&amp;PERIODTYPE=QTR_STD&amp;window=popup_no_bar&amp;width=385&amp;height=120&amp;START_MAXIMIZED=FALSE&amp;creator=factset&amp;display_string=Audit"}</definedName>
    <definedName name="_40__FDSAUDITLINK__" hidden="1">{"fdsup://Directions/FactSet Auditing Viewer?action=AUDIT_VALUE&amp;DB=129&amp;ID1=36476010&amp;VALUEID=02101&amp;SDATE=200903&amp;PERIODTYPE=QTR_STD&amp;window=popup_no_bar&amp;width=385&amp;height=120&amp;START_MAXIMIZED=FALSE&amp;creator=factset&amp;display_string=Audit"}</definedName>
    <definedName name="_400__FDSAUDITLINK__" hidden="1">{"fdsup://Directions/FactSet Auditing Viewer?action=AUDIT_VALUE&amp;DB=129&amp;ID1=53271610&amp;VALUEID=01001&amp;SDATE=201001&amp;PERIODTYPE=QTR_STD&amp;window=popup_no_bar&amp;width=385&amp;height=120&amp;START_MAXIMIZED=FALSE&amp;creator=factset&amp;display_string=Audit"}</definedName>
    <definedName name="_401__FDSAUDITLINK__" hidden="1">{"fdsup://Directions/FactSet Auditing Viewer?action=AUDIT_VALUE&amp;DB=129&amp;ID1=36476010&amp;VALUEID=01001&amp;SDATE=201001&amp;PERIODTYPE=QTR_STD&amp;window=popup_no_bar&amp;width=385&amp;height=120&amp;START_MAXIMIZED=FALSE&amp;creator=factset&amp;display_string=Audit"}</definedName>
    <definedName name="_402__FDSAUDITLINK__" hidden="1">{"fdsup://Directions/FactSet Auditing Viewer?action=AUDIT_VALUE&amp;DB=129&amp;ID1=16890510&amp;VALUEID=01001&amp;SDATE=200601&amp;PERIODTYPE=QTR_STD&amp;window=popup_no_bar&amp;width=385&amp;height=120&amp;START_MAXIMIZED=FALSE&amp;creator=factset&amp;display_string=Audit"}</definedName>
    <definedName name="_403__FDSAUDITLINK__" hidden="1">{"fdsup://Directions/FactSet Auditing Viewer?action=AUDIT_VALUE&amp;DB=129&amp;ID1=16890510&amp;VALUEID=02101&amp;SDATE=200601&amp;PERIODTYPE=QTR_STD&amp;window=popup_no_bar&amp;width=385&amp;height=120&amp;START_MAXIMIZED=FALSE&amp;creator=factset&amp;display_string=Audit"}</definedName>
    <definedName name="_404__FDSAUDITLINK__" hidden="1">{"fdsup://Directions/FactSet Auditing Viewer?action=AUDIT_VALUE&amp;DB=129&amp;ID1=16890510&amp;VALUEID=13040&amp;SDATE=200601&amp;PERIODTYPE=QTR_STD&amp;window=popup_no_bar&amp;width=385&amp;height=120&amp;START_MAXIMIZED=FALSE&amp;creator=factset&amp;display_string=Audit"}</definedName>
    <definedName name="_405__FDSAUDITLINK__" hidden="1">{"fdsup://Directions/FactSet Auditing Viewer?action=AUDIT_VALUE&amp;DB=129&amp;ID1=16890510&amp;VALUEID=13040&amp;SDATE=200602&amp;PERIODTYPE=QTR_STD&amp;window=popup_no_bar&amp;width=385&amp;height=120&amp;START_MAXIMIZED=FALSE&amp;creator=factset&amp;display_string=Audit"}</definedName>
    <definedName name="_406__FDSAUDITLINK__" hidden="1">{"fdsup://Directions/FactSet Auditing Viewer?action=AUDIT_VALUE&amp;DB=129&amp;ID1=16890510&amp;VALUEID=01001&amp;SDATE=200602&amp;PERIODTYPE=QTR_STD&amp;window=popup_no_bar&amp;width=385&amp;height=120&amp;START_MAXIMIZED=FALSE&amp;creator=factset&amp;display_string=Audit"}</definedName>
    <definedName name="_407__FDSAUDITLINK__" hidden="1">{"fdsup://Directions/FactSet Auditing Viewer?action=AUDIT_VALUE&amp;DB=129&amp;ID1=16890510&amp;VALUEID=02101&amp;SDATE=200602&amp;PERIODTYPE=QTR_STD&amp;window=popup_no_bar&amp;width=385&amp;height=120&amp;START_MAXIMIZED=FALSE&amp;creator=factset&amp;display_string=Audit"}</definedName>
    <definedName name="_408__FDSAUDITLINK__" hidden="1">{"fdsup://Directions/FactSet Auditing Viewer?action=AUDIT_VALUE&amp;DB=129&amp;ID1=16890510&amp;VALUEID=13040&amp;SDATE=200603&amp;PERIODTYPE=QTR_STD&amp;window=popup_no_bar&amp;width=385&amp;height=120&amp;START_MAXIMIZED=FALSE&amp;creator=factset&amp;display_string=Audit"}</definedName>
    <definedName name="_409__FDSAUDITLINK__" hidden="1">{"fdsup://Directions/FactSet Auditing Viewer?action=AUDIT_VALUE&amp;DB=129&amp;ID1=16890510&amp;VALUEID=01001&amp;SDATE=200603&amp;PERIODTYPE=QTR_STD&amp;window=popup_no_bar&amp;width=385&amp;height=120&amp;START_MAXIMIZED=FALSE&amp;creator=factset&amp;display_string=Audit"}</definedName>
    <definedName name="_41__FDSAUDITLINK__" hidden="1">{"fdsup://Directions/FactSet Auditing Viewer?action=AUDIT_VALUE&amp;DB=129&amp;ID1=36476010&amp;VALUEID=01001&amp;SDATE=200903&amp;PERIODTYPE=QTR_STD&amp;window=popup_no_bar&amp;width=385&amp;height=120&amp;START_MAXIMIZED=FALSE&amp;creator=factset&amp;display_string=Audit"}</definedName>
    <definedName name="_410__FDSAUDITLINK__" hidden="1">{"fdsup://Directions/FactSet Auditing Viewer?action=AUDIT_VALUE&amp;DB=129&amp;ID1=16890510&amp;VALUEID=02101&amp;SDATE=200603&amp;PERIODTYPE=QTR_STD&amp;window=popup_no_bar&amp;width=385&amp;height=120&amp;START_MAXIMIZED=FALSE&amp;creator=factset&amp;display_string=Audit"}</definedName>
    <definedName name="_411__FDSAUDITLINK__" hidden="1">{"fdsup://Directions/FactSet Auditing Viewer?action=AUDIT_VALUE&amp;DB=129&amp;ID1=16890510&amp;VALUEID=01001&amp;SDATE=200604&amp;PERIODTYPE=QTR_STD&amp;window=popup_no_bar&amp;width=385&amp;height=120&amp;START_MAXIMIZED=FALSE&amp;creator=factset&amp;display_string=Audit"}</definedName>
    <definedName name="_412__FDSAUDITLINK__" hidden="1">{"fdsup://Directions/FactSet Auditing Viewer?action=AUDIT_VALUE&amp;DB=129&amp;ID1=16890510&amp;VALUEID=01001&amp;SDATE=200701&amp;PERIODTYPE=QTR_STD&amp;window=popup_no_bar&amp;width=385&amp;height=120&amp;START_MAXIMIZED=FALSE&amp;creator=factset&amp;display_string=Audit"}</definedName>
    <definedName name="_413__FDSAUDITLINK__" hidden="1">{"fdsup://Directions/FactSet Auditing Viewer?action=AUDIT_VALUE&amp;DB=129&amp;ID1=16890510&amp;VALUEID=02101&amp;SDATE=200701&amp;PERIODTYPE=QTR_STD&amp;window=popup_no_bar&amp;width=385&amp;height=120&amp;START_MAXIMIZED=FALSE&amp;creator=factset&amp;display_string=Audit"}</definedName>
    <definedName name="_414__FDSAUDITLINK__" hidden="1">{"fdsup://Directions/FactSet Auditing Viewer?action=AUDIT_VALUE&amp;DB=129&amp;ID1=16890510&amp;VALUEID=13040&amp;SDATE=200701&amp;PERIODTYPE=QTR_STD&amp;window=popup_no_bar&amp;width=385&amp;height=120&amp;START_MAXIMIZED=FALSE&amp;creator=factset&amp;display_string=Audit"}</definedName>
    <definedName name="_415__FDSAUDITLINK__" hidden="1">{"fdsup://Directions/FactSet Auditing Viewer?action=AUDIT_VALUE&amp;DB=129&amp;ID1=16890510&amp;VALUEID=13040&amp;SDATE=200702&amp;PERIODTYPE=QTR_STD&amp;window=popup_no_bar&amp;width=385&amp;height=120&amp;START_MAXIMIZED=FALSE&amp;creator=factset&amp;display_string=Audit"}</definedName>
    <definedName name="_416__FDSAUDITLINK__" hidden="1">{"fdsup://Directions/FactSet Auditing Viewer?action=AUDIT_VALUE&amp;DB=129&amp;ID1=16890510&amp;VALUEID=01001&amp;SDATE=200702&amp;PERIODTYPE=QTR_STD&amp;window=popup_no_bar&amp;width=385&amp;height=120&amp;START_MAXIMIZED=FALSE&amp;creator=factset&amp;display_string=Audit"}</definedName>
    <definedName name="_417__FDSAUDITLINK__" hidden="1">{"fdsup://Directions/FactSet Auditing Viewer?action=AUDIT_VALUE&amp;DB=129&amp;ID1=16890510&amp;VALUEID=02101&amp;SDATE=200702&amp;PERIODTYPE=QTR_STD&amp;window=popup_no_bar&amp;width=385&amp;height=120&amp;START_MAXIMIZED=FALSE&amp;creator=factset&amp;display_string=Audit"}</definedName>
    <definedName name="_418__FDSAUDITLINK__" hidden="1">{"fdsup://Directions/FactSet Auditing Viewer?action=AUDIT_VALUE&amp;DB=129&amp;ID1=16890510&amp;VALUEID=13040&amp;SDATE=200703&amp;PERIODTYPE=QTR_STD&amp;window=popup_no_bar&amp;width=385&amp;height=120&amp;START_MAXIMIZED=FALSE&amp;creator=factset&amp;display_string=Audit"}</definedName>
    <definedName name="_419__FDSAUDITLINK__" hidden="1">{"fdsup://Directions/FactSet Auditing Viewer?action=AUDIT_VALUE&amp;DB=129&amp;ID1=16890510&amp;VALUEID=01001&amp;SDATE=200703&amp;PERIODTYPE=QTR_STD&amp;window=popup_no_bar&amp;width=385&amp;height=120&amp;START_MAXIMIZED=FALSE&amp;creator=factset&amp;display_string=Audit"}</definedName>
    <definedName name="_42__FDSAUDITLINK__" hidden="1">{"fdsup://Directions/FactSet Auditing Viewer?action=AUDIT_VALUE&amp;DB=129&amp;ID1=36476010&amp;VALUEID=13040&amp;SDATE=200903&amp;PERIODTYPE=QTR_STD&amp;window=popup_no_bar&amp;width=385&amp;height=120&amp;START_MAXIMIZED=FALSE&amp;creator=factset&amp;display_string=Audit"}</definedName>
    <definedName name="_420__FDSAUDITLINK__" hidden="1">{"fdsup://Directions/FactSet Auditing Viewer?action=AUDIT_VALUE&amp;DB=129&amp;ID1=16890510&amp;VALUEID=02101&amp;SDATE=200703&amp;PERIODTYPE=QTR_STD&amp;window=popup_no_bar&amp;width=385&amp;height=120&amp;START_MAXIMIZED=FALSE&amp;creator=factset&amp;display_string=Audit"}</definedName>
    <definedName name="_421__FDSAUDITLINK__" hidden="1">{"fdsup://Directions/FactSet Auditing Viewer?action=AUDIT_VALUE&amp;DB=129&amp;ID1=16890510&amp;VALUEID=01001&amp;SDATE=200704&amp;PERIODTYPE=QTR_STD&amp;window=popup_no_bar&amp;width=385&amp;height=120&amp;START_MAXIMIZED=FALSE&amp;creator=factset&amp;display_string=Audit"}</definedName>
    <definedName name="_422__FDSAUDITLINK__" hidden="1">{"fdsup://Directions/FactSet Auditing Viewer?action=AUDIT_VALUE&amp;DB=129&amp;ID1=16890510&amp;VALUEID=01001&amp;SDATE=200801&amp;PERIODTYPE=QTR_STD&amp;window=popup_no_bar&amp;width=385&amp;height=120&amp;START_MAXIMIZED=FALSE&amp;creator=factset&amp;display_string=Audit"}</definedName>
    <definedName name="_423__FDSAUDITLINK__" hidden="1">{"fdsup://Directions/FactSet Auditing Viewer?action=AUDIT_VALUE&amp;DB=129&amp;ID1=16890510&amp;VALUEID=02101&amp;SDATE=200801&amp;PERIODTYPE=QTR_STD&amp;window=popup_no_bar&amp;width=385&amp;height=120&amp;START_MAXIMIZED=FALSE&amp;creator=factset&amp;display_string=Audit"}</definedName>
    <definedName name="_424__FDSAUDITLINK__" hidden="1">{"fdsup://Directions/FactSet Auditing Viewer?action=AUDIT_VALUE&amp;DB=129&amp;ID1=16890510&amp;VALUEID=13040&amp;SDATE=200801&amp;PERIODTYPE=QTR_STD&amp;window=popup_no_bar&amp;width=385&amp;height=120&amp;START_MAXIMIZED=FALSE&amp;creator=factset&amp;display_string=Audit"}</definedName>
    <definedName name="_425__FDSAUDITLINK__" hidden="1">{"fdsup://Directions/FactSet Auditing Viewer?action=AUDIT_VALUE&amp;DB=129&amp;ID1=16890510&amp;VALUEID=13040&amp;SDATE=200802&amp;PERIODTYPE=QTR_STD&amp;window=popup_no_bar&amp;width=385&amp;height=120&amp;START_MAXIMIZED=FALSE&amp;creator=factset&amp;display_string=Audit"}</definedName>
    <definedName name="_426__FDSAUDITLINK__" hidden="1">{"fdsup://Directions/FactSet Auditing Viewer?action=AUDIT_VALUE&amp;DB=129&amp;ID1=16890510&amp;VALUEID=01001&amp;SDATE=200802&amp;PERIODTYPE=QTR_STD&amp;window=popup_no_bar&amp;width=385&amp;height=120&amp;START_MAXIMIZED=FALSE&amp;creator=factset&amp;display_string=Audit"}</definedName>
    <definedName name="_427__FDSAUDITLINK__" hidden="1">{"fdsup://Directions/FactSet Auditing Viewer?action=AUDIT_VALUE&amp;DB=129&amp;ID1=16890510&amp;VALUEID=02101&amp;SDATE=200802&amp;PERIODTYPE=QTR_STD&amp;window=popup_no_bar&amp;width=385&amp;height=120&amp;START_MAXIMIZED=FALSE&amp;creator=factset&amp;display_string=Audit"}</definedName>
    <definedName name="_428__FDSAUDITLINK__" hidden="1">{"fdsup://Directions/FactSet Auditing Viewer?action=AUDIT_VALUE&amp;DB=129&amp;ID1=16890510&amp;VALUEID=13040&amp;SDATE=200803&amp;PERIODTYPE=QTR_STD&amp;window=popup_no_bar&amp;width=385&amp;height=120&amp;START_MAXIMIZED=FALSE&amp;creator=factset&amp;display_string=Audit"}</definedName>
    <definedName name="_429__FDSAUDITLINK__" hidden="1">{"fdsup://Directions/FactSet Auditing Viewer?action=AUDIT_VALUE&amp;DB=129&amp;ID1=16890510&amp;VALUEID=01001&amp;SDATE=200803&amp;PERIODTYPE=QTR_STD&amp;window=popup_no_bar&amp;width=385&amp;height=120&amp;START_MAXIMIZED=FALSE&amp;creator=factset&amp;display_string=Audit"}</definedName>
    <definedName name="_43__FDSAUDITLINK__" hidden="1">{"fdsup://Directions/FactSet Auditing Viewer?action=AUDIT_VALUE&amp;DB=129&amp;ID1=03611510&amp;VALUEID=02101&amp;SDATE=200903&amp;PERIODTYPE=QTR_STD&amp;window=popup_no_bar&amp;width=385&amp;height=120&amp;START_MAXIMIZED=FALSE&amp;creator=factset&amp;display_string=Audit"}</definedName>
    <definedName name="_430__FDSAUDITLINK__" hidden="1">{"fdsup://Directions/FactSet Auditing Viewer?action=AUDIT_VALUE&amp;DB=129&amp;ID1=16890510&amp;VALUEID=02101&amp;SDATE=200803&amp;PERIODTYPE=QTR_STD&amp;window=popup_no_bar&amp;width=385&amp;height=120&amp;START_MAXIMIZED=FALSE&amp;creator=factset&amp;display_string=Audit"}</definedName>
    <definedName name="_431__FDSAUDITLINK__" hidden="1">{"fdsup://Directions/FactSet Auditing Viewer?action=AUDIT_VALUE&amp;DB=129&amp;ID1=16890510&amp;VALUEID=01001&amp;SDATE=200804&amp;PERIODTYPE=QTR_STD&amp;window=popup_no_bar&amp;width=385&amp;height=120&amp;START_MAXIMIZED=FALSE&amp;creator=factset&amp;display_string=Audit"}</definedName>
    <definedName name="_432__FDSAUDITLINK__" hidden="1">{"fdsup://Directions/FactSet Auditing Viewer?action=AUDIT_VALUE&amp;DB=129&amp;ID1=16890510&amp;VALUEID=01001&amp;SDATE=200901&amp;PERIODTYPE=QTR_STD&amp;window=popup_no_bar&amp;width=385&amp;height=120&amp;START_MAXIMIZED=FALSE&amp;creator=factset&amp;display_string=Audit"}</definedName>
    <definedName name="_433__FDSAUDITLINK__" hidden="1">{"fdsup://Directions/FactSet Auditing Viewer?action=AUDIT_VALUE&amp;DB=129&amp;ID1=16890510&amp;VALUEID=02101&amp;SDATE=200901&amp;PERIODTYPE=QTR_STD&amp;window=popup_no_bar&amp;width=385&amp;height=120&amp;START_MAXIMIZED=FALSE&amp;creator=factset&amp;display_string=Audit"}</definedName>
    <definedName name="_434__FDSAUDITLINK__" hidden="1">{"fdsup://Directions/FactSet Auditing Viewer?action=AUDIT_VALUE&amp;DB=129&amp;ID1=16890510&amp;VALUEID=13040&amp;SDATE=200902&amp;PERIODTYPE=QTR_STD&amp;window=popup_no_bar&amp;width=385&amp;height=120&amp;START_MAXIMIZED=FALSE&amp;creator=factset&amp;display_string=Audit"}</definedName>
    <definedName name="_435__FDSAUDITLINK__" hidden="1">{"fdsup://Directions/FactSet Auditing Viewer?action=AUDIT_VALUE&amp;DB=129&amp;ID1=16890510&amp;VALUEID=01001&amp;SDATE=200902&amp;PERIODTYPE=QTR_STD&amp;window=popup_no_bar&amp;width=385&amp;height=120&amp;START_MAXIMIZED=FALSE&amp;creator=factset&amp;display_string=Audit"}</definedName>
    <definedName name="_436__FDSAUDITLINK__" hidden="1">{"fdsup://Directions/FactSet Auditing Viewer?action=AUDIT_VALUE&amp;DB=129&amp;ID1=16890510&amp;VALUEID=02101&amp;SDATE=200902&amp;PERIODTYPE=QTR_STD&amp;window=popup_no_bar&amp;width=385&amp;height=120&amp;START_MAXIMIZED=FALSE&amp;creator=factset&amp;display_string=Audit"}</definedName>
    <definedName name="_437__FDSAUDITLINK__" hidden="1">{"fdsup://Directions/FactSet Auditing Viewer?action=AUDIT_VALUE&amp;DB=129&amp;ID1=16890510&amp;VALUEID=13040&amp;SDATE=200903&amp;PERIODTYPE=QTR_STD&amp;window=popup_no_bar&amp;width=385&amp;height=120&amp;START_MAXIMIZED=FALSE&amp;creator=factset&amp;display_string=Audit"}</definedName>
    <definedName name="_438__FDSAUDITLINK__" hidden="1">{"fdsup://Directions/FactSet Auditing Viewer?action=AUDIT_VALUE&amp;DB=129&amp;ID1=16890510&amp;VALUEID=01001&amp;SDATE=200903&amp;PERIODTYPE=QTR_STD&amp;window=popup_no_bar&amp;width=385&amp;height=120&amp;START_MAXIMIZED=FALSE&amp;creator=factset&amp;display_string=Audit"}</definedName>
    <definedName name="_439__FDSAUDITLINK__" hidden="1">{"fdsup://Directions/FactSet Auditing Viewer?action=AUDIT_VALUE&amp;DB=129&amp;ID1=16890510&amp;VALUEID=02101&amp;SDATE=200903&amp;PERIODTYPE=QTR_STD&amp;window=popup_no_bar&amp;width=385&amp;height=120&amp;START_MAXIMIZED=FALSE&amp;creator=factset&amp;display_string=Audit"}</definedName>
    <definedName name="_44__FDSAUDITLINK__" hidden="1">{"fdsup://Directions/FactSet Auditing Viewer?action=AUDIT_VALUE&amp;DB=129&amp;ID1=03611510&amp;VALUEID=01001&amp;SDATE=200903&amp;PERIODTYPE=QTR_STD&amp;window=popup_no_bar&amp;width=385&amp;height=120&amp;START_MAXIMIZED=FALSE&amp;creator=factset&amp;display_string=Audit"}</definedName>
    <definedName name="_440__FDSAUDITLINK__" hidden="1">{"fdsup://Directions/FactSet Auditing Viewer?action=AUDIT_VALUE&amp;DB=129&amp;ID1=16890510&amp;VALUEID=01001&amp;SDATE=200904&amp;PERIODTYPE=QTR_STD&amp;window=popup_no_bar&amp;width=385&amp;height=120&amp;START_MAXIMIZED=FALSE&amp;creator=factset&amp;display_string=Audit"}</definedName>
    <definedName name="_441__FDSAUDITLINK__" hidden="1">{"fdsup://Directions/FactSet Auditing Viewer?action=AUDIT_VALUE&amp;DB=129&amp;ID1=16890510&amp;VALUEID=13040&amp;SDATE=201001&amp;PERIODTYPE=QTR_STD&amp;window=popup_no_bar&amp;width=385&amp;height=120&amp;START_MAXIMIZED=FALSE&amp;creator=factset&amp;display_string=Audit"}</definedName>
    <definedName name="_442__FDSAUDITLINK__" hidden="1">{"fdsup://Directions/FactSet Auditing Viewer?action=AUDIT_VALUE&amp;DB=129&amp;ID1=16890510&amp;VALUEID=01001&amp;SDATE=201001&amp;PERIODTYPE=QTR_STD&amp;window=popup_no_bar&amp;width=385&amp;height=120&amp;START_MAXIMIZED=FALSE&amp;creator=factset&amp;display_string=Audit"}</definedName>
    <definedName name="_443__FDSAUDITLINK__" hidden="1">{"fdsup://Directions/FactSet Auditing Viewer?action=AUDIT_VALUE&amp;DB=129&amp;ID1=16890510&amp;VALUEID=02101&amp;SDATE=201001&amp;PERIODTYPE=QTR_STD&amp;window=popup_no_bar&amp;width=385&amp;height=120&amp;START_MAXIMIZED=FALSE&amp;creator=factset&amp;display_string=Audit"}</definedName>
    <definedName name="_444__FDSAUDITLINK__" hidden="1">{"fdsup://Directions/FactSet Auditing Viewer?action=AUDIT_VALUE&amp;DB=129&amp;ID1=87416110&amp;VALUEID=02101&amp;SDATE=201001&amp;PERIODTYPE=QTR_STD&amp;window=popup_no_bar&amp;width=385&amp;height=120&amp;START_MAXIMIZED=FALSE&amp;creator=factset&amp;display_string=Audit"}</definedName>
    <definedName name="_445__FDSAUDITLINK__" hidden="1">{"fdsup://Directions/FactSet Auditing Viewer?action=AUDIT_VALUE&amp;DB=129&amp;ID1=87416110&amp;VALUEID=13040&amp;SDATE=201001&amp;PERIODTYPE=QTR_STD&amp;window=popup_no_bar&amp;width=385&amp;height=120&amp;START_MAXIMIZED=FALSE&amp;creator=factset&amp;display_string=Audit"}</definedName>
    <definedName name="_446__FDSAUDITLINK__" hidden="1">{"fdsup://directions/FAT Viewer?action=UPDATE&amp;creator=factset&amp;DYN_ARGS=TRUE&amp;DOC_NAME=FAT:FQL_AUDITING_CLIENT_TEMPLATE.FAT&amp;display_string=Audit&amp;VAR:KEY=FSTUHMJIBA&amp;VAR:QUERY=RkZfUlRfU0ZfVE9UX0dST1NTKFFUUiwwKQ==&amp;WINDOW=FIRST_POPUP&amp;HEIGHT=450&amp;WIDTH=450&amp;START_MA","XIMIZED=FALSE&amp;VAR:CALENDAR=US&amp;VAR:SYMBOL=TLB&amp;VAR:INDEX=0"}</definedName>
    <definedName name="_447__FDSAUDITLINK__" hidden="1">{"fdsup://Directions/FactSet Auditing Viewer?action=AUDIT_VALUE&amp;DB=129&amp;ID1=53271610&amp;VALUEID=02101&amp;SDATE=201001&amp;PERIODTYPE=QTR_STD&amp;window=popup_no_bar&amp;width=385&amp;height=120&amp;START_MAXIMIZED=FALSE&amp;creator=factset&amp;display_string=Audit"}</definedName>
    <definedName name="_448__FDSAUDITLINK__" hidden="1">{"fdsup://Directions/FactSet Auditing Viewer?action=AUDIT_VALUE&amp;DB=129&amp;ID1=53271610&amp;VALUEID=13040&amp;SDATE=201001&amp;PERIODTYPE=QTR_STD&amp;window=popup_no_bar&amp;width=385&amp;height=120&amp;START_MAXIMIZED=FALSE&amp;creator=factset&amp;display_string=Audit"}</definedName>
    <definedName name="_449__FDSAUDITLINK__" hidden="1">{"fdsup://Directions/FactSet Auditing Viewer?action=AUDIT_VALUE&amp;DB=129&amp;ID1=46612H40&amp;VALUEID=02101&amp;SDATE=201001&amp;PERIODTYPE=QTR_STD&amp;window=popup_no_bar&amp;width=385&amp;height=120&amp;START_MAXIMIZED=FALSE&amp;creator=factset&amp;display_string=Audit"}</definedName>
    <definedName name="_45__FDSAUDITLINK__" hidden="1">{"fdsup://Directions/FactSet Auditing Viewer?action=AUDIT_VALUE&amp;DB=129&amp;ID1=03611510&amp;VALUEID=13040&amp;SDATE=200903&amp;PERIODTYPE=QTR_STD&amp;window=popup_no_bar&amp;width=385&amp;height=120&amp;START_MAXIMIZED=FALSE&amp;creator=factset&amp;display_string=Audit"}</definedName>
    <definedName name="_450__FDSAUDITLINK__" hidden="1">{"fdsup://Directions/FactSet Auditing Viewer?action=AUDIT_VALUE&amp;DB=129&amp;ID1=46612H40&amp;VALUEID=13040&amp;SDATE=201001&amp;PERIODTYPE=QTR_STD&amp;window=popup_no_bar&amp;width=385&amp;height=120&amp;START_MAXIMIZED=FALSE&amp;creator=factset&amp;display_string=Audit"}</definedName>
    <definedName name="_451__FDSAUDITLINK__" hidden="1">{"fdsup://Directions/FactSet Auditing Viewer?action=AUDIT_VALUE&amp;DB=129&amp;ID1=36476010&amp;VALUEID=02101&amp;SDATE=201001&amp;PERIODTYPE=QTR_STD&amp;window=popup_no_bar&amp;width=385&amp;height=120&amp;START_MAXIMIZED=FALSE&amp;creator=factset&amp;display_string=Audit"}</definedName>
    <definedName name="_452__FDSAUDITLINK__" hidden="1">{"fdsup://Directions/FactSet Auditing Viewer?action=AUDIT_VALUE&amp;DB=129&amp;ID1=36476010&amp;VALUEID=13040&amp;SDATE=201001&amp;PERIODTYPE=QTR_STD&amp;window=popup_no_bar&amp;width=385&amp;height=120&amp;START_MAXIMIZED=FALSE&amp;creator=factset&amp;display_string=Audit"}</definedName>
    <definedName name="_453__FDSAUDITLINK__" hidden="1">{"fdsup://Directions/FactSet Auditing Viewer?action=AUDIT_VALUE&amp;DB=129&amp;ID1=03611510&amp;VALUEID=02101&amp;SDATE=201001&amp;PERIODTYPE=QTR_STD&amp;window=popup_no_bar&amp;width=385&amp;height=120&amp;START_MAXIMIZED=FALSE&amp;creator=factset&amp;display_string=Audit"}</definedName>
    <definedName name="_454__FDSAUDITLINK__" hidden="1">{"fdsup://Directions/FactSet Auditing Viewer?action=AUDIT_VALUE&amp;DB=129&amp;ID1=03611510&amp;VALUEID=13040&amp;SDATE=201001&amp;PERIODTYPE=QTR_STD&amp;window=popup_no_bar&amp;width=385&amp;height=120&amp;START_MAXIMIZED=FALSE&amp;creator=factset&amp;display_string=Audit"}</definedName>
    <definedName name="_455__FDSAUDITLINK__" hidden="1">{"fdsup://Directions/FactSet Auditing Viewer?action=AUDIT_VALUE&amp;DB=129&amp;ID1=16890510&amp;VALUEID=02101&amp;SDATE=201001&amp;PERIODTYPE=QTR_STD&amp;window=popup_no_bar&amp;width=385&amp;height=120&amp;START_MAXIMIZED=FALSE&amp;creator=factset&amp;display_string=Audit"}</definedName>
    <definedName name="_456__FDSAUDITLINK__" hidden="1">{"fdsup://Directions/FactSet Auditing Viewer?action=AUDIT_VALUE&amp;DB=129&amp;ID1=91704710&amp;VALUEID=02101&amp;SDATE=201001&amp;PERIODTYPE=QTR_STD&amp;window=popup_no_bar&amp;width=385&amp;height=120&amp;START_MAXIMIZED=FALSE&amp;creator=factset&amp;display_string=Audit"}</definedName>
    <definedName name="_457__FDSAUDITLINK__" hidden="1">{"fdsup://Directions/FactSet Auditing Viewer?action=AUDIT_VALUE&amp;DB=129&amp;ID1=91704710&amp;VALUEID=13040&amp;SDATE=201001&amp;PERIODTYPE=QTR_STD&amp;window=popup_no_bar&amp;width=385&amp;height=120&amp;START_MAXIMIZED=FALSE&amp;creator=factset&amp;display_string=Audit"}</definedName>
    <definedName name="_458__FDSAUDITLINK__" hidden="1">{"fdsup://Directions/FactSet Auditing Viewer?action=AUDIT_VALUE&amp;DB=129&amp;ID1=02553E10&amp;VALUEID=02101&amp;SDATE=201001&amp;PERIODTYPE=QTR_STD&amp;window=popup_no_bar&amp;width=385&amp;height=120&amp;START_MAXIMIZED=FALSE&amp;creator=factset&amp;display_string=Audit"}</definedName>
    <definedName name="_459__FDSAUDITLINK__" hidden="1">{"fdsup://Directions/FactSet Auditing Viewer?action=AUDIT_VALUE&amp;DB=129&amp;ID1=02553E10&amp;VALUEID=13040&amp;SDATE=201001&amp;PERIODTYPE=QTR_STD&amp;window=popup_no_bar&amp;width=385&amp;height=120&amp;START_MAXIMIZED=FALSE&amp;creator=factset&amp;display_string=Audit"}</definedName>
    <definedName name="_46__FDSAUDITLINK__" hidden="1">{"fdsup://Directions/FactSet Auditing Viewer?action=AUDIT_VALUE&amp;DB=129&amp;ID1=16890510&amp;VALUEID=02101&amp;SDATE=200903&amp;PERIODTYPE=QTR_STD&amp;window=popup_no_bar&amp;width=385&amp;height=120&amp;START_MAXIMIZED=FALSE&amp;creator=factset&amp;display_string=Audit"}</definedName>
    <definedName name="_460__FDSAUDITLINK__" hidden="1">{"fdsup://Directions/FactSet Auditing Viewer?action=AUDIT_VALUE&amp;DB=129&amp;ID1=00786510&amp;VALUEID=02101&amp;SDATE=201001&amp;PERIODTYPE=QTR_STD&amp;window=popup_no_bar&amp;width=385&amp;height=120&amp;START_MAXIMIZED=FALSE&amp;creator=factset&amp;display_string=Audit"}</definedName>
    <definedName name="_461__FDSAUDITLINK__" hidden="1">{"fdsup://Directions/FactSet Auditing Viewer?action=AUDIT_VALUE&amp;DB=129&amp;ID1=00786510&amp;VALUEID=13040&amp;SDATE=201001&amp;PERIODTYPE=QTR_STD&amp;window=popup_no_bar&amp;width=385&amp;height=120&amp;START_MAXIMIZED=FALSE&amp;creator=factset&amp;display_string=Audit"}</definedName>
    <definedName name="_462__FDSAUDITLINK__" hidden="1">{"fdsup://Directions/FactSet Auditing Viewer?action=AUDIT_VALUE&amp;DB=129&amp;ID1=00289620&amp;VALUEID=02101&amp;SDATE=201001&amp;PERIODTYPE=QTR_STD&amp;window=popup_no_bar&amp;width=385&amp;height=120&amp;START_MAXIMIZED=FALSE&amp;creator=factset&amp;display_string=Audit"}</definedName>
    <definedName name="_463__FDSAUDITLINK__" hidden="1">{"fdsup://Directions/FactSet Auditing Viewer?action=AUDIT_VALUE&amp;DB=129&amp;ID1=00289620&amp;VALUEID=13040&amp;SDATE=201001&amp;PERIODTYPE=QTR_STD&amp;window=popup_no_bar&amp;width=385&amp;height=120&amp;START_MAXIMIZED=FALSE&amp;creator=factset&amp;display_string=Audit"}</definedName>
    <definedName name="_464__FDSAUDITLINK__" hidden="1">{"fdsup://Directions/FactSet Auditing Viewer?action=AUDIT_VALUE&amp;DB=129&amp;ID1=87416110&amp;VALUEID=01001&amp;SDATE=200904&amp;PERIODTYPE=QTR_STD&amp;window=popup_no_bar&amp;width=385&amp;height=120&amp;START_MAXIMIZED=FALSE&amp;creator=factset&amp;display_string=Audit"}</definedName>
    <definedName name="_465__FDSAUDITLINK__" hidden="1">{"fdsup://directions/FAT Viewer?action=UPDATE&amp;creator=factset&amp;DYN_ARGS=TRUE&amp;DOC_NAME=FAT:FQL_AUDITING_CLIENT_TEMPLATE.FAT&amp;display_string=Audit&amp;VAR:KEY=BIFCDOPIRG&amp;VAR:QUERY=RkZfUlRfU0ZfVE9UX0dST1NTKFFUUiwtMSk=&amp;WINDOW=FIRST_POPUP&amp;HEIGHT=450&amp;WIDTH=450&amp;START_MA","XIMIZED=FALSE&amp;VAR:CALENDAR=US&amp;VAR:SYMBOL=TLB&amp;VAR:INDEX=0"}</definedName>
    <definedName name="_466__FDSAUDITLINK__" hidden="1">{"fdsup://Directions/FactSet Auditing Viewer?action=AUDIT_VALUE&amp;DB=129&amp;ID1=46612H40&amp;VALUEID=01001&amp;SDATE=200904&amp;PERIODTYPE=QTR_STD&amp;window=popup_no_bar&amp;width=385&amp;height=120&amp;START_MAXIMIZED=FALSE&amp;creator=factset&amp;display_string=Audit"}</definedName>
    <definedName name="_467__FDSAUDITLINK__" hidden="1">{"fdsup://Directions/FactSet Auditing Viewer?action=AUDIT_VALUE&amp;DB=129&amp;ID1=36476010&amp;VALUEID=01001&amp;SDATE=200904&amp;PERIODTYPE=QTR_STD&amp;window=popup_no_bar&amp;width=385&amp;height=120&amp;START_MAXIMIZED=FALSE&amp;creator=factset&amp;display_string=Audit"}</definedName>
    <definedName name="_468__FDSAUDITLINK__" hidden="1">{"fdsup://Directions/FactSet Auditing Viewer?action=AUDIT_VALUE&amp;DB=129&amp;ID1=03611510&amp;VALUEID=01001&amp;SDATE=200904&amp;PERIODTYPE=QTR_STD&amp;window=popup_no_bar&amp;width=385&amp;height=120&amp;START_MAXIMIZED=FALSE&amp;creator=factset&amp;display_string=Audit"}</definedName>
    <definedName name="_469__FDSAUDITLINK__" hidden="1">{"fdsup://Directions/FactSet Auditing Viewer?action=AUDIT_VALUE&amp;DB=129&amp;ID1=16890510&amp;VALUEID=01001&amp;SDATE=200904&amp;PERIODTYPE=QTR_STD&amp;window=popup_no_bar&amp;width=385&amp;height=120&amp;START_MAXIMIZED=FALSE&amp;creator=factset&amp;display_string=Audit"}</definedName>
    <definedName name="_47__FDSAUDITLINK__" hidden="1">{"fdsup://Directions/FactSet Auditing Viewer?action=AUDIT_VALUE&amp;DB=129&amp;ID1=16890510&amp;VALUEID=01001&amp;SDATE=200903&amp;PERIODTYPE=QTR_STD&amp;window=popup_no_bar&amp;width=385&amp;height=120&amp;START_MAXIMIZED=FALSE&amp;creator=factset&amp;display_string=Audit"}</definedName>
    <definedName name="_470__FDSAUDITLINK__" hidden="1">{"fdsup://Directions/FactSet Auditing Viewer?action=AUDIT_VALUE&amp;DB=129&amp;ID1=91704710&amp;VALUEID=01001&amp;SDATE=200904&amp;PERIODTYPE=QTR_STD&amp;window=popup_no_bar&amp;width=385&amp;height=120&amp;START_MAXIMIZED=FALSE&amp;creator=factset&amp;display_string=Audit"}</definedName>
    <definedName name="_471__FDSAUDITLINK__" hidden="1">{"fdsup://Directions/FactSet Auditing Viewer?action=AUDIT_VALUE&amp;DB=129&amp;ID1=02553E10&amp;VALUEID=01001&amp;SDATE=200904&amp;PERIODTYPE=QTR_STD&amp;window=popup_no_bar&amp;width=385&amp;height=120&amp;START_MAXIMIZED=FALSE&amp;creator=factset&amp;display_string=Audit"}</definedName>
    <definedName name="_472__FDSAUDITLINK__" hidden="1">{"fdsup://Directions/FactSet Auditing Viewer?action=AUDIT_VALUE&amp;DB=129&amp;ID1=00786510&amp;VALUEID=01001&amp;SDATE=200904&amp;PERIODTYPE=QTR_STD&amp;window=popup_no_bar&amp;width=385&amp;height=120&amp;START_MAXIMIZED=FALSE&amp;creator=factset&amp;display_string=Audit"}</definedName>
    <definedName name="_473__FDSAUDITLINK__" hidden="1">{"fdsup://Directions/FactSet Auditing Viewer?action=AUDIT_VALUE&amp;DB=129&amp;ID1=87416110&amp;VALUEID=02101&amp;SDATE=200903&amp;PERIODTYPE=QTR_STD&amp;window=popup_no_bar&amp;width=385&amp;height=120&amp;START_MAXIMIZED=FALSE&amp;creator=factset&amp;display_string=Audit"}</definedName>
    <definedName name="_474__FDSAUDITLINK__" hidden="1">{"fdsup://Directions/FactSet Auditing Viewer?action=AUDIT_VALUE&amp;DB=129&amp;ID1=87416110&amp;VALUEID=01001&amp;SDATE=200903&amp;PERIODTYPE=QTR_STD&amp;window=popup_no_bar&amp;width=385&amp;height=120&amp;START_MAXIMIZED=FALSE&amp;creator=factset&amp;display_string=Audit"}</definedName>
    <definedName name="_475__FDSAUDITLINK__" hidden="1">{"fdsup://Directions/FactSet Auditing Viewer?action=AUDIT_VALUE&amp;DB=129&amp;ID1=87416110&amp;VALUEID=13040&amp;SDATE=200903&amp;PERIODTYPE=QTR_STD&amp;window=popup_no_bar&amp;width=385&amp;height=120&amp;START_MAXIMIZED=FALSE&amp;creator=factset&amp;display_string=Audit"}</definedName>
    <definedName name="_476__FDSAUDITLINK__" hidden="1">{"fdsup://directions/FAT Viewer?action=UPDATE&amp;creator=factset&amp;DYN_ARGS=TRUE&amp;DOC_NAME=FAT:FQL_AUDITING_CLIENT_TEMPLATE.FAT&amp;display_string=Audit&amp;VAR:KEY=XAZODYBEXK&amp;VAR:QUERY=RkZfUlRfU0ZfVE9UX0dST1NTKFFUUiwtMik=&amp;WINDOW=FIRST_POPUP&amp;HEIGHT=450&amp;WIDTH=450&amp;START_MA","XIMIZED=FALSE&amp;VAR:CALENDAR=US&amp;VAR:SYMBOL=TLB&amp;VAR:INDEX=0"}</definedName>
    <definedName name="_477__FDSAUDITLINK__" hidden="1">{"fdsup://Directions/FactSet Auditing Viewer?action=AUDIT_VALUE&amp;DB=129&amp;ID1=53271610&amp;VALUEID=02101&amp;SDATE=200903&amp;PERIODTYPE=QTR_STD&amp;window=popup_no_bar&amp;width=385&amp;height=120&amp;START_MAXIMIZED=FALSE&amp;creator=factset&amp;display_string=Audit"}</definedName>
    <definedName name="_478__FDSAUDITLINK__" hidden="1">{"fdsup://Directions/FactSet Auditing Viewer?action=AUDIT_VALUE&amp;DB=129&amp;ID1=53271610&amp;VALUEID=01001&amp;SDATE=200903&amp;PERIODTYPE=QTR_STD&amp;window=popup_no_bar&amp;width=385&amp;height=120&amp;START_MAXIMIZED=FALSE&amp;creator=factset&amp;display_string=Audit"}</definedName>
    <definedName name="_479__FDSAUDITLINK__" hidden="1">{"fdsup://Directions/FactSet Auditing Viewer?action=AUDIT_VALUE&amp;DB=129&amp;ID1=53271610&amp;VALUEID=13040&amp;SDATE=200903&amp;PERIODTYPE=QTR_STD&amp;window=popup_no_bar&amp;width=385&amp;height=120&amp;START_MAXIMIZED=FALSE&amp;creator=factset&amp;display_string=Audit"}</definedName>
    <definedName name="_48__FDSAUDITLINK__" hidden="1">{"fdsup://Directions/FactSet Auditing Viewer?action=AUDIT_VALUE&amp;DB=129&amp;ID1=91704710&amp;VALUEID=02101&amp;SDATE=200903&amp;PERIODTYPE=QTR_STD&amp;window=popup_no_bar&amp;width=385&amp;height=120&amp;START_MAXIMIZED=FALSE&amp;creator=factset&amp;display_string=Audit"}</definedName>
    <definedName name="_480__FDSAUDITLINK__" hidden="1">{"fdsup://Directions/FactSet Auditing Viewer?action=AUDIT_VALUE&amp;DB=129&amp;ID1=46612H40&amp;VALUEID=02101&amp;SDATE=200903&amp;PERIODTYPE=QTR_STD&amp;window=popup_no_bar&amp;width=385&amp;height=120&amp;START_MAXIMIZED=FALSE&amp;creator=factset&amp;display_string=Audit"}</definedName>
    <definedName name="_481__FDSAUDITLINK__" hidden="1">{"fdsup://Directions/FactSet Auditing Viewer?action=AUDIT_VALUE&amp;DB=129&amp;ID1=46612H40&amp;VALUEID=01001&amp;SDATE=200903&amp;PERIODTYPE=QTR_STD&amp;window=popup_no_bar&amp;width=385&amp;height=120&amp;START_MAXIMIZED=FALSE&amp;creator=factset&amp;display_string=Audit"}</definedName>
    <definedName name="_482__FDSAUDITLINK__" hidden="1">{"fdsup://Directions/FactSet Auditing Viewer?action=AUDIT_VALUE&amp;DB=129&amp;ID1=46612H40&amp;VALUEID=13040&amp;SDATE=200903&amp;PERIODTYPE=QTR_STD&amp;window=popup_no_bar&amp;width=385&amp;height=120&amp;START_MAXIMIZED=FALSE&amp;creator=factset&amp;display_string=Audit"}</definedName>
    <definedName name="_483__FDSAUDITLINK__" hidden="1">{"fdsup://Directions/FactSet Auditing Viewer?action=AUDIT_VALUE&amp;DB=129&amp;ID1=36476010&amp;VALUEID=02101&amp;SDATE=200903&amp;PERIODTYPE=QTR_STD&amp;window=popup_no_bar&amp;width=385&amp;height=120&amp;START_MAXIMIZED=FALSE&amp;creator=factset&amp;display_string=Audit"}</definedName>
    <definedName name="_484__FDSAUDITLINK__" hidden="1">{"fdsup://Directions/FactSet Auditing Viewer?action=AUDIT_VALUE&amp;DB=129&amp;ID1=36476010&amp;VALUEID=01001&amp;SDATE=200903&amp;PERIODTYPE=QTR_STD&amp;window=popup_no_bar&amp;width=385&amp;height=120&amp;START_MAXIMIZED=FALSE&amp;creator=factset&amp;display_string=Audit"}</definedName>
    <definedName name="_485__FDSAUDITLINK__" hidden="1">{"fdsup://Directions/FactSet Auditing Viewer?action=AUDIT_VALUE&amp;DB=129&amp;ID1=36476010&amp;VALUEID=13040&amp;SDATE=200903&amp;PERIODTYPE=QTR_STD&amp;window=popup_no_bar&amp;width=385&amp;height=120&amp;START_MAXIMIZED=FALSE&amp;creator=factset&amp;display_string=Audit"}</definedName>
    <definedName name="_486__FDSAUDITLINK__" hidden="1">{"fdsup://Directions/FactSet Auditing Viewer?action=AUDIT_VALUE&amp;DB=129&amp;ID1=03611510&amp;VALUEID=02101&amp;SDATE=200903&amp;PERIODTYPE=QTR_STD&amp;window=popup_no_bar&amp;width=385&amp;height=120&amp;START_MAXIMIZED=FALSE&amp;creator=factset&amp;display_string=Audit"}</definedName>
    <definedName name="_487__FDSAUDITLINK__" hidden="1">{"fdsup://Directions/FactSet Auditing Viewer?action=AUDIT_VALUE&amp;DB=129&amp;ID1=03611510&amp;VALUEID=01001&amp;SDATE=200903&amp;PERIODTYPE=QTR_STD&amp;window=popup_no_bar&amp;width=385&amp;height=120&amp;START_MAXIMIZED=FALSE&amp;creator=factset&amp;display_string=Audit"}</definedName>
    <definedName name="_488__FDSAUDITLINK__" hidden="1">{"fdsup://Directions/FactSet Auditing Viewer?action=AUDIT_VALUE&amp;DB=129&amp;ID1=03611510&amp;VALUEID=13040&amp;SDATE=200903&amp;PERIODTYPE=QTR_STD&amp;window=popup_no_bar&amp;width=385&amp;height=120&amp;START_MAXIMIZED=FALSE&amp;creator=factset&amp;display_string=Audit"}</definedName>
    <definedName name="_489__FDSAUDITLINK__" hidden="1">{"fdsup://Directions/FactSet Auditing Viewer?action=AUDIT_VALUE&amp;DB=129&amp;ID1=16890510&amp;VALUEID=02101&amp;SDATE=200903&amp;PERIODTYPE=QTR_STD&amp;window=popup_no_bar&amp;width=385&amp;height=120&amp;START_MAXIMIZED=FALSE&amp;creator=factset&amp;display_string=Audit"}</definedName>
    <definedName name="_49__FDSAUDITLINK__" hidden="1">{"fdsup://Directions/FactSet Auditing Viewer?action=AUDIT_VALUE&amp;DB=129&amp;ID1=91704710&amp;VALUEID=01001&amp;SDATE=200903&amp;PERIODTYPE=QTR_STD&amp;window=popup_no_bar&amp;width=385&amp;height=120&amp;START_MAXIMIZED=FALSE&amp;creator=factset&amp;display_string=Audit"}</definedName>
    <definedName name="_490__FDSAUDITLINK__" hidden="1">{"fdsup://Directions/FactSet Auditing Viewer?action=AUDIT_VALUE&amp;DB=129&amp;ID1=16890510&amp;VALUEID=01001&amp;SDATE=200903&amp;PERIODTYPE=QTR_STD&amp;window=popup_no_bar&amp;width=385&amp;height=120&amp;START_MAXIMIZED=FALSE&amp;creator=factset&amp;display_string=Audit"}</definedName>
    <definedName name="_491__FDSAUDITLINK__" hidden="1">{"fdsup://Directions/FactSet Auditing Viewer?action=AUDIT_VALUE&amp;DB=129&amp;ID1=91704710&amp;VALUEID=02101&amp;SDATE=200903&amp;PERIODTYPE=QTR_STD&amp;window=popup_no_bar&amp;width=385&amp;height=120&amp;START_MAXIMIZED=FALSE&amp;creator=factset&amp;display_string=Audit"}</definedName>
    <definedName name="_492__FDSAUDITLINK__" hidden="1">{"fdsup://Directions/FactSet Auditing Viewer?action=AUDIT_VALUE&amp;DB=129&amp;ID1=91704710&amp;VALUEID=01001&amp;SDATE=200903&amp;PERIODTYPE=QTR_STD&amp;window=popup_no_bar&amp;width=385&amp;height=120&amp;START_MAXIMIZED=FALSE&amp;creator=factset&amp;display_string=Audit"}</definedName>
    <definedName name="_493__FDSAUDITLINK__" hidden="1">{"fdsup://Directions/FactSet Auditing Viewer?action=AUDIT_VALUE&amp;DB=129&amp;ID1=91704710&amp;VALUEID=13040&amp;SDATE=200903&amp;PERIODTYPE=QTR_STD&amp;window=popup_no_bar&amp;width=385&amp;height=120&amp;START_MAXIMIZED=FALSE&amp;creator=factset&amp;display_string=Audit"}</definedName>
    <definedName name="_494__FDSAUDITLINK__" hidden="1">{"fdsup://Directions/FactSet Auditing Viewer?action=AUDIT_VALUE&amp;DB=129&amp;ID1=02553E10&amp;VALUEID=02101&amp;SDATE=200903&amp;PERIODTYPE=QTR_STD&amp;window=popup_no_bar&amp;width=385&amp;height=120&amp;START_MAXIMIZED=FALSE&amp;creator=factset&amp;display_string=Audit"}</definedName>
    <definedName name="_495__FDSAUDITLINK__" hidden="1">{"fdsup://Directions/FactSet Auditing Viewer?action=AUDIT_VALUE&amp;DB=129&amp;ID1=02553E10&amp;VALUEID=01001&amp;SDATE=200903&amp;PERIODTYPE=QTR_STD&amp;window=popup_no_bar&amp;width=385&amp;height=120&amp;START_MAXIMIZED=FALSE&amp;creator=factset&amp;display_string=Audit"}</definedName>
    <definedName name="_496__FDSAUDITLINK__" hidden="1">{"fdsup://Directions/FactSet Auditing Viewer?action=AUDIT_VALUE&amp;DB=129&amp;ID1=00786510&amp;VALUEID=02101&amp;SDATE=200903&amp;PERIODTYPE=QTR_STD&amp;window=popup_no_bar&amp;width=385&amp;height=120&amp;START_MAXIMIZED=FALSE&amp;creator=factset&amp;display_string=Audit"}</definedName>
    <definedName name="_497__FDSAUDITLINK__" hidden="1">{"fdsup://Directions/FactSet Auditing Viewer?action=AUDIT_VALUE&amp;DB=129&amp;ID1=00786510&amp;VALUEID=01001&amp;SDATE=200903&amp;PERIODTYPE=QTR_STD&amp;window=popup_no_bar&amp;width=385&amp;height=120&amp;START_MAXIMIZED=FALSE&amp;creator=factset&amp;display_string=Audit"}</definedName>
    <definedName name="_498__FDSAUDITLINK__" hidden="1">{"fdsup://Directions/FactSet Auditing Viewer?action=AUDIT_VALUE&amp;DB=129&amp;ID1=00786510&amp;VALUEID=13040&amp;SDATE=200903&amp;PERIODTYPE=QTR_STD&amp;window=popup_no_bar&amp;width=385&amp;height=120&amp;START_MAXIMIZED=FALSE&amp;creator=factset&amp;display_string=Audit"}</definedName>
    <definedName name="_499__FDSAUDITLINK__" hidden="1">{"fdsup://Directions/FactSet Auditing Viewer?action=AUDIT_VALUE&amp;DB=129&amp;ID1=00289620&amp;VALUEID=02101&amp;SDATE=200903&amp;PERIODTYPE=QTR_STD&amp;window=popup_no_bar&amp;width=385&amp;height=120&amp;START_MAXIMIZED=FALSE&amp;creator=factset&amp;display_string=Audit"}</definedName>
    <definedName name="_5__123Graph_Aｸﾞﾗﾌ_1" hidden="1">[2]ｾｸﾞﾒﾝﾄ!$E$164:$I$164</definedName>
    <definedName name="_5__FDSAUDITLINK__" hidden="1">{"fdsup://Directions/FactSet Auditing Viewer?action=AUDIT_VALUE&amp;DB=129&amp;ID1=53271610&amp;VALUEID=13040&amp;SDATE=201001&amp;PERIODTYPE=QTR_STD&amp;window=popup_no_bar&amp;width=385&amp;height=120&amp;START_MAXIMIZED=FALSE&amp;creator=factset&amp;display_string=Audit"}</definedName>
    <definedName name="_50__FDSAUDITLINK__" hidden="1">{"fdsup://Directions/FactSet Auditing Viewer?action=AUDIT_VALUE&amp;DB=129&amp;ID1=91704710&amp;VALUEID=13040&amp;SDATE=200903&amp;PERIODTYPE=QTR_STD&amp;window=popup_no_bar&amp;width=385&amp;height=120&amp;START_MAXIMIZED=FALSE&amp;creator=factset&amp;display_string=Audit"}</definedName>
    <definedName name="_500__FDSAUDITLINK__" hidden="1">{"fdsup://Directions/FactSet Auditing Viewer?action=AUDIT_VALUE&amp;DB=129&amp;ID1=00289620&amp;VALUEID=01001&amp;SDATE=200903&amp;PERIODTYPE=QTR_STD&amp;window=popup_no_bar&amp;width=385&amp;height=120&amp;START_MAXIMIZED=FALSE&amp;creator=factset&amp;display_string=Audit"}</definedName>
    <definedName name="_501__FDSAUDITLINK__" hidden="1">{"fdsup://Directions/FactSet Auditing Viewer?action=AUDIT_VALUE&amp;DB=129&amp;ID1=00289620&amp;VALUEID=13040&amp;SDATE=200903&amp;PERIODTYPE=QTR_STD&amp;window=popup_no_bar&amp;width=385&amp;height=120&amp;START_MAXIMIZED=FALSE&amp;creator=factset&amp;display_string=Audit"}</definedName>
    <definedName name="_502__FDSAUDITLINK__" hidden="1">{"fdsup://Directions/FactSet Auditing Viewer?action=AUDIT_VALUE&amp;DB=129&amp;ID1=87416110&amp;VALUEID=02101&amp;SDATE=200902&amp;PERIODTYPE=QTR_STD&amp;window=popup_no_bar&amp;width=385&amp;height=120&amp;START_MAXIMIZED=FALSE&amp;creator=factset&amp;display_string=Audit"}</definedName>
    <definedName name="_503__FDSAUDITLINK__" hidden="1">{"fdsup://Directions/FactSet Auditing Viewer?action=AUDIT_VALUE&amp;DB=129&amp;ID1=87416110&amp;VALUEID=01001&amp;SDATE=200902&amp;PERIODTYPE=QTR_STD&amp;window=popup_no_bar&amp;width=385&amp;height=120&amp;START_MAXIMIZED=FALSE&amp;creator=factset&amp;display_string=Audit"}</definedName>
    <definedName name="_504__FDSAUDITLINK__" hidden="1">{"fdsup://Directions/FactSet Auditing Viewer?action=AUDIT_VALUE&amp;DB=129&amp;ID1=53271610&amp;VALUEID=02101&amp;SDATE=200902&amp;PERIODTYPE=QTR_STD&amp;window=popup_no_bar&amp;width=385&amp;height=120&amp;START_MAXIMIZED=FALSE&amp;creator=factset&amp;display_string=Audit"}</definedName>
    <definedName name="_505__FDSAUDITLINK__" hidden="1">{"fdsup://Directions/FactSet Auditing Viewer?action=AUDIT_VALUE&amp;DB=129&amp;ID1=53271610&amp;VALUEID=01001&amp;SDATE=200902&amp;PERIODTYPE=QTR_STD&amp;window=popup_no_bar&amp;width=385&amp;height=120&amp;START_MAXIMIZED=FALSE&amp;creator=factset&amp;display_string=Audit"}</definedName>
    <definedName name="_506__FDSAUDITLINK__" hidden="1">{"fdsup://Directions/FactSet Auditing Viewer?action=AUDIT_VALUE&amp;DB=129&amp;ID1=53271610&amp;VALUEID=13040&amp;SDATE=200902&amp;PERIODTYPE=QTR_STD&amp;window=popup_no_bar&amp;width=385&amp;height=120&amp;START_MAXIMIZED=FALSE&amp;creator=factset&amp;display_string=Audit"}</definedName>
    <definedName name="_507__FDSAUDITLINK__" hidden="1">{"fdsup://Directions/FactSet Auditing Viewer?action=AUDIT_VALUE&amp;DB=129&amp;ID1=46612H40&amp;VALUEID=02101&amp;SDATE=200902&amp;PERIODTYPE=QTR_STD&amp;window=popup_no_bar&amp;width=385&amp;height=120&amp;START_MAXIMIZED=FALSE&amp;creator=factset&amp;display_string=Audit"}</definedName>
    <definedName name="_508__FDSAUDITLINK__" hidden="1">{"fdsup://Directions/FactSet Auditing Viewer?action=AUDIT_VALUE&amp;DB=129&amp;ID1=46612H40&amp;VALUEID=01001&amp;SDATE=200902&amp;PERIODTYPE=QTR_STD&amp;window=popup_no_bar&amp;width=385&amp;height=120&amp;START_MAXIMIZED=FALSE&amp;creator=factset&amp;display_string=Audit"}</definedName>
    <definedName name="_509__FDSAUDITLINK__" hidden="1">{"fdsup://Directions/FactSet Auditing Viewer?action=AUDIT_VALUE&amp;DB=129&amp;ID1=46612H40&amp;VALUEID=13040&amp;SDATE=200902&amp;PERIODTYPE=QTR_STD&amp;window=popup_no_bar&amp;width=385&amp;height=120&amp;START_MAXIMIZED=FALSE&amp;creator=factset&amp;display_string=Audit"}</definedName>
    <definedName name="_51__FDSAUDITLINK__" hidden="1">{"fdsup://Directions/FactSet Auditing Viewer?action=AUDIT_VALUE&amp;DB=129&amp;ID1=02553E10&amp;VALUEID=02101&amp;SDATE=200903&amp;PERIODTYPE=QTR_STD&amp;window=popup_no_bar&amp;width=385&amp;height=120&amp;START_MAXIMIZED=FALSE&amp;creator=factset&amp;display_string=Audit"}</definedName>
    <definedName name="_510__FDSAUDITLINK__" hidden="1">{"fdsup://Directions/FactSet Auditing Viewer?action=AUDIT_VALUE&amp;DB=129&amp;ID1=36476010&amp;VALUEID=02101&amp;SDATE=200902&amp;PERIODTYPE=QTR_STD&amp;window=popup_no_bar&amp;width=385&amp;height=120&amp;START_MAXIMIZED=FALSE&amp;creator=factset&amp;display_string=Audit"}</definedName>
    <definedName name="_511__FDSAUDITLINK__" hidden="1">{"fdsup://Directions/FactSet Auditing Viewer?action=AUDIT_VALUE&amp;DB=129&amp;ID1=36476010&amp;VALUEID=01001&amp;SDATE=200902&amp;PERIODTYPE=QTR_STD&amp;window=popup_no_bar&amp;width=385&amp;height=120&amp;START_MAXIMIZED=FALSE&amp;creator=factset&amp;display_string=Audit"}</definedName>
    <definedName name="_512__FDSAUDITLINK__" hidden="1">{"fdsup://Directions/FactSet Auditing Viewer?action=AUDIT_VALUE&amp;DB=129&amp;ID1=36476010&amp;VALUEID=13040&amp;SDATE=200902&amp;PERIODTYPE=QTR_STD&amp;window=popup_no_bar&amp;width=385&amp;height=120&amp;START_MAXIMIZED=FALSE&amp;creator=factset&amp;display_string=Audit"}</definedName>
    <definedName name="_513__FDSAUDITLINK__" hidden="1">{"fdsup://Directions/FactSet Auditing Viewer?action=AUDIT_VALUE&amp;DB=129&amp;ID1=03611510&amp;VALUEID=02101&amp;SDATE=200902&amp;PERIODTYPE=QTR_STD&amp;window=popup_no_bar&amp;width=385&amp;height=120&amp;START_MAXIMIZED=FALSE&amp;creator=factset&amp;display_string=Audit"}</definedName>
    <definedName name="_514__FDSAUDITLINK__" hidden="1">{"fdsup://Directions/FactSet Auditing Viewer?action=AUDIT_VALUE&amp;DB=129&amp;ID1=03611510&amp;VALUEID=01001&amp;SDATE=200902&amp;PERIODTYPE=QTR_STD&amp;window=popup_no_bar&amp;width=385&amp;height=120&amp;START_MAXIMIZED=FALSE&amp;creator=factset&amp;display_string=Audit"}</definedName>
    <definedName name="_515__FDSAUDITLINK__" hidden="1">{"fdsup://Directions/FactSet Auditing Viewer?action=AUDIT_VALUE&amp;DB=129&amp;ID1=03611510&amp;VALUEID=13040&amp;SDATE=200902&amp;PERIODTYPE=QTR_STD&amp;window=popup_no_bar&amp;width=385&amp;height=120&amp;START_MAXIMIZED=FALSE&amp;creator=factset&amp;display_string=Audit"}</definedName>
    <definedName name="_516__FDSAUDITLINK__" hidden="1">{"fdsup://Directions/FactSet Auditing Viewer?action=AUDIT_VALUE&amp;DB=129&amp;ID1=16890510&amp;VALUEID=02101&amp;SDATE=200902&amp;PERIODTYPE=QTR_STD&amp;window=popup_no_bar&amp;width=385&amp;height=120&amp;START_MAXIMIZED=FALSE&amp;creator=factset&amp;display_string=Audit"}</definedName>
    <definedName name="_517__FDSAUDITLINK__" hidden="1">{"fdsup://Directions/FactSet Auditing Viewer?action=AUDIT_VALUE&amp;DB=129&amp;ID1=16890510&amp;VALUEID=01001&amp;SDATE=200902&amp;PERIODTYPE=QTR_STD&amp;window=popup_no_bar&amp;width=385&amp;height=120&amp;START_MAXIMIZED=FALSE&amp;creator=factset&amp;display_string=Audit"}</definedName>
    <definedName name="_518__FDSAUDITLINK__" hidden="1">{"fdsup://Directions/FactSet Auditing Viewer?action=AUDIT_VALUE&amp;DB=129&amp;ID1=91704710&amp;VALUEID=02101&amp;SDATE=200902&amp;PERIODTYPE=QTR_STD&amp;window=popup_no_bar&amp;width=385&amp;height=120&amp;START_MAXIMIZED=FALSE&amp;creator=factset&amp;display_string=Audit"}</definedName>
    <definedName name="_519__FDSAUDITLINK__" hidden="1">{"fdsup://Directions/FactSet Auditing Viewer?action=AUDIT_VALUE&amp;DB=129&amp;ID1=91704710&amp;VALUEID=01001&amp;SDATE=200902&amp;PERIODTYPE=QTR_STD&amp;window=popup_no_bar&amp;width=385&amp;height=120&amp;START_MAXIMIZED=FALSE&amp;creator=factset&amp;display_string=Audit"}</definedName>
    <definedName name="_52__FDSAUDITLINK__" hidden="1">{"fdsup://Directions/FactSet Auditing Viewer?action=AUDIT_VALUE&amp;DB=129&amp;ID1=02553E10&amp;VALUEID=01001&amp;SDATE=200903&amp;PERIODTYPE=QTR_STD&amp;window=popup_no_bar&amp;width=385&amp;height=120&amp;START_MAXIMIZED=FALSE&amp;creator=factset&amp;display_string=Audit"}</definedName>
    <definedName name="_520__FDSAUDITLINK__" hidden="1">{"fdsup://Directions/FactSet Auditing Viewer?action=AUDIT_VALUE&amp;DB=129&amp;ID1=02553E10&amp;VALUEID=02101&amp;SDATE=200902&amp;PERIODTYPE=QTR_STD&amp;window=popup_no_bar&amp;width=385&amp;height=120&amp;START_MAXIMIZED=FALSE&amp;creator=factset&amp;display_string=Audit"}</definedName>
    <definedName name="_521__FDSAUDITLINK__" hidden="1">{"fdsup://Directions/FactSet Auditing Viewer?action=AUDIT_VALUE&amp;DB=129&amp;ID1=02553E10&amp;VALUEID=01001&amp;SDATE=200902&amp;PERIODTYPE=QTR_STD&amp;window=popup_no_bar&amp;width=385&amp;height=120&amp;START_MAXIMIZED=FALSE&amp;creator=factset&amp;display_string=Audit"}</definedName>
    <definedName name="_522__FDSAUDITLINK__" hidden="1">{"fdsup://Directions/FactSet Auditing Viewer?action=AUDIT_VALUE&amp;DB=129&amp;ID1=02553E10&amp;VALUEID=13040&amp;SDATE=200902&amp;PERIODTYPE=QTR_STD&amp;window=popup_no_bar&amp;width=385&amp;height=120&amp;START_MAXIMIZED=FALSE&amp;creator=factset&amp;display_string=Audit"}</definedName>
    <definedName name="_523__FDSAUDITLINK__" hidden="1">{"fdsup://Directions/FactSet Auditing Viewer?action=AUDIT_VALUE&amp;DB=129&amp;ID1=00786510&amp;VALUEID=02101&amp;SDATE=200902&amp;PERIODTYPE=QTR_STD&amp;window=popup_no_bar&amp;width=385&amp;height=120&amp;START_MAXIMIZED=FALSE&amp;creator=factset&amp;display_string=Audit"}</definedName>
    <definedName name="_524__FDSAUDITLINK__" hidden="1">{"fdsup://Directions/FactSet Auditing Viewer?action=AUDIT_VALUE&amp;DB=129&amp;ID1=00786510&amp;VALUEID=01001&amp;SDATE=200902&amp;PERIODTYPE=QTR_STD&amp;window=popup_no_bar&amp;width=385&amp;height=120&amp;START_MAXIMIZED=FALSE&amp;creator=factset&amp;display_string=Audit"}</definedName>
    <definedName name="_525__FDSAUDITLINK__" hidden="1">{"fdsup://Directions/FactSet Auditing Viewer?action=AUDIT_VALUE&amp;DB=129&amp;ID1=00786510&amp;VALUEID=13040&amp;SDATE=200902&amp;PERIODTYPE=QTR_STD&amp;window=popup_no_bar&amp;width=385&amp;height=120&amp;START_MAXIMIZED=FALSE&amp;creator=factset&amp;display_string=Audit"}</definedName>
    <definedName name="_526__FDSAUDITLINK__" hidden="1">{"fdsup://Directions/FactSet Auditing Viewer?action=AUDIT_VALUE&amp;DB=129&amp;ID1=00289620&amp;VALUEID=02101&amp;SDATE=200902&amp;PERIODTYPE=QTR_STD&amp;window=popup_no_bar&amp;width=385&amp;height=120&amp;START_MAXIMIZED=FALSE&amp;creator=factset&amp;display_string=Audit"}</definedName>
    <definedName name="_527__FDSAUDITLINK__" hidden="1">{"fdsup://Directions/FactSet Auditing Viewer?action=AUDIT_VALUE&amp;DB=129&amp;ID1=00289620&amp;VALUEID=01001&amp;SDATE=200902&amp;PERIODTYPE=QTR_STD&amp;window=popup_no_bar&amp;width=385&amp;height=120&amp;START_MAXIMIZED=FALSE&amp;creator=factset&amp;display_string=Audit"}</definedName>
    <definedName name="_528__FDSAUDITLINK__" hidden="1">{"fdsup://Directions/FactSet Auditing Viewer?action=AUDIT_VALUE&amp;DB=129&amp;ID1=00289620&amp;VALUEID=13040&amp;SDATE=200902&amp;PERIODTYPE=QTR_STD&amp;window=popup_no_bar&amp;width=385&amp;height=120&amp;START_MAXIMIZED=FALSE&amp;creator=factset&amp;display_string=Audit"}</definedName>
    <definedName name="_529__FDSAUDITLINK__" hidden="1">{"fdsup://Directions/FactSet Auditing Viewer?action=AUDIT_VALUE&amp;DB=129&amp;ID1=87416110&amp;VALUEID=02101&amp;SDATE=200901&amp;PERIODTYPE=QTR_STD&amp;window=popup_no_bar&amp;width=385&amp;height=120&amp;START_MAXIMIZED=FALSE&amp;creator=factset&amp;display_string=Audit"}</definedName>
    <definedName name="_53__FDSAUDITLINK__" hidden="1">{"fdsup://Directions/FactSet Auditing Viewer?action=AUDIT_VALUE&amp;DB=129&amp;ID1=00786510&amp;VALUEID=02101&amp;SDATE=200903&amp;PERIODTYPE=QTR_STD&amp;window=popup_no_bar&amp;width=385&amp;height=120&amp;START_MAXIMIZED=FALSE&amp;creator=factset&amp;display_string=Audit"}</definedName>
    <definedName name="_530__FDSAUDITLINK__" hidden="1">{"fdsup://Directions/FactSet Auditing Viewer?action=AUDIT_VALUE&amp;DB=129&amp;ID1=87416110&amp;VALUEID=01001&amp;SDATE=200901&amp;PERIODTYPE=QTR_STD&amp;window=popup_no_bar&amp;width=385&amp;height=120&amp;START_MAXIMIZED=FALSE&amp;creator=factset&amp;display_string=Audit"}</definedName>
    <definedName name="_531__FDSAUDITLINK__" hidden="1">{"fdsup://Directions/FactSet Auditing Viewer?action=AUDIT_VALUE&amp;DB=129&amp;ID1=87416110&amp;VALUEID=13040&amp;SDATE=200901&amp;PERIODTYPE=QTR_STD&amp;window=popup_no_bar&amp;width=385&amp;height=120&amp;START_MAXIMIZED=FALSE&amp;creator=factset&amp;display_string=Audit"}</definedName>
    <definedName name="_532__FDSAUDITLINK__" hidden="1">{"fdsup://directions/FAT Viewer?action=UPDATE&amp;creator=factset&amp;DYN_ARGS=TRUE&amp;DOC_NAME=FAT:FQL_AUDITING_CLIENT_TEMPLATE.FAT&amp;display_string=Audit&amp;VAR:KEY=RSZCXYZEJW&amp;VAR:QUERY=RkZfUlRfU0ZfVE9UX0dST1NTKFFUUiwtNCk=&amp;WINDOW=FIRST_POPUP&amp;HEIGHT=450&amp;WIDTH=450&amp;START_MA","XIMIZED=FALSE&amp;VAR:CALENDAR=US&amp;VAR:SYMBOL=TLB&amp;VAR:INDEX=0"}</definedName>
    <definedName name="_533__FDSAUDITLINK__" hidden="1">{"fdsup://Directions/FactSet Auditing Viewer?action=AUDIT_VALUE&amp;DB=129&amp;ID1=53271610&amp;VALUEID=13040&amp;SDATE=200901&amp;PERIODTYPE=QTR_STD&amp;window=popup_no_bar&amp;width=385&amp;height=120&amp;START_MAXIMIZED=FALSE&amp;creator=factset&amp;display_string=Audit"}</definedName>
    <definedName name="_534__FDSAUDITLINK__" hidden="1">{"fdsup://Directions/FactSet Auditing Viewer?action=AUDIT_VALUE&amp;DB=129&amp;ID1=46612H40&amp;VALUEID=02101&amp;SDATE=200901&amp;PERIODTYPE=QTR_STD&amp;window=popup_no_bar&amp;width=385&amp;height=120&amp;START_MAXIMIZED=FALSE&amp;creator=factset&amp;display_string=Audit"}</definedName>
    <definedName name="_535__FDSAUDITLINK__" hidden="1">{"fdsup://Directions/FactSet Auditing Viewer?action=AUDIT_VALUE&amp;DB=129&amp;ID1=46612H40&amp;VALUEID=01001&amp;SDATE=200901&amp;PERIODTYPE=QTR_STD&amp;window=popup_no_bar&amp;width=385&amp;height=120&amp;START_MAXIMIZED=FALSE&amp;creator=factset&amp;display_string=Audit"}</definedName>
    <definedName name="_536__FDSAUDITLINK__" hidden="1">{"fdsup://Directions/FactSet Auditing Viewer?action=AUDIT_VALUE&amp;DB=129&amp;ID1=46612H40&amp;VALUEID=13040&amp;SDATE=200901&amp;PERIODTYPE=QTR_STD&amp;window=popup_no_bar&amp;width=385&amp;height=120&amp;START_MAXIMIZED=FALSE&amp;creator=factset&amp;display_string=Audit"}</definedName>
    <definedName name="_537__FDSAUDITLINK__" hidden="1">{"fdsup://Directions/FactSet Auditing Viewer?action=AUDIT_VALUE&amp;DB=129&amp;ID1=03611510&amp;VALUEID=02101&amp;SDATE=200901&amp;PERIODTYPE=QTR_STD&amp;window=popup_no_bar&amp;width=385&amp;height=120&amp;START_MAXIMIZED=FALSE&amp;creator=factset&amp;display_string=Audit"}</definedName>
    <definedName name="_538__FDSAUDITLINK__" hidden="1">{"fdsup://Directions/FactSet Auditing Viewer?action=AUDIT_VALUE&amp;DB=129&amp;ID1=03611510&amp;VALUEID=01001&amp;SDATE=200901&amp;PERIODTYPE=QTR_STD&amp;window=popup_no_bar&amp;width=385&amp;height=120&amp;START_MAXIMIZED=FALSE&amp;creator=factset&amp;display_string=Audit"}</definedName>
    <definedName name="_539__FDSAUDITLINK__" hidden="1">{"fdsup://Directions/FactSet Auditing Viewer?action=AUDIT_VALUE&amp;DB=129&amp;ID1=16890510&amp;VALUEID=02101&amp;SDATE=200901&amp;PERIODTYPE=QTR_STD&amp;window=popup_no_bar&amp;width=385&amp;height=120&amp;START_MAXIMIZED=FALSE&amp;creator=factset&amp;display_string=Audit"}</definedName>
    <definedName name="_54__FDSAUDITLINK__" hidden="1">{"fdsup://Directions/FactSet Auditing Viewer?action=AUDIT_VALUE&amp;DB=129&amp;ID1=00786510&amp;VALUEID=01001&amp;SDATE=200903&amp;PERIODTYPE=QTR_STD&amp;window=popup_no_bar&amp;width=385&amp;height=120&amp;START_MAXIMIZED=FALSE&amp;creator=factset&amp;display_string=Audit"}</definedName>
    <definedName name="_540__FDSAUDITLINK__" hidden="1">{"fdsup://Directions/FactSet Auditing Viewer?action=AUDIT_VALUE&amp;DB=129&amp;ID1=16890510&amp;VALUEID=01001&amp;SDATE=200901&amp;PERIODTYPE=QTR_STD&amp;window=popup_no_bar&amp;width=385&amp;height=120&amp;START_MAXIMIZED=FALSE&amp;creator=factset&amp;display_string=Audit"}</definedName>
    <definedName name="_541__FDSAUDITLINK__" hidden="1">{"fdsup://Directions/FactSet Auditing Viewer?action=AUDIT_VALUE&amp;DB=129&amp;ID1=00786510&amp;VALUEID=02101&amp;SDATE=200901&amp;PERIODTYPE=QTR_STD&amp;window=popup_no_bar&amp;width=385&amp;height=120&amp;START_MAXIMIZED=FALSE&amp;creator=factset&amp;display_string=Audit"}</definedName>
    <definedName name="_542__FDSAUDITLINK__" hidden="1">{"fdsup://Directions/FactSet Auditing Viewer?action=AUDIT_VALUE&amp;DB=129&amp;ID1=00786510&amp;VALUEID=01001&amp;SDATE=200901&amp;PERIODTYPE=QTR_STD&amp;window=popup_no_bar&amp;width=385&amp;height=120&amp;START_MAXIMIZED=FALSE&amp;creator=factset&amp;display_string=Audit"}</definedName>
    <definedName name="_543__FDSAUDITLINK__" hidden="1">{"fdsup://Directions/FactSet Auditing Viewer?action=AUDIT_VALUE&amp;DB=129&amp;ID1=00786510&amp;VALUEID=13040&amp;SDATE=200901&amp;PERIODTYPE=QTR_STD&amp;window=popup_no_bar&amp;width=385&amp;height=120&amp;START_MAXIMIZED=FALSE&amp;creator=factset&amp;display_string=Audit"}</definedName>
    <definedName name="_544__FDSAUDITLINK__" hidden="1">{"fdsup://Directions/FactSet Auditing Viewer?action=AUDIT_VALUE&amp;DB=129&amp;ID1=00289620&amp;VALUEID=13040&amp;SDATE=200901&amp;PERIODTYPE=QTR_STD&amp;window=popup_no_bar&amp;width=385&amp;height=120&amp;START_MAXIMIZED=FALSE&amp;creator=factset&amp;display_string=Audit"}</definedName>
    <definedName name="_545__FDSAUDITLINK__" hidden="1">{"fdsup://Directions/FactSet Auditing Viewer?action=AUDIT_VALUE&amp;DB=129&amp;ID1=87416110&amp;VALUEID=01001&amp;SDATE=200804&amp;PERIODTYPE=QTR_STD&amp;window=popup_no_bar&amp;width=385&amp;height=120&amp;START_MAXIMIZED=FALSE&amp;creator=factset&amp;display_string=Audit"}</definedName>
    <definedName name="_546__FDSAUDITLINK__" hidden="1">{"fdsup://directions/FAT Viewer?action=UPDATE&amp;creator=factset&amp;DYN_ARGS=TRUE&amp;DOC_NAME=FAT:FQL_AUDITING_CLIENT_TEMPLATE.FAT&amp;display_string=Audit&amp;VAR:KEY=BSXQNALGBC&amp;VAR:QUERY=RkZfUlRfU0ZfVE9UX0dST1NTKFFUUiwtNSk=&amp;WINDOW=FIRST_POPUP&amp;HEIGHT=450&amp;WIDTH=450&amp;START_MA","XIMIZED=FALSE&amp;VAR:CALENDAR=US&amp;VAR:SYMBOL=TLB&amp;VAR:INDEX=0"}</definedName>
    <definedName name="_547__FDSAUDITLINK__" hidden="1">{"fdsup://Directions/FactSet Auditing Viewer?action=AUDIT_VALUE&amp;DB=129&amp;ID1=46612H40&amp;VALUEID=01001&amp;SDATE=200804&amp;PERIODTYPE=QTR_STD&amp;window=popup_no_bar&amp;width=385&amp;height=120&amp;START_MAXIMIZED=FALSE&amp;creator=factset&amp;display_string=Audit"}</definedName>
    <definedName name="_548__FDSAUDITLINK__" hidden="1">{"fdsup://Directions/FactSet Auditing Viewer?action=AUDIT_VALUE&amp;DB=129&amp;ID1=46612H40&amp;VALUEID=13040&amp;SDATE=200804&amp;PERIODTYPE=QTR_STD&amp;window=popup_no_bar&amp;width=385&amp;height=120&amp;START_MAXIMIZED=FALSE&amp;creator=factset&amp;display_string=Audit"}</definedName>
    <definedName name="_549__FDSAUDITLINK__" hidden="1">{"fdsup://Directions/FactSet Auditing Viewer?action=AUDIT_VALUE&amp;DB=129&amp;ID1=36476010&amp;VALUEID=01001&amp;SDATE=200804&amp;PERIODTYPE=QTR_STD&amp;window=popup_no_bar&amp;width=385&amp;height=120&amp;START_MAXIMIZED=FALSE&amp;creator=factset&amp;display_string=Audit"}</definedName>
    <definedName name="_55__FDSAUDITLINK__" hidden="1">{"fdsup://Directions/FactSet Auditing Viewer?action=AUDIT_VALUE&amp;DB=129&amp;ID1=00786510&amp;VALUEID=13040&amp;SDATE=200903&amp;PERIODTYPE=QTR_STD&amp;window=popup_no_bar&amp;width=385&amp;height=120&amp;START_MAXIMIZED=FALSE&amp;creator=factset&amp;display_string=Audit"}</definedName>
    <definedName name="_550__FDSAUDITLINK__" hidden="1">{"fdsup://Directions/FactSet Auditing Viewer?action=AUDIT_VALUE&amp;DB=129&amp;ID1=03611510&amp;VALUEID=01001&amp;SDATE=200804&amp;PERIODTYPE=QTR_STD&amp;window=popup_no_bar&amp;width=385&amp;height=120&amp;START_MAXIMIZED=FALSE&amp;creator=factset&amp;display_string=Audit"}</definedName>
    <definedName name="_551__FDSAUDITLINK__" hidden="1">{"fdsup://Directions/FactSet Auditing Viewer?action=AUDIT_VALUE&amp;DB=129&amp;ID1=16890510&amp;VALUEID=01001&amp;SDATE=200804&amp;PERIODTYPE=QTR_STD&amp;window=popup_no_bar&amp;width=385&amp;height=120&amp;START_MAXIMIZED=FALSE&amp;creator=factset&amp;display_string=Audit"}</definedName>
    <definedName name="_552__FDSAUDITLINK__" hidden="1">{"fdsup://Directions/FactSet Auditing Viewer?action=AUDIT_VALUE&amp;DB=129&amp;ID1=00786510&amp;VALUEID=01001&amp;SDATE=200804&amp;PERIODTYPE=QTR_STD&amp;window=popup_no_bar&amp;width=385&amp;height=120&amp;START_MAXIMIZED=FALSE&amp;creator=factset&amp;display_string=Audit"}</definedName>
    <definedName name="_553__FDSAUDITLINK__" hidden="1">{"fdsup://Directions/FactSet Auditing Viewer?action=AUDIT_VALUE&amp;DB=129&amp;ID1=87416110&amp;VALUEID=02101&amp;SDATE=200803&amp;PERIODTYPE=QTR_STD&amp;window=popup_no_bar&amp;width=385&amp;height=120&amp;START_MAXIMIZED=FALSE&amp;creator=factset&amp;display_string=Audit"}</definedName>
    <definedName name="_554__FDSAUDITLINK__" hidden="1">{"fdsup://Directions/FactSet Auditing Viewer?action=AUDIT_VALUE&amp;DB=129&amp;ID1=87416110&amp;VALUEID=01001&amp;SDATE=200803&amp;PERIODTYPE=QTR_STD&amp;window=popup_no_bar&amp;width=385&amp;height=120&amp;START_MAXIMIZED=FALSE&amp;creator=factset&amp;display_string=Audit"}</definedName>
    <definedName name="_555__FDSAUDITLINK__" hidden="1">{"fdsup://Directions/FactSet Auditing Viewer?action=AUDIT_VALUE&amp;DB=129&amp;ID1=87416110&amp;VALUEID=13040&amp;SDATE=200803&amp;PERIODTYPE=QTR_STD&amp;window=popup_no_bar&amp;width=385&amp;height=120&amp;START_MAXIMIZED=FALSE&amp;creator=factset&amp;display_string=Audit"}</definedName>
    <definedName name="_556__FDSAUDITLINK__" hidden="1">{"fdsup://directions/FAT Viewer?action=UPDATE&amp;creator=factset&amp;DYN_ARGS=TRUE&amp;DOC_NAME=FAT:FQL_AUDITING_CLIENT_TEMPLATE.FAT&amp;display_string=Audit&amp;VAR:KEY=VAFWFCDYFC&amp;VAR:QUERY=RkZfUlRfU0ZfVE9UX0dST1NTKFFUUiwtNik=&amp;WINDOW=FIRST_POPUP&amp;HEIGHT=450&amp;WIDTH=450&amp;START_MA","XIMIZED=FALSE&amp;VAR:CALENDAR=US&amp;VAR:SYMBOL=TLB&amp;VAR:INDEX=0"}</definedName>
    <definedName name="_557__FDSAUDITLINK__" hidden="1">{"fdsup://Directions/FactSet Auditing Viewer?action=AUDIT_VALUE&amp;DB=129&amp;ID1=46612H40&amp;VALUEID=02101&amp;SDATE=200803&amp;PERIODTYPE=QTR_STD&amp;window=popup_no_bar&amp;width=385&amp;height=120&amp;START_MAXIMIZED=FALSE&amp;creator=factset&amp;display_string=Audit"}</definedName>
    <definedName name="_558__FDSAUDITLINK__" hidden="1">{"fdsup://Directions/FactSet Auditing Viewer?action=AUDIT_VALUE&amp;DB=129&amp;ID1=46612H40&amp;VALUEID=01001&amp;SDATE=200803&amp;PERIODTYPE=QTR_STD&amp;window=popup_no_bar&amp;width=385&amp;height=120&amp;START_MAXIMIZED=FALSE&amp;creator=factset&amp;display_string=Audit"}</definedName>
    <definedName name="_559__FDSAUDITLINK__" hidden="1">{"fdsup://Directions/FactSet Auditing Viewer?action=AUDIT_VALUE&amp;DB=129&amp;ID1=46612H40&amp;VALUEID=13040&amp;SDATE=200803&amp;PERIODTYPE=QTR_STD&amp;window=popup_no_bar&amp;width=385&amp;height=120&amp;START_MAXIMIZED=FALSE&amp;creator=factset&amp;display_string=Audit"}</definedName>
    <definedName name="_56__FDSAUDITLINK__" hidden="1">{"fdsup://Directions/FactSet Auditing Viewer?action=AUDIT_VALUE&amp;DB=129&amp;ID1=00289620&amp;VALUEID=02101&amp;SDATE=200903&amp;PERIODTYPE=QTR_STD&amp;window=popup_no_bar&amp;width=385&amp;height=120&amp;START_MAXIMIZED=FALSE&amp;creator=factset&amp;display_string=Audit"}</definedName>
    <definedName name="_560__FDSAUDITLINK__" hidden="1">{"fdsup://Directions/FactSet Auditing Viewer?action=AUDIT_VALUE&amp;DB=129&amp;ID1=36476010&amp;VALUEID=02101&amp;SDATE=200803&amp;PERIODTYPE=QTR_STD&amp;window=popup_no_bar&amp;width=385&amp;height=120&amp;START_MAXIMIZED=FALSE&amp;creator=factset&amp;display_string=Audit"}</definedName>
    <definedName name="_561__FDSAUDITLINK__" hidden="1">{"fdsup://Directions/FactSet Auditing Viewer?action=AUDIT_VALUE&amp;DB=129&amp;ID1=36476010&amp;VALUEID=01001&amp;SDATE=200803&amp;PERIODTYPE=QTR_STD&amp;window=popup_no_bar&amp;width=385&amp;height=120&amp;START_MAXIMIZED=FALSE&amp;creator=factset&amp;display_string=Audit"}</definedName>
    <definedName name="_562__FDSAUDITLINK__" hidden="1">{"fdsup://Directions/FactSet Auditing Viewer?action=AUDIT_VALUE&amp;DB=129&amp;ID1=36476010&amp;VALUEID=13040&amp;SDATE=200803&amp;PERIODTYPE=QTR_STD&amp;window=popup_no_bar&amp;width=385&amp;height=120&amp;START_MAXIMIZED=FALSE&amp;creator=factset&amp;display_string=Audit"}</definedName>
    <definedName name="_563__FDSAUDITLINK__" hidden="1">{"fdsup://Directions/FactSet Auditing Viewer?action=AUDIT_VALUE&amp;DB=129&amp;ID1=03611510&amp;VALUEID=02101&amp;SDATE=200803&amp;PERIODTYPE=QTR_STD&amp;window=popup_no_bar&amp;width=385&amp;height=120&amp;START_MAXIMIZED=FALSE&amp;creator=factset&amp;display_string=Audit"}</definedName>
    <definedName name="_564__FDSAUDITLINK__" hidden="1">{"fdsup://Directions/FactSet Auditing Viewer?action=AUDIT_VALUE&amp;DB=129&amp;ID1=03611510&amp;VALUEID=01001&amp;SDATE=200803&amp;PERIODTYPE=QTR_STD&amp;window=popup_no_bar&amp;width=385&amp;height=120&amp;START_MAXIMIZED=FALSE&amp;creator=factset&amp;display_string=Audit"}</definedName>
    <definedName name="_565__FDSAUDITLINK__" hidden="1">{"fdsup://Directions/FactSet Auditing Viewer?action=AUDIT_VALUE&amp;DB=129&amp;ID1=16890510&amp;VALUEID=02101&amp;SDATE=200803&amp;PERIODTYPE=QTR_STD&amp;window=popup_no_bar&amp;width=385&amp;height=120&amp;START_MAXIMIZED=FALSE&amp;creator=factset&amp;display_string=Audit"}</definedName>
    <definedName name="_566__FDSAUDITLINK__" hidden="1">{"fdsup://Directions/FactSet Auditing Viewer?action=AUDIT_VALUE&amp;DB=129&amp;ID1=16890510&amp;VALUEID=01001&amp;SDATE=200803&amp;PERIODTYPE=QTR_STD&amp;window=popup_no_bar&amp;width=385&amp;height=120&amp;START_MAXIMIZED=FALSE&amp;creator=factset&amp;display_string=Audit"}</definedName>
    <definedName name="_567__FDSAUDITLINK__" hidden="1">{"fdsup://Directions/FactSet Auditing Viewer?action=AUDIT_VALUE&amp;DB=129&amp;ID1=91704710&amp;VALUEID=02101&amp;SDATE=200803&amp;PERIODTYPE=QTR_STD&amp;window=popup_no_bar&amp;width=385&amp;height=120&amp;START_MAXIMIZED=FALSE&amp;creator=factset&amp;display_string=Audit"}</definedName>
    <definedName name="_568__FDSAUDITLINK__" hidden="1">{"fdsup://Directions/FactSet Auditing Viewer?action=AUDIT_VALUE&amp;DB=129&amp;ID1=91704710&amp;VALUEID=01001&amp;SDATE=200803&amp;PERIODTYPE=QTR_STD&amp;window=popup_no_bar&amp;width=385&amp;height=120&amp;START_MAXIMIZED=FALSE&amp;creator=factset&amp;display_string=Audit"}</definedName>
    <definedName name="_569__FDSAUDITLINK__" hidden="1">{"fdsup://Directions/FactSet Auditing Viewer?action=AUDIT_VALUE&amp;DB=129&amp;ID1=91704710&amp;VALUEID=13040&amp;SDATE=200803&amp;PERIODTYPE=QTR_STD&amp;window=popup_no_bar&amp;width=385&amp;height=120&amp;START_MAXIMIZED=FALSE&amp;creator=factset&amp;display_string=Audit"}</definedName>
    <definedName name="_57__FDSAUDITLINK__" hidden="1">{"fdsup://Directions/FactSet Auditing Viewer?action=AUDIT_VALUE&amp;DB=129&amp;ID1=00289620&amp;VALUEID=01001&amp;SDATE=200903&amp;PERIODTYPE=QTR_STD&amp;window=popup_no_bar&amp;width=385&amp;height=120&amp;START_MAXIMIZED=FALSE&amp;creator=factset&amp;display_string=Audit"}</definedName>
    <definedName name="_570__FDSAUDITLINK__" hidden="1">{"fdsup://Directions/FactSet Auditing Viewer?action=AUDIT_VALUE&amp;DB=129&amp;ID1=02553E10&amp;VALUEID=02101&amp;SDATE=200803&amp;PERIODTYPE=QTR_STD&amp;window=popup_no_bar&amp;width=385&amp;height=120&amp;START_MAXIMIZED=FALSE&amp;creator=factset&amp;display_string=Audit"}</definedName>
    <definedName name="_571__FDSAUDITLINK__" hidden="1">{"fdsup://Directions/FactSet Auditing Viewer?action=AUDIT_VALUE&amp;DB=129&amp;ID1=02553E10&amp;VALUEID=01001&amp;SDATE=200803&amp;PERIODTYPE=QTR_STD&amp;window=popup_no_bar&amp;width=385&amp;height=120&amp;START_MAXIMIZED=FALSE&amp;creator=factset&amp;display_string=Audit"}</definedName>
    <definedName name="_572__FDSAUDITLINK__" hidden="1">{"fdsup://Directions/FactSet Auditing Viewer?action=AUDIT_VALUE&amp;DB=129&amp;ID1=02553E10&amp;VALUEID=13040&amp;SDATE=200803&amp;PERIODTYPE=QTR_STD&amp;window=popup_no_bar&amp;width=385&amp;height=120&amp;START_MAXIMIZED=FALSE&amp;creator=factset&amp;display_string=Audit"}</definedName>
    <definedName name="_573__FDSAUDITLINK__" hidden="1">{"fdsup://Directions/FactSet Auditing Viewer?action=AUDIT_VALUE&amp;DB=129&amp;ID1=00786510&amp;VALUEID=02101&amp;SDATE=200803&amp;PERIODTYPE=QTR_STD&amp;window=popup_no_bar&amp;width=385&amp;height=120&amp;START_MAXIMIZED=FALSE&amp;creator=factset&amp;display_string=Audit"}</definedName>
    <definedName name="_574__FDSAUDITLINK__" hidden="1">{"fdsup://Directions/FactSet Auditing Viewer?action=AUDIT_VALUE&amp;DB=129&amp;ID1=00786510&amp;VALUEID=01001&amp;SDATE=200803&amp;PERIODTYPE=QTR_STD&amp;window=popup_no_bar&amp;width=385&amp;height=120&amp;START_MAXIMIZED=FALSE&amp;creator=factset&amp;display_string=Audit"}</definedName>
    <definedName name="_575__FDSAUDITLINK__" hidden="1">{"fdsup://Directions/FactSet Auditing Viewer?action=AUDIT_VALUE&amp;DB=129&amp;ID1=00786510&amp;VALUEID=13040&amp;SDATE=200803&amp;PERIODTYPE=QTR_STD&amp;window=popup_no_bar&amp;width=385&amp;height=120&amp;START_MAXIMIZED=FALSE&amp;creator=factset&amp;display_string=Audit"}</definedName>
    <definedName name="_576__FDSAUDITLINK__" hidden="1">{"fdsup://Directions/FactSet Auditing Viewer?action=AUDIT_VALUE&amp;DB=129&amp;ID1=00289620&amp;VALUEID=02101&amp;SDATE=200803&amp;PERIODTYPE=QTR_STD&amp;window=popup_no_bar&amp;width=385&amp;height=120&amp;START_MAXIMIZED=FALSE&amp;creator=factset&amp;display_string=Audit"}</definedName>
    <definedName name="_577__FDSAUDITLINK__" hidden="1">{"fdsup://Directions/FactSet Auditing Viewer?action=AUDIT_VALUE&amp;DB=129&amp;ID1=00289620&amp;VALUEID=01001&amp;SDATE=200803&amp;PERIODTYPE=QTR_STD&amp;window=popup_no_bar&amp;width=385&amp;height=120&amp;START_MAXIMIZED=FALSE&amp;creator=factset&amp;display_string=Audit"}</definedName>
    <definedName name="_578__FDSAUDITLINK__" hidden="1">{"fdsup://Directions/FactSet Auditing Viewer?action=AUDIT_VALUE&amp;DB=129&amp;ID1=00289620&amp;VALUEID=13040&amp;SDATE=200803&amp;PERIODTYPE=QTR_STD&amp;window=popup_no_bar&amp;width=385&amp;height=120&amp;START_MAXIMIZED=FALSE&amp;creator=factset&amp;display_string=Audit"}</definedName>
    <definedName name="_579__FDSAUDITLINK__" hidden="1">{"fdsup://Directions/FactSet Auditing Viewer?action=AUDIT_VALUE&amp;DB=129&amp;ID1=87416110&amp;VALUEID=02101&amp;SDATE=200802&amp;PERIODTYPE=QTR_STD&amp;window=popup_no_bar&amp;width=385&amp;height=120&amp;START_MAXIMIZED=FALSE&amp;creator=factset&amp;display_string=Audit"}</definedName>
    <definedName name="_58__FDSAUDITLINK__" hidden="1">{"fdsup://Directions/FactSet Auditing Viewer?action=AUDIT_VALUE&amp;DB=129&amp;ID1=00289620&amp;VALUEID=13040&amp;SDATE=200903&amp;PERIODTYPE=QTR_STD&amp;window=popup_no_bar&amp;width=385&amp;height=120&amp;START_MAXIMIZED=FALSE&amp;creator=factset&amp;display_string=Audit"}</definedName>
    <definedName name="_580__FDSAUDITLINK__" hidden="1">{"fdsup://Directions/FactSet Auditing Viewer?action=AUDIT_VALUE&amp;DB=129&amp;ID1=87416110&amp;VALUEID=01001&amp;SDATE=200802&amp;PERIODTYPE=QTR_STD&amp;window=popup_no_bar&amp;width=385&amp;height=120&amp;START_MAXIMIZED=FALSE&amp;creator=factset&amp;display_string=Audit"}</definedName>
    <definedName name="_581__FDSAUDITLINK__" hidden="1">{"fdsup://Directions/FactSet Auditing Viewer?action=AUDIT_VALUE&amp;DB=129&amp;ID1=53271610&amp;VALUEID=02101&amp;SDATE=200802&amp;PERIODTYPE=QTR_STD&amp;window=popup_no_bar&amp;width=385&amp;height=120&amp;START_MAXIMIZED=FALSE&amp;creator=factset&amp;display_string=Audit"}</definedName>
    <definedName name="_582__FDSAUDITLINK__" hidden="1">{"fdsup://Directions/FactSet Auditing Viewer?action=AUDIT_VALUE&amp;DB=129&amp;ID1=53271610&amp;VALUEID=01001&amp;SDATE=200802&amp;PERIODTYPE=QTR_STD&amp;window=popup_no_bar&amp;width=385&amp;height=120&amp;START_MAXIMIZED=FALSE&amp;creator=factset&amp;display_string=Audit"}</definedName>
    <definedName name="_583__FDSAUDITLINK__" hidden="1">{"fdsup://Directions/FactSet Auditing Viewer?action=AUDIT_VALUE&amp;DB=129&amp;ID1=53271610&amp;VALUEID=13040&amp;SDATE=200802&amp;PERIODTYPE=QTR_STD&amp;window=popup_no_bar&amp;width=385&amp;height=120&amp;START_MAXIMIZED=FALSE&amp;creator=factset&amp;display_string=Audit"}</definedName>
    <definedName name="_584__FDSAUDITLINK__" hidden="1">{"fdsup://Directions/FactSet Auditing Viewer?action=AUDIT_VALUE&amp;DB=129&amp;ID1=46612H40&amp;VALUEID=02101&amp;SDATE=200802&amp;PERIODTYPE=QTR_STD&amp;window=popup_no_bar&amp;width=385&amp;height=120&amp;START_MAXIMIZED=FALSE&amp;creator=factset&amp;display_string=Audit"}</definedName>
    <definedName name="_585__FDSAUDITLINK__" hidden="1">{"fdsup://Directions/FactSet Auditing Viewer?action=AUDIT_VALUE&amp;DB=129&amp;ID1=46612H40&amp;VALUEID=01001&amp;SDATE=200802&amp;PERIODTYPE=QTR_STD&amp;window=popup_no_bar&amp;width=385&amp;height=120&amp;START_MAXIMIZED=FALSE&amp;creator=factset&amp;display_string=Audit"}</definedName>
    <definedName name="_586__FDSAUDITLINK__" hidden="1">{"fdsup://Directions/FactSet Auditing Viewer?action=AUDIT_VALUE&amp;DB=129&amp;ID1=46612H40&amp;VALUEID=13040&amp;SDATE=200802&amp;PERIODTYPE=QTR_STD&amp;window=popup_no_bar&amp;width=385&amp;height=120&amp;START_MAXIMIZED=FALSE&amp;creator=factset&amp;display_string=Audit"}</definedName>
    <definedName name="_587__FDSAUDITLINK__" hidden="1">{"fdsup://Directions/FactSet Auditing Viewer?action=AUDIT_VALUE&amp;DB=129&amp;ID1=36476010&amp;VALUEID=02101&amp;SDATE=200802&amp;PERIODTYPE=QTR_STD&amp;window=popup_no_bar&amp;width=385&amp;height=120&amp;START_MAXIMIZED=FALSE&amp;creator=factset&amp;display_string=Audit"}</definedName>
    <definedName name="_588__FDSAUDITLINK__" hidden="1">{"fdsup://Directions/FactSet Auditing Viewer?action=AUDIT_VALUE&amp;DB=129&amp;ID1=36476010&amp;VALUEID=01001&amp;SDATE=200802&amp;PERIODTYPE=QTR_STD&amp;window=popup_no_bar&amp;width=385&amp;height=120&amp;START_MAXIMIZED=FALSE&amp;creator=factset&amp;display_string=Audit"}</definedName>
    <definedName name="_589__FDSAUDITLINK__" hidden="1">{"fdsup://Directions/FactSet Auditing Viewer?action=AUDIT_VALUE&amp;DB=129&amp;ID1=36476010&amp;VALUEID=13040&amp;SDATE=200802&amp;PERIODTYPE=QTR_STD&amp;window=popup_no_bar&amp;width=385&amp;height=120&amp;START_MAXIMIZED=FALSE&amp;creator=factset&amp;display_string=Audit"}</definedName>
    <definedName name="_59__FDSAUDITLINK__" hidden="1">{"fdsup://Directions/FactSet Auditing Viewer?action=AUDIT_VALUE&amp;DB=129&amp;ID1=87416110&amp;VALUEID=02101&amp;SDATE=200902&amp;PERIODTYPE=QTR_STD&amp;window=popup_no_bar&amp;width=385&amp;height=120&amp;START_MAXIMIZED=FALSE&amp;creator=factset&amp;display_string=Audit"}</definedName>
    <definedName name="_590__FDSAUDITLINK__" hidden="1">{"fdsup://Directions/FactSet Auditing Viewer?action=AUDIT_VALUE&amp;DB=129&amp;ID1=03611510&amp;VALUEID=02101&amp;SDATE=200802&amp;PERIODTYPE=QTR_STD&amp;window=popup_no_bar&amp;width=385&amp;height=120&amp;START_MAXIMIZED=FALSE&amp;creator=factset&amp;display_string=Audit"}</definedName>
    <definedName name="_591__FDSAUDITLINK__" hidden="1">{"fdsup://Directions/FactSet Auditing Viewer?action=AUDIT_VALUE&amp;DB=129&amp;ID1=03611510&amp;VALUEID=01001&amp;SDATE=200802&amp;PERIODTYPE=QTR_STD&amp;window=popup_no_bar&amp;width=385&amp;height=120&amp;START_MAXIMIZED=FALSE&amp;creator=factset&amp;display_string=Audit"}</definedName>
    <definedName name="_592__FDSAUDITLINK__" hidden="1">{"fdsup://Directions/FactSet Auditing Viewer?action=AUDIT_VALUE&amp;DB=129&amp;ID1=16890510&amp;VALUEID=02101&amp;SDATE=200802&amp;PERIODTYPE=QTR_STD&amp;window=popup_no_bar&amp;width=385&amp;height=120&amp;START_MAXIMIZED=FALSE&amp;creator=factset&amp;display_string=Audit"}</definedName>
    <definedName name="_593__FDSAUDITLINK__" hidden="1">{"fdsup://Directions/FactSet Auditing Viewer?action=AUDIT_VALUE&amp;DB=129&amp;ID1=16890510&amp;VALUEID=01001&amp;SDATE=200802&amp;PERIODTYPE=QTR_STD&amp;window=popup_no_bar&amp;width=385&amp;height=120&amp;START_MAXIMIZED=FALSE&amp;creator=factset&amp;display_string=Audit"}</definedName>
    <definedName name="_594__FDSAUDITLINK__" hidden="1">{"fdsup://Directions/FactSet Auditing Viewer?action=AUDIT_VALUE&amp;DB=129&amp;ID1=91704710&amp;VALUEID=02101&amp;SDATE=200802&amp;PERIODTYPE=QTR_STD&amp;window=popup_no_bar&amp;width=385&amp;height=120&amp;START_MAXIMIZED=FALSE&amp;creator=factset&amp;display_string=Audit"}</definedName>
    <definedName name="_595__FDSAUDITLINK__" hidden="1">{"fdsup://Directions/FactSet Auditing Viewer?action=AUDIT_VALUE&amp;DB=129&amp;ID1=91704710&amp;VALUEID=01001&amp;SDATE=200802&amp;PERIODTYPE=QTR_STD&amp;window=popup_no_bar&amp;width=385&amp;height=120&amp;START_MAXIMIZED=FALSE&amp;creator=factset&amp;display_string=Audit"}</definedName>
    <definedName name="_596__FDSAUDITLINK__" hidden="1">{"fdsup://Directions/FactSet Auditing Viewer?action=AUDIT_VALUE&amp;DB=129&amp;ID1=91704710&amp;VALUEID=13040&amp;SDATE=200802&amp;PERIODTYPE=QTR_STD&amp;window=popup_no_bar&amp;width=385&amp;height=120&amp;START_MAXIMIZED=FALSE&amp;creator=factset&amp;display_string=Audit"}</definedName>
    <definedName name="_597__FDSAUDITLINK__" hidden="1">{"fdsup://Directions/FactSet Auditing Viewer?action=AUDIT_VALUE&amp;DB=129&amp;ID1=02553E10&amp;VALUEID=02101&amp;SDATE=200802&amp;PERIODTYPE=QTR_STD&amp;window=popup_no_bar&amp;width=385&amp;height=120&amp;START_MAXIMIZED=FALSE&amp;creator=factset&amp;display_string=Audit"}</definedName>
    <definedName name="_598__FDSAUDITLINK__" hidden="1">{"fdsup://Directions/FactSet Auditing Viewer?action=AUDIT_VALUE&amp;DB=129&amp;ID1=02553E10&amp;VALUEID=01001&amp;SDATE=200802&amp;PERIODTYPE=QTR_STD&amp;window=popup_no_bar&amp;width=385&amp;height=120&amp;START_MAXIMIZED=FALSE&amp;creator=factset&amp;display_string=Audit"}</definedName>
    <definedName name="_599__FDSAUDITLINK__" hidden="1">{"fdsup://Directions/FactSet Auditing Viewer?action=AUDIT_VALUE&amp;DB=129&amp;ID1=02553E10&amp;VALUEID=13040&amp;SDATE=200802&amp;PERIODTYPE=QTR_STD&amp;window=popup_no_bar&amp;width=385&amp;height=120&amp;START_MAXIMIZED=FALSE&amp;creator=factset&amp;display_string=Audit"}</definedName>
    <definedName name="_6__123Graph_Aｸﾞﾗﾌ_2" hidden="1">[2]単独!$AR$14:$AR$18</definedName>
    <definedName name="_6__FDSAUDITLINK__" hidden="1">{"fdsup://Directions/FactSet Auditing Viewer?action=AUDIT_VALUE&amp;DB=129&amp;ID1=46612H40&amp;VALUEID=02101&amp;SDATE=201001&amp;PERIODTYPE=QTR_STD&amp;window=popup_no_bar&amp;width=385&amp;height=120&amp;START_MAXIMIZED=FALSE&amp;creator=factset&amp;display_string=Audit"}</definedName>
    <definedName name="_60__FDSAUDITLINK__" hidden="1">{"fdsup://Directions/FactSet Auditing Viewer?action=AUDIT_VALUE&amp;DB=129&amp;ID1=87416110&amp;VALUEID=01001&amp;SDATE=200902&amp;PERIODTYPE=QTR_STD&amp;window=popup_no_bar&amp;width=385&amp;height=120&amp;START_MAXIMIZED=FALSE&amp;creator=factset&amp;display_string=Audit"}</definedName>
    <definedName name="_600__FDSAUDITLINK__" hidden="1">{"fdsup://Directions/FactSet Auditing Viewer?action=AUDIT_VALUE&amp;DB=129&amp;ID1=00786510&amp;VALUEID=02101&amp;SDATE=200802&amp;PERIODTYPE=QTR_STD&amp;window=popup_no_bar&amp;width=385&amp;height=120&amp;START_MAXIMIZED=FALSE&amp;creator=factset&amp;display_string=Audit"}</definedName>
    <definedName name="_601__FDSAUDITLINK__" hidden="1">{"fdsup://Directions/FactSet Auditing Viewer?action=AUDIT_VALUE&amp;DB=129&amp;ID1=00786510&amp;VALUEID=01001&amp;SDATE=200802&amp;PERIODTYPE=QTR_STD&amp;window=popup_no_bar&amp;width=385&amp;height=120&amp;START_MAXIMIZED=FALSE&amp;creator=factset&amp;display_string=Audit"}</definedName>
    <definedName name="_602__FDSAUDITLINK__" hidden="1">{"fdsup://Directions/FactSet Auditing Viewer?action=AUDIT_VALUE&amp;DB=129&amp;ID1=00786510&amp;VALUEID=13040&amp;SDATE=200802&amp;PERIODTYPE=QTR_STD&amp;window=popup_no_bar&amp;width=385&amp;height=120&amp;START_MAXIMIZED=FALSE&amp;creator=factset&amp;display_string=Audit"}</definedName>
    <definedName name="_603__FDSAUDITLINK__" hidden="1">{"fdsup://Directions/FactSet Auditing Viewer?action=AUDIT_VALUE&amp;DB=129&amp;ID1=00289620&amp;VALUEID=02101&amp;SDATE=200802&amp;PERIODTYPE=QTR_STD&amp;window=popup_no_bar&amp;width=385&amp;height=120&amp;START_MAXIMIZED=FALSE&amp;creator=factset&amp;display_string=Audit"}</definedName>
    <definedName name="_604__FDSAUDITLINK__" hidden="1">{"fdsup://Directions/FactSet Auditing Viewer?action=AUDIT_VALUE&amp;DB=129&amp;ID1=00289620&amp;VALUEID=01001&amp;SDATE=200802&amp;PERIODTYPE=QTR_STD&amp;window=popup_no_bar&amp;width=385&amp;height=120&amp;START_MAXIMIZED=FALSE&amp;creator=factset&amp;display_string=Audit"}</definedName>
    <definedName name="_605__FDSAUDITLINK__" hidden="1">{"fdsup://Directions/FactSet Auditing Viewer?action=AUDIT_VALUE&amp;DB=129&amp;ID1=00289620&amp;VALUEID=13040&amp;SDATE=200802&amp;PERIODTYPE=QTR_STD&amp;window=popup_no_bar&amp;width=385&amp;height=120&amp;START_MAXIMIZED=FALSE&amp;creator=factset&amp;display_string=Audit"}</definedName>
    <definedName name="_606__FDSAUDITLINK__" hidden="1">{"fdsup://Directions/FactSet Auditing Viewer?action=AUDIT_VALUE&amp;DB=129&amp;ID1=87416110&amp;VALUEID=02101&amp;SDATE=200801&amp;PERIODTYPE=QTR_STD&amp;window=popup_no_bar&amp;width=385&amp;height=120&amp;START_MAXIMIZED=FALSE&amp;creator=factset&amp;display_string=Audit"}</definedName>
    <definedName name="_607__FDSAUDITLINK__" hidden="1">{"fdsup://Directions/FactSet Auditing Viewer?action=AUDIT_VALUE&amp;DB=129&amp;ID1=87416110&amp;VALUEID=01001&amp;SDATE=200801&amp;PERIODTYPE=QTR_STD&amp;window=popup_no_bar&amp;width=385&amp;height=120&amp;START_MAXIMIZED=FALSE&amp;creator=factset&amp;display_string=Audit"}</definedName>
    <definedName name="_608__FDSAUDITLINK__" hidden="1">{"fdsup://Directions/FactSet Auditing Viewer?action=AUDIT_VALUE&amp;DB=129&amp;ID1=53271610&amp;VALUEID=02101&amp;SDATE=200801&amp;PERIODTYPE=QTR_STD&amp;window=popup_no_bar&amp;width=385&amp;height=120&amp;START_MAXIMIZED=FALSE&amp;creator=factset&amp;display_string=Audit"}</definedName>
    <definedName name="_609__FDSAUDITLINK__" hidden="1">{"fdsup://Directions/FactSet Auditing Viewer?action=AUDIT_VALUE&amp;DB=129&amp;ID1=53271610&amp;VALUEID=01001&amp;SDATE=200801&amp;PERIODTYPE=QTR_STD&amp;window=popup_no_bar&amp;width=385&amp;height=120&amp;START_MAXIMIZED=FALSE&amp;creator=factset&amp;display_string=Audit"}</definedName>
    <definedName name="_61__FDSAUDITLINK__" hidden="1">{"fdsup://Directions/FactSet Auditing Viewer?action=AUDIT_VALUE&amp;DB=129&amp;ID1=53271610&amp;VALUEID=02101&amp;SDATE=200902&amp;PERIODTYPE=QTR_STD&amp;window=popup_no_bar&amp;width=385&amp;height=120&amp;START_MAXIMIZED=FALSE&amp;creator=factset&amp;display_string=Audit"}</definedName>
    <definedName name="_610__FDSAUDITLINK__" hidden="1">{"fdsup://Directions/FactSet Auditing Viewer?action=AUDIT_VALUE&amp;DB=129&amp;ID1=53271610&amp;VALUEID=13040&amp;SDATE=200801&amp;PERIODTYPE=QTR_STD&amp;window=popup_no_bar&amp;width=385&amp;height=120&amp;START_MAXIMIZED=FALSE&amp;creator=factset&amp;display_string=Audit"}</definedName>
    <definedName name="_611__FDSAUDITLINK__" hidden="1">{"fdsup://Directions/FactSet Auditing Viewer?action=AUDIT_VALUE&amp;DB=129&amp;ID1=46612H40&amp;VALUEID=02101&amp;SDATE=200801&amp;PERIODTYPE=QTR_STD&amp;window=popup_no_bar&amp;width=385&amp;height=120&amp;START_MAXIMIZED=FALSE&amp;creator=factset&amp;display_string=Audit"}</definedName>
    <definedName name="_612__FDSAUDITLINK__" hidden="1">{"fdsup://Directions/FactSet Auditing Viewer?action=AUDIT_VALUE&amp;DB=129&amp;ID1=46612H40&amp;VALUEID=01001&amp;SDATE=200801&amp;PERIODTYPE=QTR_STD&amp;window=popup_no_bar&amp;width=385&amp;height=120&amp;START_MAXIMIZED=FALSE&amp;creator=factset&amp;display_string=Audit"}</definedName>
    <definedName name="_613__FDSAUDITLINK__" hidden="1">{"fdsup://Directions/FactSet Auditing Viewer?action=AUDIT_VALUE&amp;DB=129&amp;ID1=46612H40&amp;VALUEID=13040&amp;SDATE=200801&amp;PERIODTYPE=QTR_STD&amp;window=popup_no_bar&amp;width=385&amp;height=120&amp;START_MAXIMIZED=FALSE&amp;creator=factset&amp;display_string=Audit"}</definedName>
    <definedName name="_614__FDSAUDITLINK__" hidden="1">{"fdsup://Directions/FactSet Auditing Viewer?action=AUDIT_VALUE&amp;DB=129&amp;ID1=36476010&amp;VALUEID=02101&amp;SDATE=200801&amp;PERIODTYPE=QTR_STD&amp;window=popup_no_bar&amp;width=385&amp;height=120&amp;START_MAXIMIZED=FALSE&amp;creator=factset&amp;display_string=Audit"}</definedName>
    <definedName name="_615__FDSAUDITLINK__" hidden="1">{"fdsup://Directions/FactSet Auditing Viewer?action=AUDIT_VALUE&amp;DB=129&amp;ID1=36476010&amp;VALUEID=01001&amp;SDATE=200801&amp;PERIODTYPE=QTR_STD&amp;window=popup_no_bar&amp;width=385&amp;height=120&amp;START_MAXIMIZED=FALSE&amp;creator=factset&amp;display_string=Audit"}</definedName>
    <definedName name="_616__FDSAUDITLINK__" hidden="1">{"fdsup://Directions/FactSet Auditing Viewer?action=AUDIT_VALUE&amp;DB=129&amp;ID1=36476010&amp;VALUEID=13040&amp;SDATE=200801&amp;PERIODTYPE=QTR_STD&amp;window=popup_no_bar&amp;width=385&amp;height=120&amp;START_MAXIMIZED=FALSE&amp;creator=factset&amp;display_string=Audit"}</definedName>
    <definedName name="_617__FDSAUDITLINK__" hidden="1">{"fdsup://Directions/FactSet Auditing Viewer?action=AUDIT_VALUE&amp;DB=129&amp;ID1=03611510&amp;VALUEID=02101&amp;SDATE=200801&amp;PERIODTYPE=QTR_STD&amp;window=popup_no_bar&amp;width=385&amp;height=120&amp;START_MAXIMIZED=FALSE&amp;creator=factset&amp;display_string=Audit"}</definedName>
    <definedName name="_618__FDSAUDITLINK__" hidden="1">{"fdsup://Directions/FactSet Auditing Viewer?action=AUDIT_VALUE&amp;DB=129&amp;ID1=03611510&amp;VALUEID=01001&amp;SDATE=200801&amp;PERIODTYPE=QTR_STD&amp;window=popup_no_bar&amp;width=385&amp;height=120&amp;START_MAXIMIZED=FALSE&amp;creator=factset&amp;display_string=Audit"}</definedName>
    <definedName name="_619__FDSAUDITLINK__" hidden="1">{"fdsup://Directions/FactSet Auditing Viewer?action=AUDIT_VALUE&amp;DB=129&amp;ID1=03611510&amp;VALUEID=13040&amp;SDATE=200801&amp;PERIODTYPE=QTR_STD&amp;window=popup_no_bar&amp;width=385&amp;height=120&amp;START_MAXIMIZED=FALSE&amp;creator=factset&amp;display_string=Audit"}</definedName>
    <definedName name="_62__FDSAUDITLINK__" hidden="1">{"fdsup://Directions/FactSet Auditing Viewer?action=AUDIT_VALUE&amp;DB=129&amp;ID1=53271610&amp;VALUEID=01001&amp;SDATE=200902&amp;PERIODTYPE=QTR_STD&amp;window=popup_no_bar&amp;width=385&amp;height=120&amp;START_MAXIMIZED=FALSE&amp;creator=factset&amp;display_string=Audit"}</definedName>
    <definedName name="_620__FDSAUDITLINK__" hidden="1">{"fdsup://Directions/FactSet Auditing Viewer?action=AUDIT_VALUE&amp;DB=129&amp;ID1=16890510&amp;VALUEID=02101&amp;SDATE=200801&amp;PERIODTYPE=QTR_STD&amp;window=popup_no_bar&amp;width=385&amp;height=120&amp;START_MAXIMIZED=FALSE&amp;creator=factset&amp;display_string=Audit"}</definedName>
    <definedName name="_621__FDSAUDITLINK__" hidden="1">{"fdsup://Directions/FactSet Auditing Viewer?action=AUDIT_VALUE&amp;DB=129&amp;ID1=16890510&amp;VALUEID=01001&amp;SDATE=200801&amp;PERIODTYPE=QTR_STD&amp;window=popup_no_bar&amp;width=385&amp;height=120&amp;START_MAXIMIZED=FALSE&amp;creator=factset&amp;display_string=Audit"}</definedName>
    <definedName name="_622__FDSAUDITLINK__" hidden="1">{"fdsup://Directions/FactSet Auditing Viewer?action=AUDIT_VALUE&amp;DB=129&amp;ID1=91704710&amp;VALUEID=02101&amp;SDATE=200801&amp;PERIODTYPE=QTR_STD&amp;window=popup_no_bar&amp;width=385&amp;height=120&amp;START_MAXIMIZED=FALSE&amp;creator=factset&amp;display_string=Audit"}</definedName>
    <definedName name="_623__FDSAUDITLINK__" hidden="1">{"fdsup://Directions/FactSet Auditing Viewer?action=AUDIT_VALUE&amp;DB=129&amp;ID1=91704710&amp;VALUEID=01001&amp;SDATE=200801&amp;PERIODTYPE=QTR_STD&amp;window=popup_no_bar&amp;width=385&amp;height=120&amp;START_MAXIMIZED=FALSE&amp;creator=factset&amp;display_string=Audit"}</definedName>
    <definedName name="_624__FDSAUDITLINK__" hidden="1">{"fdsup://Directions/FactSet Auditing Viewer?action=AUDIT_VALUE&amp;DB=129&amp;ID1=91704710&amp;VALUEID=13040&amp;SDATE=200801&amp;PERIODTYPE=QTR_STD&amp;window=popup_no_bar&amp;width=385&amp;height=120&amp;START_MAXIMIZED=FALSE&amp;creator=factset&amp;display_string=Audit"}</definedName>
    <definedName name="_625__FDSAUDITLINK__" hidden="1">{"fdsup://Directions/FactSet Auditing Viewer?action=AUDIT_VALUE&amp;DB=129&amp;ID1=02553E10&amp;VALUEID=02101&amp;SDATE=200801&amp;PERIODTYPE=QTR_STD&amp;window=popup_no_bar&amp;width=385&amp;height=120&amp;START_MAXIMIZED=FALSE&amp;creator=factset&amp;display_string=Audit"}</definedName>
    <definedName name="_626__FDSAUDITLINK__" hidden="1">{"fdsup://Directions/FactSet Auditing Viewer?action=AUDIT_VALUE&amp;DB=129&amp;ID1=02553E10&amp;VALUEID=01001&amp;SDATE=200801&amp;PERIODTYPE=QTR_STD&amp;window=popup_no_bar&amp;width=385&amp;height=120&amp;START_MAXIMIZED=FALSE&amp;creator=factset&amp;display_string=Audit"}</definedName>
    <definedName name="_627__FDSAUDITLINK__" hidden="1">{"fdsup://Directions/FactSet Auditing Viewer?action=AUDIT_VALUE&amp;DB=129&amp;ID1=02553E10&amp;VALUEID=13040&amp;SDATE=200801&amp;PERIODTYPE=QTR_STD&amp;window=popup_no_bar&amp;width=385&amp;height=120&amp;START_MAXIMIZED=FALSE&amp;creator=factset&amp;display_string=Audit"}</definedName>
    <definedName name="_628__FDSAUDITLINK__" hidden="1">{"fdsup://Directions/FactSet Auditing Viewer?action=AUDIT_VALUE&amp;DB=129&amp;ID1=00786510&amp;VALUEID=02101&amp;SDATE=200801&amp;PERIODTYPE=QTR_STD&amp;window=popup_no_bar&amp;width=385&amp;height=120&amp;START_MAXIMIZED=FALSE&amp;creator=factset&amp;display_string=Audit"}</definedName>
    <definedName name="_629__FDSAUDITLINK__" hidden="1">{"fdsup://Directions/FactSet Auditing Viewer?action=AUDIT_VALUE&amp;DB=129&amp;ID1=00786510&amp;VALUEID=01001&amp;SDATE=200801&amp;PERIODTYPE=QTR_STD&amp;window=popup_no_bar&amp;width=385&amp;height=120&amp;START_MAXIMIZED=FALSE&amp;creator=factset&amp;display_string=Audit"}</definedName>
    <definedName name="_63__FDSAUDITLINK__" hidden="1">{"fdsup://Directions/FactSet Auditing Viewer?action=AUDIT_VALUE&amp;DB=129&amp;ID1=53271610&amp;VALUEID=13040&amp;SDATE=200902&amp;PERIODTYPE=QTR_STD&amp;window=popup_no_bar&amp;width=385&amp;height=120&amp;START_MAXIMIZED=FALSE&amp;creator=factset&amp;display_string=Audit"}</definedName>
    <definedName name="_630__FDSAUDITLINK__" hidden="1">{"fdsup://Directions/FactSet Auditing Viewer?action=AUDIT_VALUE&amp;DB=129&amp;ID1=00786510&amp;VALUEID=13040&amp;SDATE=200801&amp;PERIODTYPE=QTR_STD&amp;window=popup_no_bar&amp;width=385&amp;height=120&amp;START_MAXIMIZED=FALSE&amp;creator=factset&amp;display_string=Audit"}</definedName>
    <definedName name="_631__FDSAUDITLINK__" hidden="1">{"fdsup://Directions/FactSet Auditing Viewer?action=AUDIT_VALUE&amp;DB=129&amp;ID1=00289620&amp;VALUEID=02101&amp;SDATE=200801&amp;PERIODTYPE=QTR_STD&amp;window=popup_no_bar&amp;width=385&amp;height=120&amp;START_MAXIMIZED=FALSE&amp;creator=factset&amp;display_string=Audit"}</definedName>
    <definedName name="_632__FDSAUDITLINK__" hidden="1">{"fdsup://Directions/FactSet Auditing Viewer?action=AUDIT_VALUE&amp;DB=129&amp;ID1=00289620&amp;VALUEID=01001&amp;SDATE=200801&amp;PERIODTYPE=QTR_STD&amp;window=popup_no_bar&amp;width=385&amp;height=120&amp;START_MAXIMIZED=FALSE&amp;creator=factset&amp;display_string=Audit"}</definedName>
    <definedName name="_633__FDSAUDITLINK__" hidden="1">{"fdsup://Directions/FactSet Auditing Viewer?action=AUDIT_VALUE&amp;DB=129&amp;ID1=00289620&amp;VALUEID=13040&amp;SDATE=200801&amp;PERIODTYPE=QTR_STD&amp;window=popup_no_bar&amp;width=385&amp;height=120&amp;START_MAXIMIZED=FALSE&amp;creator=factset&amp;display_string=Audit"}</definedName>
    <definedName name="_634__FDSAUDITLINK__" hidden="1">{"fdsup://Directions/FactSet Auditing Viewer?action=AUDIT_VALUE&amp;DB=129&amp;ID1=87416110&amp;VALUEID=01001&amp;SDATE=200704&amp;PERIODTYPE=QTR_STD&amp;window=popup_no_bar&amp;width=385&amp;height=120&amp;START_MAXIMIZED=FALSE&amp;creator=factset&amp;display_string=Audit"}</definedName>
    <definedName name="_635__FDSAUDITLINK__" hidden="1">{"fdsup://Directions/FactSet Auditing Viewer?action=AUDIT_VALUE&amp;DB=129&amp;ID1=46612H40&amp;VALUEID=01001&amp;SDATE=200704&amp;PERIODTYPE=QTR_STD&amp;window=popup_no_bar&amp;width=385&amp;height=120&amp;START_MAXIMIZED=FALSE&amp;creator=factset&amp;display_string=Audit"}</definedName>
    <definedName name="_636__FDSAUDITLINK__" hidden="1">{"fdsup://Directions/FactSet Auditing Viewer?action=AUDIT_VALUE&amp;DB=129&amp;ID1=46612H40&amp;VALUEID=13040&amp;SDATE=200704&amp;PERIODTYPE=QTR_STD&amp;window=popup_no_bar&amp;width=385&amp;height=120&amp;START_MAXIMIZED=FALSE&amp;creator=factset&amp;display_string=Audit"}</definedName>
    <definedName name="_637__FDSAUDITLINK__" hidden="1">{"fdsup://Directions/FactSet Auditing Viewer?action=AUDIT_VALUE&amp;DB=129&amp;ID1=36476010&amp;VALUEID=01001&amp;SDATE=200704&amp;PERIODTYPE=QTR_STD&amp;window=popup_no_bar&amp;width=385&amp;height=120&amp;START_MAXIMIZED=FALSE&amp;creator=factset&amp;display_string=Audit"}</definedName>
    <definedName name="_638__FDSAUDITLINK__" hidden="1">{"fdsup://Directions/FactSet Auditing Viewer?action=AUDIT_VALUE&amp;DB=129&amp;ID1=03611510&amp;VALUEID=01001&amp;SDATE=200704&amp;PERIODTYPE=QTR_STD&amp;window=popup_no_bar&amp;width=385&amp;height=120&amp;START_MAXIMIZED=FALSE&amp;creator=factset&amp;display_string=Audit"}</definedName>
    <definedName name="_639__FDSAUDITLINK__" hidden="1">{"fdsup://Directions/FactSet Auditing Viewer?action=AUDIT_VALUE&amp;DB=129&amp;ID1=03611510&amp;VALUEID=13040&amp;SDATE=200704&amp;PERIODTYPE=QTR_STD&amp;window=popup_no_bar&amp;width=385&amp;height=120&amp;START_MAXIMIZED=FALSE&amp;creator=factset&amp;display_string=Audit"}</definedName>
    <definedName name="_64__FDSAUDITLINK__" hidden="1">{"fdsup://Directions/FactSet Auditing Viewer?action=AUDIT_VALUE&amp;DB=129&amp;ID1=46612H40&amp;VALUEID=02101&amp;SDATE=200902&amp;PERIODTYPE=QTR_STD&amp;window=popup_no_bar&amp;width=385&amp;height=120&amp;START_MAXIMIZED=FALSE&amp;creator=factset&amp;display_string=Audit"}</definedName>
    <definedName name="_640__FDSAUDITLINK__" hidden="1">{"fdsup://Directions/FactSet Auditing Viewer?action=AUDIT_VALUE&amp;DB=129&amp;ID1=16890510&amp;VALUEID=01001&amp;SDATE=200704&amp;PERIODTYPE=QTR_STD&amp;window=popup_no_bar&amp;width=385&amp;height=120&amp;START_MAXIMIZED=FALSE&amp;creator=factset&amp;display_string=Audit"}</definedName>
    <definedName name="_641__FDSAUDITLINK__" hidden="1">{"fdsup://Directions/FactSet Auditing Viewer?action=AUDIT_VALUE&amp;DB=129&amp;ID1=00786510&amp;VALUEID=01001&amp;SDATE=200704&amp;PERIODTYPE=QTR_STD&amp;window=popup_no_bar&amp;width=385&amp;height=120&amp;START_MAXIMIZED=FALSE&amp;creator=factset&amp;display_string=Audit"}</definedName>
    <definedName name="_642__FDSAUDITLINK__" hidden="1">{"fdsup://Directions/FactSet Auditing Viewer?action=AUDIT_VALUE&amp;DB=129&amp;ID1=87416110&amp;VALUEID=02101&amp;SDATE=200703&amp;PERIODTYPE=QTR_STD&amp;window=popup_no_bar&amp;width=385&amp;height=120&amp;START_MAXIMIZED=FALSE&amp;creator=factset&amp;display_string=Audit"}</definedName>
    <definedName name="_643__FDSAUDITLINK__" hidden="1">{"fdsup://Directions/FactSet Auditing Viewer?action=AUDIT_VALUE&amp;DB=129&amp;ID1=87416110&amp;VALUEID=01001&amp;SDATE=200703&amp;PERIODTYPE=QTR_STD&amp;window=popup_no_bar&amp;width=385&amp;height=120&amp;START_MAXIMIZED=FALSE&amp;creator=factset&amp;display_string=Audit"}</definedName>
    <definedName name="_644__FDSAUDITLINK__" hidden="1">{"fdsup://Directions/FactSet Auditing Viewer?action=AUDIT_VALUE&amp;DB=129&amp;ID1=53271610&amp;VALUEID=02101&amp;SDATE=200703&amp;PERIODTYPE=QTR_STD&amp;window=popup_no_bar&amp;width=385&amp;height=120&amp;START_MAXIMIZED=FALSE&amp;creator=factset&amp;display_string=Audit"}</definedName>
    <definedName name="_645__FDSAUDITLINK__" hidden="1">{"fdsup://Directions/FactSet Auditing Viewer?action=AUDIT_VALUE&amp;DB=129&amp;ID1=53271610&amp;VALUEID=01001&amp;SDATE=200703&amp;PERIODTYPE=QTR_STD&amp;window=popup_no_bar&amp;width=385&amp;height=120&amp;START_MAXIMIZED=FALSE&amp;creator=factset&amp;display_string=Audit"}</definedName>
    <definedName name="_646__FDSAUDITLINK__" hidden="1">{"fdsup://Directions/FactSet Auditing Viewer?action=AUDIT_VALUE&amp;DB=129&amp;ID1=53271610&amp;VALUEID=13040&amp;SDATE=200703&amp;PERIODTYPE=QTR_STD&amp;window=popup_no_bar&amp;width=385&amp;height=120&amp;START_MAXIMIZED=FALSE&amp;creator=factset&amp;display_string=Audit"}</definedName>
    <definedName name="_647__FDSAUDITLINK__" hidden="1">{"fdsup://Directions/FactSet Auditing Viewer?action=AUDIT_VALUE&amp;DB=129&amp;ID1=46612H40&amp;VALUEID=02101&amp;SDATE=200703&amp;PERIODTYPE=QTR_STD&amp;window=popup_no_bar&amp;width=385&amp;height=120&amp;START_MAXIMIZED=FALSE&amp;creator=factset&amp;display_string=Audit"}</definedName>
    <definedName name="_648__FDSAUDITLINK__" hidden="1">{"fdsup://Directions/FactSet Auditing Viewer?action=AUDIT_VALUE&amp;DB=129&amp;ID1=46612H40&amp;VALUEID=01001&amp;SDATE=200703&amp;PERIODTYPE=QTR_STD&amp;window=popup_no_bar&amp;width=385&amp;height=120&amp;START_MAXIMIZED=FALSE&amp;creator=factset&amp;display_string=Audit"}</definedName>
    <definedName name="_649__FDSAUDITLINK__" hidden="1">{"fdsup://Directions/FactSet Auditing Viewer?action=AUDIT_VALUE&amp;DB=129&amp;ID1=46612H40&amp;VALUEID=13040&amp;SDATE=200703&amp;PERIODTYPE=QTR_STD&amp;window=popup_no_bar&amp;width=385&amp;height=120&amp;START_MAXIMIZED=FALSE&amp;creator=factset&amp;display_string=Audit"}</definedName>
    <definedName name="_65__FDSAUDITLINK__" hidden="1">{"fdsup://Directions/FactSet Auditing Viewer?action=AUDIT_VALUE&amp;DB=129&amp;ID1=46612H40&amp;VALUEID=01001&amp;SDATE=200902&amp;PERIODTYPE=QTR_STD&amp;window=popup_no_bar&amp;width=385&amp;height=120&amp;START_MAXIMIZED=FALSE&amp;creator=factset&amp;display_string=Audit"}</definedName>
    <definedName name="_650__FDSAUDITLINK__" hidden="1">{"fdsup://Directions/FactSet Auditing Viewer?action=AUDIT_VALUE&amp;DB=129&amp;ID1=36476010&amp;VALUEID=02101&amp;SDATE=200703&amp;PERIODTYPE=QTR_STD&amp;window=popup_no_bar&amp;width=385&amp;height=120&amp;START_MAXIMIZED=FALSE&amp;creator=factset&amp;display_string=Audit"}</definedName>
    <definedName name="_651__FDSAUDITLINK__" hidden="1">{"fdsup://Directions/FactSet Auditing Viewer?action=AUDIT_VALUE&amp;DB=129&amp;ID1=36476010&amp;VALUEID=01001&amp;SDATE=200703&amp;PERIODTYPE=QTR_STD&amp;window=popup_no_bar&amp;width=385&amp;height=120&amp;START_MAXIMIZED=FALSE&amp;creator=factset&amp;display_string=Audit"}</definedName>
    <definedName name="_652__FDSAUDITLINK__" hidden="1">{"fdsup://Directions/FactSet Auditing Viewer?action=AUDIT_VALUE&amp;DB=129&amp;ID1=36476010&amp;VALUEID=13040&amp;SDATE=200703&amp;PERIODTYPE=QTR_STD&amp;window=popup_no_bar&amp;width=385&amp;height=120&amp;START_MAXIMIZED=FALSE&amp;creator=factset&amp;display_string=Audit"}</definedName>
    <definedName name="_653__FDSAUDITLINK__" hidden="1">{"fdsup://Directions/FactSet Auditing Viewer?action=AUDIT_VALUE&amp;DB=129&amp;ID1=03611510&amp;VALUEID=02101&amp;SDATE=200703&amp;PERIODTYPE=QTR_STD&amp;window=popup_no_bar&amp;width=385&amp;height=120&amp;START_MAXIMIZED=FALSE&amp;creator=factset&amp;display_string=Audit"}</definedName>
    <definedName name="_654__FDSAUDITLINK__" hidden="1">{"fdsup://Directions/FactSet Auditing Viewer?action=AUDIT_VALUE&amp;DB=129&amp;ID1=03611510&amp;VALUEID=01001&amp;SDATE=200703&amp;PERIODTYPE=QTR_STD&amp;window=popup_no_bar&amp;width=385&amp;height=120&amp;START_MAXIMIZED=FALSE&amp;creator=factset&amp;display_string=Audit"}</definedName>
    <definedName name="_655__FDSAUDITLINK__" hidden="1">{"fdsup://Directions/FactSet Auditing Viewer?action=AUDIT_VALUE&amp;DB=129&amp;ID1=03611510&amp;VALUEID=13040&amp;SDATE=200703&amp;PERIODTYPE=QTR_STD&amp;window=popup_no_bar&amp;width=385&amp;height=120&amp;START_MAXIMIZED=FALSE&amp;creator=factset&amp;display_string=Audit"}</definedName>
    <definedName name="_656__FDSAUDITLINK__" hidden="1">{"fdsup://Directions/FactSet Auditing Viewer?action=AUDIT_VALUE&amp;DB=129&amp;ID1=16890510&amp;VALUEID=02101&amp;SDATE=200703&amp;PERIODTYPE=QTR_STD&amp;window=popup_no_bar&amp;width=385&amp;height=120&amp;START_MAXIMIZED=FALSE&amp;creator=factset&amp;display_string=Audit"}</definedName>
    <definedName name="_657__FDSAUDITLINK__" hidden="1">{"fdsup://Directions/FactSet Auditing Viewer?action=AUDIT_VALUE&amp;DB=129&amp;ID1=16890510&amp;VALUEID=01001&amp;SDATE=200703&amp;PERIODTYPE=QTR_STD&amp;window=popup_no_bar&amp;width=385&amp;height=120&amp;START_MAXIMIZED=FALSE&amp;creator=factset&amp;display_string=Audit"}</definedName>
    <definedName name="_658__FDSAUDITLINK__" hidden="1">{"fdsup://Directions/FactSet Auditing Viewer?action=AUDIT_VALUE&amp;DB=129&amp;ID1=91704710&amp;VALUEID=02101&amp;SDATE=200703&amp;PERIODTYPE=QTR_STD&amp;window=popup_no_bar&amp;width=385&amp;height=120&amp;START_MAXIMIZED=FALSE&amp;creator=factset&amp;display_string=Audit"}</definedName>
    <definedName name="_659__FDSAUDITLINK__" hidden="1">{"fdsup://Directions/FactSet Auditing Viewer?action=AUDIT_VALUE&amp;DB=129&amp;ID1=91704710&amp;VALUEID=01001&amp;SDATE=200703&amp;PERIODTYPE=QTR_STD&amp;window=popup_no_bar&amp;width=385&amp;height=120&amp;START_MAXIMIZED=FALSE&amp;creator=factset&amp;display_string=Audit"}</definedName>
    <definedName name="_66__FDSAUDITLINK__" hidden="1">{"fdsup://Directions/FactSet Auditing Viewer?action=AUDIT_VALUE&amp;DB=129&amp;ID1=46612H40&amp;VALUEID=13040&amp;SDATE=200902&amp;PERIODTYPE=QTR_STD&amp;window=popup_no_bar&amp;width=385&amp;height=120&amp;START_MAXIMIZED=FALSE&amp;creator=factset&amp;display_string=Audit"}</definedName>
    <definedName name="_660__FDSAUDITLINK__" hidden="1">{"fdsup://Directions/FactSet Auditing Viewer?action=AUDIT_VALUE&amp;DB=129&amp;ID1=91704710&amp;VALUEID=13040&amp;SDATE=200703&amp;PERIODTYPE=QTR_STD&amp;window=popup_no_bar&amp;width=385&amp;height=120&amp;START_MAXIMIZED=FALSE&amp;creator=factset&amp;display_string=Audit"}</definedName>
    <definedName name="_661__FDSAUDITLINK__" hidden="1">{"fdsup://Directions/FactSet Auditing Viewer?action=AUDIT_VALUE&amp;DB=129&amp;ID1=02553E10&amp;VALUEID=02101&amp;SDATE=200703&amp;PERIODTYPE=QTR_STD&amp;window=popup_no_bar&amp;width=385&amp;height=120&amp;START_MAXIMIZED=FALSE&amp;creator=factset&amp;display_string=Audit"}</definedName>
    <definedName name="_662__FDSAUDITLINK__" hidden="1">{"fdsup://Directions/FactSet Auditing Viewer?action=AUDIT_VALUE&amp;DB=129&amp;ID1=02553E10&amp;VALUEID=01001&amp;SDATE=200703&amp;PERIODTYPE=QTR_STD&amp;window=popup_no_bar&amp;width=385&amp;height=120&amp;START_MAXIMIZED=FALSE&amp;creator=factset&amp;display_string=Audit"}</definedName>
    <definedName name="_663__FDSAUDITLINK__" hidden="1">{"fdsup://Directions/FactSet Auditing Viewer?action=AUDIT_VALUE&amp;DB=129&amp;ID1=00786510&amp;VALUEID=02101&amp;SDATE=200703&amp;PERIODTYPE=QTR_STD&amp;window=popup_no_bar&amp;width=385&amp;height=120&amp;START_MAXIMIZED=FALSE&amp;creator=factset&amp;display_string=Audit"}</definedName>
    <definedName name="_664__FDSAUDITLINK__" hidden="1">{"fdsup://Directions/FactSet Auditing Viewer?action=AUDIT_VALUE&amp;DB=129&amp;ID1=00786510&amp;VALUEID=01001&amp;SDATE=200703&amp;PERIODTYPE=QTR_STD&amp;window=popup_no_bar&amp;width=385&amp;height=120&amp;START_MAXIMIZED=FALSE&amp;creator=factset&amp;display_string=Audit"}</definedName>
    <definedName name="_665__FDSAUDITLINK__" hidden="1">{"fdsup://Directions/FactSet Auditing Viewer?action=AUDIT_VALUE&amp;DB=129&amp;ID1=00786510&amp;VALUEID=13040&amp;SDATE=200703&amp;PERIODTYPE=QTR_STD&amp;window=popup_no_bar&amp;width=385&amp;height=120&amp;START_MAXIMIZED=FALSE&amp;creator=factset&amp;display_string=Audit"}</definedName>
    <definedName name="_666__FDSAUDITLINK__" hidden="1">{"fdsup://Directions/FactSet Auditing Viewer?action=AUDIT_VALUE&amp;DB=129&amp;ID1=00289620&amp;VALUEID=02101&amp;SDATE=200703&amp;PERIODTYPE=QTR_STD&amp;window=popup_no_bar&amp;width=385&amp;height=120&amp;START_MAXIMIZED=FALSE&amp;creator=factset&amp;display_string=Audit"}</definedName>
    <definedName name="_667__FDSAUDITLINK__" hidden="1">{"fdsup://Directions/FactSet Auditing Viewer?action=AUDIT_VALUE&amp;DB=129&amp;ID1=00289620&amp;VALUEID=01001&amp;SDATE=200703&amp;PERIODTYPE=QTR_STD&amp;window=popup_no_bar&amp;width=385&amp;height=120&amp;START_MAXIMIZED=FALSE&amp;creator=factset&amp;display_string=Audit"}</definedName>
    <definedName name="_668__FDSAUDITLINK__" hidden="1">{"fdsup://Directions/FactSet Auditing Viewer?action=AUDIT_VALUE&amp;DB=129&amp;ID1=00289620&amp;VALUEID=13040&amp;SDATE=200703&amp;PERIODTYPE=QTR_STD&amp;window=popup_no_bar&amp;width=385&amp;height=120&amp;START_MAXIMIZED=FALSE&amp;creator=factset&amp;display_string=Audit"}</definedName>
    <definedName name="_669__FDSAUDITLINK__" hidden="1">{"fdsup://Directions/FactSet Auditing Viewer?action=AUDIT_VALUE&amp;DB=129&amp;ID1=87416110&amp;VALUEID=02101&amp;SDATE=200702&amp;PERIODTYPE=QTR_STD&amp;window=popup_no_bar&amp;width=385&amp;height=120&amp;START_MAXIMIZED=FALSE&amp;creator=factset&amp;display_string=Audit"}</definedName>
    <definedName name="_67__FDSAUDITLINK__" hidden="1">{"fdsup://Directions/FactSet Auditing Viewer?action=AUDIT_VALUE&amp;DB=129&amp;ID1=36476010&amp;VALUEID=02101&amp;SDATE=200902&amp;PERIODTYPE=QTR_STD&amp;window=popup_no_bar&amp;width=385&amp;height=120&amp;START_MAXIMIZED=FALSE&amp;creator=factset&amp;display_string=Audit"}</definedName>
    <definedName name="_670__FDSAUDITLINK__" hidden="1">{"fdsup://Directions/FactSet Auditing Viewer?action=AUDIT_VALUE&amp;DB=129&amp;ID1=87416110&amp;VALUEID=01001&amp;SDATE=200702&amp;PERIODTYPE=QTR_STD&amp;window=popup_no_bar&amp;width=385&amp;height=120&amp;START_MAXIMIZED=FALSE&amp;creator=factset&amp;display_string=Audit"}</definedName>
    <definedName name="_671__FDSAUDITLINK__" hidden="1">{"fdsup://Directions/FactSet Auditing Viewer?action=AUDIT_VALUE&amp;DB=129&amp;ID1=53271610&amp;VALUEID=02101&amp;SDATE=200702&amp;PERIODTYPE=QTR_STD&amp;window=popup_no_bar&amp;width=385&amp;height=120&amp;START_MAXIMIZED=FALSE&amp;creator=factset&amp;display_string=Audit"}</definedName>
    <definedName name="_672__FDSAUDITLINK__" hidden="1">{"fdsup://Directions/FactSet Auditing Viewer?action=AUDIT_VALUE&amp;DB=129&amp;ID1=53271610&amp;VALUEID=01001&amp;SDATE=200702&amp;PERIODTYPE=QTR_STD&amp;window=popup_no_bar&amp;width=385&amp;height=120&amp;START_MAXIMIZED=FALSE&amp;creator=factset&amp;display_string=Audit"}</definedName>
    <definedName name="_673__FDSAUDITLINK__" hidden="1">{"fdsup://Directions/FactSet Auditing Viewer?action=AUDIT_VALUE&amp;DB=129&amp;ID1=53271610&amp;VALUEID=13040&amp;SDATE=200702&amp;PERIODTYPE=QTR_STD&amp;window=popup_no_bar&amp;width=385&amp;height=120&amp;START_MAXIMIZED=FALSE&amp;creator=factset&amp;display_string=Audit"}</definedName>
    <definedName name="_674__FDSAUDITLINK__" hidden="1">{"fdsup://Directions/FactSet Auditing Viewer?action=AUDIT_VALUE&amp;DB=129&amp;ID1=46612H40&amp;VALUEID=02101&amp;SDATE=200702&amp;PERIODTYPE=QTR_STD&amp;window=popup_no_bar&amp;width=385&amp;height=120&amp;START_MAXIMIZED=FALSE&amp;creator=factset&amp;display_string=Audit"}</definedName>
    <definedName name="_675__FDSAUDITLINK__" hidden="1">{"fdsup://Directions/FactSet Auditing Viewer?action=AUDIT_VALUE&amp;DB=129&amp;ID1=46612H40&amp;VALUEID=01001&amp;SDATE=200702&amp;PERIODTYPE=QTR_STD&amp;window=popup_no_bar&amp;width=385&amp;height=120&amp;START_MAXIMIZED=FALSE&amp;creator=factset&amp;display_string=Audit"}</definedName>
    <definedName name="_676__FDSAUDITLINK__" hidden="1">{"fdsup://Directions/FactSet Auditing Viewer?action=AUDIT_VALUE&amp;DB=129&amp;ID1=46612H40&amp;VALUEID=13040&amp;SDATE=200702&amp;PERIODTYPE=QTR_STD&amp;window=popup_no_bar&amp;width=385&amp;height=120&amp;START_MAXIMIZED=FALSE&amp;creator=factset&amp;display_string=Audit"}</definedName>
    <definedName name="_677__FDSAUDITLINK__" hidden="1">{"fdsup://Directions/FactSet Auditing Viewer?action=AUDIT_VALUE&amp;DB=129&amp;ID1=36476010&amp;VALUEID=02101&amp;SDATE=200702&amp;PERIODTYPE=QTR_STD&amp;window=popup_no_bar&amp;width=385&amp;height=120&amp;START_MAXIMIZED=FALSE&amp;creator=factset&amp;display_string=Audit"}</definedName>
    <definedName name="_678__FDSAUDITLINK__" hidden="1">{"fdsup://Directions/FactSet Auditing Viewer?action=AUDIT_VALUE&amp;DB=129&amp;ID1=36476010&amp;VALUEID=01001&amp;SDATE=200702&amp;PERIODTYPE=QTR_STD&amp;window=popup_no_bar&amp;width=385&amp;height=120&amp;START_MAXIMIZED=FALSE&amp;creator=factset&amp;display_string=Audit"}</definedName>
    <definedName name="_679__FDSAUDITLINK__" hidden="1">{"fdsup://Directions/FactSet Auditing Viewer?action=AUDIT_VALUE&amp;DB=129&amp;ID1=03611510&amp;VALUEID=02101&amp;SDATE=200702&amp;PERIODTYPE=QTR_STD&amp;window=popup_no_bar&amp;width=385&amp;height=120&amp;START_MAXIMIZED=FALSE&amp;creator=factset&amp;display_string=Audit"}</definedName>
    <definedName name="_68__FDSAUDITLINK__" hidden="1">{"fdsup://Directions/FactSet Auditing Viewer?action=AUDIT_VALUE&amp;DB=129&amp;ID1=36476010&amp;VALUEID=01001&amp;SDATE=200902&amp;PERIODTYPE=QTR_STD&amp;window=popup_no_bar&amp;width=385&amp;height=120&amp;START_MAXIMIZED=FALSE&amp;creator=factset&amp;display_string=Audit"}</definedName>
    <definedName name="_680__FDSAUDITLINK__" hidden="1">{"fdsup://Directions/FactSet Auditing Viewer?action=AUDIT_VALUE&amp;DB=129&amp;ID1=03611510&amp;VALUEID=01001&amp;SDATE=200702&amp;PERIODTYPE=QTR_STD&amp;window=popup_no_bar&amp;width=385&amp;height=120&amp;START_MAXIMIZED=FALSE&amp;creator=factset&amp;display_string=Audit"}</definedName>
    <definedName name="_681__FDSAUDITLINK__" hidden="1">{"fdsup://Directions/FactSet Auditing Viewer?action=AUDIT_VALUE&amp;DB=129&amp;ID1=03611510&amp;VALUEID=13040&amp;SDATE=200702&amp;PERIODTYPE=QTR_STD&amp;window=popup_no_bar&amp;width=385&amp;height=120&amp;START_MAXIMIZED=FALSE&amp;creator=factset&amp;display_string=Audit"}</definedName>
    <definedName name="_682__FDSAUDITLINK__" hidden="1">{"fdsup://Directions/FactSet Auditing Viewer?action=AUDIT_VALUE&amp;DB=129&amp;ID1=16890510&amp;VALUEID=02101&amp;SDATE=200702&amp;PERIODTYPE=QTR_STD&amp;window=popup_no_bar&amp;width=385&amp;height=120&amp;START_MAXIMIZED=FALSE&amp;creator=factset&amp;display_string=Audit"}</definedName>
    <definedName name="_683__FDSAUDITLINK__" hidden="1">{"fdsup://Directions/FactSet Auditing Viewer?action=AUDIT_VALUE&amp;DB=129&amp;ID1=16890510&amp;VALUEID=01001&amp;SDATE=200702&amp;PERIODTYPE=QTR_STD&amp;window=popup_no_bar&amp;width=385&amp;height=120&amp;START_MAXIMIZED=FALSE&amp;creator=factset&amp;display_string=Audit"}</definedName>
    <definedName name="_684__FDSAUDITLINK__" hidden="1">{"fdsup://Directions/FactSet Auditing Viewer?action=AUDIT_VALUE&amp;DB=129&amp;ID1=91704710&amp;VALUEID=02101&amp;SDATE=200702&amp;PERIODTYPE=QTR_STD&amp;window=popup_no_bar&amp;width=385&amp;height=120&amp;START_MAXIMIZED=FALSE&amp;creator=factset&amp;display_string=Audit"}</definedName>
    <definedName name="_685__FDSAUDITLINK__" hidden="1">{"fdsup://Directions/FactSet Auditing Viewer?action=AUDIT_VALUE&amp;DB=129&amp;ID1=91704710&amp;VALUEID=01001&amp;SDATE=200702&amp;PERIODTYPE=QTR_STD&amp;window=popup_no_bar&amp;width=385&amp;height=120&amp;START_MAXIMIZED=FALSE&amp;creator=factset&amp;display_string=Audit"}</definedName>
    <definedName name="_686__FDSAUDITLINK__" hidden="1">{"fdsup://Directions/FactSet Auditing Viewer?action=AUDIT_VALUE&amp;DB=129&amp;ID1=91704710&amp;VALUEID=13040&amp;SDATE=200702&amp;PERIODTYPE=QTR_STD&amp;window=popup_no_bar&amp;width=385&amp;height=120&amp;START_MAXIMIZED=FALSE&amp;creator=factset&amp;display_string=Audit"}</definedName>
    <definedName name="_687__FDSAUDITLINK__" hidden="1">{"fdsup://Directions/FactSet Auditing Viewer?action=AUDIT_VALUE&amp;DB=129&amp;ID1=02553E10&amp;VALUEID=02101&amp;SDATE=200702&amp;PERIODTYPE=QTR_STD&amp;window=popup_no_bar&amp;width=385&amp;height=120&amp;START_MAXIMIZED=FALSE&amp;creator=factset&amp;display_string=Audit"}</definedName>
    <definedName name="_688__FDSAUDITLINK__" hidden="1">{"fdsup://Directions/FactSet Auditing Viewer?action=AUDIT_VALUE&amp;DB=129&amp;ID1=02553E10&amp;VALUEID=01001&amp;SDATE=200702&amp;PERIODTYPE=QTR_STD&amp;window=popup_no_bar&amp;width=385&amp;height=120&amp;START_MAXIMIZED=FALSE&amp;creator=factset&amp;display_string=Audit"}</definedName>
    <definedName name="_689__FDSAUDITLINK__" hidden="1">{"fdsup://Directions/FactSet Auditing Viewer?action=AUDIT_VALUE&amp;DB=129&amp;ID1=02553E10&amp;VALUEID=13040&amp;SDATE=200702&amp;PERIODTYPE=QTR_STD&amp;window=popup_no_bar&amp;width=385&amp;height=120&amp;START_MAXIMIZED=FALSE&amp;creator=factset&amp;display_string=Audit"}</definedName>
    <definedName name="_69__FDSAUDITLINK__" hidden="1">{"fdsup://Directions/FactSet Auditing Viewer?action=AUDIT_VALUE&amp;DB=129&amp;ID1=36476010&amp;VALUEID=13040&amp;SDATE=200902&amp;PERIODTYPE=QTR_STD&amp;window=popup_no_bar&amp;width=385&amp;height=120&amp;START_MAXIMIZED=FALSE&amp;creator=factset&amp;display_string=Audit"}</definedName>
    <definedName name="_690__FDSAUDITLINK__" hidden="1">{"fdsup://Directions/FactSet Auditing Viewer?action=AUDIT_VALUE&amp;DB=129&amp;ID1=00786510&amp;VALUEID=02101&amp;SDATE=200702&amp;PERIODTYPE=QTR_STD&amp;window=popup_no_bar&amp;width=385&amp;height=120&amp;START_MAXIMIZED=FALSE&amp;creator=factset&amp;display_string=Audit"}</definedName>
    <definedName name="_691__FDSAUDITLINK__" hidden="1">{"fdsup://Directions/FactSet Auditing Viewer?action=AUDIT_VALUE&amp;DB=129&amp;ID1=00786510&amp;VALUEID=01001&amp;SDATE=200702&amp;PERIODTYPE=QTR_STD&amp;window=popup_no_bar&amp;width=385&amp;height=120&amp;START_MAXIMIZED=FALSE&amp;creator=factset&amp;display_string=Audit"}</definedName>
    <definedName name="_692__FDSAUDITLINK__" hidden="1">{"fdsup://Directions/FactSet Auditing Viewer?action=AUDIT_VALUE&amp;DB=129&amp;ID1=00786510&amp;VALUEID=13040&amp;SDATE=200702&amp;PERIODTYPE=QTR_STD&amp;window=popup_no_bar&amp;width=385&amp;height=120&amp;START_MAXIMIZED=FALSE&amp;creator=factset&amp;display_string=Audit"}</definedName>
    <definedName name="_693__FDSAUDITLINK__" hidden="1">{"fdsup://Directions/FactSet Auditing Viewer?action=AUDIT_VALUE&amp;DB=129&amp;ID1=00289620&amp;VALUEID=02101&amp;SDATE=200702&amp;PERIODTYPE=QTR_STD&amp;window=popup_no_bar&amp;width=385&amp;height=120&amp;START_MAXIMIZED=FALSE&amp;creator=factset&amp;display_string=Audit"}</definedName>
    <definedName name="_694__FDSAUDITLINK__" hidden="1">{"fdsup://Directions/FactSet Auditing Viewer?action=AUDIT_VALUE&amp;DB=129&amp;ID1=00289620&amp;VALUEID=01001&amp;SDATE=200702&amp;PERIODTYPE=QTR_STD&amp;window=popup_no_bar&amp;width=385&amp;height=120&amp;START_MAXIMIZED=FALSE&amp;creator=factset&amp;display_string=Audit"}</definedName>
    <definedName name="_695__FDSAUDITLINK__" hidden="1">{"fdsup://Directions/FactSet Auditing Viewer?action=AUDIT_VALUE&amp;DB=129&amp;ID1=87416110&amp;VALUEID=02101&amp;SDATE=200701&amp;PERIODTYPE=QTR_STD&amp;window=popup_no_bar&amp;width=385&amp;height=120&amp;START_MAXIMIZED=FALSE&amp;creator=factset&amp;display_string=Audit"}</definedName>
    <definedName name="_696__FDSAUDITLINK__" hidden="1">{"fdsup://Directions/FactSet Auditing Viewer?action=AUDIT_VALUE&amp;DB=129&amp;ID1=87416110&amp;VALUEID=01001&amp;SDATE=200701&amp;PERIODTYPE=QTR_STD&amp;window=popup_no_bar&amp;width=385&amp;height=120&amp;START_MAXIMIZED=FALSE&amp;creator=factset&amp;display_string=Audit"}</definedName>
    <definedName name="_697__FDSAUDITLINK__" hidden="1">{"fdsup://Directions/FactSet Auditing Viewer?action=AUDIT_VALUE&amp;DB=129&amp;ID1=53271610&amp;VALUEID=02101&amp;SDATE=200701&amp;PERIODTYPE=QTR_STD&amp;window=popup_no_bar&amp;width=385&amp;height=120&amp;START_MAXIMIZED=FALSE&amp;creator=factset&amp;display_string=Audit"}</definedName>
    <definedName name="_698__FDSAUDITLINK__" hidden="1">{"fdsup://Directions/FactSet Auditing Viewer?action=AUDIT_VALUE&amp;DB=129&amp;ID1=53271610&amp;VALUEID=01001&amp;SDATE=200701&amp;PERIODTYPE=QTR_STD&amp;window=popup_no_bar&amp;width=385&amp;height=120&amp;START_MAXIMIZED=FALSE&amp;creator=factset&amp;display_string=Audit"}</definedName>
    <definedName name="_699__FDSAUDITLINK__" hidden="1">{"fdsup://Directions/FactSet Auditing Viewer?action=AUDIT_VALUE&amp;DB=129&amp;ID1=53271610&amp;VALUEID=13040&amp;SDATE=200701&amp;PERIODTYPE=QTR_STD&amp;window=popup_no_bar&amp;width=385&amp;height=120&amp;START_MAXIMIZED=FALSE&amp;creator=factset&amp;display_string=Audit"}</definedName>
    <definedName name="_7__FDSAUDITLINK__" hidden="1">{"fdsup://Directions/FactSet Auditing Viewer?action=AUDIT_VALUE&amp;DB=129&amp;ID1=46612H40&amp;VALUEID=13040&amp;SDATE=201001&amp;PERIODTYPE=QTR_STD&amp;window=popup_no_bar&amp;width=385&amp;height=120&amp;START_MAXIMIZED=FALSE&amp;creator=factset&amp;display_string=Audit"}</definedName>
    <definedName name="_70__FDSAUDITLINK__" hidden="1">{"fdsup://Directions/FactSet Auditing Viewer?action=AUDIT_VALUE&amp;DB=129&amp;ID1=03611510&amp;VALUEID=02101&amp;SDATE=200902&amp;PERIODTYPE=QTR_STD&amp;window=popup_no_bar&amp;width=385&amp;height=120&amp;START_MAXIMIZED=FALSE&amp;creator=factset&amp;display_string=Audit"}</definedName>
    <definedName name="_700__FDSAUDITLINK__" hidden="1">{"fdsup://Directions/FactSet Auditing Viewer?action=AUDIT_VALUE&amp;DB=129&amp;ID1=46612H40&amp;VALUEID=02101&amp;SDATE=200701&amp;PERIODTYPE=QTR_STD&amp;window=popup_no_bar&amp;width=385&amp;height=120&amp;START_MAXIMIZED=FALSE&amp;creator=factset&amp;display_string=Audit"}</definedName>
    <definedName name="_701__FDSAUDITLINK__" hidden="1">{"fdsup://Directions/FactSet Auditing Viewer?action=AUDIT_VALUE&amp;DB=129&amp;ID1=46612H40&amp;VALUEID=01001&amp;SDATE=200701&amp;PERIODTYPE=QTR_STD&amp;window=popup_no_bar&amp;width=385&amp;height=120&amp;START_MAXIMIZED=FALSE&amp;creator=factset&amp;display_string=Audit"}</definedName>
    <definedName name="_702__FDSAUDITLINK__" hidden="1">{"fdsup://Directions/FactSet Auditing Viewer?action=AUDIT_VALUE&amp;DB=129&amp;ID1=46612H40&amp;VALUEID=13040&amp;SDATE=200701&amp;PERIODTYPE=QTR_STD&amp;window=popup_no_bar&amp;width=385&amp;height=120&amp;START_MAXIMIZED=FALSE&amp;creator=factset&amp;display_string=Audit"}</definedName>
    <definedName name="_703__FDSAUDITLINK__" hidden="1">{"fdsup://Directions/FactSet Auditing Viewer?action=AUDIT_VALUE&amp;DB=129&amp;ID1=36476010&amp;VALUEID=02101&amp;SDATE=200701&amp;PERIODTYPE=QTR_STD&amp;window=popup_no_bar&amp;width=385&amp;height=120&amp;START_MAXIMIZED=FALSE&amp;creator=factset&amp;display_string=Audit"}</definedName>
    <definedName name="_704__FDSAUDITLINK__" hidden="1">{"fdsup://Directions/FactSet Auditing Viewer?action=AUDIT_VALUE&amp;DB=129&amp;ID1=36476010&amp;VALUEID=01001&amp;SDATE=200701&amp;PERIODTYPE=QTR_STD&amp;window=popup_no_bar&amp;width=385&amp;height=120&amp;START_MAXIMIZED=FALSE&amp;creator=factset&amp;display_string=Audit"}</definedName>
    <definedName name="_705__FDSAUDITLINK__" hidden="1">{"fdsup://Directions/FactSet Auditing Viewer?action=AUDIT_VALUE&amp;DB=129&amp;ID1=36476010&amp;VALUEID=13040&amp;SDATE=200701&amp;PERIODTYPE=QTR_STD&amp;window=popup_no_bar&amp;width=385&amp;height=120&amp;START_MAXIMIZED=FALSE&amp;creator=factset&amp;display_string=Audit"}</definedName>
    <definedName name="_706__FDSAUDITLINK__" hidden="1">{"fdsup://Directions/FactSet Auditing Viewer?action=AUDIT_VALUE&amp;DB=129&amp;ID1=03611510&amp;VALUEID=02101&amp;SDATE=200701&amp;PERIODTYPE=QTR_STD&amp;window=popup_no_bar&amp;width=385&amp;height=120&amp;START_MAXIMIZED=FALSE&amp;creator=factset&amp;display_string=Audit"}</definedName>
    <definedName name="_707__FDSAUDITLINK__" hidden="1">{"fdsup://Directions/FactSet Auditing Viewer?action=AUDIT_VALUE&amp;DB=129&amp;ID1=03611510&amp;VALUEID=01001&amp;SDATE=200701&amp;PERIODTYPE=QTR_STD&amp;window=popup_no_bar&amp;width=385&amp;height=120&amp;START_MAXIMIZED=FALSE&amp;creator=factset&amp;display_string=Audit"}</definedName>
    <definedName name="_708__FDSAUDITLINK__" hidden="1">{"fdsup://Directions/FactSet Auditing Viewer?action=AUDIT_VALUE&amp;DB=129&amp;ID1=03611510&amp;VALUEID=13040&amp;SDATE=200701&amp;PERIODTYPE=QTR_STD&amp;window=popup_no_bar&amp;width=385&amp;height=120&amp;START_MAXIMIZED=FALSE&amp;creator=factset&amp;display_string=Audit"}</definedName>
    <definedName name="_709__FDSAUDITLINK__" hidden="1">{"fdsup://Directions/FactSet Auditing Viewer?action=AUDIT_VALUE&amp;DB=129&amp;ID1=16890510&amp;VALUEID=02101&amp;SDATE=200701&amp;PERIODTYPE=QTR_STD&amp;window=popup_no_bar&amp;width=385&amp;height=120&amp;START_MAXIMIZED=FALSE&amp;creator=factset&amp;display_string=Audit"}</definedName>
    <definedName name="_71__FDSAUDITLINK__" hidden="1">{"fdsup://Directions/FactSet Auditing Viewer?action=AUDIT_VALUE&amp;DB=129&amp;ID1=03611510&amp;VALUEID=01001&amp;SDATE=200902&amp;PERIODTYPE=QTR_STD&amp;window=popup_no_bar&amp;width=385&amp;height=120&amp;START_MAXIMIZED=FALSE&amp;creator=factset&amp;display_string=Audit"}</definedName>
    <definedName name="_710__FDSAUDITLINK__" hidden="1">{"fdsup://Directions/FactSet Auditing Viewer?action=AUDIT_VALUE&amp;DB=129&amp;ID1=16890510&amp;VALUEID=01001&amp;SDATE=200701&amp;PERIODTYPE=QTR_STD&amp;window=popup_no_bar&amp;width=385&amp;height=120&amp;START_MAXIMIZED=FALSE&amp;creator=factset&amp;display_string=Audit"}</definedName>
    <definedName name="_711__FDSAUDITLINK__" hidden="1">{"fdsup://Directions/FactSet Auditing Viewer?action=AUDIT_VALUE&amp;DB=129&amp;ID1=91704710&amp;VALUEID=02101&amp;SDATE=200701&amp;PERIODTYPE=QTR_STD&amp;window=popup_no_bar&amp;width=385&amp;height=120&amp;START_MAXIMIZED=FALSE&amp;creator=factset&amp;display_string=Audit"}</definedName>
    <definedName name="_712__FDSAUDITLINK__" hidden="1">{"fdsup://Directions/FactSet Auditing Viewer?action=AUDIT_VALUE&amp;DB=129&amp;ID1=91704710&amp;VALUEID=01001&amp;SDATE=200701&amp;PERIODTYPE=QTR_STD&amp;window=popup_no_bar&amp;width=385&amp;height=120&amp;START_MAXIMIZED=FALSE&amp;creator=factset&amp;display_string=Audit"}</definedName>
    <definedName name="_713__FDSAUDITLINK__" hidden="1">{"fdsup://Directions/FactSet Auditing Viewer?action=AUDIT_VALUE&amp;DB=129&amp;ID1=91704710&amp;VALUEID=13040&amp;SDATE=200701&amp;PERIODTYPE=QTR_STD&amp;window=popup_no_bar&amp;width=385&amp;height=120&amp;START_MAXIMIZED=FALSE&amp;creator=factset&amp;display_string=Audit"}</definedName>
    <definedName name="_714__FDSAUDITLINK__" hidden="1">{"fdsup://Directions/FactSet Auditing Viewer?action=AUDIT_VALUE&amp;DB=129&amp;ID1=02553E10&amp;VALUEID=02101&amp;SDATE=200701&amp;PERIODTYPE=QTR_STD&amp;window=popup_no_bar&amp;width=385&amp;height=120&amp;START_MAXIMIZED=FALSE&amp;creator=factset&amp;display_string=Audit"}</definedName>
    <definedName name="_715__FDSAUDITLINK__" hidden="1">{"fdsup://Directions/FactSet Auditing Viewer?action=AUDIT_VALUE&amp;DB=129&amp;ID1=02553E10&amp;VALUEID=01001&amp;SDATE=200701&amp;PERIODTYPE=QTR_STD&amp;window=popup_no_bar&amp;width=385&amp;height=120&amp;START_MAXIMIZED=FALSE&amp;creator=factset&amp;display_string=Audit"}</definedName>
    <definedName name="_716__FDSAUDITLINK__" hidden="1">{"fdsup://Directions/FactSet Auditing Viewer?action=AUDIT_VALUE&amp;DB=129&amp;ID1=02553E10&amp;VALUEID=13040&amp;SDATE=200701&amp;PERIODTYPE=QTR_STD&amp;window=popup_no_bar&amp;width=385&amp;height=120&amp;START_MAXIMIZED=FALSE&amp;creator=factset&amp;display_string=Audit"}</definedName>
    <definedName name="_717__FDSAUDITLINK__" hidden="1">{"fdsup://Directions/FactSet Auditing Viewer?action=AUDIT_VALUE&amp;DB=129&amp;ID1=00786510&amp;VALUEID=02101&amp;SDATE=200701&amp;PERIODTYPE=QTR_STD&amp;window=popup_no_bar&amp;width=385&amp;height=120&amp;START_MAXIMIZED=FALSE&amp;creator=factset&amp;display_string=Audit"}</definedName>
    <definedName name="_718__FDSAUDITLINK__" hidden="1">{"fdsup://Directions/FactSet Auditing Viewer?action=AUDIT_VALUE&amp;DB=129&amp;ID1=00786510&amp;VALUEID=01001&amp;SDATE=200701&amp;PERIODTYPE=QTR_STD&amp;window=popup_no_bar&amp;width=385&amp;height=120&amp;START_MAXIMIZED=FALSE&amp;creator=factset&amp;display_string=Audit"}</definedName>
    <definedName name="_719__FDSAUDITLINK__" hidden="1">{"fdsup://Directions/FactSet Auditing Viewer?action=AUDIT_VALUE&amp;DB=129&amp;ID1=00786510&amp;VALUEID=13040&amp;SDATE=200701&amp;PERIODTYPE=QTR_STD&amp;window=popup_no_bar&amp;width=385&amp;height=120&amp;START_MAXIMIZED=FALSE&amp;creator=factset&amp;display_string=Audit"}</definedName>
    <definedName name="_72__FDSAUDITLINK__" hidden="1">{"fdsup://Directions/FactSet Auditing Viewer?action=AUDIT_VALUE&amp;DB=129&amp;ID1=03611510&amp;VALUEID=13040&amp;SDATE=200902&amp;PERIODTYPE=QTR_STD&amp;window=popup_no_bar&amp;width=385&amp;height=120&amp;START_MAXIMIZED=FALSE&amp;creator=factset&amp;display_string=Audit"}</definedName>
    <definedName name="_720__FDSAUDITLINK__" hidden="1">{"fdsup://Directions/FactSet Auditing Viewer?action=AUDIT_VALUE&amp;DB=129&amp;ID1=00289620&amp;VALUEID=02101&amp;SDATE=200701&amp;PERIODTYPE=QTR_STD&amp;window=popup_no_bar&amp;width=385&amp;height=120&amp;START_MAXIMIZED=FALSE&amp;creator=factset&amp;display_string=Audit"}</definedName>
    <definedName name="_721__FDSAUDITLINK__" hidden="1">{"fdsup://Directions/FactSet Auditing Viewer?action=AUDIT_VALUE&amp;DB=129&amp;ID1=00289620&amp;VALUEID=01001&amp;SDATE=200701&amp;PERIODTYPE=QTR_STD&amp;window=popup_no_bar&amp;width=385&amp;height=120&amp;START_MAXIMIZED=FALSE&amp;creator=factset&amp;display_string=Audit"}</definedName>
    <definedName name="_722__FDSAUDITLINK__" hidden="1">{"fdsup://Directions/FactSet Auditing Viewer?action=AUDIT_VALUE&amp;DB=129&amp;ID1=00289620&amp;VALUEID=13040&amp;SDATE=200701&amp;PERIODTYPE=QTR_STD&amp;window=popup_no_bar&amp;width=385&amp;height=120&amp;START_MAXIMIZED=FALSE&amp;creator=factset&amp;display_string=Audit"}</definedName>
    <definedName name="_723__FDSAUDITLINK__" hidden="1">{"fdsup://Directions/FactSet Auditing Viewer?action=AUDIT_VALUE&amp;DB=129&amp;ID1=87416110&amp;VALUEID=01001&amp;SDATE=200604&amp;PERIODTYPE=QTR_STD&amp;window=popup_no_bar&amp;width=385&amp;height=120&amp;START_MAXIMIZED=FALSE&amp;creator=factset&amp;display_string=Audit"}</definedName>
    <definedName name="_724__FDSAUDITLINK__" hidden="1">{"fdsup://Directions/FactSet Auditing Viewer?action=AUDIT_VALUE&amp;DB=129&amp;ID1=46612H40&amp;VALUEID=01001&amp;SDATE=200604&amp;PERIODTYPE=QTR_STD&amp;window=popup_no_bar&amp;width=385&amp;height=120&amp;START_MAXIMIZED=FALSE&amp;creator=factset&amp;display_string=Audit"}</definedName>
    <definedName name="_725__FDSAUDITLINK__" hidden="1">{"fdsup://Directions/FactSet Auditing Viewer?action=AUDIT_VALUE&amp;DB=129&amp;ID1=36476010&amp;VALUEID=01001&amp;SDATE=200604&amp;PERIODTYPE=QTR_STD&amp;window=popup_no_bar&amp;width=385&amp;height=120&amp;START_MAXIMIZED=FALSE&amp;creator=factset&amp;display_string=Audit"}</definedName>
    <definedName name="_726__FDSAUDITLINK__" hidden="1">{"fdsup://Directions/FactSet Auditing Viewer?action=AUDIT_VALUE&amp;DB=129&amp;ID1=03611510&amp;VALUEID=01001&amp;SDATE=200604&amp;PERIODTYPE=QTR_STD&amp;window=popup_no_bar&amp;width=385&amp;height=120&amp;START_MAXIMIZED=FALSE&amp;creator=factset&amp;display_string=Audit"}</definedName>
    <definedName name="_727__FDSAUDITLINK__" hidden="1">{"fdsup://Directions/FactSet Auditing Viewer?action=AUDIT_VALUE&amp;DB=129&amp;ID1=16890510&amp;VALUEID=01001&amp;SDATE=200604&amp;PERIODTYPE=QTR_STD&amp;window=popup_no_bar&amp;width=385&amp;height=120&amp;START_MAXIMIZED=FALSE&amp;creator=factset&amp;display_string=Audit"}</definedName>
    <definedName name="_728__FDSAUDITLINK__" hidden="1">{"fdsup://directions/FAT Viewer?action=UPDATE&amp;creator=factset&amp;DYN_ARGS=TRUE&amp;DOC_NAME=FAT:FQL_AUDITING_CLIENT_TEMPLATE.FAT&amp;display_string=Audit&amp;VAR:KEY=BONMBKFGLQ&amp;VAR:QUERY=RkZfUlRfU0ZfVE9UX0dST1NTKFFUUiwtMTMp&amp;WINDOW=FIRST_POPUP&amp;HEIGHT=450&amp;WIDTH=450&amp;START_MA","XIMIZED=FALSE&amp;VAR:CALENDAR=US&amp;VAR:SYMBOL=AEO&amp;VAR:INDEX=0"}</definedName>
    <definedName name="_729__FDSAUDITLINK__" hidden="1">{"fdsup://Directions/FactSet Auditing Viewer?action=AUDIT_VALUE&amp;DB=129&amp;ID1=00786510&amp;VALUEID=01001&amp;SDATE=200604&amp;PERIODTYPE=QTR_STD&amp;window=popup_no_bar&amp;width=385&amp;height=120&amp;START_MAXIMIZED=FALSE&amp;creator=factset&amp;display_string=Audit"}</definedName>
    <definedName name="_73__FDSAUDITLINK__" hidden="1">{"fdsup://Directions/FactSet Auditing Viewer?action=AUDIT_VALUE&amp;DB=129&amp;ID1=16890510&amp;VALUEID=02101&amp;SDATE=200902&amp;PERIODTYPE=QTR_STD&amp;window=popup_no_bar&amp;width=385&amp;height=120&amp;START_MAXIMIZED=FALSE&amp;creator=factset&amp;display_string=Audit"}</definedName>
    <definedName name="_730__FDSAUDITLINK__" hidden="1">{"fdsup://Directions/FactSet Auditing Viewer?action=AUDIT_VALUE&amp;DB=129&amp;ID1=87416110&amp;VALUEID=02101&amp;SDATE=200603&amp;PERIODTYPE=QTR_STD&amp;window=popup_no_bar&amp;width=385&amp;height=120&amp;START_MAXIMIZED=FALSE&amp;creator=factset&amp;display_string=Audit"}</definedName>
    <definedName name="_731__FDSAUDITLINK__" hidden="1">{"fdsup://Directions/FactSet Auditing Viewer?action=AUDIT_VALUE&amp;DB=129&amp;ID1=87416110&amp;VALUEID=01001&amp;SDATE=200603&amp;PERIODTYPE=QTR_STD&amp;window=popup_no_bar&amp;width=385&amp;height=120&amp;START_MAXIMIZED=FALSE&amp;creator=factset&amp;display_string=Audit"}</definedName>
    <definedName name="_732__FDSAUDITLINK__" hidden="1">{"fdsup://Directions/FactSet Auditing Viewer?action=AUDIT_VALUE&amp;DB=129&amp;ID1=53271610&amp;VALUEID=02101&amp;SDATE=200603&amp;PERIODTYPE=QTR_STD&amp;window=popup_no_bar&amp;width=385&amp;height=120&amp;START_MAXIMIZED=FALSE&amp;creator=factset&amp;display_string=Audit"}</definedName>
    <definedName name="_733__FDSAUDITLINK__" hidden="1">{"fdsup://Directions/FactSet Auditing Viewer?action=AUDIT_VALUE&amp;DB=129&amp;ID1=53271610&amp;VALUEID=01001&amp;SDATE=200603&amp;PERIODTYPE=QTR_STD&amp;window=popup_no_bar&amp;width=385&amp;height=120&amp;START_MAXIMIZED=FALSE&amp;creator=factset&amp;display_string=Audit"}</definedName>
    <definedName name="_734__FDSAUDITLINK__" hidden="1">{"fdsup://Directions/FactSet Auditing Viewer?action=AUDIT_VALUE&amp;DB=129&amp;ID1=53271610&amp;VALUEID=13040&amp;SDATE=200603&amp;PERIODTYPE=QTR_STD&amp;window=popup_no_bar&amp;width=385&amp;height=120&amp;START_MAXIMIZED=FALSE&amp;creator=factset&amp;display_string=Audit"}</definedName>
    <definedName name="_735__FDSAUDITLINK__" hidden="1">{"fdsup://Directions/FactSet Auditing Viewer?action=AUDIT_VALUE&amp;DB=129&amp;ID1=46612H40&amp;VALUEID=02101&amp;SDATE=200603&amp;PERIODTYPE=QTR_STD&amp;window=popup_no_bar&amp;width=385&amp;height=120&amp;START_MAXIMIZED=FALSE&amp;creator=factset&amp;display_string=Audit"}</definedName>
    <definedName name="_736__FDSAUDITLINK__" hidden="1">{"fdsup://Directions/FactSet Auditing Viewer?action=AUDIT_VALUE&amp;DB=129&amp;ID1=46612H40&amp;VALUEID=01001&amp;SDATE=200603&amp;PERIODTYPE=QTR_STD&amp;window=popup_no_bar&amp;width=385&amp;height=120&amp;START_MAXIMIZED=FALSE&amp;creator=factset&amp;display_string=Audit"}</definedName>
    <definedName name="_737__FDSAUDITLINK__" hidden="1">{"fdsup://Directions/FactSet Auditing Viewer?action=AUDIT_VALUE&amp;DB=129&amp;ID1=46612H40&amp;VALUEID=13040&amp;SDATE=200603&amp;PERIODTYPE=QTR_STD&amp;window=popup_no_bar&amp;width=385&amp;height=120&amp;START_MAXIMIZED=FALSE&amp;creator=factset&amp;display_string=Audit"}</definedName>
    <definedName name="_738__FDSAUDITLINK__" hidden="1">{"fdsup://Directions/FactSet Auditing Viewer?action=AUDIT_VALUE&amp;DB=129&amp;ID1=36476010&amp;VALUEID=02101&amp;SDATE=200603&amp;PERIODTYPE=QTR_STD&amp;window=popup_no_bar&amp;width=385&amp;height=120&amp;START_MAXIMIZED=FALSE&amp;creator=factset&amp;display_string=Audit"}</definedName>
    <definedName name="_739__FDSAUDITLINK__" hidden="1">{"fdsup://Directions/FactSet Auditing Viewer?action=AUDIT_VALUE&amp;DB=129&amp;ID1=36476010&amp;VALUEID=01001&amp;SDATE=200603&amp;PERIODTYPE=QTR_STD&amp;window=popup_no_bar&amp;width=385&amp;height=120&amp;START_MAXIMIZED=FALSE&amp;creator=factset&amp;display_string=Audit"}</definedName>
    <definedName name="_74__FDSAUDITLINK__" hidden="1">{"fdsup://Directions/FactSet Auditing Viewer?action=AUDIT_VALUE&amp;DB=129&amp;ID1=16890510&amp;VALUEID=01001&amp;SDATE=200902&amp;PERIODTYPE=QTR_STD&amp;window=popup_no_bar&amp;width=385&amp;height=120&amp;START_MAXIMIZED=FALSE&amp;creator=factset&amp;display_string=Audit"}</definedName>
    <definedName name="_740__FDSAUDITLINK__" hidden="1">{"fdsup://Directions/FactSet Auditing Viewer?action=AUDIT_VALUE&amp;DB=129&amp;ID1=36476010&amp;VALUEID=13040&amp;SDATE=200603&amp;PERIODTYPE=QTR_STD&amp;window=popup_no_bar&amp;width=385&amp;height=120&amp;START_MAXIMIZED=FALSE&amp;creator=factset&amp;display_string=Audit"}</definedName>
    <definedName name="_741__FDSAUDITLINK__" hidden="1">{"fdsup://Directions/FactSet Auditing Viewer?action=AUDIT_VALUE&amp;DB=129&amp;ID1=03611510&amp;VALUEID=02101&amp;SDATE=200603&amp;PERIODTYPE=QTR_STD&amp;window=popup_no_bar&amp;width=385&amp;height=120&amp;START_MAXIMIZED=FALSE&amp;creator=factset&amp;display_string=Audit"}</definedName>
    <definedName name="_742__FDSAUDITLINK__" hidden="1">{"fdsup://Directions/FactSet Auditing Viewer?action=AUDIT_VALUE&amp;DB=129&amp;ID1=03611510&amp;VALUEID=01001&amp;SDATE=200603&amp;PERIODTYPE=QTR_STD&amp;window=popup_no_bar&amp;width=385&amp;height=120&amp;START_MAXIMIZED=FALSE&amp;creator=factset&amp;display_string=Audit"}</definedName>
    <definedName name="_743__FDSAUDITLINK__" hidden="1">{"fdsup://Directions/FactSet Auditing Viewer?action=AUDIT_VALUE&amp;DB=129&amp;ID1=03611510&amp;VALUEID=13040&amp;SDATE=200603&amp;PERIODTYPE=QTR_STD&amp;window=popup_no_bar&amp;width=385&amp;height=120&amp;START_MAXIMIZED=FALSE&amp;creator=factset&amp;display_string=Audit"}</definedName>
    <definedName name="_744__FDSAUDITLINK__" hidden="1">{"fdsup://Directions/FactSet Auditing Viewer?action=AUDIT_VALUE&amp;DB=129&amp;ID1=16890510&amp;VALUEID=02101&amp;SDATE=200603&amp;PERIODTYPE=QTR_STD&amp;window=popup_no_bar&amp;width=385&amp;height=120&amp;START_MAXIMIZED=FALSE&amp;creator=factset&amp;display_string=Audit"}</definedName>
    <definedName name="_745__FDSAUDITLINK__" hidden="1">{"fdsup://Directions/FactSet Auditing Viewer?action=AUDIT_VALUE&amp;DB=129&amp;ID1=16890510&amp;VALUEID=01001&amp;SDATE=200603&amp;PERIODTYPE=QTR_STD&amp;window=popup_no_bar&amp;width=385&amp;height=120&amp;START_MAXIMIZED=FALSE&amp;creator=factset&amp;display_string=Audit"}</definedName>
    <definedName name="_746__FDSAUDITLINK__" hidden="1">{"fdsup://Directions/FactSet Auditing Viewer?action=AUDIT_VALUE&amp;DB=129&amp;ID1=91704710&amp;VALUEID=02101&amp;SDATE=200603&amp;PERIODTYPE=QTR_STD&amp;window=popup_no_bar&amp;width=385&amp;height=120&amp;START_MAXIMIZED=FALSE&amp;creator=factset&amp;display_string=Audit"}</definedName>
    <definedName name="_747__FDSAUDITLINK__" hidden="1">{"fdsup://Directions/FactSet Auditing Viewer?action=AUDIT_VALUE&amp;DB=129&amp;ID1=91704710&amp;VALUEID=01001&amp;SDATE=200603&amp;PERIODTYPE=QTR_STD&amp;window=popup_no_bar&amp;width=385&amp;height=120&amp;START_MAXIMIZED=FALSE&amp;creator=factset&amp;display_string=Audit"}</definedName>
    <definedName name="_748__FDSAUDITLINK__" hidden="1">{"fdsup://Directions/FactSet Auditing Viewer?action=AUDIT_VALUE&amp;DB=129&amp;ID1=91704710&amp;VALUEID=13040&amp;SDATE=200603&amp;PERIODTYPE=QTR_STD&amp;window=popup_no_bar&amp;width=385&amp;height=120&amp;START_MAXIMIZED=FALSE&amp;creator=factset&amp;display_string=Audit"}</definedName>
    <definedName name="_749__FDSAUDITLINK__" hidden="1">{"fdsup://directions/FAT Viewer?action=UPDATE&amp;creator=factset&amp;DYN_ARGS=TRUE&amp;DOC_NAME=FAT:FQL_AUDITING_CLIENT_TEMPLATE.FAT&amp;display_string=Audit&amp;VAR:KEY=NGXYHSLMBY&amp;VAR:QUERY=RkZfUlRfU0ZfVE9UX0dST1NTKFFUUiwtMTQp&amp;WINDOW=FIRST_POPUP&amp;HEIGHT=450&amp;WIDTH=450&amp;START_MA","XIMIZED=FALSE&amp;VAR:CALENDAR=US&amp;VAR:SYMBOL=AEO&amp;VAR:INDEX=0"}</definedName>
    <definedName name="_75__FDSAUDITLINK__" hidden="1">{"fdsup://Directions/FactSet Auditing Viewer?action=AUDIT_VALUE&amp;DB=129&amp;ID1=91704710&amp;VALUEID=02101&amp;SDATE=200902&amp;PERIODTYPE=QTR_STD&amp;window=popup_no_bar&amp;width=385&amp;height=120&amp;START_MAXIMIZED=FALSE&amp;creator=factset&amp;display_string=Audit"}</definedName>
    <definedName name="_750__FDSAUDITLINK__" hidden="1">{"fdsup://Directions/FactSet Auditing Viewer?action=AUDIT_VALUE&amp;DB=129&amp;ID1=00786510&amp;VALUEID=02101&amp;SDATE=200603&amp;PERIODTYPE=QTR_STD&amp;window=popup_no_bar&amp;width=385&amp;height=120&amp;START_MAXIMIZED=FALSE&amp;creator=factset&amp;display_string=Audit"}</definedName>
    <definedName name="_751__FDSAUDITLINK__" hidden="1">{"fdsup://Directions/FactSet Auditing Viewer?action=AUDIT_VALUE&amp;DB=129&amp;ID1=00786510&amp;VALUEID=01001&amp;SDATE=200603&amp;PERIODTYPE=QTR_STD&amp;window=popup_no_bar&amp;width=385&amp;height=120&amp;START_MAXIMIZED=FALSE&amp;creator=factset&amp;display_string=Audit"}</definedName>
    <definedName name="_752__FDSAUDITLINK__" hidden="1">{"fdsup://Directions/FactSet Auditing Viewer?action=AUDIT_VALUE&amp;DB=129&amp;ID1=00786510&amp;VALUEID=13040&amp;SDATE=200603&amp;PERIODTYPE=QTR_STD&amp;window=popup_no_bar&amp;width=385&amp;height=120&amp;START_MAXIMIZED=FALSE&amp;creator=factset&amp;display_string=Audit"}</definedName>
    <definedName name="_753__FDSAUDITLINK__" hidden="1">{"fdsup://Directions/FactSet Auditing Viewer?action=AUDIT_VALUE&amp;DB=129&amp;ID1=00289620&amp;VALUEID=02101&amp;SDATE=200603&amp;PERIODTYPE=QTR_STD&amp;window=popup_no_bar&amp;width=385&amp;height=120&amp;START_MAXIMIZED=FALSE&amp;creator=factset&amp;display_string=Audit"}</definedName>
    <definedName name="_754__FDSAUDITLINK__" hidden="1">{"fdsup://Directions/FactSet Auditing Viewer?action=AUDIT_VALUE&amp;DB=129&amp;ID1=00289620&amp;VALUEID=01001&amp;SDATE=200603&amp;PERIODTYPE=QTR_STD&amp;window=popup_no_bar&amp;width=385&amp;height=120&amp;START_MAXIMIZED=FALSE&amp;creator=factset&amp;display_string=Audit"}</definedName>
    <definedName name="_755__FDSAUDITLINK__" hidden="1">{"fdsup://Directions/FactSet Auditing Viewer?action=AUDIT_VALUE&amp;DB=129&amp;ID1=00289620&amp;VALUEID=13040&amp;SDATE=200603&amp;PERIODTYPE=QTR_STD&amp;window=popup_no_bar&amp;width=385&amp;height=120&amp;START_MAXIMIZED=FALSE&amp;creator=factset&amp;display_string=Audit"}</definedName>
    <definedName name="_756__FDSAUDITLINK__" hidden="1">{"fdsup://Directions/FactSet Auditing Viewer?action=AUDIT_VALUE&amp;DB=129&amp;ID1=87416110&amp;VALUEID=02101&amp;SDATE=200602&amp;PERIODTYPE=QTR_STD&amp;window=popup_no_bar&amp;width=385&amp;height=120&amp;START_MAXIMIZED=FALSE&amp;creator=factset&amp;display_string=Audit"}</definedName>
    <definedName name="_757__FDSAUDITLINK__" hidden="1">{"fdsup://Directions/FactSet Auditing Viewer?action=AUDIT_VALUE&amp;DB=129&amp;ID1=87416110&amp;VALUEID=01001&amp;SDATE=200602&amp;PERIODTYPE=QTR_STD&amp;window=popup_no_bar&amp;width=385&amp;height=120&amp;START_MAXIMIZED=FALSE&amp;creator=factset&amp;display_string=Audit"}</definedName>
    <definedName name="_758__FDSAUDITLINK__" hidden="1">{"fdsup://Directions/FactSet Auditing Viewer?action=AUDIT_VALUE&amp;DB=129&amp;ID1=53271610&amp;VALUEID=02101&amp;SDATE=200602&amp;PERIODTYPE=QTR_STD&amp;window=popup_no_bar&amp;width=385&amp;height=120&amp;START_MAXIMIZED=FALSE&amp;creator=factset&amp;display_string=Audit"}</definedName>
    <definedName name="_759__FDSAUDITLINK__" hidden="1">{"fdsup://Directions/FactSet Auditing Viewer?action=AUDIT_VALUE&amp;DB=129&amp;ID1=53271610&amp;VALUEID=01001&amp;SDATE=200602&amp;PERIODTYPE=QTR_STD&amp;window=popup_no_bar&amp;width=385&amp;height=120&amp;START_MAXIMIZED=FALSE&amp;creator=factset&amp;display_string=Audit"}</definedName>
    <definedName name="_76__FDSAUDITLINK__" hidden="1">{"fdsup://Directions/FactSet Auditing Viewer?action=AUDIT_VALUE&amp;DB=129&amp;ID1=91704710&amp;VALUEID=01001&amp;SDATE=200902&amp;PERIODTYPE=QTR_STD&amp;window=popup_no_bar&amp;width=385&amp;height=120&amp;START_MAXIMIZED=FALSE&amp;creator=factset&amp;display_string=Audit"}</definedName>
    <definedName name="_760__FDSAUDITLINK__" hidden="1">{"fdsup://Directions/FactSet Auditing Viewer?action=AUDIT_VALUE&amp;DB=129&amp;ID1=53271610&amp;VALUEID=13040&amp;SDATE=200602&amp;PERIODTYPE=QTR_STD&amp;window=popup_no_bar&amp;width=385&amp;height=120&amp;START_MAXIMIZED=FALSE&amp;creator=factset&amp;display_string=Audit"}</definedName>
    <definedName name="_761__FDSAUDITLINK__" hidden="1">{"fdsup://Directions/FactSet Auditing Viewer?action=AUDIT_VALUE&amp;DB=129&amp;ID1=46612H40&amp;VALUEID=02101&amp;SDATE=200602&amp;PERIODTYPE=QTR_STD&amp;window=popup_no_bar&amp;width=385&amp;height=120&amp;START_MAXIMIZED=FALSE&amp;creator=factset&amp;display_string=Audit"}</definedName>
    <definedName name="_762__FDSAUDITLINK__" hidden="1">{"fdsup://Directions/FactSet Auditing Viewer?action=AUDIT_VALUE&amp;DB=129&amp;ID1=46612H40&amp;VALUEID=01001&amp;SDATE=200602&amp;PERIODTYPE=QTR_STD&amp;window=popup_no_bar&amp;width=385&amp;height=120&amp;START_MAXIMIZED=FALSE&amp;creator=factset&amp;display_string=Audit"}</definedName>
    <definedName name="_763__FDSAUDITLINK__" hidden="1">{"fdsup://Directions/FactSet Auditing Viewer?action=AUDIT_VALUE&amp;DB=129&amp;ID1=46612H40&amp;VALUEID=13040&amp;SDATE=200602&amp;PERIODTYPE=QTR_STD&amp;window=popup_no_bar&amp;width=385&amp;height=120&amp;START_MAXIMIZED=FALSE&amp;creator=factset&amp;display_string=Audit"}</definedName>
    <definedName name="_764__FDSAUDITLINK__" hidden="1">{"fdsup://Directions/FactSet Auditing Viewer?action=AUDIT_VALUE&amp;DB=129&amp;ID1=36476010&amp;VALUEID=02101&amp;SDATE=200602&amp;PERIODTYPE=QTR_STD&amp;window=popup_no_bar&amp;width=385&amp;height=120&amp;START_MAXIMIZED=FALSE&amp;creator=factset&amp;display_string=Audit"}</definedName>
    <definedName name="_765__FDSAUDITLINK__" hidden="1">{"fdsup://Directions/FactSet Auditing Viewer?action=AUDIT_VALUE&amp;DB=129&amp;ID1=36476010&amp;VALUEID=01001&amp;SDATE=200602&amp;PERIODTYPE=QTR_STD&amp;window=popup_no_bar&amp;width=385&amp;height=120&amp;START_MAXIMIZED=FALSE&amp;creator=factset&amp;display_string=Audit"}</definedName>
    <definedName name="_766__FDSAUDITLINK__" hidden="1">{"fdsup://Directions/FactSet Auditing Viewer?action=AUDIT_VALUE&amp;DB=129&amp;ID1=36476010&amp;VALUEID=13040&amp;SDATE=200602&amp;PERIODTYPE=QTR_STD&amp;window=popup_no_bar&amp;width=385&amp;height=120&amp;START_MAXIMIZED=FALSE&amp;creator=factset&amp;display_string=Audit"}</definedName>
    <definedName name="_767__FDSAUDITLINK__" hidden="1">{"fdsup://Directions/FactSet Auditing Viewer?action=AUDIT_VALUE&amp;DB=129&amp;ID1=03611510&amp;VALUEID=02101&amp;SDATE=200602&amp;PERIODTYPE=QTR_STD&amp;window=popup_no_bar&amp;width=385&amp;height=120&amp;START_MAXIMIZED=FALSE&amp;creator=factset&amp;display_string=Audit"}</definedName>
    <definedName name="_768__FDSAUDITLINK__" hidden="1">{"fdsup://Directions/FactSet Auditing Viewer?action=AUDIT_VALUE&amp;DB=129&amp;ID1=03611510&amp;VALUEID=01001&amp;SDATE=200602&amp;PERIODTYPE=QTR_STD&amp;window=popup_no_bar&amp;width=385&amp;height=120&amp;START_MAXIMIZED=FALSE&amp;creator=factset&amp;display_string=Audit"}</definedName>
    <definedName name="_769__FDSAUDITLINK__" hidden="1">{"fdsup://Directions/FactSet Auditing Viewer?action=AUDIT_VALUE&amp;DB=129&amp;ID1=03611510&amp;VALUEID=13040&amp;SDATE=200602&amp;PERIODTYPE=QTR_STD&amp;window=popup_no_bar&amp;width=385&amp;height=120&amp;START_MAXIMIZED=FALSE&amp;creator=factset&amp;display_string=Audit"}</definedName>
    <definedName name="_77__FDSAUDITLINK__" hidden="1">{"fdsup://Directions/FactSet Auditing Viewer?action=AUDIT_VALUE&amp;DB=129&amp;ID1=02553E10&amp;VALUEID=02101&amp;SDATE=200902&amp;PERIODTYPE=QTR_STD&amp;window=popup_no_bar&amp;width=385&amp;height=120&amp;START_MAXIMIZED=FALSE&amp;creator=factset&amp;display_string=Audit"}</definedName>
    <definedName name="_770__FDSAUDITLINK__" hidden="1">{"fdsup://Directions/FactSet Auditing Viewer?action=AUDIT_VALUE&amp;DB=129&amp;ID1=16890510&amp;VALUEID=02101&amp;SDATE=200602&amp;PERIODTYPE=QTR_STD&amp;window=popup_no_bar&amp;width=385&amp;height=120&amp;START_MAXIMIZED=FALSE&amp;creator=factset&amp;display_string=Audit"}</definedName>
    <definedName name="_771__FDSAUDITLINK__" hidden="1">{"fdsup://Directions/FactSet Auditing Viewer?action=AUDIT_VALUE&amp;DB=129&amp;ID1=16890510&amp;VALUEID=01001&amp;SDATE=200602&amp;PERIODTYPE=QTR_STD&amp;window=popup_no_bar&amp;width=385&amp;height=120&amp;START_MAXIMIZED=FALSE&amp;creator=factset&amp;display_string=Audit"}</definedName>
    <definedName name="_772__FDSAUDITLINK__" hidden="1">{"fdsup://Directions/FactSet Auditing Viewer?action=AUDIT_VALUE&amp;DB=129&amp;ID1=91704710&amp;VALUEID=02101&amp;SDATE=200602&amp;PERIODTYPE=QTR_STD&amp;window=popup_no_bar&amp;width=385&amp;height=120&amp;START_MAXIMIZED=FALSE&amp;creator=factset&amp;display_string=Audit"}</definedName>
    <definedName name="_773__FDSAUDITLINK__" hidden="1">{"fdsup://Directions/FactSet Auditing Viewer?action=AUDIT_VALUE&amp;DB=129&amp;ID1=91704710&amp;VALUEID=01001&amp;SDATE=200602&amp;PERIODTYPE=QTR_STD&amp;window=popup_no_bar&amp;width=385&amp;height=120&amp;START_MAXIMIZED=FALSE&amp;creator=factset&amp;display_string=Audit"}</definedName>
    <definedName name="_774__FDSAUDITLINK__" hidden="1">{"fdsup://Directions/FactSet Auditing Viewer?action=AUDIT_VALUE&amp;DB=129&amp;ID1=91704710&amp;VALUEID=13040&amp;SDATE=200602&amp;PERIODTYPE=QTR_STD&amp;window=popup_no_bar&amp;width=385&amp;height=120&amp;START_MAXIMIZED=FALSE&amp;creator=factset&amp;display_string=Audit"}</definedName>
    <definedName name="_775__FDSAUDITLINK__" hidden="1">{"fdsup://directions/FAT Viewer?action=UPDATE&amp;creator=factset&amp;DYN_ARGS=TRUE&amp;DOC_NAME=FAT:FQL_AUDITING_CLIENT_TEMPLATE.FAT&amp;display_string=Audit&amp;VAR:KEY=VUNQJUHWBQ&amp;VAR:QUERY=RkZfUlRfU0ZfVE9UX0dST1NTKFFUUiwtMTUp&amp;WINDOW=FIRST_POPUP&amp;HEIGHT=450&amp;WIDTH=450&amp;START_MA","XIMIZED=FALSE&amp;VAR:CALENDAR=US&amp;VAR:SYMBOL=AEO&amp;VAR:INDEX=0"}</definedName>
    <definedName name="_776__FDSAUDITLINK__" hidden="1">{"fdsup://Directions/FactSet Auditing Viewer?action=AUDIT_VALUE&amp;DB=129&amp;ID1=00786510&amp;VALUEID=02101&amp;SDATE=200602&amp;PERIODTYPE=QTR_STD&amp;window=popup_no_bar&amp;width=385&amp;height=120&amp;START_MAXIMIZED=FALSE&amp;creator=factset&amp;display_string=Audit"}</definedName>
    <definedName name="_777__FDSAUDITLINK__" hidden="1">{"fdsup://Directions/FactSet Auditing Viewer?action=AUDIT_VALUE&amp;DB=129&amp;ID1=00786510&amp;VALUEID=01001&amp;SDATE=200602&amp;PERIODTYPE=QTR_STD&amp;window=popup_no_bar&amp;width=385&amp;height=120&amp;START_MAXIMIZED=FALSE&amp;creator=factset&amp;display_string=Audit"}</definedName>
    <definedName name="_778__FDSAUDITLINK__" hidden="1">{"fdsup://Directions/FactSet Auditing Viewer?action=AUDIT_VALUE&amp;DB=129&amp;ID1=00786510&amp;VALUEID=13040&amp;SDATE=200602&amp;PERIODTYPE=QTR_STD&amp;window=popup_no_bar&amp;width=385&amp;height=120&amp;START_MAXIMIZED=FALSE&amp;creator=factset&amp;display_string=Audit"}</definedName>
    <definedName name="_779__FDSAUDITLINK__" hidden="1">{"fdsup://Directions/FactSet Auditing Viewer?action=AUDIT_VALUE&amp;DB=129&amp;ID1=00289620&amp;VALUEID=02101&amp;SDATE=200602&amp;PERIODTYPE=QTR_STD&amp;window=popup_no_bar&amp;width=385&amp;height=120&amp;START_MAXIMIZED=FALSE&amp;creator=factset&amp;display_string=Audit"}</definedName>
    <definedName name="_78__FDSAUDITLINK__" hidden="1">{"fdsup://Directions/FactSet Auditing Viewer?action=AUDIT_VALUE&amp;DB=129&amp;ID1=02553E10&amp;VALUEID=01001&amp;SDATE=200902&amp;PERIODTYPE=QTR_STD&amp;window=popup_no_bar&amp;width=385&amp;height=120&amp;START_MAXIMIZED=FALSE&amp;creator=factset&amp;display_string=Audit"}</definedName>
    <definedName name="_780__FDSAUDITLINK__" hidden="1">{"fdsup://Directions/FactSet Auditing Viewer?action=AUDIT_VALUE&amp;DB=129&amp;ID1=00289620&amp;VALUEID=01001&amp;SDATE=200602&amp;PERIODTYPE=QTR_STD&amp;window=popup_no_bar&amp;width=385&amp;height=120&amp;START_MAXIMIZED=FALSE&amp;creator=factset&amp;display_string=Audit"}</definedName>
    <definedName name="_781__FDSAUDITLINK__" hidden="1">{"fdsup://Directions/FactSet Auditing Viewer?action=AUDIT_VALUE&amp;DB=129&amp;ID1=00289620&amp;VALUEID=13040&amp;SDATE=200602&amp;PERIODTYPE=QTR_STD&amp;window=popup_no_bar&amp;width=385&amp;height=120&amp;START_MAXIMIZED=FALSE&amp;creator=factset&amp;display_string=Audit"}</definedName>
    <definedName name="_782__FDSAUDITLINK__" hidden="1">{"fdsup://Directions/FactSet Auditing Viewer?action=AUDIT_VALUE&amp;DB=129&amp;ID1=87416110&amp;VALUEID=02101&amp;SDATE=200601&amp;PERIODTYPE=QTR_STD&amp;window=popup_no_bar&amp;width=385&amp;height=120&amp;START_MAXIMIZED=FALSE&amp;creator=factset&amp;display_string=Audit"}</definedName>
    <definedName name="_783__FDSAUDITLINK__" hidden="1">{"fdsup://Directions/FactSet Auditing Viewer?action=AUDIT_VALUE&amp;DB=129&amp;ID1=87416110&amp;VALUEID=01001&amp;SDATE=200601&amp;PERIODTYPE=QTR_STD&amp;window=popup_no_bar&amp;width=385&amp;height=120&amp;START_MAXIMIZED=FALSE&amp;creator=factset&amp;display_string=Audit"}</definedName>
    <definedName name="_784__FDSAUDITLINK__" hidden="1">{"fdsup://Directions/FactSet Auditing Viewer?action=AUDIT_VALUE&amp;DB=129&amp;ID1=87416110&amp;VALUEID=13040&amp;SDATE=200601&amp;PERIODTYPE=QTR_STD&amp;window=popup_no_bar&amp;width=385&amp;height=120&amp;START_MAXIMIZED=FALSE&amp;creator=factset&amp;display_string=Audit"}</definedName>
    <definedName name="_785__FDSAUDITLINK__" hidden="1">{"fdsup://directions/FAT Viewer?action=UPDATE&amp;creator=factset&amp;DYN_ARGS=TRUE&amp;DOC_NAME=FAT:FQL_AUDITING_CLIENT_TEMPLATE.FAT&amp;display_string=Audit&amp;VAR:KEY=NUZUBWRSBA&amp;VAR:QUERY=RkZfUlRfU0ZfVE9UX0dST1NTKFFUUiwtMTYp&amp;WINDOW=FIRST_POPUP&amp;HEIGHT=450&amp;WIDTH=450&amp;START_MA","XIMIZED=FALSE&amp;VAR:CALENDAR=US&amp;VAR:SYMBOL=TLB&amp;VAR:INDEX=0"}</definedName>
    <definedName name="_786__FDSAUDITLINK__" hidden="1">{"fdsup://Directions/FactSet Auditing Viewer?action=AUDIT_VALUE&amp;DB=129&amp;ID1=53271610&amp;VALUEID=02101&amp;SDATE=200601&amp;PERIODTYPE=QTR_STD&amp;window=popup_no_bar&amp;width=385&amp;height=120&amp;START_MAXIMIZED=FALSE&amp;creator=factset&amp;display_string=Audit"}</definedName>
    <definedName name="_787__FDSAUDITLINK__" hidden="1">{"fdsup://Directions/FactSet Auditing Viewer?action=AUDIT_VALUE&amp;DB=129&amp;ID1=53271610&amp;VALUEID=01001&amp;SDATE=200601&amp;PERIODTYPE=QTR_STD&amp;window=popup_no_bar&amp;width=385&amp;height=120&amp;START_MAXIMIZED=FALSE&amp;creator=factset&amp;display_string=Audit"}</definedName>
    <definedName name="_788__FDSAUDITLINK__" hidden="1">{"fdsup://Directions/FactSet Auditing Viewer?action=AUDIT_VALUE&amp;DB=129&amp;ID1=53271610&amp;VALUEID=13040&amp;SDATE=200601&amp;PERIODTYPE=QTR_STD&amp;window=popup_no_bar&amp;width=385&amp;height=120&amp;START_MAXIMIZED=FALSE&amp;creator=factset&amp;display_string=Audit"}</definedName>
    <definedName name="_789__FDSAUDITLINK__" hidden="1">{"fdsup://Directions/FactSet Auditing Viewer?action=AUDIT_VALUE&amp;DB=129&amp;ID1=46612H40&amp;VALUEID=02101&amp;SDATE=200601&amp;PERIODTYPE=QTR_STD&amp;window=popup_no_bar&amp;width=385&amp;height=120&amp;START_MAXIMIZED=FALSE&amp;creator=factset&amp;display_string=Audit"}</definedName>
    <definedName name="_79__FDSAUDITLINK__" hidden="1">{"fdsup://Directions/FactSet Auditing Viewer?action=AUDIT_VALUE&amp;DB=129&amp;ID1=02553E10&amp;VALUEID=13040&amp;SDATE=200902&amp;PERIODTYPE=QTR_STD&amp;window=popup_no_bar&amp;width=385&amp;height=120&amp;START_MAXIMIZED=FALSE&amp;creator=factset&amp;display_string=Audit"}</definedName>
    <definedName name="_790__FDSAUDITLINK__" hidden="1">{"fdsup://Directions/FactSet Auditing Viewer?action=AUDIT_VALUE&amp;DB=129&amp;ID1=46612H40&amp;VALUEID=01001&amp;SDATE=200601&amp;PERIODTYPE=QTR_STD&amp;window=popup_no_bar&amp;width=385&amp;height=120&amp;START_MAXIMIZED=FALSE&amp;creator=factset&amp;display_string=Audit"}</definedName>
    <definedName name="_791__FDSAUDITLINK__" hidden="1">{"fdsup://Directions/FactSet Auditing Viewer?action=AUDIT_VALUE&amp;DB=129&amp;ID1=46612H40&amp;VALUEID=13040&amp;SDATE=200601&amp;PERIODTYPE=QTR_STD&amp;window=popup_no_bar&amp;width=385&amp;height=120&amp;START_MAXIMIZED=FALSE&amp;creator=factset&amp;display_string=Audit"}</definedName>
    <definedName name="_792__FDSAUDITLINK__" hidden="1">{"fdsup://Directions/FactSet Auditing Viewer?action=AUDIT_VALUE&amp;DB=129&amp;ID1=36476010&amp;VALUEID=02101&amp;SDATE=200601&amp;PERIODTYPE=QTR_STD&amp;window=popup_no_bar&amp;width=385&amp;height=120&amp;START_MAXIMIZED=FALSE&amp;creator=factset&amp;display_string=Audit"}</definedName>
    <definedName name="_793__FDSAUDITLINK__" hidden="1">{"fdsup://Directions/FactSet Auditing Viewer?action=AUDIT_VALUE&amp;DB=129&amp;ID1=36476010&amp;VALUEID=01001&amp;SDATE=200601&amp;PERIODTYPE=QTR_STD&amp;window=popup_no_bar&amp;width=385&amp;height=120&amp;START_MAXIMIZED=FALSE&amp;creator=factset&amp;display_string=Audit"}</definedName>
    <definedName name="_794__FDSAUDITLINK__" hidden="1">{"fdsup://Directions/FactSet Auditing Viewer?action=AUDIT_VALUE&amp;DB=129&amp;ID1=36476010&amp;VALUEID=13040&amp;SDATE=200601&amp;PERIODTYPE=QTR_STD&amp;window=popup_no_bar&amp;width=385&amp;height=120&amp;START_MAXIMIZED=FALSE&amp;creator=factset&amp;display_string=Audit"}</definedName>
    <definedName name="_795__FDSAUDITLINK__" hidden="1">{"fdsup://Directions/FactSet Auditing Viewer?action=AUDIT_VALUE&amp;DB=129&amp;ID1=03611510&amp;VALUEID=02101&amp;SDATE=200601&amp;PERIODTYPE=QTR_STD&amp;window=popup_no_bar&amp;width=385&amp;height=120&amp;START_MAXIMIZED=FALSE&amp;creator=factset&amp;display_string=Audit"}</definedName>
    <definedName name="_796__FDSAUDITLINK__" hidden="1">{"fdsup://Directions/FactSet Auditing Viewer?action=AUDIT_VALUE&amp;DB=129&amp;ID1=03611510&amp;VALUEID=13040&amp;SDATE=200601&amp;PERIODTYPE=QTR_STD&amp;window=popup_no_bar&amp;width=385&amp;height=120&amp;START_MAXIMIZED=FALSE&amp;creator=factset&amp;display_string=Audit"}</definedName>
    <definedName name="_797__FDSAUDITLINK__" hidden="1">{"fdsup://Directions/FactSet Auditing Viewer?action=AUDIT_VALUE&amp;DB=129&amp;ID1=16890510&amp;VALUEID=02101&amp;SDATE=200601&amp;PERIODTYPE=QTR_STD&amp;window=popup_no_bar&amp;width=385&amp;height=120&amp;START_MAXIMIZED=FALSE&amp;creator=factset&amp;display_string=Audit"}</definedName>
    <definedName name="_798__FDSAUDITLINK__" hidden="1">{"fdsup://Directions/FactSet Auditing Viewer?action=AUDIT_VALUE&amp;DB=129&amp;ID1=16890510&amp;VALUEID=01001&amp;SDATE=200601&amp;PERIODTYPE=QTR_STD&amp;window=popup_no_bar&amp;width=385&amp;height=120&amp;START_MAXIMIZED=FALSE&amp;creator=factset&amp;display_string=Audit"}</definedName>
    <definedName name="_799__FDSAUDITLINK__" hidden="1">{"fdsup://Directions/FactSet Auditing Viewer?action=AUDIT_VALUE&amp;DB=129&amp;ID1=91704710&amp;VALUEID=02101&amp;SDATE=200601&amp;PERIODTYPE=QTR_STD&amp;window=popup_no_bar&amp;width=385&amp;height=120&amp;START_MAXIMIZED=FALSE&amp;creator=factset&amp;display_string=Audit"}</definedName>
    <definedName name="_8__123Graph_Bｸﾞﾗﾌ_1" hidden="1">[2]ｾｸﾞﾒﾝﾄ!$E$165:$I$165</definedName>
    <definedName name="_8__FDSAUDITLINK__" hidden="1">{"fdsup://Directions/FactSet Auditing Viewer?action=AUDIT_VALUE&amp;DB=129&amp;ID1=36476010&amp;VALUEID=02101&amp;SDATE=201001&amp;PERIODTYPE=QTR_STD&amp;window=popup_no_bar&amp;width=385&amp;height=120&amp;START_MAXIMIZED=FALSE&amp;creator=factset&amp;display_string=Audit"}</definedName>
    <definedName name="_80__FDSAUDITLINK__" hidden="1">{"fdsup://Directions/FactSet Auditing Viewer?action=AUDIT_VALUE&amp;DB=129&amp;ID1=00786510&amp;VALUEID=02101&amp;SDATE=200902&amp;PERIODTYPE=QTR_STD&amp;window=popup_no_bar&amp;width=385&amp;height=120&amp;START_MAXIMIZED=FALSE&amp;creator=factset&amp;display_string=Audit"}</definedName>
    <definedName name="_800__FDSAUDITLINK__" hidden="1">{"fdsup://Directions/FactSet Auditing Viewer?action=AUDIT_VALUE&amp;DB=129&amp;ID1=91704710&amp;VALUEID=01001&amp;SDATE=200601&amp;PERIODTYPE=QTR_STD&amp;window=popup_no_bar&amp;width=385&amp;height=120&amp;START_MAXIMIZED=FALSE&amp;creator=factset&amp;display_string=Audit"}</definedName>
    <definedName name="_801__FDSAUDITLINK__" hidden="1">{"fdsup://Directions/FactSet Auditing Viewer?action=AUDIT_VALUE&amp;DB=129&amp;ID1=91704710&amp;VALUEID=13040&amp;SDATE=200601&amp;PERIODTYPE=QTR_STD&amp;window=popup_no_bar&amp;width=385&amp;height=120&amp;START_MAXIMIZED=FALSE&amp;creator=factset&amp;display_string=Audit"}</definedName>
    <definedName name="_802__FDSAUDITLINK__" hidden="1">{"fdsup://Directions/FactSet Auditing Viewer?action=AUDIT_VALUE&amp;DB=129&amp;ID1=02553E10&amp;VALUEID=02101&amp;SDATE=200601&amp;PERIODTYPE=QTR_STD&amp;window=popup_no_bar&amp;width=385&amp;height=120&amp;START_MAXIMIZED=FALSE&amp;creator=factset&amp;display_string=Audit"}</definedName>
    <definedName name="_803__FDSAUDITLINK__" hidden="1">{"fdsup://Directions/FactSet Auditing Viewer?action=AUDIT_VALUE&amp;DB=129&amp;ID1=02553E10&amp;VALUEID=01001&amp;SDATE=200601&amp;PERIODTYPE=QTR_STD&amp;window=popup_no_bar&amp;width=385&amp;height=120&amp;START_MAXIMIZED=FALSE&amp;creator=factset&amp;display_string=Audit"}</definedName>
    <definedName name="_804__FDSAUDITLINK__" hidden="1">{"fdsup://Directions/FactSet Auditing Viewer?action=AUDIT_VALUE&amp;DB=129&amp;ID1=02553E10&amp;VALUEID=13040&amp;SDATE=200601&amp;PERIODTYPE=QTR_STD&amp;window=popup_no_bar&amp;width=385&amp;height=120&amp;START_MAXIMIZED=FALSE&amp;creator=factset&amp;display_string=Audit"}</definedName>
    <definedName name="_805__FDSAUDITLINK__" hidden="1">{"fdsup://directions/FAT Viewer?action=UPDATE&amp;creator=factset&amp;DYN_ARGS=TRUE&amp;DOC_NAME=FAT:FQL_AUDITING_CLIENT_TEMPLATE.FAT&amp;display_string=Audit&amp;VAR:KEY=RUROHMBELS&amp;VAR:QUERY=RkZfUlRfU0ZfVE9UX0dST1NTKFFUUiwtMTYp&amp;WINDOW=FIRST_POPUP&amp;HEIGHT=450&amp;WIDTH=450&amp;START_MA","XIMIZED=FALSE&amp;VAR:CALENDAR=US&amp;VAR:SYMBOL=AEO&amp;VAR:INDEX=0"}</definedName>
    <definedName name="_806__FDSAUDITLINK__" hidden="1">{"fdsup://Directions/FactSet Auditing Viewer?action=AUDIT_VALUE&amp;DB=129&amp;ID1=00786510&amp;VALUEID=02101&amp;SDATE=200601&amp;PERIODTYPE=QTR_STD&amp;window=popup_no_bar&amp;width=385&amp;height=120&amp;START_MAXIMIZED=FALSE&amp;creator=factset&amp;display_string=Audit"}</definedName>
    <definedName name="_807__FDSAUDITLINK__" hidden="1">{"fdsup://Directions/FactSet Auditing Viewer?action=AUDIT_VALUE&amp;DB=129&amp;ID1=00786510&amp;VALUEID=01001&amp;SDATE=200601&amp;PERIODTYPE=QTR_STD&amp;window=popup_no_bar&amp;width=385&amp;height=120&amp;START_MAXIMIZED=FALSE&amp;creator=factset&amp;display_string=Audit"}</definedName>
    <definedName name="_808__FDSAUDITLINK__" hidden="1">{"fdsup://Directions/FactSet Auditing Viewer?action=AUDIT_VALUE&amp;DB=129&amp;ID1=00786510&amp;VALUEID=13040&amp;SDATE=200601&amp;PERIODTYPE=QTR_STD&amp;window=popup_no_bar&amp;width=385&amp;height=120&amp;START_MAXIMIZED=FALSE&amp;creator=factset&amp;display_string=Audit"}</definedName>
    <definedName name="_809__FDSAUDITLINK__" hidden="1">{"fdsup://Directions/FactSet Auditing Viewer?action=AUDIT_VALUE&amp;DB=129&amp;ID1=00289620&amp;VALUEID=02101&amp;SDATE=200601&amp;PERIODTYPE=QTR_STD&amp;window=popup_no_bar&amp;width=385&amp;height=120&amp;START_MAXIMIZED=FALSE&amp;creator=factset&amp;display_string=Audit"}</definedName>
    <definedName name="_81__FDSAUDITLINK__" hidden="1">{"fdsup://Directions/FactSet Auditing Viewer?action=AUDIT_VALUE&amp;DB=129&amp;ID1=00786510&amp;VALUEID=01001&amp;SDATE=200902&amp;PERIODTYPE=QTR_STD&amp;window=popup_no_bar&amp;width=385&amp;height=120&amp;START_MAXIMIZED=FALSE&amp;creator=factset&amp;display_string=Audit"}</definedName>
    <definedName name="_810__FDSAUDITLINK__" hidden="1">{"fdsup://Directions/FactSet Auditing Viewer?action=AUDIT_VALUE&amp;DB=129&amp;ID1=00289620&amp;VALUEID=01001&amp;SDATE=200601&amp;PERIODTYPE=QTR_STD&amp;window=popup_no_bar&amp;width=385&amp;height=120&amp;START_MAXIMIZED=FALSE&amp;creator=factset&amp;display_string=Audit"}</definedName>
    <definedName name="_811__FDSAUDITLINK__" hidden="1">{"fdsup://Directions/FactSet Auditing Viewer?action=AUDIT_VALUE&amp;DB=129&amp;ID1=00289620&amp;VALUEID=13040&amp;SDATE=200601&amp;PERIODTYPE=QTR_STD&amp;window=popup_no_bar&amp;width=385&amp;height=120&amp;START_MAXIMIZED=FALSE&amp;creator=factset&amp;display_string=Audit"}</definedName>
    <definedName name="_812__FDSAUDITLINK__" hidden="1">{"fdsup://directions/FAT Viewer?action=UPDATE&amp;creator=factset&amp;DYN_ARGS=TRUE&amp;DOC_NAME=FAT:FQL_AUDITING_CLIENT_TEMPLATE.FAT&amp;display_string=Audit&amp;VAR:KEY=NKDWDYVSJA&amp;VAR:QUERY=RkZfUlRfU0ZfVE9UX0dST1NTKFFUUiwtMTcp&amp;WINDOW=FIRST_POPUP&amp;HEIGHT=450&amp;WIDTH=450&amp;START_MA","XIMIZED=FALSE&amp;VAR:CALENDAR=US&amp;VAR:SYMBOL=TLB&amp;VAR:INDEX=0"}</definedName>
    <definedName name="_813__FDSAUDITLINK__" hidden="1">{"fdsup://directions/FAT Viewer?action=UPDATE&amp;creator=factset&amp;DYN_ARGS=TRUE&amp;DOC_NAME=FAT:FQL_AUDITING_CLIENT_TEMPLATE.FAT&amp;display_string=Audit&amp;VAR:KEY=DEZSPEHMVA&amp;VAR:QUERY=RkZfUlRfU0ZfVE9UX0dST1NTKFFUUiwtMTcp&amp;WINDOW=FIRST_POPUP&amp;HEIGHT=450&amp;WIDTH=450&amp;START_MA","XIMIZED=FALSE&amp;VAR:CALENDAR=US&amp;VAR:SYMBOL=AEO&amp;VAR:INDEX=0"}</definedName>
    <definedName name="_814__FDSAUDITLINK__" hidden="1">{"fdsup://directions/FAT Viewer?action=UPDATE&amp;creator=factset&amp;DYN_ARGS=TRUE&amp;DOC_NAME=FAT:FQL_AUDITING_CLIENT_TEMPLATE.FAT&amp;display_string=Audit&amp;VAR:KEY=TURKDOPIZG&amp;VAR:QUERY=RkZfUlRfU0ZfVE9UX0dST1NTKFFUUiwtMTgp&amp;WINDOW=FIRST_POPUP&amp;HEIGHT=450&amp;WIDTH=450&amp;START_MA","XIMIZED=FALSE&amp;VAR:CALENDAR=US&amp;VAR:SYMBOL=TLB&amp;VAR:INDEX=0"}</definedName>
    <definedName name="_815__FDSAUDITLINK__" hidden="1">{"fdsup://Directions/FactSet Auditing Viewer?action=AUDIT_VALUE&amp;DB=129&amp;ID1=03611510&amp;VALUEID=13040&amp;SDATE=200503&amp;PERIODTYPE=QTR_STD&amp;window=popup_no_bar&amp;width=385&amp;height=120&amp;START_MAXIMIZED=FALSE&amp;creator=factset&amp;display_string=Audit"}</definedName>
    <definedName name="_816__FDSAUDITLINK__" hidden="1">{"fdsup://directions/FAT Viewer?action=UPDATE&amp;creator=factset&amp;DYN_ARGS=TRUE&amp;DOC_NAME=FAT:FQL_AUDITING_CLIENT_TEMPLATE.FAT&amp;display_string=Audit&amp;VAR:KEY=NUJIDQTCDM&amp;VAR:QUERY=RkZfUlRfU0ZfVE9UX0dST1NTKFFUUiwtMTgp&amp;WINDOW=FIRST_POPUP&amp;HEIGHT=450&amp;WIDTH=450&amp;START_MA","XIMIZED=FALSE&amp;VAR:CALENDAR=US&amp;VAR:SYMBOL=AEO&amp;VAR:INDEX=0"}</definedName>
    <definedName name="_817__FDSAUDITLINK__" hidden="1">{"fdsup://directions/FAT Viewer?action=UPDATE&amp;creator=factset&amp;DYN_ARGS=TRUE&amp;DOC_NAME=FAT:FQL_AUDITING_CLIENT_TEMPLATE.FAT&amp;display_string=Audit&amp;VAR:KEY=HIHSXILWDI&amp;VAR:QUERY=RkZfUlRfU0ZfVE9UX0dST1NTKFFUUiwtMTkp&amp;WINDOW=FIRST_POPUP&amp;HEIGHT=450&amp;WIDTH=450&amp;START_MA","XIMIZED=FALSE&amp;VAR:CALENDAR=US&amp;VAR:SYMBOL=TLB&amp;VAR:INDEX=0"}</definedName>
    <definedName name="_818__FDSAUDITLINK__" hidden="1">{"fdsup://Directions/FactSet Auditing Viewer?action=AUDIT_VALUE&amp;DB=129&amp;ID1=03611510&amp;VALUEID=13040&amp;SDATE=200502&amp;PERIODTYPE=QTR_STD&amp;window=popup_no_bar&amp;width=385&amp;height=120&amp;START_MAXIMIZED=FALSE&amp;creator=factset&amp;display_string=Audit"}</definedName>
    <definedName name="_819__FDSAUDITLINK__" hidden="1">{"fdsup://directions/FAT Viewer?action=UPDATE&amp;creator=factset&amp;DYN_ARGS=TRUE&amp;DOC_NAME=FAT:FQL_AUDITING_CLIENT_TEMPLATE.FAT&amp;display_string=Audit&amp;VAR:KEY=BKDCTGPMZY&amp;VAR:QUERY=RkZfUlRfU0ZfVE9UX0dST1NTKFFUUiwtMTkp&amp;WINDOW=FIRST_POPUP&amp;HEIGHT=450&amp;WIDTH=450&amp;START_MA","XIMIZED=FALSE&amp;VAR:CALENDAR=US&amp;VAR:SYMBOL=AEO&amp;VAR:INDEX=0"}</definedName>
    <definedName name="_82__FDSAUDITLINK__" hidden="1">{"fdsup://Directions/FactSet Auditing Viewer?action=AUDIT_VALUE&amp;DB=129&amp;ID1=00786510&amp;VALUEID=13040&amp;SDATE=200902&amp;PERIODTYPE=QTR_STD&amp;window=popup_no_bar&amp;width=385&amp;height=120&amp;START_MAXIMIZED=FALSE&amp;creator=factset&amp;display_string=Audit"}</definedName>
    <definedName name="_820__FDSAUDITLINK__" hidden="1">{"fdsup://directions/FAT Viewer?action=UPDATE&amp;creator=factset&amp;DYN_ARGS=TRUE&amp;DOC_NAME=FAT:FQL_AUDITING_CLIENT_TEMPLATE.FAT&amp;display_string=Audit&amp;VAR:KEY=VABGPMHULC&amp;VAR:QUERY=RkZfUlRfU0ZfVE9UX0dST1NTKFFUUiwtMjAp&amp;WINDOW=FIRST_POPUP&amp;HEIGHT=450&amp;WIDTH=450&amp;START_MA","XIMIZED=FALSE&amp;VAR:CALENDAR=US&amp;VAR:SYMBOL=TLB&amp;VAR:INDEX=0"}</definedName>
    <definedName name="_821__FDSAUDITLINK__" hidden="1">{"fdsup://Directions/FactSet Auditing Viewer?action=AUDIT_VALUE&amp;DB=129&amp;ID1=03611510&amp;VALUEID=13040&amp;SDATE=200501&amp;PERIODTYPE=QTR_STD&amp;window=popup_no_bar&amp;width=385&amp;height=120&amp;START_MAXIMIZED=FALSE&amp;creator=factset&amp;display_string=Audit"}</definedName>
    <definedName name="_822__FDSAUDITLINK__" hidden="1">{"fdsup://directions/FAT Viewer?action=UPDATE&amp;creator=factset&amp;DYN_ARGS=TRUE&amp;DOC_NAME=FAT:FQL_AUDITING_CLIENT_TEMPLATE.FAT&amp;display_string=Audit&amp;VAR:KEY=VMROTQVYPS&amp;VAR:QUERY=RkZfUlRfU0ZfVE9UX0dST1NTKFFUUiwtMjAp&amp;WINDOW=FIRST_POPUP&amp;HEIGHT=450&amp;WIDTH=450&amp;START_MA","XIMIZED=FALSE&amp;VAR:CALENDAR=US&amp;VAR:SYMBOL=AEO&amp;VAR:INDEX=0"}</definedName>
    <definedName name="_823__FDSAUDITLINK__" hidden="1">{"fdsup://Directions/FactSet Auditing Viewer?action=AUDIT_VALUE&amp;DB=129&amp;ID1=16890510&amp;VALUEID=13040&amp;SDATE=200602&amp;PERIODTYPE=QTR_STD&amp;window=popup_no_bar&amp;width=385&amp;height=120&amp;START_MAXIMIZED=FALSE&amp;creator=factset&amp;display_string=Audit"}</definedName>
    <definedName name="_824__FDSAUDITLINK__" hidden="1">{"fdsup://Directions/FactSet Auditing Viewer?action=AUDIT_VALUE&amp;DB=129&amp;ID1=16890510&amp;VALUEID=13040&amp;SDATE=200601&amp;PERIODTYPE=QTR_STD&amp;window=popup_no_bar&amp;width=385&amp;height=120&amp;START_MAXIMIZED=FALSE&amp;creator=factset&amp;display_string=Audit"}</definedName>
    <definedName name="_825__FDSAUDITLINK__" hidden="1">{"fdsup://Directions/FactSet Auditing Viewer?action=AUDIT_VALUE&amp;DB=129&amp;ID1=16890510&amp;VALUEID=13040&amp;SDATE=200603&amp;PERIODTYPE=QTR_STD&amp;window=popup_no_bar&amp;width=385&amp;height=120&amp;START_MAXIMIZED=FALSE&amp;creator=factset&amp;display_string=Audit"}</definedName>
    <definedName name="_826__FDSAUDITLINK__" hidden="1">{"fdsup://Directions/FactSet Auditing Viewer?action=AUDIT_VALUE&amp;DB=129&amp;ID1=16890510&amp;VALUEID=13040&amp;SDATE=200702&amp;PERIODTYPE=QTR_STD&amp;window=popup_no_bar&amp;width=385&amp;height=120&amp;START_MAXIMIZED=FALSE&amp;creator=factset&amp;display_string=Audit"}</definedName>
    <definedName name="_827__FDSAUDITLINK__" hidden="1">{"fdsup://Directions/FactSet Auditing Viewer?action=AUDIT_VALUE&amp;DB=129&amp;ID1=16890510&amp;VALUEID=13040&amp;SDATE=200701&amp;PERIODTYPE=QTR_STD&amp;window=popup_no_bar&amp;width=385&amp;height=120&amp;START_MAXIMIZED=FALSE&amp;creator=factset&amp;display_string=Audit"}</definedName>
    <definedName name="_828__FDSAUDITLINK__" hidden="1">{"fdsup://Directions/FactSet Auditing Viewer?action=AUDIT_VALUE&amp;DB=129&amp;ID1=16890510&amp;VALUEID=13040&amp;SDATE=200703&amp;PERIODTYPE=QTR_STD&amp;window=popup_no_bar&amp;width=385&amp;height=120&amp;START_MAXIMIZED=FALSE&amp;creator=factset&amp;display_string=Audit"}</definedName>
    <definedName name="_829__FDSAUDITLINK__" hidden="1">{"fdsup://Directions/FactSet Auditing Viewer?action=AUDIT_VALUE&amp;DB=129&amp;ID1=16890510&amp;VALUEID=13040&amp;SDATE=200802&amp;PERIODTYPE=QTR_STD&amp;window=popup_no_bar&amp;width=385&amp;height=120&amp;START_MAXIMIZED=FALSE&amp;creator=factset&amp;display_string=Audit"}</definedName>
    <definedName name="_83__FDSAUDITLINK__" hidden="1">{"fdsup://Directions/FactSet Auditing Viewer?action=AUDIT_VALUE&amp;DB=129&amp;ID1=00289620&amp;VALUEID=02101&amp;SDATE=200902&amp;PERIODTYPE=QTR_STD&amp;window=popup_no_bar&amp;width=385&amp;height=120&amp;START_MAXIMIZED=FALSE&amp;creator=factset&amp;display_string=Audit"}</definedName>
    <definedName name="_830__FDSAUDITLINK__" hidden="1">{"fdsup://Directions/FactSet Auditing Viewer?action=AUDIT_VALUE&amp;DB=129&amp;ID1=16890510&amp;VALUEID=13040&amp;SDATE=200801&amp;PERIODTYPE=QTR_STD&amp;window=popup_no_bar&amp;width=385&amp;height=120&amp;START_MAXIMIZED=FALSE&amp;creator=factset&amp;display_string=Audit"}</definedName>
    <definedName name="_831__FDSAUDITLINK__" hidden="1">{"fdsup://Directions/FactSet Auditing Viewer?action=AUDIT_VALUE&amp;DB=129&amp;ID1=16890510&amp;VALUEID=13040&amp;SDATE=200803&amp;PERIODTYPE=QTR_STD&amp;window=popup_no_bar&amp;width=385&amp;height=120&amp;START_MAXIMIZED=FALSE&amp;creator=factset&amp;display_string=Audit"}</definedName>
    <definedName name="_832__FDSAUDITLINK__" hidden="1">{"fdsup://Directions/FactSet Auditing Viewer?action=AUDIT_VALUE&amp;DB=129&amp;ID1=16890510&amp;VALUEID=13040&amp;SDATE=200902&amp;PERIODTYPE=QTR_STD&amp;window=popup_no_bar&amp;width=385&amp;height=120&amp;START_MAXIMIZED=FALSE&amp;creator=factset&amp;display_string=Audit"}</definedName>
    <definedName name="_833__FDSAUDITLINK__" hidden="1">{"fdsup://Directions/FactSet Auditing Viewer?action=AUDIT_VALUE&amp;DB=129&amp;ID1=16890510&amp;VALUEID=13040&amp;SDATE=200903&amp;PERIODTYPE=QTR_STD&amp;window=popup_no_bar&amp;width=385&amp;height=120&amp;START_MAXIMIZED=FALSE&amp;creator=factset&amp;display_string=Audit"}</definedName>
    <definedName name="_834__FDSAUDITLINK__" hidden="1">{"fdsup://Directions/FactSet Auditing Viewer?action=AUDIT_VALUE&amp;DB=129&amp;ID1=16890510&amp;VALUEID=13040&amp;SDATE=201001&amp;PERIODTYPE=QTR_STD&amp;window=popup_no_bar&amp;width=385&amp;height=120&amp;START_MAXIMIZED=FALSE&amp;creator=factset&amp;display_string=Audit"}</definedName>
    <definedName name="_835__FDSAUDITLINK__" hidden="1">{"fdsup://Directions/FactSet Auditing Viewer?action=AUDIT_VALUE&amp;DB=129&amp;ID1=87416110&amp;VALUEID=01001&amp;SDATE=201001&amp;PERIODTYPE=QTR_STD&amp;window=popup_no_bar&amp;width=385&amp;height=120&amp;START_MAXIMIZED=FALSE&amp;creator=factset&amp;display_string=Audit"}</definedName>
    <definedName name="_836__FDSAUDITLINK__" hidden="1">{"fdsup://Directions/FactSet Auditing Viewer?action=AUDIT_VALUE&amp;DB=129&amp;ID1=46612H40&amp;VALUEID=01001&amp;SDATE=201001&amp;PERIODTYPE=QTR_STD&amp;window=popup_no_bar&amp;width=385&amp;height=120&amp;START_MAXIMIZED=FALSE&amp;creator=factset&amp;display_string=Audit"}</definedName>
    <definedName name="_837__FDSAUDITLINK__" hidden="1">{"fdsup://Directions/FactSet Auditing Viewer?action=AUDIT_VALUE&amp;DB=129&amp;ID1=03611510&amp;VALUEID=01001&amp;SDATE=201001&amp;PERIODTYPE=QTR_STD&amp;window=popup_no_bar&amp;width=385&amp;height=120&amp;START_MAXIMIZED=FALSE&amp;creator=factset&amp;display_string=Audit"}</definedName>
    <definedName name="_838__FDSAUDITLINK__" hidden="1">{"fdsup://Directions/FactSet Auditing Viewer?action=AUDIT_VALUE&amp;DB=129&amp;ID1=16890510&amp;VALUEID=01001&amp;SDATE=201001&amp;PERIODTYPE=QTR_STD&amp;window=popup_no_bar&amp;width=385&amp;height=120&amp;START_MAXIMIZED=FALSE&amp;creator=factset&amp;display_string=Audit"}</definedName>
    <definedName name="_839__FDSAUDITLINK__" hidden="1">{"fdsup://Directions/FactSet Auditing Viewer?action=AUDIT_VALUE&amp;DB=129&amp;ID1=91704710&amp;VALUEID=01001&amp;SDATE=201001&amp;PERIODTYPE=QTR_STD&amp;window=popup_no_bar&amp;width=385&amp;height=120&amp;START_MAXIMIZED=FALSE&amp;creator=factset&amp;display_string=Audit"}</definedName>
    <definedName name="_84__FDSAUDITLINK__" hidden="1">{"fdsup://Directions/FactSet Auditing Viewer?action=AUDIT_VALUE&amp;DB=129&amp;ID1=00289620&amp;VALUEID=01001&amp;SDATE=200902&amp;PERIODTYPE=QTR_STD&amp;window=popup_no_bar&amp;width=385&amp;height=120&amp;START_MAXIMIZED=FALSE&amp;creator=factset&amp;display_string=Audit"}</definedName>
    <definedName name="_840__FDSAUDITLINK__" hidden="1">{"fdsup://Directions/FactSet Auditing Viewer?action=AUDIT_VALUE&amp;DB=129&amp;ID1=02553E10&amp;VALUEID=01001&amp;SDATE=201001&amp;PERIODTYPE=QTR_STD&amp;window=popup_no_bar&amp;width=385&amp;height=120&amp;START_MAXIMIZED=FALSE&amp;creator=factset&amp;display_string=Audit"}</definedName>
    <definedName name="_841__FDSAUDITLINK__" hidden="1">{"fdsup://Directions/FactSet Auditing Viewer?action=AUDIT_VALUE&amp;DB=129&amp;ID1=00786510&amp;VALUEID=01001&amp;SDATE=201001&amp;PERIODTYPE=QTR_STD&amp;window=popup_no_bar&amp;width=385&amp;height=120&amp;START_MAXIMIZED=FALSE&amp;creator=factset&amp;display_string=Audit"}</definedName>
    <definedName name="_842__FDSAUDITLINK__" hidden="1">{"fdsup://Directions/FactSet Auditing Viewer?action=AUDIT_VALUE&amp;DB=129&amp;ID1=00289620&amp;VALUEID=01001&amp;SDATE=201001&amp;PERIODTYPE=QTR_STD&amp;window=popup_no_bar&amp;width=385&amp;height=120&amp;START_MAXIMIZED=FALSE&amp;creator=factset&amp;display_string=Audit"}</definedName>
    <definedName name="_843__FDSAUDITLINK__" hidden="1">{"fdsup://Directions/FactSet Auditing Viewer?action=AUDIT_VALUE&amp;DB=129&amp;ID1=53271610&amp;VALUEID=01001&amp;SDATE=201001&amp;PERIODTYPE=QTR_STD&amp;window=popup_no_bar&amp;width=385&amp;height=120&amp;START_MAXIMIZED=FALSE&amp;creator=factset&amp;display_string=Audit"}</definedName>
    <definedName name="_844__FDSAUDITLINK__" hidden="1">{"fdsup://Directions/FactSet Auditing Viewer?action=AUDIT_VALUE&amp;DB=129&amp;ID1=36476010&amp;VALUEID=01001&amp;SDATE=201001&amp;PERIODTYPE=QTR_STD&amp;window=popup_no_bar&amp;width=385&amp;height=120&amp;START_MAXIMIZED=FALSE&amp;creator=factset&amp;display_string=Audit"}</definedName>
    <definedName name="_845__FDSAUDITLINK__" hidden="1">{"fdsup://Directions/FactSet Auditing Viewer?action=AUDIT_VALUE&amp;DB=129&amp;ID1=40377710&amp;VALUEID=01001&amp;SDATE=200601&amp;PERIODTYPE=QTR_STD&amp;window=popup_no_bar&amp;width=385&amp;height=120&amp;START_MAXIMIZED=FALSE&amp;creator=factset&amp;display_string=Audit"}</definedName>
    <definedName name="_846__FDSAUDITLINK__" hidden="1">{"fdsup://Directions/FactSet Auditing Viewer?action=AUDIT_VALUE&amp;DB=129&amp;ID1=40377710&amp;VALUEID=02101&amp;SDATE=200601&amp;PERIODTYPE=QTR_STD&amp;window=popup_no_bar&amp;width=385&amp;height=120&amp;START_MAXIMIZED=FALSE&amp;creator=factset&amp;display_string=Audit"}</definedName>
    <definedName name="_847__FDSAUDITLINK__" hidden="1">{"fdsup://Directions/FactSet Auditing Viewer?action=AUDIT_VALUE&amp;DB=129&amp;ID1=40377710&amp;VALUEID=13040&amp;SDATE=200601&amp;PERIODTYPE=QTR_STD&amp;window=popup_no_bar&amp;width=385&amp;height=120&amp;START_MAXIMIZED=FALSE&amp;creator=factset&amp;display_string=Audit"}</definedName>
    <definedName name="_848__FDSAUDITLINK__" hidden="1">{"fdsup://Directions/FactSet Auditing Viewer?action=AUDIT_VALUE&amp;DB=129&amp;ID1=40377710&amp;VALUEID=13040&amp;SDATE=200602&amp;PERIODTYPE=QTR_STD&amp;window=popup_no_bar&amp;width=385&amp;height=120&amp;START_MAXIMIZED=FALSE&amp;creator=factset&amp;display_string=Audit"}</definedName>
    <definedName name="_849__FDSAUDITLINK__" hidden="1">{"fdsup://Directions/FactSet Auditing Viewer?action=AUDIT_VALUE&amp;DB=129&amp;ID1=40377710&amp;VALUEID=01001&amp;SDATE=200602&amp;PERIODTYPE=QTR_STD&amp;window=popup_no_bar&amp;width=385&amp;height=120&amp;START_MAXIMIZED=FALSE&amp;creator=factset&amp;display_string=Audit"}</definedName>
    <definedName name="_85__FDSAUDITLINK__" hidden="1">{"fdsup://Directions/FactSet Auditing Viewer?action=AUDIT_VALUE&amp;DB=129&amp;ID1=00289620&amp;VALUEID=13040&amp;SDATE=200902&amp;PERIODTYPE=QTR_STD&amp;window=popup_no_bar&amp;width=385&amp;height=120&amp;START_MAXIMIZED=FALSE&amp;creator=factset&amp;display_string=Audit"}</definedName>
    <definedName name="_850__FDSAUDITLINK__" hidden="1">{"fdsup://Directions/FactSet Auditing Viewer?action=AUDIT_VALUE&amp;DB=129&amp;ID1=40377710&amp;VALUEID=02101&amp;SDATE=200602&amp;PERIODTYPE=QTR_STD&amp;window=popup_no_bar&amp;width=385&amp;height=120&amp;START_MAXIMIZED=FALSE&amp;creator=factset&amp;display_string=Audit"}</definedName>
    <definedName name="_851__FDSAUDITLINK__" hidden="1">{"fdsup://Directions/FactSet Auditing Viewer?action=AUDIT_VALUE&amp;DB=129&amp;ID1=40377710&amp;VALUEID=13040&amp;SDATE=200603&amp;PERIODTYPE=QTR_STD&amp;window=popup_no_bar&amp;width=385&amp;height=120&amp;START_MAXIMIZED=FALSE&amp;creator=factset&amp;display_string=Audit"}</definedName>
    <definedName name="_852__FDSAUDITLINK__" hidden="1">{"fdsup://Directions/FactSet Auditing Viewer?action=AUDIT_VALUE&amp;DB=129&amp;ID1=40377710&amp;VALUEID=01001&amp;SDATE=200603&amp;PERIODTYPE=QTR_STD&amp;window=popup_no_bar&amp;width=385&amp;height=120&amp;START_MAXIMIZED=FALSE&amp;creator=factset&amp;display_string=Audit"}</definedName>
    <definedName name="_853__FDSAUDITLINK__" hidden="1">{"fdsup://Directions/FactSet Auditing Viewer?action=AUDIT_VALUE&amp;DB=129&amp;ID1=40377710&amp;VALUEID=02101&amp;SDATE=200603&amp;PERIODTYPE=QTR_STD&amp;window=popup_no_bar&amp;width=385&amp;height=120&amp;START_MAXIMIZED=FALSE&amp;creator=factset&amp;display_string=Audit"}</definedName>
    <definedName name="_854__FDSAUDITLINK__" hidden="1">{"fdsup://Directions/FactSet Auditing Viewer?action=AUDIT_VALUE&amp;DB=129&amp;ID1=40377710&amp;VALUEID=01001&amp;SDATE=200604&amp;PERIODTYPE=QTR_STD&amp;window=popup_no_bar&amp;width=385&amp;height=120&amp;START_MAXIMIZED=FALSE&amp;creator=factset&amp;display_string=Audit"}</definedName>
    <definedName name="_855__FDSAUDITLINK__" hidden="1">{"fdsup://Directions/FactSet Auditing Viewer?action=AUDIT_VALUE&amp;DB=129&amp;ID1=40377710&amp;VALUEID=01001&amp;SDATE=200701&amp;PERIODTYPE=QTR_STD&amp;window=popup_no_bar&amp;width=385&amp;height=120&amp;START_MAXIMIZED=FALSE&amp;creator=factset&amp;display_string=Audit"}</definedName>
    <definedName name="_856__FDSAUDITLINK__" hidden="1">{"fdsup://Directions/FactSet Auditing Viewer?action=AUDIT_VALUE&amp;DB=129&amp;ID1=40377710&amp;VALUEID=02101&amp;SDATE=200701&amp;PERIODTYPE=QTR_STD&amp;window=popup_no_bar&amp;width=385&amp;height=120&amp;START_MAXIMIZED=FALSE&amp;creator=factset&amp;display_string=Audit"}</definedName>
    <definedName name="_857__FDSAUDITLINK__" hidden="1">{"fdsup://Directions/FactSet Auditing Viewer?action=AUDIT_VALUE&amp;DB=129&amp;ID1=40377710&amp;VALUEID=13040&amp;SDATE=200701&amp;PERIODTYPE=QTR_STD&amp;window=popup_no_bar&amp;width=385&amp;height=120&amp;START_MAXIMIZED=FALSE&amp;creator=factset&amp;display_string=Audit"}</definedName>
    <definedName name="_858__FDSAUDITLINK__" hidden="1">{"fdsup://Directions/FactSet Auditing Viewer?action=AUDIT_VALUE&amp;DB=129&amp;ID1=40377710&amp;VALUEID=13040&amp;SDATE=200702&amp;PERIODTYPE=QTR_STD&amp;window=popup_no_bar&amp;width=385&amp;height=120&amp;START_MAXIMIZED=FALSE&amp;creator=factset&amp;display_string=Audit"}</definedName>
    <definedName name="_859__FDSAUDITLINK__" hidden="1">{"fdsup://Directions/FactSet Auditing Viewer?action=AUDIT_VALUE&amp;DB=129&amp;ID1=40377710&amp;VALUEID=01001&amp;SDATE=200702&amp;PERIODTYPE=QTR_STD&amp;window=popup_no_bar&amp;width=385&amp;height=120&amp;START_MAXIMIZED=FALSE&amp;creator=factset&amp;display_string=Audit"}</definedName>
    <definedName name="_86__FDSAUDITLINK__" hidden="1">{"fdsup://Directions/FactSet Auditing Viewer?action=AUDIT_VALUE&amp;DB=129&amp;ID1=87416110&amp;VALUEID=02101&amp;SDATE=200901&amp;PERIODTYPE=QTR_STD&amp;window=popup_no_bar&amp;width=385&amp;height=120&amp;START_MAXIMIZED=FALSE&amp;creator=factset&amp;display_string=Audit"}</definedName>
    <definedName name="_860__FDSAUDITLINK__" hidden="1">{"fdsup://Directions/FactSet Auditing Viewer?action=AUDIT_VALUE&amp;DB=129&amp;ID1=40377710&amp;VALUEID=02101&amp;SDATE=200702&amp;PERIODTYPE=QTR_STD&amp;window=popup_no_bar&amp;width=385&amp;height=120&amp;START_MAXIMIZED=FALSE&amp;creator=factset&amp;display_string=Audit"}</definedName>
    <definedName name="_861__FDSAUDITLINK__" hidden="1">{"fdsup://Directions/FactSet Auditing Viewer?action=AUDIT_VALUE&amp;DB=129&amp;ID1=40377710&amp;VALUEID=13040&amp;SDATE=200703&amp;PERIODTYPE=QTR_STD&amp;window=popup_no_bar&amp;width=385&amp;height=120&amp;START_MAXIMIZED=FALSE&amp;creator=factset&amp;display_string=Audit"}</definedName>
    <definedName name="_862__FDSAUDITLINK__" hidden="1">{"fdsup://Directions/FactSet Auditing Viewer?action=AUDIT_VALUE&amp;DB=129&amp;ID1=40377710&amp;VALUEID=01001&amp;SDATE=200703&amp;PERIODTYPE=QTR_STD&amp;window=popup_no_bar&amp;width=385&amp;height=120&amp;START_MAXIMIZED=FALSE&amp;creator=factset&amp;display_string=Audit"}</definedName>
    <definedName name="_863__FDSAUDITLINK__" hidden="1">{"fdsup://Directions/FactSet Auditing Viewer?action=AUDIT_VALUE&amp;DB=129&amp;ID1=40377710&amp;VALUEID=02101&amp;SDATE=200703&amp;PERIODTYPE=QTR_STD&amp;window=popup_no_bar&amp;width=385&amp;height=120&amp;START_MAXIMIZED=FALSE&amp;creator=factset&amp;display_string=Audit"}</definedName>
    <definedName name="_864__FDSAUDITLINK__" hidden="1">{"fdsup://Directions/FactSet Auditing Viewer?action=AUDIT_VALUE&amp;DB=129&amp;ID1=40377710&amp;VALUEID=01001&amp;SDATE=200704&amp;PERIODTYPE=QTR_STD&amp;window=popup_no_bar&amp;width=385&amp;height=120&amp;START_MAXIMIZED=FALSE&amp;creator=factset&amp;display_string=Audit"}</definedName>
    <definedName name="_865__FDSAUDITLINK__" hidden="1">{"fdsup://Directions/FactSet Auditing Viewer?action=AUDIT_VALUE&amp;DB=129&amp;ID1=40377710&amp;VALUEID=01001&amp;SDATE=200801&amp;PERIODTYPE=QTR_STD&amp;window=popup_no_bar&amp;width=385&amp;height=120&amp;START_MAXIMIZED=FALSE&amp;creator=factset&amp;display_string=Audit"}</definedName>
    <definedName name="_866__FDSAUDITLINK__" hidden="1">{"fdsup://Directions/FactSet Auditing Viewer?action=AUDIT_VALUE&amp;DB=129&amp;ID1=40377710&amp;VALUEID=02101&amp;SDATE=200801&amp;PERIODTYPE=QTR_STD&amp;window=popup_no_bar&amp;width=385&amp;height=120&amp;START_MAXIMIZED=FALSE&amp;creator=factset&amp;display_string=Audit"}</definedName>
    <definedName name="_867__FDSAUDITLINK__" hidden="1">{"fdsup://Directions/FactSet Auditing Viewer?action=AUDIT_VALUE&amp;DB=129&amp;ID1=40377710&amp;VALUEID=13040&amp;SDATE=200801&amp;PERIODTYPE=QTR_STD&amp;window=popup_no_bar&amp;width=385&amp;height=120&amp;START_MAXIMIZED=FALSE&amp;creator=factset&amp;display_string=Audit"}</definedName>
    <definedName name="_868__FDSAUDITLINK__" hidden="1">{"fdsup://Directions/FactSet Auditing Viewer?action=AUDIT_VALUE&amp;DB=129&amp;ID1=40377710&amp;VALUEID=13040&amp;SDATE=200704&amp;PERIODTYPE=QTR_STD&amp;window=popup_no_bar&amp;width=385&amp;height=120&amp;START_MAXIMIZED=FALSE&amp;creator=factset&amp;display_string=Audit"}</definedName>
    <definedName name="_869__FDSAUDITLINK__" hidden="1">{"fdsup://Directions/FactSet Auditing Viewer?action=AUDIT_VALUE&amp;DB=129&amp;ID1=40377710&amp;VALUEID=13040&amp;SDATE=200802&amp;PERIODTYPE=QTR_STD&amp;window=popup_no_bar&amp;width=385&amp;height=120&amp;START_MAXIMIZED=FALSE&amp;creator=factset&amp;display_string=Audit"}</definedName>
    <definedName name="_87__FDSAUDITLINK__" hidden="1">{"fdsup://Directions/FactSet Auditing Viewer?action=AUDIT_VALUE&amp;DB=129&amp;ID1=87416110&amp;VALUEID=01001&amp;SDATE=200901&amp;PERIODTYPE=QTR_STD&amp;window=popup_no_bar&amp;width=385&amp;height=120&amp;START_MAXIMIZED=FALSE&amp;creator=factset&amp;display_string=Audit"}</definedName>
    <definedName name="_870__FDSAUDITLINK__" hidden="1">{"fdsup://Directions/FactSet Auditing Viewer?action=AUDIT_VALUE&amp;DB=129&amp;ID1=40377710&amp;VALUEID=01001&amp;SDATE=200802&amp;PERIODTYPE=QTR_STD&amp;window=popup_no_bar&amp;width=385&amp;height=120&amp;START_MAXIMIZED=FALSE&amp;creator=factset&amp;display_string=Audit"}</definedName>
    <definedName name="_871__FDSAUDITLINK__" hidden="1">{"fdsup://Directions/FactSet Auditing Viewer?action=AUDIT_VALUE&amp;DB=129&amp;ID1=40377710&amp;VALUEID=02101&amp;SDATE=200802&amp;PERIODTYPE=QTR_STD&amp;window=popup_no_bar&amp;width=385&amp;height=120&amp;START_MAXIMIZED=FALSE&amp;creator=factset&amp;display_string=Audit"}</definedName>
    <definedName name="_872__FDSAUDITLINK__" hidden="1">{"fdsup://Directions/FactSet Auditing Viewer?action=AUDIT_VALUE&amp;DB=129&amp;ID1=40377710&amp;VALUEID=13040&amp;SDATE=200803&amp;PERIODTYPE=QTR_STD&amp;window=popup_no_bar&amp;width=385&amp;height=120&amp;START_MAXIMIZED=FALSE&amp;creator=factset&amp;display_string=Audit"}</definedName>
    <definedName name="_873__FDSAUDITLINK__" hidden="1">{"fdsup://Directions/FactSet Auditing Viewer?action=AUDIT_VALUE&amp;DB=129&amp;ID1=40377710&amp;VALUEID=01001&amp;SDATE=200803&amp;PERIODTYPE=QTR_STD&amp;window=popup_no_bar&amp;width=385&amp;height=120&amp;START_MAXIMIZED=FALSE&amp;creator=factset&amp;display_string=Audit"}</definedName>
    <definedName name="_874__FDSAUDITLINK__" hidden="1">{"fdsup://Directions/FactSet Auditing Viewer?action=AUDIT_VALUE&amp;DB=129&amp;ID1=40377710&amp;VALUEID=02101&amp;SDATE=200803&amp;PERIODTYPE=QTR_STD&amp;window=popup_no_bar&amp;width=385&amp;height=120&amp;START_MAXIMIZED=FALSE&amp;creator=factset&amp;display_string=Audit"}</definedName>
    <definedName name="_875__FDSAUDITLINK__" hidden="1">{"fdsup://Directions/FactSet Auditing Viewer?action=AUDIT_VALUE&amp;DB=129&amp;ID1=40377710&amp;VALUEID=01001&amp;SDATE=200804&amp;PERIODTYPE=QTR_STD&amp;window=popup_no_bar&amp;width=385&amp;height=120&amp;START_MAXIMIZED=FALSE&amp;creator=factset&amp;display_string=Audit"}</definedName>
    <definedName name="_876__FDSAUDITLINK__" hidden="1">{"fdsup://Directions/FactSet Auditing Viewer?action=AUDIT_VALUE&amp;DB=129&amp;ID1=40377710&amp;VALUEID=01001&amp;SDATE=200901&amp;PERIODTYPE=QTR_STD&amp;window=popup_no_bar&amp;width=385&amp;height=120&amp;START_MAXIMIZED=FALSE&amp;creator=factset&amp;display_string=Audit"}</definedName>
    <definedName name="_877__FDSAUDITLINK__" hidden="1">{"fdsup://Directions/FactSet Auditing Viewer?action=AUDIT_VALUE&amp;DB=129&amp;ID1=40377710&amp;VALUEID=02101&amp;SDATE=200901&amp;PERIODTYPE=QTR_STD&amp;window=popup_no_bar&amp;width=385&amp;height=120&amp;START_MAXIMIZED=FALSE&amp;creator=factset&amp;display_string=Audit"}</definedName>
    <definedName name="_878__FDSAUDITLINK__" hidden="1">{"fdsup://Directions/FactSet Auditing Viewer?action=AUDIT_VALUE&amp;DB=129&amp;ID1=40377710&amp;VALUEID=13040&amp;SDATE=200901&amp;PERIODTYPE=QTR_STD&amp;window=popup_no_bar&amp;width=385&amp;height=120&amp;START_MAXIMIZED=FALSE&amp;creator=factset&amp;display_string=Audit"}</definedName>
    <definedName name="_879__FDSAUDITLINK__" hidden="1">{"fdsup://Directions/FactSet Auditing Viewer?action=AUDIT_VALUE&amp;DB=129&amp;ID1=40377710&amp;VALUEID=13040&amp;SDATE=200902&amp;PERIODTYPE=QTR_STD&amp;window=popup_no_bar&amp;width=385&amp;height=120&amp;START_MAXIMIZED=FALSE&amp;creator=factset&amp;display_string=Audit"}</definedName>
    <definedName name="_88__FDSAUDITLINK__" hidden="1">{"fdsup://Directions/FactSet Auditing Viewer?action=AUDIT_VALUE&amp;DB=129&amp;ID1=87416110&amp;VALUEID=13040&amp;SDATE=200901&amp;PERIODTYPE=QTR_STD&amp;window=popup_no_bar&amp;width=385&amp;height=120&amp;START_MAXIMIZED=FALSE&amp;creator=factset&amp;display_string=Audit"}</definedName>
    <definedName name="_880__FDSAUDITLINK__" hidden="1">{"fdsup://Directions/FactSet Auditing Viewer?action=AUDIT_VALUE&amp;DB=129&amp;ID1=40377710&amp;VALUEID=01001&amp;SDATE=200902&amp;PERIODTYPE=QTR_STD&amp;window=popup_no_bar&amp;width=385&amp;height=120&amp;START_MAXIMIZED=FALSE&amp;creator=factset&amp;display_string=Audit"}</definedName>
    <definedName name="_881__FDSAUDITLINK__" hidden="1">{"fdsup://Directions/FactSet Auditing Viewer?action=AUDIT_VALUE&amp;DB=129&amp;ID1=40377710&amp;VALUEID=02101&amp;SDATE=200902&amp;PERIODTYPE=QTR_STD&amp;window=popup_no_bar&amp;width=385&amp;height=120&amp;START_MAXIMIZED=FALSE&amp;creator=factset&amp;display_string=Audit"}</definedName>
    <definedName name="_882__FDSAUDITLINK__" hidden="1">{"fdsup://Directions/FactSet Auditing Viewer?action=AUDIT_VALUE&amp;DB=129&amp;ID1=40377710&amp;VALUEID=13040&amp;SDATE=200903&amp;PERIODTYPE=QTR_STD&amp;window=popup_no_bar&amp;width=385&amp;height=120&amp;START_MAXIMIZED=FALSE&amp;creator=factset&amp;display_string=Audit"}</definedName>
    <definedName name="_883__FDSAUDITLINK__" hidden="1">{"fdsup://Directions/FactSet Auditing Viewer?action=AUDIT_VALUE&amp;DB=129&amp;ID1=40377710&amp;VALUEID=01001&amp;SDATE=200903&amp;PERIODTYPE=QTR_STD&amp;window=popup_no_bar&amp;width=385&amp;height=120&amp;START_MAXIMIZED=FALSE&amp;creator=factset&amp;display_string=Audit"}</definedName>
    <definedName name="_884__FDSAUDITLINK__" hidden="1">{"fdsup://Directions/FactSet Auditing Viewer?action=AUDIT_VALUE&amp;DB=129&amp;ID1=40377710&amp;VALUEID=02101&amp;SDATE=200903&amp;PERIODTYPE=QTR_STD&amp;window=popup_no_bar&amp;width=385&amp;height=120&amp;START_MAXIMIZED=FALSE&amp;creator=factset&amp;display_string=Audit"}</definedName>
    <definedName name="_885__FDSAUDITLINK__" hidden="1">{"fdsup://Directions/FactSet Auditing Viewer?action=AUDIT_VALUE&amp;DB=129&amp;ID1=40377710&amp;VALUEID=01001&amp;SDATE=200904&amp;PERIODTYPE=QTR_STD&amp;window=popup_no_bar&amp;width=385&amp;height=120&amp;START_MAXIMIZED=FALSE&amp;creator=factset&amp;display_string=Audit"}</definedName>
    <definedName name="_886__FDSAUDITLINK__" hidden="1">{"fdsup://Directions/FactSet Auditing Viewer?action=AUDIT_VALUE&amp;DB=129&amp;ID1=40377710&amp;VALUEID=13040&amp;SDATE=201001&amp;PERIODTYPE=QTR_STD&amp;window=popup_no_bar&amp;width=385&amp;height=120&amp;START_MAXIMIZED=FALSE&amp;creator=factset&amp;display_string=Audit"}</definedName>
    <definedName name="_887__FDSAUDITLINK__" hidden="1">{"fdsup://Directions/FactSet Auditing Viewer?action=AUDIT_VALUE&amp;DB=129&amp;ID1=40377710&amp;VALUEID=01001&amp;SDATE=201001&amp;PERIODTYPE=QTR_STD&amp;window=popup_no_bar&amp;width=385&amp;height=120&amp;START_MAXIMIZED=FALSE&amp;creator=factset&amp;display_string=Audit"}</definedName>
    <definedName name="_888__FDSAUDITLINK__" hidden="1">{"fdsup://Directions/FactSet Auditing Viewer?action=AUDIT_VALUE&amp;DB=129&amp;ID1=40377710&amp;VALUEID=02101&amp;SDATE=201001&amp;PERIODTYPE=QTR_STD&amp;window=popup_no_bar&amp;width=385&amp;height=120&amp;START_MAXIMIZED=FALSE&amp;creator=factset&amp;display_string=Audit"}</definedName>
    <definedName name="_889__FDSAUDITLINK__" hidden="1">{"fdsup://Directions/FactSet Auditing Viewer?action=AUDIT_VALUE&amp;DB=129&amp;ID1=40377710&amp;VALUEID=13040&amp;SDATE=200601&amp;PERIODTYPE=QTR_STD&amp;window=popup_no_bar&amp;width=385&amp;height=120&amp;START_MAXIMIZED=FALSE&amp;creator=factset&amp;display_string=Audit"}</definedName>
    <definedName name="_89__FDSAUDITLINK__" hidden="1">{"fdsup://directions/FAT Viewer?action=UPDATE&amp;creator=factset&amp;DYN_ARGS=TRUE&amp;DOC_NAME=FAT:FQL_AUDITING_CLIENT_TEMPLATE.FAT&amp;display_string=Audit&amp;VAR:KEY=RSZCXYZEJW&amp;VAR:QUERY=RkZfUlRfU0ZfVE9UX0dST1NTKFFUUiwtNCk=&amp;WINDOW=FIRST_POPUP&amp;HEIGHT=450&amp;WIDTH=450&amp;START_MA","XIMIZED=FALSE&amp;VAR:CALENDAR=US&amp;VAR:SYMBOL=TLB&amp;VAR:INDEX=0"}</definedName>
    <definedName name="_890__FDSAUDITLINK__" hidden="1">{"fdsup://Directions/FactSet Auditing Viewer?action=AUDIT_VALUE&amp;DB=129&amp;ID1=40377710&amp;VALUEID=13040&amp;SDATE=200602&amp;PERIODTYPE=QTR_STD&amp;window=popup_no_bar&amp;width=385&amp;height=120&amp;START_MAXIMIZED=FALSE&amp;creator=factset&amp;display_string=Audit"}</definedName>
    <definedName name="_891__FDSAUDITLINK__" hidden="1">{"fdsup://Directions/FactSet Auditing Viewer?action=AUDIT_VALUE&amp;DB=129&amp;ID1=40377710&amp;VALUEID=13040&amp;SDATE=200603&amp;PERIODTYPE=QTR_STD&amp;window=popup_no_bar&amp;width=385&amp;height=120&amp;START_MAXIMIZED=FALSE&amp;creator=factset&amp;display_string=Audit"}</definedName>
    <definedName name="_892__FDSAUDITLINK__" hidden="1">{"fdsup://Directions/FactSet Auditing Viewer?action=AUDIT_VALUE&amp;DB=129&amp;ID1=40377710&amp;VALUEID=13040&amp;SDATE=200701&amp;PERIODTYPE=QTR_STD&amp;window=popup_no_bar&amp;width=385&amp;height=120&amp;START_MAXIMIZED=FALSE&amp;creator=factset&amp;display_string=Audit"}</definedName>
    <definedName name="_893__FDSAUDITLINK__" hidden="1">{"fdsup://Directions/FactSet Auditing Viewer?action=AUDIT_VALUE&amp;DB=129&amp;ID1=40377710&amp;VALUEID=13040&amp;SDATE=200702&amp;PERIODTYPE=QTR_STD&amp;window=popup_no_bar&amp;width=385&amp;height=120&amp;START_MAXIMIZED=FALSE&amp;creator=factset&amp;display_string=Audit"}</definedName>
    <definedName name="_894__FDSAUDITLINK__" hidden="1">{"fdsup://Directions/FactSet Auditing Viewer?action=AUDIT_VALUE&amp;DB=129&amp;ID1=40377710&amp;VALUEID=13040&amp;SDATE=200703&amp;PERIODTYPE=QTR_STD&amp;window=popup_no_bar&amp;width=385&amp;height=120&amp;START_MAXIMIZED=FALSE&amp;creator=factset&amp;display_string=Audit"}</definedName>
    <definedName name="_895__FDSAUDITLINK__" hidden="1">{"fdsup://Directions/FactSet Auditing Viewer?action=AUDIT_VALUE&amp;DB=129&amp;ID1=40377710&amp;VALUEID=13040&amp;SDATE=200704&amp;PERIODTYPE=QTR_STD&amp;window=popup_no_bar&amp;width=385&amp;height=120&amp;START_MAXIMIZED=FALSE&amp;creator=factset&amp;display_string=Audit"}</definedName>
    <definedName name="_896__FDSAUDITLINK__" hidden="1">{"fdsup://Directions/FactSet Auditing Viewer?action=AUDIT_VALUE&amp;DB=129&amp;ID1=40377710&amp;VALUEID=13040&amp;SDATE=200801&amp;PERIODTYPE=QTR_STD&amp;window=popup_no_bar&amp;width=385&amp;height=120&amp;START_MAXIMIZED=FALSE&amp;creator=factset&amp;display_string=Audit"}</definedName>
    <definedName name="_897__FDSAUDITLINK__" hidden="1">{"fdsup://Directions/FactSet Auditing Viewer?action=AUDIT_VALUE&amp;DB=129&amp;ID1=40377710&amp;VALUEID=13040&amp;SDATE=200802&amp;PERIODTYPE=QTR_STD&amp;window=popup_no_bar&amp;width=385&amp;height=120&amp;START_MAXIMIZED=FALSE&amp;creator=factset&amp;display_string=Audit"}</definedName>
    <definedName name="_898__FDSAUDITLINK__" hidden="1">{"fdsup://Directions/FactSet Auditing Viewer?action=AUDIT_VALUE&amp;DB=129&amp;ID1=40377710&amp;VALUEID=13040&amp;SDATE=200803&amp;PERIODTYPE=QTR_STD&amp;window=popup_no_bar&amp;width=385&amp;height=120&amp;START_MAXIMIZED=FALSE&amp;creator=factset&amp;display_string=Audit"}</definedName>
    <definedName name="_899__FDSAUDITLINK__" hidden="1">{"fdsup://Directions/FactSet Auditing Viewer?action=AUDIT_VALUE&amp;DB=129&amp;ID1=40377710&amp;VALUEID=13040&amp;SDATE=200901&amp;PERIODTYPE=QTR_STD&amp;window=popup_no_bar&amp;width=385&amp;height=120&amp;START_MAXIMIZED=FALSE&amp;creator=factset&amp;display_string=Audit"}</definedName>
    <definedName name="_9__123Graph_Dｸﾞﾗﾌ_1" hidden="1">[2]ｾｸﾞﾒﾝﾄ!$E$167:$I$167</definedName>
    <definedName name="_9__FDSAUDITLINK__" hidden="1">{"fdsup://Directions/FactSet Auditing Viewer?action=AUDIT_VALUE&amp;DB=129&amp;ID1=36476010&amp;VALUEID=13040&amp;SDATE=201001&amp;PERIODTYPE=QTR_STD&amp;window=popup_no_bar&amp;width=385&amp;height=120&amp;START_MAXIMIZED=FALSE&amp;creator=factset&amp;display_string=Audit"}</definedName>
    <definedName name="_90__FDSAUDITLINK__" hidden="1">{"fdsup://Directions/FactSet Auditing Viewer?action=AUDIT_VALUE&amp;DB=129&amp;ID1=53271610&amp;VALUEID=13040&amp;SDATE=200901&amp;PERIODTYPE=QTR_STD&amp;window=popup_no_bar&amp;width=385&amp;height=120&amp;START_MAXIMIZED=FALSE&amp;creator=factset&amp;display_string=Audit"}</definedName>
    <definedName name="_900__FDSAUDITLINK__" hidden="1">{"fdsup://Directions/FactSet Auditing Viewer?action=AUDIT_VALUE&amp;DB=129&amp;ID1=40377710&amp;VALUEID=13040&amp;SDATE=200902&amp;PERIODTYPE=QTR_STD&amp;window=popup_no_bar&amp;width=385&amp;height=120&amp;START_MAXIMIZED=FALSE&amp;creator=factset&amp;display_string=Audit"}</definedName>
    <definedName name="_901__FDSAUDITLINK__" hidden="1">{"fdsup://Directions/FactSet Auditing Viewer?action=AUDIT_VALUE&amp;DB=129&amp;ID1=40377710&amp;VALUEID=13040&amp;SDATE=200903&amp;PERIODTYPE=QTR_STD&amp;window=popup_no_bar&amp;width=385&amp;height=120&amp;START_MAXIMIZED=FALSE&amp;creator=factset&amp;display_string=Audit"}</definedName>
    <definedName name="_902__FDSAUDITLINK__" hidden="1">{"fdsup://Directions/FactSet Auditing Viewer?action=AUDIT_VALUE&amp;DB=129&amp;ID1=40377710&amp;VALUEID=13040&amp;SDATE=201001&amp;PERIODTYPE=QTR_STD&amp;window=popup_no_bar&amp;width=385&amp;height=120&amp;START_MAXIMIZED=FALSE&amp;creator=factset&amp;display_string=Audit"}</definedName>
    <definedName name="_903__FDSAUDITLINK__" hidden="1">{"fdsup://directions/FAT Viewer?action=UPDATE&amp;creator=factset&amp;DYN_ARGS=TRUE&amp;DOC_NAME=FAT:FQL_AUDITING_CLIENT_TEMPLATE.FAT&amp;display_string=Audit&amp;VAR:KEY=TIVULSDMDS&amp;VAR:QUERY=RkZfUlRfU0ZfVE9UX0dST1NTKFFUUiwtNDQp&amp;WINDOW=FIRST_POPUP&amp;HEIGHT=450&amp;WIDTH=450&amp;START_MA","XIMIZED=FALSE&amp;VAR:CALENDAR=US&amp;VAR:SYMBOL=GYMB&amp;VAR:INDEX=0"}</definedName>
    <definedName name="_904__FDSAUDITLINK__" hidden="1">{"fdsup://directions/FAT Viewer?action=UPDATE&amp;creator=factset&amp;DYN_ARGS=TRUE&amp;DOC_NAME=FAT:FQL_AUDITING_CLIENT_TEMPLATE.FAT&amp;display_string=Audit&amp;VAR:KEY=LGPIREFUFO&amp;VAR:QUERY=RkZfUlRfU0ZfVE9UX0dST1NTKFFUUiwtNDMp&amp;WINDOW=FIRST_POPUP&amp;HEIGHT=450&amp;WIDTH=450&amp;START_MA","XIMIZED=FALSE&amp;VAR:CALENDAR=US&amp;VAR:SYMBOL=GYMB&amp;VAR:INDEX=0"}</definedName>
    <definedName name="_905__FDSAUDITLINK__" hidden="1">{"fdsup://directions/FAT Viewer?action=UPDATE&amp;creator=factset&amp;DYN_ARGS=TRUE&amp;DOC_NAME=FAT:FQL_AUDITING_CLIENT_TEMPLATE.FAT&amp;display_string=Audit&amp;VAR:KEY=JYTABURKFY&amp;VAR:QUERY=RkZfUlRfU0ZfVE9UX0dST1NTKFFUUiwtNDIp&amp;WINDOW=FIRST_POPUP&amp;HEIGHT=450&amp;WIDTH=450&amp;START_MA","XIMIZED=FALSE&amp;VAR:CALENDAR=US&amp;VAR:SYMBOL=GYMB&amp;VAR:INDEX=0"}</definedName>
    <definedName name="_906__FDSAUDITLINK__" hidden="1">{"fdsup://directions/FAT Viewer?action=UPDATE&amp;creator=factset&amp;DYN_ARGS=TRUE&amp;DOC_NAME=FAT:FQL_AUDITING_CLIENT_TEMPLATE.FAT&amp;display_string=Audit&amp;VAR:KEY=NQZSJEVCTC&amp;VAR:QUERY=RkZfUlRfU0ZfVE9UX0dST1NTKFFUUiwtNDEp&amp;WINDOW=FIRST_POPUP&amp;HEIGHT=450&amp;WIDTH=450&amp;START_MA","XIMIZED=FALSE&amp;VAR:CALENDAR=US&amp;VAR:SYMBOL=GYMB&amp;VAR:INDEX=0"}</definedName>
    <definedName name="_907__FDSAUDITLINK__" hidden="1">{"fdsup://directions/FAT Viewer?action=UPDATE&amp;creator=factset&amp;DYN_ARGS=TRUE&amp;DOC_NAME=FAT:FQL_AUDITING_CLIENT_TEMPLATE.FAT&amp;display_string=Audit&amp;VAR:KEY=VAXEBONQHK&amp;VAR:QUERY=RkZfUlRfU0ZfVE9UX0dST1NTKFFUUiwtNDAp&amp;WINDOW=FIRST_POPUP&amp;HEIGHT=450&amp;WIDTH=450&amp;START_MA","XIMIZED=FALSE&amp;VAR:CALENDAR=US&amp;VAR:SYMBOL=GYMB&amp;VAR:INDEX=0"}</definedName>
    <definedName name="_908__FDSAUDITLINK__" hidden="1">{"fdsup://directions/FAT Viewer?action=UPDATE&amp;creator=factset&amp;DYN_ARGS=TRUE&amp;DOC_NAME=FAT:FQL_AUDITING_CLIENT_TEMPLATE.FAT&amp;display_string=Audit&amp;VAR:KEY=PIHQPQTEFG&amp;VAR:QUERY=RkZfUlRfU0ZfVE9UX0dST1NTKFFUUiwtMzkp&amp;WINDOW=FIRST_POPUP&amp;HEIGHT=450&amp;WIDTH=450&amp;START_MA","XIMIZED=FALSE&amp;VAR:CALENDAR=US&amp;VAR:SYMBOL=GYMB&amp;VAR:INDEX=0"}</definedName>
    <definedName name="_909__FDSAUDITLINK__" hidden="1">{"fdsup://directions/FAT Viewer?action=UPDATE&amp;creator=factset&amp;DYN_ARGS=TRUE&amp;DOC_NAME=FAT:FQL_AUDITING_CLIENT_TEMPLATE.FAT&amp;display_string=Audit&amp;VAR:KEY=PWPALKRENU&amp;VAR:QUERY=RkZfUlRfU0ZfVE9UX0dST1NTKFFUUiwtMzgp&amp;WINDOW=FIRST_POPUP&amp;HEIGHT=450&amp;WIDTH=450&amp;START_MA","XIMIZED=FALSE&amp;VAR:CALENDAR=US&amp;VAR:SYMBOL=GYMB&amp;VAR:INDEX=0"}</definedName>
    <definedName name="_91__FDSAUDITLINK__" hidden="1">{"fdsup://Directions/FactSet Auditing Viewer?action=AUDIT_VALUE&amp;DB=129&amp;ID1=46612H40&amp;VALUEID=02101&amp;SDATE=200901&amp;PERIODTYPE=QTR_STD&amp;window=popup_no_bar&amp;width=385&amp;height=120&amp;START_MAXIMIZED=FALSE&amp;creator=factset&amp;display_string=Audit"}</definedName>
    <definedName name="_910__FDSAUDITLINK__" hidden="1">{"fdsup://directions/FAT Viewer?action=UPDATE&amp;creator=factset&amp;DYN_ARGS=TRUE&amp;DOC_NAME=FAT:FQL_AUDITING_CLIENT_TEMPLATE.FAT&amp;display_string=Audit&amp;VAR:KEY=FKZQDQZSLI&amp;VAR:QUERY=RkZfUlRfU0ZfVE9UX0dST1NTKFFUUiwtMzcp&amp;WINDOW=FIRST_POPUP&amp;HEIGHT=450&amp;WIDTH=450&amp;START_MA","XIMIZED=FALSE&amp;VAR:CALENDAR=US&amp;VAR:SYMBOL=GYMB&amp;VAR:INDEX=0"}</definedName>
    <definedName name="_911__FDSAUDITLINK__" hidden="1">{"fdsup://directions/FAT Viewer?action=UPDATE&amp;creator=factset&amp;DYN_ARGS=TRUE&amp;DOC_NAME=FAT:FQL_AUDITING_CLIENT_TEMPLATE.FAT&amp;display_string=Audit&amp;VAR:KEY=HQVKRWHAXM&amp;VAR:QUERY=RkZfUlRfU0ZfVE9UX0dST1NTKFFUUiwtMzYp&amp;WINDOW=FIRST_POPUP&amp;HEIGHT=450&amp;WIDTH=450&amp;START_MA","XIMIZED=FALSE&amp;VAR:CALENDAR=US&amp;VAR:SYMBOL=GYMB&amp;VAR:INDEX=0"}</definedName>
    <definedName name="_912__FDSAUDITLINK__" hidden="1">{"fdsup://directions/FAT Viewer?action=UPDATE&amp;creator=factset&amp;DYN_ARGS=TRUE&amp;DOC_NAME=FAT:FQL_AUDITING_CLIENT_TEMPLATE.FAT&amp;display_string=Audit&amp;VAR:KEY=FKDCROBATC&amp;VAR:QUERY=RkZfUlRfU0ZfVE9UX0dST1NTKFFUUiwtMzUp&amp;WINDOW=FIRST_POPUP&amp;HEIGHT=450&amp;WIDTH=450&amp;START_MA","XIMIZED=FALSE&amp;VAR:CALENDAR=US&amp;VAR:SYMBOL=GYMB&amp;VAR:INDEX=0"}</definedName>
    <definedName name="_913__FDSAUDITLINK__" hidden="1">{"fdsup://directions/FAT Viewer?action=UPDATE&amp;creator=factset&amp;DYN_ARGS=TRUE&amp;DOC_NAME=FAT:FQL_AUDITING_CLIENT_TEMPLATE.FAT&amp;display_string=Audit&amp;VAR:KEY=RGXKJGXSRY&amp;VAR:QUERY=RkZfUlRfU0ZfVE9UX0dST1NTKFFUUiwtMzQp&amp;WINDOW=FIRST_POPUP&amp;HEIGHT=450&amp;WIDTH=450&amp;START_MA","XIMIZED=FALSE&amp;VAR:CALENDAR=US&amp;VAR:SYMBOL=GYMB&amp;VAR:INDEX=0"}</definedName>
    <definedName name="_914__FDSAUDITLINK__" hidden="1">{"fdsup://directions/FAT Viewer?action=UPDATE&amp;creator=factset&amp;DYN_ARGS=TRUE&amp;DOC_NAME=FAT:FQL_AUDITING_CLIENT_TEMPLATE.FAT&amp;display_string=Audit&amp;VAR:KEY=NEDCPADABM&amp;VAR:QUERY=RkZfUlRfU0ZfVE9UX0dST1NTKFFUUiwtMzMp&amp;WINDOW=FIRST_POPUP&amp;HEIGHT=450&amp;WIDTH=450&amp;START_MA","XIMIZED=FALSE&amp;VAR:CALENDAR=US&amp;VAR:SYMBOL=GYMB&amp;VAR:INDEX=0"}</definedName>
    <definedName name="_915__FDSAUDITLINK__" hidden="1">{"fdsup://directions/FAT Viewer?action=UPDATE&amp;creator=factset&amp;DYN_ARGS=TRUE&amp;DOC_NAME=FAT:FQL_AUDITING_CLIENT_TEMPLATE.FAT&amp;display_string=Audit&amp;VAR:KEY=LSHCBIVWFW&amp;VAR:QUERY=RkZfUlRfU0ZfVE9UX0dST1NTKFFUUiwtMzIp&amp;WINDOW=FIRST_POPUP&amp;HEIGHT=450&amp;WIDTH=450&amp;START_MA","XIMIZED=FALSE&amp;VAR:CALENDAR=US&amp;VAR:SYMBOL=GYMB&amp;VAR:INDEX=0"}</definedName>
    <definedName name="_916__FDSAUDITLINK__" hidden="1">{"fdsup://directions/FAT Viewer?action=UPDATE&amp;creator=factset&amp;DYN_ARGS=TRUE&amp;DOC_NAME=FAT:FQL_AUDITING_CLIENT_TEMPLATE.FAT&amp;display_string=Audit&amp;VAR:KEY=RIBYZAVYBO&amp;VAR:QUERY=RkZfUlRfU0ZfVE9UX0dST1NTKFFUUiwtMzEp&amp;WINDOW=FIRST_POPUP&amp;HEIGHT=450&amp;WIDTH=450&amp;START_MA","XIMIZED=FALSE&amp;VAR:CALENDAR=US&amp;VAR:SYMBOL=GYMB&amp;VAR:INDEX=0"}</definedName>
    <definedName name="_917__FDSAUDITLINK__" hidden="1">{"fdsup://directions/FAT Viewer?action=UPDATE&amp;creator=factset&amp;DYN_ARGS=TRUE&amp;DOC_NAME=FAT:FQL_AUDITING_CLIENT_TEMPLATE.FAT&amp;display_string=Audit&amp;VAR:KEY=DKPUNITODE&amp;VAR:QUERY=RkZfUlRfU0ZfVE9UX0dST1NTKFFUUiwtMzAp&amp;WINDOW=FIRST_POPUP&amp;HEIGHT=450&amp;WIDTH=450&amp;START_MA","XIMIZED=FALSE&amp;VAR:CALENDAR=US&amp;VAR:SYMBOL=GYMB&amp;VAR:INDEX=0"}</definedName>
    <definedName name="_918__FDSAUDITLINK__" hidden="1">{"fdsup://directions/FAT Viewer?action=UPDATE&amp;creator=factset&amp;DYN_ARGS=TRUE&amp;DOC_NAME=FAT:FQL_AUDITING_CLIENT_TEMPLATE.FAT&amp;display_string=Audit&amp;VAR:KEY=DCZMDKFYDS&amp;VAR:QUERY=RkZfUlRfU0ZfVE9UX0dST1NTKFFUUiwtMjkp&amp;WINDOW=FIRST_POPUP&amp;HEIGHT=450&amp;WIDTH=450&amp;START_MA","XIMIZED=FALSE&amp;VAR:CALENDAR=US&amp;VAR:SYMBOL=GYMB&amp;VAR:INDEX=0"}</definedName>
    <definedName name="_919__FDSAUDITLINK__" hidden="1">{"fdsup://directions/FAT Viewer?action=UPDATE&amp;creator=factset&amp;DYN_ARGS=TRUE&amp;DOC_NAME=FAT:FQL_AUDITING_CLIENT_TEMPLATE.FAT&amp;display_string=Audit&amp;VAR:KEY=REBEDKBEJS&amp;VAR:QUERY=RkZfUlRfU0ZfVE9UX0dST1NTKFFUUiwtMjgp&amp;WINDOW=FIRST_POPUP&amp;HEIGHT=450&amp;WIDTH=450&amp;START_MA","XIMIZED=FALSE&amp;VAR:CALENDAR=US&amp;VAR:SYMBOL=GYMB&amp;VAR:INDEX=0"}</definedName>
    <definedName name="_92__FDSAUDITLINK__" hidden="1">{"fdsup://Directions/FactSet Auditing Viewer?action=AUDIT_VALUE&amp;DB=129&amp;ID1=46612H40&amp;VALUEID=01001&amp;SDATE=200901&amp;PERIODTYPE=QTR_STD&amp;window=popup_no_bar&amp;width=385&amp;height=120&amp;START_MAXIMIZED=FALSE&amp;creator=factset&amp;display_string=Audit"}</definedName>
    <definedName name="_920__FDSAUDITLINK__" hidden="1">{"fdsup://directions/FAT Viewer?action=UPDATE&amp;creator=factset&amp;DYN_ARGS=TRUE&amp;DOC_NAME=FAT:FQL_AUDITING_CLIENT_TEMPLATE.FAT&amp;display_string=Audit&amp;VAR:KEY=LOPKLIVKBE&amp;VAR:QUERY=RkZfUlRfU0ZfVE9UX0dST1NTKFFUUiwtMjcp&amp;WINDOW=FIRST_POPUP&amp;HEIGHT=450&amp;WIDTH=450&amp;START_MA","XIMIZED=FALSE&amp;VAR:CALENDAR=US&amp;VAR:SYMBOL=GYMB&amp;VAR:INDEX=0"}</definedName>
    <definedName name="_921__FDSAUDITLINK__" hidden="1">{"fdsup://directions/FAT Viewer?action=UPDATE&amp;creator=factset&amp;DYN_ARGS=TRUE&amp;DOC_NAME=FAT:FQL_AUDITING_CLIENT_TEMPLATE.FAT&amp;display_string=Audit&amp;VAR:KEY=HWTMTYBQHY&amp;VAR:QUERY=RkZfUlRfU0ZfVE9UX0dST1NTKFFUUiwtMjYp&amp;WINDOW=FIRST_POPUP&amp;HEIGHT=450&amp;WIDTH=450&amp;START_MA","XIMIZED=FALSE&amp;VAR:CALENDAR=US&amp;VAR:SYMBOL=GYMB&amp;VAR:INDEX=0"}</definedName>
    <definedName name="_922__FDSAUDITLINK__" hidden="1">{"fdsup://directions/FAT Viewer?action=UPDATE&amp;creator=factset&amp;DYN_ARGS=TRUE&amp;DOC_NAME=FAT:FQL_AUDITING_CLIENT_TEMPLATE.FAT&amp;display_string=Audit&amp;VAR:KEY=PUPOZEVABO&amp;VAR:QUERY=RkZfUlRfU0ZfVE9UX0dST1NTKFFUUiwtMjUp&amp;WINDOW=FIRST_POPUP&amp;HEIGHT=450&amp;WIDTH=450&amp;START_MA","XIMIZED=FALSE&amp;VAR:CALENDAR=US&amp;VAR:SYMBOL=GYMB&amp;VAR:INDEX=0"}</definedName>
    <definedName name="_923__FDSAUDITLINK__" hidden="1">{"fdsup://directions/FAT Viewer?action=UPDATE&amp;creator=factset&amp;DYN_ARGS=TRUE&amp;DOC_NAME=FAT:FQL_AUDITING_CLIENT_TEMPLATE.FAT&amp;display_string=Audit&amp;VAR:KEY=DCZYDEDCZQ&amp;VAR:QUERY=RkZfUlRfU0ZfVE9UX0dST1NTKFFUUiwtMjQp&amp;WINDOW=FIRST_POPUP&amp;HEIGHT=450&amp;WIDTH=450&amp;START_MA","XIMIZED=FALSE&amp;VAR:CALENDAR=US&amp;VAR:SYMBOL=GYMB&amp;VAR:INDEX=0"}</definedName>
    <definedName name="_924__FDSAUDITLINK__" hidden="1">{"fdsup://directions/FAT Viewer?action=UPDATE&amp;creator=factset&amp;DYN_ARGS=TRUE&amp;DOC_NAME=FAT:FQL_AUDITING_CLIENT_TEMPLATE.FAT&amp;display_string=Audit&amp;VAR:KEY=FOBGXGRATQ&amp;VAR:QUERY=RkZfUlRfU0ZfVE9UX0dST1NTKFFUUiwtMjMp&amp;WINDOW=FIRST_POPUP&amp;HEIGHT=450&amp;WIDTH=450&amp;START_MA","XIMIZED=FALSE&amp;VAR:CALENDAR=US&amp;VAR:SYMBOL=GYMB&amp;VAR:INDEX=0"}</definedName>
    <definedName name="_925__FDSAUDITLINK__" hidden="1">{"fdsup://directions/FAT Viewer?action=UPDATE&amp;creator=factset&amp;DYN_ARGS=TRUE&amp;DOC_NAME=FAT:FQL_AUDITING_CLIENT_TEMPLATE.FAT&amp;display_string=Audit&amp;VAR:KEY=HIRWDWNUXK&amp;VAR:QUERY=RkZfUlRfU0ZfVE9UX0dST1NTKFFUUiwtMjIp&amp;WINDOW=FIRST_POPUP&amp;HEIGHT=450&amp;WIDTH=450&amp;START_MA","XIMIZED=FALSE&amp;VAR:CALENDAR=US&amp;VAR:SYMBOL=GYMB&amp;VAR:INDEX=0"}</definedName>
    <definedName name="_926__FDSAUDITLINK__" hidden="1">{"fdsup://directions/FAT Viewer?action=UPDATE&amp;creator=factset&amp;DYN_ARGS=TRUE&amp;DOC_NAME=FAT:FQL_AUDITING_CLIENT_TEMPLATE.FAT&amp;display_string=Audit&amp;VAR:KEY=JURGFOXYHE&amp;VAR:QUERY=RkZfUlRfU0ZfVE9UX0dST1NTKFFUUiwtMjEp&amp;WINDOW=FIRST_POPUP&amp;HEIGHT=450&amp;WIDTH=450&amp;START_MA","XIMIZED=FALSE&amp;VAR:CALENDAR=US&amp;VAR:SYMBOL=GYMB&amp;VAR:INDEX=0"}</definedName>
    <definedName name="_927__FDSAUDITLINK__" hidden="1">{"fdsup://directions/FAT Viewer?action=UPDATE&amp;creator=factset&amp;DYN_ARGS=TRUE&amp;DOC_NAME=FAT:FQL_AUDITING_CLIENT_TEMPLATE.FAT&amp;display_string=Audit&amp;VAR:KEY=DSNMNEJEJG&amp;VAR:QUERY=RkZfUlRfU0ZfVE9UX0dST1NTKFFUUiwtMjAp&amp;WINDOW=FIRST_POPUP&amp;HEIGHT=450&amp;WIDTH=450&amp;START_MA","XIMIZED=FALSE&amp;VAR:CALENDAR=US&amp;VAR:SYMBOL=GYMB&amp;VAR:INDEX=0"}</definedName>
    <definedName name="_928__FDSAUDITLINK__" hidden="1">{"fdsup://directions/FAT Viewer?action=UPDATE&amp;creator=factset&amp;DYN_ARGS=TRUE&amp;DOC_NAME=FAT:FQL_AUDITING_CLIENT_TEMPLATE.FAT&amp;display_string=Audit&amp;VAR:KEY=PWTUNSTSTY&amp;VAR:QUERY=RkZfUlRfU0ZfVE9UX0dST1NTKFFUUiwtMTkp&amp;WINDOW=FIRST_POPUP&amp;HEIGHT=450&amp;WIDTH=450&amp;START_MA","XIMIZED=FALSE&amp;VAR:CALENDAR=US&amp;VAR:SYMBOL=GYMB&amp;VAR:INDEX=0"}</definedName>
    <definedName name="_929__FDSAUDITLINK__" hidden="1">{"fdsup://directions/FAT Viewer?action=UPDATE&amp;creator=factset&amp;DYN_ARGS=TRUE&amp;DOC_NAME=FAT:FQL_AUDITING_CLIENT_TEMPLATE.FAT&amp;display_string=Audit&amp;VAR:KEY=ZQNKHKRKLC&amp;VAR:QUERY=RkZfUlRfU0ZfVE9UX0dST1NTKFFUUiwtMTgp&amp;WINDOW=FIRST_POPUP&amp;HEIGHT=450&amp;WIDTH=450&amp;START_MA","XIMIZED=FALSE&amp;VAR:CALENDAR=US&amp;VAR:SYMBOL=GYMB&amp;VAR:INDEX=0"}</definedName>
    <definedName name="_93__FDSAUDITLINK__" hidden="1">{"fdsup://Directions/FactSet Auditing Viewer?action=AUDIT_VALUE&amp;DB=129&amp;ID1=46612H40&amp;VALUEID=13040&amp;SDATE=200901&amp;PERIODTYPE=QTR_STD&amp;window=popup_no_bar&amp;width=385&amp;height=120&amp;START_MAXIMIZED=FALSE&amp;creator=factset&amp;display_string=Audit"}</definedName>
    <definedName name="_930__FDSAUDITLINK__" hidden="1">{"fdsup://directions/FAT Viewer?action=UPDATE&amp;creator=factset&amp;DYN_ARGS=TRUE&amp;DOC_NAME=FAT:FQL_AUDITING_CLIENT_TEMPLATE.FAT&amp;display_string=Audit&amp;VAR:KEY=XGDODMRERE&amp;VAR:QUERY=RkZfUlRfU0ZfVE9UX0dST1NTKFFUUiwtMTcp&amp;WINDOW=FIRST_POPUP&amp;HEIGHT=450&amp;WIDTH=450&amp;START_MA","XIMIZED=FALSE&amp;VAR:CALENDAR=US&amp;VAR:SYMBOL=GYMB&amp;VAR:INDEX=0"}</definedName>
    <definedName name="_931__FDSAUDITLINK__" hidden="1">{"fdsup://directions/FAT Viewer?action=UPDATE&amp;creator=factset&amp;DYN_ARGS=TRUE&amp;DOC_NAME=FAT:FQL_AUDITING_CLIENT_TEMPLATE.FAT&amp;display_string=Audit&amp;VAR:KEY=TKVMRALGPI&amp;VAR:QUERY=RkZfUlRfU0ZfVE9UX0dST1NTKFFUUiwtMTYp&amp;WINDOW=FIRST_POPUP&amp;HEIGHT=450&amp;WIDTH=450&amp;START_MA","XIMIZED=FALSE&amp;VAR:CALENDAR=US&amp;VAR:SYMBOL=GYMB&amp;VAR:INDEX=0"}</definedName>
    <definedName name="_932__FDSAUDITLINK__" hidden="1">{"fdsup://directions/FAT Viewer?action=UPDATE&amp;creator=factset&amp;DYN_ARGS=TRUE&amp;DOC_NAME=FAT:FQL_AUDITING_CLIENT_TEMPLATE.FAT&amp;display_string=Audit&amp;VAR:KEY=XWBCDMJGPU&amp;VAR:QUERY=RkZfUlRfU0ZfVE9UX0dST1NTKFFUUiwtMTUp&amp;WINDOW=FIRST_POPUP&amp;HEIGHT=450&amp;WIDTH=450&amp;START_MA","XIMIZED=FALSE&amp;VAR:CALENDAR=US&amp;VAR:SYMBOL=GYMB&amp;VAR:INDEX=0"}</definedName>
    <definedName name="_933__FDSAUDITLINK__" hidden="1">{"fdsup://directions/FAT Viewer?action=UPDATE&amp;creator=factset&amp;DYN_ARGS=TRUE&amp;DOC_NAME=FAT:FQL_AUDITING_CLIENT_TEMPLATE.FAT&amp;display_string=Audit&amp;VAR:KEY=JENWXOZCJS&amp;VAR:QUERY=RkZfUlRfU0ZfVE9UX0dST1NTKFFUUiwtMTQp&amp;WINDOW=FIRST_POPUP&amp;HEIGHT=450&amp;WIDTH=450&amp;START_MA","XIMIZED=FALSE&amp;VAR:CALENDAR=US&amp;VAR:SYMBOL=GYMB&amp;VAR:INDEX=0"}</definedName>
    <definedName name="_934__FDSAUDITLINK__" hidden="1">{"fdsup://directions/FAT Viewer?action=UPDATE&amp;creator=factset&amp;DYN_ARGS=TRUE&amp;DOC_NAME=FAT:FQL_AUDITING_CLIENT_TEMPLATE.FAT&amp;display_string=Audit&amp;VAR:KEY=TCTMPMPOZI&amp;VAR:QUERY=RkZfUlRfU0ZfVE9UX0dST1NTKFFUUiwtMTMp&amp;WINDOW=FIRST_POPUP&amp;HEIGHT=450&amp;WIDTH=450&amp;START_MA","XIMIZED=FALSE&amp;VAR:CALENDAR=US&amp;VAR:SYMBOL=GYMB&amp;VAR:INDEX=0"}</definedName>
    <definedName name="_935__FDSAUDITLINK__" hidden="1">{"fdsup://directions/FAT Viewer?action=UPDATE&amp;creator=factset&amp;DYN_ARGS=TRUE&amp;DOC_NAME=FAT:FQL_AUDITING_CLIENT_TEMPLATE.FAT&amp;display_string=Audit&amp;VAR:KEY=DWXWHUPIHW&amp;VAR:QUERY=RkZfUlRfU0ZfVE9UX0dST1NTKFFUUiwtMTIp&amp;WINDOW=FIRST_POPUP&amp;HEIGHT=450&amp;WIDTH=450&amp;START_MA","XIMIZED=FALSE&amp;VAR:CALENDAR=US&amp;VAR:SYMBOL=GYMB&amp;VAR:INDEX=0"}</definedName>
    <definedName name="_936__FDSAUDITLINK__" hidden="1">{"fdsup://directions/FAT Viewer?action=UPDATE&amp;creator=factset&amp;DYN_ARGS=TRUE&amp;DOC_NAME=FAT:FQL_AUDITING_CLIENT_TEMPLATE.FAT&amp;display_string=Audit&amp;VAR:KEY=NQVAXKPMVA&amp;VAR:QUERY=RkZfUlRfU0ZfVE9UX0dST1NTKFFUUiwtMTEp&amp;WINDOW=FIRST_POPUP&amp;HEIGHT=450&amp;WIDTH=450&amp;START_MA","XIMIZED=FALSE&amp;VAR:CALENDAR=US&amp;VAR:SYMBOL=GYMB&amp;VAR:INDEX=0"}</definedName>
    <definedName name="_937__FDSAUDITLINK__" hidden="1">{"fdsup://directions/FAT Viewer?action=UPDATE&amp;creator=factset&amp;DYN_ARGS=TRUE&amp;DOC_NAME=FAT:FQL_AUDITING_CLIENT_TEMPLATE.FAT&amp;display_string=Audit&amp;VAR:KEY=ZONMZAPSJI&amp;VAR:QUERY=RkZfUlRfU0ZfVE9UX0dST1NTKFFUUiwtMTAp&amp;WINDOW=FIRST_POPUP&amp;HEIGHT=450&amp;WIDTH=450&amp;START_MA","XIMIZED=FALSE&amp;VAR:CALENDAR=US&amp;VAR:SYMBOL=GYMB&amp;VAR:INDEX=0"}</definedName>
    <definedName name="_938__FDSAUDITLINK__" hidden="1">{"fdsup://directions/FAT Viewer?action=UPDATE&amp;creator=factset&amp;DYN_ARGS=TRUE&amp;DOC_NAME=FAT:FQL_AUDITING_CLIENT_TEMPLATE.FAT&amp;display_string=Audit&amp;VAR:KEY=TERAZMHAFK&amp;VAR:QUERY=RkZfUlRfU0ZfVE9UX0dST1NTKFFUUiwtOSk=&amp;WINDOW=FIRST_POPUP&amp;HEIGHT=450&amp;WIDTH=450&amp;START_MA","XIMIZED=FALSE&amp;VAR:CALENDAR=US&amp;VAR:SYMBOL=GYMB&amp;VAR:INDEX=0"}</definedName>
    <definedName name="_939__FDSAUDITLINK__" hidden="1">{"fdsup://directions/FAT Viewer?action=UPDATE&amp;creator=factset&amp;DYN_ARGS=TRUE&amp;DOC_NAME=FAT:FQL_AUDITING_CLIENT_TEMPLATE.FAT&amp;display_string=Audit&amp;VAR:KEY=TSDWNSLQPS&amp;VAR:QUERY=RkZfUlRfU0ZfVE9UX0dST1NTKFFUUiwtOCk=&amp;WINDOW=FIRST_POPUP&amp;HEIGHT=450&amp;WIDTH=450&amp;START_MA","XIMIZED=FALSE&amp;VAR:CALENDAR=US&amp;VAR:SYMBOL=GYMB&amp;VAR:INDEX=0"}</definedName>
    <definedName name="_94__FDSAUDITLINK__" hidden="1">{"fdsup://Directions/FactSet Auditing Viewer?action=AUDIT_VALUE&amp;DB=129&amp;ID1=03611510&amp;VALUEID=02101&amp;SDATE=200901&amp;PERIODTYPE=QTR_STD&amp;window=popup_no_bar&amp;width=385&amp;height=120&amp;START_MAXIMIZED=FALSE&amp;creator=factset&amp;display_string=Audit"}</definedName>
    <definedName name="_940__FDSAUDITLINK__" hidden="1">{"fdsup://directions/FAT Viewer?action=UPDATE&amp;creator=factset&amp;DYN_ARGS=TRUE&amp;DOC_NAME=FAT:FQL_AUDITING_CLIENT_TEMPLATE.FAT&amp;display_string=Audit&amp;VAR:KEY=NUNSNKTEFS&amp;VAR:QUERY=RkZfUlRfU0ZfVE9UX0dST1NTKFFUUiwtNyk=&amp;WINDOW=FIRST_POPUP&amp;HEIGHT=450&amp;WIDTH=450&amp;START_MA","XIMIZED=FALSE&amp;VAR:CALENDAR=US&amp;VAR:SYMBOL=GYMB&amp;VAR:INDEX=0"}</definedName>
    <definedName name="_941__FDSAUDITLINK__" hidden="1">{"fdsup://directions/FAT Viewer?action=UPDATE&amp;creator=factset&amp;DYN_ARGS=TRUE&amp;DOC_NAME=FAT:FQL_AUDITING_CLIENT_TEMPLATE.FAT&amp;display_string=Audit&amp;VAR:KEY=BGRGLCFUJA&amp;VAR:QUERY=RkZfUlRfU0ZfVE9UX0dST1NTKFFUUiwtNik=&amp;WINDOW=FIRST_POPUP&amp;HEIGHT=450&amp;WIDTH=450&amp;START_MA","XIMIZED=FALSE&amp;VAR:CALENDAR=US&amp;VAR:SYMBOL=GYMB&amp;VAR:INDEX=0"}</definedName>
    <definedName name="_942__FDSAUDITLINK__" hidden="1">{"fdsup://directions/FAT Viewer?action=UPDATE&amp;creator=factset&amp;DYN_ARGS=TRUE&amp;DOC_NAME=FAT:FQL_AUDITING_CLIENT_TEMPLATE.FAT&amp;display_string=Audit&amp;VAR:KEY=FQBWFOZQXU&amp;VAR:QUERY=RkZfUlRfU0ZfVE9UX0dST1NTKFFUUiwtNSk=&amp;WINDOW=FIRST_POPUP&amp;HEIGHT=450&amp;WIDTH=450&amp;START_MA","XIMIZED=FALSE&amp;VAR:CALENDAR=US&amp;VAR:SYMBOL=GYMB&amp;VAR:INDEX=0"}</definedName>
    <definedName name="_943__FDSAUDITLINK__" hidden="1">{"fdsup://directions/FAT Viewer?action=UPDATE&amp;creator=factset&amp;DYN_ARGS=TRUE&amp;DOC_NAME=FAT:FQL_AUDITING_CLIENT_TEMPLATE.FAT&amp;display_string=Audit&amp;VAR:KEY=JGROVCLUZW&amp;VAR:QUERY=RkZfUlRfU0ZfVE9UX0dST1NTKFFUUiwtNCk=&amp;WINDOW=FIRST_POPUP&amp;HEIGHT=450&amp;WIDTH=450&amp;START_MA","XIMIZED=FALSE&amp;VAR:CALENDAR=US&amp;VAR:SYMBOL=GYMB&amp;VAR:INDEX=0"}</definedName>
    <definedName name="_944__FDSAUDITLINK__" hidden="1">{"fdsup://directions/FAT Viewer?action=UPDATE&amp;creator=factset&amp;DYN_ARGS=TRUE&amp;DOC_NAME=FAT:FQL_AUDITING_CLIENT_TEMPLATE.FAT&amp;display_string=Audit&amp;VAR:KEY=VSNOZWVYLU&amp;VAR:QUERY=RkZfUlRfU0ZfVE9UX0dST1NTKFFUUiwtMyk=&amp;WINDOW=FIRST_POPUP&amp;HEIGHT=450&amp;WIDTH=450&amp;START_MA","XIMIZED=FALSE&amp;VAR:CALENDAR=US&amp;VAR:SYMBOL=GYMB&amp;VAR:INDEX=0"}</definedName>
    <definedName name="_945__FDSAUDITLINK__" hidden="1">{"fdsup://directions/FAT Viewer?action=UPDATE&amp;creator=factset&amp;DYN_ARGS=TRUE&amp;DOC_NAME=FAT:FQL_AUDITING_CLIENT_TEMPLATE.FAT&amp;display_string=Audit&amp;VAR:KEY=PKPWPYPSJW&amp;VAR:QUERY=RkZfUlRfU0ZfVE9UX0dST1NTKFFUUiwtMik=&amp;WINDOW=FIRST_POPUP&amp;HEIGHT=450&amp;WIDTH=450&amp;START_MA","XIMIZED=FALSE&amp;VAR:CALENDAR=US&amp;VAR:SYMBOL=GYMB&amp;VAR:INDEX=0"}</definedName>
    <definedName name="_946__FDSAUDITLINK__" hidden="1">{"fdsup://directions/FAT Viewer?action=UPDATE&amp;creator=factset&amp;DYN_ARGS=TRUE&amp;DOC_NAME=FAT:FQL_AUDITING_CLIENT_TEMPLATE.FAT&amp;display_string=Audit&amp;VAR:KEY=XSVCHMLSHM&amp;VAR:QUERY=RkZfUlRfU0ZfVE9UX0dST1NTKFFUUiwtMSk=&amp;WINDOW=FIRST_POPUP&amp;HEIGHT=450&amp;WIDTH=450&amp;START_MA","XIMIZED=FALSE&amp;VAR:CALENDAR=US&amp;VAR:SYMBOL=GYMB&amp;VAR:INDEX=0"}</definedName>
    <definedName name="_947__FDSAUDITLINK__" hidden="1">{"fdsup://directions/FAT Viewer?action=UPDATE&amp;creator=factset&amp;DYN_ARGS=TRUE&amp;DOC_NAME=FAT:FQL_AUDITING_CLIENT_TEMPLATE.FAT&amp;display_string=Audit&amp;VAR:KEY=DYNCLOXCRA&amp;VAR:QUERY=RkZfUlRfU0ZfVE9UX0dST1NTKFFUUiwwKQ==&amp;WINDOW=FIRST_POPUP&amp;HEIGHT=450&amp;WIDTH=450&amp;START_MA","XIMIZED=FALSE&amp;VAR:CALENDAR=US&amp;VAR:SYMBOL=GYMB&amp;VAR:INDEX=0"}</definedName>
    <definedName name="_948__FDSAUDITLINK__" hidden="1">{"fdsup://Directions/FactSet Auditing Viewer?action=AUDIT_VALUE&amp;DB=129&amp;ID1=53271610&amp;VALUEID=13040&amp;SDATE=200601&amp;PERIODTYPE=QTR_STD&amp;window=popup_no_bar&amp;width=385&amp;height=120&amp;START_MAXIMIZED=FALSE&amp;creator=factset&amp;display_string=Audit"}</definedName>
    <definedName name="_949__FDSAUDITLINK__" hidden="1">{"fdsup://Directions/FactSet Auditing Viewer?action=AUDIT_VALUE&amp;DB=129&amp;ID1=53271610&amp;VALUEID=01001&amp;SDATE=200601&amp;PERIODTYPE=QTR_STD&amp;window=popup_no_bar&amp;width=385&amp;height=120&amp;START_MAXIMIZED=FALSE&amp;creator=factset&amp;display_string=Audit"}</definedName>
    <definedName name="_95__FDSAUDITLINK__" hidden="1">{"fdsup://Directions/FactSet Auditing Viewer?action=AUDIT_VALUE&amp;DB=129&amp;ID1=03611510&amp;VALUEID=01001&amp;SDATE=200901&amp;PERIODTYPE=QTR_STD&amp;window=popup_no_bar&amp;width=385&amp;height=120&amp;START_MAXIMIZED=FALSE&amp;creator=factset&amp;display_string=Audit"}</definedName>
    <definedName name="_950__FDSAUDITLINK__" hidden="1">{"fdsup://Directions/FactSet Auditing Viewer?action=AUDIT_VALUE&amp;DB=129&amp;ID1=53271610&amp;VALUEID=02101&amp;SDATE=200601&amp;PERIODTYPE=QTR_STD&amp;window=popup_no_bar&amp;width=385&amp;height=120&amp;START_MAXIMIZED=FALSE&amp;creator=factset&amp;display_string=Audit"}</definedName>
    <definedName name="_951__FDSAUDITLINK__" hidden="1">{"fdsup://Directions/FactSet Auditing Viewer?action=AUDIT_VALUE&amp;DB=129&amp;ID1=53271610&amp;VALUEID=13040&amp;SDATE=200602&amp;PERIODTYPE=QTR_STD&amp;window=popup_no_bar&amp;width=385&amp;height=120&amp;START_MAXIMIZED=FALSE&amp;creator=factset&amp;display_string=Audit"}</definedName>
    <definedName name="_952__FDSAUDITLINK__" hidden="1">{"fdsup://Directions/FactSet Auditing Viewer?action=AUDIT_VALUE&amp;DB=129&amp;ID1=53271610&amp;VALUEID=01001&amp;SDATE=200602&amp;PERIODTYPE=QTR_STD&amp;window=popup_no_bar&amp;width=385&amp;height=120&amp;START_MAXIMIZED=FALSE&amp;creator=factset&amp;display_string=Audit"}</definedName>
    <definedName name="_953__FDSAUDITLINK__" hidden="1">{"fdsup://Directions/FactSet Auditing Viewer?action=AUDIT_VALUE&amp;DB=129&amp;ID1=53271610&amp;VALUEID=02101&amp;SDATE=200602&amp;PERIODTYPE=QTR_STD&amp;window=popup_no_bar&amp;width=385&amp;height=120&amp;START_MAXIMIZED=FALSE&amp;creator=factset&amp;display_string=Audit"}</definedName>
    <definedName name="_954__FDSAUDITLINK__" hidden="1">{"fdsup://Directions/FactSet Auditing Viewer?action=AUDIT_VALUE&amp;DB=129&amp;ID1=53271610&amp;VALUEID=13040&amp;SDATE=200603&amp;PERIODTYPE=QTR_STD&amp;window=popup_no_bar&amp;width=385&amp;height=120&amp;START_MAXIMIZED=FALSE&amp;creator=factset&amp;display_string=Audit"}</definedName>
    <definedName name="_955__FDSAUDITLINK__" hidden="1">{"fdsup://Directions/FactSet Auditing Viewer?action=AUDIT_VALUE&amp;DB=129&amp;ID1=53271610&amp;VALUEID=01001&amp;SDATE=200603&amp;PERIODTYPE=QTR_STD&amp;window=popup_no_bar&amp;width=385&amp;height=120&amp;START_MAXIMIZED=FALSE&amp;creator=factset&amp;display_string=Audit"}</definedName>
    <definedName name="_956__FDSAUDITLINK__" hidden="1">{"fdsup://Directions/FactSet Auditing Viewer?action=AUDIT_VALUE&amp;DB=129&amp;ID1=53271610&amp;VALUEID=02101&amp;SDATE=200603&amp;PERIODTYPE=QTR_STD&amp;window=popup_no_bar&amp;width=385&amp;height=120&amp;START_MAXIMIZED=FALSE&amp;creator=factset&amp;display_string=Audit"}</definedName>
    <definedName name="_957__FDSAUDITLINK__" hidden="1">{"fdsup://Directions/FactSet Auditing Viewer?action=AUDIT_VALUE&amp;DB=129&amp;ID1=53271610&amp;VALUEID=13040&amp;SDATE=200701&amp;PERIODTYPE=QTR_STD&amp;window=popup_no_bar&amp;width=385&amp;height=120&amp;START_MAXIMIZED=FALSE&amp;creator=factset&amp;display_string=Audit"}</definedName>
    <definedName name="_958__FDSAUDITLINK__" hidden="1">{"fdsup://Directions/FactSet Auditing Viewer?action=AUDIT_VALUE&amp;DB=129&amp;ID1=53271610&amp;VALUEID=01001&amp;SDATE=200701&amp;PERIODTYPE=QTR_STD&amp;window=popup_no_bar&amp;width=385&amp;height=120&amp;START_MAXIMIZED=FALSE&amp;creator=factset&amp;display_string=Audit"}</definedName>
    <definedName name="_959__FDSAUDITLINK__" hidden="1">{"fdsup://Directions/FactSet Auditing Viewer?action=AUDIT_VALUE&amp;DB=129&amp;ID1=53271610&amp;VALUEID=02101&amp;SDATE=200701&amp;PERIODTYPE=QTR_STD&amp;window=popup_no_bar&amp;width=385&amp;height=120&amp;START_MAXIMIZED=FALSE&amp;creator=factset&amp;display_string=Audit"}</definedName>
    <definedName name="_96__FDSAUDITLINK__" hidden="1">{"fdsup://Directions/FactSet Auditing Viewer?action=AUDIT_VALUE&amp;DB=129&amp;ID1=16890510&amp;VALUEID=02101&amp;SDATE=200901&amp;PERIODTYPE=QTR_STD&amp;window=popup_no_bar&amp;width=385&amp;height=120&amp;START_MAXIMIZED=FALSE&amp;creator=factset&amp;display_string=Audit"}</definedName>
    <definedName name="_960__FDSAUDITLINK__" hidden="1">{"fdsup://Directions/FactSet Auditing Viewer?action=AUDIT_VALUE&amp;DB=129&amp;ID1=53271610&amp;VALUEID=13040&amp;SDATE=200702&amp;PERIODTYPE=QTR_STD&amp;window=popup_no_bar&amp;width=385&amp;height=120&amp;START_MAXIMIZED=FALSE&amp;creator=factset&amp;display_string=Audit"}</definedName>
    <definedName name="_961__FDSAUDITLINK__" hidden="1">{"fdsup://Directions/FactSet Auditing Viewer?action=AUDIT_VALUE&amp;DB=129&amp;ID1=53271610&amp;VALUEID=01001&amp;SDATE=200702&amp;PERIODTYPE=QTR_STD&amp;window=popup_no_bar&amp;width=385&amp;height=120&amp;START_MAXIMIZED=FALSE&amp;creator=factset&amp;display_string=Audit"}</definedName>
    <definedName name="_962__FDSAUDITLINK__" hidden="1">{"fdsup://Directions/FactSet Auditing Viewer?action=AUDIT_VALUE&amp;DB=129&amp;ID1=53271610&amp;VALUEID=02101&amp;SDATE=200702&amp;PERIODTYPE=QTR_STD&amp;window=popup_no_bar&amp;width=385&amp;height=120&amp;START_MAXIMIZED=FALSE&amp;creator=factset&amp;display_string=Audit"}</definedName>
    <definedName name="_963__FDSAUDITLINK__" hidden="1">{"fdsup://Directions/FactSet Auditing Viewer?action=AUDIT_VALUE&amp;DB=129&amp;ID1=53271610&amp;VALUEID=13040&amp;SDATE=200703&amp;PERIODTYPE=QTR_STD&amp;window=popup_no_bar&amp;width=385&amp;height=120&amp;START_MAXIMIZED=FALSE&amp;creator=factset&amp;display_string=Audit"}</definedName>
    <definedName name="_964__FDSAUDITLINK__" hidden="1">{"fdsup://Directions/FactSet Auditing Viewer?action=AUDIT_VALUE&amp;DB=129&amp;ID1=53271610&amp;VALUEID=01001&amp;SDATE=200703&amp;PERIODTYPE=QTR_STD&amp;window=popup_no_bar&amp;width=385&amp;height=120&amp;START_MAXIMIZED=FALSE&amp;creator=factset&amp;display_string=Audit"}</definedName>
    <definedName name="_965__FDSAUDITLINK__" hidden="1">{"fdsup://Directions/FactSet Auditing Viewer?action=AUDIT_VALUE&amp;DB=129&amp;ID1=53271610&amp;VALUEID=02101&amp;SDATE=200703&amp;PERIODTYPE=QTR_STD&amp;window=popup_no_bar&amp;width=385&amp;height=120&amp;START_MAXIMIZED=FALSE&amp;creator=factset&amp;display_string=Audit"}</definedName>
    <definedName name="_966__FDSAUDITLINK__" hidden="1">{"fdsup://Directions/FactSet Auditing Viewer?action=AUDIT_VALUE&amp;DB=129&amp;ID1=53271610&amp;VALUEID=13040&amp;SDATE=200801&amp;PERIODTYPE=QTR_STD&amp;window=popup_no_bar&amp;width=385&amp;height=120&amp;START_MAXIMIZED=FALSE&amp;creator=factset&amp;display_string=Audit"}</definedName>
    <definedName name="_967__FDSAUDITLINK__" hidden="1">{"fdsup://Directions/FactSet Auditing Viewer?action=AUDIT_VALUE&amp;DB=129&amp;ID1=53271610&amp;VALUEID=01001&amp;SDATE=200801&amp;PERIODTYPE=QTR_STD&amp;window=popup_no_bar&amp;width=385&amp;height=120&amp;START_MAXIMIZED=FALSE&amp;creator=factset&amp;display_string=Audit"}</definedName>
    <definedName name="_968__FDSAUDITLINK__" hidden="1">{"fdsup://Directions/FactSet Auditing Viewer?action=AUDIT_VALUE&amp;DB=129&amp;ID1=53271610&amp;VALUEID=02101&amp;SDATE=200801&amp;PERIODTYPE=QTR_STD&amp;window=popup_no_bar&amp;width=385&amp;height=120&amp;START_MAXIMIZED=FALSE&amp;creator=factset&amp;display_string=Audit"}</definedName>
    <definedName name="_969__FDSAUDITLINK__" hidden="1">{"fdsup://Directions/FactSet Auditing Viewer?action=AUDIT_VALUE&amp;DB=129&amp;ID1=53271610&amp;VALUEID=13040&amp;SDATE=200802&amp;PERIODTYPE=QTR_STD&amp;window=popup_no_bar&amp;width=385&amp;height=120&amp;START_MAXIMIZED=FALSE&amp;creator=factset&amp;display_string=Audit"}</definedName>
    <definedName name="_97__FDSAUDITLINK__" hidden="1">{"fdsup://Directions/FactSet Auditing Viewer?action=AUDIT_VALUE&amp;DB=129&amp;ID1=16890510&amp;VALUEID=01001&amp;SDATE=200901&amp;PERIODTYPE=QTR_STD&amp;window=popup_no_bar&amp;width=385&amp;height=120&amp;START_MAXIMIZED=FALSE&amp;creator=factset&amp;display_string=Audit"}</definedName>
    <definedName name="_970__FDSAUDITLINK__" hidden="1">{"fdsup://Directions/FactSet Auditing Viewer?action=AUDIT_VALUE&amp;DB=129&amp;ID1=53271610&amp;VALUEID=01001&amp;SDATE=200802&amp;PERIODTYPE=QTR_STD&amp;window=popup_no_bar&amp;width=385&amp;height=120&amp;START_MAXIMIZED=FALSE&amp;creator=factset&amp;display_string=Audit"}</definedName>
    <definedName name="_971__FDSAUDITLINK__" hidden="1">{"fdsup://Directions/FactSet Auditing Viewer?action=AUDIT_VALUE&amp;DB=129&amp;ID1=53271610&amp;VALUEID=02101&amp;SDATE=200802&amp;PERIODTYPE=QTR_STD&amp;window=popup_no_bar&amp;width=385&amp;height=120&amp;START_MAXIMIZED=FALSE&amp;creator=factset&amp;display_string=Audit"}</definedName>
    <definedName name="_972__FDSAUDITLINK__" hidden="1">{"fdsup://Directions/FactSet Auditing Viewer?action=AUDIT_VALUE&amp;DB=129&amp;ID1=53271610&amp;VALUEID=13040&amp;SDATE=200901&amp;PERIODTYPE=QTR_STD&amp;window=popup_no_bar&amp;width=385&amp;height=120&amp;START_MAXIMIZED=FALSE&amp;creator=factset&amp;display_string=Audit"}</definedName>
    <definedName name="_973__FDSAUDITLINK__" hidden="1">{"fdsup://Directions/FactSet Auditing Viewer?action=AUDIT_VALUE&amp;DB=129&amp;ID1=53271610&amp;VALUEID=13040&amp;SDATE=200902&amp;PERIODTYPE=QTR_STD&amp;window=popup_no_bar&amp;width=385&amp;height=120&amp;START_MAXIMIZED=FALSE&amp;creator=factset&amp;display_string=Audit"}</definedName>
    <definedName name="_974__FDSAUDITLINK__" hidden="1">{"fdsup://Directions/FactSet Auditing Viewer?action=AUDIT_VALUE&amp;DB=129&amp;ID1=53271610&amp;VALUEID=01001&amp;SDATE=200902&amp;PERIODTYPE=QTR_STD&amp;window=popup_no_bar&amp;width=385&amp;height=120&amp;START_MAXIMIZED=FALSE&amp;creator=factset&amp;display_string=Audit"}</definedName>
    <definedName name="_975__FDSAUDITLINK__" hidden="1">{"fdsup://Directions/FactSet Auditing Viewer?action=AUDIT_VALUE&amp;DB=129&amp;ID1=53271610&amp;VALUEID=02101&amp;SDATE=200902&amp;PERIODTYPE=QTR_STD&amp;window=popup_no_bar&amp;width=385&amp;height=120&amp;START_MAXIMIZED=FALSE&amp;creator=factset&amp;display_string=Audit"}</definedName>
    <definedName name="_976__FDSAUDITLINK__" hidden="1">{"fdsup://Directions/FactSet Auditing Viewer?action=AUDIT_VALUE&amp;DB=129&amp;ID1=53271610&amp;VALUEID=13040&amp;SDATE=200903&amp;PERIODTYPE=QTR_STD&amp;window=popup_no_bar&amp;width=385&amp;height=120&amp;START_MAXIMIZED=FALSE&amp;creator=factset&amp;display_string=Audit"}</definedName>
    <definedName name="_977__FDSAUDITLINK__" hidden="1">{"fdsup://Directions/FactSet Auditing Viewer?action=AUDIT_VALUE&amp;DB=129&amp;ID1=53271610&amp;VALUEID=01001&amp;SDATE=200903&amp;PERIODTYPE=QTR_STD&amp;window=popup_no_bar&amp;width=385&amp;height=120&amp;START_MAXIMIZED=FALSE&amp;creator=factset&amp;display_string=Audit"}</definedName>
    <definedName name="_978__FDSAUDITLINK__" hidden="1">{"fdsup://Directions/FactSet Auditing Viewer?action=AUDIT_VALUE&amp;DB=129&amp;ID1=53271610&amp;VALUEID=02101&amp;SDATE=200903&amp;PERIODTYPE=QTR_STD&amp;window=popup_no_bar&amp;width=385&amp;height=120&amp;START_MAXIMIZED=FALSE&amp;creator=factset&amp;display_string=Audit"}</definedName>
    <definedName name="_979__FDSAUDITLINK__" hidden="1">{"fdsup://Directions/FactSet Auditing Viewer?action=AUDIT_VALUE&amp;DB=129&amp;ID1=53271610&amp;VALUEID=13040&amp;SDATE=201001&amp;PERIODTYPE=QTR_STD&amp;window=popup_no_bar&amp;width=385&amp;height=120&amp;START_MAXIMIZED=FALSE&amp;creator=factset&amp;display_string=Audit"}</definedName>
    <definedName name="_98__FDSAUDITLINK__" hidden="1">{"fdsup://Directions/FactSet Auditing Viewer?action=AUDIT_VALUE&amp;DB=129&amp;ID1=00786510&amp;VALUEID=02101&amp;SDATE=200901&amp;PERIODTYPE=QTR_STD&amp;window=popup_no_bar&amp;width=385&amp;height=120&amp;START_MAXIMIZED=FALSE&amp;creator=factset&amp;display_string=Audit"}</definedName>
    <definedName name="_980__FDSAUDITLINK__" hidden="1">{"fdsup://Directions/FactSet Auditing Viewer?action=AUDIT_VALUE&amp;DB=129&amp;ID1=53271610&amp;VALUEID=01001&amp;SDATE=201001&amp;PERIODTYPE=QTR_STD&amp;window=popup_no_bar&amp;width=385&amp;height=120&amp;START_MAXIMIZED=FALSE&amp;creator=factset&amp;display_string=Audit"}</definedName>
    <definedName name="_981__FDSAUDITLINK__" hidden="1">{"fdsup://Directions/FactSet Auditing Viewer?action=AUDIT_VALUE&amp;DB=129&amp;ID1=53271610&amp;VALUEID=02101&amp;SDATE=201001&amp;PERIODTYPE=QTR_STD&amp;window=popup_no_bar&amp;width=385&amp;height=120&amp;START_MAXIMIZED=FALSE&amp;creator=factset&amp;display_string=Audit"}</definedName>
    <definedName name="_982__FDSAUDITLINK__" hidden="1">{"fdsup://Directions/FactSet Auditing Viewer?action=AUDIT_VALUE&amp;DB=129&amp;ID1=87416110&amp;VALUEID=02101&amp;SDATE=201001&amp;PERIODTYPE=QTR_STD&amp;window=popup_no_bar&amp;width=385&amp;height=120&amp;START_MAXIMIZED=FALSE&amp;creator=factset&amp;display_string=Audit"}</definedName>
    <definedName name="_983__FDSAUDITLINK__" hidden="1">{"fdsup://Directions/FactSet Auditing Viewer?action=AUDIT_VALUE&amp;DB=129&amp;ID1=87416110&amp;VALUEID=13040&amp;SDATE=201001&amp;PERIODTYPE=QTR_STD&amp;window=popup_no_bar&amp;width=385&amp;height=120&amp;START_MAXIMIZED=FALSE&amp;creator=factset&amp;display_string=Audit"}</definedName>
    <definedName name="_984__FDSAUDITLINK__" hidden="1">{"fdsup://directions/FAT Viewer?action=UPDATE&amp;creator=factset&amp;DYN_ARGS=TRUE&amp;DOC_NAME=FAT:FQL_AUDITING_CLIENT_TEMPLATE.FAT&amp;display_string=Audit&amp;VAR:KEY=FSTUHMJIBA&amp;VAR:QUERY=RkZfUlRfU0ZfVE9UX0dST1NTKFFUUiwwKQ==&amp;WINDOW=FIRST_POPUP&amp;HEIGHT=450&amp;WIDTH=450&amp;START_MA","XIMIZED=FALSE&amp;VAR:CALENDAR=US&amp;VAR:SYMBOL=TLB&amp;VAR:INDEX=0"}</definedName>
    <definedName name="_985__FDSAUDITLINK__" hidden="1">{"fdsup://Directions/FactSet Auditing Viewer?action=AUDIT_VALUE&amp;DB=129&amp;ID1=53271610&amp;VALUEID=02101&amp;SDATE=201001&amp;PERIODTYPE=QTR_STD&amp;window=popup_no_bar&amp;width=385&amp;height=120&amp;START_MAXIMIZED=FALSE&amp;creator=factset&amp;display_string=Audit"}</definedName>
    <definedName name="_986__FDSAUDITLINK__" hidden="1">{"fdsup://Directions/FactSet Auditing Viewer?action=AUDIT_VALUE&amp;DB=129&amp;ID1=53271610&amp;VALUEID=13040&amp;SDATE=201001&amp;PERIODTYPE=QTR_STD&amp;window=popup_no_bar&amp;width=385&amp;height=120&amp;START_MAXIMIZED=FALSE&amp;creator=factset&amp;display_string=Audit"}</definedName>
    <definedName name="_987__FDSAUDITLINK__" hidden="1">{"fdsup://Directions/FactSet Auditing Viewer?action=AUDIT_VALUE&amp;DB=129&amp;ID1=46612H40&amp;VALUEID=02101&amp;SDATE=201001&amp;PERIODTYPE=QTR_STD&amp;window=popup_no_bar&amp;width=385&amp;height=120&amp;START_MAXIMIZED=FALSE&amp;creator=factset&amp;display_string=Audit"}</definedName>
    <definedName name="_988__FDSAUDITLINK__" hidden="1">{"fdsup://Directions/FactSet Auditing Viewer?action=AUDIT_VALUE&amp;DB=129&amp;ID1=46612H40&amp;VALUEID=13040&amp;SDATE=201001&amp;PERIODTYPE=QTR_STD&amp;window=popup_no_bar&amp;width=385&amp;height=120&amp;START_MAXIMIZED=FALSE&amp;creator=factset&amp;display_string=Audit"}</definedName>
    <definedName name="_989__FDSAUDITLINK__" hidden="1">{"fdsup://Directions/FactSet Auditing Viewer?action=AUDIT_VALUE&amp;DB=129&amp;ID1=36476010&amp;VALUEID=02101&amp;SDATE=201001&amp;PERIODTYPE=QTR_STD&amp;window=popup_no_bar&amp;width=385&amp;height=120&amp;START_MAXIMIZED=FALSE&amp;creator=factset&amp;display_string=Audit"}</definedName>
    <definedName name="_99__FDSAUDITLINK__" hidden="1">{"fdsup://Directions/FactSet Auditing Viewer?action=AUDIT_VALUE&amp;DB=129&amp;ID1=00786510&amp;VALUEID=01001&amp;SDATE=200901&amp;PERIODTYPE=QTR_STD&amp;window=popup_no_bar&amp;width=385&amp;height=120&amp;START_MAXIMIZED=FALSE&amp;creator=factset&amp;display_string=Audit"}</definedName>
    <definedName name="_990__FDSAUDITLINK__" hidden="1">{"fdsup://Directions/FactSet Auditing Viewer?action=AUDIT_VALUE&amp;DB=129&amp;ID1=36476010&amp;VALUEID=13040&amp;SDATE=201001&amp;PERIODTYPE=QTR_STD&amp;window=popup_no_bar&amp;width=385&amp;height=120&amp;START_MAXIMIZED=FALSE&amp;creator=factset&amp;display_string=Audit"}</definedName>
    <definedName name="_991__FDSAUDITLINK__" hidden="1">{"fdsup://Directions/FactSet Auditing Viewer?action=AUDIT_VALUE&amp;DB=129&amp;ID1=03611510&amp;VALUEID=02101&amp;SDATE=201001&amp;PERIODTYPE=QTR_STD&amp;window=popup_no_bar&amp;width=385&amp;height=120&amp;START_MAXIMIZED=FALSE&amp;creator=factset&amp;display_string=Audit"}</definedName>
    <definedName name="_992__FDSAUDITLINK__" hidden="1">{"fdsup://Directions/FactSet Auditing Viewer?action=AUDIT_VALUE&amp;DB=129&amp;ID1=03611510&amp;VALUEID=13040&amp;SDATE=201001&amp;PERIODTYPE=QTR_STD&amp;window=popup_no_bar&amp;width=385&amp;height=120&amp;START_MAXIMIZED=FALSE&amp;creator=factset&amp;display_string=Audit"}</definedName>
    <definedName name="_993__FDSAUDITLINK__" hidden="1">{"fdsup://Directions/FactSet Auditing Viewer?action=AUDIT_VALUE&amp;DB=129&amp;ID1=16890510&amp;VALUEID=02101&amp;SDATE=201001&amp;PERIODTYPE=QTR_STD&amp;window=popup_no_bar&amp;width=385&amp;height=120&amp;START_MAXIMIZED=FALSE&amp;creator=factset&amp;display_string=Audit"}</definedName>
    <definedName name="_994__FDSAUDITLINK__" hidden="1">{"fdsup://Directions/FactSet Auditing Viewer?action=AUDIT_VALUE&amp;DB=129&amp;ID1=91704710&amp;VALUEID=02101&amp;SDATE=201001&amp;PERIODTYPE=QTR_STD&amp;window=popup_no_bar&amp;width=385&amp;height=120&amp;START_MAXIMIZED=FALSE&amp;creator=factset&amp;display_string=Audit"}</definedName>
    <definedName name="_995__FDSAUDITLINK__" hidden="1">{"fdsup://Directions/FactSet Auditing Viewer?action=AUDIT_VALUE&amp;DB=129&amp;ID1=91704710&amp;VALUEID=13040&amp;SDATE=201001&amp;PERIODTYPE=QTR_STD&amp;window=popup_no_bar&amp;width=385&amp;height=120&amp;START_MAXIMIZED=FALSE&amp;creator=factset&amp;display_string=Audit"}</definedName>
    <definedName name="_996__FDSAUDITLINK__" hidden="1">{"fdsup://Directions/FactSet Auditing Viewer?action=AUDIT_VALUE&amp;DB=129&amp;ID1=02553E10&amp;VALUEID=02101&amp;SDATE=201001&amp;PERIODTYPE=QTR_STD&amp;window=popup_no_bar&amp;width=385&amp;height=120&amp;START_MAXIMIZED=FALSE&amp;creator=factset&amp;display_string=Audit"}</definedName>
    <definedName name="_997__FDSAUDITLINK__" hidden="1">{"fdsup://Directions/FactSet Auditing Viewer?action=AUDIT_VALUE&amp;DB=129&amp;ID1=02553E10&amp;VALUEID=13040&amp;SDATE=201001&amp;PERIODTYPE=QTR_STD&amp;window=popup_no_bar&amp;width=385&amp;height=120&amp;START_MAXIMIZED=FALSE&amp;creator=factset&amp;display_string=Audit"}</definedName>
    <definedName name="_998__FDSAUDITLINK__" hidden="1">{"fdsup://Directions/FactSet Auditing Viewer?action=AUDIT_VALUE&amp;DB=129&amp;ID1=00786510&amp;VALUEID=02101&amp;SDATE=201001&amp;PERIODTYPE=QTR_STD&amp;window=popup_no_bar&amp;width=385&amp;height=120&amp;START_MAXIMIZED=FALSE&amp;creator=factset&amp;display_string=Audit"}</definedName>
    <definedName name="_999__FDSAUDITLINK__" hidden="1">{"fdsup://Directions/FactSet Auditing Viewer?action=AUDIT_VALUE&amp;DB=129&amp;ID1=00786510&amp;VALUEID=13040&amp;SDATE=201001&amp;PERIODTYPE=QTR_STD&amp;window=popup_no_bar&amp;width=385&amp;height=120&amp;START_MAXIMIZED=FALSE&amp;creator=factset&amp;display_string=Audit"}</definedName>
    <definedName name="_Order1">255</definedName>
    <definedName name="AAB_GSPPG">"AAB_Goldman Sachs PPG Chart Utilities 1.0g"</definedName>
    <definedName name="abc"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Act_Price" localSheetId="1">OFFSET(Date_Range,0,1,,1)</definedName>
    <definedName name="Act_Price" localSheetId="16">OFFSET(Date_Range,0,1,,1)</definedName>
    <definedName name="Act_Price">OFFSET(Date_Range,0,1,,1)</definedName>
    <definedName name="AdditionalInstructions">IndexInformation!$B$42</definedName>
    <definedName name="Address" localSheetId="0">ImportantDisclosures!$A$2:$A$2</definedName>
    <definedName name="ANA" localSheetId="19">ModPubIndex!$A$7</definedName>
    <definedName name="anscount">1</definedName>
    <definedName name="Authors" localSheetId="0">ImportantDisclosures!$A$7</definedName>
    <definedName name="Authors" localSheetId="18">IndexInformation!$B$18</definedName>
    <definedName name="Avg">"Avg"</definedName>
    <definedName name="BRO" localSheetId="19">ModPubIndex!$A$1</definedName>
    <definedName name="CopyrightStamp">ImportantDisclosures!$A$27</definedName>
    <definedName name="COU" localSheetId="19">ModPubIndex!$A$5</definedName>
    <definedName name="CQEnd" localSheetId="18">IndexInformation!$B$31</definedName>
    <definedName name="Currency" localSheetId="18">IndexInformation!$B$24</definedName>
    <definedName name="CurrentStockPrice" localSheetId="18">IndexInformation!$B$23</definedName>
    <definedName name="CurrQtrEPS" localSheetId="18">IndexInformation!$B$29</definedName>
    <definedName name="CurrYearEPS" localSheetId="18">IndexInformation!$B$11</definedName>
    <definedName name="CurrYearTotalRevenue" localSheetId="18">IndexInformation!$B$10</definedName>
    <definedName name="CurrYearTotalRevenueActual" localSheetId="18">IndexInformation!$B$32</definedName>
    <definedName name="CUSIP" localSheetId="18">IndexInformation!$B$20</definedName>
    <definedName name="CYEnd" localSheetId="18">IndexInformation!$B$30</definedName>
    <definedName name="dataseries4">OFFSET([3]c1!$G$12,0,0,COUNTA([3]c1!$G$12:$G$31),1)</definedName>
    <definedName name="Date" localSheetId="0">ImportantDisclosures!$A$8</definedName>
    <definedName name="DCF_KSS">{"Client Name or Project Name"}</definedName>
    <definedName name="Deleted" localSheetId="18">IndexInformation!$B$27</definedName>
    <definedName name="Description" localSheetId="18">IndexInformation!$B$7</definedName>
    <definedName name="DEVELOPMENT">5</definedName>
    <definedName name="Discipline" localSheetId="18">IndexInformation!$B$3</definedName>
    <definedName name="DISCIPLINE" localSheetId="19">ModPubIndex!$A$12</definedName>
    <definedName name="DisclosuresText">ImportantDisclosures!$A$22</definedName>
    <definedName name="Distribution" localSheetId="18">IndexInformation!$B$26</definedName>
    <definedName name="DistTable" localSheetId="0">ImportantDisclosures!#REF!</definedName>
    <definedName name="DistTablePreamble" localSheetId="0">ImportantDisclosures!#REF!</definedName>
    <definedName name="Djzh15" xlm="1" functionGroupId="14">0</definedName>
    <definedName name="Djzh16" xlm="1" functionGroupId="14">0</definedName>
    <definedName name="DOCDAT" localSheetId="19">ModPubIndex!$A$2</definedName>
    <definedName name="DOCTIME" localSheetId="19">ModPubIndex!$A$3</definedName>
    <definedName name="DocType" localSheetId="18">IndexInformation!$B$5</definedName>
    <definedName name="Download_series">[4]!Download_series</definedName>
    <definedName name="EMAIL_ALERT" localSheetId="19">ModPubIndex!$A$10</definedName>
    <definedName name="EmailAlert" localSheetId="18">IndexInformation!$B$28</definedName>
    <definedName name="ExpandModel">[5]!ExpandModel</definedName>
    <definedName name="ExpandOutputs">[5]!ExpandOutputs</definedName>
    <definedName name="ExpandVPeriods">[5]!ExpandVPeriods</definedName>
    <definedName name="ExportFile">[5]!ExportFile</definedName>
    <definedName name="ｆ" hidden="1">"iQShowAnnual"</definedName>
    <definedName name="FINCopyDirection">1</definedName>
    <definedName name="FINCriteriaType">1</definedName>
    <definedName name="FiveYearGrowthRate" localSheetId="18">IndexInformation!$B$16</definedName>
    <definedName name="FollowingYearEPS" localSheetId="18">IndexInformation!$B$15</definedName>
    <definedName name="FollowingYearTotalRevenue" localSheetId="18">IndexInformation!$B$14</definedName>
    <definedName name="FollowingYearTotalRevenueActual" localSheetId="18">IndexInformation!$B$34</definedName>
    <definedName name="HL" localSheetId="19">ModPubIndex!$A$8</definedName>
    <definedName name="ImportFile">[5]!ImportFile</definedName>
    <definedName name="IND" localSheetId="19">ModPubIndex!$A$9</definedName>
    <definedName name="Industry" localSheetId="0">ImportantDisclosures!$A$12</definedName>
    <definedName name="IndustryId">IndexInformation!$B$40</definedName>
    <definedName name="IndustryRating" localSheetId="0">ImportantDisclosures!$A$13</definedName>
    <definedName name="IQ_ACCOUNT_CHANGE">"c1449"</definedName>
    <definedName name="IQ_ACCOUNTS_PAY">"c1343"</definedName>
    <definedName name="IQ_ACCR_INT_PAY">"c1"</definedName>
    <definedName name="IQ_ACCR_INT_PAY_CF">"c2"</definedName>
    <definedName name="IQ_ACCR_INT_RECEIV">"c3"</definedName>
    <definedName name="IQ_ACCR_INT_RECEIV_CF">"c4"</definedName>
    <definedName name="IQ_ACCRUED_EXP">"c1341"</definedName>
    <definedName name="IQ_ACCT_RECV_10YR_ANN_GROWTH">"c1924"</definedName>
    <definedName name="IQ_ACCT_RECV_1YR_ANN_GROWTH">"c1919"</definedName>
    <definedName name="IQ_ACCT_RECV_2YR_ANN_GROWTH">"c1920"</definedName>
    <definedName name="IQ_ACCT_RECV_3YR_ANN_GROWTH">"c1921"</definedName>
    <definedName name="IQ_ACCT_RECV_5YR_ANN_GROWTH">"c1922"</definedName>
    <definedName name="IQ_ACCT_RECV_7YR_ANN_GROWTH">"c1923"</definedName>
    <definedName name="IQ_ACCUM_DEP">"c1340"</definedName>
    <definedName name="IQ_ACCUMULATED_PENSION_OBLIGATION">"c2244"</definedName>
    <definedName name="IQ_ACCUMULATED_PENSION_OBLIGATION_DOMESTIC">"c2657"</definedName>
    <definedName name="IQ_ACCUMULATED_PENSION_OBLIGATION_FOREIGN">"c2665"</definedName>
    <definedName name="IQ_ACQ_COST_SUB">"c2125"</definedName>
    <definedName name="IQ_ACQ_COSTS_CAPITALIZED">"c5"</definedName>
    <definedName name="IQ_ACQUIRE_REAL_ESTATE_CF">"c6"</definedName>
    <definedName name="IQ_ACQUISITION_RE_ASSETS">"c1628"</definedName>
    <definedName name="IQ_AD">"c7"</definedName>
    <definedName name="IQ_ADD_PAID_IN">"c1344"</definedName>
    <definedName name="IQ_ADJ_AVG_BANK_ASSETS">"c2671"</definedName>
    <definedName name="IQ_ADMIN_RATIO">"c2784"</definedName>
    <definedName name="IQ_ADVERTISING">"c2246"</definedName>
    <definedName name="IQ_ADVERTISING_MARKETING">"c1566"</definedName>
    <definedName name="IQ_AE">"c8"</definedName>
    <definedName name="IQ_AE_BNK">"c9"</definedName>
    <definedName name="IQ_AE_BR">"c10"</definedName>
    <definedName name="IQ_AE_FIN">"c11"</definedName>
    <definedName name="IQ_AE_INS">"c12"</definedName>
    <definedName name="IQ_AE_REIT">"c13"</definedName>
    <definedName name="IQ_AE_UTI">"c14"</definedName>
    <definedName name="IQ_AH_EARNED">"c2744"</definedName>
    <definedName name="IQ_AH_POLICY_BENEFITS_EXP">"c2789"</definedName>
    <definedName name="IQ_AIR_AIRPLANES_NOT_IN_SERVICE">"c2842"</definedName>
    <definedName name="IQ_AIR_AIRPLANES_SUBLEASED">"c2841"</definedName>
    <definedName name="IQ_AIR_ASK">"c2813"</definedName>
    <definedName name="IQ_AIR_ASK_INCREASE">"c2826"</definedName>
    <definedName name="IQ_AIR_ASM">"c2812"</definedName>
    <definedName name="IQ_AIR_ASM_INCREASE">"c2825"</definedName>
    <definedName name="IQ_AIR_AVG_AGE">"c2843"</definedName>
    <definedName name="IQ_AIR_BREAK_EVEN_FACTOR">"c2822"</definedName>
    <definedName name="IQ_AIR_CAPITAL_LEASE">"c2833"</definedName>
    <definedName name="IQ_AIR_COMPLETION_FACTOR">"c2824"</definedName>
    <definedName name="IQ_AIR_ENPLANED_PSGRS">"c2809"</definedName>
    <definedName name="IQ_AIR_FUEL_CONSUMED">"c2806"</definedName>
    <definedName name="IQ_AIR_FUEL_CONSUMED_L">"c2807"</definedName>
    <definedName name="IQ_AIR_FUEL_COST">"c2803"</definedName>
    <definedName name="IQ_AIR_FUEL_COST_L">"c2804"</definedName>
    <definedName name="IQ_AIR_FUEL_EXP">"c2802"</definedName>
    <definedName name="IQ_AIR_FUEL_EXP_PERCENT">"c2805"</definedName>
    <definedName name="IQ_AIR_LEASED">"c2835"</definedName>
    <definedName name="IQ_AIR_LOAD_FACTOR">"c2823"</definedName>
    <definedName name="IQ_AIR_NEW_AIRPLANES">"c2839"</definedName>
    <definedName name="IQ_AIR_OPER_EXP_ASK">"c2821"</definedName>
    <definedName name="IQ_AIR_OPER_EXP_ASM">"c2820"</definedName>
    <definedName name="IQ_AIR_OPER_LEASE">"c2834"</definedName>
    <definedName name="IQ_AIR_OPER_REV_YIELD_ASK">"c2819"</definedName>
    <definedName name="IQ_AIR_OPER_REV_YIELD_ASM">"c2818"</definedName>
    <definedName name="IQ_AIR_OPTIONS">"c2837"</definedName>
    <definedName name="IQ_AIR_ORDERS">"c2836"</definedName>
    <definedName name="IQ_AIR_OWNED">"c2832"</definedName>
    <definedName name="IQ_AIR_PSGR_REV_YIELD_ASK">"c2817"</definedName>
    <definedName name="IQ_AIR_PSGR_REV_YIELD_ASM">"c2816"</definedName>
    <definedName name="IQ_AIR_PSGR_REV_YIELD_RPK">"c2815"</definedName>
    <definedName name="IQ_AIR_PSGR_REV_YIELD_RPM">"c2814"</definedName>
    <definedName name="IQ_AIR_PURCHASE_RIGHTS">"c2838"</definedName>
    <definedName name="IQ_AIR_RETIRED_AIRPLANES">"c2840"</definedName>
    <definedName name="IQ_AIR_REV_PSGRS_CARRIED">"c2808"</definedName>
    <definedName name="IQ_AIR_REV_SCHEDULED_SERVICE">"c2830"</definedName>
    <definedName name="IQ_AIR_RPK">"c2811"</definedName>
    <definedName name="IQ_AIR_RPM">"c2810"</definedName>
    <definedName name="IQ_AIR_STAGE_LENGTH">"c2828"</definedName>
    <definedName name="IQ_AIR_STAGE_LENGTH_KM">"c2829"</definedName>
    <definedName name="IQ_AIR_TOTAL">"c2831"</definedName>
    <definedName name="IQ_AIR_UTILIZATION">"c2827"</definedName>
    <definedName name="IQ_ALLOW_BORROW_CONST">"c15"</definedName>
    <definedName name="IQ_ALLOW_CONST">"c1342"</definedName>
    <definedName name="IQ_ALLOW_DOUBT_ACCT">"c2092"</definedName>
    <definedName name="IQ_ALLOW_EQUITY_CONST">"c16"</definedName>
    <definedName name="IQ_ALLOW_LL">"c17"</definedName>
    <definedName name="IQ_ALLOWANCE_10YR_ANN_GROWTH">"c18"</definedName>
    <definedName name="IQ_ALLOWANCE_1YR_ANN_GROWTH">"c19"</definedName>
    <definedName name="IQ_ALLOWANCE_2YR_ANN_GROWTH">"c20"</definedName>
    <definedName name="IQ_ALLOWANCE_3YR_ANN_GROWTH">"c21"</definedName>
    <definedName name="IQ_ALLOWANCE_5YR_ANN_GROWTH">"c22"</definedName>
    <definedName name="IQ_ALLOWANCE_7YR_ANN_GROWTH">"c23"</definedName>
    <definedName name="IQ_ALLOWANCE_CHARGE_OFFS">"c24"</definedName>
    <definedName name="IQ_ALLOWANCE_NON_PERF_LOANS">"c25"</definedName>
    <definedName name="IQ_ALLOWANCE_TOTAL_LOANS">"c26"</definedName>
    <definedName name="IQ_AMORTIZATION">"c1591"</definedName>
    <definedName name="IQ_AMT_OUT">"c2145"</definedName>
    <definedName name="IQ_ANNU_DISTRIBUTION_UNIT">"c3004"</definedName>
    <definedName name="IQ_ANNUALIZED_DIVIDEND">"c1579"</definedName>
    <definedName name="IQ_ANNUITY_LIAB">"c27"</definedName>
    <definedName name="IQ_ANNUITY_PAY">"c28"</definedName>
    <definedName name="IQ_ANNUITY_POLICY_EXP">"c29"</definedName>
    <definedName name="IQ_ANNUITY_REC">"c30"</definedName>
    <definedName name="IQ_ANNUITY_REV">"c31"</definedName>
    <definedName name="IQ_AP">"c32"</definedName>
    <definedName name="IQ_AP_BNK">"c33"</definedName>
    <definedName name="IQ_AP_BR">"c34"</definedName>
    <definedName name="IQ_AP_FIN">"c35"</definedName>
    <definedName name="IQ_AP_INS">"c36"</definedName>
    <definedName name="IQ_AP_REIT">"c37"</definedName>
    <definedName name="IQ_AP_UTI">"c38"</definedName>
    <definedName name="IQ_APIC">"c39"</definedName>
    <definedName name="IQ_AR">"c40"</definedName>
    <definedName name="IQ_AR_BR">"c41"</definedName>
    <definedName name="IQ_AR_LT">"c42"</definedName>
    <definedName name="IQ_AR_REIT">"c43"</definedName>
    <definedName name="IQ_AR_TURNS">"c44"</definedName>
    <definedName name="IQ_AR_UTI">"c45"</definedName>
    <definedName name="IQ_ARPU">"c2126"</definedName>
    <definedName name="IQ_ASSET_MGMT_FEE">"c46"</definedName>
    <definedName name="IQ_ASSET_TURNS">"c47"</definedName>
    <definedName name="IQ_ASSET_WRITEDOWN">"c48"</definedName>
    <definedName name="IQ_ASSET_WRITEDOWN_BNK">"c49"</definedName>
    <definedName name="IQ_ASSET_WRITEDOWN_BR">"c50"</definedName>
    <definedName name="IQ_ASSET_WRITEDOWN_CF">"c51"</definedName>
    <definedName name="IQ_ASSET_WRITEDOWN_CF_BNK">"c52"</definedName>
    <definedName name="IQ_ASSET_WRITEDOWN_CF_BR">"c53"</definedName>
    <definedName name="IQ_ASSET_WRITEDOWN_CF_FIN">"c54"</definedName>
    <definedName name="IQ_ASSET_WRITEDOWN_CF_INS">"c55"</definedName>
    <definedName name="IQ_ASSET_WRITEDOWN_CF_REIT">"c56"</definedName>
    <definedName name="IQ_ASSET_WRITEDOWN_CF_UTI">"c57"</definedName>
    <definedName name="IQ_ASSET_WRITEDOWN_FIN">"c58"</definedName>
    <definedName name="IQ_ASSET_WRITEDOWN_INS">"c59"</definedName>
    <definedName name="IQ_ASSET_WRITEDOWN_REIT">"c60"</definedName>
    <definedName name="IQ_ASSET_WRITEDOWN_UTI">"c61"</definedName>
    <definedName name="IQ_ASSETS_CAP_LEASE_DEPR">"c2068"</definedName>
    <definedName name="IQ_ASSETS_CAP_LEASE_GROSS">"c2069"</definedName>
    <definedName name="IQ_ASSETS_OPER_LEASE_DEPR">"c2070"</definedName>
    <definedName name="IQ_ASSETS_OPER_LEASE_GROSS">"c2071"</definedName>
    <definedName name="IQ_ASSUMED_AH_EARNED">"c2741"</definedName>
    <definedName name="IQ_ASSUMED_EARNED">"c2731"</definedName>
    <definedName name="IQ_ASSUMED_LIFE_EARNED">"c2736"</definedName>
    <definedName name="IQ_ASSUMED_LIFE_IN_FORCE">"c2766"</definedName>
    <definedName name="IQ_ASSUMED_PC_EARNED">"c2746"</definedName>
    <definedName name="IQ_ASSUMED_WRITTEN">"c2725"</definedName>
    <definedName name="IQ_AUDITOR_NAME">"c1539"</definedName>
    <definedName name="IQ_AUDITOR_OPINION">"c1540"</definedName>
    <definedName name="IQ_AUTO_WRITTEN">"c62"</definedName>
    <definedName name="IQ_AVG_BANK_ASSETS">"c2072"</definedName>
    <definedName name="IQ_AVG_BANK_LOANS">"c2073"</definedName>
    <definedName name="IQ_AVG_BROKER_REC">"c63"</definedName>
    <definedName name="IQ_AVG_BROKER_REC_NO">"c64"</definedName>
    <definedName name="IQ_AVG_BROKER_REC_NO_REUT">"c5315"</definedName>
    <definedName name="IQ_AVG_BROKER_REC_REUT">"c3630"</definedName>
    <definedName name="IQ_AVG_DAILY_VOL">"c65"</definedName>
    <definedName name="IQ_AVG_INDUSTRY_REC">"c4455"</definedName>
    <definedName name="IQ_AVG_INT_BEAR_LIAB">"c66"</definedName>
    <definedName name="IQ_AVG_INT_BEAR_LIAB_10YR_ANN_GROWTH">"c67"</definedName>
    <definedName name="IQ_AVG_INT_BEAR_LIAB_1YR_ANN_GROWTH">"c68"</definedName>
    <definedName name="IQ_AVG_INT_BEAR_LIAB_2YR_ANN_GROWTH">"c69"</definedName>
    <definedName name="IQ_AVG_INT_BEAR_LIAB_3YR_ANN_GROWTH">"c70"</definedName>
    <definedName name="IQ_AVG_INT_BEAR_LIAB_5YR_ANN_GROWTH">"c71"</definedName>
    <definedName name="IQ_AVG_INT_BEAR_LIAB_7YR_ANN_GROWTH">"c72"</definedName>
    <definedName name="IQ_AVG_INT_EARN_ASSETS">"c73"</definedName>
    <definedName name="IQ_AVG_INT_EARN_ASSETS_10YR_ANN_GROWTH">"c74"</definedName>
    <definedName name="IQ_AVG_INT_EARN_ASSETS_1YR_ANN_GROWTH">"c75"</definedName>
    <definedName name="IQ_AVG_INT_EARN_ASSETS_2YR_ANN_GROWTH">"c76"</definedName>
    <definedName name="IQ_AVG_INT_EARN_ASSETS_3YR_ANN_GROWTH">"c77"</definedName>
    <definedName name="IQ_AVG_INT_EARN_ASSETS_5YR_ANN_GROWTH">"c78"</definedName>
    <definedName name="IQ_AVG_INT_EARN_ASSETS_7YR_ANN_GROWTH">"c79"</definedName>
    <definedName name="IQ_AVG_MKTCAP">"c80"</definedName>
    <definedName name="IQ_AVG_PRICE">"c81"</definedName>
    <definedName name="IQ_AVG_SHAREOUTSTANDING">"c83"</definedName>
    <definedName name="IQ_AVG_TEV">"c84"</definedName>
    <definedName name="IQ_AVG_VOLUME">"c1346"</definedName>
    <definedName name="IQ_BANK_DEBT">"c2544"</definedName>
    <definedName name="IQ_BANK_DEBT_PCT">"c2545"</definedName>
    <definedName name="IQ_BASIC_EPS_EXCL">"c85"</definedName>
    <definedName name="IQ_BASIC_EPS_INCL">"c86"</definedName>
    <definedName name="IQ_BASIC_NORMAL_EPS">"c1592"</definedName>
    <definedName name="IQ_BASIC_WEIGHT">"c87"</definedName>
    <definedName name="IQ_BENCHMARK_SECURITY">"c2154"</definedName>
    <definedName name="IQ_BENCHMARK_SPRD">"c2153"</definedName>
    <definedName name="IQ_BETA">"c2133"</definedName>
    <definedName name="IQ_BETA_1YR">"c1966"</definedName>
    <definedName name="IQ_BETA_1YR_RSQ">"c2132"</definedName>
    <definedName name="IQ_BETA_2YR">"c1965"</definedName>
    <definedName name="IQ_BETA_2YR_RSQ">"c2131"</definedName>
    <definedName name="IQ_BETA_5YR">"c88"</definedName>
    <definedName name="IQ_BETA_5YR_RSQ">"c2130"</definedName>
    <definedName name="IQ_BIG_INT_BEAR_CD">"c89"</definedName>
    <definedName name="IQ_BOARD_MEMBER">"c96"</definedName>
    <definedName name="IQ_BOARD_MEMBER_BACKGROUND">"c2101"</definedName>
    <definedName name="IQ_BOARD_MEMBER_TITLE">"c97"</definedName>
    <definedName name="IQ_BOND_COUPON">"c2183"</definedName>
    <definedName name="IQ_BOND_COUPON_TYPE">"c2184"</definedName>
    <definedName name="IQ_BOND_PRICE">"c2162"</definedName>
    <definedName name="IQ_BROK_COMISSION">"c98"</definedName>
    <definedName name="IQ_BROK_COMMISSION">"c3514"</definedName>
    <definedName name="IQ_BUILDINGS">"c99"</definedName>
    <definedName name="IQ_BUS_SEG_ASSETS">"c4067"</definedName>
    <definedName name="IQ_BUS_SEG_ASSETS_ABS">"c4089"</definedName>
    <definedName name="IQ_BUS_SEG_ASSETS_TOTAL">"c4112"</definedName>
    <definedName name="IQ_BUS_SEG_CAPEX">"c4079"</definedName>
    <definedName name="IQ_BUS_SEG_CAPEX_ABS">"c4101"</definedName>
    <definedName name="IQ_BUS_SEG_CAPEX_TOTAL">"c4116"</definedName>
    <definedName name="IQ_BUS_SEG_DA">"c4078"</definedName>
    <definedName name="IQ_BUS_SEG_DA_ABS">"c4100"</definedName>
    <definedName name="IQ_BUS_SEG_DA_TOTAL">"c4115"</definedName>
    <definedName name="IQ_BUS_SEG_EARNINGS_OP">"c4063"</definedName>
    <definedName name="IQ_BUS_SEG_EARNINGS_OP_ABS">"c4085"</definedName>
    <definedName name="IQ_BUS_SEG_EARNINGS_OP_TOTAL">"c4108"</definedName>
    <definedName name="IQ_BUS_SEG_EBT">"c4064"</definedName>
    <definedName name="IQ_BUS_SEG_EBT_ABS">"c4086"</definedName>
    <definedName name="IQ_BUS_SEG_EBT_TOTAL">"c4110"</definedName>
    <definedName name="IQ_BUS_SEG_GP">"c4066"</definedName>
    <definedName name="IQ_BUS_SEG_GP_ABS">"c4088"</definedName>
    <definedName name="IQ_BUS_SEG_GP_TOTAL">"c4109"</definedName>
    <definedName name="IQ_BUS_SEG_INC_TAX">"c4077"</definedName>
    <definedName name="IQ_BUS_SEG_INC_TAX_ABS">"c4099"</definedName>
    <definedName name="IQ_BUS_SEG_INC_TAX_TOTAL">"c4114"</definedName>
    <definedName name="IQ_BUS_SEG_INTEREST_EXP">"c4076"</definedName>
    <definedName name="IQ_BUS_SEG_INTEREST_EXP_ABS">"c4098"</definedName>
    <definedName name="IQ_BUS_SEG_INTEREST_EXP_TOTAL">"c4113"</definedName>
    <definedName name="IQ_BUS_SEG_NAME">"c5482"</definedName>
    <definedName name="IQ_BUS_SEG_NAME_ABS">"c5483"</definedName>
    <definedName name="IQ_BUS_SEG_NI">"c4065"</definedName>
    <definedName name="IQ_BUS_SEG_NI_ABS">"c4087"</definedName>
    <definedName name="IQ_BUS_SEG_NI_TOTAL">"c4111"</definedName>
    <definedName name="IQ_BUS_SEG_OPER_INC">"c4062"</definedName>
    <definedName name="IQ_BUS_SEG_OPER_INC_ABS">"c4084"</definedName>
    <definedName name="IQ_BUS_SEG_OPER_INC_TOTAL">"c4107"</definedName>
    <definedName name="IQ_BUS_SEG_REV">"c4068"</definedName>
    <definedName name="IQ_BUS_SEG_REV_ABS">"c4090"</definedName>
    <definedName name="IQ_BUS_SEG_REV_TOTAL">"c4106"</definedName>
    <definedName name="IQ_BUSINESS_DESCRIPTION">"c322"</definedName>
    <definedName name="IQ_BV_OVER_SHARES">"c1349"</definedName>
    <definedName name="IQ_BV_SHARE">"c100"</definedName>
    <definedName name="IQ_CABLE_ARPU">"c2869"</definedName>
    <definedName name="IQ_CABLE_ARPU_ANALOG">"c2864"</definedName>
    <definedName name="IQ_CABLE_ARPU_BASIC">"c2866"</definedName>
    <definedName name="IQ_CABLE_ARPU_BBAND">"c2867"</definedName>
    <definedName name="IQ_CABLE_ARPU_DIG">"c2865"</definedName>
    <definedName name="IQ_CABLE_ARPU_PHONE">"c2868"</definedName>
    <definedName name="IQ_CABLE_BASIC_PENETRATION">"c2850"</definedName>
    <definedName name="IQ_CABLE_BBAND_PENETRATION">"c2852"</definedName>
    <definedName name="IQ_CABLE_BBAND_PENETRATION_THP">"c2851"</definedName>
    <definedName name="IQ_CABLE_CHURN">"c2874"</definedName>
    <definedName name="IQ_CABLE_CHURN_BASIC">"c2871"</definedName>
    <definedName name="IQ_CABLE_CHURN_BBAND">"c2872"</definedName>
    <definedName name="IQ_CABLE_CHURN_DIG">"c2870"</definedName>
    <definedName name="IQ_CABLE_CHURN_PHONE">"c2873"</definedName>
    <definedName name="IQ_CABLE_HOMES_PER_MILE">"c2849"</definedName>
    <definedName name="IQ_CABLE_HP_BBAND">"c2845"</definedName>
    <definedName name="IQ_CABLE_HP_DIG">"c2844"</definedName>
    <definedName name="IQ_CABLE_HP_PHONE">"c2846"</definedName>
    <definedName name="IQ_CABLE_MILES_PASSED">"c2848"</definedName>
    <definedName name="IQ_CABLE_OTHER_REV">"c2882"</definedName>
    <definedName name="IQ_CABLE_PHONE_PENETRATION">"c2853"</definedName>
    <definedName name="IQ_CABLE_PROGRAMMING_COSTS">"c2884"</definedName>
    <definedName name="IQ_CABLE_REV_ADVERT">"c2880"</definedName>
    <definedName name="IQ_CABLE_REV_ANALOG">"c2875"</definedName>
    <definedName name="IQ_CABLE_REV_BASIC">"c2877"</definedName>
    <definedName name="IQ_CABLE_REV_BBAND">"c2878"</definedName>
    <definedName name="IQ_CABLE_REV_COMMERCIAL">"c2881"</definedName>
    <definedName name="IQ_CABLE_REV_DIG">"c2876"</definedName>
    <definedName name="IQ_CABLE_REV_PHONE">"c2879"</definedName>
    <definedName name="IQ_CABLE_RGU">"c2863"</definedName>
    <definedName name="IQ_CABLE_SUBS_ANALOG">"c2855"</definedName>
    <definedName name="IQ_CABLE_SUBS_BASIC">"c2857"</definedName>
    <definedName name="IQ_CABLE_SUBS_BBAND">"c2858"</definedName>
    <definedName name="IQ_CABLE_SUBS_BUNDLED">"c2861"</definedName>
    <definedName name="IQ_CABLE_SUBS_DIG">"c2856"</definedName>
    <definedName name="IQ_CABLE_SUBS_NON_VIDEO">"c2860"</definedName>
    <definedName name="IQ_CABLE_SUBS_PHONE">"c2859"</definedName>
    <definedName name="IQ_CABLE_SUBS_TOTAL">"c2862"</definedName>
    <definedName name="IQ_CABLE_THP">"c2847"</definedName>
    <definedName name="IQ_CABLE_TOTAL_PENETRATION">"c2854"</definedName>
    <definedName name="IQ_CABLE_TOTAL_REV">"c2883"</definedName>
    <definedName name="IQ_CAL_Q">"c101"</definedName>
    <definedName name="IQ_CAL_Y">"c102"</definedName>
    <definedName name="IQ_CALC_TYPE_BS">"c3086"</definedName>
    <definedName name="IQ_CALC_TYPE_CF">"c3085"</definedName>
    <definedName name="IQ_CALC_TYPE_IS">"c3084"</definedName>
    <definedName name="IQ_CALL_DATE_SCHEDULE">"c2481"</definedName>
    <definedName name="IQ_CALL_FEATURE">"c2197"</definedName>
    <definedName name="IQ_CALL_PRICE_SCHEDULE">"c2482"</definedName>
    <definedName name="IQ_CALLABLE">"c2196"</definedName>
    <definedName name="IQ_CAP_LOSS_CF_1YR">"c3474"</definedName>
    <definedName name="IQ_CAP_LOSS_CF_2YR">"c3475"</definedName>
    <definedName name="IQ_CAP_LOSS_CF_3YR">"c3476"</definedName>
    <definedName name="IQ_CAP_LOSS_CF_4YR">"c3477"</definedName>
    <definedName name="IQ_CAP_LOSS_CF_5YR">"c3478"</definedName>
    <definedName name="IQ_CAP_LOSS_CF_AFTER_FIVE">"c3479"</definedName>
    <definedName name="IQ_CAP_LOSS_CF_MAX_YEAR">"c3482"</definedName>
    <definedName name="IQ_CAP_LOSS_CF_NO_EXP">"c3480"</definedName>
    <definedName name="IQ_CAP_LOSS_CF_TOTAL">"c3481"</definedName>
    <definedName name="IQ_CAPEX">"c103"</definedName>
    <definedName name="IQ_CAPEX_10YR_ANN_GROWTH">"c104"</definedName>
    <definedName name="IQ_CAPEX_1YR_ANN_GROWTH">"c105"</definedName>
    <definedName name="IQ_CAPEX_2YR_ANN_GROWTH">"c106"</definedName>
    <definedName name="IQ_CAPEX_3YR_ANN_GROWTH">"c107"</definedName>
    <definedName name="IQ_CAPEX_5YR_ANN_GROWTH">"c108"</definedName>
    <definedName name="IQ_CAPEX_7YR_ANN_GROWTH">"c109"</definedName>
    <definedName name="IQ_CAPEX_BNK">"c110"</definedName>
    <definedName name="IQ_CAPEX_BR">"c111"</definedName>
    <definedName name="IQ_CAPEX_FIN">"c112"</definedName>
    <definedName name="IQ_CAPEX_INS">"c113"</definedName>
    <definedName name="IQ_CAPEX_UTI">"c114"</definedName>
    <definedName name="IQ_CAPITAL_LEASE">"c1350"</definedName>
    <definedName name="IQ_CAPITAL_LEASES">"c115"</definedName>
    <definedName name="IQ_CAPITAL_LEASES_TOTAL">"c3031"</definedName>
    <definedName name="IQ_CAPITAL_LEASES_TOTAL_PCT">"c2506"</definedName>
    <definedName name="IQ_CAPITALIZED_INTEREST" localSheetId="1">"c3460"</definedName>
    <definedName name="IQ_CAPITALIZED_INTEREST">"c3460"</definedName>
    <definedName name="IQ_CAPITALIZED_INTEREST_BOP">"c3459"</definedName>
    <definedName name="IQ_CAPITALIZED_INTEREST_EOP">"c3464"</definedName>
    <definedName name="IQ_CAPITALIZED_INTEREST_EXP">"c3461"</definedName>
    <definedName name="IQ_CAPITALIZED_INTEREST_OTHER_ADJ">"c3463"</definedName>
    <definedName name="IQ_CAPITALIZED_INTEREST_WRITE_OFF">"c3462"</definedName>
    <definedName name="IQ_CASH">"c1458"</definedName>
    <definedName name="IQ_CASH_ACQUIRE_CF">"c116"</definedName>
    <definedName name="IQ_CASH_CONVERSION">"c117"</definedName>
    <definedName name="IQ_CASH_DUE_BANKS">"c1351"</definedName>
    <definedName name="IQ_CASH_EQUIV">"c118"</definedName>
    <definedName name="IQ_CASH_FINAN">"c119"</definedName>
    <definedName name="IQ_CASH_FLOW_ACT_OR_EST">"c4154"</definedName>
    <definedName name="IQ_CASH_INTEREST">"c120"</definedName>
    <definedName name="IQ_CASH_INVEST">"c121"</definedName>
    <definedName name="IQ_CASH_OPER">"c122"</definedName>
    <definedName name="IQ_CASH_OPER_ACT_OR_EST">"c4164"</definedName>
    <definedName name="IQ_CASH_SEGREG">"c123"</definedName>
    <definedName name="IQ_CASH_SHARE">"c1911"</definedName>
    <definedName name="IQ_CASH_ST">"c1355"</definedName>
    <definedName name="IQ_CASH_ST_INVEST">"c124"</definedName>
    <definedName name="IQ_CASH_TAXES">"c125"</definedName>
    <definedName name="IQ_CEDED_AH_EARNED">"c2743"</definedName>
    <definedName name="IQ_CEDED_CLAIM_EXP_INCUR">"c2756"</definedName>
    <definedName name="IQ_CEDED_CLAIM_EXP_PAID">"c2759"</definedName>
    <definedName name="IQ_CEDED_CLAIM_EXP_RES">"c2753"</definedName>
    <definedName name="IQ_CEDED_EARNED">"c2733"</definedName>
    <definedName name="IQ_CEDED_LIFE_EARNED">"c2738"</definedName>
    <definedName name="IQ_CEDED_LIFE_IN_FORCE">"c2768"</definedName>
    <definedName name="IQ_CEDED_PC_EARNED">"c2748"</definedName>
    <definedName name="IQ_CEDED_WRITTEN">"c2727"</definedName>
    <definedName name="IQ_CFO_10YR_ANN_GROWTH">"c126"</definedName>
    <definedName name="IQ_CFO_1YR_ANN_GROWTH">"c127"</definedName>
    <definedName name="IQ_CFO_2YR_ANN_GROWTH">"c128"</definedName>
    <definedName name="IQ_CFO_3YR_ANN_GROWTH">"c129"</definedName>
    <definedName name="IQ_CFO_5YR_ANN_GROWTH">"c130"</definedName>
    <definedName name="IQ_CFO_7YR_ANN_GROWTH">"c131"</definedName>
    <definedName name="IQ_CFO_CURRENT_LIAB">"c132"</definedName>
    <definedName name="IQ_CHANGE_AP">"c133"</definedName>
    <definedName name="IQ_CHANGE_AP_BNK">"c134"</definedName>
    <definedName name="IQ_CHANGE_AP_BR">"c135"</definedName>
    <definedName name="IQ_CHANGE_AP_FIN">"c136"</definedName>
    <definedName name="IQ_CHANGE_AP_INS">"c137"</definedName>
    <definedName name="IQ_CHANGE_AP_REIT">"c138"</definedName>
    <definedName name="IQ_CHANGE_AP_UTI">"c139"</definedName>
    <definedName name="IQ_CHANGE_AR">"c140"</definedName>
    <definedName name="IQ_CHANGE_AR_BNK">"c141"</definedName>
    <definedName name="IQ_CHANGE_AR_BR">"c142"</definedName>
    <definedName name="IQ_CHANGE_AR_FIN">"c143"</definedName>
    <definedName name="IQ_CHANGE_AR_INS">"c144"</definedName>
    <definedName name="IQ_CHANGE_AR_REIT">"c145"</definedName>
    <definedName name="IQ_CHANGE_AR_UTI">"c146"</definedName>
    <definedName name="IQ_CHANGE_DEF_TAX">"c147"</definedName>
    <definedName name="IQ_CHANGE_DEPOSIT_ACCT">"c148"</definedName>
    <definedName name="IQ_CHANGE_INC_TAX">"c149"</definedName>
    <definedName name="IQ_CHANGE_INS_RES_LIAB">"c150"</definedName>
    <definedName name="IQ_CHANGE_INVENTORY">"c151"</definedName>
    <definedName name="IQ_CHANGE_NET_OPER_ASSETS">"c3592"</definedName>
    <definedName name="IQ_CHANGE_NET_WORKING_CAPITAL">"c1909"</definedName>
    <definedName name="IQ_CHANGE_OTHER_NET_OPER_ASSETS">"c3593"</definedName>
    <definedName name="IQ_CHANGE_OTHER_NET_OPER_ASSETS_BNK">"c3594"</definedName>
    <definedName name="IQ_CHANGE_OTHER_NET_OPER_ASSETS_BR">"c3595"</definedName>
    <definedName name="IQ_CHANGE_OTHER_NET_OPER_ASSETS_FIN">"c3596"</definedName>
    <definedName name="IQ_CHANGE_OTHER_NET_OPER_ASSETS_INS">"c3597"</definedName>
    <definedName name="IQ_CHANGE_OTHER_NET_OPER_ASSETS_REIT">"c3598"</definedName>
    <definedName name="IQ_CHANGE_OTHER_NET_OPER_ASSETS_UTI">"c3599"</definedName>
    <definedName name="IQ_CHANGE_OTHER_WORK_CAP">"c152"</definedName>
    <definedName name="IQ_CHANGE_OTHER_WORK_CAP_BNK">"c153"</definedName>
    <definedName name="IQ_CHANGE_OTHER_WORK_CAP_BR">"c154"</definedName>
    <definedName name="IQ_CHANGE_OTHER_WORK_CAP_FIN">"c155"</definedName>
    <definedName name="IQ_CHANGE_OTHER_WORK_CAP_INS">"c156"</definedName>
    <definedName name="IQ_CHANGE_OTHER_WORK_CAP_REIT">"c157"</definedName>
    <definedName name="IQ_CHANGE_OTHER_WORK_CAP_UTI">"c158"</definedName>
    <definedName name="IQ_CHANGE_TRADING_ASSETS">"c159"</definedName>
    <definedName name="IQ_CHANGE_UNEARN_REV">"c160"</definedName>
    <definedName name="IQ_CHANGE_WORK_CAP">"c161"</definedName>
    <definedName name="IQ_CHANGES_WORK_CAP">"c1357"</definedName>
    <definedName name="IQ_CHARGE_OFFS_GROSS">"c162"</definedName>
    <definedName name="IQ_CHARGE_OFFS_NET">"c163"</definedName>
    <definedName name="IQ_CHARGE_OFFS_RECOVERED">"c164"</definedName>
    <definedName name="IQ_CHARGE_OFFS_TOTAL_AVG_LOANS">"c165"</definedName>
    <definedName name="IQ_CITY">"c166"</definedName>
    <definedName name="IQ_CL_DUE_AFTER_FIVE">"c167"</definedName>
    <definedName name="IQ_CL_DUE_CY">"c168"</definedName>
    <definedName name="IQ_CL_DUE_CY1">"c169"</definedName>
    <definedName name="IQ_CL_DUE_CY2">"c170"</definedName>
    <definedName name="IQ_CL_DUE_CY3">"c171"</definedName>
    <definedName name="IQ_CL_DUE_CY4">"c172"</definedName>
    <definedName name="IQ_CL_DUE_NEXT_FIVE">"c173"</definedName>
    <definedName name="IQ_CL_OBLIGATION_IMMEDIATE">"c2253"</definedName>
    <definedName name="IQ_CLASSA_OPTIONS_BEG_OS">"c2679"</definedName>
    <definedName name="IQ_CLASSA_OPTIONS_CANCELLED">"c2682"</definedName>
    <definedName name="IQ_CLASSA_OPTIONS_END_OS">"c2683"</definedName>
    <definedName name="IQ_CLASSA_OPTIONS_EXERCISED">"c2681"</definedName>
    <definedName name="IQ_CLASSA_OPTIONS_GRANTED">"c2680"</definedName>
    <definedName name="IQ_CLASSA_OPTIONS_STRIKE_PRICE_OS">"c2684"</definedName>
    <definedName name="IQ_CLASSA_OUTSTANDING_BS_DATE">"c1971"</definedName>
    <definedName name="IQ_CLASSA_OUTSTANDING_FILING_DATE">"c1973"</definedName>
    <definedName name="IQ_CLASSA_STRIKE_PRICE_GRANTED">"c2685"</definedName>
    <definedName name="IQ_CLASSA_WARRANTS_BEG_OS">"c2705"</definedName>
    <definedName name="IQ_CLASSA_WARRANTS_CANCELLED">"c2708"</definedName>
    <definedName name="IQ_CLASSA_WARRANTS_END_OS">"c2709"</definedName>
    <definedName name="IQ_CLASSA_WARRANTS_EXERCISED">"c2707"</definedName>
    <definedName name="IQ_CLASSA_WARRANTS_ISSUED">"c2706"</definedName>
    <definedName name="IQ_CLASSA_WARRANTS_STRIKE_PRICE_ISSUED">"c2711"</definedName>
    <definedName name="IQ_CLASSA_WARRANTS_STRIKE_PRICE_OS">"c2710"</definedName>
    <definedName name="IQ_CLOSEPRICE">"c174"</definedName>
    <definedName name="IQ_CLOSEPRICE_ADJ">"c2115"</definedName>
    <definedName name="IQ_COGS">"c175"</definedName>
    <definedName name="IQ_COMBINED_RATIO">"c176"</definedName>
    <definedName name="IQ_COMMERCIAL_DOM">"c177"</definedName>
    <definedName name="IQ_COMMERCIAL_FIRE_WRITTEN">"c178"</definedName>
    <definedName name="IQ_COMMERCIAL_MORT">"c179"</definedName>
    <definedName name="IQ_COMMISS_FEES">"c180"</definedName>
    <definedName name="IQ_COMMISSION_DEF">"c181"</definedName>
    <definedName name="IQ_COMMON">"c182"</definedName>
    <definedName name="IQ_COMMON_APIC">"c183"</definedName>
    <definedName name="IQ_COMMON_APIC_BNK">"c184"</definedName>
    <definedName name="IQ_COMMON_APIC_BR">"c185"</definedName>
    <definedName name="IQ_COMMON_APIC_FIN">"c186"</definedName>
    <definedName name="IQ_COMMON_APIC_INS">"c187"</definedName>
    <definedName name="IQ_COMMON_APIC_REIT">"c188"</definedName>
    <definedName name="IQ_COMMON_APIC_UTI">"c189"</definedName>
    <definedName name="IQ_COMMON_DIV">"c3006"</definedName>
    <definedName name="IQ_COMMON_DIV_CF">"c190"</definedName>
    <definedName name="IQ_COMMON_EQUITY_10YR_ANN_GROWTH">"c191"</definedName>
    <definedName name="IQ_COMMON_EQUITY_1YR_ANN_GROWTH">"c192"</definedName>
    <definedName name="IQ_COMMON_EQUITY_2YR_ANN_GROWTH">"c193"</definedName>
    <definedName name="IQ_COMMON_EQUITY_3YR_ANN_GROWTH">"c194"</definedName>
    <definedName name="IQ_COMMON_EQUITY_5YR_ANN_GROWTH">"c195"</definedName>
    <definedName name="IQ_COMMON_EQUITY_7YR_ANN_GROWTH">"c196"</definedName>
    <definedName name="IQ_COMMON_ISSUED">"c197"</definedName>
    <definedName name="IQ_COMMON_ISSUED_BNK">"c198"</definedName>
    <definedName name="IQ_COMMON_ISSUED_BR">"c199"</definedName>
    <definedName name="IQ_COMMON_ISSUED_FIN">"c200"</definedName>
    <definedName name="IQ_COMMON_ISSUED_INS">"c201"</definedName>
    <definedName name="IQ_COMMON_ISSUED_REIT">"c202"</definedName>
    <definedName name="IQ_COMMON_ISSUED_UTI">"c203"</definedName>
    <definedName name="IQ_COMMON_PER_ADR">"c204"</definedName>
    <definedName name="IQ_COMMON_PREF_DIV_CF">"c205"</definedName>
    <definedName name="IQ_COMMON_REP">"c206"</definedName>
    <definedName name="IQ_COMMON_REP_BNK">"c207"</definedName>
    <definedName name="IQ_COMMON_REP_BR">"c208"</definedName>
    <definedName name="IQ_COMMON_REP_FIN">"c209"</definedName>
    <definedName name="IQ_COMMON_REP_INS">"c210"</definedName>
    <definedName name="IQ_COMMON_REP_REIT">"c211"</definedName>
    <definedName name="IQ_COMMON_REP_UTI">"c212"</definedName>
    <definedName name="IQ_COMMON_STOCK">"c1358"</definedName>
    <definedName name="IQ_COMP_BENEFITS">"c213"</definedName>
    <definedName name="IQ_COMPANY_ADDRESS">"c214"</definedName>
    <definedName name="IQ_COMPANY_ID">"c3513"</definedName>
    <definedName name="IQ_COMPANY_NAME">"c215"</definedName>
    <definedName name="IQ_COMPANY_NAME_LONG">"c1585"</definedName>
    <definedName name="IQ_COMPANY_PHONE">"c216"</definedName>
    <definedName name="IQ_COMPANY_STATUS">"c2097"</definedName>
    <definedName name="IQ_COMPANY_STREET1">"c217"</definedName>
    <definedName name="IQ_COMPANY_STREET2">"c218"</definedName>
    <definedName name="IQ_COMPANY_TICKER">"c219"</definedName>
    <definedName name="IQ_COMPANY_TYPE">"c2096"</definedName>
    <definedName name="IQ_COMPANY_WEBSITE">"c220"</definedName>
    <definedName name="IQ_COMPANY_ZIP">"c221"</definedName>
    <definedName name="IQ_CONSTRUCTION_LOANS">"c222"</definedName>
    <definedName name="IQ_CONSUMER_LOANS">"c223"</definedName>
    <definedName name="IQ_CONV_DATE">"c2191"</definedName>
    <definedName name="IQ_CONV_EXP_DATE">"c3043"</definedName>
    <definedName name="IQ_CONV_PREMIUM">"c2195"</definedName>
    <definedName name="IQ_CONV_PRICE">"c2193"</definedName>
    <definedName name="IQ_CONV_RATE">"c2192"</definedName>
    <definedName name="IQ_CONV_RATIO">"c2192"</definedName>
    <definedName name="IQ_CONV_SECURITY">"c2189"</definedName>
    <definedName name="IQ_CONV_SECURITY_ISSUER">"c2190"</definedName>
    <definedName name="IQ_CONV_SECURITY_PRICE">"c2194"</definedName>
    <definedName name="IQ_CONVERT">"c2536"</definedName>
    <definedName name="IQ_CONVERT_PCT">"c2537"</definedName>
    <definedName name="IQ_CONVEXITY">"c2182"</definedName>
    <definedName name="IQ_COST_BORROWING">"c2936"</definedName>
    <definedName name="IQ_COST_BORROWINGS">"c225"</definedName>
    <definedName name="IQ_COST_REV">"c226"</definedName>
    <definedName name="IQ_COST_REVENUE">"c1359"</definedName>
    <definedName name="IQ_COST_SAVINGS">"c227"</definedName>
    <definedName name="IQ_COST_SERVICE">"c228"</definedName>
    <definedName name="IQ_COST_TOTAL_BORROWINGS">"c229"</definedName>
    <definedName name="IQ_COUNTRY_NAME">"c230"</definedName>
    <definedName name="IQ_COVERED_POPS">"c2124"</definedName>
    <definedName name="IQ_CP">"c2495"</definedName>
    <definedName name="IQ_CP_PCT">"c2496"</definedName>
    <definedName name="IQ_CQ">5000</definedName>
    <definedName name="IQ_CREDIT_CARD_FEE_BNK">"c231"</definedName>
    <definedName name="IQ_CREDIT_CARD_FEE_FIN">"c1583"</definedName>
    <definedName name="IQ_CREDIT_LOSS_CF">"c232"</definedName>
    <definedName name="IQ_CUMULATIVE_SPLIT_FACTOR">"c2094"</definedName>
    <definedName name="IQ_CURR_DOMESTIC_TAXES">"c2074"</definedName>
    <definedName name="IQ_CURR_FOREIGN_TAXES">"c2075"</definedName>
    <definedName name="IQ_CURRENCY_FACTOR_BS">"c233"</definedName>
    <definedName name="IQ_CURRENCY_FACTOR_IS">"c234"</definedName>
    <definedName name="IQ_CURRENCY_GAIN">"c235"</definedName>
    <definedName name="IQ_CURRENCY_GAIN_BR">"c236"</definedName>
    <definedName name="IQ_CURRENCY_GAIN_FIN">"c237"</definedName>
    <definedName name="IQ_CURRENCY_GAIN_INS">"c238"</definedName>
    <definedName name="IQ_CURRENCY_GAIN_REIT">"c239"</definedName>
    <definedName name="IQ_CURRENCY_GAIN_UTI">"c240"</definedName>
    <definedName name="IQ_CURRENT_PORT">"c241"</definedName>
    <definedName name="IQ_CURRENT_PORT_BNK">"c242"</definedName>
    <definedName name="IQ_CURRENT_PORT_DEBT">"c243"</definedName>
    <definedName name="IQ_CURRENT_PORT_DEBT_BNK">"c244"</definedName>
    <definedName name="IQ_CURRENT_PORT_DEBT_BR">"c1567"</definedName>
    <definedName name="IQ_CURRENT_PORT_DEBT_FIN">"c1568"</definedName>
    <definedName name="IQ_CURRENT_PORT_DEBT_INS">"c1569"</definedName>
    <definedName name="IQ_CURRENT_PORT_DEBT_REIT">"c1570"</definedName>
    <definedName name="IQ_CURRENT_PORT_DEBT_UTI">"c1571"</definedName>
    <definedName name="IQ_CURRENT_PORT_LEASES">"c245"</definedName>
    <definedName name="IQ_CURRENT_PORT_PCT">"c2541"</definedName>
    <definedName name="IQ_CURRENT_RATIO">"c246"</definedName>
    <definedName name="IQ_CUSIP">"c2245"</definedName>
    <definedName name="IQ_CY">10000</definedName>
    <definedName name="IQ_DA">"c247"</definedName>
    <definedName name="IQ_DA_BR">"c248"</definedName>
    <definedName name="IQ_DA_CF">"c249"</definedName>
    <definedName name="IQ_DA_CF_BNK">"c250"</definedName>
    <definedName name="IQ_DA_CF_BR">"c251"</definedName>
    <definedName name="IQ_DA_CF_FIN">"c252"</definedName>
    <definedName name="IQ_DA_CF_INS">"c253"</definedName>
    <definedName name="IQ_DA_CF_REIT">"c254"</definedName>
    <definedName name="IQ_DA_CF_UTI">"c255"</definedName>
    <definedName name="IQ_DA_EBITDA">"c5528"</definedName>
    <definedName name="IQ_DA_FIN">"c256"</definedName>
    <definedName name="IQ_DA_INS">"c257"</definedName>
    <definedName name="IQ_DA_REIT">"c258"</definedName>
    <definedName name="IQ_DA_SUPPL">"c259"</definedName>
    <definedName name="IQ_DA_SUPPL_BR">"c260"</definedName>
    <definedName name="IQ_DA_SUPPL_CF">"c261"</definedName>
    <definedName name="IQ_DA_SUPPL_CF_BNK">"c262"</definedName>
    <definedName name="IQ_DA_SUPPL_CF_BR">"c263"</definedName>
    <definedName name="IQ_DA_SUPPL_CF_FIN">"c264"</definedName>
    <definedName name="IQ_DA_SUPPL_CF_INS">"c265"</definedName>
    <definedName name="IQ_DA_SUPPL_CF_REIT">"c266"</definedName>
    <definedName name="IQ_DA_SUPPL_CF_UTI">"c267"</definedName>
    <definedName name="IQ_DA_SUPPL_FIN">"c268"</definedName>
    <definedName name="IQ_DA_SUPPL_INS">"c269"</definedName>
    <definedName name="IQ_DA_SUPPL_REIT">"c270"</definedName>
    <definedName name="IQ_DA_SUPPL_UTI">"c271"</definedName>
    <definedName name="IQ_DA_UTI">"c272"</definedName>
    <definedName name="IQ_DATED_DATE">"c2185"</definedName>
    <definedName name="IQ_DAY_COUNT">"c2161"</definedName>
    <definedName name="IQ_DAYS_COVER_SHORT">"c1578"</definedName>
    <definedName name="IQ_DAYS_INVENTORY_OUT">"c273"</definedName>
    <definedName name="IQ_DAYS_PAY_OUTST">"c1362"</definedName>
    <definedName name="IQ_DAYS_PAYABLE_OUT">"c274"</definedName>
    <definedName name="IQ_DAYS_SALES_OUT">"c275"</definedName>
    <definedName name="IQ_DAYS_SALES_OUTST">"c1363"</definedName>
    <definedName name="IQ_DEBT_ADJ">"c2515"</definedName>
    <definedName name="IQ_DEBT_ADJ_PCT">"c2516"</definedName>
    <definedName name="IQ_DEBT_EQUIV_NET_PBO">"c2938"</definedName>
    <definedName name="IQ_DEBT_EQUIV_OPER_LEASE">"c2935"</definedName>
    <definedName name="IQ_DEF_ACQ_CST">"c1364"</definedName>
    <definedName name="IQ_DEF_AMORT">"c276"</definedName>
    <definedName name="IQ_DEF_AMORT_BNK">"c277"</definedName>
    <definedName name="IQ_DEF_AMORT_BR">"c278"</definedName>
    <definedName name="IQ_DEF_AMORT_FIN">"c279"</definedName>
    <definedName name="IQ_DEF_AMORT_INS">"c280"</definedName>
    <definedName name="IQ_DEF_AMORT_REIT">"c281"</definedName>
    <definedName name="IQ_DEF_AMORT_UTI">"c282"</definedName>
    <definedName name="IQ_DEF_BENEFIT_INTEREST_COST">"c283"</definedName>
    <definedName name="IQ_DEF_BENEFIT_INTEREST_COST_DOMESTIC">"c2652"</definedName>
    <definedName name="IQ_DEF_BENEFIT_INTEREST_COST_FOREIGN">"c2660"</definedName>
    <definedName name="IQ_DEF_BENEFIT_OTHER_COST">"c284"</definedName>
    <definedName name="IQ_DEF_BENEFIT_OTHER_COST_DOMESTIC">"c2654"</definedName>
    <definedName name="IQ_DEF_BENEFIT_OTHER_COST_FOREIGN">"c2662"</definedName>
    <definedName name="IQ_DEF_BENEFIT_ROA">"c285"</definedName>
    <definedName name="IQ_DEF_BENEFIT_ROA_DOMESTIC">"c2653"</definedName>
    <definedName name="IQ_DEF_BENEFIT_ROA_FOREIGN">"c2661"</definedName>
    <definedName name="IQ_DEF_BENEFIT_SERVICE_COST">"c286"</definedName>
    <definedName name="IQ_DEF_BENEFIT_SERVICE_COST_DOMESTIC">"c2651"</definedName>
    <definedName name="IQ_DEF_BENEFIT_SERVICE_COST_FOREIGN">"c2659"</definedName>
    <definedName name="IQ_DEF_BENEFIT_TOTAL_COST">"c287"</definedName>
    <definedName name="IQ_DEF_BENEFIT_TOTAL_COST_DOMESTIC">"c2655"</definedName>
    <definedName name="IQ_DEF_BENEFIT_TOTAL_COST_FOREIGN">"c2663"</definedName>
    <definedName name="IQ_DEF_CHARGES_BR">"c288"</definedName>
    <definedName name="IQ_DEF_CHARGES_CF">"c289"</definedName>
    <definedName name="IQ_DEF_CHARGES_FIN">"c290"</definedName>
    <definedName name="IQ_DEF_CHARGES_INS">"c291"</definedName>
    <definedName name="IQ_DEF_CHARGES_LT">"c292"</definedName>
    <definedName name="IQ_DEF_CHARGES_LT_BNK">"c293"</definedName>
    <definedName name="IQ_DEF_CHARGES_LT_BR">"c294"</definedName>
    <definedName name="IQ_DEF_CHARGES_LT_FIN">"c295"</definedName>
    <definedName name="IQ_DEF_CHARGES_LT_INS">"c296"</definedName>
    <definedName name="IQ_DEF_CHARGES_LT_REIT">"c297"</definedName>
    <definedName name="IQ_DEF_CHARGES_LT_UTI">"c298"</definedName>
    <definedName name="IQ_DEF_CHARGES_REIT">"c299"</definedName>
    <definedName name="IQ_DEF_CONTRIBUTION_TOTAL_COST">"c300"</definedName>
    <definedName name="IQ_DEF_INC_TAX">"c1365"</definedName>
    <definedName name="IQ_DEF_POLICY_ACQ_COSTS">"c301"</definedName>
    <definedName name="IQ_DEF_POLICY_ACQ_COSTS_CF">"c302"</definedName>
    <definedName name="IQ_DEF_POLICY_AMORT">"c303"</definedName>
    <definedName name="IQ_DEF_TAX_ASSET_LT_BR">"c304"</definedName>
    <definedName name="IQ_DEF_TAX_ASSET_LT_FIN">"c305"</definedName>
    <definedName name="IQ_DEF_TAX_ASSET_LT_INS">"c306"</definedName>
    <definedName name="IQ_DEF_TAX_ASSET_LT_REIT">"c307"</definedName>
    <definedName name="IQ_DEF_TAX_ASSET_LT_UTI">"c308"</definedName>
    <definedName name="IQ_DEF_TAX_ASSETS_CURRENT">"c309"</definedName>
    <definedName name="IQ_DEF_TAX_ASSETS_LT">"c310"</definedName>
    <definedName name="IQ_DEF_TAX_ASSETS_LT_BNK">"c311"</definedName>
    <definedName name="IQ_DEF_TAX_LIAB_CURRENT">"c312"</definedName>
    <definedName name="IQ_DEF_TAX_LIAB_LT">"c313"</definedName>
    <definedName name="IQ_DEF_TAX_LIAB_LT_BNK">"c314"</definedName>
    <definedName name="IQ_DEF_TAX_LIAB_LT_BR">"c315"</definedName>
    <definedName name="IQ_DEF_TAX_LIAB_LT_FIN">"c316"</definedName>
    <definedName name="IQ_DEF_TAX_LIAB_LT_INS">"c317"</definedName>
    <definedName name="IQ_DEF_TAX_LIAB_LT_REIT">"c318"</definedName>
    <definedName name="IQ_DEF_TAX_LIAB_LT_UTI">"c319"</definedName>
    <definedName name="IQ_DEFERRED_DOMESTIC_TAXES">"c2077"</definedName>
    <definedName name="IQ_DEFERRED_FOREIGN_TAXES">"c2078"</definedName>
    <definedName name="IQ_DEFERRED_INC_TAX">"c1447"</definedName>
    <definedName name="IQ_DEFERRED_TAXES">"c1356"</definedName>
    <definedName name="IQ_DEMAND_DEP">"c320"</definedName>
    <definedName name="IQ_DEPOSITS_FIN">"c321"</definedName>
    <definedName name="IQ_DEPOSITS_INTEREST_SECURITIES">"c5509"</definedName>
    <definedName name="IQ_DEPRE_AMORT">"c1360"</definedName>
    <definedName name="IQ_DEPRE_AMORT_SUPPL">"c1593"</definedName>
    <definedName name="IQ_DEPRE_DEPLE">"c1361"</definedName>
    <definedName name="IQ_DEPRE_SUPP">"c1443"</definedName>
    <definedName name="IQ_DESCRIPTION_LONG">"c1520"</definedName>
    <definedName name="IQ_DEVELOP_LAND">"c323"</definedName>
    <definedName name="IQ_DIFF_LASTCLOSE_TARGET_PRICE">"c1854"</definedName>
    <definedName name="IQ_DILUT_ADJUST">"c1621"</definedName>
    <definedName name="IQ_DILUT_EPS_EXCL">"c324"</definedName>
    <definedName name="IQ_DILUT_EPS_INCL">"c325"</definedName>
    <definedName name="IQ_DILUT_EPS_NORM">"c1903"</definedName>
    <definedName name="IQ_DILUT_NI">"c2079"</definedName>
    <definedName name="IQ_DILUT_NORMAL_EPS">"c1594"</definedName>
    <definedName name="IQ_DILUT_WEIGHT">"c326"</definedName>
    <definedName name="IQ_DIRECT_AH_EARNED">"c2740"</definedName>
    <definedName name="IQ_DIRECT_EARNED">"c2730"</definedName>
    <definedName name="IQ_DIRECT_LIFE_EARNED">"c2735"</definedName>
    <definedName name="IQ_DIRECT_LIFE_IN_FORCE">"c2765"</definedName>
    <definedName name="IQ_DIRECT_PC_EARNED">"c2745"</definedName>
    <definedName name="IQ_DIRECT_WRITTEN">"c2724"</definedName>
    <definedName name="IQ_DISCONT_OPER">"c1367"</definedName>
    <definedName name="IQ_DISCOUNT_RATE_PENSION_DOMESTIC">"c327"</definedName>
    <definedName name="IQ_DISCOUNT_RATE_PENSION_FOREIGN">"c328"</definedName>
    <definedName name="IQ_DISTR_EXCESS_EARN">"c329"</definedName>
    <definedName name="IQ_DISTRIBUTABLE_CASH">"c3002"</definedName>
    <definedName name="IQ_DISTRIBUTABLE_CASH_ACT_OR_EST">"c4278"</definedName>
    <definedName name="IQ_DISTRIBUTABLE_CASH_PAYOUT">"c3005"</definedName>
    <definedName name="IQ_DISTRIBUTABLE_CASH_SHARE">"c3003"</definedName>
    <definedName name="IQ_DISTRIBUTABLE_CASH_SHARE_ACT_OR_EST">"c4286"</definedName>
    <definedName name="IQ_DIV_AMOUNT">"c3041"</definedName>
    <definedName name="IQ_DIV_PAYMENT_DATE">"c2205"</definedName>
    <definedName name="IQ_DIV_RECORD_DATE">"c2204"</definedName>
    <definedName name="IQ_DIV_SHARE">"c330"</definedName>
    <definedName name="IQ_DIVEST_CF">"c331"</definedName>
    <definedName name="IQ_DIVID_SHARE">"c1366"</definedName>
    <definedName name="IQ_DIVIDEND_YIELD">"c332"</definedName>
    <definedName name="IQ_DO">"c333"</definedName>
    <definedName name="IQ_DO_ASSETS_CURRENT">"c334"</definedName>
    <definedName name="IQ_DO_ASSETS_LT">"c335"</definedName>
    <definedName name="IQ_DO_CF">"c336"</definedName>
    <definedName name="IQ_DPAC_ACC">"c2799"</definedName>
    <definedName name="IQ_DPAC_AMORT">"c2795"</definedName>
    <definedName name="IQ_DPAC_BEG">"c2791"</definedName>
    <definedName name="IQ_DPAC_COMMISSIONS">"c2792"</definedName>
    <definedName name="IQ_DPAC_END">"c2801"</definedName>
    <definedName name="IQ_DPAC_FX">"c2798"</definedName>
    <definedName name="IQ_DPAC_OTHER_ADJ">"c2800"</definedName>
    <definedName name="IQ_DPAC_OTHERS">"c2793"</definedName>
    <definedName name="IQ_DPAC_PERIOD">"c2794"</definedName>
    <definedName name="IQ_DPAC_REAL_GAIN">"c2797"</definedName>
    <definedName name="IQ_DPAC_UNREAL_GAIN">"c2796"</definedName>
    <definedName name="IQ_DPS_10YR_ANN_GROWTH">"c337"</definedName>
    <definedName name="IQ_DPS_1YR_ANN_GROWTH">"c338"</definedName>
    <definedName name="IQ_DPS_2YR_ANN_GROWTH">"c339"</definedName>
    <definedName name="IQ_DPS_3YR_ANN_GROWTH">"c340"</definedName>
    <definedName name="IQ_DPS_5YR_ANN_GROWTH">"c341"</definedName>
    <definedName name="IQ_DPS_7YR_ANN_GROWTH">"c342"</definedName>
    <definedName name="IQ_DURATION">"c2181"</definedName>
    <definedName name="IQ_EARNING_ASSET_YIELD">"c343"</definedName>
    <definedName name="IQ_EARNING_CO">"c344"</definedName>
    <definedName name="IQ_EARNING_CO_10YR_ANN_GROWTH">"c345"</definedName>
    <definedName name="IQ_EARNING_CO_1YR_ANN_GROWTH">"c346"</definedName>
    <definedName name="IQ_EARNING_CO_2YR_ANN_GROWTH">"c347"</definedName>
    <definedName name="IQ_EARNING_CO_3YR_ANN_GROWTH">"c348"</definedName>
    <definedName name="IQ_EARNING_CO_5YR_ANN_GROWTH">"c349"</definedName>
    <definedName name="IQ_EARNING_CO_7YR_ANN_GROWTH">"c350"</definedName>
    <definedName name="IQ_EARNING_CO_MARGIN">"c351"</definedName>
    <definedName name="IQ_EARNINGS_ANNOUNCE_DATE">"c1649"</definedName>
    <definedName name="IQ_EARNINGS_ANNOUNCE_DATE_REUT">"c5314"</definedName>
    <definedName name="IQ_EBIT">"c352"</definedName>
    <definedName name="IQ_EBIT_10YR_ANN_GROWTH">"c353"</definedName>
    <definedName name="IQ_EBIT_1YR_ANN_GROWTH">"c354"</definedName>
    <definedName name="IQ_EBIT_2YR_ANN_GROWTH">"c355"</definedName>
    <definedName name="IQ_EBIT_3YR_ANN_GROWTH">"c356"</definedName>
    <definedName name="IQ_EBIT_5YR_ANN_GROWTH">"c357"</definedName>
    <definedName name="IQ_EBIT_7YR_ANN_GROWTH">"c358"</definedName>
    <definedName name="IQ_EBIT_EQ_INC">"c3498"</definedName>
    <definedName name="IQ_EBIT_EQ_INC_EXCL_SBC">"c3502"</definedName>
    <definedName name="IQ_EBIT_EXCL_SBC">"c3082"</definedName>
    <definedName name="IQ_EBIT_GW_ACT_OR_EST">"c4306"</definedName>
    <definedName name="IQ_EBIT_INT">"c360"</definedName>
    <definedName name="IQ_EBIT_MARGIN">"c359"</definedName>
    <definedName name="IQ_EBIT_OVER_IE">"c1369"</definedName>
    <definedName name="IQ_EBIT_SBC_ACT_OR_EST">"c4316"</definedName>
    <definedName name="IQ_EBIT_SBC_GW_ACT_OR_EST">"c4320"</definedName>
    <definedName name="IQ_EBITA">"c1910"</definedName>
    <definedName name="IQ_EBITA_10YR_ANN_GROWTH">"c1954"</definedName>
    <definedName name="IQ_EBITA_1YR_ANN_GROWTH">"c1949"</definedName>
    <definedName name="IQ_EBITA_2YR_ANN_GROWTH">"c1950"</definedName>
    <definedName name="IQ_EBITA_3YR_ANN_GROWTH">"c1951"</definedName>
    <definedName name="IQ_EBITA_5YR_ANN_GROWTH">"c1952"</definedName>
    <definedName name="IQ_EBITA_7YR_ANN_GROWTH">"c1953"</definedName>
    <definedName name="IQ_EBITA_EQ_INC">"c3497"</definedName>
    <definedName name="IQ_EBITA_EQ_INC_EXCL_SBC">"c3501"</definedName>
    <definedName name="IQ_EBITA_EXCL_SBC">"c3080"</definedName>
    <definedName name="IQ_EBITA_MARGIN">"c1963"</definedName>
    <definedName name="IQ_EBITDA">"c361"</definedName>
    <definedName name="IQ_EBITDA_10YR_ANN_GROWTH">"c362"</definedName>
    <definedName name="IQ_EBITDA_1YR_ANN_GROWTH">"c363"</definedName>
    <definedName name="IQ_EBITDA_2YR_ANN_GROWTH">"c364"</definedName>
    <definedName name="IQ_EBITDA_3YR_ANN_GROWTH">"c365"</definedName>
    <definedName name="IQ_EBITDA_5YR_ANN_GROWTH">"c366"</definedName>
    <definedName name="IQ_EBITDA_7YR_ANN_GROWTH">"c367"</definedName>
    <definedName name="IQ_EBITDA_ACT_OR_EST">"c2215"</definedName>
    <definedName name="IQ_EBITDA_CAPEX_INT">"c368"</definedName>
    <definedName name="IQ_EBITDA_CAPEX_OVER_TOTAL_IE">"c1370"</definedName>
    <definedName name="IQ_EBITDA_EQ_INC">"c3496"</definedName>
    <definedName name="IQ_EBITDA_EQ_INC_EXCL_SBC">"c3500"</definedName>
    <definedName name="IQ_EBITDA_EST">"c369"</definedName>
    <definedName name="IQ_EBITDA_EST_REUT">"c3640"</definedName>
    <definedName name="IQ_EBITDA_EXCL_SBC">"c3081"</definedName>
    <definedName name="IQ_EBITDA_HIGH_EST">"c370"</definedName>
    <definedName name="IQ_EBITDA_HIGH_EST_REUT">"c3642"</definedName>
    <definedName name="IQ_EBITDA_INT">"c373"</definedName>
    <definedName name="IQ_EBITDA_LOW_EST">"c371"</definedName>
    <definedName name="IQ_EBITDA_LOW_EST_REUT">"c3643"</definedName>
    <definedName name="IQ_EBITDA_MARGIN">"c372"</definedName>
    <definedName name="IQ_EBITDA_MEDIAN_EST">"c1663"</definedName>
    <definedName name="IQ_EBITDA_MEDIAN_EST_REUT">"c3641"</definedName>
    <definedName name="IQ_EBITDA_NUM_EST">"c374"</definedName>
    <definedName name="IQ_EBITDA_NUM_EST_REUT">"c3644"</definedName>
    <definedName name="IQ_EBITDA_OVER_TOTAL_IE">"c1371"</definedName>
    <definedName name="IQ_EBITDA_SBC_ACT_OR_EST">"c4337"</definedName>
    <definedName name="IQ_EBITDA_STDDEV_EST">"c375"</definedName>
    <definedName name="IQ_EBITDA_STDDEV_EST_REUT">"c3645"</definedName>
    <definedName name="IQ_EBITDAR">"c2989"</definedName>
    <definedName name="IQ_EBITDAR_EQ_INC">"c3499"</definedName>
    <definedName name="IQ_EBITDAR_EQ_INC_EXCL_SBC">"c3503"</definedName>
    <definedName name="IQ_EBITDAR_EXCL_SBC">"c3083"</definedName>
    <definedName name="IQ_EBT">"c376"</definedName>
    <definedName name="IQ_EBT_BNK">"c377"</definedName>
    <definedName name="IQ_EBT_BR">"c378"</definedName>
    <definedName name="IQ_EBT_EXCL">"c379"</definedName>
    <definedName name="IQ_EBT_EXCL_BNK">"c380"</definedName>
    <definedName name="IQ_EBT_EXCL_BR">"c381"</definedName>
    <definedName name="IQ_EBT_EXCL_FIN">"c382"</definedName>
    <definedName name="IQ_EBT_EXCL_INS">"c383"</definedName>
    <definedName name="IQ_EBT_EXCL_MARGIN">"c1462"</definedName>
    <definedName name="IQ_EBT_EXCL_REIT">"c384"</definedName>
    <definedName name="IQ_EBT_EXCL_UTI">"c385"</definedName>
    <definedName name="IQ_EBT_FIN">"c386"</definedName>
    <definedName name="IQ_EBT_INCL_MARGIN">"c387"</definedName>
    <definedName name="IQ_EBT_INS">"c388"</definedName>
    <definedName name="IQ_EBT_REIT">"c389"</definedName>
    <definedName name="IQ_EBT_SBC_ACT_OR_EST">"c4350"</definedName>
    <definedName name="IQ_EBT_SBC_GW_ACT_OR_EST">"c4354"</definedName>
    <definedName name="IQ_EBT_UTI">"c390"</definedName>
    <definedName name="IQ_EFFECT_SPECIAL_CHARGE">"c1595"</definedName>
    <definedName name="IQ_EFFECT_TAX_RATE">"c1899"</definedName>
    <definedName name="IQ_EFFICIENCY_RATIO">"c391"</definedName>
    <definedName name="IQ_EMPLOYEES">"c392"</definedName>
    <definedName name="IQ_ENTERPRISE_VALUE">"c1348"</definedName>
    <definedName name="IQ_EPS_10YR_ANN_GROWTH">"c393"</definedName>
    <definedName name="IQ_EPS_1YR_ANN_GROWTH">"c394"</definedName>
    <definedName name="IQ_EPS_2YR_ANN_GROWTH">"c395"</definedName>
    <definedName name="IQ_EPS_3YR_ANN_GROWTH">"c396"</definedName>
    <definedName name="IQ_EPS_5YR_ANN_GROWTH">"c397"</definedName>
    <definedName name="IQ_EPS_7YR_ANN_GROWTH">"c398"</definedName>
    <definedName name="IQ_EPS_ACT_OR_EST">"c2213"</definedName>
    <definedName name="IQ_EPS_EST">"c399"</definedName>
    <definedName name="IQ_EPS_EST_REUT">"c5453"</definedName>
    <definedName name="IQ_EPS_HIGH_EST">"c400"</definedName>
    <definedName name="IQ_EPS_HIGH_EST_REUT">"c5454"</definedName>
    <definedName name="IQ_EPS_LOW_EST">"c401"</definedName>
    <definedName name="IQ_EPS_LOW_EST_REUT">"c5455"</definedName>
    <definedName name="IQ_EPS_MEDIAN_EST">"c1661"</definedName>
    <definedName name="IQ_EPS_MEDIAN_EST_REUT">"c5456"</definedName>
    <definedName name="IQ_EPS_NORM">"c1902"</definedName>
    <definedName name="IQ_EPS_NUM_EST">"c402"</definedName>
    <definedName name="IQ_EPS_NUM_EST_REUT">"c5451"</definedName>
    <definedName name="IQ_EPS_SBC_ACT_OR_EST">"c4376"</definedName>
    <definedName name="IQ_EPS_SBC_GW_ACT_OR_EST">"c4380"</definedName>
    <definedName name="IQ_EPS_STDDEV_EST">"c403"</definedName>
    <definedName name="IQ_EPS_STDDEV_EST_REUT">"c5452"</definedName>
    <definedName name="IQ_EQUITY_AFFIL">"c1451"</definedName>
    <definedName name="IQ_EQUITY_METHOD">"c404"</definedName>
    <definedName name="IQ_EQV_OVER_BV">"c1596"</definedName>
    <definedName name="IQ_EQV_OVER_LTM_PRETAX_INC">"c1390"</definedName>
    <definedName name="IQ_ESOP_DEBT">"c1597"</definedName>
    <definedName name="IQ_EST_ACT_EPS">"c1648"</definedName>
    <definedName name="IQ_EST_CURRENCY">"c2140"</definedName>
    <definedName name="IQ_EST_CURRENCY_REUT">"c5437"</definedName>
    <definedName name="IQ_EST_DATE">"c1634"</definedName>
    <definedName name="IQ_EST_DATE_REUT">"c5438"</definedName>
    <definedName name="IQ_EST_EPS_DIFF">"c1864"</definedName>
    <definedName name="IQ_EST_EPS_GROWTH_1YR">"c1636"</definedName>
    <definedName name="IQ_EST_EPS_GROWTH_1YR_REUT">"c3646"</definedName>
    <definedName name="IQ_EST_EPS_GROWTH_5YR">"c1655"</definedName>
    <definedName name="IQ_EST_EPS_GROWTH_5YR_REUT">"c3633"</definedName>
    <definedName name="IQ_EST_EPS_GROWTH_Q_1YR">"c1641"</definedName>
    <definedName name="IQ_EST_EPS_GROWTH_Q_1YR_REUT">"c5410"</definedName>
    <definedName name="IQ_EST_VENDOR">"c5564"</definedName>
    <definedName name="IQ_EV_OVER_EMPLOYEE">"c1428"</definedName>
    <definedName name="IQ_EV_OVER_LTM_EBIT">"c1426"</definedName>
    <definedName name="IQ_EV_OVER_LTM_EBITDA">"c1427"</definedName>
    <definedName name="IQ_EV_OVER_LTM_REVENUE">"c1429"</definedName>
    <definedName name="IQ_EVAL_DATE">"c2180"</definedName>
    <definedName name="IQ_EXCHANGE">"c405"</definedName>
    <definedName name="IQ_EXCISE_TAXES_EXCL_SALES">"c5515"</definedName>
    <definedName name="IQ_EXCISE_TAXES_INCL_SALES">"c5514"</definedName>
    <definedName name="IQ_EXERCISE_PRICE">"c1897"</definedName>
    <definedName name="IQ_EXERCISED">"c406"</definedName>
    <definedName name="IQ_EXP_RETURN_PENSION_DOMESTIC">"c407"</definedName>
    <definedName name="IQ_EXP_RETURN_PENSION_FOREIGN">"c408"</definedName>
    <definedName name="IQ_EXPLORE_DRILL">"c409"</definedName>
    <definedName name="IQ_EXTRA_ACC_ITEMS">"c410"</definedName>
    <definedName name="IQ_EXTRA_ACC_ITEMS_BNK">"c411"</definedName>
    <definedName name="IQ_EXTRA_ACC_ITEMS_BR">"c412"</definedName>
    <definedName name="IQ_EXTRA_ACC_ITEMS_FIN">"c413"</definedName>
    <definedName name="IQ_EXTRA_ACC_ITEMS_INS">"c414"</definedName>
    <definedName name="IQ_EXTRA_ACC_ITEMS_REIT">"c415"</definedName>
    <definedName name="IQ_EXTRA_ACC_ITEMS_UTI">"c416"</definedName>
    <definedName name="IQ_EXTRA_ITEMS">"c1459"</definedName>
    <definedName name="IQ_FDIC">"c417"</definedName>
    <definedName name="IQ_FEDFUNDS_SOLD">"c2256"</definedName>
    <definedName name="IQ_FFO">"c1574"</definedName>
    <definedName name="IQ_FFO_ADJ_ACT_OR_EST">"c4435"</definedName>
    <definedName name="IQ_FFO_PAYOUT_RATIO">"c3492"</definedName>
    <definedName name="IQ_FFO_SHARE_ACT_OR_EST">"c4446"</definedName>
    <definedName name="IQ_FHLB_DEBT">"c423"</definedName>
    <definedName name="IQ_FHLB_DUE_CY">"c2080"</definedName>
    <definedName name="IQ_FHLB_DUE_CY1">"c2081"</definedName>
    <definedName name="IQ_FHLB_DUE_CY2">"c2082"</definedName>
    <definedName name="IQ_FHLB_DUE_CY3">"c2083"</definedName>
    <definedName name="IQ_FHLB_DUE_CY4">"c2084"</definedName>
    <definedName name="IQ_FHLB_DUE_NEXT_FIVE">"c2085"</definedName>
    <definedName name="IQ_FILING_CURRENCY">"c2129"</definedName>
    <definedName name="IQ_FILINGDATE_BS">"c424"</definedName>
    <definedName name="IQ_FILINGDATE_CF">"c425"</definedName>
    <definedName name="IQ_FILINGDATE_IS">"c426"</definedName>
    <definedName name="IQ_FILM_RIGHTS">"c2254"</definedName>
    <definedName name="IQ_FIN_DIV_ASSETS_CURRENT">"c427"</definedName>
    <definedName name="IQ_FIN_DIV_ASSETS_LT">"c428"</definedName>
    <definedName name="IQ_FIN_DIV_CURRENT_PORT_DEBT_TOTAL">"c5524"</definedName>
    <definedName name="IQ_FIN_DIV_CURRENT_PORT_LEASES_TOTAL">"c5523"</definedName>
    <definedName name="IQ_FIN_DIV_DEBT_CURRENT">"c429"</definedName>
    <definedName name="IQ_FIN_DIV_DEBT_LT">"c430"</definedName>
    <definedName name="IQ_FIN_DIV_DEBT_LT_TOTAL">"c5526"</definedName>
    <definedName name="IQ_FIN_DIV_EXP">"c431"</definedName>
    <definedName name="IQ_FIN_DIV_INT_EXP">"c432"</definedName>
    <definedName name="IQ_FIN_DIV_LEASES_LT_TOTAL">"c5525"</definedName>
    <definedName name="IQ_FIN_DIV_LIAB_CURRENT">"c433"</definedName>
    <definedName name="IQ_FIN_DIV_LIAB_LT">"c434"</definedName>
    <definedName name="IQ_FIN_DIV_LOANS_CURRENT">"c435"</definedName>
    <definedName name="IQ_FIN_DIV_LOANS_LT">"c436"</definedName>
    <definedName name="IQ_FIN_DIV_NOTES_PAY_TOTAL">"c5522"</definedName>
    <definedName name="IQ_FIN_DIV_REV">"c437"</definedName>
    <definedName name="IQ_FIN_DIV_ST_DEBT_TOTAL">"c5527"</definedName>
    <definedName name="IQ_FINANCING_CASH">"c1405"</definedName>
    <definedName name="IQ_FINANCING_CASH_SUPPL">"c1406"</definedName>
    <definedName name="IQ_FINISHED_INV">"c438"</definedName>
    <definedName name="IQ_FIRST_INT_DATE">"c2186"</definedName>
    <definedName name="IQ_FIRST_YEAR_LIFE">"c439"</definedName>
    <definedName name="IQ_FIRST_YEAR_LIFE_PREM">"c2787"</definedName>
    <definedName name="IQ_FIRST_YEAR_PREM">"c2786"</definedName>
    <definedName name="IQ_FIRSTPRICINGDATE">"c3050"</definedName>
    <definedName name="IQ_FISCAL_Q">"c440"</definedName>
    <definedName name="IQ_FISCAL_Y">"c441"</definedName>
    <definedName name="IQ_FIVE_PERCENT_OWNER">"c442"</definedName>
    <definedName name="IQ_FIVEPERCENT_PERCENT">"c443"</definedName>
    <definedName name="IQ_FIVEPERCENT_SHARES">"c444"</definedName>
    <definedName name="IQ_FIXED_ASSET_TURNS">"c445"</definedName>
    <definedName name="IQ_FLOAT_PERCENT">"c1575"</definedName>
    <definedName name="IQ_FOREIGN_DEP_IB">"c446"</definedName>
    <definedName name="IQ_FOREIGN_DEP_NON_IB">"c447"</definedName>
    <definedName name="IQ_FOREIGN_EXCHANGE">"c1376"</definedName>
    <definedName name="IQ_FOREIGN_LOANS">"c448"</definedName>
    <definedName name="IQ_FQ">500</definedName>
    <definedName name="IQ_FUEL">"c449"</definedName>
    <definedName name="IQ_FULL_TIME">"c450"</definedName>
    <definedName name="IQ_FWD_CY">10001</definedName>
    <definedName name="IQ_FWD_CY1">10002</definedName>
    <definedName name="IQ_FWD_CY2">10003</definedName>
    <definedName name="IQ_FWD_FY">1001</definedName>
    <definedName name="IQ_FWD_FY1">1002</definedName>
    <definedName name="IQ_FWD_FY2">1003</definedName>
    <definedName name="IQ_FWD_Q">501</definedName>
    <definedName name="IQ_FWD_Q1">502</definedName>
    <definedName name="IQ_FWD_Q2">503</definedName>
    <definedName name="IQ_FX">"c451"</definedName>
    <definedName name="IQ_FY">1000</definedName>
    <definedName name="IQ_GA_EXP">"c2241"</definedName>
    <definedName name="IQ_GAIN_ASSETS">"c452"</definedName>
    <definedName name="IQ_GAIN_ASSETS_BNK">"c453"</definedName>
    <definedName name="IQ_GAIN_ASSETS_BR">"c454"</definedName>
    <definedName name="IQ_GAIN_ASSETS_CF">"c455"</definedName>
    <definedName name="IQ_GAIN_ASSETS_CF_BNK">"c456"</definedName>
    <definedName name="IQ_GAIN_ASSETS_CF_BR">"c457"</definedName>
    <definedName name="IQ_GAIN_ASSETS_CF_FIN">"c458"</definedName>
    <definedName name="IQ_GAIN_ASSETS_CF_INS">"c459"</definedName>
    <definedName name="IQ_GAIN_ASSETS_CF_REIT">"c460"</definedName>
    <definedName name="IQ_GAIN_ASSETS_CF_UTI">"c461"</definedName>
    <definedName name="IQ_GAIN_ASSETS_FIN">"c462"</definedName>
    <definedName name="IQ_GAIN_ASSETS_INS">"c463"</definedName>
    <definedName name="IQ_GAIN_ASSETS_REIT">"c471"</definedName>
    <definedName name="IQ_GAIN_ASSETS_REV">"c472"</definedName>
    <definedName name="IQ_GAIN_ASSETS_REV_BNK">"c473"</definedName>
    <definedName name="IQ_GAIN_ASSETS_REV_BR">"c474"</definedName>
    <definedName name="IQ_GAIN_ASSETS_REV_FIN">"c475"</definedName>
    <definedName name="IQ_GAIN_ASSETS_REV_INS">"c476"</definedName>
    <definedName name="IQ_GAIN_ASSETS_REV_REIT">"c477"</definedName>
    <definedName name="IQ_GAIN_ASSETS_REV_UTI">"c478"</definedName>
    <definedName name="IQ_GAIN_ASSETS_UTI">"c479"</definedName>
    <definedName name="IQ_GAIN_INVEST">"c1463"</definedName>
    <definedName name="IQ_GAIN_INVEST_BNK">"c1582"</definedName>
    <definedName name="IQ_GAIN_INVEST_BR">"c1464"</definedName>
    <definedName name="IQ_GAIN_INVEST_CF">"c480"</definedName>
    <definedName name="IQ_GAIN_INVEST_CF_BNK">"c481"</definedName>
    <definedName name="IQ_GAIN_INVEST_CF_BR">"c482"</definedName>
    <definedName name="IQ_GAIN_INVEST_CF_FIN">"c483"</definedName>
    <definedName name="IQ_GAIN_INVEST_CF_INS">"c484"</definedName>
    <definedName name="IQ_GAIN_INVEST_CF_REIT">"c485"</definedName>
    <definedName name="IQ_GAIN_INVEST_CF_UTI">"c486"</definedName>
    <definedName name="IQ_GAIN_INVEST_FIN">"c1465"</definedName>
    <definedName name="IQ_GAIN_INVEST_INS">"c1466"</definedName>
    <definedName name="IQ_GAIN_INVEST_REIT">"c1467"</definedName>
    <definedName name="IQ_GAIN_INVEST_REV">"c494"</definedName>
    <definedName name="IQ_GAIN_INVEST_REV_BNK">"c495"</definedName>
    <definedName name="IQ_GAIN_INVEST_REV_BR">"c496"</definedName>
    <definedName name="IQ_GAIN_INVEST_REV_FIN">"c497"</definedName>
    <definedName name="IQ_GAIN_INVEST_REV_INS">"c498"</definedName>
    <definedName name="IQ_GAIN_INVEST_REV_REIT">"c499"</definedName>
    <definedName name="IQ_GAIN_INVEST_REV_UTI">"c500"</definedName>
    <definedName name="IQ_GAIN_INVEST_UTI">"c1468"</definedName>
    <definedName name="IQ_GAIN_LOANS_REC">"c501"</definedName>
    <definedName name="IQ_GAIN_LOANS_RECEIV">"c502"</definedName>
    <definedName name="IQ_GAIN_LOANS_RECEIV_REV_FIN">"c503"</definedName>
    <definedName name="IQ_GAIN_LOANS_REV">"c504"</definedName>
    <definedName name="IQ_GAIN_SALE_ASSETS">"c1377"</definedName>
    <definedName name="IQ_GEO_SEG_ASSETS">"c4069"</definedName>
    <definedName name="IQ_GEO_SEG_ASSETS_ABS">"c4091"</definedName>
    <definedName name="IQ_GEO_SEG_ASSETS_TOTAL">"c4123"</definedName>
    <definedName name="IQ_GEO_SEG_CAPEX">"c4083"</definedName>
    <definedName name="IQ_GEO_SEG_CAPEX_ABS">"c4105"</definedName>
    <definedName name="IQ_GEO_SEG_CAPEX_TOTAL">"c4127"</definedName>
    <definedName name="IQ_GEO_SEG_DA">"c4082"</definedName>
    <definedName name="IQ_GEO_SEG_DA_ABS">"c4104"</definedName>
    <definedName name="IQ_GEO_SEG_DA_TOTAL">"c4126"</definedName>
    <definedName name="IQ_GEO_SEG_EARNINGS_OP">"c4073"</definedName>
    <definedName name="IQ_GEO_SEG_EARNINGS_OP_ABS">"c4095"</definedName>
    <definedName name="IQ_GEO_SEG_EARNINGS_OP_TOTAL">"c4119"</definedName>
    <definedName name="IQ_GEO_SEG_EBT">"c4072"</definedName>
    <definedName name="IQ_GEO_SEG_EBT_ABS">"c4094"</definedName>
    <definedName name="IQ_GEO_SEG_EBT_TOTAL">"c4121"</definedName>
    <definedName name="IQ_GEO_SEG_GP">"c4070"</definedName>
    <definedName name="IQ_GEO_SEG_GP_ABS">"c4092"</definedName>
    <definedName name="IQ_GEO_SEG_GP_TOTAL">"c4120"</definedName>
    <definedName name="IQ_GEO_SEG_INC_TAX">"c4081"</definedName>
    <definedName name="IQ_GEO_SEG_INC_TAX_ABS">"c4103"</definedName>
    <definedName name="IQ_GEO_SEG_INC_TAX_TOTAL">"c4125"</definedName>
    <definedName name="IQ_GEO_SEG_INTEREST_EXP">"c4080"</definedName>
    <definedName name="IQ_GEO_SEG_INTEREST_EXP_ABS">"c4102"</definedName>
    <definedName name="IQ_GEO_SEG_INTEREST_EXP_TOTAL">"c4124"</definedName>
    <definedName name="IQ_GEO_SEG_NAME">"c5484"</definedName>
    <definedName name="IQ_GEO_SEG_NAME_ABS">"c5485"</definedName>
    <definedName name="IQ_GEO_SEG_NI">"c4071"</definedName>
    <definedName name="IQ_GEO_SEG_NI_ABS">"c4093"</definedName>
    <definedName name="IQ_GEO_SEG_NI_TOTAL">"c4122"</definedName>
    <definedName name="IQ_GEO_SEG_OPER_INC">"c4075"</definedName>
    <definedName name="IQ_GEO_SEG_OPER_INC_ABS">"c4097"</definedName>
    <definedName name="IQ_GEO_SEG_OPER_INC_TOTAL">"c4118"</definedName>
    <definedName name="IQ_GEO_SEG_REV">"c4074"</definedName>
    <definedName name="IQ_GEO_SEG_REV_ABS">"c4096"</definedName>
    <definedName name="IQ_GEO_SEG_REV_TOTAL">"c4117"</definedName>
    <definedName name="IQ_GOODWILL_NET">"c1380"</definedName>
    <definedName name="IQ_GP">"c511"</definedName>
    <definedName name="IQ_GP_10YR_ANN_GROWTH">"c512"</definedName>
    <definedName name="IQ_GP_1YR_ANN_GROWTH">"c513"</definedName>
    <definedName name="IQ_GP_2YR_ANN_GROWTH">"c514"</definedName>
    <definedName name="IQ_GP_3YR_ANN_GROWTH">"c515"</definedName>
    <definedName name="IQ_GP_5YR_ANN_GROWTH">"c516"</definedName>
    <definedName name="IQ_GP_7YR_ANN_GROWTH">"c517"</definedName>
    <definedName name="IQ_GPPE">"c518"</definedName>
    <definedName name="IQ_GROSS_AH_EARNED">"c2742"</definedName>
    <definedName name="IQ_GROSS_CLAIM_EXP_INCUR">"c2755"</definedName>
    <definedName name="IQ_GROSS_CLAIM_EXP_PAID">"c2758"</definedName>
    <definedName name="IQ_GROSS_CLAIM_EXP_RES">"c2752"</definedName>
    <definedName name="IQ_GROSS_DIVID">"c1446"</definedName>
    <definedName name="IQ_GROSS_EARNED">"c2732"</definedName>
    <definedName name="IQ_GROSS_LIFE_EARNED">"c2737"</definedName>
    <definedName name="IQ_GROSS_LIFE_IN_FORCE">"c2767"</definedName>
    <definedName name="IQ_GROSS_LOANS">"c521"</definedName>
    <definedName name="IQ_GROSS_LOANS_10YR_ANN_GROWTH">"c522"</definedName>
    <definedName name="IQ_GROSS_LOANS_1YR_ANN_GROWTH">"c523"</definedName>
    <definedName name="IQ_GROSS_LOANS_2YR_ANN_GROWTH">"c524"</definedName>
    <definedName name="IQ_GROSS_LOANS_3YR_ANN_GROWTH">"c525"</definedName>
    <definedName name="IQ_GROSS_LOANS_5YR_ANN_GROWTH">"c526"</definedName>
    <definedName name="IQ_GROSS_LOANS_7YR_ANN_GROWTH">"c527"</definedName>
    <definedName name="IQ_GROSS_LOANS_TOTAL_DEPOSITS">"c528"</definedName>
    <definedName name="IQ_GROSS_MARGIN">"c529"</definedName>
    <definedName name="IQ_GROSS_PC_EARNED">"c2747"</definedName>
    <definedName name="IQ_GROSS_PROFIT">"c1378"</definedName>
    <definedName name="IQ_GROSS_SPRD">"c2155"</definedName>
    <definedName name="IQ_GROSS_WRITTEN">"c2726"</definedName>
    <definedName name="IQ_GW">"c530"</definedName>
    <definedName name="IQ_GW_AMORT_BR">"c532"</definedName>
    <definedName name="IQ_GW_AMORT_FIN">"c540"</definedName>
    <definedName name="IQ_GW_AMORT_INS">"c541"</definedName>
    <definedName name="IQ_GW_AMORT_REIT">"c542"</definedName>
    <definedName name="IQ_GW_AMORT_UTI">"c543"</definedName>
    <definedName name="IQ_GW_INTAN_AMORT">"c1469"</definedName>
    <definedName name="IQ_GW_INTAN_AMORT_BNK">"c544"</definedName>
    <definedName name="IQ_GW_INTAN_AMORT_BR">"c1470"</definedName>
    <definedName name="IQ_GW_INTAN_AMORT_CF">"c1471"</definedName>
    <definedName name="IQ_GW_INTAN_AMORT_CF_BNK">"c1472"</definedName>
    <definedName name="IQ_GW_INTAN_AMORT_CF_BR">"c1473"</definedName>
    <definedName name="IQ_GW_INTAN_AMORT_CF_FIN">"c1474"</definedName>
    <definedName name="IQ_GW_INTAN_AMORT_CF_INS">"c1475"</definedName>
    <definedName name="IQ_GW_INTAN_AMORT_CF_REIT">"c1476"</definedName>
    <definedName name="IQ_GW_INTAN_AMORT_CF_UTI">"c1477"</definedName>
    <definedName name="IQ_GW_INTAN_AMORT_FIN">"c1478"</definedName>
    <definedName name="IQ_GW_INTAN_AMORT_INS">"c1479"</definedName>
    <definedName name="IQ_GW_INTAN_AMORT_REIT">"c1480"</definedName>
    <definedName name="IQ_GW_INTAN_AMORT_UTI">"c1481"</definedName>
    <definedName name="IQ_HIGH_TARGET_PRICE">"c1651"</definedName>
    <definedName name="IQ_HIGH_TARGET_PRICE_REUT">"c5317"</definedName>
    <definedName name="IQ_HIGHPRICE">"c545"</definedName>
    <definedName name="IQ_HOMEOWNERS_WRITTEN">"c546"</definedName>
    <definedName name="IQ_IMPAIR_OIL">"c547"</definedName>
    <definedName name="IQ_IMPAIRMENT_GW">"c548"</definedName>
    <definedName name="IQ_IMPUT_OPER_LEASE_DEPR">"c2987"</definedName>
    <definedName name="IQ_IMPUT_OPER_LEASE_INT_EXP">"c2986"</definedName>
    <definedName name="IQ_INC_AFTER_TAX">"c1598"</definedName>
    <definedName name="IQ_INC_AVAIL_EXCL">"c1395"</definedName>
    <definedName name="IQ_INC_AVAIL_INCL">"c1396"</definedName>
    <definedName name="IQ_INC_BEFORE_TAX">"c1375"</definedName>
    <definedName name="IQ_INC_EQUITY">"c549"</definedName>
    <definedName name="IQ_INC_EQUITY_BR">"c550"</definedName>
    <definedName name="IQ_INC_EQUITY_CF">"c551"</definedName>
    <definedName name="IQ_INC_EQUITY_FIN">"c552"</definedName>
    <definedName name="IQ_INC_EQUITY_INS">"c553"</definedName>
    <definedName name="IQ_INC_EQUITY_REC_BNK">"c554"</definedName>
    <definedName name="IQ_INC_EQUITY_REIT">"c555"</definedName>
    <definedName name="IQ_INC_EQUITY_REV_BNK">"c556"</definedName>
    <definedName name="IQ_INC_EQUITY_UTI">"c557"</definedName>
    <definedName name="IQ_INC_REAL_ESTATE_REC">"c558"</definedName>
    <definedName name="IQ_INC_REAL_ESTATE_REV">"c559"</definedName>
    <definedName name="IQ_INC_TAX">"c560"</definedName>
    <definedName name="IQ_INC_TAX_EXCL">"c1599"</definedName>
    <definedName name="IQ_INC_TAX_PAY_CURRENT">"c561"</definedName>
    <definedName name="IQ_INC_TRADE_ACT">"c562"</definedName>
    <definedName name="IQ_INDUSTRY">"c3601"</definedName>
    <definedName name="IQ_INDUSTRY_GROUP">"c3602"</definedName>
    <definedName name="IQ_INDUSTRY_SECTOR">"c3603"</definedName>
    <definedName name="IQ_INS_ANNUITY_LIAB">"c563"</definedName>
    <definedName name="IQ_INS_ANNUITY_REV">"c2788"</definedName>
    <definedName name="IQ_INS_DIV_EXP">"c564"</definedName>
    <definedName name="IQ_INS_DIV_REV">"c565"</definedName>
    <definedName name="IQ_INS_IN_FORCE">"c566"</definedName>
    <definedName name="IQ_INS_LIAB">"c567"</definedName>
    <definedName name="IQ_INS_POLICY_EXP">"c568"</definedName>
    <definedName name="IQ_INS_REV">"c569"</definedName>
    <definedName name="IQ_INS_SETTLE">"c570"</definedName>
    <definedName name="IQ_INS_SETTLE_BNK">"c571"</definedName>
    <definedName name="IQ_INS_SETTLE_BR">"c572"</definedName>
    <definedName name="IQ_INS_SETTLE_FIN">"c573"</definedName>
    <definedName name="IQ_INS_SETTLE_INS">"c574"</definedName>
    <definedName name="IQ_INS_SETTLE_REIT">"c575"</definedName>
    <definedName name="IQ_INS_SETTLE_UTI">"c576"</definedName>
    <definedName name="IQ_INSIDER_3MTH_BOUGHT_PCT">"c1534"</definedName>
    <definedName name="IQ_INSIDER_3MTH_NET_PCT">"c1535"</definedName>
    <definedName name="IQ_INSIDER_3MTH_SOLD_PCT">"c1533"</definedName>
    <definedName name="IQ_INSIDER_6MTH_BOUGHT_PCT">"c1537"</definedName>
    <definedName name="IQ_INSIDER_6MTH_NET_PCT">"c1538"</definedName>
    <definedName name="IQ_INSIDER_6MTH_SOLD_PCT">"c1536"</definedName>
    <definedName name="IQ_INSIDER_OVER_TOTAL">"c1581"</definedName>
    <definedName name="IQ_INSIDER_OWNER">"c577"</definedName>
    <definedName name="IQ_INSIDER_PERCENT">"c578"</definedName>
    <definedName name="IQ_INSIDER_SHARES">"c579"</definedName>
    <definedName name="IQ_INSTITUTIONAL_OVER_TOTAL">"c1580"</definedName>
    <definedName name="IQ_INSTITUTIONAL_OWNER">"c580"</definedName>
    <definedName name="IQ_INSTITUTIONAL_PERCENT">"c581"</definedName>
    <definedName name="IQ_INSTITUTIONAL_SHARES">"c582"</definedName>
    <definedName name="IQ_INSUR_RECEIV">"c1600"</definedName>
    <definedName name="IQ_INT_BORROW">"c583"</definedName>
    <definedName name="IQ_INT_DEPOSITS">"c584"</definedName>
    <definedName name="IQ_INT_DIV_INC">"c585"</definedName>
    <definedName name="IQ_INT_EXP_BR">"c586"</definedName>
    <definedName name="IQ_INT_EXP_COVERAGE">"c587"</definedName>
    <definedName name="IQ_INT_EXP_FIN">"c588"</definedName>
    <definedName name="IQ_INT_EXP_INCL_CAP">"c2988"</definedName>
    <definedName name="IQ_INT_EXP_INS">"c589"</definedName>
    <definedName name="IQ_INT_EXP_LTD">"c2086"</definedName>
    <definedName name="IQ_INT_EXP_REIT">"c590"</definedName>
    <definedName name="IQ_INT_EXP_TOTAL">"c591"</definedName>
    <definedName name="IQ_INT_EXP_UTI">"c592"</definedName>
    <definedName name="IQ_INT_INC_BR">"c593"</definedName>
    <definedName name="IQ_INT_INC_FIN">"c594"</definedName>
    <definedName name="IQ_INT_INC_INVEST">"c595"</definedName>
    <definedName name="IQ_INT_INC_LOANS">"c596"</definedName>
    <definedName name="IQ_INT_INC_REIT">"c597"</definedName>
    <definedName name="IQ_INT_INC_TOTAL">"c598"</definedName>
    <definedName name="IQ_INT_INC_UTI">"c599"</definedName>
    <definedName name="IQ_INT_INV_INC">"c600"</definedName>
    <definedName name="IQ_INT_INV_INC_REIT">"c601"</definedName>
    <definedName name="IQ_INT_INV_INC_UTI">"c602"</definedName>
    <definedName name="IQ_INT_ON_BORROWING_COVERAGE">"c603"</definedName>
    <definedName name="IQ_INT_RATE_SPREAD">"c604"</definedName>
    <definedName name="IQ_INTANGIBLES_NET">"c1407"</definedName>
    <definedName name="IQ_INTEREST_CASH_DEPOSITS">"c2255"</definedName>
    <definedName name="IQ_INTEREST_EXP">"c618"</definedName>
    <definedName name="IQ_INTEREST_EXP_NET">"c1450"</definedName>
    <definedName name="IQ_INTEREST_EXP_NON">"c1383"</definedName>
    <definedName name="IQ_INTEREST_EXP_SUPPL">"c1460"</definedName>
    <definedName name="IQ_INTEREST_INC">"c1393"</definedName>
    <definedName name="IQ_INTEREST_INC_NON">"c1384"</definedName>
    <definedName name="IQ_INTEREST_INVEST_INC">"c619"</definedName>
    <definedName name="IQ_INV_10YR_ANN_GROWTH">"c1930"</definedName>
    <definedName name="IQ_INV_1YR_ANN_GROWTH">"c1925"</definedName>
    <definedName name="IQ_INV_2YR_ANN_GROWTH">"c1926"</definedName>
    <definedName name="IQ_INV_3YR_ANN_GROWTH">"c1927"</definedName>
    <definedName name="IQ_INV_5YR_ANN_GROWTH">"c1928"</definedName>
    <definedName name="IQ_INV_7YR_ANN_GROWTH">"c1929"</definedName>
    <definedName name="IQ_INV_BANKING_FEE">"c620"</definedName>
    <definedName name="IQ_INV_METHOD">"c621"</definedName>
    <definedName name="IQ_INVENTORY">"c622"</definedName>
    <definedName name="IQ_INVENTORY_TURNS">"c623"</definedName>
    <definedName name="IQ_INVENTORY_UTI">"c624"</definedName>
    <definedName name="IQ_INVEST_DEBT">"c625"</definedName>
    <definedName name="IQ_INVEST_EQUITY_PREF">"c626"</definedName>
    <definedName name="IQ_INVEST_FHLB">"c627"</definedName>
    <definedName name="IQ_INVEST_GOV_SECURITY">"c5510"</definedName>
    <definedName name="IQ_INVEST_LOANS_CF">"c628"</definedName>
    <definedName name="IQ_INVEST_LOANS_CF_BNK">"c629"</definedName>
    <definedName name="IQ_INVEST_LOANS_CF_BR">"c630"</definedName>
    <definedName name="IQ_INVEST_LOANS_CF_FIN">"c631"</definedName>
    <definedName name="IQ_INVEST_LOANS_CF_INS">"c632"</definedName>
    <definedName name="IQ_INVEST_LOANS_CF_REIT">"c633"</definedName>
    <definedName name="IQ_INVEST_LOANS_CF_UTI">"c634"</definedName>
    <definedName name="IQ_INVEST_MUNI_SECURITY">"c5512"</definedName>
    <definedName name="IQ_INVEST_REAL_ESTATE">"c635"</definedName>
    <definedName name="IQ_INVEST_SECURITY">"c636"</definedName>
    <definedName name="IQ_INVEST_SECURITY_CF">"c637"</definedName>
    <definedName name="IQ_INVEST_SECURITY_CF_BNK">"c638"</definedName>
    <definedName name="IQ_INVEST_SECURITY_CF_BR">"c639"</definedName>
    <definedName name="IQ_INVEST_SECURITY_CF_FIN">"c640"</definedName>
    <definedName name="IQ_INVEST_SECURITY_CF_INS">"c641"</definedName>
    <definedName name="IQ_INVEST_SECURITY_CF_REIT">"c642"</definedName>
    <definedName name="IQ_INVEST_SECURITY_CF_UTI">"c643"</definedName>
    <definedName name="IQ_INVEST_SECURITY_SUPPL">"c5511"</definedName>
    <definedName name="IQ_IPRD">"c644"</definedName>
    <definedName name="IQ_ISS_DEBT_NET">"c1391"</definedName>
    <definedName name="IQ_ISS_STOCK_NET">"c1601"</definedName>
    <definedName name="IQ_ISSUE_CURRENCY">"c2156"</definedName>
    <definedName name="IQ_ISSUE_NAME">"c2142"</definedName>
    <definedName name="IQ_ISSUER">"c2143"</definedName>
    <definedName name="IQ_ISSUER_CIQID">"c2258"</definedName>
    <definedName name="IQ_ISSUER_PARENT">"c2144"</definedName>
    <definedName name="IQ_ISSUER_PARENT_CIQID">"c2260"</definedName>
    <definedName name="IQ_ISSUER_PARENT_TICKER">"c2259"</definedName>
    <definedName name="IQ_ISSUER_TICKER">"c2252"</definedName>
    <definedName name="IQ_JR_SUB_DEBT">"c2534"</definedName>
    <definedName name="IQ_JR_SUB_DEBT_EBITDA">"c2560"</definedName>
    <definedName name="IQ_JR_SUB_DEBT_EBITDA_CAPEX">"c2561"</definedName>
    <definedName name="IQ_JR_SUB_DEBT_PCT">"c2535"</definedName>
    <definedName name="IQ_LAND">"c645"</definedName>
    <definedName name="IQ_LAST_PMT_DATE">"c2188"</definedName>
    <definedName name="IQ_LAST_SPLIT_DATE">"c2095"</definedName>
    <definedName name="IQ_LAST_SPLIT_FACTOR">"c2093"</definedName>
    <definedName name="IQ_LASTPRICINGDATE">"c3051"</definedName>
    <definedName name="IQ_LASTSALEPRICE">"c646"</definedName>
    <definedName name="IQ_LASTSALEPRICE_DATE">"c2109"</definedName>
    <definedName name="IQ_LATESTK">1000</definedName>
    <definedName name="IQ_LATESTQ">500</definedName>
    <definedName name="IQ_LEGAL_SETTLE">"c647"</definedName>
    <definedName name="IQ_LEGAL_SETTLE_BNK">"c648"</definedName>
    <definedName name="IQ_LEGAL_SETTLE_BR">"c649"</definedName>
    <definedName name="IQ_LEGAL_SETTLE_FIN">"c650"</definedName>
    <definedName name="IQ_LEGAL_SETTLE_INS">"c651"</definedName>
    <definedName name="IQ_LEGAL_SETTLE_REIT">"c652"</definedName>
    <definedName name="IQ_LEGAL_SETTLE_UTI">"c653"</definedName>
    <definedName name="IQ_LEVERAGE_RATIO">"c654"</definedName>
    <definedName name="IQ_LEVERED_FCF">"c1907"</definedName>
    <definedName name="IQ_LFCF_10YR_ANN_GROWTH">"c1942"</definedName>
    <definedName name="IQ_LFCF_1YR_ANN_GROWTH">"c1937"</definedName>
    <definedName name="IQ_LFCF_2YR_ANN_GROWTH">"c1938"</definedName>
    <definedName name="IQ_LFCF_3YR_ANN_GROWTH">"c1939"</definedName>
    <definedName name="IQ_LFCF_5YR_ANN_GROWTH">"c1940"</definedName>
    <definedName name="IQ_LFCF_7YR_ANN_GROWTH">"c1941"</definedName>
    <definedName name="IQ_LFCF_MARGIN">"c1961"</definedName>
    <definedName name="IQ_LH_STATUTORY_SURPLUS">"c2771"</definedName>
    <definedName name="IQ_LICENSED_POPS">"c2123"</definedName>
    <definedName name="IQ_LIFE_EARNED">"c2739"</definedName>
    <definedName name="IQ_LIFOR">"c655"</definedName>
    <definedName name="IQ_LL">"c656"</definedName>
    <definedName name="IQ_LOAN_LEASE_RECEIV">"c657"</definedName>
    <definedName name="IQ_LOAN_LOSS">"c1386"</definedName>
    <definedName name="IQ_LOAN_SERVICE_REV">"c658"</definedName>
    <definedName name="IQ_LOANS_CF">"c659"</definedName>
    <definedName name="IQ_LOANS_CF_BNK">"c660"</definedName>
    <definedName name="IQ_LOANS_CF_BR">"c661"</definedName>
    <definedName name="IQ_LOANS_CF_FIN">"c662"</definedName>
    <definedName name="IQ_LOANS_CF_INS">"c663"</definedName>
    <definedName name="IQ_LOANS_CF_REIT">"c664"</definedName>
    <definedName name="IQ_LOANS_CF_UTI">"c665"</definedName>
    <definedName name="IQ_LOANS_FOR_SALE">"c666"</definedName>
    <definedName name="IQ_LOANS_PAST_DUE">"c667"</definedName>
    <definedName name="IQ_LOANS_RECEIV_CURRENT">"c668"</definedName>
    <definedName name="IQ_LOANS_RECEIV_LT">"c669"</definedName>
    <definedName name="IQ_LOANS_RECEIV_LT_UTI">"c670"</definedName>
    <definedName name="IQ_LONG_TERM_DEBT">"c1387"</definedName>
    <definedName name="IQ_LONG_TERM_DEBT_OVER_TOTAL_CAP">"c1388"</definedName>
    <definedName name="IQ_LONG_TERM_GROWTH">"c671"</definedName>
    <definedName name="IQ_LONG_TERM_INV">"c1389"</definedName>
    <definedName name="IQ_LOSS_LOSS_EXP">"c672"</definedName>
    <definedName name="IQ_LOSS_TO_NET_EARNED">"c2751"</definedName>
    <definedName name="IQ_LOW_TARGET_PRICE">"c1652"</definedName>
    <definedName name="IQ_LOW_TARGET_PRICE_REUT">"c5318"</definedName>
    <definedName name="IQ_LOWPRICE">"c673"</definedName>
    <definedName name="IQ_LT_DEBT">"c674"</definedName>
    <definedName name="IQ_LT_DEBT_BNK">"c675"</definedName>
    <definedName name="IQ_LT_DEBT_BR">"c676"</definedName>
    <definedName name="IQ_LT_DEBT_CAPITAL">"c677"</definedName>
    <definedName name="IQ_LT_DEBT_CAPITAL_LEASES">"c2542"</definedName>
    <definedName name="IQ_LT_DEBT_CAPITAL_LEASES_PCT">"c2543"</definedName>
    <definedName name="IQ_LT_DEBT_EQUITY">"c678"</definedName>
    <definedName name="IQ_LT_DEBT_FIN">"c679"</definedName>
    <definedName name="IQ_LT_DEBT_INS">"c680"</definedName>
    <definedName name="IQ_LT_DEBT_ISSUED">"c681"</definedName>
    <definedName name="IQ_LT_DEBT_ISSUED_BNK">"c682"</definedName>
    <definedName name="IQ_LT_DEBT_ISSUED_BR">"c683"</definedName>
    <definedName name="IQ_LT_DEBT_ISSUED_FIN">"c684"</definedName>
    <definedName name="IQ_LT_DEBT_ISSUED_INS">"c685"</definedName>
    <definedName name="IQ_LT_DEBT_ISSUED_REIT">"c686"</definedName>
    <definedName name="IQ_LT_DEBT_ISSUED_UTI">"c687"</definedName>
    <definedName name="IQ_LT_DEBT_REIT">"c688"</definedName>
    <definedName name="IQ_LT_DEBT_REPAID">"c689"</definedName>
    <definedName name="IQ_LT_DEBT_REPAID_BNK">"c690"</definedName>
    <definedName name="IQ_LT_DEBT_REPAID_BR">"c691"</definedName>
    <definedName name="IQ_LT_DEBT_REPAID_FIN">"c692"</definedName>
    <definedName name="IQ_LT_DEBT_REPAID_INS">"c693"</definedName>
    <definedName name="IQ_LT_DEBT_REPAID_REIT">"c694"</definedName>
    <definedName name="IQ_LT_DEBT_REPAID_UTI">"c695"</definedName>
    <definedName name="IQ_LT_DEBT_UTI">"c696"</definedName>
    <definedName name="IQ_LT_INVEST">"c697"</definedName>
    <definedName name="IQ_LT_INVEST_BR">"c698"</definedName>
    <definedName name="IQ_LT_INVEST_FIN">"c699"</definedName>
    <definedName name="IQ_LT_INVEST_REIT">"c700"</definedName>
    <definedName name="IQ_LT_INVEST_UTI">"c701"</definedName>
    <definedName name="IQ_LT_NOTE_RECEIV">"c1602"</definedName>
    <definedName name="IQ_LTD_DUE_AFTER_FIVE">"c704"</definedName>
    <definedName name="IQ_LTD_DUE_CY">"c705"</definedName>
    <definedName name="IQ_LTD_DUE_CY1">"c706"</definedName>
    <definedName name="IQ_LTD_DUE_CY2">"c707"</definedName>
    <definedName name="IQ_LTD_DUE_CY3">"c708"</definedName>
    <definedName name="IQ_LTD_DUE_CY4">"c709"</definedName>
    <definedName name="IQ_LTD_DUE_NEXT_FIVE">"c710"</definedName>
    <definedName name="IQ_LTM">2000</definedName>
    <definedName name="IQ_LTM_REVENUE_OVER_EMPLOYEES">"c1437"</definedName>
    <definedName name="IQ_MACHINERY">"c711"</definedName>
    <definedName name="IQ_MAINT_CAPEX">"c2947"</definedName>
    <definedName name="IQ_MAINT_CAPEX_ACT_OR_EST">"c4458"</definedName>
    <definedName name="IQ_MAINT_REPAIR">"c2087"</definedName>
    <definedName name="IQ_MAKE_WHOLE_END_DATE">"c2493"</definedName>
    <definedName name="IQ_MAKE_WHOLE_SPREAD">"c2494"</definedName>
    <definedName name="IQ_MAKE_WHOLE_START_DATE">"c2492"</definedName>
    <definedName name="IQ_MARKET_CAP_LFCF">"c2209"</definedName>
    <definedName name="IQ_MARKETCAP">"c712"</definedName>
    <definedName name="IQ_MARKETING">"c2239"</definedName>
    <definedName name="IQ_MATURITY_DATE">"c2146"</definedName>
    <definedName name="IQ_MC_RATIO">"c2783"</definedName>
    <definedName name="IQ_MC_STATUTORY_SURPLUS">"c2772"</definedName>
    <definedName name="IQ_MEDIAN_TARGET_PRICE">"c1650"</definedName>
    <definedName name="IQ_MEDIAN_TARGET_PRICE_REUT">"c5316"</definedName>
    <definedName name="IQ_MERGER">"c713"</definedName>
    <definedName name="IQ_MERGER_BNK">"c714"</definedName>
    <definedName name="IQ_MERGER_BR">"c715"</definedName>
    <definedName name="IQ_MERGER_FIN">"c716"</definedName>
    <definedName name="IQ_MERGER_INS">"c717"</definedName>
    <definedName name="IQ_MERGER_REIT">"c718"</definedName>
    <definedName name="IQ_MERGER_RESTRUCTURE">"c719"</definedName>
    <definedName name="IQ_MERGER_RESTRUCTURE_BNK">"c720"</definedName>
    <definedName name="IQ_MERGER_RESTRUCTURE_BR">"c721"</definedName>
    <definedName name="IQ_MERGER_RESTRUCTURE_FIN">"c722"</definedName>
    <definedName name="IQ_MERGER_RESTRUCTURE_INS">"c723"</definedName>
    <definedName name="IQ_MERGER_RESTRUCTURE_REIT">"c724"</definedName>
    <definedName name="IQ_MERGER_RESTRUCTURE_UTI">"c725"</definedName>
    <definedName name="IQ_MERGER_UTI">"c726"</definedName>
    <definedName name="IQ_MINORITY_INTEREST">"c727"</definedName>
    <definedName name="IQ_MINORITY_INTEREST_BNK">"c728"</definedName>
    <definedName name="IQ_MINORITY_INTEREST_BR">"c729"</definedName>
    <definedName name="IQ_MINORITY_INTEREST_CF">"c730"</definedName>
    <definedName name="IQ_MINORITY_INTEREST_FIN">"c731"</definedName>
    <definedName name="IQ_MINORITY_INTEREST_INS">"c732"</definedName>
    <definedName name="IQ_MINORITY_INTEREST_IS">"c733"</definedName>
    <definedName name="IQ_MINORITY_INTEREST_REIT">"c734"</definedName>
    <definedName name="IQ_MINORITY_INTEREST_TOTAL">"c1905"</definedName>
    <definedName name="IQ_MINORITY_INTEREST_UTI">"c735"</definedName>
    <definedName name="IQ_MISC_ADJUST_CF">"c736"</definedName>
    <definedName name="IQ_MISC_EARN_ADJ">"c1603"</definedName>
    <definedName name="IQ_MKTCAP_EBT_EXCL">"c737"</definedName>
    <definedName name="IQ_MKTCAP_EBT_EXCL_AVG">"c738"</definedName>
    <definedName name="IQ_MKTCAP_EBT_INCL_AVG">"c739"</definedName>
    <definedName name="IQ_MKTCAP_TOTAL_REV">"c740"</definedName>
    <definedName name="IQ_MKTCAP_TOTAL_REV_AVG">"c741"</definedName>
    <definedName name="IQ_MKTCAP_TOTAL_REV_FWD">"c742"</definedName>
    <definedName name="IQ_MKTCAP_TOTAL_REV_FWD_REUT">"c4048"</definedName>
    <definedName name="IQ_MM_ACCOUNT">"c743"</definedName>
    <definedName name="IQ_MORT_BANK_ACT">"c744"</definedName>
    <definedName name="IQ_MORT_BANKING_FEE">"c745"</definedName>
    <definedName name="IQ_MORT_INT_INC">"c746"</definedName>
    <definedName name="IQ_MORT_LOANS">"c747"</definedName>
    <definedName name="IQ_MORT_SECURITY">"c748"</definedName>
    <definedName name="IQ_MORTGAGE_SERV_RIGHTS">"c2242"</definedName>
    <definedName name="IQ_NET_CHANGE">"c749"</definedName>
    <definedName name="IQ_NET_CLAIM_EXP_INCUR">"c2757"</definedName>
    <definedName name="IQ_NET_CLAIM_EXP_INCUR_CY">"c2761"</definedName>
    <definedName name="IQ_NET_CLAIM_EXP_INCUR_PY">"c2762"</definedName>
    <definedName name="IQ_NET_CLAIM_EXP_PAID">"c2760"</definedName>
    <definedName name="IQ_NET_CLAIM_EXP_PAID_CY">"c2763"</definedName>
    <definedName name="IQ_NET_CLAIM_EXP_PAID_PY">"c2764"</definedName>
    <definedName name="IQ_NET_CLAIM_EXP_RES">"c2754"</definedName>
    <definedName name="IQ_NET_DEBT">"c1584"</definedName>
    <definedName name="IQ_NET_DEBT_EBITDA">"c750"</definedName>
    <definedName name="IQ_NET_DEBT_EBITDA_CAPEX">"c2949"</definedName>
    <definedName name="IQ_NET_DEBT_ISSUED">"c751"</definedName>
    <definedName name="IQ_NET_DEBT_ISSUED_BNK">"c752"</definedName>
    <definedName name="IQ_NET_DEBT_ISSUED_BR">"c753"</definedName>
    <definedName name="IQ_NET_DEBT_ISSUED_FIN">"c754"</definedName>
    <definedName name="IQ_NET_DEBT_ISSUED_INS">"c755"</definedName>
    <definedName name="IQ_NET_DEBT_ISSUED_REIT">"c756"</definedName>
    <definedName name="IQ_NET_DEBT_ISSUED_UTI">"c757"</definedName>
    <definedName name="IQ_NET_EARNED">"c2734"</definedName>
    <definedName name="IQ_NET_INC">"c1394"</definedName>
    <definedName name="IQ_NET_INC_BEFORE">"c1368"</definedName>
    <definedName name="IQ_NET_INC_CF">"c1397"</definedName>
    <definedName name="IQ_NET_INC_MARGIN">"c1398"</definedName>
    <definedName name="IQ_NET_INT_INC_10YR_ANN_GROWTH">"c758"</definedName>
    <definedName name="IQ_NET_INT_INC_1YR_ANN_GROWTH">"c759"</definedName>
    <definedName name="IQ_NET_INT_INC_2YR_ANN_GROWTH">"c760"</definedName>
    <definedName name="IQ_NET_INT_INC_3YR_ANN_GROWTH">"c761"</definedName>
    <definedName name="IQ_NET_INT_INC_5YR_ANN_GROWTH">"c762"</definedName>
    <definedName name="IQ_NET_INT_INC_7YR_ANN_GROWTH">"c763"</definedName>
    <definedName name="IQ_NET_INT_INC_BNK">"c764"</definedName>
    <definedName name="IQ_NET_INT_INC_BR">"c765"</definedName>
    <definedName name="IQ_NET_INT_INC_FIN">"c766"</definedName>
    <definedName name="IQ_NET_INT_INC_TOTAL_REV">"c767"</definedName>
    <definedName name="IQ_NET_INT_MARGIN">"c768"</definedName>
    <definedName name="IQ_NET_INTEREST_EXP">"c769"</definedName>
    <definedName name="IQ_NET_INTEREST_EXP_REIT">"c770"</definedName>
    <definedName name="IQ_NET_INTEREST_EXP_UTI">"c771"</definedName>
    <definedName name="IQ_NET_INTEREST_INC">"c1392"</definedName>
    <definedName name="IQ_NET_INTEREST_INC_AFTER_LL">"c1604"</definedName>
    <definedName name="IQ_NET_LIFE_INS_IN_FORCE">"c2769"</definedName>
    <definedName name="IQ_NET_LOANS">"c772"</definedName>
    <definedName name="IQ_NET_LOANS_10YR_ANN_GROWTH">"c773"</definedName>
    <definedName name="IQ_NET_LOANS_1YR_ANN_GROWTH">"c774"</definedName>
    <definedName name="IQ_NET_LOANS_2YR_ANN_GROWTH">"c775"</definedName>
    <definedName name="IQ_NET_LOANS_3YR_ANN_GROWTH">"c776"</definedName>
    <definedName name="IQ_NET_LOANS_5YR_ANN_GROWTH">"c777"</definedName>
    <definedName name="IQ_NET_LOANS_7YR_ANN_GROWTH">"c778"</definedName>
    <definedName name="IQ_NET_LOANS_TOTAL_DEPOSITS">"c779"</definedName>
    <definedName name="IQ_NET_RENTAL_EXP_FN">"c780"</definedName>
    <definedName name="IQ_NET_TO_GROSS_EARNED">"c2750"</definedName>
    <definedName name="IQ_NET_TO_GROSS_WRITTEN">"c2729"</definedName>
    <definedName name="IQ_NET_WORKING_CAP">"c3493"</definedName>
    <definedName name="IQ_NET_WRITTEN">"c2728"</definedName>
    <definedName name="IQ_NEW_PREM">"c2785"</definedName>
    <definedName name="IQ_NEXT_CALL_DATE">"c2198"</definedName>
    <definedName name="IQ_NEXT_CALL_PRICE">"c2199"</definedName>
    <definedName name="IQ_NEXT_INT_DATE">"c2187"</definedName>
    <definedName name="IQ_NEXT_PUT_DATE">"c2200"</definedName>
    <definedName name="IQ_NEXT_PUT_PRICE">"c2201"</definedName>
    <definedName name="IQ_NEXT_SINK_FUND_AMOUNT">"c2490"</definedName>
    <definedName name="IQ_NEXT_SINK_FUND_DATE">"c2489"</definedName>
    <definedName name="IQ_NEXT_SINK_FUND_PRICE">"c2491"</definedName>
    <definedName name="IQ_NI">"c781"</definedName>
    <definedName name="IQ_NI_10YR_ANN_GROWTH">"c782"</definedName>
    <definedName name="IQ_NI_1YR_ANN_GROWTH">"c783"</definedName>
    <definedName name="IQ_NI_2YR_ANN_GROWTH">"c784"</definedName>
    <definedName name="IQ_NI_3YR_ANN_GROWTH">"c785"</definedName>
    <definedName name="IQ_NI_5YR_ANN_GROWTH">"c786"</definedName>
    <definedName name="IQ_NI_7YR_ANN_GROWTH">"c787"</definedName>
    <definedName name="IQ_NI_AFTER_CAPITALIZED">"c788"</definedName>
    <definedName name="IQ_NI_AVAIL_EXCL">"c789"</definedName>
    <definedName name="IQ_NI_AVAIL_EXCL_MARGIN">"c790"</definedName>
    <definedName name="IQ_NI_AVAIL_INCL">"c791"</definedName>
    <definedName name="IQ_NI_BEFORE_CAPITALIZED">"c792"</definedName>
    <definedName name="IQ_NI_CF">"c793"</definedName>
    <definedName name="IQ_NI_MARGIN">"c794"</definedName>
    <definedName name="IQ_NI_NORM">"c1901"</definedName>
    <definedName name="IQ_NI_NORM_10YR_ANN_GROWTH">"c1960"</definedName>
    <definedName name="IQ_NI_NORM_1YR_ANN_GROWTH">"c1955"</definedName>
    <definedName name="IQ_NI_NORM_2YR_ANN_GROWTH">"c1956"</definedName>
    <definedName name="IQ_NI_NORM_3YR_ANN_GROWTH">"c1957"</definedName>
    <definedName name="IQ_NI_NORM_5YR_ANN_GROWTH">"c1958"</definedName>
    <definedName name="IQ_NI_NORM_7YR_ANN_GROWTH">"c1959"</definedName>
    <definedName name="IQ_NI_NORM_MARGIN">"c1964"</definedName>
    <definedName name="IQ_NI_SBC_ACT_OR_EST">"c4474"</definedName>
    <definedName name="IQ_NI_SBC_GW_ACT_OR_EST">"c4478"</definedName>
    <definedName name="IQ_NI_SFAS">"c795"</definedName>
    <definedName name="IQ_NOL_CF_1YR">"c3465"</definedName>
    <definedName name="IQ_NOL_CF_2YR">"c3466"</definedName>
    <definedName name="IQ_NOL_CF_3YR">"c3467"</definedName>
    <definedName name="IQ_NOL_CF_4YR">"c3468"</definedName>
    <definedName name="IQ_NOL_CF_5YR">"c3469"</definedName>
    <definedName name="IQ_NOL_CF_AFTER_FIVE">"c3470"</definedName>
    <definedName name="IQ_NOL_CF_MAX_YEAR">"c3473"</definedName>
    <definedName name="IQ_NOL_CF_NO_EXP">"c3471"</definedName>
    <definedName name="IQ_NOL_CF_TOTAL">"c3472"</definedName>
    <definedName name="IQ_NON_ACCRUAL_LOANS">"c796"</definedName>
    <definedName name="IQ_NON_CASH">"c1399"</definedName>
    <definedName name="IQ_NON_CASH_ITEMS">"c797"</definedName>
    <definedName name="IQ_NON_INS_EXP">"c798"</definedName>
    <definedName name="IQ_NON_INS_REV">"c799"</definedName>
    <definedName name="IQ_NON_INT_BEAR_CD">"c800"</definedName>
    <definedName name="IQ_NON_INT_EXP">"c801"</definedName>
    <definedName name="IQ_NON_INT_INC">"c802"</definedName>
    <definedName name="IQ_NON_INT_INC_10YR_ANN_GROWTH">"c803"</definedName>
    <definedName name="IQ_NON_INT_INC_1YR_ANN_GROWTH">"c804"</definedName>
    <definedName name="IQ_NON_INT_INC_2YR_ANN_GROWTH">"c805"</definedName>
    <definedName name="IQ_NON_INT_INC_3YR_ANN_GROWTH">"c806"</definedName>
    <definedName name="IQ_NON_INT_INC_5YR_ANN_GROWTH">"c807"</definedName>
    <definedName name="IQ_NON_INT_INC_7YR_ANN_GROWTH">"c808"</definedName>
    <definedName name="IQ_NON_INTEREST_EXP">"c1400"</definedName>
    <definedName name="IQ_NON_INTEREST_INC">"c1401"</definedName>
    <definedName name="IQ_NON_OPER_EXP">"c809"</definedName>
    <definedName name="IQ_NON_OPER_INC">"c810"</definedName>
    <definedName name="IQ_NON_PERF_ASSETS_10YR_ANN_GROWTH">"c811"</definedName>
    <definedName name="IQ_NON_PERF_ASSETS_1YR_ANN_GROWTH">"c812"</definedName>
    <definedName name="IQ_NON_PERF_ASSETS_2YR_ANN_GROWTH">"c813"</definedName>
    <definedName name="IQ_NON_PERF_ASSETS_3YR_ANN_GROWTH">"c814"</definedName>
    <definedName name="IQ_NON_PERF_ASSETS_5YR_ANN_GROWTH">"c815"</definedName>
    <definedName name="IQ_NON_PERF_ASSETS_7YR_ANN_GROWTH">"c816"</definedName>
    <definedName name="IQ_NON_PERF_ASSETS_TOTAL_ASSETS">"c817"</definedName>
    <definedName name="IQ_NON_PERF_LOANS_10YR_ANN_GROWTH">"c818"</definedName>
    <definedName name="IQ_NON_PERF_LOANS_1YR_ANN_GROWTH">"c819"</definedName>
    <definedName name="IQ_NON_PERF_LOANS_2YR_ANN_GROWTH">"c820"</definedName>
    <definedName name="IQ_NON_PERF_LOANS_3YR_ANN_GROWTH">"c821"</definedName>
    <definedName name="IQ_NON_PERF_LOANS_5YR_ANN_GROWTH">"c822"</definedName>
    <definedName name="IQ_NON_PERF_LOANS_7YR_ANN_GROWTH">"c823"</definedName>
    <definedName name="IQ_NON_PERF_LOANS_TOTAL_ASSETS">"c824"</definedName>
    <definedName name="IQ_NON_PERF_LOANS_TOTAL_LOANS">"c825"</definedName>
    <definedName name="IQ_NON_PERFORMING_ASSETS">"c826"</definedName>
    <definedName name="IQ_NON_PERFORMING_LOANS">"c827"</definedName>
    <definedName name="IQ_NONCASH_PENSION_EXP">"c3000"</definedName>
    <definedName name="IQ_NONRECOURSE_DEBT">"c2550"</definedName>
    <definedName name="IQ_NONRECOURSE_DEBT_PCT">"c2551"</definedName>
    <definedName name="IQ_NONUTIL_REV">"c2089"</definedName>
    <definedName name="IQ_NORMAL_INC_AFTER">"c1605"</definedName>
    <definedName name="IQ_NORMAL_INC_AVAIL">"c1606"</definedName>
    <definedName name="IQ_NORMAL_INC_BEFORE">"c1607"</definedName>
    <definedName name="IQ_NOTES_PAY">"c1423"</definedName>
    <definedName name="IQ_NOW_ACCOUNT">"c828"</definedName>
    <definedName name="IQ_NPPE">"c829"</definedName>
    <definedName name="IQ_NPPE_10YR_ANN_GROWTH">"c830"</definedName>
    <definedName name="IQ_NPPE_1YR_ANN_GROWTH">"c831"</definedName>
    <definedName name="IQ_NPPE_2YR_ANN_GROWTH">"c832"</definedName>
    <definedName name="IQ_NPPE_3YR_ANN_GROWTH">"c833"</definedName>
    <definedName name="IQ_NPPE_5YR_ANN_GROWTH">"c834"</definedName>
    <definedName name="IQ_NPPE_7YR_ANN_GROWTH">"c835"</definedName>
    <definedName name="IQ_NTM">6000</definedName>
    <definedName name="IQ_NUKE">"c836"</definedName>
    <definedName name="IQ_NUKE_CF">"c837"</definedName>
    <definedName name="IQ_NUKE_CONTR">"c838"</definedName>
    <definedName name="IQ_NUM_BRANCHES">"c2088"</definedName>
    <definedName name="IQ_NUMBER_ADRHOLDERS">"c1970"</definedName>
    <definedName name="IQ_NUMBER_DAYS">"c1904"</definedName>
    <definedName name="IQ_NUMBER_SHAREHOLDERS">"c1967"</definedName>
    <definedName name="IQ_NUMBER_SHAREHOLDERS_CLASSA">"c1968"</definedName>
    <definedName name="IQ_NUMBER_SHAREHOLDERS_OTHER">"c1969"</definedName>
    <definedName name="IQ_OCCUPY_EXP">"c839"</definedName>
    <definedName name="IQ_OFFER_AMOUNT">"c2152"</definedName>
    <definedName name="IQ_OFFER_COUPON">"c2147"</definedName>
    <definedName name="IQ_OFFER_COUPON_TYPE">"c2148"</definedName>
    <definedName name="IQ_OFFER_DATE">"c2149"</definedName>
    <definedName name="IQ_OFFER_PRICE">"c2150"</definedName>
    <definedName name="IQ_OFFER_YIELD">"c2151"</definedName>
    <definedName name="IQ_OG_10DISC">"c1998"</definedName>
    <definedName name="IQ_OG_10DISC_GAS">"c2018"</definedName>
    <definedName name="IQ_OG_10DISC_OIL">"c2008"</definedName>
    <definedName name="IQ_OG_ACQ_COST_PROVED">"c1975"</definedName>
    <definedName name="IQ_OG_ACQ_COST_PROVED_GAS">"c1987"</definedName>
    <definedName name="IQ_OG_ACQ_COST_PROVED_OIL">"c1981"</definedName>
    <definedName name="IQ_OG_ACQ_COST_UNPROVED">"c1976"</definedName>
    <definedName name="IQ_OG_ACQ_COST_UNPROVED_GAS">"c1988"</definedName>
    <definedName name="IQ_OG_ACQ_COST_UNPROVED_OIL">"c1982"</definedName>
    <definedName name="IQ_OG_AVG_DAILY_PROD_GAS">"c2910"</definedName>
    <definedName name="IQ_OG_AVG_DAILY_PROD_NGL">"c2911"</definedName>
    <definedName name="IQ_OG_AVG_DAILY_PROD_OIL">"c2909"</definedName>
    <definedName name="IQ_OG_CLOSE_BALANCE_GAS">"c2049"</definedName>
    <definedName name="IQ_OG_CLOSE_BALANCE_NGL">"c2920"</definedName>
    <definedName name="IQ_OG_CLOSE_BALANCE_OIL">"c2037"</definedName>
    <definedName name="IQ_OG_DCF_BEFORE_TAXES">"c2023"</definedName>
    <definedName name="IQ_OG_DCF_BEFORE_TAXES_GAS">"c2025"</definedName>
    <definedName name="IQ_OG_DCF_BEFORE_TAXES_OIL">"c2024"</definedName>
    <definedName name="IQ_OG_DEVELOPED_RESERVES_GAS">"c2053"</definedName>
    <definedName name="IQ_OG_DEVELOPED_RESERVES_NGL">"c2922"</definedName>
    <definedName name="IQ_OG_DEVELOPED_RESERVES_OIL">"c2054"</definedName>
    <definedName name="IQ_OG_DEVELOPMENT_COSTS">"c1978"</definedName>
    <definedName name="IQ_OG_DEVELOPMENT_COSTS_GAS">"c1990"</definedName>
    <definedName name="IQ_OG_DEVELOPMENT_COSTS_OIL">"c1984"</definedName>
    <definedName name="IQ_OG_EQUITY_DCF">"c2002"</definedName>
    <definedName name="IQ_OG_EQUITY_DCF_GAS">"c2022"</definedName>
    <definedName name="IQ_OG_EQUITY_DCF_OIL">"c2012"</definedName>
    <definedName name="IQ_OG_EQUTY_RESERVES_GAS">"c2050"</definedName>
    <definedName name="IQ_OG_EQUTY_RESERVES_NGL">"c2921"</definedName>
    <definedName name="IQ_OG_EQUTY_RESERVES_OIL">"c2038"</definedName>
    <definedName name="IQ_OG_EXPLORATION_COSTS">"c1977"</definedName>
    <definedName name="IQ_OG_EXPLORATION_COSTS_GAS">"c1989"</definedName>
    <definedName name="IQ_OG_EXPLORATION_COSTS_OIL">"c1983"</definedName>
    <definedName name="IQ_OG_EXT_DISC_GAS">"c2043"</definedName>
    <definedName name="IQ_OG_EXT_DISC_NGL">"c2914"</definedName>
    <definedName name="IQ_OG_EXT_DISC_OIL">"c2031"</definedName>
    <definedName name="IQ_OG_FUTURE_CASH_INFLOWS">"c1993"</definedName>
    <definedName name="IQ_OG_FUTURE_CASH_INFLOWS_GAS">"c2013"</definedName>
    <definedName name="IQ_OG_FUTURE_CASH_INFLOWS_OIL">"c2003"</definedName>
    <definedName name="IQ_OG_FUTURE_DEVELOPMENT_COSTS">"c1995"</definedName>
    <definedName name="IQ_OG_FUTURE_DEVELOPMENT_COSTS_GAS">"c2015"</definedName>
    <definedName name="IQ_OG_FUTURE_DEVELOPMENT_COSTS_OIL">"c2005"</definedName>
    <definedName name="IQ_OG_FUTURE_INC_TAXES">"c1997"</definedName>
    <definedName name="IQ_OG_FUTURE_INC_TAXES_GAS">"c2017"</definedName>
    <definedName name="IQ_OG_FUTURE_INC_TAXES_OIL">"c2007"</definedName>
    <definedName name="IQ_OG_FUTURE_PRODUCTION_COSTS">"c1994"</definedName>
    <definedName name="IQ_OG_FUTURE_PRODUCTION_COSTS_GAS">"c2014"</definedName>
    <definedName name="IQ_OG_FUTURE_PRODUCTION_COSTS_OIL">"c2004"</definedName>
    <definedName name="IQ_OG_GAS_PRICE_HEDGED">"c2056"</definedName>
    <definedName name="IQ_OG_GAS_PRICE_UNHEDGED">"c2058"</definedName>
    <definedName name="IQ_OG_IMPROVED_RECOVERY_GAS">"c2044"</definedName>
    <definedName name="IQ_OG_IMPROVED_RECOVERY_NGL">"c2915"</definedName>
    <definedName name="IQ_OG_IMPROVED_RECOVERY_OIL">"c2032"</definedName>
    <definedName name="IQ_OG_LIQUID_GAS_PRICE_HEDGED">"c2233"</definedName>
    <definedName name="IQ_OG_LIQUID_GAS_PRICE_UNHEDGED">"c2234"</definedName>
    <definedName name="IQ_OG_NET_FUTURE_CASH_FLOWS">"c1996"</definedName>
    <definedName name="IQ_OG_NET_FUTURE_CASH_FLOWS_GAS">"c2016"</definedName>
    <definedName name="IQ_OG_NET_FUTURE_CASH_FLOWS_OIL">"c2006"</definedName>
    <definedName name="IQ_OG_OIL_PRICE_HEDGED">"c2055"</definedName>
    <definedName name="IQ_OG_OIL_PRICE_UNHEDGED">"c2057"</definedName>
    <definedName name="IQ_OG_OPEN_BALANCE_GAS">"c2041"</definedName>
    <definedName name="IQ_OG_OPEN_BALANCE_NGL">"c2912"</definedName>
    <definedName name="IQ_OG_OPEN_BALANCE_OIL">"c2029"</definedName>
    <definedName name="IQ_OG_OTHER_ADJ_FCF">"c1999"</definedName>
    <definedName name="IQ_OG_OTHER_ADJ_FCF_GAS">"c2019"</definedName>
    <definedName name="IQ_OG_OTHER_ADJ_FCF_OIL">"c2009"</definedName>
    <definedName name="IQ_OG_OTHER_ADJ_GAS">"c2048"</definedName>
    <definedName name="IQ_OG_OTHER_ADJ_NGL">"c2919"</definedName>
    <definedName name="IQ_OG_OTHER_ADJ_OIL">"c2036"</definedName>
    <definedName name="IQ_OG_OTHER_COSTS">"c1979"</definedName>
    <definedName name="IQ_OG_OTHER_COSTS_GAS">"c1991"</definedName>
    <definedName name="IQ_OG_OTHER_COSTS_OIL">"c1985"</definedName>
    <definedName name="IQ_OG_PRODUCTION_GAS">"c2047"</definedName>
    <definedName name="IQ_OG_PRODUCTION_NGL">"c2918"</definedName>
    <definedName name="IQ_OG_PRODUCTION_OIL">"c2035"</definedName>
    <definedName name="IQ_OG_PURCHASES_GAS">"c2045"</definedName>
    <definedName name="IQ_OG_PURCHASES_NGL">"c2916"</definedName>
    <definedName name="IQ_OG_PURCHASES_OIL">"c2033"</definedName>
    <definedName name="IQ_OG_REVISIONS_GAS">"c2042"</definedName>
    <definedName name="IQ_OG_REVISIONS_NGL">"c2913"</definedName>
    <definedName name="IQ_OG_REVISIONS_OIL">"c2030"</definedName>
    <definedName name="IQ_OG_SALES_IN_PLACE_GAS">"c2046"</definedName>
    <definedName name="IQ_OG_SALES_IN_PLACE_NGL">"c2917"</definedName>
    <definedName name="IQ_OG_SALES_IN_PLACE_OIL">"c2034"</definedName>
    <definedName name="IQ_OG_STANDARDIZED_DCF">"c2000"</definedName>
    <definedName name="IQ_OG_STANDARDIZED_DCF_GAS">"c2020"</definedName>
    <definedName name="IQ_OG_STANDARDIZED_DCF_HEDGED">"c2001"</definedName>
    <definedName name="IQ_OG_STANDARDIZED_DCF_HEDGED_GAS">"c2021"</definedName>
    <definedName name="IQ_OG_STANDARDIZED_DCF_HEDGED_OIL">"c2011"</definedName>
    <definedName name="IQ_OG_STANDARDIZED_DCF_OIL">"c2010"</definedName>
    <definedName name="IQ_OG_TAXES">"c2026"</definedName>
    <definedName name="IQ_OG_TAXES_GAS">"c2028"</definedName>
    <definedName name="IQ_OG_TAXES_OIL">"c2027"</definedName>
    <definedName name="IQ_OG_TOTAL_COSTS">"c1980"</definedName>
    <definedName name="IQ_OG_TOTAL_COSTS_GAS">"c1992"</definedName>
    <definedName name="IQ_OG_TOTAL_COSTS_OIL">"c1986"</definedName>
    <definedName name="IQ_OG_TOTAL_EST_PROVED_RESERVES_GAS">"c2052"</definedName>
    <definedName name="IQ_OG_TOTAL_GAS_PRODUCTION">"c2060"</definedName>
    <definedName name="IQ_OG_TOTAL_LIQUID_GAS_PRODUCTION">"c2235"</definedName>
    <definedName name="IQ_OG_TOTAL_OIL_PRODUCTION">"c2059"</definedName>
    <definedName name="IQ_OG_UNDEVELOPED_RESERVES_GAS">"c2051"</definedName>
    <definedName name="IQ_OG_UNDEVELOPED_RESERVES_NGL">"c2923"</definedName>
    <definedName name="IQ_OG_UNDEVELOPED_RESERVES_OIL">"c2039"</definedName>
    <definedName name="IQ_OIL_IMPAIR">"c840"</definedName>
    <definedName name="IQ_OL_COMM_AFTER_FIVE">"c841"</definedName>
    <definedName name="IQ_OL_COMM_CY">"c842"</definedName>
    <definedName name="IQ_OL_COMM_CY1">"c843"</definedName>
    <definedName name="IQ_OL_COMM_CY2">"c844"</definedName>
    <definedName name="IQ_OL_COMM_CY3">"c845"</definedName>
    <definedName name="IQ_OL_COMM_CY4">"c846"</definedName>
    <definedName name="IQ_OL_COMM_NEXT_FIVE">"c847"</definedName>
    <definedName name="IQ_OPEB_ACCRUED_LIAB">"c3308"</definedName>
    <definedName name="IQ_OPEB_ACCRUED_LIAB_DOM">"c3306"</definedName>
    <definedName name="IQ_OPEB_ACCRUED_LIAB_FOREIGN">"c3307"</definedName>
    <definedName name="IQ_OPEB_ACCUM_OTHER_CI">"c3314"</definedName>
    <definedName name="IQ_OPEB_ACCUM_OTHER_CI_DOM">"c3312"</definedName>
    <definedName name="IQ_OPEB_ACCUM_OTHER_CI_FOREIGN">"c3313"</definedName>
    <definedName name="IQ_OPEB_ASSETS">"c3356"</definedName>
    <definedName name="IQ_OPEB_ASSETS_ACQ">"c3347"</definedName>
    <definedName name="IQ_OPEB_ASSETS_ACQ_DOM">"c3345"</definedName>
    <definedName name="IQ_OPEB_ASSETS_ACQ_FOREIGN">"c3346"</definedName>
    <definedName name="IQ_OPEB_ASSETS_ACTUAL_RETURN">"c3332"</definedName>
    <definedName name="IQ_OPEB_ASSETS_ACTUAL_RETURN_DOM">"c3330"</definedName>
    <definedName name="IQ_OPEB_ASSETS_ACTUAL_RETURN_FOREIGN">"c3331"</definedName>
    <definedName name="IQ_OPEB_ASSETS_BEG">"c3329"</definedName>
    <definedName name="IQ_OPEB_ASSETS_BEG_DOM">"c3327"</definedName>
    <definedName name="IQ_OPEB_ASSETS_BEG_FOREIGN">"c3328"</definedName>
    <definedName name="IQ_OPEB_ASSETS_BENEFITS_PAID">"c3341"</definedName>
    <definedName name="IQ_OPEB_ASSETS_BENEFITS_PAID_DOM">"c3339"</definedName>
    <definedName name="IQ_OPEB_ASSETS_BENEFITS_PAID_FOREIGN">"c3340"</definedName>
    <definedName name="IQ_OPEB_ASSETS_CURTAIL">"c3350"</definedName>
    <definedName name="IQ_OPEB_ASSETS_CURTAIL_DOM">"c3348"</definedName>
    <definedName name="IQ_OPEB_ASSETS_CURTAIL_FOREIGN">"c3349"</definedName>
    <definedName name="IQ_OPEB_ASSETS_DOM">"c3354"</definedName>
    <definedName name="IQ_OPEB_ASSETS_EMPLOYER_CONTRIBUTIONS">"c3335"</definedName>
    <definedName name="IQ_OPEB_ASSETS_EMPLOYER_CONTRIBUTIONS_DOM">"c3333"</definedName>
    <definedName name="IQ_OPEB_ASSETS_EMPLOYER_CONTRIBUTIONS_FOREIGN">"c3334"</definedName>
    <definedName name="IQ_OPEB_ASSETS_FOREIGN">"c3355"</definedName>
    <definedName name="IQ_OPEB_ASSETS_FX_ADJ">"c3344"</definedName>
    <definedName name="IQ_OPEB_ASSETS_FX_ADJ_DOM">"c3342"</definedName>
    <definedName name="IQ_OPEB_ASSETS_FX_ADJ_FOREIGN">"c3343"</definedName>
    <definedName name="IQ_OPEB_ASSETS_OTHER_PLAN_ADJ">"c3353"</definedName>
    <definedName name="IQ_OPEB_ASSETS_OTHER_PLAN_ADJ_DOM">"c3351"</definedName>
    <definedName name="IQ_OPEB_ASSETS_OTHER_PLAN_ADJ_FOREIGN">"c3352"</definedName>
    <definedName name="IQ_OPEB_ASSETS_PARTICIP_CONTRIBUTIONS">"c3338"</definedName>
    <definedName name="IQ_OPEB_ASSETS_PARTICIP_CONTRIBUTIONS_DOM">"c3336"</definedName>
    <definedName name="IQ_OPEB_ASSETS_PARTICIP_CONTRIBUTIONS_FOREIGN">"c3337"</definedName>
    <definedName name="IQ_OPEB_BENEFIT_INFO_DATE">"c3410"</definedName>
    <definedName name="IQ_OPEB_BENEFIT_INFO_DATE_DOM">"c3408"</definedName>
    <definedName name="IQ_OPEB_BENEFIT_INFO_DATE_FOREIGN">"c3409"</definedName>
    <definedName name="IQ_OPEB_BREAKDOWN_EQ">"c3275"</definedName>
    <definedName name="IQ_OPEB_BREAKDOWN_EQ_DOM">"c3273"</definedName>
    <definedName name="IQ_OPEB_BREAKDOWN_EQ_FOREIGN">"c3274"</definedName>
    <definedName name="IQ_OPEB_BREAKDOWN_FI">"c3278"</definedName>
    <definedName name="IQ_OPEB_BREAKDOWN_FI_DOM">"c3276"</definedName>
    <definedName name="IQ_OPEB_BREAKDOWN_FI_FOREIGN">"c3277"</definedName>
    <definedName name="IQ_OPEB_BREAKDOWN_OTHER">"c3284"</definedName>
    <definedName name="IQ_OPEB_BREAKDOWN_OTHER_DOM">"c3282"</definedName>
    <definedName name="IQ_OPEB_BREAKDOWN_OTHER_FOREIGN">"c3283"</definedName>
    <definedName name="IQ_OPEB_BREAKDOWN_PCT_EQ">"c3263"</definedName>
    <definedName name="IQ_OPEB_BREAKDOWN_PCT_EQ_DOM">"c3261"</definedName>
    <definedName name="IQ_OPEB_BREAKDOWN_PCT_EQ_FOREIGN">"c3262"</definedName>
    <definedName name="IQ_OPEB_BREAKDOWN_PCT_FI">"c3266"</definedName>
    <definedName name="IQ_OPEB_BREAKDOWN_PCT_FI_DOM">"c3264"</definedName>
    <definedName name="IQ_OPEB_BREAKDOWN_PCT_FI_FOREIGN">"c3265"</definedName>
    <definedName name="IQ_OPEB_BREAKDOWN_PCT_OTHER">"c3272"</definedName>
    <definedName name="IQ_OPEB_BREAKDOWN_PCT_OTHER_DOM">"c3270"</definedName>
    <definedName name="IQ_OPEB_BREAKDOWN_PCT_OTHER_FOREIGN">"c3271"</definedName>
    <definedName name="IQ_OPEB_BREAKDOWN_PCT_RE">"c3269"</definedName>
    <definedName name="IQ_OPEB_BREAKDOWN_PCT_RE_DOM">"c3267"</definedName>
    <definedName name="IQ_OPEB_BREAKDOWN_PCT_RE_FOREIGN">"c3268"</definedName>
    <definedName name="IQ_OPEB_BREAKDOWN_RE">"c3281"</definedName>
    <definedName name="IQ_OPEB_BREAKDOWN_RE_DOM">"c3279"</definedName>
    <definedName name="IQ_OPEB_BREAKDOWN_RE_FOREIGN">"c3280"</definedName>
    <definedName name="IQ_OPEB_DECREASE_EFFECT_PBO">"c3458"</definedName>
    <definedName name="IQ_OPEB_DECREASE_EFFECT_PBO_DOM">"c3456"</definedName>
    <definedName name="IQ_OPEB_DECREASE_EFFECT_PBO_FOREIGN">"c3457"</definedName>
    <definedName name="IQ_OPEB_DECREASE_EFFECT_SERVICE_INT_COST">"c3455"</definedName>
    <definedName name="IQ_OPEB_DECREASE_EFFECT_SERVICE_INT_COST_DOM">"c3453"</definedName>
    <definedName name="IQ_OPEB_DECREASE_EFFECT_SERVICE_INT_COST_FOREIGN">"c3454"</definedName>
    <definedName name="IQ_OPEB_DISC_RATE_MAX">"c3422"</definedName>
    <definedName name="IQ_OPEB_DISC_RATE_MAX_DOM">"c3420"</definedName>
    <definedName name="IQ_OPEB_DISC_RATE_MAX_FOREIGN">"c3421"</definedName>
    <definedName name="IQ_OPEB_DISC_RATE_MIN">"c3419"</definedName>
    <definedName name="IQ_OPEB_DISC_RATE_MIN_DOM">"c3417"</definedName>
    <definedName name="IQ_OPEB_DISC_RATE_MIN_FOREIGN">"c3418"</definedName>
    <definedName name="IQ_OPEB_EST_BENEFIT_1YR">"c3287"</definedName>
    <definedName name="IQ_OPEB_EST_BENEFIT_1YR_DOM">"c3285"</definedName>
    <definedName name="IQ_OPEB_EST_BENEFIT_1YR_FOREIGN">"c3286"</definedName>
    <definedName name="IQ_OPEB_EST_BENEFIT_2YR">"c3290"</definedName>
    <definedName name="IQ_OPEB_EST_BENEFIT_2YR_DOM">"c3288"</definedName>
    <definedName name="IQ_OPEB_EST_BENEFIT_2YR_FOREIGN">"c3289"</definedName>
    <definedName name="IQ_OPEB_EST_BENEFIT_3YR">"c3293"</definedName>
    <definedName name="IQ_OPEB_EST_BENEFIT_3YR_DOM">"c3291"</definedName>
    <definedName name="IQ_OPEB_EST_BENEFIT_3YR_FOREIGN">"c3292"</definedName>
    <definedName name="IQ_OPEB_EST_BENEFIT_4YR">"c3296"</definedName>
    <definedName name="IQ_OPEB_EST_BENEFIT_4YR_DOM">"c3294"</definedName>
    <definedName name="IQ_OPEB_EST_BENEFIT_4YR_FOREIGN">"c3295"</definedName>
    <definedName name="IQ_OPEB_EST_BENEFIT_5YR">"c3299"</definedName>
    <definedName name="IQ_OPEB_EST_BENEFIT_5YR_DOM">"c3297"</definedName>
    <definedName name="IQ_OPEB_EST_BENEFIT_5YR_FOREIGN">"c3298"</definedName>
    <definedName name="IQ_OPEB_EST_BENEFIT_AFTER5">"c3302"</definedName>
    <definedName name="IQ_OPEB_EST_BENEFIT_AFTER5_DOM">"c3300"</definedName>
    <definedName name="IQ_OPEB_EST_BENEFIT_AFTER5_FOREIGN">"c3301"</definedName>
    <definedName name="IQ_OPEB_EXP_RATE_RETURN_MAX">"c3434"</definedName>
    <definedName name="IQ_OPEB_EXP_RATE_RETURN_MAX_DOM">"c3432"</definedName>
    <definedName name="IQ_OPEB_EXP_RATE_RETURN_MAX_FOREIGN">"c3433"</definedName>
    <definedName name="IQ_OPEB_EXP_RATE_RETURN_MIN">"c3431"</definedName>
    <definedName name="IQ_OPEB_EXP_RATE_RETURN_MIN_DOM">"c3429"</definedName>
    <definedName name="IQ_OPEB_EXP_RATE_RETURN_MIN_FOREIGN">"c3430"</definedName>
    <definedName name="IQ_OPEB_EXP_RETURN">"c3398"</definedName>
    <definedName name="IQ_OPEB_EXP_RETURN_DOM">"c3396"</definedName>
    <definedName name="IQ_OPEB_EXP_RETURN_FOREIGN">"c3397"</definedName>
    <definedName name="IQ_OPEB_HEALTH_COST_TREND_INITIAL">"c3413"</definedName>
    <definedName name="IQ_OPEB_HEALTH_COST_TREND_INITIAL_DOM">"c3411"</definedName>
    <definedName name="IQ_OPEB_HEALTH_COST_TREND_INITIAL_FOREIGN">"c3412"</definedName>
    <definedName name="IQ_OPEB_HEALTH_COST_TREND_ULTIMATE">"c3416"</definedName>
    <definedName name="IQ_OPEB_HEALTH_COST_TREND_ULTIMATE_DOM">"c3414"</definedName>
    <definedName name="IQ_OPEB_HEALTH_COST_TREND_ULTIMATE_FOREIGN">"c3415"</definedName>
    <definedName name="IQ_OPEB_INCREASE_EFFECT_PBO">"c3452"</definedName>
    <definedName name="IQ_OPEB_INCREASE_EFFECT_PBO_DOM">"c3450"</definedName>
    <definedName name="IQ_OPEB_INCREASE_EFFECT_PBO_FOREIGN">"c3451"</definedName>
    <definedName name="IQ_OPEB_INCREASE_EFFECT_SERVICE_INT_COST">"c3449"</definedName>
    <definedName name="IQ_OPEB_INCREASE_EFFECT_SERVICE_INT_COST_DOM">"c3447"</definedName>
    <definedName name="IQ_OPEB_INCREASE_EFFECT_SERVICE_INT_COST_FOREIGN">"c3448"</definedName>
    <definedName name="IQ_OPEB_INTAN_ASSETS">"c3311"</definedName>
    <definedName name="IQ_OPEB_INTAN_ASSETS_DOM">"c3309"</definedName>
    <definedName name="IQ_OPEB_INTAN_ASSETS_FOREIGN">"c3310"</definedName>
    <definedName name="IQ_OPEB_INTEREST_COST">"c3395"</definedName>
    <definedName name="IQ_OPEB_INTEREST_COST_DOM">"c3393"</definedName>
    <definedName name="IQ_OPEB_INTEREST_COST_FOREIGN">"c3394"</definedName>
    <definedName name="IQ_OPEB_NET_ASSET_RECOG">"c3326"</definedName>
    <definedName name="IQ_OPEB_NET_ASSET_RECOG_DOM">"c3324"</definedName>
    <definedName name="IQ_OPEB_NET_ASSET_RECOG_FOREIGN">"c3325"</definedName>
    <definedName name="IQ_OPEB_OBLIGATION_ACCUMULATED">"c3407"</definedName>
    <definedName name="IQ_OPEB_OBLIGATION_ACCUMULATED_DOM">"c3405"</definedName>
    <definedName name="IQ_OPEB_OBLIGATION_ACCUMULATED_FOREIGN">"c3406"</definedName>
    <definedName name="IQ_OPEB_OBLIGATION_ACQ">"c3380"</definedName>
    <definedName name="IQ_OPEB_OBLIGATION_ACQ_DOM">"c3378"</definedName>
    <definedName name="IQ_OPEB_OBLIGATION_ACQ_FOREIGN">"c3379"</definedName>
    <definedName name="IQ_OPEB_OBLIGATION_ACTUARIAL_GAIN_LOSS">"c3371"</definedName>
    <definedName name="IQ_OPEB_OBLIGATION_ACTUARIAL_GAIN_LOSS_DOM">"c3369"</definedName>
    <definedName name="IQ_OPEB_OBLIGATION_ACTUARIAL_GAIN_LOSS_FOREIGN">"c3370"</definedName>
    <definedName name="IQ_OPEB_OBLIGATION_BEG">"c3359"</definedName>
    <definedName name="IQ_OPEB_OBLIGATION_BEG_DOM">"c3357"</definedName>
    <definedName name="IQ_OPEB_OBLIGATION_BEG_FOREIGN">"c3358"</definedName>
    <definedName name="IQ_OPEB_OBLIGATION_CURTAIL">"c3383"</definedName>
    <definedName name="IQ_OPEB_OBLIGATION_CURTAIL_DOM">"c3381"</definedName>
    <definedName name="IQ_OPEB_OBLIGATION_CURTAIL_FOREIGN">"c3382"</definedName>
    <definedName name="IQ_OPEB_OBLIGATION_EMPLOYEE_CONTRIBUTIONS">"c3368"</definedName>
    <definedName name="IQ_OPEB_OBLIGATION_EMPLOYEE_CONTRIBUTIONS_DOM">"c3366"</definedName>
    <definedName name="IQ_OPEB_OBLIGATION_EMPLOYEE_CONTRIBUTIONS_FOREIGN">"c3367"</definedName>
    <definedName name="IQ_OPEB_OBLIGATION_FX_ADJ">"c3377"</definedName>
    <definedName name="IQ_OPEB_OBLIGATION_FX_ADJ_DOM">"c3375"</definedName>
    <definedName name="IQ_OPEB_OBLIGATION_FX_ADJ_FOREIGN">"c3376"</definedName>
    <definedName name="IQ_OPEB_OBLIGATION_INTEREST_COST">"c3365"</definedName>
    <definedName name="IQ_OPEB_OBLIGATION_INTEREST_COST_DOM">"c3363"</definedName>
    <definedName name="IQ_OPEB_OBLIGATION_INTEREST_COST_FOREIGN">"c3364"</definedName>
    <definedName name="IQ_OPEB_OBLIGATION_OTHER_PLAN_ADJ">"c3386"</definedName>
    <definedName name="IQ_OPEB_OBLIGATION_OTHER_PLAN_ADJ_DOM">"c3384"</definedName>
    <definedName name="IQ_OPEB_OBLIGATION_OTHER_PLAN_ADJ_FOREIGN">"c3385"</definedName>
    <definedName name="IQ_OPEB_OBLIGATION_PAID">"c3374"</definedName>
    <definedName name="IQ_OPEB_OBLIGATION_PAID_DOM">"c3372"</definedName>
    <definedName name="IQ_OPEB_OBLIGATION_PAID_FOREIGN">"c3373"</definedName>
    <definedName name="IQ_OPEB_OBLIGATION_PROJECTED">"c3389"</definedName>
    <definedName name="IQ_OPEB_OBLIGATION_PROJECTED_DOM">"c3387"</definedName>
    <definedName name="IQ_OPEB_OBLIGATION_PROJECTED_FOREIGN">"c3388"</definedName>
    <definedName name="IQ_OPEB_OBLIGATION_SERVICE_COST">"c3362"</definedName>
    <definedName name="IQ_OPEB_OBLIGATION_SERVICE_COST_DOM">"c3360"</definedName>
    <definedName name="IQ_OPEB_OBLIGATION_SERVICE_COST_FOREIGN">"c3361"</definedName>
    <definedName name="IQ_OPEB_OTHER">"c3317"</definedName>
    <definedName name="IQ_OPEB_OTHER_ADJ">"c3323"</definedName>
    <definedName name="IQ_OPEB_OTHER_ADJ_DOM">"c3321"</definedName>
    <definedName name="IQ_OPEB_OTHER_ADJ_FOREIGN">"c3322"</definedName>
    <definedName name="IQ_OPEB_OTHER_COST">"c3401"</definedName>
    <definedName name="IQ_OPEB_OTHER_COST_DOM">"c3399"</definedName>
    <definedName name="IQ_OPEB_OTHER_COST_FOREIGN">"c3400"</definedName>
    <definedName name="IQ_OPEB_OTHER_DOM">"c3315"</definedName>
    <definedName name="IQ_OPEB_OTHER_FOREIGN">"c3316"</definedName>
    <definedName name="IQ_OPEB_PBO_ASSUMED_RATE_RET_MAX">"c3440"</definedName>
    <definedName name="IQ_OPEB_PBO_ASSUMED_RATE_RET_MAX_DOM">"c3438"</definedName>
    <definedName name="IQ_OPEB_PBO_ASSUMED_RATE_RET_MAX_FOREIGN">"c3439"</definedName>
    <definedName name="IQ_OPEB_PBO_ASSUMED_RATE_RET_MIN">"c3437"</definedName>
    <definedName name="IQ_OPEB_PBO_ASSUMED_RATE_RET_MIN_DOM">"c3435"</definedName>
    <definedName name="IQ_OPEB_PBO_ASSUMED_RATE_RET_MIN_FOREIGN">"c3436"</definedName>
    <definedName name="IQ_OPEB_PBO_RATE_COMP_INCREASE_MAX">"c3446"</definedName>
    <definedName name="IQ_OPEB_PBO_RATE_COMP_INCREASE_MAX_DOM">"c3444"</definedName>
    <definedName name="IQ_OPEB_PBO_RATE_COMP_INCREASE_MAX_FOREIGN">"c3445"</definedName>
    <definedName name="IQ_OPEB_PBO_RATE_COMP_INCREASE_MIN">"c3443"</definedName>
    <definedName name="IQ_OPEB_PBO_RATE_COMP_INCREASE_MIN_DOM">"c3441"</definedName>
    <definedName name="IQ_OPEB_PBO_RATE_COMP_INCREASE_MIN_FOREIGN">"c3442"</definedName>
    <definedName name="IQ_OPEB_PREPAID_COST">"c3305"</definedName>
    <definedName name="IQ_OPEB_PREPAID_COST_DOM">"c3303"</definedName>
    <definedName name="IQ_OPEB_PREPAID_COST_FOREIGN">"c3304"</definedName>
    <definedName name="IQ_OPEB_RATE_COMP_INCREASE_MAX">"c3428"</definedName>
    <definedName name="IQ_OPEB_RATE_COMP_INCREASE_MAX_DOM">"c3426"</definedName>
    <definedName name="IQ_OPEB_RATE_COMP_INCREASE_MAX_FOREIGN">"c3427"</definedName>
    <definedName name="IQ_OPEB_RATE_COMP_INCREASE_MIN">"c3425"</definedName>
    <definedName name="IQ_OPEB_RATE_COMP_INCREASE_MIN_DOM">"c3423"</definedName>
    <definedName name="IQ_OPEB_RATE_COMP_INCREASE_MIN_FOREIGN">"c3424"</definedName>
    <definedName name="IQ_OPEB_SERVICE_COST">"c3392"</definedName>
    <definedName name="IQ_OPEB_SERVICE_COST_DOM">"c3390"</definedName>
    <definedName name="IQ_OPEB_SERVICE_COST_FOREIGN">"c3391"</definedName>
    <definedName name="IQ_OPEB_TOTAL_COST">"c3404"</definedName>
    <definedName name="IQ_OPEB_TOTAL_COST_DOM">"c3402"</definedName>
    <definedName name="IQ_OPEB_TOTAL_COST_FOREIGN">"c3403"</definedName>
    <definedName name="IQ_OPEB_UNRECOG_PRIOR">"c3320"</definedName>
    <definedName name="IQ_OPEB_UNRECOG_PRIOR_DOM">"c3318"</definedName>
    <definedName name="IQ_OPEB_UNRECOG_PRIOR_FOREIGN">"c3319"</definedName>
    <definedName name="IQ_OPENPRICE">"c848"</definedName>
    <definedName name="IQ_OPER_INC">"c849"</definedName>
    <definedName name="IQ_OPER_INC_BR">"c850"</definedName>
    <definedName name="IQ_OPER_INC_FIN">"c851"</definedName>
    <definedName name="IQ_OPER_INC_INS">"c852"</definedName>
    <definedName name="IQ_OPER_INC_MARGIN">"c1448"</definedName>
    <definedName name="IQ_OPER_INC_REIT">"c853"</definedName>
    <definedName name="IQ_OPER_INC_UTI">"c854"</definedName>
    <definedName name="IQ_OPERATIONS_EXP">"c855"</definedName>
    <definedName name="IQ_OPTIONS_BEG_OS">"c1572"</definedName>
    <definedName name="IQ_OPTIONS_CANCELLED">"c856"</definedName>
    <definedName name="IQ_OPTIONS_END_OS">"c1573"</definedName>
    <definedName name="IQ_OPTIONS_EXERCISED">"c2116"</definedName>
    <definedName name="IQ_OPTIONS_GRANTED">"c2673"</definedName>
    <definedName name="IQ_OPTIONS_ISSUED">"c857"</definedName>
    <definedName name="IQ_OPTIONS_STRIKE_PRICE_GRANTED">"c2678"</definedName>
    <definedName name="IQ_OPTIONS_STRIKE_PRICE_OS">"c2677"</definedName>
    <definedName name="IQ_ORDER_BACKLOG">"c2090"</definedName>
    <definedName name="IQ_OTHER_ADJUST_GROSS_LOANS">"c859"</definedName>
    <definedName name="IQ_OTHER_AMORT">"c5563"</definedName>
    <definedName name="IQ_OTHER_ASSETS">"c860"</definedName>
    <definedName name="IQ_OTHER_ASSETS_BNK">"c861"</definedName>
    <definedName name="IQ_OTHER_ASSETS_BR">"c862"</definedName>
    <definedName name="IQ_OTHER_ASSETS_FIN">"c863"</definedName>
    <definedName name="IQ_OTHER_ASSETS_INS">"c864"</definedName>
    <definedName name="IQ_OTHER_ASSETS_REIT">"c865"</definedName>
    <definedName name="IQ_OTHER_ASSETS_SERV_RIGHTS">"c2243"</definedName>
    <definedName name="IQ_OTHER_ASSETS_UTI">"c866"</definedName>
    <definedName name="IQ_OTHER_BEARING_LIAB">"c1608"</definedName>
    <definedName name="IQ_OTHER_BENEFITS_OBLIGATION">"c867"</definedName>
    <definedName name="IQ_OTHER_CA">"c868"</definedName>
    <definedName name="IQ_OTHER_CA_SUPPL">"c869"</definedName>
    <definedName name="IQ_OTHER_CA_SUPPL_BNK">"c870"</definedName>
    <definedName name="IQ_OTHER_CA_SUPPL_BR">"c871"</definedName>
    <definedName name="IQ_OTHER_CA_SUPPL_FIN">"c872"</definedName>
    <definedName name="IQ_OTHER_CA_SUPPL_INS">"c873"</definedName>
    <definedName name="IQ_OTHER_CA_SUPPL_REIT">"c874"</definedName>
    <definedName name="IQ_OTHER_CA_SUPPL_UTI">"c875"</definedName>
    <definedName name="IQ_OTHER_CA_UTI">"c876"</definedName>
    <definedName name="IQ_OTHER_CL">"c877"</definedName>
    <definedName name="IQ_OTHER_CL_SUPPL">"c878"</definedName>
    <definedName name="IQ_OTHER_CL_SUPPL_BNK">"c879"</definedName>
    <definedName name="IQ_OTHER_CL_SUPPL_BR">"c880"</definedName>
    <definedName name="IQ_OTHER_CL_SUPPL_FIN">"c881"</definedName>
    <definedName name="IQ_OTHER_CL_SUPPL_REIT">"c882"</definedName>
    <definedName name="IQ_OTHER_CL_SUPPL_UTI">"c883"</definedName>
    <definedName name="IQ_OTHER_CL_UTI">"c884"</definedName>
    <definedName name="IQ_OTHER_CURRENT_ASSETS">"c1403"</definedName>
    <definedName name="IQ_OTHER_CURRENT_LIAB">"c1404"</definedName>
    <definedName name="IQ_OTHER_DEBT">"c2507"</definedName>
    <definedName name="IQ_OTHER_DEBT_PCT">"c2508"</definedName>
    <definedName name="IQ_OTHER_DEP">"c885"</definedName>
    <definedName name="IQ_OTHER_EARNING">"c1609"</definedName>
    <definedName name="IQ_OTHER_EQUITY">"c886"</definedName>
    <definedName name="IQ_OTHER_EQUITY_BNK">"c887"</definedName>
    <definedName name="IQ_OTHER_EQUITY_BR">"c888"</definedName>
    <definedName name="IQ_OTHER_EQUITY_FIN">"c889"</definedName>
    <definedName name="IQ_OTHER_EQUITY_INS">"c890"</definedName>
    <definedName name="IQ_OTHER_EQUITY_REIT">"c891"</definedName>
    <definedName name="IQ_OTHER_EQUITY_UTI">"c892"</definedName>
    <definedName name="IQ_OTHER_FINANCE_ACT">"c893"</definedName>
    <definedName name="IQ_OTHER_FINANCE_ACT_BNK">"c894"</definedName>
    <definedName name="IQ_OTHER_FINANCE_ACT_BR">"c895"</definedName>
    <definedName name="IQ_OTHER_FINANCE_ACT_FIN">"c896"</definedName>
    <definedName name="IQ_OTHER_FINANCE_ACT_INS">"c897"</definedName>
    <definedName name="IQ_OTHER_FINANCE_ACT_REIT">"c898"</definedName>
    <definedName name="IQ_OTHER_FINANCE_ACT_SUPPL">"c899"</definedName>
    <definedName name="IQ_OTHER_FINANCE_ACT_SUPPL_BNK">"c900"</definedName>
    <definedName name="IQ_OTHER_FINANCE_ACT_SUPPL_BR">"c901"</definedName>
    <definedName name="IQ_OTHER_FINANCE_ACT_SUPPL_FIN">"c902"</definedName>
    <definedName name="IQ_OTHER_FINANCE_ACT_SUPPL_INS">"c903"</definedName>
    <definedName name="IQ_OTHER_FINANCE_ACT_SUPPL_REIT">"c904"</definedName>
    <definedName name="IQ_OTHER_FINANCE_ACT_SUPPL_UTI">"c905"</definedName>
    <definedName name="IQ_OTHER_FINANCE_ACT_UTI">"c906"</definedName>
    <definedName name="IQ_OTHER_INTAN">"c907"</definedName>
    <definedName name="IQ_OTHER_INTAN_BNK">"c908"</definedName>
    <definedName name="IQ_OTHER_INTAN_BR">"c909"</definedName>
    <definedName name="IQ_OTHER_INTAN_FIN">"c910"</definedName>
    <definedName name="IQ_OTHER_INTAN_INS">"c911"</definedName>
    <definedName name="IQ_OTHER_INTAN_REIT">"c912"</definedName>
    <definedName name="IQ_OTHER_INTAN_UTI">"c913"</definedName>
    <definedName name="IQ_OTHER_INV">"c914"</definedName>
    <definedName name="IQ_OTHER_INVEST">"c915"</definedName>
    <definedName name="IQ_OTHER_INVEST_ACT">"c916"</definedName>
    <definedName name="IQ_OTHER_INVEST_ACT_BNK">"c917"</definedName>
    <definedName name="IQ_OTHER_INVEST_ACT_BR">"c918"</definedName>
    <definedName name="IQ_OTHER_INVEST_ACT_FIN">"c919"</definedName>
    <definedName name="IQ_OTHER_INVEST_ACT_INS">"c920"</definedName>
    <definedName name="IQ_OTHER_INVEST_ACT_REIT">"c921"</definedName>
    <definedName name="IQ_OTHER_INVEST_ACT_SUPPL">"c922"</definedName>
    <definedName name="IQ_OTHER_INVEST_ACT_SUPPL_BNK">"c923"</definedName>
    <definedName name="IQ_OTHER_INVEST_ACT_SUPPL_BR">"c924"</definedName>
    <definedName name="IQ_OTHER_INVEST_ACT_SUPPL_FIN">"c925"</definedName>
    <definedName name="IQ_OTHER_INVEST_ACT_SUPPL_INS">"c926"</definedName>
    <definedName name="IQ_OTHER_INVEST_ACT_SUPPL_REIT">"c927"</definedName>
    <definedName name="IQ_OTHER_INVEST_ACT_SUPPL_UTI">"c928"</definedName>
    <definedName name="IQ_OTHER_INVEST_ACT_UTI">"c929"</definedName>
    <definedName name="IQ_OTHER_INVESTING">"c1408"</definedName>
    <definedName name="IQ_OTHER_LIAB">"c930"</definedName>
    <definedName name="IQ_OTHER_LIAB_BNK">"c931"</definedName>
    <definedName name="IQ_OTHER_LIAB_BR">"c932"</definedName>
    <definedName name="IQ_OTHER_LIAB_FIN">"c933"</definedName>
    <definedName name="IQ_OTHER_LIAB_INS">"c934"</definedName>
    <definedName name="IQ_OTHER_LIAB_LT">"c935"</definedName>
    <definedName name="IQ_OTHER_LIAB_LT_BNK">"c936"</definedName>
    <definedName name="IQ_OTHER_LIAB_LT_BR">"c937"</definedName>
    <definedName name="IQ_OTHER_LIAB_LT_FIN">"c938"</definedName>
    <definedName name="IQ_OTHER_LIAB_LT_INS">"c939"</definedName>
    <definedName name="IQ_OTHER_LIAB_LT_REIT">"c940"</definedName>
    <definedName name="IQ_OTHER_LIAB_LT_UTI">"c941"</definedName>
    <definedName name="IQ_OTHER_LIAB_REIT">"c942"</definedName>
    <definedName name="IQ_OTHER_LIAB_UTI">"c943"</definedName>
    <definedName name="IQ_OTHER_LIAB_WRITTEN">"c944"</definedName>
    <definedName name="IQ_OTHER_LOANS">"c945"</definedName>
    <definedName name="IQ_OTHER_LONG_TERM">"c1409"</definedName>
    <definedName name="IQ_OTHER_LT_ASSETS">"c946"</definedName>
    <definedName name="IQ_OTHER_LT_ASSETS_BNK">"c947"</definedName>
    <definedName name="IQ_OTHER_LT_ASSETS_BR">"c948"</definedName>
    <definedName name="IQ_OTHER_LT_ASSETS_FIN">"c949"</definedName>
    <definedName name="IQ_OTHER_LT_ASSETS_INS">"c950"</definedName>
    <definedName name="IQ_OTHER_LT_ASSETS_REIT">"c951"</definedName>
    <definedName name="IQ_OTHER_LT_ASSETS_UTI">"c952"</definedName>
    <definedName name="IQ_OTHER_NET">"c1453"</definedName>
    <definedName name="IQ_OTHER_NON_INT_EXP">"c953"</definedName>
    <definedName name="IQ_OTHER_NON_INT_EXP_TOTAL">"c954"</definedName>
    <definedName name="IQ_OTHER_NON_INT_INC">"c955"</definedName>
    <definedName name="IQ_OTHER_NON_OPER_EXP">"c956"</definedName>
    <definedName name="IQ_OTHER_NON_OPER_EXP_BR">"c957"</definedName>
    <definedName name="IQ_OTHER_NON_OPER_EXP_FIN">"c958"</definedName>
    <definedName name="IQ_OTHER_NON_OPER_EXP_INS">"c959"</definedName>
    <definedName name="IQ_OTHER_NON_OPER_EXP_REIT">"c960"</definedName>
    <definedName name="IQ_OTHER_NON_OPER_EXP_SUPPL">"c961"</definedName>
    <definedName name="IQ_OTHER_NON_OPER_EXP_SUPPL_BR">"c962"</definedName>
    <definedName name="IQ_OTHER_NON_OPER_EXP_SUPPL_FIN">"c963"</definedName>
    <definedName name="IQ_OTHER_NON_OPER_EXP_SUPPL_INS">"c964"</definedName>
    <definedName name="IQ_OTHER_NON_OPER_EXP_SUPPL_REIT">"c965"</definedName>
    <definedName name="IQ_OTHER_NON_OPER_EXP_SUPPL_UTI">"c966"</definedName>
    <definedName name="IQ_OTHER_NON_OPER_EXP_UTI">"c967"</definedName>
    <definedName name="IQ_OTHER_OPER">"c982"</definedName>
    <definedName name="IQ_OTHER_OPER_ACT">"c983"</definedName>
    <definedName name="IQ_OTHER_OPER_ACT_BNK">"c984"</definedName>
    <definedName name="IQ_OTHER_OPER_ACT_BR">"c985"</definedName>
    <definedName name="IQ_OTHER_OPER_ACT_FIN">"c986"</definedName>
    <definedName name="IQ_OTHER_OPER_ACT_INS">"c987"</definedName>
    <definedName name="IQ_OTHER_OPER_ACT_REIT">"c988"</definedName>
    <definedName name="IQ_OTHER_OPER_ACT_UTI">"c989"</definedName>
    <definedName name="IQ_OTHER_OPER_BR">"c990"</definedName>
    <definedName name="IQ_OTHER_OPER_FIN">"c991"</definedName>
    <definedName name="IQ_OTHER_OPER_INS">"c992"</definedName>
    <definedName name="IQ_OTHER_OPER_REIT">"c993"</definedName>
    <definedName name="IQ_OTHER_OPER_SUPPL_BR">"c994"</definedName>
    <definedName name="IQ_OTHER_OPER_SUPPL_FIN">"c995"</definedName>
    <definedName name="IQ_OTHER_OPER_SUPPL_INS">"c996"</definedName>
    <definedName name="IQ_OTHER_OPER_SUPPL_REIT">"c997"</definedName>
    <definedName name="IQ_OTHER_OPER_SUPPL_UTI">"c998"</definedName>
    <definedName name="IQ_OTHER_OPER_TOT_BNK">"c999"</definedName>
    <definedName name="IQ_OTHER_OPER_TOT_BR">"c1000"</definedName>
    <definedName name="IQ_OTHER_OPER_TOT_FIN">"c1001"</definedName>
    <definedName name="IQ_OTHER_OPER_TOT_INS">"c1002"</definedName>
    <definedName name="IQ_OTHER_OPER_TOT_REIT">"c1003"</definedName>
    <definedName name="IQ_OTHER_OPER_TOT_UTI">"c1004"</definedName>
    <definedName name="IQ_OTHER_OPER_UTI">"c1005"</definedName>
    <definedName name="IQ_OTHER_OPTIONS_BEG_OS">"c2686"</definedName>
    <definedName name="IQ_OTHER_OPTIONS_CANCELLED">"c2689"</definedName>
    <definedName name="IQ_OTHER_OPTIONS_END_OS">"c2690"</definedName>
    <definedName name="IQ_OTHER_OPTIONS_EXERCISED">"c2688"</definedName>
    <definedName name="IQ_OTHER_OPTIONS_GRANTED">"c2687"</definedName>
    <definedName name="IQ_OTHER_OPTIONS_STRIKE_PRICE_OS">"c2691"</definedName>
    <definedName name="IQ_OTHER_OUTSTANDING_BS_DATE">"c1972"</definedName>
    <definedName name="IQ_OTHER_OUTSTANDING_FILING_DATE">"c1974"</definedName>
    <definedName name="IQ_OTHER_PC_WRITTEN">"c1006"</definedName>
    <definedName name="IQ_OTHER_REAL_ESTATE">"c1007"</definedName>
    <definedName name="IQ_OTHER_RECEIV">"c1008"</definedName>
    <definedName name="IQ_OTHER_RECEIV_INS">"c1009"</definedName>
    <definedName name="IQ_OTHER_REV">"c1010"</definedName>
    <definedName name="IQ_OTHER_REV_BR">"c1011"</definedName>
    <definedName name="IQ_OTHER_REV_FIN">"c1012"</definedName>
    <definedName name="IQ_OTHER_REV_INS">"c1013"</definedName>
    <definedName name="IQ_OTHER_REV_REIT">"c1014"</definedName>
    <definedName name="IQ_OTHER_REV_SUPPL">"c1015"</definedName>
    <definedName name="IQ_OTHER_REV_SUPPL_BR">"c1016"</definedName>
    <definedName name="IQ_OTHER_REV_SUPPL_FIN">"c1017"</definedName>
    <definedName name="IQ_OTHER_REV_SUPPL_INS">"c1018"</definedName>
    <definedName name="IQ_OTHER_REV_SUPPL_REIT">"c1019"</definedName>
    <definedName name="IQ_OTHER_REV_SUPPL_UTI">"c1020"</definedName>
    <definedName name="IQ_OTHER_REV_UTI">"c1021"</definedName>
    <definedName name="IQ_OTHER_REVENUE">"c1410"</definedName>
    <definedName name="IQ_OTHER_STRIKE_PRICE_GRANTED">"c2692"</definedName>
    <definedName name="IQ_OTHER_UNDRAWN">"c2522"</definedName>
    <definedName name="IQ_OTHER_UNUSUAL">"c1488"</definedName>
    <definedName name="IQ_OTHER_UNUSUAL_BNK">"c1560"</definedName>
    <definedName name="IQ_OTHER_UNUSUAL_BR">"c1561"</definedName>
    <definedName name="IQ_OTHER_UNUSUAL_FIN">"c1562"</definedName>
    <definedName name="IQ_OTHER_UNUSUAL_INS">"c1563"</definedName>
    <definedName name="IQ_OTHER_UNUSUAL_REIT">"c1564"</definedName>
    <definedName name="IQ_OTHER_UNUSUAL_SUPPL">"c1494"</definedName>
    <definedName name="IQ_OTHER_UNUSUAL_SUPPL_BNK">"c1495"</definedName>
    <definedName name="IQ_OTHER_UNUSUAL_SUPPL_BR">"c1496"</definedName>
    <definedName name="IQ_OTHER_UNUSUAL_SUPPL_FIN">"c1497"</definedName>
    <definedName name="IQ_OTHER_UNUSUAL_SUPPL_INS">"c1498"</definedName>
    <definedName name="IQ_OTHER_UNUSUAL_SUPPL_REIT">"c1499"</definedName>
    <definedName name="IQ_OTHER_UNUSUAL_SUPPL_UTI">"c1500"</definedName>
    <definedName name="IQ_OTHER_UNUSUAL_UTI">"c1565"</definedName>
    <definedName name="IQ_OTHER_WARRANTS_BEG_OS">"c2712"</definedName>
    <definedName name="IQ_OTHER_WARRANTS_CANCELLED">"c2715"</definedName>
    <definedName name="IQ_OTHER_WARRANTS_END_OS">"c2716"</definedName>
    <definedName name="IQ_OTHER_WARRANTS_EXERCISED">"c2714"</definedName>
    <definedName name="IQ_OTHER_WARRANTS_ISSUED">"c2713"</definedName>
    <definedName name="IQ_OTHER_WARRANTS_STRIKE_PRICE_ISSUED">"c2718"</definedName>
    <definedName name="IQ_OTHER_WARRANTS_STRIKE_PRICE_OS">"c2717"</definedName>
    <definedName name="IQ_OUTSTANDING_BS_DATE">"c2128"</definedName>
    <definedName name="IQ_OUTSTANDING_FILING_DATE">"c1023"</definedName>
    <definedName name="IQ_OWNERSHIP">"c2160"</definedName>
    <definedName name="IQ_PART_TIME">"c1024"</definedName>
    <definedName name="IQ_PAY_ACCRUED">"c1457"</definedName>
    <definedName name="IQ_PAYOUT_RATIO">"c1900"</definedName>
    <definedName name="IQ_PBV">"c1025"</definedName>
    <definedName name="IQ_PBV_AVG">"c1026"</definedName>
    <definedName name="IQ_PC_EARNED">"c2749"</definedName>
    <definedName name="IQ_PC_GAAP_COMBINED_RATIO">"c2781"</definedName>
    <definedName name="IQ_PC_GAAP_COMBINED_RATIO_EXCL_CL">"c2782"</definedName>
    <definedName name="IQ_PC_GAAP_EXPENSE_RATIO">"c2780"</definedName>
    <definedName name="IQ_PC_GAAP_LOSS">"c2779"</definedName>
    <definedName name="IQ_PC_POLICY_BENEFITS_EXP">"c2790"</definedName>
    <definedName name="IQ_PC_STAT_COMBINED_RATIO">"c2778"</definedName>
    <definedName name="IQ_PC_STAT_COMBINED_RATIO_EXCL_DIV">"c2777"</definedName>
    <definedName name="IQ_PC_STAT_DIVIDEND_RATIO">"c2776"</definedName>
    <definedName name="IQ_PC_STAT_EXPENSE_RATIO">"c2775"</definedName>
    <definedName name="IQ_PC_STAT_LOSS_RATIO">"c2774"</definedName>
    <definedName name="IQ_PC_STATUTORY_SURPLUS">"c2770"</definedName>
    <definedName name="IQ_PC_WRITTEN">"c1027"</definedName>
    <definedName name="IQ_PE_EXCL">"c1028"</definedName>
    <definedName name="IQ_PE_EXCL_AVG">"c1029"</definedName>
    <definedName name="IQ_PE_EXCL_FWD">"c1030"</definedName>
    <definedName name="IQ_PE_EXCL_FWD_REUT">"c4049"</definedName>
    <definedName name="IQ_PE_NORMALIZED">"c2207"</definedName>
    <definedName name="IQ_PE_RATIO">"c1610"</definedName>
    <definedName name="IQ_PEG_FWD">"c1863"</definedName>
    <definedName name="IQ_PEG_FWD_REUT">"c4052"</definedName>
    <definedName name="IQ_PENSION">"c1031"</definedName>
    <definedName name="IQ_PENSION_ACCRUED_LIAB">"c3134"</definedName>
    <definedName name="IQ_PENSION_ACCRUED_LIAB_DOM">"c3132"</definedName>
    <definedName name="IQ_PENSION_ACCRUED_LIAB_FOREIGN">"c3133"</definedName>
    <definedName name="IQ_PENSION_ACCUM_OTHER_CI">"c3140"</definedName>
    <definedName name="IQ_PENSION_ACCUM_OTHER_CI_DOM">"c3138"</definedName>
    <definedName name="IQ_PENSION_ACCUM_OTHER_CI_FOREIGN">"c3139"</definedName>
    <definedName name="IQ_PENSION_ACCUMULATED_OBLIGATION">"c3570"</definedName>
    <definedName name="IQ_PENSION_ACCUMULATED_OBLIGATION_DOMESTIC">"c3568"</definedName>
    <definedName name="IQ_PENSION_ACCUMULATED_OBLIGATION_FOREIGN">"c3569"</definedName>
    <definedName name="IQ_PENSION_ASSETS">"c3182"</definedName>
    <definedName name="IQ_PENSION_ASSETS_ACQ">"c3173"</definedName>
    <definedName name="IQ_PENSION_ASSETS_ACQ_DOM">"c3171"</definedName>
    <definedName name="IQ_PENSION_ASSETS_ACQ_FOREIGN">"c3172"</definedName>
    <definedName name="IQ_PENSION_ASSETS_ACTUAL_RETURN">"c3158"</definedName>
    <definedName name="IQ_PENSION_ASSETS_ACTUAL_RETURN_DOM">"c3156"</definedName>
    <definedName name="IQ_PENSION_ASSETS_ACTUAL_RETURN_FOREIGN">"c3157"</definedName>
    <definedName name="IQ_PENSION_ASSETS_BEG">"c3155"</definedName>
    <definedName name="IQ_PENSION_ASSETS_BEG_DOM">"c3153"</definedName>
    <definedName name="IQ_PENSION_ASSETS_BEG_FOREIGN">"c3154"</definedName>
    <definedName name="IQ_PENSION_ASSETS_BENEFITS_PAID">"c3167"</definedName>
    <definedName name="IQ_PENSION_ASSETS_BENEFITS_PAID_DOM">"c3165"</definedName>
    <definedName name="IQ_PENSION_ASSETS_BENEFITS_PAID_FOREIGN">"c3166"</definedName>
    <definedName name="IQ_PENSION_ASSETS_CURTAIL">"c3176"</definedName>
    <definedName name="IQ_PENSION_ASSETS_CURTAIL_DOM">"c3174"</definedName>
    <definedName name="IQ_PENSION_ASSETS_CURTAIL_FOREIGN">"c3175"</definedName>
    <definedName name="IQ_PENSION_ASSETS_DOM">"c3180"</definedName>
    <definedName name="IQ_PENSION_ASSETS_EMPLOYER_CONTRIBUTIONS">"c3161"</definedName>
    <definedName name="IQ_PENSION_ASSETS_EMPLOYER_CONTRIBUTIONS_DOM">"c3159"</definedName>
    <definedName name="IQ_PENSION_ASSETS_EMPLOYER_CONTRIBUTIONS_FOREIGN">"c3160"</definedName>
    <definedName name="IQ_PENSION_ASSETS_FOREIGN">"c3181"</definedName>
    <definedName name="IQ_PENSION_ASSETS_FX_ADJ">"c3170"</definedName>
    <definedName name="IQ_PENSION_ASSETS_FX_ADJ_DOM">"c3168"</definedName>
    <definedName name="IQ_PENSION_ASSETS_FX_ADJ_FOREIGN">"c3169"</definedName>
    <definedName name="IQ_PENSION_ASSETS_OTHER_PLAN_ADJ">"c3179"</definedName>
    <definedName name="IQ_PENSION_ASSETS_OTHER_PLAN_ADJ_DOM">"c3177"</definedName>
    <definedName name="IQ_PENSION_ASSETS_OTHER_PLAN_ADJ_FOREIGN">"c3178"</definedName>
    <definedName name="IQ_PENSION_ASSETS_PARTICIP_CONTRIBUTIONS">"c3164"</definedName>
    <definedName name="IQ_PENSION_ASSETS_PARTICIP_CONTRIBUTIONS_DOM">"c3162"</definedName>
    <definedName name="IQ_PENSION_ASSETS_PARTICIP_CONTRIBUTIONS_FOREIGN">"c3163"</definedName>
    <definedName name="IQ_PENSION_BENEFIT_INFO_DATE">"c3230"</definedName>
    <definedName name="IQ_PENSION_BENEFIT_INFO_DATE_DOM">"c3228"</definedName>
    <definedName name="IQ_PENSION_BENEFIT_INFO_DATE_FOREIGN">"c3229"</definedName>
    <definedName name="IQ_PENSION_BREAKDOWN_EQ">"c3101"</definedName>
    <definedName name="IQ_PENSION_BREAKDOWN_EQ_DOM">"c3099"</definedName>
    <definedName name="IQ_PENSION_BREAKDOWN_EQ_FOREIGN">"c3100"</definedName>
    <definedName name="IQ_PENSION_BREAKDOWN_FI">"c3104"</definedName>
    <definedName name="IQ_PENSION_BREAKDOWN_FI_DOM">"c3102"</definedName>
    <definedName name="IQ_PENSION_BREAKDOWN_FI_FOREIGN">"c3103"</definedName>
    <definedName name="IQ_PENSION_BREAKDOWN_OTHER">"c3110"</definedName>
    <definedName name="IQ_PENSION_BREAKDOWN_OTHER_DOM">"c3108"</definedName>
    <definedName name="IQ_PENSION_BREAKDOWN_OTHER_FOREIGN">"c3109"</definedName>
    <definedName name="IQ_PENSION_BREAKDOWN_PCT_EQ">"c3089"</definedName>
    <definedName name="IQ_PENSION_BREAKDOWN_PCT_EQ_DOM">"c3087"</definedName>
    <definedName name="IQ_PENSION_BREAKDOWN_PCT_EQ_FOREIGN">"c3088"</definedName>
    <definedName name="IQ_PENSION_BREAKDOWN_PCT_FI">"c3092"</definedName>
    <definedName name="IQ_PENSION_BREAKDOWN_PCT_FI_DOM">"c3090"</definedName>
    <definedName name="IQ_PENSION_BREAKDOWN_PCT_FI_FOREIGN">"c3091"</definedName>
    <definedName name="IQ_PENSION_BREAKDOWN_PCT_OTHER">"c3098"</definedName>
    <definedName name="IQ_PENSION_BREAKDOWN_PCT_OTHER_DOM">"c3096"</definedName>
    <definedName name="IQ_PENSION_BREAKDOWN_PCT_OTHER_FOREIGN">"c3097"</definedName>
    <definedName name="IQ_PENSION_BREAKDOWN_PCT_RE">"c3095"</definedName>
    <definedName name="IQ_PENSION_BREAKDOWN_PCT_RE_DOM">"c3093"</definedName>
    <definedName name="IQ_PENSION_BREAKDOWN_PCT_RE_FOREIGN">"c3094"</definedName>
    <definedName name="IQ_PENSION_BREAKDOWN_RE">"c3107"</definedName>
    <definedName name="IQ_PENSION_BREAKDOWN_RE_DOM">"c3105"</definedName>
    <definedName name="IQ_PENSION_BREAKDOWN_RE_FOREIGN">"c3106"</definedName>
    <definedName name="IQ_PENSION_CONTRIBUTION_TOTAL_COST">"c3559"</definedName>
    <definedName name="IQ_PENSION_DISC_RATE_MAX">"c3236"</definedName>
    <definedName name="IQ_PENSION_DISC_RATE_MAX_DOM">"c3234"</definedName>
    <definedName name="IQ_PENSION_DISC_RATE_MAX_FOREIGN">"c3235"</definedName>
    <definedName name="IQ_PENSION_DISC_RATE_MIN">"c3233"</definedName>
    <definedName name="IQ_PENSION_DISC_RATE_MIN_DOM">"c3231"</definedName>
    <definedName name="IQ_PENSION_DISC_RATE_MIN_FOREIGN">"c3232"</definedName>
    <definedName name="IQ_PENSION_DISCOUNT_RATE_DOMESTIC">"c3573"</definedName>
    <definedName name="IQ_PENSION_DISCOUNT_RATE_FOREIGN">"c3574"</definedName>
    <definedName name="IQ_PENSION_EST_BENEFIT_1YR">"c3113"</definedName>
    <definedName name="IQ_PENSION_EST_BENEFIT_1YR_DOM">"c3111"</definedName>
    <definedName name="IQ_PENSION_EST_BENEFIT_1YR_FOREIGN">"c3112"</definedName>
    <definedName name="IQ_PENSION_EST_BENEFIT_2YR">"c3116"</definedName>
    <definedName name="IQ_PENSION_EST_BENEFIT_2YR_DOM">"c3114"</definedName>
    <definedName name="IQ_PENSION_EST_BENEFIT_2YR_FOREIGN">"c3115"</definedName>
    <definedName name="IQ_PENSION_EST_BENEFIT_3YR">"c3119"</definedName>
    <definedName name="IQ_PENSION_EST_BENEFIT_3YR_DOM">"c3117"</definedName>
    <definedName name="IQ_PENSION_EST_BENEFIT_3YR_FOREIGN">"c3118"</definedName>
    <definedName name="IQ_PENSION_EST_BENEFIT_4YR">"c3122"</definedName>
    <definedName name="IQ_PENSION_EST_BENEFIT_4YR_DOM">"c3120"</definedName>
    <definedName name="IQ_PENSION_EST_BENEFIT_4YR_FOREIGN">"c3121"</definedName>
    <definedName name="IQ_PENSION_EST_BENEFIT_5YR">"c3125"</definedName>
    <definedName name="IQ_PENSION_EST_BENEFIT_5YR_DOM">"c3123"</definedName>
    <definedName name="IQ_PENSION_EST_BENEFIT_5YR_FOREIGN">"c3124"</definedName>
    <definedName name="IQ_PENSION_EST_BENEFIT_AFTER5">"c3128"</definedName>
    <definedName name="IQ_PENSION_EST_BENEFIT_AFTER5_DOM">"c3126"</definedName>
    <definedName name="IQ_PENSION_EST_BENEFIT_AFTER5_FOREIGN">"c3127"</definedName>
    <definedName name="IQ_PENSION_EST_CONTRIBUTIONS_NEXTYR">"c3218"</definedName>
    <definedName name="IQ_PENSION_EST_CONTRIBUTIONS_NEXTYR_DOM">"c3216"</definedName>
    <definedName name="IQ_PENSION_EST_CONTRIBUTIONS_NEXTYR_FOREIGN">"c3217"</definedName>
    <definedName name="IQ_PENSION_EXP_RATE_RETURN_MAX">"c3248"</definedName>
    <definedName name="IQ_PENSION_EXP_RATE_RETURN_MAX_DOM">"c3246"</definedName>
    <definedName name="IQ_PENSION_EXP_RATE_RETURN_MAX_FOREIGN">"c3247"</definedName>
    <definedName name="IQ_PENSION_EXP_RATE_RETURN_MIN">"c3245"</definedName>
    <definedName name="IQ_PENSION_EXP_RATE_RETURN_MIN_DOM">"c3243"</definedName>
    <definedName name="IQ_PENSION_EXP_RATE_RETURN_MIN_FOREIGN">"c3244"</definedName>
    <definedName name="IQ_PENSION_EXP_RETURN_DOMESTIC">"c3571"</definedName>
    <definedName name="IQ_PENSION_EXP_RETURN_FOREIGN">"c3572"</definedName>
    <definedName name="IQ_PENSION_INTAN_ASSETS">"c3137"</definedName>
    <definedName name="IQ_PENSION_INTAN_ASSETS_DOM">"c3135"</definedName>
    <definedName name="IQ_PENSION_INTAN_ASSETS_FOREIGN">"c3136"</definedName>
    <definedName name="IQ_PENSION_INTEREST_COST">"c3582"</definedName>
    <definedName name="IQ_PENSION_INTEREST_COST_DOM">"c3580"</definedName>
    <definedName name="IQ_PENSION_INTEREST_COST_FOREIGN">"c3581"</definedName>
    <definedName name="IQ_PENSION_NET_ASSET_RECOG">"c3152"</definedName>
    <definedName name="IQ_PENSION_NET_ASSET_RECOG_DOM">"c3150"</definedName>
    <definedName name="IQ_PENSION_NET_ASSET_RECOG_FOREIGN">"c3151"</definedName>
    <definedName name="IQ_PENSION_OBLIGATION_ACQ">"c3206"</definedName>
    <definedName name="IQ_PENSION_OBLIGATION_ACQ_DOM">"c3204"</definedName>
    <definedName name="IQ_PENSION_OBLIGATION_ACQ_FOREIGN">"c3205"</definedName>
    <definedName name="IQ_PENSION_OBLIGATION_ACTUARIAL_GAIN_LOSS">"c3197"</definedName>
    <definedName name="IQ_PENSION_OBLIGATION_ACTUARIAL_GAIN_LOSS_DOM">"c3195"</definedName>
    <definedName name="IQ_PENSION_OBLIGATION_ACTUARIAL_GAIN_LOSS_FOREIGN">"c3196"</definedName>
    <definedName name="IQ_PENSION_OBLIGATION_BEG">"c3185"</definedName>
    <definedName name="IQ_PENSION_OBLIGATION_BEG_DOM">"c3183"</definedName>
    <definedName name="IQ_PENSION_OBLIGATION_BEG_FOREIGN">"c3184"</definedName>
    <definedName name="IQ_PENSION_OBLIGATION_CURTAIL">"c3209"</definedName>
    <definedName name="IQ_PENSION_OBLIGATION_CURTAIL_DOM">"c3207"</definedName>
    <definedName name="IQ_PENSION_OBLIGATION_CURTAIL_FOREIGN">"c3208"</definedName>
    <definedName name="IQ_PENSION_OBLIGATION_EMPLOYEE_CONTRIBUTIONS">"c3194"</definedName>
    <definedName name="IQ_PENSION_OBLIGATION_EMPLOYEE_CONTRIBUTIONS_DOM">"c3192"</definedName>
    <definedName name="IQ_PENSION_OBLIGATION_EMPLOYEE_CONTRIBUTIONS_FOREIGN">"c3193"</definedName>
    <definedName name="IQ_PENSION_OBLIGATION_FX_ADJ">"c3203"</definedName>
    <definedName name="IQ_PENSION_OBLIGATION_FX_ADJ_DOM">"c3201"</definedName>
    <definedName name="IQ_PENSION_OBLIGATION_FX_ADJ_FOREIGN">"c3202"</definedName>
    <definedName name="IQ_PENSION_OBLIGATION_INTEREST_COST">"c3191"</definedName>
    <definedName name="IQ_PENSION_OBLIGATION_INTEREST_COST_DOM">"c3189"</definedName>
    <definedName name="IQ_PENSION_OBLIGATION_INTEREST_COST_FOREIGN">"c3190"</definedName>
    <definedName name="IQ_PENSION_OBLIGATION_OTHER_COST">"c3555"</definedName>
    <definedName name="IQ_PENSION_OBLIGATION_OTHER_COST_DOM">"c3553"</definedName>
    <definedName name="IQ_PENSION_OBLIGATION_OTHER_COST_FOREIGN">"c3554"</definedName>
    <definedName name="IQ_PENSION_OBLIGATION_OTHER_PLAN_ADJ">"c3212"</definedName>
    <definedName name="IQ_PENSION_OBLIGATION_OTHER_PLAN_ADJ_DOM">"c3210"</definedName>
    <definedName name="IQ_PENSION_OBLIGATION_OTHER_PLAN_ADJ_FOREIGN">"c3211"</definedName>
    <definedName name="IQ_PENSION_OBLIGATION_PAID">"c3200"</definedName>
    <definedName name="IQ_PENSION_OBLIGATION_PAID_DOM">"c3198"</definedName>
    <definedName name="IQ_PENSION_OBLIGATION_PAID_FOREIGN">"c3199"</definedName>
    <definedName name="IQ_PENSION_OBLIGATION_PROJECTED">"c3215"</definedName>
    <definedName name="IQ_PENSION_OBLIGATION_PROJECTED_DOM">"c3213"</definedName>
    <definedName name="IQ_PENSION_OBLIGATION_PROJECTED_FOREIGN">"c3214"</definedName>
    <definedName name="IQ_PENSION_OBLIGATION_ROA">"c3552"</definedName>
    <definedName name="IQ_PENSION_OBLIGATION_ROA_DOM">"c3550"</definedName>
    <definedName name="IQ_PENSION_OBLIGATION_ROA_FOREIGN">"c3551"</definedName>
    <definedName name="IQ_PENSION_OBLIGATION_SERVICE_COST">"c3188"</definedName>
    <definedName name="IQ_PENSION_OBLIGATION_SERVICE_COST_DOM">"c3186"</definedName>
    <definedName name="IQ_PENSION_OBLIGATION_SERVICE_COST_FOREIGN">"c3187"</definedName>
    <definedName name="IQ_PENSION_OBLIGATION_TOTAL_COST">"c3558"</definedName>
    <definedName name="IQ_PENSION_OBLIGATION_TOTAL_COST_DOM">"c3556"</definedName>
    <definedName name="IQ_PENSION_OBLIGATION_TOTAL_COST_FOREIGN">"c3557"</definedName>
    <definedName name="IQ_PENSION_OTHER">"c3143"</definedName>
    <definedName name="IQ_PENSION_OTHER_ADJ">"c3149"</definedName>
    <definedName name="IQ_PENSION_OTHER_ADJ_DOM">"c3147"</definedName>
    <definedName name="IQ_PENSION_OTHER_ADJ_FOREIGN">"c3148"</definedName>
    <definedName name="IQ_PENSION_OTHER_DOM">"c3141"</definedName>
    <definedName name="IQ_PENSION_OTHER_FOREIGN">"c3142"</definedName>
    <definedName name="IQ_PENSION_PBO_ASSUMED_RATE_RET_MAX">"c3254"</definedName>
    <definedName name="IQ_PENSION_PBO_ASSUMED_RATE_RET_MAX_DOM">"c3252"</definedName>
    <definedName name="IQ_PENSION_PBO_ASSUMED_RATE_RET_MAX_FOREIGN">"c3253"</definedName>
    <definedName name="IQ_PENSION_PBO_ASSUMED_RATE_RET_MIN">"c3251"</definedName>
    <definedName name="IQ_PENSION_PBO_ASSUMED_RATE_RET_MIN_DOM">"c3249"</definedName>
    <definedName name="IQ_PENSION_PBO_ASSUMED_RATE_RET_MIN_FOREIGN">"c3250"</definedName>
    <definedName name="IQ_PENSION_PBO_RATE_COMP_INCREASE_MAX">"c3260"</definedName>
    <definedName name="IQ_PENSION_PBO_RATE_COMP_INCREASE_MAX_DOM">"c3258"</definedName>
    <definedName name="IQ_PENSION_PBO_RATE_COMP_INCREASE_MAX_FOREIGN">"c3259"</definedName>
    <definedName name="IQ_PENSION_PBO_RATE_COMP_INCREASE_MIN">"c3257"</definedName>
    <definedName name="IQ_PENSION_PBO_RATE_COMP_INCREASE_MIN_DOM">"c3255"</definedName>
    <definedName name="IQ_PENSION_PBO_RATE_COMP_INCREASE_MIN_FOREIGN">"c3256"</definedName>
    <definedName name="IQ_PENSION_PREPAID_COST">"c3131"</definedName>
    <definedName name="IQ_PENSION_PREPAID_COST_DOM">"c3129"</definedName>
    <definedName name="IQ_PENSION_PREPAID_COST_FOREIGN">"c3130"</definedName>
    <definedName name="IQ_PENSION_PROJECTED_OBLIGATION">"c3566"</definedName>
    <definedName name="IQ_PENSION_PROJECTED_OBLIGATION_DOMESTIC">"c3564"</definedName>
    <definedName name="IQ_PENSION_PROJECTED_OBLIGATION_FOREIGN">"c3565"</definedName>
    <definedName name="IQ_PENSION_QUART_ADDL_CONTRIBUTIONS_EXP">"c3224"</definedName>
    <definedName name="IQ_PENSION_QUART_ADDL_CONTRIBUTIONS_EXP_DOM">"c3222"</definedName>
    <definedName name="IQ_PENSION_QUART_ADDL_CONTRIBUTIONS_EXP_FOREIGN">"c3223"</definedName>
    <definedName name="IQ_PENSION_QUART_EMPLOYER_CONTRIBUTIONS">"c3221"</definedName>
    <definedName name="IQ_PENSION_QUART_EMPLOYER_CONTRIBUTIONS_DOM">"c3219"</definedName>
    <definedName name="IQ_PENSION_QUART_EMPLOYER_CONTRIBUTIONS_FOREIGN">"c3220"</definedName>
    <definedName name="IQ_PENSION_RATE_COMP_GROWTH_DOMESTIC">"c3575"</definedName>
    <definedName name="IQ_PENSION_RATE_COMP_GROWTH_FOREIGN">"c3576"</definedName>
    <definedName name="IQ_PENSION_RATE_COMP_INCREASE_MAX">"c3242"</definedName>
    <definedName name="IQ_PENSION_RATE_COMP_INCREASE_MAX_DOM">"c3240"</definedName>
    <definedName name="IQ_PENSION_RATE_COMP_INCREASE_MAX_FOREIGN">"c3241"</definedName>
    <definedName name="IQ_PENSION_RATE_COMP_INCREASE_MIN">"c3239"</definedName>
    <definedName name="IQ_PENSION_RATE_COMP_INCREASE_MIN_DOM">"c3237"</definedName>
    <definedName name="IQ_PENSION_RATE_COMP_INCREASE_MIN_FOREIGN">"c3238"</definedName>
    <definedName name="IQ_PENSION_SERVICE_COST">"c3579"</definedName>
    <definedName name="IQ_PENSION_SERVICE_COST_DOM">"c3577"</definedName>
    <definedName name="IQ_PENSION_SERVICE_COST_FOREIGN">"c3578"</definedName>
    <definedName name="IQ_PENSION_TOTAL_ASSETS">"c3563"</definedName>
    <definedName name="IQ_PENSION_TOTAL_ASSETS_DOMESTIC">"c3561"</definedName>
    <definedName name="IQ_PENSION_TOTAL_ASSETS_FOREIGN">"c3562"</definedName>
    <definedName name="IQ_PENSION_TOTAL_EXP">"c3560"</definedName>
    <definedName name="IQ_PENSION_UNFUNDED_ADDL_MIN_LIAB">"c3227"</definedName>
    <definedName name="IQ_PENSION_UNFUNDED_ADDL_MIN_LIAB_DOM">"c3225"</definedName>
    <definedName name="IQ_PENSION_UNFUNDED_ADDL_MIN_LIAB_FOREIGN">"c3226"</definedName>
    <definedName name="IQ_PENSION_UNRECOG_PRIOR">"c3146"</definedName>
    <definedName name="IQ_PENSION_UNRECOG_PRIOR_DOM">"c3144"</definedName>
    <definedName name="IQ_PENSION_UNRECOG_PRIOR_FOREIGN">"c3145"</definedName>
    <definedName name="IQ_PENSION_UV_LIAB">"c3567"</definedName>
    <definedName name="IQ_PERIODDATE">"c1414"</definedName>
    <definedName name="IQ_PERIODDATE_BS">"c1032"</definedName>
    <definedName name="IQ_PERIODDATE_CF">"c1033"</definedName>
    <definedName name="IQ_PERIODDATE_IS">"c1034"</definedName>
    <definedName name="IQ_PERIODLENGTH_CF">"c1502"</definedName>
    <definedName name="IQ_PERIODLENGTH_IS">"c1503"</definedName>
    <definedName name="IQ_PERTYPE">"c1611"</definedName>
    <definedName name="IQ_PLL">"c2114"</definedName>
    <definedName name="IQ_PMT_FREQ">"c2236"</definedName>
    <definedName name="IQ_POISON_PUT_EFFECT_DATE">"c2486"</definedName>
    <definedName name="IQ_POISON_PUT_EXPIRATION_DATE">"c2487"</definedName>
    <definedName name="IQ_POISON_PUT_PRICE">"c2488"</definedName>
    <definedName name="IQ_POLICY_BENEFITS">"c1036"</definedName>
    <definedName name="IQ_POLICY_COST">"c1037"</definedName>
    <definedName name="IQ_POLICY_LIAB">"c1612"</definedName>
    <definedName name="IQ_POLICY_LOANS">"c1038"</definedName>
    <definedName name="IQ_POST_RETIRE_EXP">"c1039"</definedName>
    <definedName name="IQ_POSTPAID_CHURN">"c2121"</definedName>
    <definedName name="IQ_POSTPAID_SUBS">"c2118"</definedName>
    <definedName name="IQ_PRE_OPEN_COST">"c1040"</definedName>
    <definedName name="IQ_PREF_CONVERT">"c1041"</definedName>
    <definedName name="IQ_PREF_DIV_CF">"c1042"</definedName>
    <definedName name="IQ_PREF_DIV_OTHER">"c1043"</definedName>
    <definedName name="IQ_PREF_DIVID">"c1461"</definedName>
    <definedName name="IQ_PREF_EQUITY">"c1044"</definedName>
    <definedName name="IQ_PREF_ISSUED">"c1045"</definedName>
    <definedName name="IQ_PREF_ISSUED_BNK">"c1046"</definedName>
    <definedName name="IQ_PREF_ISSUED_BR">"c1047"</definedName>
    <definedName name="IQ_PREF_ISSUED_FIN">"c1048"</definedName>
    <definedName name="IQ_PREF_ISSUED_INS">"c1049"</definedName>
    <definedName name="IQ_PREF_ISSUED_REIT">"c1050"</definedName>
    <definedName name="IQ_PREF_ISSUED_UTI">"c1051"</definedName>
    <definedName name="IQ_PREF_NON_REDEEM">"c1052"</definedName>
    <definedName name="IQ_PREF_OTHER">"c1053"</definedName>
    <definedName name="IQ_PREF_OTHER_BNK">"c1054"</definedName>
    <definedName name="IQ_PREF_OTHER_BR">"c1055"</definedName>
    <definedName name="IQ_PREF_OTHER_FIN">"c1056"</definedName>
    <definedName name="IQ_PREF_OTHER_INS">"c1057"</definedName>
    <definedName name="IQ_PREF_OTHER_REIT">"c1058"</definedName>
    <definedName name="IQ_PREF_REDEEM">"c1059"</definedName>
    <definedName name="IQ_PREF_REP">"c1060"</definedName>
    <definedName name="IQ_PREF_REP_BNK">"c1061"</definedName>
    <definedName name="IQ_PREF_REP_BR">"c1062"</definedName>
    <definedName name="IQ_PREF_REP_FIN">"c1063"</definedName>
    <definedName name="IQ_PREF_REP_INS">"c1064"</definedName>
    <definedName name="IQ_PREF_REP_REIT">"c1065"</definedName>
    <definedName name="IQ_PREF_REP_UTI">"c1066"</definedName>
    <definedName name="IQ_PREF_STOCK">"c1416"</definedName>
    <definedName name="IQ_PREF_TOT">"c1415"</definedName>
    <definedName name="IQ_PREMIUMS_ANNUITY_REV">"c1067"</definedName>
    <definedName name="IQ_PREPAID_CHURN">"c2120"</definedName>
    <definedName name="IQ_PREPAID_EXP">"c1068"</definedName>
    <definedName name="IQ_PREPAID_EXPEN">"c1418"</definedName>
    <definedName name="IQ_PREPAID_SUBS">"c2117"</definedName>
    <definedName name="IQ_PRICE_OVER_BVPS">"c1412"</definedName>
    <definedName name="IQ_PRICE_OVER_LTM_EPS">"c1413"</definedName>
    <definedName name="IQ_PRICE_TARGET">"c82"</definedName>
    <definedName name="IQ_PRICE_TARGET_REUT">"c3631"</definedName>
    <definedName name="IQ_PRICEDATE">"c1069"</definedName>
    <definedName name="IQ_PRICING_DATE">"c1613"</definedName>
    <definedName name="IQ_PRIMARY_INDUSTRY">"c1070"</definedName>
    <definedName name="IQ_PRINCIPAL_AMT">"c2157"</definedName>
    <definedName name="IQ_PRO_FORMA_BASIC_EPS">"c1614"</definedName>
    <definedName name="IQ_PRO_FORMA_DILUT_EPS">"c1615"</definedName>
    <definedName name="IQ_PRO_FORMA_NET_INC">"c1452"</definedName>
    <definedName name="IQ_PROFESSIONAL">"c1071"</definedName>
    <definedName name="IQ_PROFESSIONAL_TITLE">"c1072"</definedName>
    <definedName name="IQ_PROJECTED_PENSION_OBLIGATION">"c1292"</definedName>
    <definedName name="IQ_PROJECTED_PENSION_OBLIGATION_DOMESTIC">"c2656"</definedName>
    <definedName name="IQ_PROJECTED_PENSION_OBLIGATION_FOREIGN">"c2664"</definedName>
    <definedName name="IQ_PROPERTY_EXP">"c1073"</definedName>
    <definedName name="IQ_PROPERTY_GROSS">"c1379"</definedName>
    <definedName name="IQ_PROPERTY_MGMT_FEE">"c1074"</definedName>
    <definedName name="IQ_PROPERTY_NET">"c1402"</definedName>
    <definedName name="IQ_PROV_BAD_DEBTS">"c1075"</definedName>
    <definedName name="IQ_PROV_BAD_DEBTS_CF">"c1076"</definedName>
    <definedName name="IQ_PROVISION_10YR_ANN_GROWTH">"c1077"</definedName>
    <definedName name="IQ_PROVISION_1YR_ANN_GROWTH">"c1078"</definedName>
    <definedName name="IQ_PROVISION_2YR_ANN_GROWTH">"c1079"</definedName>
    <definedName name="IQ_PROVISION_3YR_ANN_GROWTH">"c1080"</definedName>
    <definedName name="IQ_PROVISION_5YR_ANN_GROWTH">"c1081"</definedName>
    <definedName name="IQ_PROVISION_7YR_ANN_GROWTH">"c1082"</definedName>
    <definedName name="IQ_PROVISION_CHARGE_OFFS">"c1083"</definedName>
    <definedName name="IQ_PTBV">"c1084"</definedName>
    <definedName name="IQ_PTBV_AVG">"c1085"</definedName>
    <definedName name="IQ_PUT_DATE_SCHEDULE">"c2483"</definedName>
    <definedName name="IQ_PUT_NOTIFICATION">"c2485"</definedName>
    <definedName name="IQ_PUT_PRICE_SCHEDULE">"c2484"</definedName>
    <definedName name="IQ_QUICK_RATIO">"c1086"</definedName>
    <definedName name="IQ_RATE_COMP_GROWTH_DOMESTIC">"c1087"</definedName>
    <definedName name="IQ_RATE_COMP_GROWTH_FOREIGN">"c1088"</definedName>
    <definedName name="IQ_RAW_INV">"c1089"</definedName>
    <definedName name="IQ_RC">"c2497"</definedName>
    <definedName name="IQ_RC_PCT">"c2498"</definedName>
    <definedName name="IQ_RD_EXP">"c1090"</definedName>
    <definedName name="IQ_RD_EXP_FN">"c1091"</definedName>
    <definedName name="IQ_RE">"c1092"</definedName>
    <definedName name="IQ_REAL_ESTATE">"c1093"</definedName>
    <definedName name="IQ_REAL_ESTATE_ASSETS">"c1094"</definedName>
    <definedName name="IQ_RECURRING_PROFIT_ACT_OR_EST">"c4507"</definedName>
    <definedName name="IQ_RECURRING_PROFIT_SHARE_ACT_OR_EST">"c4508"</definedName>
    <definedName name="IQ_REDEEM_PREF_STOCK">"c1417"</definedName>
    <definedName name="IQ_REG_ASSETS">"c1095"</definedName>
    <definedName name="IQ_REINSUR_PAY">"c1096"</definedName>
    <definedName name="IQ_REINSUR_PAY_CF">"c1097"</definedName>
    <definedName name="IQ_REINSUR_RECOVER">"c1098"</definedName>
    <definedName name="IQ_REINSUR_RECOVER_CF">"c1099"</definedName>
    <definedName name="IQ_REINSURANCE">"c1100"</definedName>
    <definedName name="IQ_RENTAL_REV">"c1101"</definedName>
    <definedName name="IQ_RESEARCH_DEV">"c1419"</definedName>
    <definedName name="IQ_RESIDENTIAL_LOANS">"c1102"</definedName>
    <definedName name="IQ_RESTATEMENT_BS">"c1643"</definedName>
    <definedName name="IQ_RESTATEMENT_CF">"c1644"</definedName>
    <definedName name="IQ_RESTATEMENT_IS">"c1642"</definedName>
    <definedName name="IQ_RESTR_STOCK_COMP">"c3506"</definedName>
    <definedName name="IQ_RESTR_STOCK_COMP_PRETAX">"c3504"</definedName>
    <definedName name="IQ_RESTR_STOCK_COMP_TAX">"c3505"</definedName>
    <definedName name="IQ_RESTRICTED_CASH">"c1103"</definedName>
    <definedName name="IQ_RESTRUCTURE">"c1104"</definedName>
    <definedName name="IQ_RESTRUCTURE_BNK">"c1105"</definedName>
    <definedName name="IQ_RESTRUCTURE_BR">"c1106"</definedName>
    <definedName name="IQ_RESTRUCTURE_CF">"c1107"</definedName>
    <definedName name="IQ_RESTRUCTURE_FIN">"c1108"</definedName>
    <definedName name="IQ_RESTRUCTURE_INS">"c1109"</definedName>
    <definedName name="IQ_RESTRUCTURE_REIT">"c1110"</definedName>
    <definedName name="IQ_RESTRUCTURE_UTI">"c1111"</definedName>
    <definedName name="IQ_RESTRUCTURED_LOANS">"c1112"</definedName>
    <definedName name="IQ_RETAIL_ACQUIRED_FRANCHISE_STORES" localSheetId="1">"c2895"</definedName>
    <definedName name="IQ_RETAIL_ACQUIRED_FRANCHISE_STORES">"c2895"</definedName>
    <definedName name="IQ_RETAIL_ACQUIRED_OWNED_STORES" localSheetId="1">"c2903"</definedName>
    <definedName name="IQ_RETAIL_ACQUIRED_OWNED_STORES">"c2903"</definedName>
    <definedName name="IQ_RETAIL_ACQUIRED_STORES">"c2887"</definedName>
    <definedName name="IQ_RETAIL_AVG_STORE_SIZE_GROSS">"c2066"</definedName>
    <definedName name="IQ_RETAIL_AVG_STORE_SIZE_NET">"c2067"</definedName>
    <definedName name="IQ_RETAIL_AVG_WK_SALES">"c2891"</definedName>
    <definedName name="IQ_RETAIL_AVG_WK_SALES_FRANCHISE">"c2899"</definedName>
    <definedName name="IQ_RETAIL_AVG_WK_SALES_OWNED">"c2907"</definedName>
    <definedName name="IQ_RETAIL_CLOSED_FRANCHISE_STORES">"c2896"</definedName>
    <definedName name="IQ_RETAIL_CLOSED_OWNED_STORES">"c2904"</definedName>
    <definedName name="IQ_RETAIL_CLOSED_STORES">"c2063"</definedName>
    <definedName name="IQ_RETAIL_FRANCHISE_STORES_BEG">"c2893"</definedName>
    <definedName name="IQ_RETAIL_OPENED_FRANCHISE_STORES">"c2894"</definedName>
    <definedName name="IQ_RETAIL_OPENED_OWNED_STORES">"c2902"</definedName>
    <definedName name="IQ_RETAIL_OPENED_STORES">"c2062"</definedName>
    <definedName name="IQ_RETAIL_OWNED_STORES_BEG">"c2901"</definedName>
    <definedName name="IQ_RETAIL_SALES_SQFT_ALL_GROSS">"c2138"</definedName>
    <definedName name="IQ_RETAIL_SALES_SQFT_ALL_NET">"c2139"</definedName>
    <definedName name="IQ_RETAIL_SALES_SQFT_COMPARABLE_GROSS">"c2136"</definedName>
    <definedName name="IQ_RETAIL_SALES_SQFT_COMPARABLE_NET">"c2137"</definedName>
    <definedName name="IQ_RETAIL_SALES_SQFT_OWNED_GROSS">"c2134"</definedName>
    <definedName name="IQ_RETAIL_SALES_SQFT_OWNED_NET">"c2135"</definedName>
    <definedName name="IQ_RETAIL_SOLD_FRANCHISE_STORES">"c2897"</definedName>
    <definedName name="IQ_RETAIL_SOLD_OWNED_STORES">"c2905"</definedName>
    <definedName name="IQ_RETAIL_SOLD_STORES">"c2889"</definedName>
    <definedName name="IQ_RETAIL_SQ_FOOTAGE">"c2064"</definedName>
    <definedName name="IQ_RETAIL_STORE_SELLING_AREA">"c2065"</definedName>
    <definedName name="IQ_RETAIL_STORES_BEG">"c2885"</definedName>
    <definedName name="IQ_RETAIL_TOTAL_FRANCHISE_STORES">"c2898"</definedName>
    <definedName name="IQ_RETAIL_TOTAL_OWNED_STORES">"c2906"</definedName>
    <definedName name="IQ_RETAIL_TOTAL_STORES">"c2061"</definedName>
    <definedName name="IQ_RETAINED_EARN">"c1420"</definedName>
    <definedName name="IQ_RETURN_ASSETS">"c1113"</definedName>
    <definedName name="IQ_RETURN_ASSETS_BANK">"c1114"</definedName>
    <definedName name="IQ_RETURN_ASSETS_BROK">"c1115"</definedName>
    <definedName name="IQ_RETURN_ASSETS_FS">"c1116"</definedName>
    <definedName name="IQ_RETURN_CAPITAL">"c1117"</definedName>
    <definedName name="IQ_RETURN_EQUITY">"c1118"</definedName>
    <definedName name="IQ_RETURN_EQUITY_BANK">"c1119"</definedName>
    <definedName name="IQ_RETURN_EQUITY_BROK">"c1120"</definedName>
    <definedName name="IQ_RETURN_EQUITY_FS">"c1121"</definedName>
    <definedName name="IQ_RETURN_INVESTMENT">"c1421"</definedName>
    <definedName name="IQ_REV">"c1122"</definedName>
    <definedName name="IQ_REV_BEFORE_LL">"c1123"</definedName>
    <definedName name="IQ_REV_STDDEV_EST">"c1124"</definedName>
    <definedName name="IQ_REV_STDDEV_EST_REUT">"c3639"</definedName>
    <definedName name="IQ_REV_UTI">"c1125"</definedName>
    <definedName name="IQ_REVENUE">"c1422"</definedName>
    <definedName name="IQ_REVENUE_ACT_OR_EST">"c2214"</definedName>
    <definedName name="IQ_REVENUE_EST">"c1126"</definedName>
    <definedName name="IQ_REVENUE_EST_REUT">"c3634"</definedName>
    <definedName name="IQ_REVENUE_HIGH_EST">"c1127"</definedName>
    <definedName name="IQ_REVENUE_HIGH_EST_REUT">"c3636"</definedName>
    <definedName name="IQ_REVENUE_LOW_EST">"c1128"</definedName>
    <definedName name="IQ_REVENUE_LOW_EST_REUT">"c3637"</definedName>
    <definedName name="IQ_REVENUE_MEDIAN_EST">"c1662"</definedName>
    <definedName name="IQ_REVENUE_MEDIAN_EST_REUT">"c3635"</definedName>
    <definedName name="IQ_REVENUE_NUM_EST">"c1129"</definedName>
    <definedName name="IQ_REVENUE_NUM_EST_REUT">"c3638"</definedName>
    <definedName name="IQ_REVISION_DATE_" localSheetId="1">39489.6256597222</definedName>
    <definedName name="IQ_REVISION_DATE_">39489.6256597222</definedName>
    <definedName name="IQ_RISK_ADJ_BANK_ASSETS">"c2670"</definedName>
    <definedName name="IQ_SALARY">"c1130"</definedName>
    <definedName name="IQ_SALE_INTAN_CF">"c1131"</definedName>
    <definedName name="IQ_SALE_INTAN_CF_BNK">"c1132"</definedName>
    <definedName name="IQ_SALE_INTAN_CF_BR">"c1133"</definedName>
    <definedName name="IQ_SALE_INTAN_CF_FIN">"c1134"</definedName>
    <definedName name="IQ_SALE_INTAN_CF_INS">"c1135"</definedName>
    <definedName name="IQ_SALE_INTAN_CF_REIT">"c1627"</definedName>
    <definedName name="IQ_SALE_INTAN_CF_UTI">"c1136"</definedName>
    <definedName name="IQ_SALE_PPE_CF">"c1137"</definedName>
    <definedName name="IQ_SALE_PPE_CF_BNK">"c1138"</definedName>
    <definedName name="IQ_SALE_PPE_CF_BR">"c1139"</definedName>
    <definedName name="IQ_SALE_PPE_CF_FIN">"c1140"</definedName>
    <definedName name="IQ_SALE_PPE_CF_INS">"c1141"</definedName>
    <definedName name="IQ_SALE_PPE_CF_UTI">"c1142"</definedName>
    <definedName name="IQ_SALE_RE_ASSETS">"c1629"</definedName>
    <definedName name="IQ_SALE_REAL_ESTATE_CF">"c1143"</definedName>
    <definedName name="IQ_SALE_REAL_ESTATE_CF_BNK">"c1144"</definedName>
    <definedName name="IQ_SALE_REAL_ESTATE_CF_BR">"c1145"</definedName>
    <definedName name="IQ_SALE_REAL_ESTATE_CF_FIN">"c1146"</definedName>
    <definedName name="IQ_SALE_REAL_ESTATE_CF_INS">"c1147"</definedName>
    <definedName name="IQ_SALE_REAL_ESTATE_CF_UTI">"c1148"</definedName>
    <definedName name="IQ_SALES_MARKETING">"c2240"</definedName>
    <definedName name="IQ_SAME_STORE">"c1149"</definedName>
    <definedName name="IQ_SAME_STORE_FRANCHISE">"c2900"</definedName>
    <definedName name="IQ_SAME_STORE_OWNED">"c2908"</definedName>
    <definedName name="IQ_SAME_STORE_TOTAL">"c2892"</definedName>
    <definedName name="IQ_SAVING_DEP">"c1150"</definedName>
    <definedName name="IQ_SEC_PURCHASED_RESELL">"c5513"</definedName>
    <definedName name="IQ_SECUR_RECEIV">"c1151"</definedName>
    <definedName name="IQ_SECURED_DEBT">"c2546"</definedName>
    <definedName name="IQ_SECURED_DEBT_PCT">"c2547"</definedName>
    <definedName name="IQ_SECURITY_BORROW">"c1152"</definedName>
    <definedName name="IQ_SECURITY_LEVEL">"c2159"</definedName>
    <definedName name="IQ_SECURITY_NOTES">"c2202"</definedName>
    <definedName name="IQ_SECURITY_OWN">"c1153"</definedName>
    <definedName name="IQ_SECURITY_RESELL">"c1154"</definedName>
    <definedName name="IQ_SECURITY_TYPE">"c2158"</definedName>
    <definedName name="IQ_SEPARATE_ACCT_ASSETS">"c1155"</definedName>
    <definedName name="IQ_SEPARATE_ACCT_LIAB">"c1156"</definedName>
    <definedName name="IQ_SERV_CHARGE_DEPOSITS">"c1157"</definedName>
    <definedName name="IQ_SGA">"c1158"</definedName>
    <definedName name="IQ_SGA_BNK">"c1159"</definedName>
    <definedName name="IQ_SGA_INS">"c1160"</definedName>
    <definedName name="IQ_SGA_MARGIN">"c1898"</definedName>
    <definedName name="IQ_SGA_REIT">"c1161"</definedName>
    <definedName name="IQ_SGA_SUPPL">"c1162"</definedName>
    <definedName name="IQ_SGA_UTI">"c1163"</definedName>
    <definedName name="IQ_SHAREOUTSTANDING">"c1347"</definedName>
    <definedName name="IQ_SHARESOUTSTANDING">"c1164"</definedName>
    <definedName name="IQ_SHORT_INTEREST">"c1165"</definedName>
    <definedName name="IQ_SHORT_INTEREST_OVER_FLOAT">"c1577"</definedName>
    <definedName name="IQ_SHORT_INTEREST_PERCENT">"c1576"</definedName>
    <definedName name="IQ_SHORT_TERM_INVEST">"c1425"</definedName>
    <definedName name="IQ_SMALL_INT_BEAR_CD">"c1166"</definedName>
    <definedName name="IQ_SOFTWARE">"c1167"</definedName>
    <definedName name="IQ_SOURCE">"c1168"</definedName>
    <definedName name="IQ_SP">"c2171"</definedName>
    <definedName name="IQ_SP_BANK">"c2637"</definedName>
    <definedName name="IQ_SP_BANK_ACTION">"c2636"</definedName>
    <definedName name="IQ_SP_BANK_DATE">"c2635"</definedName>
    <definedName name="IQ_SP_DATE">"c2172"</definedName>
    <definedName name="IQ_SP_FIN_ENHANCE_FX">"c2631"</definedName>
    <definedName name="IQ_SP_FIN_ENHANCE_FX_ACTION">"c2630"</definedName>
    <definedName name="IQ_SP_FIN_ENHANCE_FX_DATE">"c2629"</definedName>
    <definedName name="IQ_SP_FIN_ENHANCE_LC">"c2634"</definedName>
    <definedName name="IQ_SP_FIN_ENHANCE_LC_ACTION">"c2633"</definedName>
    <definedName name="IQ_SP_FIN_ENHANCE_LC_DATE">"c2632"</definedName>
    <definedName name="IQ_SP_FIN_STRENGTH_LC_ACTION_LT">"c2625"</definedName>
    <definedName name="IQ_SP_FIN_STRENGTH_LC_ACTION_ST">"c2626"</definedName>
    <definedName name="IQ_SP_FIN_STRENGTH_LC_DATE_LT">"c2623"</definedName>
    <definedName name="IQ_SP_FIN_STRENGTH_LC_DATE_ST">"c2624"</definedName>
    <definedName name="IQ_SP_FIN_STRENGTH_LC_LT">"c2627"</definedName>
    <definedName name="IQ_SP_FIN_STRENGTH_LC_ST">"c2628"</definedName>
    <definedName name="IQ_SP_FX_ACTION_LT">"c2613"</definedName>
    <definedName name="IQ_SP_FX_ACTION_ST">"c2614"</definedName>
    <definedName name="IQ_SP_FX_DATE_LT">"c2611"</definedName>
    <definedName name="IQ_SP_FX_DATE_ST">"c2612"</definedName>
    <definedName name="IQ_SP_FX_LT">"c2615"</definedName>
    <definedName name="IQ_SP_FX_ST">"c2616"</definedName>
    <definedName name="IQ_SP_ISSUE_ACTION">"c2644"</definedName>
    <definedName name="IQ_SP_ISSUE_DATE">"c2643"</definedName>
    <definedName name="IQ_SP_ISSUE_LT">"c2645"</definedName>
    <definedName name="IQ_SP_ISSUE_OUTLOOK_WATCH">"c2650"</definedName>
    <definedName name="IQ_SP_ISSUE_OUTLOOK_WATCH_DATE">"c2649"</definedName>
    <definedName name="IQ_SP_ISSUE_RECOVER">"c2648"</definedName>
    <definedName name="IQ_SP_ISSUE_RECOVER_ACTION">"c2647"</definedName>
    <definedName name="IQ_SP_ISSUE_RECOVER_DATE">"c2646"</definedName>
    <definedName name="IQ_SP_LC_ACTION_LT">"c2619"</definedName>
    <definedName name="IQ_SP_LC_ACTION_ST">"c2620"</definedName>
    <definedName name="IQ_SP_LC_DATE_LT">"c2617"</definedName>
    <definedName name="IQ_SP_LC_DATE_ST">"c2618"</definedName>
    <definedName name="IQ_SP_LC_LT">"c2621"</definedName>
    <definedName name="IQ_SP_LC_ST">"c2622"</definedName>
    <definedName name="IQ_SP_OUTLOOK_WATCH">"c2639"</definedName>
    <definedName name="IQ_SP_OUTLOOK_WATCH_DATE">"c2638"</definedName>
    <definedName name="IQ_SP_REASON">"c2174"</definedName>
    <definedName name="IQ_SP_STATUS">"c2173"</definedName>
    <definedName name="IQ_SPECIAL_DIV_CF">"c1169"</definedName>
    <definedName name="IQ_SPECIAL_DIV_CF_BNK">"c1170"</definedName>
    <definedName name="IQ_SPECIAL_DIV_CF_BR">"c1171"</definedName>
    <definedName name="IQ_SPECIAL_DIV_CF_FIN">"c1172"</definedName>
    <definedName name="IQ_SPECIAL_DIV_CF_INS">"c1173"</definedName>
    <definedName name="IQ_SPECIAL_DIV_CF_REIT">"c1174"</definedName>
    <definedName name="IQ_SPECIAL_DIV_CF_UTI">"c1175"</definedName>
    <definedName name="IQ_SPECIAL_DIV_SHARE">"c3007"</definedName>
    <definedName name="IQ_SR_BONDS_NOTES">"c2501"</definedName>
    <definedName name="IQ_SR_BONDS_NOTES_PCT">"c2502"</definedName>
    <definedName name="IQ_SR_DEBT">"c2526"</definedName>
    <definedName name="IQ_SR_DEBT_EBITDA">"c2552"</definedName>
    <definedName name="IQ_SR_DEBT_EBITDA_CAPEX">"c2553"</definedName>
    <definedName name="IQ_SR_DEBT_PCT">"c2527"</definedName>
    <definedName name="IQ_SR_SUB_DEBT">"c2530"</definedName>
    <definedName name="IQ_SR_SUB_DEBT_EBITDA">"c2556"</definedName>
    <definedName name="IQ_SR_SUB_DEBT_EBITDA_CAPEX">"c2557"</definedName>
    <definedName name="IQ_SR_SUB_DEBT_PCT">"c2531"</definedName>
    <definedName name="IQ_ST_DEBT">"c1176"</definedName>
    <definedName name="IQ_ST_DEBT_BNK">"c1177"</definedName>
    <definedName name="IQ_ST_DEBT_BR">"c1178"</definedName>
    <definedName name="IQ_ST_DEBT_FIN">"c1179"</definedName>
    <definedName name="IQ_ST_DEBT_INS">"c1180"</definedName>
    <definedName name="IQ_ST_DEBT_ISSUED">"c1181"</definedName>
    <definedName name="IQ_ST_DEBT_ISSUED_BNK">"c1182"</definedName>
    <definedName name="IQ_ST_DEBT_ISSUED_BR">"c1183"</definedName>
    <definedName name="IQ_ST_DEBT_ISSUED_FIN">"c1184"</definedName>
    <definedName name="IQ_ST_DEBT_ISSUED_INS">"c1185"</definedName>
    <definedName name="IQ_ST_DEBT_ISSUED_REIT">"c1186"</definedName>
    <definedName name="IQ_ST_DEBT_ISSUED_UTI">"c1187"</definedName>
    <definedName name="IQ_ST_DEBT_PCT">"c2539"</definedName>
    <definedName name="IQ_ST_DEBT_REIT">"c1188"</definedName>
    <definedName name="IQ_ST_DEBT_REPAID">"c1189"</definedName>
    <definedName name="IQ_ST_DEBT_REPAID_BNK">"c1190"</definedName>
    <definedName name="IQ_ST_DEBT_REPAID_BR">"c1191"</definedName>
    <definedName name="IQ_ST_DEBT_REPAID_FIN">"c1192"</definedName>
    <definedName name="IQ_ST_DEBT_REPAID_INS">"c1193"</definedName>
    <definedName name="IQ_ST_DEBT_REPAID_REIT">"c1194"</definedName>
    <definedName name="IQ_ST_DEBT_REPAID_UTI">"c1195"</definedName>
    <definedName name="IQ_ST_DEBT_UTI">"c1196"</definedName>
    <definedName name="IQ_ST_INVEST">"c1197"</definedName>
    <definedName name="IQ_ST_INVEST_UTI">"c1198"</definedName>
    <definedName name="IQ_ST_NOTE_RECEIV">"c1199"</definedName>
    <definedName name="IQ_STATE">"c1200"</definedName>
    <definedName name="IQ_STATUTORY_SURPLUS">"c1201"</definedName>
    <definedName name="IQ_STOCK_BASED">"c1202"</definedName>
    <definedName name="IQ_STOCK_BASED_AT">"c2999"</definedName>
    <definedName name="IQ_STOCK_BASED_CF">"c1203"</definedName>
    <definedName name="IQ_STOCK_BASED_COGS">"c2990"</definedName>
    <definedName name="IQ_STOCK_BASED_COMP">"c3512"</definedName>
    <definedName name="IQ_STOCK_BASED_COMP_PRETAX">"c3510"</definedName>
    <definedName name="IQ_STOCK_BASED_COMP_TAX">"c3511"</definedName>
    <definedName name="IQ_STOCK_BASED_GA">"c2993"</definedName>
    <definedName name="IQ_STOCK_BASED_OTHER">"c2995"</definedName>
    <definedName name="IQ_STOCK_BASED_RD">"c2991"</definedName>
    <definedName name="IQ_STOCK_BASED_SGA">"c2994"</definedName>
    <definedName name="IQ_STOCK_BASED_SM">"c2992"</definedName>
    <definedName name="IQ_STOCK_BASED_TOTAL">"c3040"</definedName>
    <definedName name="IQ_STOCK_OPTIONS_COMP">"c3509"</definedName>
    <definedName name="IQ_STOCK_OPTIONS_COMP_PRETAX">"c3507"</definedName>
    <definedName name="IQ_STOCK_OPTIONS_COMP_TAX">"c3508"</definedName>
    <definedName name="IQ_STRIKE_PRICE_ISSUED">"c1645"</definedName>
    <definedName name="IQ_STRIKE_PRICE_OS">"c1646"</definedName>
    <definedName name="IQ_STW">"c2166"</definedName>
    <definedName name="IQ_SUB_BONDS_NOTES">"c2503"</definedName>
    <definedName name="IQ_SUB_BONDS_NOTES_PCT">"c2504"</definedName>
    <definedName name="IQ_SUB_DEBT">"c2532"</definedName>
    <definedName name="IQ_SUB_DEBT_EBITDA">"c2558"</definedName>
    <definedName name="IQ_SUB_DEBT_EBITDA_CAPEX">"c2559"</definedName>
    <definedName name="IQ_SUB_DEBT_PCT">"c2533"</definedName>
    <definedName name="IQ_SUB_LEASE_AFTER_FIVE">"c1207"</definedName>
    <definedName name="IQ_SUB_LEASE_INC_CY">"c1208"</definedName>
    <definedName name="IQ_SUB_LEASE_INC_CY1">"c1209"</definedName>
    <definedName name="IQ_SUB_LEASE_INC_CY2">"c1210"</definedName>
    <definedName name="IQ_SUB_LEASE_INC_CY3">"c1211"</definedName>
    <definedName name="IQ_SUB_LEASE_INC_CY4">"c1212"</definedName>
    <definedName name="IQ_SUB_LEASE_NEXT_FIVE">"c1213"</definedName>
    <definedName name="IQ_SVA">"c1214"</definedName>
    <definedName name="IQ_TARGET_PRICE_NUM">"c1653"</definedName>
    <definedName name="IQ_TARGET_PRICE_NUM_REUT">"c5319"</definedName>
    <definedName name="IQ_TARGET_PRICE_STDDEV">"c1654"</definedName>
    <definedName name="IQ_TARGET_PRICE_STDDEV_REUT">"c5320"</definedName>
    <definedName name="IQ_TAX_BENEFIT_CF_1YR">"c3483"</definedName>
    <definedName name="IQ_TAX_BENEFIT_CF_2YR">"c3484"</definedName>
    <definedName name="IQ_TAX_BENEFIT_CF_3YR">"c3485"</definedName>
    <definedName name="IQ_TAX_BENEFIT_CF_4YR">"c3486"</definedName>
    <definedName name="IQ_TAX_BENEFIT_CF_5YR">"c3487"</definedName>
    <definedName name="IQ_TAX_BENEFIT_CF_AFTER_FIVE">"c3488"</definedName>
    <definedName name="IQ_TAX_BENEFIT_CF_MAX_YEAR">"c3491"</definedName>
    <definedName name="IQ_TAX_BENEFIT_CF_NO_EXP">"c3489"</definedName>
    <definedName name="IQ_TAX_BENEFIT_CF_TOTAL">"c3490"</definedName>
    <definedName name="IQ_TAX_BENEFIT_OPTIONS">"c1215"</definedName>
    <definedName name="IQ_TAX_EQUIV_NET_INT_INC">"c1216"</definedName>
    <definedName name="IQ_TBV">"c1906"</definedName>
    <definedName name="IQ_TBV_10YR_ANN_GROWTH">"c1936"</definedName>
    <definedName name="IQ_TBV_1YR_ANN_GROWTH">"c1931"</definedName>
    <definedName name="IQ_TBV_2YR_ANN_GROWTH">"c1932"</definedName>
    <definedName name="IQ_TBV_3YR_ANN_GROWTH">"c1933"</definedName>
    <definedName name="IQ_TBV_5YR_ANN_GROWTH">"c1934"</definedName>
    <definedName name="IQ_TBV_7YR_ANN_GROWTH">"c1935"</definedName>
    <definedName name="IQ_TBV_SHARE">"c1217"</definedName>
    <definedName name="IQ_TEMPLATE">"c1521"</definedName>
    <definedName name="IQ_TENANT">"c1218"</definedName>
    <definedName name="IQ_TERM_LOANS">"c2499"</definedName>
    <definedName name="IQ_TERM_LOANS_PCT">"c2500"</definedName>
    <definedName name="IQ_TEV">"c1219"</definedName>
    <definedName name="IQ_TEV_EBIT">"c1220"</definedName>
    <definedName name="IQ_TEV_EBIT_AVG">"c1221"</definedName>
    <definedName name="IQ_TEV_EBITDA">"c1222"</definedName>
    <definedName name="IQ_TEV_EBITDA_AVG">"c1223"</definedName>
    <definedName name="IQ_TEV_EBITDA_FWD">"c1224"</definedName>
    <definedName name="IQ_TEV_EBITDA_FWD_REUT">"c4050"</definedName>
    <definedName name="IQ_TEV_EMPLOYEE_AVG">"c1225"</definedName>
    <definedName name="IQ_TEV_TOTAL_REV">"c1226"</definedName>
    <definedName name="IQ_TEV_TOTAL_REV_AVG">"c1227"</definedName>
    <definedName name="IQ_TEV_TOTAL_REV_FWD">"c1228"</definedName>
    <definedName name="IQ_TEV_TOTAL_REV_FWD_REUT">"c4051"</definedName>
    <definedName name="IQ_TEV_UFCF">"c2208"</definedName>
    <definedName name="IQ_TIER_ONE_CAPITAL">"c2667"</definedName>
    <definedName name="IQ_TIER_ONE_RATIO">"c1229"</definedName>
    <definedName name="IQ_TIER_TWO_CAPITAL">"c2669"</definedName>
    <definedName name="IQ_TIME_DEP">"c1230"</definedName>
    <definedName name="IQ_TODAY">0</definedName>
    <definedName name="IQ_TOT_ADJ_INC">"c1616"</definedName>
    <definedName name="IQ_TOTAL_AR_BR">"c1231"</definedName>
    <definedName name="IQ_TOTAL_AR_REIT">"c1232"</definedName>
    <definedName name="IQ_TOTAL_AR_UTI">"c1233"</definedName>
    <definedName name="IQ_TOTAL_ASSETS">"c1234"</definedName>
    <definedName name="IQ_TOTAL_ASSETS_10YR_ANN_GROWTH">"c1235"</definedName>
    <definedName name="IQ_TOTAL_ASSETS_1YR_ANN_GROWTH">"c1236"</definedName>
    <definedName name="IQ_TOTAL_ASSETS_2YR_ANN_GROWTH">"c1237"</definedName>
    <definedName name="IQ_TOTAL_ASSETS_3YR_ANN_GROWTH">"c1238"</definedName>
    <definedName name="IQ_TOTAL_ASSETS_5YR_ANN_GROWTH">"c1239"</definedName>
    <definedName name="IQ_TOTAL_ASSETS_7YR_ANN_GROWTH">"c1240"</definedName>
    <definedName name="IQ_TOTAL_AVG_CE_TOTAL_AVG_ASSETS">"c1241"</definedName>
    <definedName name="IQ_TOTAL_AVG_EQUITY_TOTAL_AVG_ASSETS">"c1242"</definedName>
    <definedName name="IQ_TOTAL_BANK_CAPITAL">"c2668"</definedName>
    <definedName name="IQ_TOTAL_CA">"c1243"</definedName>
    <definedName name="IQ_TOTAL_CAP">"c1507"</definedName>
    <definedName name="IQ_TOTAL_CAPITAL_RATIO">"c1244"</definedName>
    <definedName name="IQ_TOTAL_CASH_DIVID">"c1455"</definedName>
    <definedName name="IQ_TOTAL_CASH_FINAN">"c1352"</definedName>
    <definedName name="IQ_TOTAL_CASH_INVEST">"c1353"</definedName>
    <definedName name="IQ_TOTAL_CASH_OPER">"c1354"</definedName>
    <definedName name="IQ_TOTAL_CHURN">"c2122"</definedName>
    <definedName name="IQ_TOTAL_CL">"c1245"</definedName>
    <definedName name="IQ_TOTAL_COMMON">"c1411"</definedName>
    <definedName name="IQ_TOTAL_COMMON_EQUITY">"c1246"</definedName>
    <definedName name="IQ_TOTAL_CURRENT_ASSETS">"c1430"</definedName>
    <definedName name="IQ_TOTAL_CURRENT_LIAB">"c1431"</definedName>
    <definedName name="IQ_TOTAL_DEBT">"c1247"</definedName>
    <definedName name="IQ_TOTAL_DEBT_CAPITAL">"c1248"</definedName>
    <definedName name="IQ_TOTAL_DEBT_EBITDA">"c1249"</definedName>
    <definedName name="IQ_TOTAL_DEBT_EBITDA_CAPEX">"c2948"</definedName>
    <definedName name="IQ_TOTAL_DEBT_EQUITY">"c1250"</definedName>
    <definedName name="IQ_TOTAL_DEBT_EXCL_FIN">"c2937"</definedName>
    <definedName name="IQ_TOTAL_DEBT_ISSUED">"c1251"</definedName>
    <definedName name="IQ_TOTAL_DEBT_ISSUED_BNK">"c1252"</definedName>
    <definedName name="IQ_TOTAL_DEBT_ISSUED_BR">"c1253"</definedName>
    <definedName name="IQ_TOTAL_DEBT_ISSUED_FIN">"c1254"</definedName>
    <definedName name="IQ_TOTAL_DEBT_ISSUED_REIT">"c1255"</definedName>
    <definedName name="IQ_TOTAL_DEBT_ISSUED_UTI">"c1256"</definedName>
    <definedName name="IQ_TOTAL_DEBT_ISSUES_INS">"c1257"</definedName>
    <definedName name="IQ_TOTAL_DEBT_OVER_EBITDA">"c1433"</definedName>
    <definedName name="IQ_TOTAL_DEBT_OVER_TOTAL_BV">"c1434"</definedName>
    <definedName name="IQ_TOTAL_DEBT_OVER_TOTAL_CAP">"c1432"</definedName>
    <definedName name="IQ_TOTAL_DEBT_REPAID">"c1258"</definedName>
    <definedName name="IQ_TOTAL_DEBT_REPAID_BNK">"c1259"</definedName>
    <definedName name="IQ_TOTAL_DEBT_REPAID_BR">"c1260"</definedName>
    <definedName name="IQ_TOTAL_DEBT_REPAID_FIN">"c1261"</definedName>
    <definedName name="IQ_TOTAL_DEBT_REPAID_INS">"c1262"</definedName>
    <definedName name="IQ_TOTAL_DEBT_REPAID_REIT">"c1263"</definedName>
    <definedName name="IQ_TOTAL_DEBT_REPAID_UTI">"c1264"</definedName>
    <definedName name="IQ_TOTAL_DEPOSITS">"c1265"</definedName>
    <definedName name="IQ_TOTAL_DIV_PAID_CF">"c1266"</definedName>
    <definedName name="IQ_TOTAL_EMPLOYEE">"c2141"</definedName>
    <definedName name="IQ_TOTAL_EMPLOYEES">"c1522"</definedName>
    <definedName name="IQ_TOTAL_EQUITY">"c1267"</definedName>
    <definedName name="IQ_TOTAL_EQUITY_10YR_ANN_GROWTH">"c1268"</definedName>
    <definedName name="IQ_TOTAL_EQUITY_1YR_ANN_GROWTH">"c1269"</definedName>
    <definedName name="IQ_TOTAL_EQUITY_2YR_ANN_GROWTH">"c1270"</definedName>
    <definedName name="IQ_TOTAL_EQUITY_3YR_ANN_GROWTH">"c1271"</definedName>
    <definedName name="IQ_TOTAL_EQUITY_5YR_ANN_GROWTH">"c1272"</definedName>
    <definedName name="IQ_TOTAL_EQUITY_7YR_ANN_GROWTH">"c1273"</definedName>
    <definedName name="IQ_TOTAL_EQUITY_ALLOWANCE_TOTAL_LOANS">"c1274"</definedName>
    <definedName name="IQ_TOTAL_INTEREST_EXP">"c1382"</definedName>
    <definedName name="IQ_TOTAL_INVENTORY">"c1385"</definedName>
    <definedName name="IQ_TOTAL_INVEST">"c1275"</definedName>
    <definedName name="IQ_TOTAL_LIAB">"c1276"</definedName>
    <definedName name="IQ_TOTAL_LIAB_BNK">"c1277"</definedName>
    <definedName name="IQ_TOTAL_LIAB_BR">"c1278"</definedName>
    <definedName name="IQ_TOTAL_LIAB_EQUITY">"c1279"</definedName>
    <definedName name="IQ_TOTAL_LIAB_FIN">"c1280"</definedName>
    <definedName name="IQ_TOTAL_LIAB_INS">"c1281"</definedName>
    <definedName name="IQ_TOTAL_LIAB_REIT">"c1282"</definedName>
    <definedName name="IQ_TOTAL_LIAB_SHAREHOLD">"c1435"</definedName>
    <definedName name="IQ_TOTAL_LIAB_TOTAL_ASSETS">"c1283"</definedName>
    <definedName name="IQ_TOTAL_LONG_DEBT">"c1617"</definedName>
    <definedName name="IQ_TOTAL_NON_REC">"c1444"</definedName>
    <definedName name="IQ_TOTAL_OPER_EXP_BR">"c1284"</definedName>
    <definedName name="IQ_TOTAL_OPER_EXP_FIN">"c1285"</definedName>
    <definedName name="IQ_TOTAL_OPER_EXP_INS">"c1286"</definedName>
    <definedName name="IQ_TOTAL_OPER_EXP_REIT">"c1287"</definedName>
    <definedName name="IQ_TOTAL_OPER_EXP_UTI">"c1288"</definedName>
    <definedName name="IQ_TOTAL_OPER_EXPEN">"c1445"</definedName>
    <definedName name="IQ_TOTAL_OPTIONS_BEG_OS">"c2693"</definedName>
    <definedName name="IQ_TOTAL_OPTIONS_CANCELLED">"c2696"</definedName>
    <definedName name="IQ_TOTAL_OPTIONS_END_OS">"c2697"</definedName>
    <definedName name="IQ_TOTAL_OPTIONS_EXERCISED">"c2695"</definedName>
    <definedName name="IQ_TOTAL_OPTIONS_GRANTED">"c2694"</definedName>
    <definedName name="IQ_TOTAL_OTHER_OPER">"c1289"</definedName>
    <definedName name="IQ_TOTAL_OUTSTANDING_BS_DATE">"c1022"</definedName>
    <definedName name="IQ_TOTAL_OUTSTANDING_FILING_DATE">"c2107"</definedName>
    <definedName name="IQ_TOTAL_PENSION_ASSETS">"c1290"</definedName>
    <definedName name="IQ_TOTAL_PENSION_ASSETS_DOMESTIC">"c2658"</definedName>
    <definedName name="IQ_TOTAL_PENSION_ASSETS_FOREIGN">"c2666"</definedName>
    <definedName name="IQ_TOTAL_PENSION_EXP">"c1291"</definedName>
    <definedName name="IQ_TOTAL_PRINCIPAL">"c2509"</definedName>
    <definedName name="IQ_TOTAL_PRINCIPAL_PCT">"c2510"</definedName>
    <definedName name="IQ_TOTAL_PROVED_RESERVES_NGL">"c2924"</definedName>
    <definedName name="IQ_TOTAL_PROVED_RESERVES_OIL">"c2040"</definedName>
    <definedName name="IQ_TOTAL_RECEIV">"c1293"</definedName>
    <definedName name="IQ_TOTAL_REV">"c1294"</definedName>
    <definedName name="IQ_TOTAL_REV_10YR_ANN_GROWTH">"c1295"</definedName>
    <definedName name="IQ_TOTAL_REV_1YR_ANN_GROWTH">"c1296"</definedName>
    <definedName name="IQ_TOTAL_REV_2YR_ANN_GROWTH">"c1297"</definedName>
    <definedName name="IQ_TOTAL_REV_3YR_ANN_GROWTH">"c1298"</definedName>
    <definedName name="IQ_TOTAL_REV_5YR_ANN_GROWTH">"c1299"</definedName>
    <definedName name="IQ_TOTAL_REV_7YR_ANN_GROWTH">"c1300"</definedName>
    <definedName name="IQ_TOTAL_REV_AS_REPORTED">"c1301"</definedName>
    <definedName name="IQ_TOTAL_REV_BNK">"c1302"</definedName>
    <definedName name="IQ_TOTAL_REV_BR">"c1303"</definedName>
    <definedName name="IQ_TOTAL_REV_EMPLOYEE">"c1304"</definedName>
    <definedName name="IQ_TOTAL_REV_FIN">"c1305"</definedName>
    <definedName name="IQ_TOTAL_REV_INS">"c1306"</definedName>
    <definedName name="IQ_TOTAL_REV_REIT">"c1307"</definedName>
    <definedName name="IQ_TOTAL_REV_SHARE">"c1912"</definedName>
    <definedName name="IQ_TOTAL_REV_UTI">"c1308"</definedName>
    <definedName name="IQ_TOTAL_REVENUE">"c1436"</definedName>
    <definedName name="IQ_TOTAL_SPECIAL">"c1618"</definedName>
    <definedName name="IQ_TOTAL_ST_BORROW">"c1424"</definedName>
    <definedName name="IQ_TOTAL_SUB_DEBT">"c2528"</definedName>
    <definedName name="IQ_TOTAL_SUB_DEBT_EBITDA">"c2554"</definedName>
    <definedName name="IQ_TOTAL_SUB_DEBT_EBITDA_CAPEX">"c2555"</definedName>
    <definedName name="IQ_TOTAL_SUB_DEBT_PCT">"c2529"</definedName>
    <definedName name="IQ_TOTAL_SUBS">"c2119"</definedName>
    <definedName name="IQ_TOTAL_UNUSUAL">"c1508"</definedName>
    <definedName name="IQ_TOTAL_UNUSUAL_BNK">"c5516"</definedName>
    <definedName name="IQ_TOTAL_UNUSUAL_BR">"c5517"</definedName>
    <definedName name="IQ_TOTAL_UNUSUAL_FIN">"c5518"</definedName>
    <definedName name="IQ_TOTAL_UNUSUAL_INS">"c5519"</definedName>
    <definedName name="IQ_TOTAL_UNUSUAL_REIT">"c5520"</definedName>
    <definedName name="IQ_TOTAL_UNUSUAL_UTI">"c5521"</definedName>
    <definedName name="IQ_TOTAL_WARRANTS_BEG_OS">"c2719"</definedName>
    <definedName name="IQ_TOTAL_WARRANTS_CANCELLED">"c2722"</definedName>
    <definedName name="IQ_TOTAL_WARRANTS_END_OS">"c2723"</definedName>
    <definedName name="IQ_TOTAL_WARRANTS_EXERCISED">"c2721"</definedName>
    <definedName name="IQ_TOTAL_WARRANTS_ISSUED">"c2720"</definedName>
    <definedName name="IQ_TR_ACCT_METHOD">"c2363"</definedName>
    <definedName name="IQ_TR_ACQ_52_WK_HI_PCT">"c2348"</definedName>
    <definedName name="IQ_TR_ACQ_52_WK_LOW_PCT">"c2347"</definedName>
    <definedName name="IQ_TR_ACQ_CASH_ST_INVEST">"c2372"</definedName>
    <definedName name="IQ_TR_ACQ_CLOSEPRICE_1D">"c3027"</definedName>
    <definedName name="IQ_TR_ACQ_DILUT_EPS_EXCL">"c3028"</definedName>
    <definedName name="IQ_TR_ACQ_EARNING_CO">"c2379"</definedName>
    <definedName name="IQ_TR_ACQ_EBIT">"c2380"</definedName>
    <definedName name="IQ_TR_ACQ_EBIT_EQ_INC">"c3611"</definedName>
    <definedName name="IQ_TR_ACQ_EBITDA">"c2381"</definedName>
    <definedName name="IQ_TR_ACQ_EBITDA_EQ_INC">"c3610"</definedName>
    <definedName name="IQ_TR_ACQ_FILING_CURRENCY">"c3033"</definedName>
    <definedName name="IQ_TR_ACQ_FILINGDATE">"c3607"</definedName>
    <definedName name="IQ_TR_ACQ_MCAP_1DAY">"c2345"</definedName>
    <definedName name="IQ_TR_ACQ_MIN_INT">"c2374"</definedName>
    <definedName name="IQ_TR_ACQ_NET_DEBT">"c2373"</definedName>
    <definedName name="IQ_TR_ACQ_NI">"c2378"</definedName>
    <definedName name="IQ_TR_ACQ_PERIODDATE">"c3606"</definedName>
    <definedName name="IQ_TR_ACQ_PRICEDATE_1D">"c2346"</definedName>
    <definedName name="IQ_TR_ACQ_RETURN">"c2349"</definedName>
    <definedName name="IQ_TR_ACQ_STOCKYEARHIGH_1D">"c2343"</definedName>
    <definedName name="IQ_TR_ACQ_STOCKYEARLOW_1D">"c2344"</definedName>
    <definedName name="IQ_TR_ACQ_TOTAL_ASSETS">"c2371"</definedName>
    <definedName name="IQ_TR_ACQ_TOTAL_COMMON_EQ">"c2377"</definedName>
    <definedName name="IQ_TR_ACQ_TOTAL_DEBT">"c2376"</definedName>
    <definedName name="IQ_TR_ACQ_TOTAL_PREF">"c2375"</definedName>
    <definedName name="IQ_TR_ACQ_TOTAL_REV">"c2382"</definedName>
    <definedName name="IQ_TR_ADJ_SIZE">"c3024"</definedName>
    <definedName name="IQ_TR_ANN_DATE">"c2395"</definedName>
    <definedName name="IQ_TR_ANN_DATE_BL">"c2394"</definedName>
    <definedName name="IQ_TR_BID_DATE">"c2357"</definedName>
    <definedName name="IQ_TR_BLUESKY_FEES">"c2277"</definedName>
    <definedName name="IQ_TR_BUY_ACC_ADVISORS">"c3048"</definedName>
    <definedName name="IQ_TR_BUY_FIN_ADVISORS">"c3045"</definedName>
    <definedName name="IQ_TR_BUY_LEG_ADVISORS">"c2387"</definedName>
    <definedName name="IQ_TR_BUYER_ID">"c2404"</definedName>
    <definedName name="IQ_TR_BUYERNAME">"c2401"</definedName>
    <definedName name="IQ_TR_CANCELLED_DATE">"c2284"</definedName>
    <definedName name="IQ_TR_CASH_CONSID_PCT">"c2296"</definedName>
    <definedName name="IQ_TR_CASH_ST_INVEST">"c3025"</definedName>
    <definedName name="IQ_TR_CHANGE_CONTROL">"c2365"</definedName>
    <definedName name="IQ_TR_CLOSED_DATE">"c2283"</definedName>
    <definedName name="IQ_TR_CO_NET_PROCEEDS">"c2268"</definedName>
    <definedName name="IQ_TR_CO_NET_PROCEEDS_PCT">"c2270"</definedName>
    <definedName name="IQ_TR_COMMENTS">"c2383"</definedName>
    <definedName name="IQ_TR_CURRENCY">"c3016"</definedName>
    <definedName name="IQ_TR_DEAL_ATTITUDE">"c2364"</definedName>
    <definedName name="IQ_TR_DEAL_CONDITIONS">"c2367"</definedName>
    <definedName name="IQ_TR_DEAL_RESOLUTION">"c2391"</definedName>
    <definedName name="IQ_TR_DEAL_RESPONSES">"c2366"</definedName>
    <definedName name="IQ_TR_DEBT_CONSID_PCT">"c2299"</definedName>
    <definedName name="IQ_TR_DEF_AGRMT_DATE">"c2285"</definedName>
    <definedName name="IQ_TR_DISCLOSED_FEES_EXP">"c2288"</definedName>
    <definedName name="IQ_TR_EARNOUTS">"c3023"</definedName>
    <definedName name="IQ_TR_EXPIRED_DATE">"c2412"</definedName>
    <definedName name="IQ_TR_GROSS_OFFERING_AMT">"c2262"</definedName>
    <definedName name="IQ_TR_HYBRID_CONSID_PCT">"c2300"</definedName>
    <definedName name="IQ_TR_IMPLIED_EQ">"c3018"</definedName>
    <definedName name="IQ_TR_IMPLIED_EQ_BV">"c3019"</definedName>
    <definedName name="IQ_TR_IMPLIED_EQ_NI_LTM">"c3020"</definedName>
    <definedName name="IQ_TR_IMPLIED_EV">"c2301"</definedName>
    <definedName name="IQ_TR_IMPLIED_EV_BV">"c2306"</definedName>
    <definedName name="IQ_TR_IMPLIED_EV_EBIT">"c2302"</definedName>
    <definedName name="IQ_TR_IMPLIED_EV_EBITDA">"c2303"</definedName>
    <definedName name="IQ_TR_IMPLIED_EV_NI_LTM">"c2307"</definedName>
    <definedName name="IQ_TR_IMPLIED_EV_REV">"c2304"</definedName>
    <definedName name="IQ_TR_INIT_FILED_DATE">"c3495"</definedName>
    <definedName name="IQ_TR_LOI_DATE">"c2282"</definedName>
    <definedName name="IQ_TR_MAJ_MIN_STAKE">"c2389"</definedName>
    <definedName name="IQ_TR_NEGOTIATED_BUYBACK_PRICE">"c2414"</definedName>
    <definedName name="IQ_TR_NET_ASSUM_LIABILITIES">"c2308"</definedName>
    <definedName name="IQ_TR_NET_PROCEEDS">"c2267"</definedName>
    <definedName name="IQ_TR_OFFER_DATE">"c2265"</definedName>
    <definedName name="IQ_TR_OFFER_DATE_MA">"c3035"</definedName>
    <definedName name="IQ_TR_OFFER_PER_SHARE">"c3017"</definedName>
    <definedName name="IQ_TR_OPTIONS_CONSID_PCT">"c2311"</definedName>
    <definedName name="IQ_TR_OTHER_CONSID">"c3022"</definedName>
    <definedName name="IQ_TR_PCT_SOUGHT">"c2309"</definedName>
    <definedName name="IQ_TR_PFEATURES">"c2384"</definedName>
    <definedName name="IQ_TR_PIPE_CONV_PRICE_SHARE">"c2292"</definedName>
    <definedName name="IQ_TR_PIPE_CPN_PCT">"c2291"</definedName>
    <definedName name="IQ_TR_PIPE_NUMBER_SHARES">"c2293"</definedName>
    <definedName name="IQ_TR_PIPE_PPS">"c2290"</definedName>
    <definedName name="IQ_TR_POSTMONEY_VAL">"c2286"</definedName>
    <definedName name="IQ_TR_PREDEAL_SITUATION">"c2390"</definedName>
    <definedName name="IQ_TR_PREF_CONSID_PCT">"c2310"</definedName>
    <definedName name="IQ_TR_PREMONEY_VAL">"c2287"</definedName>
    <definedName name="IQ_TR_PRINTING_FEES">"c2276"</definedName>
    <definedName name="IQ_TR_PT_MONETARY_VALUES">"c2415"</definedName>
    <definedName name="IQ_TR_PT_NUMBER_SHARES">"c2417"</definedName>
    <definedName name="IQ_TR_PT_PCT_SHARES">"c2416"</definedName>
    <definedName name="IQ_TR_RATING_FEES">"c2275"</definedName>
    <definedName name="IQ_TR_REG_EFFECT_DATE">"c2264"</definedName>
    <definedName name="IQ_TR_REG_FILED_DATE">"c2263"</definedName>
    <definedName name="IQ_TR_RENEWAL_BUYBACK">"c2413"</definedName>
    <definedName name="IQ_TR_ROUND_NUMBER">"c2295"</definedName>
    <definedName name="IQ_TR_SEC_FEES">"c2274"</definedName>
    <definedName name="IQ_TR_SECURITY_TYPE_REG">"c2279"</definedName>
    <definedName name="IQ_TR_SELL_ACC_ADVISORS">"c3049"</definedName>
    <definedName name="IQ_TR_SELL_FIN_ADVISORS">"c3046"</definedName>
    <definedName name="IQ_TR_SELL_LEG_ADVISORS">"c2388"</definedName>
    <definedName name="IQ_TR_SELLER_ID">"c2406"</definedName>
    <definedName name="IQ_TR_SELLERNAME">"c2402"</definedName>
    <definedName name="IQ_TR_SFEATURES">"c2385"</definedName>
    <definedName name="IQ_TR_SH_NET_PROCEEDS">"c2269"</definedName>
    <definedName name="IQ_TR_SH_NET_PROCEEDS_PCT">"c2271"</definedName>
    <definedName name="IQ_TR_SPECIAL_COMMITTEE">"c2362"</definedName>
    <definedName name="IQ_TR_STATUS">"c2399"</definedName>
    <definedName name="IQ_TR_STOCK_CONSID_PCT">"c2312"</definedName>
    <definedName name="IQ_TR_SUSPENDED_DATE">"c2407"</definedName>
    <definedName name="IQ_TR_TARGET_52WKHI_PCT">"c2351"</definedName>
    <definedName name="IQ_TR_TARGET_52WKLOW_PCT">"c2350"</definedName>
    <definedName name="IQ_TR_TARGET_ACC_ADVISORS">"c3047"</definedName>
    <definedName name="IQ_TR_TARGET_CASH_ST_INVEST">"c2327"</definedName>
    <definedName name="IQ_TR_TARGET_CLOSEPRICE_1D">"c2352"</definedName>
    <definedName name="IQ_TR_TARGET_CLOSEPRICE_1M">"c2354"</definedName>
    <definedName name="IQ_TR_TARGET_CLOSEPRICE_1W">"c2353"</definedName>
    <definedName name="IQ_TR_TARGET_DILUT_EPS_EXCL">"c2324"</definedName>
    <definedName name="IQ_TR_TARGET_EARNING_CO">"c2332"</definedName>
    <definedName name="IQ_TR_TARGET_EBIT">"c2333"</definedName>
    <definedName name="IQ_TR_TARGET_EBIT_EQ_INC">"c3609"</definedName>
    <definedName name="IQ_TR_TARGET_EBITDA">"c2334"</definedName>
    <definedName name="IQ_TR_TARGET_EBITDA_EQ_INC">"c3608"</definedName>
    <definedName name="IQ_TR_TARGET_FILING_CURRENCY">"c3034"</definedName>
    <definedName name="IQ_TR_TARGET_FILINGDATE">"c3605"</definedName>
    <definedName name="IQ_TR_TARGET_FIN_ADVISORS">"c3044"</definedName>
    <definedName name="IQ_TR_TARGET_ID">"c2405"</definedName>
    <definedName name="IQ_TR_TARGET_LEG_ADVISORS">"c2386"</definedName>
    <definedName name="IQ_TR_TARGET_MARKETCAP">"c2342"</definedName>
    <definedName name="IQ_TR_TARGET_MIN_INT">"c2328"</definedName>
    <definedName name="IQ_TR_TARGET_NET_DEBT">"c2326"</definedName>
    <definedName name="IQ_TR_TARGET_NI">"c2331"</definedName>
    <definedName name="IQ_TR_TARGET_PERIODDATE">"c3604"</definedName>
    <definedName name="IQ_TR_TARGET_PRICEDATE_1D">"c2341"</definedName>
    <definedName name="IQ_TR_TARGET_RETURN">"c2355"</definedName>
    <definedName name="IQ_TR_TARGET_SEC_DETAIL">"c3021"</definedName>
    <definedName name="IQ_TR_TARGET_SEC_TI_ID">"c2368"</definedName>
    <definedName name="IQ_TR_TARGET_SEC_TYPE">"c2369"</definedName>
    <definedName name="IQ_TR_TARGET_SPD">"c2313"</definedName>
    <definedName name="IQ_TR_TARGET_SPD_PCT">"c2314"</definedName>
    <definedName name="IQ_TR_TARGET_STOCKPREMIUM_1D">"c2336"</definedName>
    <definedName name="IQ_TR_TARGET_STOCKPREMIUM_1M">"c2337"</definedName>
    <definedName name="IQ_TR_TARGET_STOCKPREMIUM_1W">"c2338"</definedName>
    <definedName name="IQ_TR_TARGET_STOCKYEARHIGH_1D">"c2339"</definedName>
    <definedName name="IQ_TR_TARGET_STOCKYEARLOW_1D">"c2340"</definedName>
    <definedName name="IQ_TR_TARGET_TOTAL_ASSETS">"c2325"</definedName>
    <definedName name="IQ_TR_TARGET_TOTAL_COMMON_EQ">"c2421"</definedName>
    <definedName name="IQ_TR_TARGET_TOTAL_DEBT">"c2330"</definedName>
    <definedName name="IQ_TR_TARGET_TOTAL_PREF">"c2329"</definedName>
    <definedName name="IQ_TR_TARGET_TOTAL_REV">"c2335"</definedName>
    <definedName name="IQ_TR_TARGETNAME">"c2403"</definedName>
    <definedName name="IQ_TR_TERM_FEE">"c2298"</definedName>
    <definedName name="IQ_TR_TERM_FEE_PCT">"c2297"</definedName>
    <definedName name="IQ_TR_TODATE">"c3036"</definedName>
    <definedName name="IQ_TR_TODATE_MONETARY_VALUE">"c2418"</definedName>
    <definedName name="IQ_TR_TODATE_NUMBER_SHARES">"c2420"</definedName>
    <definedName name="IQ_TR_TODATE_PCT_SHARES">"c2419"</definedName>
    <definedName name="IQ_TR_TOTAL_ACCT_FEES">"c2273"</definedName>
    <definedName name="IQ_TR_TOTAL_CASH">"c2315"</definedName>
    <definedName name="IQ_TR_TOTAL_CONSID_SH">"c2316"</definedName>
    <definedName name="IQ_TR_TOTAL_DEBT">"c2317"</definedName>
    <definedName name="IQ_TR_TOTAL_GROSS_TV">"c2318"</definedName>
    <definedName name="IQ_TR_TOTAL_HYBRID">"c2319"</definedName>
    <definedName name="IQ_TR_TOTAL_LEGAL_FEES">"c2272"</definedName>
    <definedName name="IQ_TR_TOTAL_NET_TV">"c2320"</definedName>
    <definedName name="IQ_TR_TOTAL_NEWMONEY">"c2289"</definedName>
    <definedName name="IQ_TR_TOTAL_OPTIONS">"c2322"</definedName>
    <definedName name="IQ_TR_TOTAL_OPTIONS_BUYER">"c3026"</definedName>
    <definedName name="IQ_TR_TOTAL_PREFERRED">"c2321"</definedName>
    <definedName name="IQ_TR_TOTAL_REG_AMT">"c2261"</definedName>
    <definedName name="IQ_TR_TOTAL_STOCK">"c2323"</definedName>
    <definedName name="IQ_TR_TOTAL_TAKEDOWNS">"c2278"</definedName>
    <definedName name="IQ_TR_TOTAL_UW_COMP">"c2280"</definedName>
    <definedName name="IQ_TR_TOTALVALUE">"c2400"</definedName>
    <definedName name="IQ_TR_TRANSACTION_TYPE">"c2398"</definedName>
    <definedName name="IQ_TR_WITHDRAWN_DTE">"c2266"</definedName>
    <definedName name="IQ_TRADE_AR">"c1345"</definedName>
    <definedName name="IQ_TRADE_PRINCIPAL">"c1309"</definedName>
    <definedName name="IQ_TRADING_ASSETS">"c1310"</definedName>
    <definedName name="IQ_TRADING_CURRENCY">"c2212"</definedName>
    <definedName name="IQ_TREASURY">"c1311"</definedName>
    <definedName name="IQ_TREASURY_OTHER_EQUITY">"c1312"</definedName>
    <definedName name="IQ_TREASURY_OTHER_EQUITY_BNK">"c1313"</definedName>
    <definedName name="IQ_TREASURY_OTHER_EQUITY_BR">"c1314"</definedName>
    <definedName name="IQ_TREASURY_OTHER_EQUITY_FIN">"c1315"</definedName>
    <definedName name="IQ_TREASURY_OTHER_EQUITY_INS">"c1316"</definedName>
    <definedName name="IQ_TREASURY_OTHER_EQUITY_REIT">"c1317"</definedName>
    <definedName name="IQ_TREASURY_OTHER_EQUITY_UTI">"c1318"</definedName>
    <definedName name="IQ_TREASURY_STOCK">"c1438"</definedName>
    <definedName name="IQ_TRUST_INC">"c1319"</definedName>
    <definedName name="IQ_TRUST_PREF">"c1320"</definedName>
    <definedName name="IQ_TRUST_PREFERRED">"c3029"</definedName>
    <definedName name="IQ_TRUST_PREFERRED_PCT">"c3030"</definedName>
    <definedName name="IQ_UFCF_10YR_ANN_GROWTH">"c1948"</definedName>
    <definedName name="IQ_UFCF_1YR_ANN_GROWTH">"c1943"</definedName>
    <definedName name="IQ_UFCF_2YR_ANN_GROWTH">"c1944"</definedName>
    <definedName name="IQ_UFCF_3YR_ANN_GROWTH">"c1945"</definedName>
    <definedName name="IQ_UFCF_5YR_ANN_GROWTH">"c1946"</definedName>
    <definedName name="IQ_UFCF_7YR_ANN_GROWTH">"c1947"</definedName>
    <definedName name="IQ_UFCF_MARGIN">"c1962"</definedName>
    <definedName name="IQ_ULT_PARENT">"c3037"</definedName>
    <definedName name="IQ_ULT_PARENT_CIQID">"c3039"</definedName>
    <definedName name="IQ_ULT_PARENT_TICKER">"c3038"</definedName>
    <definedName name="IQ_UNAMORT_DISC">"c2513"</definedName>
    <definedName name="IQ_UNAMORT_DISC_PCT">"c2514"</definedName>
    <definedName name="IQ_UNAMORT_PREMIUM">"c2511"</definedName>
    <definedName name="IQ_UNAMORT_PREMIUM_PCT">"c2512"</definedName>
    <definedName name="IQ_UNDRAWN_CP">"c2518"</definedName>
    <definedName name="IQ_UNDRAWN_CREDIT">"c3032"</definedName>
    <definedName name="IQ_UNDRAWN_RC">"c2517"</definedName>
    <definedName name="IQ_UNDRAWN_TL">"c2519"</definedName>
    <definedName name="IQ_UNEARN_PREMIUM">"c1321"</definedName>
    <definedName name="IQ_UNEARN_REV_CURRENT">"c1322"</definedName>
    <definedName name="IQ_UNEARN_REV_CURRENT_BNK">"c1323"</definedName>
    <definedName name="IQ_UNEARN_REV_CURRENT_BR">"c1324"</definedName>
    <definedName name="IQ_UNEARN_REV_CURRENT_FIN">"c1325"</definedName>
    <definedName name="IQ_UNEARN_REV_CURRENT_INS">"c1326"</definedName>
    <definedName name="IQ_UNEARN_REV_CURRENT_REIT">"c1327"</definedName>
    <definedName name="IQ_UNEARN_REV_CURRENT_UTI">"c1328"</definedName>
    <definedName name="IQ_UNEARN_REV_LT">"c1329"</definedName>
    <definedName name="IQ_UNLEVERED_FCF">"c1908"</definedName>
    <definedName name="IQ_UNPAID_CLAIMS">"c1330"</definedName>
    <definedName name="IQ_UNREALIZED_GAIN">"c1619"</definedName>
    <definedName name="IQ_UNSECURED_DEBT">"c2548"</definedName>
    <definedName name="IQ_UNSECURED_DEBT_PCT">"c2549"</definedName>
    <definedName name="IQ_UNUSUAL_EXP">"c1456"</definedName>
    <definedName name="IQ_US_GAAP">"c1331"</definedName>
    <definedName name="IQ_US_GAAP_BASIC_EPS_EXCL">"c2984"</definedName>
    <definedName name="IQ_US_GAAP_BASIC_EPS_INCL">"c2982"</definedName>
    <definedName name="IQ_US_GAAP_BASIC_WEIGHT">"c2980"</definedName>
    <definedName name="IQ_US_GAAP_CA_ADJ">"c2925"</definedName>
    <definedName name="IQ_US_GAAP_CASH_FINAN">"c2945"</definedName>
    <definedName name="IQ_US_GAAP_CASH_FINAN_ADJ">"c2941"</definedName>
    <definedName name="IQ_US_GAAP_CASH_INVEST">"c2944"</definedName>
    <definedName name="IQ_US_GAAP_CASH_INVEST_ADJ">"c2940"</definedName>
    <definedName name="IQ_US_GAAP_CASH_OPER">"c2943"</definedName>
    <definedName name="IQ_US_GAAP_CASH_OPER_ADJ">"c2939"</definedName>
    <definedName name="IQ_US_GAAP_CL_ADJ">"c2927"</definedName>
    <definedName name="IQ_US_GAAP_COST_REV_ADJ">"c2951"</definedName>
    <definedName name="IQ_US_GAAP_DILUT_EPS_EXCL">"c2985"</definedName>
    <definedName name="IQ_US_GAAP_DILUT_EPS_INCL">"c2983"</definedName>
    <definedName name="IQ_US_GAAP_DILUT_NI">"c2979"</definedName>
    <definedName name="IQ_US_GAAP_DILUT_WEIGHT">"c2981"</definedName>
    <definedName name="IQ_US_GAAP_DO_ADJ">"c2959"</definedName>
    <definedName name="IQ_US_GAAP_EXTRA_ACC_ITEMS_ADJ">"c2958"</definedName>
    <definedName name="IQ_US_GAAP_INC_TAX_ADJ">"c2961"</definedName>
    <definedName name="IQ_US_GAAP_INTEREST_EXP_ADJ">"c2957"</definedName>
    <definedName name="IQ_US_GAAP_LIAB_LT_ADJ">"c2928"</definedName>
    <definedName name="IQ_US_GAAP_LIAB_TOTAL_LIAB">"c2933"</definedName>
    <definedName name="IQ_US_GAAP_MINORITY_INTEREST_IS_ADJ">"c2960"</definedName>
    <definedName name="IQ_US_GAAP_NCA_ADJ">"c2926"</definedName>
    <definedName name="IQ_US_GAAP_NET_CHANGE">"c2946"</definedName>
    <definedName name="IQ_US_GAAP_NET_CHANGE_ADJ">"c2942"</definedName>
    <definedName name="IQ_US_GAAP_NI">"c2976"</definedName>
    <definedName name="IQ_US_GAAP_NI_ADJ">"c2963"</definedName>
    <definedName name="IQ_US_GAAP_NI_AVAIL_INCL">"c2978"</definedName>
    <definedName name="IQ_US_GAAP_OTHER_ADJ_ADJ">"c2962"</definedName>
    <definedName name="IQ_US_GAAP_OTHER_NON_OPER_ADJ">"c2955"</definedName>
    <definedName name="IQ_US_GAAP_OTHER_OPER_ADJ">"c2954"</definedName>
    <definedName name="IQ_US_GAAP_RD_ADJ">"c2953"</definedName>
    <definedName name="IQ_US_GAAP_SGA_ADJ">"c2952"</definedName>
    <definedName name="IQ_US_GAAP_TOTAL_ASSETS">"c2931"</definedName>
    <definedName name="IQ_US_GAAP_TOTAL_EQUITY">"c2934"</definedName>
    <definedName name="IQ_US_GAAP_TOTAL_EQUITY_ADJ">"c2929"</definedName>
    <definedName name="IQ_US_GAAP_TOTAL_REV_ADJ">"c2950"</definedName>
    <definedName name="IQ_US_GAAP_TOTAL_UNUSUAL_ADJ">"c2956"</definedName>
    <definedName name="IQ_UTIL_PPE_NET">"c1620"</definedName>
    <definedName name="IQ_UTIL_REV">"c2091"</definedName>
    <definedName name="IQ_UV_PENSION_LIAB">"c1332"</definedName>
    <definedName name="IQ_VALUE_TRADED_LAST_3MTH">"c1530"</definedName>
    <definedName name="IQ_VALUE_TRADED_LAST_6MTH">"c1531"</definedName>
    <definedName name="IQ_VALUE_TRADED_LAST_MTH">"c1529"</definedName>
    <definedName name="IQ_VALUE_TRADED_LAST_WK">"c1528"</definedName>
    <definedName name="IQ_VALUE_TRADED_LAST_YR">"c1532"</definedName>
    <definedName name="IQ_VOL_LAST_3MTH">"c1525"</definedName>
    <definedName name="IQ_VOL_LAST_6MTH">"c1526"</definedName>
    <definedName name="IQ_VOL_LAST_MTH">"c1524"</definedName>
    <definedName name="IQ_VOL_LAST_WK">"c1523"</definedName>
    <definedName name="IQ_VOL_LAST_YR">"c1527"</definedName>
    <definedName name="IQ_VOLUME">"c1333"</definedName>
    <definedName name="IQ_WARRANTS_BEG_OS">"c2698"</definedName>
    <definedName name="IQ_WARRANTS_CANCELLED">"c2701"</definedName>
    <definedName name="IQ_WARRANTS_END_OS">"c2702"</definedName>
    <definedName name="IQ_WARRANTS_EXERCISED">"c2700"</definedName>
    <definedName name="IQ_WARRANTS_ISSUED">"c2699"</definedName>
    <definedName name="IQ_WARRANTS_STRIKE_PRICE_ISSUED">"c2704"</definedName>
    <definedName name="IQ_WARRANTS_STRIKE_PRICE_OS">"c2703"</definedName>
    <definedName name="IQ_WEIGHTED_AVG_PRICE">"c1334"</definedName>
    <definedName name="IQ_WIP_INV">"c1335"</definedName>
    <definedName name="IQ_WORKING_CAP">"c3494"</definedName>
    <definedName name="IQ_WORKMEN_WRITTEN">"c1336"</definedName>
    <definedName name="IQ_XDIV_DATE">"c2203"</definedName>
    <definedName name="IQ_YEARHIGH">"c1337"</definedName>
    <definedName name="IQ_YEARHIGH_DATE">"c2250"</definedName>
    <definedName name="IQ_YEARLOW">"c1338"</definedName>
    <definedName name="IQ_YEARLOW_DATE">"c2251"</definedName>
    <definedName name="IQ_YTD">3000</definedName>
    <definedName name="IQ_YTW">"c2163"</definedName>
    <definedName name="IQ_YTW_DATE">"c2164"</definedName>
    <definedName name="IQ_YTW_DATE_TYPE">"c2165"</definedName>
    <definedName name="IQ_Z_SCORE">"c1339"</definedName>
    <definedName name="KeepVersions" localSheetId="18">IndexInformation!$B$8</definedName>
    <definedName name="LanguageCode">IndexInformation!$B$38</definedName>
    <definedName name="LastCell" localSheetId="0">ImportantDisclosures!$A$22</definedName>
    <definedName name="Linking_1">bal!$A$6:$AG$49</definedName>
    <definedName name="Linking_10">bal!$A$6:$AI$50</definedName>
    <definedName name="Linking_11">flow!$A$6:$AJ$56</definedName>
    <definedName name="Linking_12">sumry!$A$6:$FW$59</definedName>
    <definedName name="Linking_13">flow!$A$6:$AJ$59</definedName>
    <definedName name="Linking_14">sumry!$A$6:$FX$59</definedName>
    <definedName name="Linking_15">bal!$A$6:$AH$50</definedName>
    <definedName name="Linking_16">flow!$A$6:$AI$56</definedName>
    <definedName name="Linking_3">flow!$A$6:$AH$56</definedName>
    <definedName name="Linking_5">sumry!$A$6:$FT$67</definedName>
    <definedName name="Linking_6">bal!$A$6:$AG$50</definedName>
    <definedName name="Linking_8">sumry!$A$1:$FU$69</definedName>
    <definedName name="Linking_9">sumry!$A$1:$FW$59</definedName>
    <definedName name="Linking_Range_10">'qtrP&amp;L'!$A$5:$CO$194</definedName>
    <definedName name="Linking_Range_11">'yrP&amp;L'!$A$4:$AB$73</definedName>
    <definedName name="Linking_Range_12">'yrP&amp;L'!$A$5:$AB$73</definedName>
    <definedName name="Linking_Range_13">bal!$A$6:$AC$50</definedName>
    <definedName name="Linking_Range_14">flow!$B$6:$AD$56</definedName>
    <definedName name="Linking_Range_15">flow!$A$6:$AD$54</definedName>
    <definedName name="Linking_Range_16">Earnings!$B$2:$L$44</definedName>
    <definedName name="Linking_Range_19">sumry!$A$6:$FQ$59</definedName>
    <definedName name="Linking_Range_20">sumry!$A$6:$FS$59</definedName>
    <definedName name="Linking_Range_21">bal!$A$6:$AD$50</definedName>
    <definedName name="Linking_Range_22">flow!$A$6:$AE$54</definedName>
    <definedName name="Linking_Range_25">sumry!$A$6:$FR$67</definedName>
    <definedName name="Linking_Range_26">'qtrP&amp;L'!$A$6:$CW$146</definedName>
    <definedName name="Linking_Range_27">'yrP&amp;L'!$A$5:$AN$73</definedName>
    <definedName name="Linking_Range_28">flow!$A$6:$AF$54</definedName>
    <definedName name="Linking_Range_29">bal!$A$6:$AE$50</definedName>
    <definedName name="Linking_Range_30">sumry!$A$6:$FR$59</definedName>
    <definedName name="Linking_Range_31">sumry!$A$6:$FS$67</definedName>
    <definedName name="Linking_Range_34">sumry!$A$6:$FT$59</definedName>
    <definedName name="Linking_Range_35">bal!$A$6:$AF$50</definedName>
    <definedName name="Linking_Range_36">flow!$A$6:$AG$56</definedName>
    <definedName name="Linking_Range_4">sumry!$A$6:$FQ$67</definedName>
    <definedName name="Linking_Range_5">'qtrP&amp;L'!$A$5:$CO$56</definedName>
    <definedName name="Linking_Range_6">'qtrP&amp;L'!$A$58:$CO$117</definedName>
    <definedName name="Linking_Range_7">'qtrP&amp;L'!$A$5:$CO$117</definedName>
    <definedName name="Linking_Range_8">'qtrP&amp;L'!$A$5:$CO$116</definedName>
    <definedName name="Linking_Range_9">'qtrP&amp;L'!$A$5:$CO$166</definedName>
    <definedName name="Linking_Text_1">flow!$AC$42</definedName>
    <definedName name="MacroVersion" localSheetId="18">IndexInformation!$B$1</definedName>
    <definedName name="me">"Button 5"</definedName>
    <definedName name="ModelPrice" localSheetId="0">ImportantDisclosures!$A$14</definedName>
    <definedName name="MtCap">10000000000</definedName>
    <definedName name="Multiplier" localSheetId="18">IndexInformation!$B$35</definedName>
    <definedName name="NextYearEPS" localSheetId="18">IndexInformation!$B$13</definedName>
    <definedName name="NextYearTotalRevenue" localSheetId="18">IndexInformation!$B$12</definedName>
    <definedName name="NextYearTotalRevenueActual" localSheetId="18">IndexInformation!$B$33</definedName>
    <definedName name="NVCURR">[6]I!$B$1:$U$51</definedName>
    <definedName name="ObjectType">IndexInformation!$B$37</definedName>
    <definedName name="PANA" localSheetId="19">ModPubIndex!$A$11</definedName>
    <definedName name="PathName" localSheetId="18">IndexInformation!$B$25</definedName>
    <definedName name="_xlnm.Print_Area" localSheetId="2">BullBaseBear!$A$41:$P$123</definedName>
    <definedName name="_xlnm.Print_Area" localSheetId="13">dtc!$A$1:$Z$61</definedName>
    <definedName name="_xlnm.Print_Area" localSheetId="1">Earnings!$A$1:$L$48</definedName>
    <definedName name="_xlnm.Print_Area" localSheetId="10">flow!$A$1:$AG$54</definedName>
    <definedName name="_xlnm.Print_Area" localSheetId="5">'qtrP&amp;L'!$A$1:$DE$210</definedName>
    <definedName name="_xlnm.Print_Area" localSheetId="4">qtrSales!$A$1:$AO$228</definedName>
    <definedName name="_xlnm.Print_Area" localSheetId="3">sumry!$A$1:$FT$68</definedName>
    <definedName name="_xlnm.Print_Area" localSheetId="11">turn!$A$1:$AL$105</definedName>
    <definedName name="_xlnm.Print_Area" localSheetId="12">wc!$A$1:$BC$43</definedName>
    <definedName name="_xlnm.Print_Area" localSheetId="7">'yrP&amp;L'!$A$1:$AO$74</definedName>
    <definedName name="_xlnm.Print_Area" localSheetId="6">yrSales!$A$1:$AO$53</definedName>
    <definedName name="_xlnm.Print_Area">#REF!</definedName>
    <definedName name="_xlnm.Print_Titles" localSheetId="5">'qtrP&amp;L'!$A:$A,'qtrP&amp;L'!$1:$6</definedName>
    <definedName name="_xlnm.Print_Titles" localSheetId="7">'yrP&amp;L'!$A:$A,'yrP&amp;L'!$1:$6</definedName>
    <definedName name="_xlnm.Print_Titles" localSheetId="6">yrSales!$A:$A,yrSales!$1:$6</definedName>
    <definedName name="_xlnm.Print_Titles">#REF!</definedName>
    <definedName name="PRODUCT" localSheetId="19">ModPubIndex!$A$6</definedName>
    <definedName name="ProImportExport.ImportFile">[5]!ProImportExport.ImportFile</definedName>
    <definedName name="ProImportExport.SaveNewFile">[5]!ProImportExport.SaveNewFile</definedName>
    <definedName name="ProjectName" localSheetId="1">{"Client Name or Project Name"}</definedName>
    <definedName name="ProjectName" localSheetId="16">{"Client Name or Project Name"}</definedName>
    <definedName name="ProjectName">{"Client Name or Project Name"}</definedName>
    <definedName name="PSYM" localSheetId="19">ModPubIndex!$A$4</definedName>
    <definedName name="PublishDate" localSheetId="18">IndexInformation!$B$2</definedName>
    <definedName name="Rating" localSheetId="18">IndexInformation!$B$9</definedName>
    <definedName name="RatingsDefined" localSheetId="0">ImportantDisclosures!$A$21</definedName>
    <definedName name="RatingsDefs" localSheetId="0">ImportantDisclosures!#REF!</definedName>
    <definedName name="RegACDisclosure" localSheetId="0">ImportantDisclosures!#REF!</definedName>
    <definedName name="Rel_Forw" localSheetId="1">OFFSET(Date_Range,0,10,,1)</definedName>
    <definedName name="Rel_Forw" localSheetId="16">OFFSET(Date_Range,0,10,,1)</definedName>
    <definedName name="Rel_Forw">OFFSET(Date_Range,0,10,,1)</definedName>
    <definedName name="RepairedName0359" hidden="1">"iQShowAnnual"</definedName>
    <definedName name="ResearchTopic" localSheetId="18">IndexInformation!$B$4</definedName>
    <definedName name="RIC" localSheetId="18">IndexInformation!$B$21</definedName>
    <definedName name="s">{"Client Name or Project Name"}</definedName>
    <definedName name="SaveNewFile">[5]!SaveNewFile</definedName>
    <definedName name="SECSettlement" localSheetId="0">ImportantDisclosures!#REF!</definedName>
    <definedName name="SEDOL" localSheetId="18">IndexInformation!$B$22</definedName>
    <definedName name="SourceDefined" localSheetId="0">ImportantDisclosures!$A$19</definedName>
    <definedName name="Sp">"       "</definedName>
    <definedName name="StockRating" localSheetId="0">ImportantDisclosures!$A$11</definedName>
    <definedName name="SubjectCode" localSheetId="18">IndexInformation!$B$6</definedName>
    <definedName name="SubmitterUserId">IndexInformation!$B$39</definedName>
    <definedName name="SUPPRESSED" localSheetId="19">ModPubIndex!$A$13</definedName>
    <definedName name="TargetPrice" localSheetId="0">ImportantDisclosures!$A$15</definedName>
    <definedName name="TemplateRegion">IndexInformation!$B$36</definedName>
    <definedName name="Ticker" localSheetId="0">ImportantDisclosures!$A$10</definedName>
    <definedName name="TickerRegion">IndexInformation!$B$41</definedName>
    <definedName name="Tickers" localSheetId="18">IndexInformation!$B$19</definedName>
    <definedName name="TRSLTicker">"KSS.N"</definedName>
    <definedName name="Update_This">[4]!Update_This</definedName>
    <definedName name="UpdateReason" localSheetId="18">IndexInformation!$B$17</definedName>
    <definedName name="USRegDisclosures" localSheetId="0">ImportantDisclosures!#REF!</definedName>
    <definedName name="Version">"June 29, 2004"</definedName>
    <definedName name="wrn.Complete."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Industry.xls." hidden="1">{#N/A,#N/A,FALSE,"Earnings";#N/A,#N/A,FALSE,"Overview";#N/A,#N/A,FALSE,"Summary";#N/A,#N/A,FALSE,"Summary II";#N/A,#N/A,FALSE,"R&amp;D";#N/A,#N/A,FALSE,"R&amp;D Forecast";#N/A,#N/A,FALSE,"Tax Adj";#N/A,#N/A,FALSE,"Goodwill";#N/A,#N/A,FALSE,"FX ";#N/A,#N/A,FALSE,"Consolidation";#N/A,#N/A,FALSE,"Provisions"}</definedName>
    <definedName name="xbrlAssumption">bal!$AS:$AS</definedName>
    <definedName name="xbrlDates">bal!$82:$82</definedName>
    <definedName name="xbrlFormat">bal!$AQ:$AQ</definedName>
    <definedName name="xbrlLabels">bal!$B:$B</definedName>
    <definedName name="xbrlNames">bal!$AO:$AO</definedName>
    <definedName name="xbrlReverseSign">bal!$AR:$AR</definedName>
    <definedName name="xbrlScale">bal!$AP:$AP</definedName>
  </definedNames>
  <calcPr calcId="145621"/>
</workbook>
</file>

<file path=xl/calcChain.xml><?xml version="1.0" encoding="utf-8"?>
<calcChain xmlns="http://schemas.openxmlformats.org/spreadsheetml/2006/main">
  <c r="C36" i="86" l="1"/>
  <c r="DG164" i="1" l="1"/>
  <c r="DG153" i="1"/>
  <c r="AE48" i="9"/>
  <c r="AJ60" i="10"/>
  <c r="AK60" i="10"/>
  <c r="AI60" i="10"/>
  <c r="AH60" i="10"/>
  <c r="AG60" i="10"/>
  <c r="AF60" i="10"/>
  <c r="AE60" i="10"/>
  <c r="AD60" i="10"/>
  <c r="AC60" i="10"/>
  <c r="AB60" i="10"/>
  <c r="AA60" i="10"/>
  <c r="DG6" i="1" l="1"/>
  <c r="AD5" i="4"/>
  <c r="AD5" i="5"/>
  <c r="BP5" i="6"/>
  <c r="AF6" i="10"/>
  <c r="AE6" i="9"/>
  <c r="EH6" i="11"/>
  <c r="AA3" i="42" l="1"/>
  <c r="AA35" i="42" s="1"/>
  <c r="AB3" i="42"/>
  <c r="AB35" i="42" s="1"/>
  <c r="AA15" i="42"/>
  <c r="AA16" i="42"/>
  <c r="AA22" i="42"/>
  <c r="AB22" i="42"/>
  <c r="AA23" i="42"/>
  <c r="AA40" i="42"/>
  <c r="AA41" i="42" s="1"/>
  <c r="AA42" i="42"/>
  <c r="AB42" i="42"/>
  <c r="AB40" i="42" s="1"/>
  <c r="AB41" i="42" s="1"/>
  <c r="AC42" i="42"/>
  <c r="AC40" i="42" s="1"/>
  <c r="AC41" i="42" s="1"/>
  <c r="AA45" i="42"/>
  <c r="AA43" i="42" s="1"/>
  <c r="AA44" i="42" s="1"/>
  <c r="AB45" i="42"/>
  <c r="AC45" i="42" s="1"/>
  <c r="AC43" i="42" s="1"/>
  <c r="AA53" i="42"/>
  <c r="AB53" i="42"/>
  <c r="AC53" i="42"/>
  <c r="AA64" i="42"/>
  <c r="AA66" i="42"/>
  <c r="AB66" i="42" s="1"/>
  <c r="AA67" i="42"/>
  <c r="AB67" i="42"/>
  <c r="AC67" i="42" s="1"/>
  <c r="AC102" i="42" s="1"/>
  <c r="AA68" i="42"/>
  <c r="AB68" i="42"/>
  <c r="AC68" i="42"/>
  <c r="AA69" i="42"/>
  <c r="AB69" i="42" s="1"/>
  <c r="AA70" i="42"/>
  <c r="AB70" i="42" s="1"/>
  <c r="AA71" i="42"/>
  <c r="AB71" i="42"/>
  <c r="AC71" i="42" s="1"/>
  <c r="AC106" i="42" s="1"/>
  <c r="AA72" i="42"/>
  <c r="AB72" i="42"/>
  <c r="AC72" i="42"/>
  <c r="AA73" i="42"/>
  <c r="AB73" i="42" s="1"/>
  <c r="AA74" i="42"/>
  <c r="AA58" i="42" s="1"/>
  <c r="AA75" i="42"/>
  <c r="AB75" i="42"/>
  <c r="AC75" i="42" s="1"/>
  <c r="AC110" i="42" s="1"/>
  <c r="AA76" i="42"/>
  <c r="AB76" i="42"/>
  <c r="AC76" i="42"/>
  <c r="AA77" i="42"/>
  <c r="AB77" i="42" s="1"/>
  <c r="AA78" i="42"/>
  <c r="AB78" i="42" s="1"/>
  <c r="AA79" i="42"/>
  <c r="AB79" i="42"/>
  <c r="AC79" i="42" s="1"/>
  <c r="AC114" i="42" s="1"/>
  <c r="AA80" i="42"/>
  <c r="AB80" i="42"/>
  <c r="AC80" i="42"/>
  <c r="AA81" i="42"/>
  <c r="AB81" i="42" s="1"/>
  <c r="AA82" i="42"/>
  <c r="AB82" i="42" s="1"/>
  <c r="AA83" i="42"/>
  <c r="AB83" i="42"/>
  <c r="AC83" i="42" s="1"/>
  <c r="AC118" i="42" s="1"/>
  <c r="AA84" i="42"/>
  <c r="AB84" i="42"/>
  <c r="AC84" i="42"/>
  <c r="AA85" i="42"/>
  <c r="AB85" i="42" s="1"/>
  <c r="AA86" i="42"/>
  <c r="AB86" i="42" s="1"/>
  <c r="AA87" i="42"/>
  <c r="AB87" i="42"/>
  <c r="AC87" i="42" s="1"/>
  <c r="AC122" i="42" s="1"/>
  <c r="AA88" i="42"/>
  <c r="AB88" i="42"/>
  <c r="AC88" i="42"/>
  <c r="AA89" i="42"/>
  <c r="AB89" i="42" s="1"/>
  <c r="AA90" i="42"/>
  <c r="AB90" i="42" s="1"/>
  <c r="AA91" i="42"/>
  <c r="AB91" i="42"/>
  <c r="AC91" i="42" s="1"/>
  <c r="AC126" i="42" s="1"/>
  <c r="AA92" i="42"/>
  <c r="AB92" i="42"/>
  <c r="AC92" i="42"/>
  <c r="AA93" i="42"/>
  <c r="AB93" i="42" s="1"/>
  <c r="AA94" i="42"/>
  <c r="AB94" i="42" s="1"/>
  <c r="AA95" i="42"/>
  <c r="AB95" i="42"/>
  <c r="AC95" i="42" s="1"/>
  <c r="AC130" i="42" s="1"/>
  <c r="AA96" i="42"/>
  <c r="AB96" i="42"/>
  <c r="AC96" i="42"/>
  <c r="AA100" i="42"/>
  <c r="AB100" i="42"/>
  <c r="AA101" i="42"/>
  <c r="AA102" i="42"/>
  <c r="AB102" i="42"/>
  <c r="AA103" i="42"/>
  <c r="AB103" i="42"/>
  <c r="AA104" i="42"/>
  <c r="AA105" i="42"/>
  <c r="AA132" i="42" s="1"/>
  <c r="AA106" i="42"/>
  <c r="AB106" i="42"/>
  <c r="AA107" i="42"/>
  <c r="AB107" i="42"/>
  <c r="AA108" i="42"/>
  <c r="AA109" i="42"/>
  <c r="AA110" i="42"/>
  <c r="AB110" i="42"/>
  <c r="AA111" i="42"/>
  <c r="AB111" i="42"/>
  <c r="AA112" i="42"/>
  <c r="AA113" i="42"/>
  <c r="AA114" i="42"/>
  <c r="AB114" i="42"/>
  <c r="AA115" i="42"/>
  <c r="AB115" i="42"/>
  <c r="AA116" i="42"/>
  <c r="AA117" i="42"/>
  <c r="AA118" i="42"/>
  <c r="AB118" i="42"/>
  <c r="AA119" i="42"/>
  <c r="AB119" i="42"/>
  <c r="AA120" i="42"/>
  <c r="AA121" i="42"/>
  <c r="AA122" i="42"/>
  <c r="AB122" i="42"/>
  <c r="AA123" i="42"/>
  <c r="AB123" i="42"/>
  <c r="AA124" i="42"/>
  <c r="AA125" i="42"/>
  <c r="AA126" i="42"/>
  <c r="AB126" i="42"/>
  <c r="AA127" i="42"/>
  <c r="AB127" i="42"/>
  <c r="AA128" i="42"/>
  <c r="AA129" i="42"/>
  <c r="AA130" i="42"/>
  <c r="AB130" i="42"/>
  <c r="AA136" i="42"/>
  <c r="AB136" i="42"/>
  <c r="AA138" i="42"/>
  <c r="AB138" i="42" s="1"/>
  <c r="AC138" i="42" s="1"/>
  <c r="AA140" i="42"/>
  <c r="AB140" i="42"/>
  <c r="AC140" i="42" s="1"/>
  <c r="AA141" i="42"/>
  <c r="AB141" i="42"/>
  <c r="AC141" i="42"/>
  <c r="AA142" i="42"/>
  <c r="AB142" i="42"/>
  <c r="AC142" i="42"/>
  <c r="AA143" i="42"/>
  <c r="AB143" i="42" s="1"/>
  <c r="AA144" i="42"/>
  <c r="AC144" i="42" s="1"/>
  <c r="AB144" i="42"/>
  <c r="AA145" i="42"/>
  <c r="AB145" i="42"/>
  <c r="AC145" i="42"/>
  <c r="AA146" i="42"/>
  <c r="AB146" i="42" s="1"/>
  <c r="AC146" i="42" s="1"/>
  <c r="AA147" i="42"/>
  <c r="AA148" i="42"/>
  <c r="AC148" i="42" s="1"/>
  <c r="AB148" i="42"/>
  <c r="AA149" i="42"/>
  <c r="AB149" i="42"/>
  <c r="AC149" i="42"/>
  <c r="AA150" i="42"/>
  <c r="AB150" i="42" s="1"/>
  <c r="AC150" i="42" s="1"/>
  <c r="AA151" i="42"/>
  <c r="AB151" i="42" s="1"/>
  <c r="AA152" i="42"/>
  <c r="AC152" i="42" s="1"/>
  <c r="AB152" i="42"/>
  <c r="AA153" i="42"/>
  <c r="AB153" i="42"/>
  <c r="AC153" i="42"/>
  <c r="AA154" i="42"/>
  <c r="AB154" i="42"/>
  <c r="AC154" i="42"/>
  <c r="AA155" i="42"/>
  <c r="AB155" i="42" s="1"/>
  <c r="AA156" i="42"/>
  <c r="AC156" i="42" s="1"/>
  <c r="AB156" i="42"/>
  <c r="AA157" i="42"/>
  <c r="AB157" i="42"/>
  <c r="AC157" i="42"/>
  <c r="AA158" i="42"/>
  <c r="AB158" i="42"/>
  <c r="AC158" i="42"/>
  <c r="AB6" i="42" l="1"/>
  <c r="AB101" i="42"/>
  <c r="AC66" i="42"/>
  <c r="AB121" i="42"/>
  <c r="AC86" i="42"/>
  <c r="AC121" i="42" s="1"/>
  <c r="AB105" i="42"/>
  <c r="AC70" i="42"/>
  <c r="AC105" i="42" s="1"/>
  <c r="AB125" i="42"/>
  <c r="AC90" i="42"/>
  <c r="AC125" i="42" s="1"/>
  <c r="AC85" i="42"/>
  <c r="AC120" i="42" s="1"/>
  <c r="AC119" i="42"/>
  <c r="AB120" i="42"/>
  <c r="AA56" i="42"/>
  <c r="AA57" i="42" s="1"/>
  <c r="AA59" i="42"/>
  <c r="AC69" i="42"/>
  <c r="AC104" i="42" s="1"/>
  <c r="AC103" i="42"/>
  <c r="AB104" i="42"/>
  <c r="AB129" i="42"/>
  <c r="AC94" i="42"/>
  <c r="AC129" i="42" s="1"/>
  <c r="AC89" i="42"/>
  <c r="AC124" i="42" s="1"/>
  <c r="AC123" i="42"/>
  <c r="AB124" i="42"/>
  <c r="AB113" i="42"/>
  <c r="AC78" i="42"/>
  <c r="AC113" i="42" s="1"/>
  <c r="AC77" i="42"/>
  <c r="AC112" i="42" s="1"/>
  <c r="AC111" i="42"/>
  <c r="AB112" i="42"/>
  <c r="AC73" i="42"/>
  <c r="AC108" i="42" s="1"/>
  <c r="AC107" i="42"/>
  <c r="AB108" i="42"/>
  <c r="AC93" i="42"/>
  <c r="AC128" i="42" s="1"/>
  <c r="AC127" i="42"/>
  <c r="AB128" i="42"/>
  <c r="AB117" i="42"/>
  <c r="AC82" i="42"/>
  <c r="AC117" i="42" s="1"/>
  <c r="AA50" i="42"/>
  <c r="AA17" i="42"/>
  <c r="AC81" i="42"/>
  <c r="AC116" i="42" s="1"/>
  <c r="AC115" i="42"/>
  <c r="AB116" i="42"/>
  <c r="AC44" i="42"/>
  <c r="AC155" i="42"/>
  <c r="AC151" i="42"/>
  <c r="AC143" i="42"/>
  <c r="AB64" i="42"/>
  <c r="AB43" i="42"/>
  <c r="AB44" i="42" s="1"/>
  <c r="AA6" i="42"/>
  <c r="AB147" i="42"/>
  <c r="AB74" i="42"/>
  <c r="AB15" i="42"/>
  <c r="AC3" i="42"/>
  <c r="AA203" i="3"/>
  <c r="H210" i="3"/>
  <c r="S214" i="3"/>
  <c r="S213" i="3"/>
  <c r="AA26" i="42" l="1"/>
  <c r="AA24" i="42" s="1"/>
  <c r="AA159" i="42"/>
  <c r="AA173" i="42" s="1"/>
  <c r="AA18" i="42" s="1"/>
  <c r="AA7" i="42" s="1"/>
  <c r="AA19" i="42"/>
  <c r="AC6" i="42"/>
  <c r="AC101" i="42"/>
  <c r="AA8" i="42"/>
  <c r="AA25" i="42"/>
  <c r="AB25" i="42"/>
  <c r="AB109" i="42"/>
  <c r="AB132" i="42" s="1"/>
  <c r="AC74" i="42"/>
  <c r="AC109" i="42" s="1"/>
  <c r="AB58" i="42"/>
  <c r="AC147" i="42"/>
  <c r="AA51" i="42"/>
  <c r="AA47" i="42"/>
  <c r="AA48" i="42" s="1"/>
  <c r="AC64" i="42"/>
  <c r="AC100" i="42"/>
  <c r="AC136" i="42"/>
  <c r="AC35" i="42"/>
  <c r="AC22" i="42"/>
  <c r="AC15" i="42"/>
  <c r="AC58" i="42"/>
  <c r="DG133" i="1"/>
  <c r="BP40" i="6"/>
  <c r="BP41" i="6"/>
  <c r="BP35" i="6"/>
  <c r="BP23" i="6"/>
  <c r="AJ59" i="7"/>
  <c r="AJ53" i="7"/>
  <c r="AJ23" i="7"/>
  <c r="AB17" i="42" l="1"/>
  <c r="AB50" i="42"/>
  <c r="AC56" i="42"/>
  <c r="AC59" i="42" s="1"/>
  <c r="AC132" i="42"/>
  <c r="AA10" i="42"/>
  <c r="AA13" i="42" s="1"/>
  <c r="AA37" i="42"/>
  <c r="AA27" i="42"/>
  <c r="AB23" i="42" s="1"/>
  <c r="AC25" i="42"/>
  <c r="AB16" i="42"/>
  <c r="AA31" i="42"/>
  <c r="AA32" i="42" s="1"/>
  <c r="AB59" i="42"/>
  <c r="AB56" i="42"/>
  <c r="AB57" i="42" s="1"/>
  <c r="AA11" i="42"/>
  <c r="AF48" i="10"/>
  <c r="AF41" i="10"/>
  <c r="AE16" i="10"/>
  <c r="AE34" i="9"/>
  <c r="AG59" i="10"/>
  <c r="DI33" i="1"/>
  <c r="DH23" i="1"/>
  <c r="P203" i="3"/>
  <c r="D203" i="3"/>
  <c r="AB19" i="42" l="1"/>
  <c r="AC57" i="42"/>
  <c r="AA29" i="42"/>
  <c r="AB47" i="42"/>
  <c r="AB48" i="42" s="1"/>
  <c r="AB51" i="42"/>
  <c r="AC17" i="42"/>
  <c r="AC50" i="42"/>
  <c r="AB26" i="42"/>
  <c r="AB24" i="42" s="1"/>
  <c r="AB159" i="42"/>
  <c r="AB173" i="42" s="1"/>
  <c r="AB18" i="42" s="1"/>
  <c r="AB7" i="42" s="1"/>
  <c r="AB8" i="42" s="1"/>
  <c r="J3" i="86"/>
  <c r="I3" i="86"/>
  <c r="H3" i="86"/>
  <c r="E3" i="86"/>
  <c r="F3" i="86"/>
  <c r="G3" i="86"/>
  <c r="D3" i="86"/>
  <c r="C16" i="86"/>
  <c r="AB10" i="42" l="1"/>
  <c r="AB13" i="42" s="1"/>
  <c r="AB27" i="42"/>
  <c r="AC23" i="42" s="1"/>
  <c r="AC47" i="42"/>
  <c r="AC48" i="42" s="1"/>
  <c r="AC51" i="42"/>
  <c r="AC26" i="42"/>
  <c r="AC159" i="42"/>
  <c r="AC173" i="42" s="1"/>
  <c r="AC18" i="42" s="1"/>
  <c r="AC7" i="42" s="1"/>
  <c r="AC8" i="42" s="1"/>
  <c r="AC16" i="42"/>
  <c r="AB11" i="42"/>
  <c r="AC24" i="42" l="1"/>
  <c r="AC10" i="42" s="1"/>
  <c r="AC13" i="42" s="1"/>
  <c r="AC27" i="42"/>
  <c r="AB29" i="42"/>
  <c r="AB37" i="42"/>
  <c r="AB31" i="42"/>
  <c r="AB32" i="42" s="1"/>
  <c r="AC19" i="42"/>
  <c r="AC29" i="42" l="1"/>
  <c r="AC31" i="42"/>
  <c r="AC32" i="42" s="1"/>
  <c r="AC37" i="42"/>
  <c r="AC11" i="42"/>
  <c r="AD56" i="10" l="1"/>
  <c r="AV58" i="5" l="1"/>
  <c r="DP46" i="1" l="1"/>
  <c r="DQ46" i="1"/>
  <c r="DR46" i="1" s="1"/>
  <c r="DQ47" i="1"/>
  <c r="DP47" i="1"/>
  <c r="DP45" i="1"/>
  <c r="DP42" i="1" l="1"/>
  <c r="DP41" i="1"/>
  <c r="DQ41" i="1"/>
  <c r="DQ42" i="1" l="1"/>
  <c r="F25" i="53"/>
  <c r="F23" i="53"/>
  <c r="F26" i="53" l="1"/>
  <c r="F19" i="53"/>
  <c r="F21" i="53" l="1"/>
  <c r="F15" i="53"/>
  <c r="F17" i="53" l="1"/>
  <c r="F35" i="53"/>
  <c r="F10" i="53"/>
  <c r="F8" i="53"/>
  <c r="F9" i="53" l="1"/>
  <c r="F11" i="53"/>
  <c r="F4" i="53"/>
  <c r="F36" i="53" l="1"/>
  <c r="F34" i="53"/>
  <c r="F33" i="53"/>
  <c r="F31" i="53"/>
  <c r="F29" i="53"/>
  <c r="F6" i="53"/>
  <c r="F32" i="53"/>
  <c r="F30" i="53"/>
  <c r="I3" i="53"/>
  <c r="H3" i="53"/>
  <c r="AJ21" i="7"/>
  <c r="DG12" i="1" l="1"/>
  <c r="BQ10" i="6" l="1"/>
  <c r="DL202" i="1"/>
  <c r="DL201" i="1" s="1"/>
  <c r="AJ22" i="7"/>
  <c r="BP34" i="6"/>
  <c r="BP22" i="6"/>
  <c r="DI12" i="1"/>
  <c r="DH22" i="1"/>
  <c r="DM202" i="1" l="1"/>
  <c r="FT40" i="11" s="1"/>
  <c r="H209" i="3" l="1"/>
  <c r="H208" i="3"/>
  <c r="H207" i="3"/>
  <c r="DO33" i="1" l="1"/>
  <c r="U36" i="68" l="1"/>
  <c r="FX39" i="11"/>
  <c r="AI9" i="5"/>
  <c r="BT8" i="6" l="1"/>
  <c r="BT9" i="6"/>
  <c r="BT10" i="6"/>
  <c r="FX75" i="11"/>
  <c r="FX62" i="11"/>
  <c r="FX55" i="11"/>
  <c r="FX19" i="11"/>
  <c r="FX18" i="11"/>
  <c r="FX17" i="11"/>
  <c r="FX16" i="11" s="1"/>
  <c r="DK31" i="1"/>
  <c r="DK30" i="1"/>
  <c r="DM13" i="1"/>
  <c r="DM12" i="1"/>
  <c r="DM11" i="1"/>
  <c r="DM10" i="1"/>
  <c r="DK156" i="1"/>
  <c r="DK155" i="1"/>
  <c r="DK154" i="1"/>
  <c r="DK116" i="1"/>
  <c r="DK115" i="1"/>
  <c r="DK114" i="1"/>
  <c r="DK106" i="1"/>
  <c r="DK105" i="1"/>
  <c r="DK104" i="1"/>
  <c r="DK76" i="1"/>
  <c r="DK75" i="1"/>
  <c r="DK74" i="1"/>
  <c r="DK66" i="1"/>
  <c r="DK65" i="1"/>
  <c r="DK64" i="1"/>
  <c r="DK56" i="1"/>
  <c r="DK55" i="1"/>
  <c r="DK54" i="1"/>
  <c r="DK46" i="1"/>
  <c r="DK45" i="1"/>
  <c r="DK44" i="1"/>
  <c r="DK32" i="1"/>
  <c r="DM23" i="1"/>
  <c r="DM22" i="1"/>
  <c r="DK6" i="1"/>
  <c r="EF67" i="11"/>
  <c r="EE67" i="11"/>
  <c r="D208" i="3"/>
  <c r="S208" i="3" s="1"/>
  <c r="DK11" i="1" s="1"/>
  <c r="D207" i="3"/>
  <c r="S207" i="3" s="1"/>
  <c r="D210" i="3"/>
  <c r="D209" i="3"/>
  <c r="S209" i="3" s="1"/>
  <c r="BU35" i="6"/>
  <c r="BU34" i="6"/>
  <c r="BU29" i="6"/>
  <c r="BU28" i="6"/>
  <c r="BU27" i="6"/>
  <c r="BU26" i="6"/>
  <c r="BU23" i="6"/>
  <c r="BU22" i="6"/>
  <c r="BU17" i="6"/>
  <c r="BU16" i="6"/>
  <c r="BU15" i="6"/>
  <c r="BU14" i="6"/>
  <c r="U42" i="68"/>
  <c r="U83" i="68" s="1"/>
  <c r="DK35" i="1" l="1"/>
  <c r="D138" i="8"/>
  <c r="DK12" i="1"/>
  <c r="DK22" i="1" s="1"/>
  <c r="D136" i="8"/>
  <c r="DK10" i="1"/>
  <c r="DL50" i="1" s="1"/>
  <c r="D137" i="8"/>
  <c r="DL51" i="1"/>
  <c r="DL30" i="1" l="1"/>
  <c r="DL31" i="1"/>
  <c r="DL40" i="1"/>
  <c r="DL41" i="1"/>
  <c r="DL42" i="1"/>
  <c r="DL12" i="1"/>
  <c r="BV10" i="6" s="1"/>
  <c r="DK82" i="1"/>
  <c r="DL82" i="1" s="1"/>
  <c r="DL102" i="1"/>
  <c r="DL32" i="1"/>
  <c r="DL52" i="1"/>
  <c r="DK20" i="1"/>
  <c r="DK80" i="1" s="1"/>
  <c r="DK15" i="1"/>
  <c r="DM15" i="1" s="1"/>
  <c r="DL100" i="1"/>
  <c r="DL101" i="1"/>
  <c r="DK21" i="1"/>
  <c r="DK81" i="1" s="1"/>
  <c r="DK122" i="1" l="1"/>
  <c r="DK132" i="1" s="1"/>
  <c r="DK92" i="1"/>
  <c r="DL80" i="1"/>
  <c r="DL105" i="1"/>
  <c r="DL55" i="1"/>
  <c r="DL35" i="1"/>
  <c r="DK90" i="1"/>
  <c r="DK120" i="1"/>
  <c r="DK130" i="1" s="1"/>
  <c r="DL45" i="1"/>
  <c r="DK121" i="1"/>
  <c r="DK91" i="1"/>
  <c r="DL81" i="1"/>
  <c r="DK25" i="1"/>
  <c r="DK125" i="1" l="1"/>
  <c r="DL125" i="1" s="1"/>
  <c r="DL122" i="1"/>
  <c r="DL120" i="1"/>
  <c r="DK140" i="1"/>
  <c r="DL140" i="1" s="1"/>
  <c r="DM130" i="1"/>
  <c r="DL25" i="1"/>
  <c r="DK85" i="1"/>
  <c r="DK131" i="1"/>
  <c r="DK141" i="1" s="1"/>
  <c r="DL121" i="1"/>
  <c r="DK142" i="1"/>
  <c r="DK160" i="1" l="1"/>
  <c r="DL160" i="1" s="1"/>
  <c r="DM131" i="1"/>
  <c r="DK135" i="1"/>
  <c r="DL141" i="1"/>
  <c r="DK161" i="1"/>
  <c r="DK95" i="1"/>
  <c r="DL85" i="1"/>
  <c r="DK145" i="1"/>
  <c r="DK162" i="1"/>
  <c r="DL142" i="1"/>
  <c r="DK165" i="1" l="1"/>
  <c r="DL165" i="1" s="1"/>
  <c r="DL135" i="1"/>
  <c r="DL145" i="1"/>
  <c r="DL161" i="1"/>
  <c r="DL162" i="1"/>
  <c r="DO12" i="1"/>
  <c r="DI13" i="1" l="1"/>
  <c r="DO13" i="1" s="1"/>
  <c r="DI199" i="1" l="1"/>
  <c r="BQ9" i="6" l="1"/>
  <c r="BP21" i="6"/>
  <c r="BU21" i="6" s="1"/>
  <c r="DI11" i="1"/>
  <c r="DO11" i="1" s="1"/>
  <c r="BP33" i="6" l="1"/>
  <c r="BU33" i="6" s="1"/>
  <c r="D16" i="86" l="1"/>
  <c r="E16" i="86"/>
  <c r="F16" i="86"/>
  <c r="G16" i="86"/>
  <c r="H33" i="86"/>
  <c r="C25" i="86"/>
  <c r="F24" i="86"/>
  <c r="F25" i="86" s="1"/>
  <c r="E24" i="86"/>
  <c r="E25" i="86" s="1"/>
  <c r="D24" i="86"/>
  <c r="D25" i="86" s="1"/>
  <c r="G24" i="86" l="1"/>
  <c r="CU198" i="1"/>
  <c r="CQ114" i="1"/>
  <c r="CQ115" i="1"/>
  <c r="CQ116" i="1"/>
  <c r="CM34" i="1"/>
  <c r="CM35" i="1"/>
  <c r="CM36" i="1"/>
  <c r="H24" i="86" l="1"/>
  <c r="G25" i="86"/>
  <c r="DC152" i="1"/>
  <c r="DC151" i="1"/>
  <c r="I24" i="86" l="1"/>
  <c r="H25" i="86"/>
  <c r="DT14" i="1"/>
  <c r="I25" i="86" l="1"/>
  <c r="J24" i="86"/>
  <c r="BL12" i="6"/>
  <c r="BM12" i="6" s="1"/>
  <c r="AR12" i="6"/>
  <c r="AS12" i="6" s="1"/>
  <c r="DT15" i="1"/>
  <c r="DT16" i="1" s="1"/>
  <c r="DT10" i="1"/>
  <c r="DT11" i="1"/>
  <c r="K24" i="86" l="1"/>
  <c r="K25" i="86" s="1"/>
  <c r="J25" i="86"/>
  <c r="DT12" i="1"/>
  <c r="DI198" i="1" l="1"/>
  <c r="BQ8" i="6"/>
  <c r="BQ27" i="6" l="1"/>
  <c r="BQ28" i="6"/>
  <c r="BQ29" i="6"/>
  <c r="BQ26" i="6"/>
  <c r="BP20" i="6"/>
  <c r="BQ15" i="6"/>
  <c r="BQ16" i="6"/>
  <c r="BQ17" i="6"/>
  <c r="BQ14" i="6"/>
  <c r="AJ20" i="7"/>
  <c r="AF59" i="10"/>
  <c r="BM9" i="6"/>
  <c r="BP32" i="6" l="1"/>
  <c r="BU32" i="6" s="1"/>
  <c r="BU20" i="6"/>
  <c r="EC67" i="11"/>
  <c r="DX67" i="11"/>
  <c r="AJ29" i="7"/>
  <c r="AJ28" i="7"/>
  <c r="AJ27" i="7"/>
  <c r="AJ26" i="7"/>
  <c r="AJ32" i="7" l="1"/>
  <c r="AJ34" i="7"/>
  <c r="AJ33" i="7"/>
  <c r="AJ35" i="7"/>
  <c r="AJ47" i="7" l="1"/>
  <c r="AJ46" i="7"/>
  <c r="AJ52" i="7" s="1"/>
  <c r="AJ45" i="7"/>
  <c r="AJ51" i="7" s="1"/>
  <c r="AJ44" i="7"/>
  <c r="AJ50" i="7" s="1"/>
  <c r="AJ58" i="7" l="1"/>
  <c r="AJ56" i="7"/>
  <c r="AJ57" i="7"/>
  <c r="DI10" i="1"/>
  <c r="DO10" i="1" l="1"/>
  <c r="AD48" i="9"/>
  <c r="CM54" i="1" l="1"/>
  <c r="AE59" i="10" l="1"/>
  <c r="DK33" i="1"/>
  <c r="DE33" i="1"/>
  <c r="DC150" i="1"/>
  <c r="DC155" i="1"/>
  <c r="AD34" i="9"/>
  <c r="AF34" i="9" s="1"/>
  <c r="AE48" i="10"/>
  <c r="AE41" i="10"/>
  <c r="FR75" i="11" s="1"/>
  <c r="DC131" i="1"/>
  <c r="DC156" i="1"/>
  <c r="AD59" i="10"/>
  <c r="K311" i="35"/>
  <c r="AH23" i="7"/>
  <c r="DC130" i="1"/>
  <c r="BM29" i="6"/>
  <c r="BM17" i="6"/>
  <c r="BL23" i="6"/>
  <c r="BQ23" i="6" s="1"/>
  <c r="CY151" i="1"/>
  <c r="CY155" i="1" s="1"/>
  <c r="CY152" i="1"/>
  <c r="CY156" i="1" s="1"/>
  <c r="CY131" i="1"/>
  <c r="CY132" i="1"/>
  <c r="DA132" i="1" s="1"/>
  <c r="CY130" i="1"/>
  <c r="DE198" i="1"/>
  <c r="H119" i="8"/>
  <c r="T172" i="68"/>
  <c r="T170" i="68"/>
  <c r="T125" i="68"/>
  <c r="T42" i="68"/>
  <c r="T83" i="68" s="1"/>
  <c r="T124" i="68" s="1"/>
  <c r="T36" i="68"/>
  <c r="T171" i="68" s="1"/>
  <c r="S172" i="68"/>
  <c r="S170" i="68"/>
  <c r="S125" i="68"/>
  <c r="S42" i="68"/>
  <c r="S83" i="68" s="1"/>
  <c r="S124" i="68" s="1"/>
  <c r="S36" i="68"/>
  <c r="S171" i="68" s="1"/>
  <c r="FW75" i="11"/>
  <c r="FV75" i="11"/>
  <c r="FW62" i="11"/>
  <c r="FV62" i="11"/>
  <c r="FW39" i="11"/>
  <c r="FV39" i="11"/>
  <c r="FW30" i="11"/>
  <c r="FV30" i="11"/>
  <c r="FW23" i="11"/>
  <c r="FV23" i="11"/>
  <c r="FW19" i="11"/>
  <c r="FV19" i="11"/>
  <c r="FW18" i="11"/>
  <c r="FV18" i="11"/>
  <c r="FW17" i="11"/>
  <c r="FV17" i="11"/>
  <c r="AH26" i="5"/>
  <c r="AG26" i="5"/>
  <c r="AH9" i="5"/>
  <c r="FW55" i="11" s="1"/>
  <c r="AG9" i="5"/>
  <c r="FV55" i="11" s="1"/>
  <c r="DH202" i="1"/>
  <c r="DH201" i="1" s="1"/>
  <c r="D313" i="35"/>
  <c r="DC6" i="1"/>
  <c r="DG156" i="1"/>
  <c r="DG155" i="1"/>
  <c r="DG154" i="1"/>
  <c r="DG116" i="1"/>
  <c r="DG115" i="1"/>
  <c r="DG114" i="1"/>
  <c r="DG106" i="1"/>
  <c r="DG105" i="1"/>
  <c r="DG104" i="1"/>
  <c r="DG76" i="1"/>
  <c r="DG75" i="1"/>
  <c r="DG74" i="1"/>
  <c r="DG66" i="1"/>
  <c r="DG65" i="1"/>
  <c r="DG64" i="1"/>
  <c r="DG56" i="1"/>
  <c r="DG55" i="1"/>
  <c r="DG54" i="1"/>
  <c r="DG46" i="1"/>
  <c r="DG45" i="1"/>
  <c r="DG44" i="1"/>
  <c r="DC132" i="1"/>
  <c r="X67" i="68"/>
  <c r="X66" i="68"/>
  <c r="CW133" i="1"/>
  <c r="CW132" i="1"/>
  <c r="CW131" i="1"/>
  <c r="CW130" i="1"/>
  <c r="AH22" i="7"/>
  <c r="AF15" i="7"/>
  <c r="AF16" i="7"/>
  <c r="BL22" i="6"/>
  <c r="BM10" i="6"/>
  <c r="K309" i="35"/>
  <c r="K310" i="35"/>
  <c r="DC32" i="1"/>
  <c r="DI32" i="1" s="1"/>
  <c r="DA131" i="1"/>
  <c r="CS130" i="1"/>
  <c r="BM16" i="6"/>
  <c r="BM28" i="6"/>
  <c r="DE13" i="1"/>
  <c r="BX9" i="6"/>
  <c r="BX8" i="6"/>
  <c r="BM27" i="6"/>
  <c r="BL21" i="6"/>
  <c r="BQ21" i="6" s="1"/>
  <c r="BM15" i="6"/>
  <c r="DD199" i="1"/>
  <c r="DE199" i="1" s="1"/>
  <c r="AH21" i="7"/>
  <c r="DC31" i="1"/>
  <c r="DI31" i="1" s="1"/>
  <c r="DC11" i="1"/>
  <c r="DD51" i="1" s="1"/>
  <c r="EQ68" i="11"/>
  <c r="DC30" i="1"/>
  <c r="DI30" i="1" s="1"/>
  <c r="AA89" i="68"/>
  <c r="X76" i="68"/>
  <c r="Z76" i="68" s="1"/>
  <c r="BM26" i="6"/>
  <c r="BL20" i="6"/>
  <c r="BM14" i="6"/>
  <c r="AH20" i="7"/>
  <c r="DE30" i="1"/>
  <c r="BM8" i="6"/>
  <c r="CY18" i="1"/>
  <c r="CY28" i="1"/>
  <c r="AC80" i="9"/>
  <c r="ED64" i="11" s="1"/>
  <c r="AD20" i="10"/>
  <c r="ED67" i="11" s="1"/>
  <c r="H112" i="8"/>
  <c r="D122" i="8"/>
  <c r="D124" i="8"/>
  <c r="CY133" i="1"/>
  <c r="DA133" i="1" s="1"/>
  <c r="AF47" i="9"/>
  <c r="AG47" i="9" s="1"/>
  <c r="AH47" i="9" s="1"/>
  <c r="AI47" i="9" s="1"/>
  <c r="AJ47" i="9" s="1"/>
  <c r="AC34" i="9"/>
  <c r="AC58" i="9" s="1"/>
  <c r="AD48" i="10"/>
  <c r="AD16" i="10"/>
  <c r="AD18" i="10" s="1"/>
  <c r="AD41" i="10"/>
  <c r="CZ202" i="1" s="1"/>
  <c r="AF23" i="7"/>
  <c r="BI29" i="6"/>
  <c r="BH23" i="6"/>
  <c r="BI11" i="6"/>
  <c r="DA33" i="1"/>
  <c r="DP33" i="1" s="1"/>
  <c r="AG46" i="7"/>
  <c r="AG45" i="7"/>
  <c r="AH28" i="7"/>
  <c r="AH34" i="7" s="1"/>
  <c r="AH27" i="7"/>
  <c r="AH33" i="7" s="1"/>
  <c r="AH26" i="7"/>
  <c r="AB29" i="4"/>
  <c r="AB26" i="4" s="1"/>
  <c r="V62" i="68"/>
  <c r="CY102" i="1"/>
  <c r="DA200" i="1"/>
  <c r="DA202" i="1" s="1"/>
  <c r="FQ40" i="11" s="1"/>
  <c r="AE46" i="7"/>
  <c r="AE45" i="7"/>
  <c r="AF22" i="7"/>
  <c r="BH22" i="6"/>
  <c r="BH34" i="6"/>
  <c r="BI10" i="6"/>
  <c r="DA32" i="1"/>
  <c r="DA12" i="1"/>
  <c r="DE12" i="1"/>
  <c r="DE11" i="1"/>
  <c r="DE10" i="1"/>
  <c r="CY10" i="1"/>
  <c r="CZ20" i="1" s="1"/>
  <c r="CY11" i="1"/>
  <c r="CY81" i="1" s="1"/>
  <c r="DC116" i="1"/>
  <c r="DC115" i="1"/>
  <c r="DC114" i="1"/>
  <c r="DC106" i="1"/>
  <c r="DC105" i="1"/>
  <c r="DC76" i="1"/>
  <c r="DC75" i="1"/>
  <c r="DC74" i="1"/>
  <c r="DC66" i="1"/>
  <c r="DC65" i="1"/>
  <c r="DC64" i="1"/>
  <c r="DC55" i="1"/>
  <c r="DC46" i="1"/>
  <c r="DC45" i="1"/>
  <c r="DC44" i="1"/>
  <c r="W157" i="68"/>
  <c r="FP84" i="11"/>
  <c r="FR86" i="11"/>
  <c r="FS86" i="11"/>
  <c r="DA31" i="1"/>
  <c r="CZ199" i="1"/>
  <c r="AA187" i="3"/>
  <c r="AB116" i="8" s="1"/>
  <c r="AF21" i="7"/>
  <c r="BH21" i="6"/>
  <c r="BH33" i="6"/>
  <c r="BI9" i="6"/>
  <c r="CY101" i="1"/>
  <c r="B142" i="42"/>
  <c r="B143" i="42" s="1"/>
  <c r="B144" i="42" s="1"/>
  <c r="B145" i="42" s="1"/>
  <c r="B146" i="42" s="1"/>
  <c r="B147" i="42" s="1"/>
  <c r="B148" i="42" s="1"/>
  <c r="B149" i="42" s="1"/>
  <c r="B150" i="42" s="1"/>
  <c r="B151" i="42" s="1"/>
  <c r="B152" i="42" s="1"/>
  <c r="B153" i="42" s="1"/>
  <c r="B154" i="42" s="1"/>
  <c r="B155" i="42" s="1"/>
  <c r="B156" i="42" s="1"/>
  <c r="B157" i="42" s="1"/>
  <c r="B158" i="42" s="1"/>
  <c r="B159" i="42" s="1"/>
  <c r="B160" i="42" s="1"/>
  <c r="B161" i="42" s="1"/>
  <c r="B162" i="42" s="1"/>
  <c r="B163" i="42" s="1"/>
  <c r="B164" i="42" s="1"/>
  <c r="B165" i="42" s="1"/>
  <c r="B166" i="42" s="1"/>
  <c r="B167" i="42" s="1"/>
  <c r="B168" i="42" s="1"/>
  <c r="B169" i="42" s="1"/>
  <c r="B170" i="42" s="1"/>
  <c r="B171" i="42" s="1"/>
  <c r="M136" i="42"/>
  <c r="L136" i="42"/>
  <c r="K136" i="42"/>
  <c r="J136" i="42"/>
  <c r="B120" i="42"/>
  <c r="A120" i="42"/>
  <c r="B121" i="42" s="1"/>
  <c r="B119" i="42"/>
  <c r="B118" i="42"/>
  <c r="B117" i="42"/>
  <c r="B116" i="42"/>
  <c r="B115" i="42"/>
  <c r="B114" i="42"/>
  <c r="B113" i="42"/>
  <c r="B112" i="42"/>
  <c r="B111" i="42"/>
  <c r="B110" i="42"/>
  <c r="B109" i="42"/>
  <c r="B108" i="42"/>
  <c r="B107" i="42"/>
  <c r="C106" i="42"/>
  <c r="B106" i="42"/>
  <c r="S105" i="42"/>
  <c r="R105" i="42"/>
  <c r="Q105" i="42"/>
  <c r="P105" i="42"/>
  <c r="O105" i="42"/>
  <c r="N105" i="42"/>
  <c r="M105" i="42"/>
  <c r="L105" i="42"/>
  <c r="K105" i="42"/>
  <c r="J105" i="42"/>
  <c r="I105" i="42"/>
  <c r="H105" i="42"/>
  <c r="G105" i="42"/>
  <c r="F105" i="42"/>
  <c r="C105" i="42"/>
  <c r="B105" i="42"/>
  <c r="S104" i="42"/>
  <c r="R104" i="42"/>
  <c r="Q104" i="42"/>
  <c r="P104" i="42"/>
  <c r="O104" i="42"/>
  <c r="N104" i="42"/>
  <c r="M104" i="42"/>
  <c r="L104" i="42"/>
  <c r="K104" i="42"/>
  <c r="J104" i="42"/>
  <c r="I104" i="42"/>
  <c r="H104" i="42"/>
  <c r="G104" i="42"/>
  <c r="F104" i="42"/>
  <c r="C104" i="42"/>
  <c r="B104" i="42"/>
  <c r="S103" i="42"/>
  <c r="R103" i="42"/>
  <c r="Q103" i="42"/>
  <c r="P103" i="42"/>
  <c r="O103" i="42"/>
  <c r="N103" i="42"/>
  <c r="M103" i="42"/>
  <c r="L103" i="42"/>
  <c r="K103" i="42"/>
  <c r="J103" i="42"/>
  <c r="I103" i="42"/>
  <c r="H103" i="42"/>
  <c r="G103" i="42"/>
  <c r="F103" i="42"/>
  <c r="C103" i="42"/>
  <c r="B103" i="42"/>
  <c r="S102" i="42"/>
  <c r="R102" i="42"/>
  <c r="Q102" i="42"/>
  <c r="P102" i="42"/>
  <c r="O102" i="42"/>
  <c r="N102" i="42"/>
  <c r="M102" i="42"/>
  <c r="L102" i="42"/>
  <c r="K102" i="42"/>
  <c r="J102" i="42"/>
  <c r="I102" i="42"/>
  <c r="H102" i="42"/>
  <c r="G102" i="42"/>
  <c r="F102" i="42"/>
  <c r="C102" i="42"/>
  <c r="B102" i="42"/>
  <c r="S101" i="42"/>
  <c r="R101" i="42"/>
  <c r="M100" i="42"/>
  <c r="L100" i="42"/>
  <c r="K100" i="42"/>
  <c r="J100" i="42"/>
  <c r="J72" i="42"/>
  <c r="I72" i="42"/>
  <c r="I73" i="42" s="1"/>
  <c r="H72" i="42"/>
  <c r="H73" i="42" s="1"/>
  <c r="G72" i="42"/>
  <c r="G73" i="42" s="1"/>
  <c r="F72" i="42"/>
  <c r="E72" i="42"/>
  <c r="F106" i="42" s="1"/>
  <c r="D72" i="42"/>
  <c r="E106" i="42" s="1"/>
  <c r="C72" i="42"/>
  <c r="C73" i="42" s="1"/>
  <c r="T71" i="42"/>
  <c r="U71" i="42" s="1"/>
  <c r="V71" i="42" s="1"/>
  <c r="W71" i="42" s="1"/>
  <c r="X71" i="42" s="1"/>
  <c r="Y71" i="42" s="1"/>
  <c r="T70" i="42"/>
  <c r="T69" i="42"/>
  <c r="U69" i="42" s="1"/>
  <c r="V69" i="42" s="1"/>
  <c r="W69" i="42" s="1"/>
  <c r="T68" i="42"/>
  <c r="U68" i="42" s="1"/>
  <c r="T67" i="42"/>
  <c r="T66" i="42"/>
  <c r="T101" i="42" s="1"/>
  <c r="Q66" i="42"/>
  <c r="Q53" i="42" s="1"/>
  <c r="P66" i="42"/>
  <c r="P101" i="42" s="1"/>
  <c r="O66" i="42"/>
  <c r="N66" i="42"/>
  <c r="N101" i="42" s="1"/>
  <c r="M66" i="42"/>
  <c r="L66" i="42"/>
  <c r="L101" i="42" s="1"/>
  <c r="K66" i="42"/>
  <c r="K53" i="42" s="1"/>
  <c r="J66" i="42"/>
  <c r="J101" i="42" s="1"/>
  <c r="I66" i="42"/>
  <c r="I53" i="42" s="1"/>
  <c r="H66" i="42"/>
  <c r="H101" i="42" s="1"/>
  <c r="G66" i="42"/>
  <c r="F66" i="42"/>
  <c r="F101" i="42" s="1"/>
  <c r="E66" i="42"/>
  <c r="D66" i="42"/>
  <c r="C66" i="42"/>
  <c r="C53" i="42" s="1"/>
  <c r="M64" i="42"/>
  <c r="L64" i="42"/>
  <c r="K64" i="42"/>
  <c r="J64" i="42"/>
  <c r="S61" i="42"/>
  <c r="S138" i="42" s="1"/>
  <c r="T138" i="42" s="1"/>
  <c r="R61" i="42"/>
  <c r="R138" i="42"/>
  <c r="Q61" i="42"/>
  <c r="Q138" i="42" s="1"/>
  <c r="P61" i="42"/>
  <c r="P138" i="42"/>
  <c r="O61" i="42"/>
  <c r="O138" i="42" s="1"/>
  <c r="N61" i="42"/>
  <c r="N138" i="42" s="1"/>
  <c r="M61" i="42"/>
  <c r="M138" i="42" s="1"/>
  <c r="L61" i="42"/>
  <c r="L138" i="42" s="1"/>
  <c r="K61" i="42"/>
  <c r="K138" i="42" s="1"/>
  <c r="J61" i="42"/>
  <c r="J138" i="42"/>
  <c r="I61" i="42"/>
  <c r="I138" i="42" s="1"/>
  <c r="H61" i="42"/>
  <c r="H138" i="42" s="1"/>
  <c r="G61" i="42"/>
  <c r="G138" i="42" s="1"/>
  <c r="F61" i="42"/>
  <c r="F138" i="42" s="1"/>
  <c r="E61" i="42"/>
  <c r="E138" i="42" s="1"/>
  <c r="D61" i="42"/>
  <c r="D138" i="42" s="1"/>
  <c r="C61" i="42"/>
  <c r="C138" i="42" s="1"/>
  <c r="P58" i="42"/>
  <c r="P72" i="42" s="1"/>
  <c r="Q106" i="42" s="1"/>
  <c r="O58" i="42"/>
  <c r="O72" i="42" s="1"/>
  <c r="N58" i="42"/>
  <c r="M58" i="42"/>
  <c r="L58" i="42"/>
  <c r="L56" i="42" s="1"/>
  <c r="K58" i="42"/>
  <c r="K56" i="42" s="1"/>
  <c r="K57" i="42" s="1"/>
  <c r="S56" i="42"/>
  <c r="R56" i="42"/>
  <c r="R59" i="42" s="1"/>
  <c r="Q56" i="42"/>
  <c r="O56" i="42"/>
  <c r="N56" i="42"/>
  <c r="J56" i="42"/>
  <c r="J59" i="42" s="1"/>
  <c r="I56" i="42"/>
  <c r="H56" i="42"/>
  <c r="H59" i="42" s="1"/>
  <c r="G56" i="42"/>
  <c r="F56" i="42"/>
  <c r="F59" i="42" s="1"/>
  <c r="E56" i="42"/>
  <c r="E57" i="42" s="1"/>
  <c r="D56" i="42"/>
  <c r="D59" i="42" s="1"/>
  <c r="C56" i="42"/>
  <c r="C59" i="42" s="1"/>
  <c r="S53" i="42"/>
  <c r="T53" i="42" s="1"/>
  <c r="U53" i="42" s="1"/>
  <c r="V53" i="42" s="1"/>
  <c r="W53" i="42" s="1"/>
  <c r="X53" i="42" s="1"/>
  <c r="Y53" i="42" s="1"/>
  <c r="Z53" i="42" s="1"/>
  <c r="R53" i="42"/>
  <c r="P53" i="42"/>
  <c r="F53" i="42"/>
  <c r="D53" i="42"/>
  <c r="S41" i="42"/>
  <c r="R41" i="42"/>
  <c r="J41" i="42"/>
  <c r="I41" i="42"/>
  <c r="H41" i="42"/>
  <c r="G41" i="42"/>
  <c r="F41" i="42"/>
  <c r="E41" i="42"/>
  <c r="D41" i="42"/>
  <c r="P40" i="42"/>
  <c r="Q41" i="42"/>
  <c r="O40" i="42"/>
  <c r="O41" i="42" s="1"/>
  <c r="N40" i="42"/>
  <c r="M40" i="42"/>
  <c r="L40" i="42"/>
  <c r="L41" i="42" s="1"/>
  <c r="K40" i="42"/>
  <c r="K41" i="42" s="1"/>
  <c r="E38" i="42"/>
  <c r="D38" i="42"/>
  <c r="M35" i="42"/>
  <c r="L35" i="42"/>
  <c r="K35" i="42"/>
  <c r="J35" i="42"/>
  <c r="C26" i="42"/>
  <c r="M22" i="42"/>
  <c r="L22" i="42"/>
  <c r="K22" i="42"/>
  <c r="J22" i="42"/>
  <c r="M15" i="42"/>
  <c r="L15" i="42"/>
  <c r="K15" i="42"/>
  <c r="J15" i="42"/>
  <c r="S6" i="42"/>
  <c r="S25" i="42" s="1"/>
  <c r="R6" i="42"/>
  <c r="R25" i="42"/>
  <c r="L6" i="42"/>
  <c r="L25" i="42" s="1"/>
  <c r="H6" i="42"/>
  <c r="H25" i="42" s="1"/>
  <c r="E6" i="42"/>
  <c r="E25" i="42" s="1"/>
  <c r="D6" i="42"/>
  <c r="D25" i="42" s="1"/>
  <c r="N3" i="42"/>
  <c r="N136" i="42" s="1"/>
  <c r="I3" i="42"/>
  <c r="I15" i="42" s="1"/>
  <c r="AD39" i="7"/>
  <c r="R35" i="7"/>
  <c r="R47" i="7" s="1"/>
  <c r="Z27" i="7"/>
  <c r="Z33" i="7" s="1"/>
  <c r="Z26" i="7"/>
  <c r="X29" i="7"/>
  <c r="X35" i="7" s="1"/>
  <c r="X27" i="7"/>
  <c r="X33" i="7" s="1"/>
  <c r="X26" i="7"/>
  <c r="X32" i="7" s="1"/>
  <c r="X44" i="7" s="1"/>
  <c r="V29" i="7"/>
  <c r="V35" i="7" s="1"/>
  <c r="V28" i="7"/>
  <c r="V27" i="7"/>
  <c r="V33" i="7" s="1"/>
  <c r="V45" i="7" s="1"/>
  <c r="V57" i="7" s="1"/>
  <c r="V26" i="7"/>
  <c r="V32" i="7"/>
  <c r="T29" i="7"/>
  <c r="T35" i="7" s="1"/>
  <c r="T47" i="7" s="1"/>
  <c r="T28" i="7"/>
  <c r="T27" i="7"/>
  <c r="T33" i="7"/>
  <c r="T45" i="7" s="1"/>
  <c r="T51" i="7" s="1"/>
  <c r="T26" i="7"/>
  <c r="R29" i="7"/>
  <c r="R28" i="7"/>
  <c r="R34" i="7" s="1"/>
  <c r="R27" i="7"/>
  <c r="R33" i="7" s="1"/>
  <c r="R45" i="7" s="1"/>
  <c r="R57" i="7" s="1"/>
  <c r="R26" i="7"/>
  <c r="R32" i="7" s="1"/>
  <c r="P29" i="7"/>
  <c r="P28" i="7"/>
  <c r="P27" i="7"/>
  <c r="P33" i="7" s="1"/>
  <c r="P26" i="7"/>
  <c r="P32" i="7" s="1"/>
  <c r="P44" i="7" s="1"/>
  <c r="N29" i="7"/>
  <c r="N35" i="7" s="1"/>
  <c r="N28" i="7"/>
  <c r="N27" i="7"/>
  <c r="N33" i="7" s="1"/>
  <c r="N45" i="7" s="1"/>
  <c r="N26" i="7"/>
  <c r="N32" i="7"/>
  <c r="L29" i="7"/>
  <c r="L35" i="7" s="1"/>
  <c r="L47" i="7" s="1"/>
  <c r="L28" i="7"/>
  <c r="L27" i="7"/>
  <c r="L33" i="7"/>
  <c r="L45" i="7" s="1"/>
  <c r="L51" i="7" s="1"/>
  <c r="L26" i="7"/>
  <c r="L32" i="7" s="1"/>
  <c r="L44" i="7" s="1"/>
  <c r="L56" i="7" s="1"/>
  <c r="J29" i="7"/>
  <c r="J35" i="7" s="1"/>
  <c r="J28" i="7"/>
  <c r="J27" i="7"/>
  <c r="J26" i="7"/>
  <c r="J32" i="7" s="1"/>
  <c r="H29" i="7"/>
  <c r="H35" i="7" s="1"/>
  <c r="H28" i="7"/>
  <c r="H34" i="7" s="1"/>
  <c r="H46" i="7" s="1"/>
  <c r="H52" i="7" s="1"/>
  <c r="H27" i="7"/>
  <c r="H33" i="7" s="1"/>
  <c r="H26" i="7"/>
  <c r="H32" i="7" s="1"/>
  <c r="H44" i="7" s="1"/>
  <c r="F29" i="7"/>
  <c r="F35" i="7" s="1"/>
  <c r="F28" i="7"/>
  <c r="F27" i="7"/>
  <c r="F26" i="7"/>
  <c r="F32" i="7"/>
  <c r="D29" i="7"/>
  <c r="D35" i="7" s="1"/>
  <c r="D47" i="7" s="1"/>
  <c r="D28" i="7"/>
  <c r="D27" i="7"/>
  <c r="D33" i="7"/>
  <c r="D45" i="7" s="1"/>
  <c r="D51" i="7" s="1"/>
  <c r="D26" i="7"/>
  <c r="D32" i="7" s="1"/>
  <c r="D44" i="7" s="1"/>
  <c r="AF27" i="7"/>
  <c r="AF33" i="7"/>
  <c r="AD23" i="7"/>
  <c r="AD29" i="7" s="1"/>
  <c r="AD35" i="7" s="1"/>
  <c r="AD47" i="7" s="1"/>
  <c r="AD22" i="7"/>
  <c r="AD28" i="7" s="1"/>
  <c r="AD21" i="7"/>
  <c r="AD27" i="7" s="1"/>
  <c r="AD33" i="7" s="1"/>
  <c r="AD45" i="7" s="1"/>
  <c r="AD51" i="7" s="1"/>
  <c r="AD20" i="7"/>
  <c r="AD26" i="7" s="1"/>
  <c r="AB23" i="7"/>
  <c r="AB29" i="7" s="1"/>
  <c r="AB22" i="7"/>
  <c r="AB28" i="7" s="1"/>
  <c r="AB21" i="7"/>
  <c r="AB27" i="7" s="1"/>
  <c r="AB20" i="7"/>
  <c r="AB26" i="7" s="1"/>
  <c r="AB32" i="7" s="1"/>
  <c r="AB44" i="7" s="1"/>
  <c r="AB56" i="7" s="1"/>
  <c r="Z22" i="7"/>
  <c r="Z28" i="7"/>
  <c r="X22" i="7"/>
  <c r="X28" i="7" s="1"/>
  <c r="X34" i="7" s="1"/>
  <c r="X46" i="7" s="1"/>
  <c r="X52" i="7" s="1"/>
  <c r="AF20" i="7"/>
  <c r="AF26" i="7"/>
  <c r="Z17" i="7"/>
  <c r="J5" i="7"/>
  <c r="L5" i="7" s="1"/>
  <c r="F5" i="7"/>
  <c r="D115" i="8"/>
  <c r="D111" i="8"/>
  <c r="D110" i="8"/>
  <c r="D109" i="8"/>
  <c r="D108" i="8"/>
  <c r="H105" i="8"/>
  <c r="D104" i="8"/>
  <c r="D103" i="8"/>
  <c r="D102" i="8"/>
  <c r="D101" i="8"/>
  <c r="H98" i="8"/>
  <c r="D35" i="6"/>
  <c r="D34" i="6"/>
  <c r="D33" i="6"/>
  <c r="D32" i="6"/>
  <c r="AV32" i="6"/>
  <c r="AR35" i="6"/>
  <c r="AR33" i="6"/>
  <c r="AS33" i="6" s="1"/>
  <c r="AR32" i="6"/>
  <c r="AN35" i="6"/>
  <c r="AN34" i="6"/>
  <c r="AN33" i="6"/>
  <c r="AO33" i="6" s="1"/>
  <c r="AN32" i="6"/>
  <c r="AJ35" i="6"/>
  <c r="AJ34" i="6"/>
  <c r="AO34" i="6" s="1"/>
  <c r="AJ33" i="6"/>
  <c r="AK33" i="6" s="1"/>
  <c r="AJ32" i="6"/>
  <c r="AF35" i="6"/>
  <c r="AF34" i="6"/>
  <c r="AF33" i="6"/>
  <c r="AF39" i="6" s="1"/>
  <c r="AF32" i="6"/>
  <c r="AB35" i="6"/>
  <c r="AB34" i="6"/>
  <c r="AB33" i="6"/>
  <c r="AB32" i="6"/>
  <c r="AG32" i="6" s="1"/>
  <c r="X35" i="6"/>
  <c r="X34" i="6"/>
  <c r="X33" i="6"/>
  <c r="X32" i="6"/>
  <c r="T35" i="6"/>
  <c r="T34" i="6"/>
  <c r="T33" i="6"/>
  <c r="T32" i="6"/>
  <c r="P35" i="6"/>
  <c r="U35" i="6" s="1"/>
  <c r="P34" i="6"/>
  <c r="P33" i="6"/>
  <c r="P39" i="6" s="1"/>
  <c r="P32" i="6"/>
  <c r="T38" i="6" s="1"/>
  <c r="L35" i="6"/>
  <c r="L34" i="6"/>
  <c r="L33" i="6"/>
  <c r="L32" i="6"/>
  <c r="H35" i="6"/>
  <c r="H34" i="6"/>
  <c r="H33" i="6"/>
  <c r="H32" i="6"/>
  <c r="I32" i="6" s="1"/>
  <c r="AW29" i="6"/>
  <c r="AS29" i="6"/>
  <c r="AO29" i="6"/>
  <c r="AK29" i="6"/>
  <c r="BI26" i="6"/>
  <c r="BD27" i="6"/>
  <c r="BE27" i="6" s="1"/>
  <c r="AW27" i="6"/>
  <c r="AW26" i="6"/>
  <c r="AS27" i="6"/>
  <c r="AS26" i="6"/>
  <c r="AO27" i="6"/>
  <c r="AO26" i="6"/>
  <c r="AK27" i="6"/>
  <c r="AK26" i="6"/>
  <c r="BE29" i="6"/>
  <c r="BE28" i="6"/>
  <c r="BE26" i="6"/>
  <c r="BA29" i="6"/>
  <c r="BA28" i="6"/>
  <c r="BA27" i="6"/>
  <c r="BA26" i="6"/>
  <c r="AG29" i="6"/>
  <c r="AG28" i="6"/>
  <c r="AG27" i="6"/>
  <c r="AG26" i="6"/>
  <c r="AC29" i="6"/>
  <c r="AC28" i="6"/>
  <c r="AC27" i="6"/>
  <c r="AC26" i="6"/>
  <c r="Y29" i="6"/>
  <c r="Y28" i="6"/>
  <c r="Y27" i="6"/>
  <c r="Y26" i="6"/>
  <c r="U29" i="6"/>
  <c r="U28" i="6"/>
  <c r="U27" i="6"/>
  <c r="U26" i="6"/>
  <c r="Q29" i="6"/>
  <c r="Q28" i="6"/>
  <c r="Q27" i="6"/>
  <c r="Q26" i="6"/>
  <c r="M29" i="6"/>
  <c r="M28" i="6"/>
  <c r="M27" i="6"/>
  <c r="M26" i="6"/>
  <c r="I29" i="6"/>
  <c r="I28" i="6"/>
  <c r="I27" i="6"/>
  <c r="I26" i="6"/>
  <c r="AR22" i="6"/>
  <c r="AS22" i="6" s="1"/>
  <c r="AV23" i="6"/>
  <c r="AW23" i="6" s="1"/>
  <c r="AV22" i="6"/>
  <c r="AV21" i="6"/>
  <c r="AV33" i="6" s="1"/>
  <c r="BH20" i="6"/>
  <c r="BD23" i="6"/>
  <c r="BD35" i="6" s="1"/>
  <c r="BD22" i="6"/>
  <c r="BD21" i="6"/>
  <c r="BD20" i="6"/>
  <c r="AZ23" i="6"/>
  <c r="BA23" i="6" s="1"/>
  <c r="AZ22" i="6"/>
  <c r="AZ21" i="6"/>
  <c r="AZ20" i="6"/>
  <c r="BA20" i="6"/>
  <c r="AW20" i="6"/>
  <c r="AS23" i="6"/>
  <c r="AS21" i="6"/>
  <c r="AS20" i="6"/>
  <c r="AO23" i="6"/>
  <c r="AO22" i="6"/>
  <c r="AO21" i="6"/>
  <c r="AO20" i="6"/>
  <c r="AK23" i="6"/>
  <c r="AK22" i="6"/>
  <c r="AK21" i="6"/>
  <c r="AK20" i="6"/>
  <c r="AG23" i="6"/>
  <c r="AG22" i="6"/>
  <c r="AG21" i="6"/>
  <c r="AG20" i="6"/>
  <c r="AC23" i="6"/>
  <c r="AC22" i="6"/>
  <c r="AC21" i="6"/>
  <c r="AC20" i="6"/>
  <c r="Y23" i="6"/>
  <c r="Y22" i="6"/>
  <c r="Y21" i="6"/>
  <c r="Y20" i="6"/>
  <c r="U23" i="6"/>
  <c r="U22" i="6"/>
  <c r="U21" i="6"/>
  <c r="U20" i="6"/>
  <c r="Q23" i="6"/>
  <c r="Q22" i="6"/>
  <c r="Q21" i="6"/>
  <c r="Q20" i="6"/>
  <c r="M23" i="6"/>
  <c r="M22" i="6"/>
  <c r="M21" i="6"/>
  <c r="M20" i="6"/>
  <c r="I23" i="6"/>
  <c r="I22" i="6"/>
  <c r="I21" i="6"/>
  <c r="I20" i="6"/>
  <c r="AV17" i="6"/>
  <c r="AV16" i="6"/>
  <c r="AR16" i="6"/>
  <c r="AS16" i="6" s="1"/>
  <c r="BD17" i="6"/>
  <c r="BD16" i="6"/>
  <c r="BI16" i="6"/>
  <c r="BD15" i="6"/>
  <c r="BD14" i="6"/>
  <c r="AZ17" i="6"/>
  <c r="AZ16" i="6"/>
  <c r="BE16" i="6" s="1"/>
  <c r="AZ15" i="6"/>
  <c r="BA15" i="6" s="1"/>
  <c r="AZ14" i="6"/>
  <c r="AW15" i="6"/>
  <c r="AW14" i="6"/>
  <c r="AS17" i="6"/>
  <c r="AS15" i="6"/>
  <c r="AS14" i="6"/>
  <c r="AO17" i="6"/>
  <c r="AO16" i="6"/>
  <c r="AO15" i="6"/>
  <c r="AO14" i="6"/>
  <c r="AK17" i="6"/>
  <c r="AK16" i="6"/>
  <c r="AK15" i="6"/>
  <c r="AK14" i="6"/>
  <c r="AG17" i="6"/>
  <c r="AG16" i="6"/>
  <c r="AG15" i="6"/>
  <c r="AG14" i="6"/>
  <c r="AC17" i="6"/>
  <c r="AC16" i="6"/>
  <c r="AC15" i="6"/>
  <c r="AC14" i="6"/>
  <c r="Y17" i="6"/>
  <c r="Y16" i="6"/>
  <c r="Y15" i="6"/>
  <c r="Y14" i="6"/>
  <c r="U17" i="6"/>
  <c r="U16" i="6"/>
  <c r="U15" i="6"/>
  <c r="U14" i="6"/>
  <c r="Q17" i="6"/>
  <c r="Q16" i="6"/>
  <c r="Q15" i="6"/>
  <c r="Q14" i="6"/>
  <c r="M17" i="6"/>
  <c r="M16" i="6"/>
  <c r="M15" i="6"/>
  <c r="M14" i="6"/>
  <c r="I17" i="6"/>
  <c r="I16" i="6"/>
  <c r="I15" i="6"/>
  <c r="I14" i="6"/>
  <c r="BI8" i="6"/>
  <c r="BE11" i="6"/>
  <c r="BE10" i="6"/>
  <c r="BE9" i="6"/>
  <c r="BE8" i="6"/>
  <c r="BA11" i="6"/>
  <c r="BA10" i="6"/>
  <c r="BA9" i="6"/>
  <c r="BA8" i="6"/>
  <c r="AW11" i="6"/>
  <c r="AW10" i="6"/>
  <c r="AW9" i="6"/>
  <c r="AW8" i="6"/>
  <c r="AS11" i="6"/>
  <c r="AS10" i="6"/>
  <c r="AS9" i="6"/>
  <c r="AS8" i="6"/>
  <c r="AO11" i="6"/>
  <c r="AO10" i="6"/>
  <c r="AO9" i="6"/>
  <c r="AO8" i="6"/>
  <c r="AK11" i="6"/>
  <c r="AK10" i="6"/>
  <c r="AK9" i="6"/>
  <c r="AK8" i="6"/>
  <c r="AG11" i="6"/>
  <c r="AG10" i="6"/>
  <c r="AG9" i="6"/>
  <c r="AG8" i="6"/>
  <c r="AC11" i="6"/>
  <c r="AC10" i="6"/>
  <c r="AC9" i="6"/>
  <c r="AC8" i="6"/>
  <c r="Y11" i="6"/>
  <c r="Y10" i="6"/>
  <c r="Y9" i="6"/>
  <c r="Y8" i="6"/>
  <c r="U11" i="6"/>
  <c r="U10" i="6"/>
  <c r="U9" i="6"/>
  <c r="U8" i="6"/>
  <c r="Q11" i="6"/>
  <c r="Q10" i="6"/>
  <c r="Q9" i="6"/>
  <c r="Q8" i="6"/>
  <c r="M11" i="6"/>
  <c r="M10" i="6"/>
  <c r="M9" i="6"/>
  <c r="M8" i="6"/>
  <c r="I11" i="6"/>
  <c r="I10" i="6"/>
  <c r="I9" i="6"/>
  <c r="I8" i="6"/>
  <c r="X5" i="6"/>
  <c r="AB5" i="6" s="1"/>
  <c r="P5" i="6"/>
  <c r="L5" i="6" s="1"/>
  <c r="H5" i="6" s="1"/>
  <c r="D5" i="6" s="1"/>
  <c r="AC59" i="10"/>
  <c r="AB59" i="10"/>
  <c r="AA59" i="10"/>
  <c r="Z59" i="10"/>
  <c r="AV58" i="10"/>
  <c r="AW58" i="10" s="1"/>
  <c r="AV56" i="10"/>
  <c r="AW56" i="10"/>
  <c r="X50" i="10"/>
  <c r="W50" i="10"/>
  <c r="V50" i="10"/>
  <c r="U50" i="10"/>
  <c r="T50" i="10"/>
  <c r="S50" i="10"/>
  <c r="R50" i="10"/>
  <c r="Q50" i="10"/>
  <c r="P50" i="10"/>
  <c r="O50" i="10"/>
  <c r="N50" i="10"/>
  <c r="M50" i="10"/>
  <c r="L50" i="10"/>
  <c r="K50" i="10"/>
  <c r="J50" i="10"/>
  <c r="I50" i="10"/>
  <c r="H50" i="10"/>
  <c r="G50" i="10"/>
  <c r="F50" i="10"/>
  <c r="E50" i="10"/>
  <c r="AC48" i="10"/>
  <c r="AB48" i="10"/>
  <c r="AA48" i="10"/>
  <c r="AA50" i="10" s="1"/>
  <c r="Z48" i="10"/>
  <c r="Y48" i="10"/>
  <c r="Y50" i="10" s="1"/>
  <c r="AC41" i="10"/>
  <c r="AB41" i="10"/>
  <c r="CR202" i="1" s="1"/>
  <c r="CR201" i="1" s="1"/>
  <c r="CS201" i="1" s="1"/>
  <c r="AB40" i="10"/>
  <c r="AA40" i="10"/>
  <c r="Z40" i="10"/>
  <c r="L33" i="10"/>
  <c r="K33" i="10"/>
  <c r="J33" i="10"/>
  <c r="I33" i="10"/>
  <c r="H33" i="10"/>
  <c r="G33" i="10"/>
  <c r="F33" i="10"/>
  <c r="E33" i="10"/>
  <c r="AB31" i="10"/>
  <c r="AB33" i="10" s="1"/>
  <c r="AA31" i="10"/>
  <c r="AA33" i="10" s="1"/>
  <c r="Z31" i="10"/>
  <c r="Z33" i="10" s="1"/>
  <c r="Y31" i="10"/>
  <c r="Y33" i="10" s="1"/>
  <c r="X31" i="10"/>
  <c r="X33" i="10" s="1"/>
  <c r="W31" i="10"/>
  <c r="W33" i="10" s="1"/>
  <c r="V31" i="10"/>
  <c r="V33" i="10" s="1"/>
  <c r="U31" i="10"/>
  <c r="U33" i="10" s="1"/>
  <c r="T31" i="10"/>
  <c r="T33" i="10" s="1"/>
  <c r="S31" i="10"/>
  <c r="S33" i="10" s="1"/>
  <c r="R31" i="10"/>
  <c r="R33" i="10" s="1"/>
  <c r="Q31" i="10"/>
  <c r="Q33" i="10" s="1"/>
  <c r="P31" i="10"/>
  <c r="P33" i="10" s="1"/>
  <c r="O31" i="10"/>
  <c r="O33" i="10" s="1"/>
  <c r="N31" i="10"/>
  <c r="N33" i="10" s="1"/>
  <c r="M31" i="10"/>
  <c r="M33" i="10" s="1"/>
  <c r="AC28" i="10"/>
  <c r="AC31" i="10" s="1"/>
  <c r="AC33" i="10" s="1"/>
  <c r="AC16" i="10"/>
  <c r="AB16" i="10"/>
  <c r="AA16" i="10"/>
  <c r="Z16" i="10"/>
  <c r="F6" i="10"/>
  <c r="G6" i="10" s="1"/>
  <c r="H6" i="10" s="1"/>
  <c r="I6" i="10" s="1"/>
  <c r="J6" i="10" s="1"/>
  <c r="K6" i="10" s="1"/>
  <c r="L6" i="10" s="1"/>
  <c r="M6" i="10" s="1"/>
  <c r="N6" i="10" s="1"/>
  <c r="O6" i="10" s="1"/>
  <c r="P6" i="10" s="1"/>
  <c r="Q6" i="10" s="1"/>
  <c r="R6" i="10" s="1"/>
  <c r="S6" i="10" s="1"/>
  <c r="T6" i="10" s="1"/>
  <c r="U6" i="10" s="1"/>
  <c r="V6" i="10" s="1"/>
  <c r="W6" i="10" s="1"/>
  <c r="X6" i="10" s="1"/>
  <c r="Y6" i="10" s="1"/>
  <c r="Z6" i="10" s="1"/>
  <c r="AA6" i="10" s="1"/>
  <c r="AB6" i="10" s="1"/>
  <c r="AC6" i="10" s="1"/>
  <c r="AB80" i="9"/>
  <c r="AA80" i="9"/>
  <c r="Z80" i="9"/>
  <c r="DV64" i="11" s="1"/>
  <c r="Y80" i="9"/>
  <c r="DU64" i="11" s="1"/>
  <c r="X80" i="9"/>
  <c r="DT64" i="11" s="1"/>
  <c r="W80" i="9"/>
  <c r="DS64" i="11" s="1"/>
  <c r="V80" i="9"/>
  <c r="DQ64" i="11" s="1"/>
  <c r="U80" i="9"/>
  <c r="DP64" i="11" s="1"/>
  <c r="T80" i="9"/>
  <c r="DO64" i="11" s="1"/>
  <c r="S80" i="9"/>
  <c r="DN64" i="11" s="1"/>
  <c r="R80" i="9"/>
  <c r="Q80" i="9"/>
  <c r="P80" i="9"/>
  <c r="O80" i="9"/>
  <c r="N80" i="9"/>
  <c r="M80" i="9"/>
  <c r="L80" i="9"/>
  <c r="K80" i="9"/>
  <c r="J80" i="9"/>
  <c r="I80" i="9"/>
  <c r="H80" i="9"/>
  <c r="G80" i="9"/>
  <c r="F80" i="9"/>
  <c r="E80" i="9"/>
  <c r="X61" i="9"/>
  <c r="W61" i="9"/>
  <c r="V61" i="9"/>
  <c r="U61" i="9"/>
  <c r="T61" i="9"/>
  <c r="S61" i="9"/>
  <c r="R61" i="9"/>
  <c r="Q61" i="9"/>
  <c r="P61" i="9"/>
  <c r="O61" i="9"/>
  <c r="N61" i="9"/>
  <c r="M61" i="9"/>
  <c r="L61" i="9"/>
  <c r="K61" i="9"/>
  <c r="J61" i="9"/>
  <c r="I61" i="9"/>
  <c r="H61" i="9"/>
  <c r="G61" i="9"/>
  <c r="F61" i="9"/>
  <c r="E61" i="9"/>
  <c r="X58" i="9"/>
  <c r="W58" i="9"/>
  <c r="V58" i="9"/>
  <c r="U58" i="9"/>
  <c r="T58" i="9"/>
  <c r="S58" i="9"/>
  <c r="R58" i="9"/>
  <c r="Q58" i="9"/>
  <c r="P58" i="9"/>
  <c r="O58" i="9"/>
  <c r="N58" i="9"/>
  <c r="M58" i="9"/>
  <c r="L58" i="9"/>
  <c r="K58" i="9"/>
  <c r="J58" i="9"/>
  <c r="I58" i="9"/>
  <c r="H58" i="9"/>
  <c r="G58" i="9"/>
  <c r="F58" i="9"/>
  <c r="E58" i="9"/>
  <c r="Z48" i="9"/>
  <c r="Z41" i="7" s="1"/>
  <c r="V48" i="9"/>
  <c r="V60" i="9" s="1"/>
  <c r="V63" i="9" s="1"/>
  <c r="U48" i="9"/>
  <c r="U60" i="9" s="1"/>
  <c r="U63" i="9" s="1"/>
  <c r="T48" i="9"/>
  <c r="S48" i="9"/>
  <c r="R48" i="9"/>
  <c r="R60" i="9" s="1"/>
  <c r="R63" i="9" s="1"/>
  <c r="Q48" i="9"/>
  <c r="P48" i="9"/>
  <c r="O48" i="9"/>
  <c r="N48" i="9"/>
  <c r="N60" i="9" s="1"/>
  <c r="N63" i="9" s="1"/>
  <c r="M48" i="9"/>
  <c r="M60" i="9" s="1"/>
  <c r="M63" i="9" s="1"/>
  <c r="L48" i="9"/>
  <c r="K48" i="9"/>
  <c r="J48" i="9"/>
  <c r="J60" i="9" s="1"/>
  <c r="J63" i="9" s="1"/>
  <c r="I48" i="9"/>
  <c r="H48" i="9"/>
  <c r="G48" i="9"/>
  <c r="F48" i="9"/>
  <c r="E48" i="9"/>
  <c r="AB48" i="9"/>
  <c r="Y48" i="9"/>
  <c r="X48" i="9"/>
  <c r="W46" i="9"/>
  <c r="W48" i="9" s="1"/>
  <c r="AF45" i="9"/>
  <c r="AG45" i="9" s="1"/>
  <c r="AH45" i="9" s="1"/>
  <c r="AI45" i="9" s="1"/>
  <c r="AJ45" i="9" s="1"/>
  <c r="X37" i="9"/>
  <c r="W37" i="9"/>
  <c r="V37" i="9"/>
  <c r="U37" i="9"/>
  <c r="T37" i="9"/>
  <c r="S37" i="9"/>
  <c r="R37" i="9"/>
  <c r="Q37" i="9"/>
  <c r="P37" i="9"/>
  <c r="O37" i="9"/>
  <c r="N37" i="9"/>
  <c r="M37" i="9"/>
  <c r="L37" i="9"/>
  <c r="K37" i="9"/>
  <c r="J37" i="9"/>
  <c r="I37" i="9"/>
  <c r="H37" i="9"/>
  <c r="G37" i="9"/>
  <c r="F37" i="9"/>
  <c r="E37" i="9"/>
  <c r="AF36" i="9"/>
  <c r="AG36" i="9" s="1"/>
  <c r="AH36" i="9" s="1"/>
  <c r="AI36" i="9" s="1"/>
  <c r="AJ36" i="9" s="1"/>
  <c r="AB34" i="9"/>
  <c r="AB58" i="9" s="1"/>
  <c r="AA34" i="9"/>
  <c r="Z34" i="9"/>
  <c r="Z37" i="9"/>
  <c r="Y34" i="9"/>
  <c r="Y58" i="9"/>
  <c r="AB32" i="9"/>
  <c r="AA32" i="9"/>
  <c r="Z32" i="9"/>
  <c r="Y32" i="9"/>
  <c r="X32" i="9"/>
  <c r="W32" i="9"/>
  <c r="V32" i="9"/>
  <c r="V39" i="9" s="1"/>
  <c r="U32" i="9"/>
  <c r="T32" i="9"/>
  <c r="S32" i="9"/>
  <c r="S39" i="9" s="1"/>
  <c r="S62" i="9" s="1"/>
  <c r="R32" i="9"/>
  <c r="Q32" i="9"/>
  <c r="P32" i="9"/>
  <c r="O32" i="9"/>
  <c r="N32" i="9"/>
  <c r="N39" i="9" s="1"/>
  <c r="M32" i="9"/>
  <c r="L32" i="9"/>
  <c r="K32" i="9"/>
  <c r="K39" i="9" s="1"/>
  <c r="K62" i="9" s="1"/>
  <c r="J32" i="9"/>
  <c r="I32" i="9"/>
  <c r="H32" i="9"/>
  <c r="G32" i="9"/>
  <c r="G39" i="9" s="1"/>
  <c r="G62" i="9" s="1"/>
  <c r="F32" i="9"/>
  <c r="E32" i="9"/>
  <c r="AA22" i="9"/>
  <c r="Z22" i="9"/>
  <c r="Y22" i="9"/>
  <c r="AB14" i="9"/>
  <c r="AA14" i="9"/>
  <c r="Z14" i="9"/>
  <c r="Y14" i="9"/>
  <c r="Y61" i="9" s="1"/>
  <c r="F6" i="9"/>
  <c r="G6" i="9" s="1"/>
  <c r="H6" i="9" s="1"/>
  <c r="I6" i="9" s="1"/>
  <c r="J6" i="9" s="1"/>
  <c r="K6" i="9" s="1"/>
  <c r="L6" i="9" s="1"/>
  <c r="M6" i="9" s="1"/>
  <c r="N6" i="9" s="1"/>
  <c r="O6" i="9" s="1"/>
  <c r="P6" i="9" s="1"/>
  <c r="Q6" i="9" s="1"/>
  <c r="R6" i="9" s="1"/>
  <c r="S6" i="9" s="1"/>
  <c r="T6" i="9" s="1"/>
  <c r="U6" i="9" s="1"/>
  <c r="V6" i="9" s="1"/>
  <c r="W6" i="9" s="1"/>
  <c r="X6" i="9" s="1"/>
  <c r="Y6" i="9" s="1"/>
  <c r="Z6" i="9" s="1"/>
  <c r="AA6" i="9" s="1"/>
  <c r="AB6" i="9" s="1"/>
  <c r="AC6" i="9" s="1"/>
  <c r="AD6" i="9" s="1"/>
  <c r="AF6" i="9" s="1"/>
  <c r="AG6" i="9" s="1"/>
  <c r="AH6" i="9" s="1"/>
  <c r="AI6" i="9" s="1"/>
  <c r="AJ6" i="9" s="1"/>
  <c r="B44" i="5"/>
  <c r="B45" i="5" s="1"/>
  <c r="B38" i="5"/>
  <c r="Y32" i="5"/>
  <c r="X32" i="5"/>
  <c r="W32" i="5"/>
  <c r="B25" i="5"/>
  <c r="Y21" i="5"/>
  <c r="Y19" i="5"/>
  <c r="Y17" i="5"/>
  <c r="B12" i="5"/>
  <c r="AF9" i="5"/>
  <c r="R5" i="5"/>
  <c r="S5" i="5" s="1"/>
  <c r="L5" i="5"/>
  <c r="L5" i="4" s="1"/>
  <c r="AA41" i="4"/>
  <c r="AA33" i="4"/>
  <c r="Z33" i="4"/>
  <c r="Y33" i="4"/>
  <c r="X33" i="4"/>
  <c r="W33" i="4"/>
  <c r="V33" i="4"/>
  <c r="U33" i="4"/>
  <c r="T33" i="4"/>
  <c r="S33" i="4"/>
  <c r="R33" i="4"/>
  <c r="Q33" i="4"/>
  <c r="P33" i="4"/>
  <c r="O33" i="4"/>
  <c r="N33" i="4"/>
  <c r="M33" i="4"/>
  <c r="L33" i="4"/>
  <c r="K33" i="4"/>
  <c r="J33" i="4"/>
  <c r="I33" i="4"/>
  <c r="H33" i="4"/>
  <c r="G33" i="4"/>
  <c r="F33" i="4"/>
  <c r="E33" i="4"/>
  <c r="D33" i="4"/>
  <c r="C33" i="4"/>
  <c r="V30" i="4"/>
  <c r="U30" i="4"/>
  <c r="T30" i="4"/>
  <c r="S30" i="4"/>
  <c r="R30" i="4"/>
  <c r="Q30" i="4"/>
  <c r="P30" i="4"/>
  <c r="O30" i="4"/>
  <c r="N30" i="4"/>
  <c r="M30" i="4"/>
  <c r="L30" i="4"/>
  <c r="K30" i="4"/>
  <c r="J30" i="4"/>
  <c r="I30" i="4"/>
  <c r="H30" i="4"/>
  <c r="G30" i="4"/>
  <c r="F30" i="4"/>
  <c r="E30" i="4"/>
  <c r="D30" i="4"/>
  <c r="C30" i="4"/>
  <c r="AB33" i="4"/>
  <c r="AA29" i="4"/>
  <c r="Z29" i="4"/>
  <c r="W29" i="4"/>
  <c r="FL64" i="11" s="1"/>
  <c r="V26" i="4"/>
  <c r="U26" i="4"/>
  <c r="T26" i="4"/>
  <c r="T27" i="4" s="1"/>
  <c r="S26" i="4"/>
  <c r="R26" i="4"/>
  <c r="Q26" i="4"/>
  <c r="P26" i="4"/>
  <c r="O26" i="4"/>
  <c r="N26" i="4"/>
  <c r="M26" i="4"/>
  <c r="L26" i="4"/>
  <c r="K26" i="4"/>
  <c r="J26" i="4"/>
  <c r="J27" i="4" s="1"/>
  <c r="I26" i="4"/>
  <c r="H26" i="4"/>
  <c r="G26" i="4"/>
  <c r="F26" i="4"/>
  <c r="F27" i="4" s="1"/>
  <c r="E26" i="4"/>
  <c r="D26" i="4"/>
  <c r="C26" i="4"/>
  <c r="B16" i="4"/>
  <c r="C14" i="4" s="1"/>
  <c r="Y15" i="4"/>
  <c r="B7" i="4"/>
  <c r="AM5" i="4"/>
  <c r="AK5" i="4"/>
  <c r="Q5" i="4"/>
  <c r="P5" i="4"/>
  <c r="O5" i="4"/>
  <c r="N5" i="4"/>
  <c r="M5" i="4"/>
  <c r="C5" i="4"/>
  <c r="W210" i="1"/>
  <c r="S210" i="1"/>
  <c r="O210" i="1"/>
  <c r="K210" i="1"/>
  <c r="G210" i="1"/>
  <c r="C210" i="1"/>
  <c r="CM201" i="1"/>
  <c r="CM200" i="1"/>
  <c r="CM199" i="1"/>
  <c r="CM198" i="1"/>
  <c r="CI202" i="1"/>
  <c r="CE202" i="1"/>
  <c r="CA202" i="1"/>
  <c r="BW202" i="1"/>
  <c r="BS202" i="1"/>
  <c r="BO202" i="1"/>
  <c r="BK202" i="1"/>
  <c r="BG202" i="1"/>
  <c r="BC202" i="1"/>
  <c r="AY202" i="1"/>
  <c r="AU202" i="1"/>
  <c r="AQ202" i="1"/>
  <c r="AM202" i="1"/>
  <c r="AI202" i="1"/>
  <c r="AE202" i="1"/>
  <c r="AA202" i="1"/>
  <c r="W202" i="1"/>
  <c r="S202" i="1"/>
  <c r="O202" i="1"/>
  <c r="K202" i="1"/>
  <c r="G202" i="1"/>
  <c r="C202" i="1"/>
  <c r="CW201" i="1"/>
  <c r="CQ201" i="1"/>
  <c r="CQ202" i="1" s="1"/>
  <c r="CQ200" i="1"/>
  <c r="CQ208" i="1" s="1"/>
  <c r="CV199" i="1"/>
  <c r="CR199" i="1"/>
  <c r="CR200" i="1" s="1"/>
  <c r="CS200" i="1" s="1"/>
  <c r="CQ199" i="1"/>
  <c r="CW198" i="1"/>
  <c r="CU199" i="1"/>
  <c r="CQ198" i="1"/>
  <c r="CQ207" i="1" s="1"/>
  <c r="W174" i="1"/>
  <c r="CU156" i="1"/>
  <c r="CU155" i="1"/>
  <c r="CU154" i="1"/>
  <c r="CQ156" i="1"/>
  <c r="CQ155" i="1"/>
  <c r="CQ154" i="1"/>
  <c r="CM156" i="1"/>
  <c r="CM155" i="1"/>
  <c r="CM154" i="1"/>
  <c r="CI156" i="1"/>
  <c r="CI155" i="1"/>
  <c r="CI154" i="1"/>
  <c r="CE156" i="1"/>
  <c r="CE155" i="1"/>
  <c r="CE154" i="1"/>
  <c r="CA156" i="1"/>
  <c r="CA155" i="1"/>
  <c r="CA154" i="1"/>
  <c r="BW156" i="1"/>
  <c r="BW155" i="1"/>
  <c r="BW154" i="1"/>
  <c r="BS156" i="1"/>
  <c r="BS155" i="1"/>
  <c r="BS154" i="1"/>
  <c r="BO156" i="1"/>
  <c r="BO155" i="1"/>
  <c r="BO154" i="1"/>
  <c r="BK156" i="1"/>
  <c r="BK155" i="1"/>
  <c r="BK154" i="1"/>
  <c r="BG156" i="1"/>
  <c r="BG155" i="1"/>
  <c r="BG154" i="1"/>
  <c r="BC156" i="1"/>
  <c r="BC155" i="1"/>
  <c r="BC154" i="1"/>
  <c r="AY156" i="1"/>
  <c r="AY155" i="1"/>
  <c r="AY154" i="1"/>
  <c r="AU156" i="1"/>
  <c r="AU155" i="1"/>
  <c r="AU154" i="1"/>
  <c r="AQ156" i="1"/>
  <c r="AQ155" i="1"/>
  <c r="AQ154" i="1"/>
  <c r="AM156" i="1"/>
  <c r="AM155" i="1"/>
  <c r="AM154" i="1"/>
  <c r="AI156" i="1"/>
  <c r="AI155" i="1"/>
  <c r="AI154" i="1"/>
  <c r="AE156" i="1"/>
  <c r="AE155" i="1"/>
  <c r="AE154" i="1"/>
  <c r="AA156" i="1"/>
  <c r="AA155" i="1"/>
  <c r="AA154" i="1"/>
  <c r="W156" i="1"/>
  <c r="W155" i="1"/>
  <c r="W154" i="1"/>
  <c r="S156" i="1"/>
  <c r="S155" i="1"/>
  <c r="S154" i="1"/>
  <c r="O156" i="1"/>
  <c r="O155" i="1"/>
  <c r="O154" i="1"/>
  <c r="K156" i="1"/>
  <c r="K155" i="1"/>
  <c r="K154" i="1"/>
  <c r="G156" i="1"/>
  <c r="G155" i="1"/>
  <c r="G154" i="1"/>
  <c r="C156" i="1"/>
  <c r="C155" i="1"/>
  <c r="C154" i="1"/>
  <c r="X144" i="1"/>
  <c r="CA136" i="1"/>
  <c r="CA135" i="1"/>
  <c r="BC136" i="1"/>
  <c r="BC135" i="1"/>
  <c r="AY136" i="1"/>
  <c r="AY135" i="1"/>
  <c r="BE135" i="1" s="1"/>
  <c r="AM136" i="1"/>
  <c r="AM135" i="1"/>
  <c r="K136" i="1"/>
  <c r="K135" i="1"/>
  <c r="Q135" i="1" s="1"/>
  <c r="CU136" i="1"/>
  <c r="CU135" i="1"/>
  <c r="CU134" i="1"/>
  <c r="CQ136" i="1"/>
  <c r="CQ135" i="1"/>
  <c r="CQ134" i="1"/>
  <c r="CM136" i="1"/>
  <c r="CS136" i="1"/>
  <c r="CM135" i="1"/>
  <c r="CM134" i="1"/>
  <c r="CO134" i="1" s="1"/>
  <c r="CI136" i="1"/>
  <c r="CI135" i="1"/>
  <c r="CI134" i="1"/>
  <c r="CE136" i="1"/>
  <c r="CE135" i="1"/>
  <c r="CK135" i="1" s="1"/>
  <c r="CE134" i="1"/>
  <c r="BW136" i="1"/>
  <c r="BW135" i="1"/>
  <c r="BW134" i="1"/>
  <c r="BY134" i="1" s="1"/>
  <c r="BS136" i="1"/>
  <c r="BS135" i="1"/>
  <c r="BS134" i="1"/>
  <c r="BO136" i="1"/>
  <c r="BU136" i="1" s="1"/>
  <c r="BO135" i="1"/>
  <c r="BO134" i="1"/>
  <c r="BU134" i="1" s="1"/>
  <c r="BK136" i="1"/>
  <c r="BK135" i="1"/>
  <c r="BK134" i="1"/>
  <c r="BG136" i="1"/>
  <c r="BI136" i="1" s="1"/>
  <c r="BG135" i="1"/>
  <c r="BG134" i="1"/>
  <c r="AU136" i="1"/>
  <c r="AU135" i="1"/>
  <c r="AW135" i="1" s="1"/>
  <c r="AU134" i="1"/>
  <c r="AQ136" i="1"/>
  <c r="AS136" i="1" s="1"/>
  <c r="AQ135" i="1"/>
  <c r="AQ134" i="1"/>
  <c r="AS134" i="1" s="1"/>
  <c r="AI136" i="1"/>
  <c r="AI135" i="1"/>
  <c r="AI134" i="1"/>
  <c r="AE136" i="1"/>
  <c r="AK136" i="1" s="1"/>
  <c r="AE135" i="1"/>
  <c r="AE134" i="1"/>
  <c r="AA136" i="1"/>
  <c r="AA135" i="1"/>
  <c r="AG135" i="1" s="1"/>
  <c r="AA134" i="1"/>
  <c r="W136" i="1"/>
  <c r="W135" i="1"/>
  <c r="W134" i="1"/>
  <c r="AC134" i="1" s="1"/>
  <c r="S136" i="1"/>
  <c r="S135" i="1"/>
  <c r="S134" i="1"/>
  <c r="O136" i="1"/>
  <c r="Q136" i="1" s="1"/>
  <c r="O135" i="1"/>
  <c r="O134" i="1"/>
  <c r="G136" i="1"/>
  <c r="G135" i="1"/>
  <c r="M135" i="1" s="1"/>
  <c r="G134" i="1"/>
  <c r="C136" i="1"/>
  <c r="C135" i="1"/>
  <c r="I135" i="1"/>
  <c r="C134" i="1"/>
  <c r="BU133" i="1"/>
  <c r="CO133" i="1"/>
  <c r="CO132" i="1"/>
  <c r="CO131" i="1"/>
  <c r="CO130" i="1"/>
  <c r="BU131" i="1"/>
  <c r="BU130" i="1"/>
  <c r="CS133" i="1"/>
  <c r="CS132" i="1"/>
  <c r="CS131" i="1"/>
  <c r="CC133" i="1"/>
  <c r="CC132" i="1"/>
  <c r="CC131" i="1"/>
  <c r="CC130" i="1"/>
  <c r="BY133" i="1"/>
  <c r="BY132" i="1"/>
  <c r="BY131" i="1"/>
  <c r="BY130" i="1"/>
  <c r="BQ133" i="1"/>
  <c r="BQ132" i="1"/>
  <c r="BQ131" i="1"/>
  <c r="BQ130" i="1"/>
  <c r="BM133" i="1"/>
  <c r="BM132" i="1"/>
  <c r="BM131" i="1"/>
  <c r="BM130" i="1"/>
  <c r="BI133" i="1"/>
  <c r="BI132" i="1"/>
  <c r="BI131" i="1"/>
  <c r="BI130" i="1"/>
  <c r="BE134" i="1"/>
  <c r="BE133" i="1"/>
  <c r="BE132" i="1"/>
  <c r="BE131" i="1"/>
  <c r="BE130" i="1"/>
  <c r="BA133" i="1"/>
  <c r="BA132" i="1"/>
  <c r="BA131" i="1"/>
  <c r="BA130" i="1"/>
  <c r="AW133" i="1"/>
  <c r="AW132" i="1"/>
  <c r="AW131" i="1"/>
  <c r="AW130" i="1"/>
  <c r="AS133" i="1"/>
  <c r="AS132" i="1"/>
  <c r="AS131" i="1"/>
  <c r="AS130" i="1"/>
  <c r="AO133" i="1"/>
  <c r="AO132" i="1"/>
  <c r="AO131" i="1"/>
  <c r="AO130" i="1"/>
  <c r="AK133" i="1"/>
  <c r="AK132" i="1"/>
  <c r="AK131" i="1"/>
  <c r="AK130" i="1"/>
  <c r="AG133" i="1"/>
  <c r="AG132" i="1"/>
  <c r="AG131" i="1"/>
  <c r="AG130" i="1"/>
  <c r="AC133" i="1"/>
  <c r="AC132" i="1"/>
  <c r="AC131" i="1"/>
  <c r="AC130" i="1"/>
  <c r="Y133" i="1"/>
  <c r="Y132" i="1"/>
  <c r="Y131" i="1"/>
  <c r="Y130" i="1"/>
  <c r="U133" i="1"/>
  <c r="U132" i="1"/>
  <c r="U131" i="1"/>
  <c r="U130" i="1"/>
  <c r="Q133" i="1"/>
  <c r="Q132" i="1"/>
  <c r="Q131" i="1"/>
  <c r="Q130" i="1"/>
  <c r="M133" i="1"/>
  <c r="M132" i="1"/>
  <c r="M131" i="1"/>
  <c r="M130" i="1"/>
  <c r="I133" i="1"/>
  <c r="I132" i="1"/>
  <c r="I131" i="1"/>
  <c r="I130" i="1"/>
  <c r="CY116" i="1"/>
  <c r="CY115" i="1"/>
  <c r="CY114" i="1"/>
  <c r="CU116" i="1"/>
  <c r="CU115" i="1"/>
  <c r="CU114" i="1"/>
  <c r="CM116" i="1"/>
  <c r="CM115" i="1"/>
  <c r="CM114" i="1"/>
  <c r="CI116" i="1"/>
  <c r="CI115" i="1"/>
  <c r="CI114" i="1"/>
  <c r="CE116" i="1"/>
  <c r="CE115" i="1"/>
  <c r="CE114" i="1"/>
  <c r="CA116" i="1"/>
  <c r="CA115" i="1"/>
  <c r="CA114" i="1"/>
  <c r="BW116" i="1"/>
  <c r="BW115" i="1"/>
  <c r="BW114" i="1"/>
  <c r="BS116" i="1"/>
  <c r="BS115" i="1"/>
  <c r="BS114" i="1"/>
  <c r="BO116" i="1"/>
  <c r="BO115" i="1"/>
  <c r="BO114" i="1"/>
  <c r="BK116" i="1"/>
  <c r="BK115" i="1"/>
  <c r="BK114" i="1"/>
  <c r="BG116" i="1"/>
  <c r="BG115" i="1"/>
  <c r="BG114" i="1"/>
  <c r="BC116" i="1"/>
  <c r="BC115" i="1"/>
  <c r="BC114" i="1"/>
  <c r="AY116" i="1"/>
  <c r="AY115" i="1"/>
  <c r="AY114" i="1"/>
  <c r="AU116" i="1"/>
  <c r="AU115" i="1"/>
  <c r="AU114" i="1"/>
  <c r="AQ116" i="1"/>
  <c r="AQ115" i="1"/>
  <c r="AQ114" i="1"/>
  <c r="AM116" i="1"/>
  <c r="AM115" i="1"/>
  <c r="AM114" i="1"/>
  <c r="AI116" i="1"/>
  <c r="AI115" i="1"/>
  <c r="AI114" i="1"/>
  <c r="AE116" i="1"/>
  <c r="AE115" i="1"/>
  <c r="AE114" i="1"/>
  <c r="AA116" i="1"/>
  <c r="AA115" i="1"/>
  <c r="AA114" i="1"/>
  <c r="W116" i="1"/>
  <c r="W115" i="1"/>
  <c r="W114" i="1"/>
  <c r="S116" i="1"/>
  <c r="S115" i="1"/>
  <c r="S114" i="1"/>
  <c r="O116" i="1"/>
  <c r="O115" i="1"/>
  <c r="O114" i="1"/>
  <c r="K116" i="1"/>
  <c r="K115" i="1"/>
  <c r="K114" i="1"/>
  <c r="G116" i="1"/>
  <c r="G115" i="1"/>
  <c r="G114" i="1"/>
  <c r="C116" i="1"/>
  <c r="C115" i="1"/>
  <c r="C114" i="1"/>
  <c r="BC106" i="1"/>
  <c r="BC105" i="1"/>
  <c r="AM106" i="1"/>
  <c r="AM105" i="1"/>
  <c r="K106" i="1"/>
  <c r="K105" i="1"/>
  <c r="CY106" i="1"/>
  <c r="CU106" i="1"/>
  <c r="CU105" i="1"/>
  <c r="CU104" i="1"/>
  <c r="CQ106" i="1"/>
  <c r="CQ105" i="1"/>
  <c r="CQ104" i="1"/>
  <c r="CM106" i="1"/>
  <c r="CM105" i="1"/>
  <c r="CM104" i="1"/>
  <c r="CI106" i="1"/>
  <c r="CI105" i="1"/>
  <c r="CI104" i="1"/>
  <c r="CE106" i="1"/>
  <c r="CE105" i="1"/>
  <c r="CE104" i="1"/>
  <c r="CA106" i="1"/>
  <c r="CA105" i="1"/>
  <c r="CA104" i="1"/>
  <c r="BW106" i="1"/>
  <c r="BW105" i="1"/>
  <c r="BW104" i="1"/>
  <c r="BS106" i="1"/>
  <c r="BS105" i="1"/>
  <c r="BS104" i="1"/>
  <c r="BO106" i="1"/>
  <c r="BO105" i="1"/>
  <c r="BO104" i="1"/>
  <c r="BK106" i="1"/>
  <c r="BK105" i="1"/>
  <c r="BK104" i="1"/>
  <c r="BG106" i="1"/>
  <c r="BG105" i="1"/>
  <c r="BG104" i="1"/>
  <c r="AY106" i="1"/>
  <c r="AY105" i="1"/>
  <c r="AY104" i="1"/>
  <c r="AU106" i="1"/>
  <c r="AU105" i="1"/>
  <c r="AU104" i="1"/>
  <c r="AQ106" i="1"/>
  <c r="AQ105" i="1"/>
  <c r="AQ104" i="1"/>
  <c r="AI106" i="1"/>
  <c r="AI105" i="1"/>
  <c r="AI104" i="1"/>
  <c r="AE106" i="1"/>
  <c r="AE105" i="1"/>
  <c r="AE104" i="1"/>
  <c r="AA106" i="1"/>
  <c r="AA105" i="1"/>
  <c r="AA104" i="1"/>
  <c r="W106" i="1"/>
  <c r="W105" i="1"/>
  <c r="W104" i="1"/>
  <c r="X104" i="1" s="1"/>
  <c r="S106" i="1"/>
  <c r="S105" i="1"/>
  <c r="S104" i="1"/>
  <c r="O106" i="1"/>
  <c r="O105" i="1"/>
  <c r="O104" i="1"/>
  <c r="L104" i="1"/>
  <c r="G106" i="1"/>
  <c r="G105" i="1"/>
  <c r="G104" i="1"/>
  <c r="C106" i="1"/>
  <c r="C105" i="1"/>
  <c r="C104" i="1"/>
  <c r="CV103" i="1"/>
  <c r="CU83" i="1"/>
  <c r="CU123" i="1" s="1"/>
  <c r="CV123" i="1" s="1"/>
  <c r="CY76" i="1"/>
  <c r="CY75" i="1"/>
  <c r="CY74" i="1"/>
  <c r="CU76" i="1"/>
  <c r="CU75" i="1"/>
  <c r="CU74" i="1"/>
  <c r="CQ76" i="1"/>
  <c r="CQ75" i="1"/>
  <c r="CQ74" i="1"/>
  <c r="CM76" i="1"/>
  <c r="CM75" i="1"/>
  <c r="CM74" i="1"/>
  <c r="CI76" i="1"/>
  <c r="CI75" i="1"/>
  <c r="CI74" i="1"/>
  <c r="CE76" i="1"/>
  <c r="CE75" i="1"/>
  <c r="CE74" i="1"/>
  <c r="CA76" i="1"/>
  <c r="CA75" i="1"/>
  <c r="CA74" i="1"/>
  <c r="BW76" i="1"/>
  <c r="BW75" i="1"/>
  <c r="BW74" i="1"/>
  <c r="BS76" i="1"/>
  <c r="BS75" i="1"/>
  <c r="BS74" i="1"/>
  <c r="BO76" i="1"/>
  <c r="BO75" i="1"/>
  <c r="BO74" i="1"/>
  <c r="BK76" i="1"/>
  <c r="BK75" i="1"/>
  <c r="BK74" i="1"/>
  <c r="BG76" i="1"/>
  <c r="BG75" i="1"/>
  <c r="BG74" i="1"/>
  <c r="BC76" i="1"/>
  <c r="BC75" i="1"/>
  <c r="AY76" i="1"/>
  <c r="AY75" i="1"/>
  <c r="AU76" i="1"/>
  <c r="AU75" i="1"/>
  <c r="AU74" i="1"/>
  <c r="AQ76" i="1"/>
  <c r="AQ75" i="1"/>
  <c r="AQ74" i="1"/>
  <c r="AM76" i="1"/>
  <c r="AM75" i="1"/>
  <c r="AI76" i="1"/>
  <c r="AI75" i="1"/>
  <c r="AI74" i="1"/>
  <c r="AE76" i="1"/>
  <c r="AE75" i="1"/>
  <c r="AE74" i="1"/>
  <c r="AA76" i="1"/>
  <c r="AA75" i="1"/>
  <c r="AA74" i="1"/>
  <c r="W76" i="1"/>
  <c r="W75" i="1"/>
  <c r="W74" i="1"/>
  <c r="S76" i="1"/>
  <c r="S75" i="1"/>
  <c r="S74" i="1"/>
  <c r="O76" i="1"/>
  <c r="O75" i="1"/>
  <c r="O74" i="1"/>
  <c r="K76" i="1"/>
  <c r="K75" i="1"/>
  <c r="G76" i="1"/>
  <c r="G75" i="1"/>
  <c r="G74" i="1"/>
  <c r="C76" i="1"/>
  <c r="C75" i="1"/>
  <c r="C74" i="1"/>
  <c r="CY66" i="1"/>
  <c r="CY65" i="1"/>
  <c r="CY64" i="1"/>
  <c r="CU66" i="1"/>
  <c r="CU65" i="1"/>
  <c r="CU64" i="1"/>
  <c r="CQ66" i="1"/>
  <c r="CQ65" i="1"/>
  <c r="CQ64" i="1"/>
  <c r="CM66" i="1"/>
  <c r="CM65" i="1"/>
  <c r="CM64" i="1"/>
  <c r="CI66" i="1"/>
  <c r="CI65" i="1"/>
  <c r="CI64" i="1"/>
  <c r="CE66" i="1"/>
  <c r="CE65" i="1"/>
  <c r="CE64" i="1"/>
  <c r="CA66" i="1"/>
  <c r="CA65" i="1"/>
  <c r="CA64" i="1"/>
  <c r="BW66" i="1"/>
  <c r="BW65" i="1"/>
  <c r="BW64" i="1"/>
  <c r="BS66" i="1"/>
  <c r="BS65" i="1"/>
  <c r="BS64" i="1"/>
  <c r="BO66" i="1"/>
  <c r="BO65" i="1"/>
  <c r="BO64" i="1"/>
  <c r="BK66" i="1"/>
  <c r="BK65" i="1"/>
  <c r="BK64" i="1"/>
  <c r="BG66" i="1"/>
  <c r="BG65" i="1"/>
  <c r="BG64" i="1"/>
  <c r="BC66" i="1"/>
  <c r="BC65" i="1"/>
  <c r="BC64" i="1"/>
  <c r="AY66" i="1"/>
  <c r="AY65" i="1"/>
  <c r="AY64" i="1"/>
  <c r="AU66" i="1"/>
  <c r="AU65" i="1"/>
  <c r="AU64" i="1"/>
  <c r="AQ66" i="1"/>
  <c r="AQ65" i="1"/>
  <c r="AQ64" i="1"/>
  <c r="AM66" i="1"/>
  <c r="AM65" i="1"/>
  <c r="AI66" i="1"/>
  <c r="AI65" i="1"/>
  <c r="AI64" i="1"/>
  <c r="AE66" i="1"/>
  <c r="AE65" i="1"/>
  <c r="AE64" i="1"/>
  <c r="AA66" i="1"/>
  <c r="AA65" i="1"/>
  <c r="AA64" i="1"/>
  <c r="W66" i="1"/>
  <c r="W65" i="1"/>
  <c r="W64" i="1"/>
  <c r="S66" i="1"/>
  <c r="S65" i="1"/>
  <c r="S64" i="1"/>
  <c r="O66" i="1"/>
  <c r="O65" i="1"/>
  <c r="O64" i="1"/>
  <c r="K66" i="1"/>
  <c r="K65" i="1"/>
  <c r="G66" i="1"/>
  <c r="G65" i="1"/>
  <c r="G64" i="1"/>
  <c r="C66" i="1"/>
  <c r="C65" i="1"/>
  <c r="C64" i="1"/>
  <c r="C56" i="1"/>
  <c r="C55" i="1"/>
  <c r="C54" i="1"/>
  <c r="CA56" i="1"/>
  <c r="CA55" i="1"/>
  <c r="BC56" i="1"/>
  <c r="BC55" i="1"/>
  <c r="AY56" i="1"/>
  <c r="AY55" i="1"/>
  <c r="AM56" i="1"/>
  <c r="AM55" i="1"/>
  <c r="K56" i="1"/>
  <c r="K55" i="1"/>
  <c r="CU56" i="1"/>
  <c r="CU55" i="1"/>
  <c r="CU54" i="1"/>
  <c r="CQ56" i="1"/>
  <c r="CQ55" i="1"/>
  <c r="CQ54" i="1"/>
  <c r="CM56" i="1"/>
  <c r="CM55" i="1"/>
  <c r="CI56" i="1"/>
  <c r="CI55" i="1"/>
  <c r="CI54" i="1"/>
  <c r="CE56" i="1"/>
  <c r="CE55" i="1"/>
  <c r="CE54" i="1"/>
  <c r="BW56" i="1"/>
  <c r="BW55" i="1"/>
  <c r="BW54" i="1"/>
  <c r="BS56" i="1"/>
  <c r="BS55" i="1"/>
  <c r="BS54" i="1"/>
  <c r="BO56" i="1"/>
  <c r="BO55" i="1"/>
  <c r="BO54" i="1"/>
  <c r="BK56" i="1"/>
  <c r="BK55" i="1"/>
  <c r="BK54" i="1"/>
  <c r="BG56" i="1"/>
  <c r="BG55" i="1"/>
  <c r="BG54" i="1"/>
  <c r="AU56" i="1"/>
  <c r="AU55" i="1"/>
  <c r="AU54" i="1"/>
  <c r="AQ56" i="1"/>
  <c r="AQ55" i="1"/>
  <c r="AQ54" i="1"/>
  <c r="AI56" i="1"/>
  <c r="AI55" i="1"/>
  <c r="AI54" i="1"/>
  <c r="AE56" i="1"/>
  <c r="AE55" i="1"/>
  <c r="AE54" i="1"/>
  <c r="AA56" i="1"/>
  <c r="AA55" i="1"/>
  <c r="AA54" i="1"/>
  <c r="W56" i="1"/>
  <c r="W55" i="1"/>
  <c r="W54" i="1"/>
  <c r="X54" i="1"/>
  <c r="S56" i="1"/>
  <c r="S55" i="1"/>
  <c r="S54" i="1"/>
  <c r="O56" i="1"/>
  <c r="O55" i="1"/>
  <c r="O54" i="1"/>
  <c r="L54" i="1"/>
  <c r="G56" i="1"/>
  <c r="G55" i="1"/>
  <c r="G54" i="1"/>
  <c r="CV53" i="1"/>
  <c r="CY55" i="1"/>
  <c r="C46" i="1"/>
  <c r="C45" i="1"/>
  <c r="C44" i="1"/>
  <c r="AY46" i="1"/>
  <c r="AY45" i="1"/>
  <c r="AM46" i="1"/>
  <c r="AM45" i="1"/>
  <c r="CY46" i="1"/>
  <c r="CY45" i="1"/>
  <c r="CY44" i="1"/>
  <c r="CU46" i="1"/>
  <c r="CU45" i="1"/>
  <c r="CU44" i="1"/>
  <c r="CQ46" i="1"/>
  <c r="CQ45" i="1"/>
  <c r="CQ44" i="1"/>
  <c r="CM46" i="1"/>
  <c r="CM45" i="1"/>
  <c r="CM44" i="1"/>
  <c r="CI46" i="1"/>
  <c r="CI45" i="1"/>
  <c r="CI44" i="1"/>
  <c r="CE46" i="1"/>
  <c r="CE45" i="1"/>
  <c r="CE44" i="1"/>
  <c r="CA46" i="1"/>
  <c r="CA45" i="1"/>
  <c r="CA44" i="1"/>
  <c r="BW46" i="1"/>
  <c r="BW45" i="1"/>
  <c r="BW44" i="1"/>
  <c r="BS46" i="1"/>
  <c r="BS45" i="1"/>
  <c r="BS44" i="1"/>
  <c r="BO46" i="1"/>
  <c r="BO45" i="1"/>
  <c r="BO44" i="1"/>
  <c r="BK46" i="1"/>
  <c r="BK45" i="1"/>
  <c r="BK44" i="1"/>
  <c r="BG46" i="1"/>
  <c r="BG45" i="1"/>
  <c r="BG44" i="1"/>
  <c r="BC46" i="1"/>
  <c r="BC45" i="1"/>
  <c r="BC44" i="1"/>
  <c r="AU46" i="1"/>
  <c r="AU45" i="1"/>
  <c r="AU44" i="1"/>
  <c r="AQ46" i="1"/>
  <c r="AQ45" i="1"/>
  <c r="AQ44" i="1"/>
  <c r="AI46" i="1"/>
  <c r="AI45" i="1"/>
  <c r="AI44" i="1"/>
  <c r="AE46" i="1"/>
  <c r="AE45" i="1"/>
  <c r="AE44" i="1"/>
  <c r="AA46" i="1"/>
  <c r="AA45" i="1"/>
  <c r="AA44" i="1"/>
  <c r="W46" i="1"/>
  <c r="W45" i="1"/>
  <c r="W44" i="1"/>
  <c r="X44" i="1" s="1"/>
  <c r="S46" i="1"/>
  <c r="S45" i="1"/>
  <c r="S44" i="1"/>
  <c r="O46" i="1"/>
  <c r="O45" i="1"/>
  <c r="O44" i="1"/>
  <c r="K46" i="1"/>
  <c r="K45" i="1"/>
  <c r="K44" i="1"/>
  <c r="L44" i="1" s="1"/>
  <c r="G46" i="1"/>
  <c r="G45" i="1"/>
  <c r="G44" i="1"/>
  <c r="CV43" i="1"/>
  <c r="CA36" i="1"/>
  <c r="CA35" i="1"/>
  <c r="BC36" i="1"/>
  <c r="BE36" i="1" s="1"/>
  <c r="BC35" i="1"/>
  <c r="AY36" i="1"/>
  <c r="AY35" i="1"/>
  <c r="AM36" i="1"/>
  <c r="AO36" i="1" s="1"/>
  <c r="AM35" i="1"/>
  <c r="CU36" i="1"/>
  <c r="CU35" i="1"/>
  <c r="CU34" i="1"/>
  <c r="CW34" i="1" s="1"/>
  <c r="CQ36" i="1"/>
  <c r="CQ35" i="1"/>
  <c r="CQ34" i="1"/>
  <c r="CI36" i="1"/>
  <c r="CI35" i="1"/>
  <c r="CI34" i="1"/>
  <c r="CE36" i="1"/>
  <c r="CG36" i="1" s="1"/>
  <c r="CE35" i="1"/>
  <c r="CG35" i="1" s="1"/>
  <c r="CE34" i="1"/>
  <c r="BW36" i="1"/>
  <c r="BW35" i="1"/>
  <c r="CC35" i="1" s="1"/>
  <c r="BW34" i="1"/>
  <c r="BY34" i="1" s="1"/>
  <c r="BS36" i="1"/>
  <c r="BY36" i="1" s="1"/>
  <c r="BS35" i="1"/>
  <c r="BS34" i="1"/>
  <c r="BO36" i="1"/>
  <c r="BQ36" i="1" s="1"/>
  <c r="BO35" i="1"/>
  <c r="BO34" i="1"/>
  <c r="BU34" i="1" s="1"/>
  <c r="BK36" i="1"/>
  <c r="BK35" i="1"/>
  <c r="BK34" i="1"/>
  <c r="BG36" i="1"/>
  <c r="BG35" i="1"/>
  <c r="BG34" i="1"/>
  <c r="AU36" i="1"/>
  <c r="AU35" i="1"/>
  <c r="AW35" i="1" s="1"/>
  <c r="AU34" i="1"/>
  <c r="BA34" i="1" s="1"/>
  <c r="AQ36" i="1"/>
  <c r="AQ35" i="1"/>
  <c r="AQ34" i="1"/>
  <c r="AS34" i="1" s="1"/>
  <c r="AI36" i="1"/>
  <c r="AI35" i="1"/>
  <c r="AI34" i="1"/>
  <c r="AE36" i="1"/>
  <c r="AG36" i="1" s="1"/>
  <c r="AE35" i="1"/>
  <c r="AE34" i="1"/>
  <c r="AA36" i="1"/>
  <c r="AA35" i="1"/>
  <c r="AG35" i="1" s="1"/>
  <c r="AA34" i="1"/>
  <c r="W36" i="1"/>
  <c r="W35" i="1"/>
  <c r="W34" i="1"/>
  <c r="X34" i="1" s="1"/>
  <c r="S36" i="1"/>
  <c r="S35" i="1"/>
  <c r="Y35" i="1" s="1"/>
  <c r="S34" i="1"/>
  <c r="O36" i="1"/>
  <c r="Q36" i="1" s="1"/>
  <c r="O35" i="1"/>
  <c r="O34" i="1"/>
  <c r="U34" i="1" s="1"/>
  <c r="K36" i="1"/>
  <c r="K35" i="1"/>
  <c r="Q35" i="1" s="1"/>
  <c r="K34" i="1"/>
  <c r="L34" i="1" s="1"/>
  <c r="G36" i="1"/>
  <c r="G35" i="1"/>
  <c r="G34" i="1"/>
  <c r="M34" i="1" s="1"/>
  <c r="C36" i="1"/>
  <c r="C35" i="1"/>
  <c r="C34" i="1"/>
  <c r="CY36" i="1"/>
  <c r="DA36" i="1" s="1"/>
  <c r="DA30" i="1"/>
  <c r="CW33" i="1"/>
  <c r="CV33" i="1"/>
  <c r="CW32" i="1"/>
  <c r="CW31" i="1"/>
  <c r="CW30" i="1"/>
  <c r="CS33" i="1"/>
  <c r="CS32" i="1"/>
  <c r="CS31" i="1"/>
  <c r="CS30" i="1"/>
  <c r="CO33" i="1"/>
  <c r="CO32" i="1"/>
  <c r="CO31" i="1"/>
  <c r="CO30" i="1"/>
  <c r="CK33" i="1"/>
  <c r="CK32" i="1"/>
  <c r="CK31" i="1"/>
  <c r="CK30" i="1"/>
  <c r="CG33" i="1"/>
  <c r="CG32" i="1"/>
  <c r="CG31" i="1"/>
  <c r="CG30" i="1"/>
  <c r="CC33" i="1"/>
  <c r="CC32" i="1"/>
  <c r="CC31" i="1"/>
  <c r="CC30" i="1"/>
  <c r="BY33" i="1"/>
  <c r="BY32" i="1"/>
  <c r="BY31" i="1"/>
  <c r="BY30" i="1"/>
  <c r="BU33" i="1"/>
  <c r="BU32" i="1"/>
  <c r="BU31" i="1"/>
  <c r="BU30" i="1"/>
  <c r="BQ33" i="1"/>
  <c r="BQ32" i="1"/>
  <c r="BQ31" i="1"/>
  <c r="BQ30" i="1"/>
  <c r="BM33" i="1"/>
  <c r="BM32" i="1"/>
  <c r="BM31" i="1"/>
  <c r="BM30" i="1"/>
  <c r="BI33" i="1"/>
  <c r="BI32" i="1"/>
  <c r="BI31" i="1"/>
  <c r="BI30" i="1"/>
  <c r="BE34" i="1"/>
  <c r="BE33" i="1"/>
  <c r="BE32" i="1"/>
  <c r="BE31" i="1"/>
  <c r="BE30" i="1"/>
  <c r="BA33" i="1"/>
  <c r="BA32" i="1"/>
  <c r="BA31" i="1"/>
  <c r="BA30" i="1"/>
  <c r="AW33" i="1"/>
  <c r="AW32" i="1"/>
  <c r="AW31" i="1"/>
  <c r="AW30" i="1"/>
  <c r="AS33" i="1"/>
  <c r="AS32" i="1"/>
  <c r="AS31" i="1"/>
  <c r="AS30" i="1"/>
  <c r="AO33" i="1"/>
  <c r="AO32" i="1"/>
  <c r="AO31" i="1"/>
  <c r="AO30" i="1"/>
  <c r="AK33" i="1"/>
  <c r="AK32" i="1"/>
  <c r="AK31" i="1"/>
  <c r="AK30" i="1"/>
  <c r="AG33" i="1"/>
  <c r="AG32" i="1"/>
  <c r="AG31" i="1"/>
  <c r="AG30" i="1"/>
  <c r="AC33" i="1"/>
  <c r="AC32" i="1"/>
  <c r="AC31" i="1"/>
  <c r="AC30" i="1"/>
  <c r="Y33" i="1"/>
  <c r="Y32" i="1"/>
  <c r="Y31" i="1"/>
  <c r="Y30" i="1"/>
  <c r="U33" i="1"/>
  <c r="U32" i="1"/>
  <c r="U31" i="1"/>
  <c r="U30" i="1"/>
  <c r="Q33" i="1"/>
  <c r="Q32" i="1"/>
  <c r="Q31" i="1"/>
  <c r="Q30" i="1"/>
  <c r="M33" i="1"/>
  <c r="M32" i="1"/>
  <c r="M31" i="1"/>
  <c r="M30" i="1"/>
  <c r="I33" i="1"/>
  <c r="I32" i="1"/>
  <c r="I31" i="1"/>
  <c r="I30" i="1"/>
  <c r="K26" i="1"/>
  <c r="K25" i="1"/>
  <c r="CU26" i="1"/>
  <c r="CU25" i="1"/>
  <c r="CU24" i="1"/>
  <c r="CQ26" i="1"/>
  <c r="CQ25" i="1"/>
  <c r="CQ24" i="1"/>
  <c r="CM26" i="1"/>
  <c r="CM25" i="1"/>
  <c r="CM24" i="1"/>
  <c r="CI26" i="1"/>
  <c r="CI25" i="1"/>
  <c r="CI24" i="1"/>
  <c r="CE26" i="1"/>
  <c r="CE25" i="1"/>
  <c r="CE24" i="1"/>
  <c r="CA26" i="1"/>
  <c r="CA25" i="1"/>
  <c r="CA24" i="1"/>
  <c r="BW26" i="1"/>
  <c r="BW25" i="1"/>
  <c r="BW24" i="1"/>
  <c r="BS26" i="1"/>
  <c r="BS25" i="1"/>
  <c r="BS24" i="1"/>
  <c r="BO26" i="1"/>
  <c r="BO25" i="1"/>
  <c r="BO24" i="1"/>
  <c r="BK26" i="1"/>
  <c r="BK25" i="1"/>
  <c r="BK24" i="1"/>
  <c r="BG26" i="1"/>
  <c r="BG25" i="1"/>
  <c r="BG24" i="1"/>
  <c r="BC26" i="1"/>
  <c r="BC25" i="1"/>
  <c r="BC24" i="1"/>
  <c r="AY26" i="1"/>
  <c r="AY25" i="1"/>
  <c r="AY24" i="1"/>
  <c r="AU26" i="1"/>
  <c r="AU25" i="1"/>
  <c r="AU24" i="1"/>
  <c r="AQ26" i="1"/>
  <c r="AQ25" i="1"/>
  <c r="AQ24" i="1"/>
  <c r="AM26" i="1"/>
  <c r="AM25" i="1"/>
  <c r="AM24" i="1"/>
  <c r="AI26" i="1"/>
  <c r="AI25" i="1"/>
  <c r="AI24" i="1"/>
  <c r="AE26" i="1"/>
  <c r="AE25" i="1"/>
  <c r="AE24" i="1"/>
  <c r="AA26" i="1"/>
  <c r="AA25" i="1"/>
  <c r="AA24" i="1"/>
  <c r="W26" i="1"/>
  <c r="W25" i="1"/>
  <c r="W24" i="1"/>
  <c r="S26" i="1"/>
  <c r="S25" i="1"/>
  <c r="S24" i="1"/>
  <c r="O26" i="1"/>
  <c r="O25" i="1"/>
  <c r="O24" i="1"/>
  <c r="G26" i="1"/>
  <c r="G25" i="1"/>
  <c r="G24" i="1"/>
  <c r="C26" i="1"/>
  <c r="C25" i="1"/>
  <c r="C24" i="1"/>
  <c r="CV23" i="1"/>
  <c r="L24" i="1"/>
  <c r="D23" i="1"/>
  <c r="D100" i="1"/>
  <c r="CW14" i="1"/>
  <c r="X101" i="1"/>
  <c r="L41" i="1"/>
  <c r="CU12" i="1"/>
  <c r="CU82" i="1" s="1"/>
  <c r="CU122" i="1" s="1"/>
  <c r="CU142" i="1" s="1"/>
  <c r="CU11" i="1"/>
  <c r="CV41" i="1" s="1"/>
  <c r="CU10" i="1"/>
  <c r="CV40" i="1" s="1"/>
  <c r="DA13" i="1"/>
  <c r="DA11" i="1"/>
  <c r="CW13" i="1"/>
  <c r="CW12" i="1"/>
  <c r="CW11" i="1"/>
  <c r="CW10" i="1"/>
  <c r="CS13" i="1"/>
  <c r="CQ13" i="1"/>
  <c r="CR33" i="1" s="1"/>
  <c r="CS12" i="1"/>
  <c r="CQ12" i="1"/>
  <c r="CR102" i="1" s="1"/>
  <c r="CS11" i="1"/>
  <c r="CQ11" i="1"/>
  <c r="CQ81" i="1" s="1"/>
  <c r="CR81" i="1" s="1"/>
  <c r="CS10" i="1"/>
  <c r="CQ10" i="1"/>
  <c r="CN24" i="1"/>
  <c r="CN52" i="1"/>
  <c r="CN30" i="1"/>
  <c r="CJ32" i="1"/>
  <c r="CI80" i="1"/>
  <c r="CI90" i="1" s="1"/>
  <c r="CF42" i="1"/>
  <c r="CE80" i="1"/>
  <c r="CE90" i="1" s="1"/>
  <c r="CB103" i="1"/>
  <c r="CB52" i="1"/>
  <c r="CB100" i="1"/>
  <c r="BW82" i="1"/>
  <c r="BW92" i="1" s="1"/>
  <c r="BW80" i="1"/>
  <c r="BW90" i="1" s="1"/>
  <c r="BT43" i="1"/>
  <c r="BT22" i="1"/>
  <c r="BT20" i="1"/>
  <c r="BP43" i="1"/>
  <c r="BP32" i="1"/>
  <c r="BO80" i="1"/>
  <c r="BL22" i="1"/>
  <c r="BK81" i="1"/>
  <c r="BK80" i="1"/>
  <c r="BK90" i="1" s="1"/>
  <c r="BH22" i="1"/>
  <c r="BH101" i="1"/>
  <c r="BD30" i="1"/>
  <c r="AZ102" i="1"/>
  <c r="AZ40" i="1"/>
  <c r="AV102" i="1"/>
  <c r="AN100" i="1"/>
  <c r="AJ30" i="1"/>
  <c r="AB22" i="1"/>
  <c r="AA81" i="1"/>
  <c r="AA121" i="1" s="1"/>
  <c r="AA80" i="1"/>
  <c r="P41" i="1"/>
  <c r="P30" i="1"/>
  <c r="H100" i="1"/>
  <c r="BK6" i="1"/>
  <c r="AE6" i="1"/>
  <c r="S6" i="1"/>
  <c r="O6" i="1" s="1"/>
  <c r="K6" i="1" s="1"/>
  <c r="G6" i="1" s="1"/>
  <c r="C6" i="1" s="1"/>
  <c r="FP76" i="11"/>
  <c r="FO76" i="11"/>
  <c r="FN76" i="11"/>
  <c r="FM76" i="11"/>
  <c r="FL76" i="11"/>
  <c r="FJ76" i="11"/>
  <c r="FI76" i="11"/>
  <c r="FH76" i="11"/>
  <c r="FG76" i="11"/>
  <c r="FF76" i="11"/>
  <c r="FE76" i="11"/>
  <c r="FD76" i="11"/>
  <c r="FC76" i="11"/>
  <c r="FB76" i="11"/>
  <c r="FA76" i="11"/>
  <c r="EZ76" i="11"/>
  <c r="EY76" i="11"/>
  <c r="FU75" i="11"/>
  <c r="FT75" i="11"/>
  <c r="FS75" i="11"/>
  <c r="FQ75" i="11"/>
  <c r="FP75" i="11"/>
  <c r="FN75" i="11"/>
  <c r="FM75" i="11"/>
  <c r="FL75" i="11"/>
  <c r="FJ75" i="11"/>
  <c r="FI75" i="11"/>
  <c r="FH75" i="11"/>
  <c r="FG75" i="11"/>
  <c r="FF75" i="11"/>
  <c r="FE75" i="11"/>
  <c r="FD75" i="11"/>
  <c r="FC75" i="11"/>
  <c r="FB75" i="11"/>
  <c r="FA75" i="11"/>
  <c r="EZ75" i="11"/>
  <c r="EY75" i="11"/>
  <c r="FP74" i="11"/>
  <c r="FO74" i="11"/>
  <c r="FN74" i="11"/>
  <c r="FM74" i="11"/>
  <c r="EQ64" i="11"/>
  <c r="EQ72" i="11" s="1"/>
  <c r="EQ62" i="11"/>
  <c r="EC64" i="11"/>
  <c r="FQ64" i="11"/>
  <c r="FQ72" i="11" s="1"/>
  <c r="FP64" i="11"/>
  <c r="FP72" i="11" s="1"/>
  <c r="FJ64" i="11"/>
  <c r="FI64" i="11"/>
  <c r="FI72" i="11" s="1"/>
  <c r="FH64" i="11"/>
  <c r="FH72" i="11" s="1"/>
  <c r="FG64" i="11"/>
  <c r="FG72" i="11" s="1"/>
  <c r="FF64" i="11"/>
  <c r="FE64" i="11"/>
  <c r="FE72" i="11" s="1"/>
  <c r="FD64" i="11"/>
  <c r="FD72" i="11" s="1"/>
  <c r="FC64" i="11"/>
  <c r="FC72" i="11" s="1"/>
  <c r="FB64" i="11"/>
  <c r="FB72" i="11" s="1"/>
  <c r="FA64" i="11"/>
  <c r="EZ64" i="11"/>
  <c r="EZ72" i="11" s="1"/>
  <c r="EY64" i="11"/>
  <c r="EY72" i="11" s="1"/>
  <c r="EX64" i="11"/>
  <c r="EX72" i="11" s="1"/>
  <c r="EW64" i="11"/>
  <c r="EV64" i="11"/>
  <c r="EW65" i="11" s="1"/>
  <c r="EU64" i="11"/>
  <c r="EU72" i="11" s="1"/>
  <c r="ET64" i="11"/>
  <c r="ET72" i="11" s="1"/>
  <c r="ES64" i="11"/>
  <c r="ES72" i="11" s="1"/>
  <c r="ER64" i="11"/>
  <c r="ER72" i="11" s="1"/>
  <c r="FU62" i="11"/>
  <c r="FT62" i="11"/>
  <c r="FS62" i="11"/>
  <c r="FR62" i="11"/>
  <c r="FO62" i="11"/>
  <c r="FN62" i="11"/>
  <c r="FD62" i="11"/>
  <c r="FC62" i="11"/>
  <c r="FB62" i="11"/>
  <c r="DU62" i="11"/>
  <c r="F57" i="11"/>
  <c r="E57" i="11"/>
  <c r="D57" i="11"/>
  <c r="C57" i="11"/>
  <c r="FU55" i="11"/>
  <c r="FU39" i="11"/>
  <c r="FT39" i="11"/>
  <c r="FS39" i="11"/>
  <c r="EV36" i="11"/>
  <c r="FU30" i="11"/>
  <c r="FU23" i="11"/>
  <c r="FT23" i="11"/>
  <c r="FS23" i="11"/>
  <c r="FR23" i="11"/>
  <c r="AP20" i="11"/>
  <c r="AK20" i="11"/>
  <c r="AF20" i="11"/>
  <c r="AA20" i="11"/>
  <c r="FU19" i="11"/>
  <c r="FT19" i="11"/>
  <c r="FS19" i="11"/>
  <c r="FR19" i="11"/>
  <c r="FQ19" i="11"/>
  <c r="FP19" i="11"/>
  <c r="FO19" i="11"/>
  <c r="FN19" i="11"/>
  <c r="FU18" i="11"/>
  <c r="FT18" i="11"/>
  <c r="FS18" i="11"/>
  <c r="FR18" i="11"/>
  <c r="FU17" i="11"/>
  <c r="FU16" i="11" s="1"/>
  <c r="FT17" i="11"/>
  <c r="FT16" i="11" s="1"/>
  <c r="FS17" i="11"/>
  <c r="FR17" i="11"/>
  <c r="FR16" i="11" s="1"/>
  <c r="FP6" i="11"/>
  <c r="FE6" i="11"/>
  <c r="FE62" i="11" s="1"/>
  <c r="ER6" i="11"/>
  <c r="CE6" i="11"/>
  <c r="CJ6" i="11" s="1"/>
  <c r="CO6" i="11" s="1"/>
  <c r="CT6" i="11" s="1"/>
  <c r="BP6" i="11"/>
  <c r="BK6" i="11" s="1"/>
  <c r="AV6" i="11"/>
  <c r="BZ5" i="11"/>
  <c r="BU5" i="11"/>
  <c r="BV5" i="11" s="1"/>
  <c r="BW5" i="11" s="1"/>
  <c r="BX5" i="11" s="1"/>
  <c r="BA5" i="11"/>
  <c r="AA186" i="3"/>
  <c r="AB115" i="8" s="1"/>
  <c r="AA182" i="3"/>
  <c r="AA181" i="3"/>
  <c r="AA180" i="3"/>
  <c r="AB109" i="8" s="1"/>
  <c r="AA179" i="3"/>
  <c r="J182" i="3"/>
  <c r="V111" i="8" s="1"/>
  <c r="V112" i="8" s="1"/>
  <c r="J181" i="3"/>
  <c r="J180" i="3"/>
  <c r="V109" i="8" s="1"/>
  <c r="J179" i="3"/>
  <c r="H177" i="3"/>
  <c r="F177" i="3"/>
  <c r="AA175" i="3"/>
  <c r="AB104" i="8" s="1"/>
  <c r="AA174" i="3"/>
  <c r="AB103" i="8" s="1"/>
  <c r="AA173" i="3"/>
  <c r="AB102" i="8" s="1"/>
  <c r="AA172" i="3"/>
  <c r="J175" i="3"/>
  <c r="V104" i="8" s="1"/>
  <c r="V105" i="8" s="1"/>
  <c r="J174" i="3"/>
  <c r="V103" i="8" s="1"/>
  <c r="J173" i="3"/>
  <c r="L173" i="3" s="1"/>
  <c r="J172" i="3"/>
  <c r="AP174" i="3"/>
  <c r="U174" i="3" s="1"/>
  <c r="AP173" i="3"/>
  <c r="AP180" i="3" s="1"/>
  <c r="AP187" i="3" s="1"/>
  <c r="AP172" i="3"/>
  <c r="A73" i="3"/>
  <c r="A38" i="3"/>
  <c r="J18" i="3"/>
  <c r="C19" i="3"/>
  <c r="C20" i="3" s="1"/>
  <c r="C21" i="3" s="1"/>
  <c r="C25" i="3" s="1"/>
  <c r="B19" i="3"/>
  <c r="B20" i="3" s="1"/>
  <c r="Y14" i="3"/>
  <c r="Y13" i="3"/>
  <c r="Y12" i="3"/>
  <c r="Y11" i="3"/>
  <c r="E625" i="35"/>
  <c r="E623" i="35"/>
  <c r="E622" i="35"/>
  <c r="E621" i="35"/>
  <c r="E620" i="35"/>
  <c r="E616" i="35"/>
  <c r="D608" i="35"/>
  <c r="D609" i="35" s="1"/>
  <c r="E607" i="35"/>
  <c r="D598" i="35"/>
  <c r="D599" i="35"/>
  <c r="E599" i="35" s="1"/>
  <c r="E597" i="35"/>
  <c r="E595" i="35"/>
  <c r="E594" i="35"/>
  <c r="E593" i="35"/>
  <c r="E592" i="35"/>
  <c r="E591" i="35"/>
  <c r="E589" i="35"/>
  <c r="D596" i="35"/>
  <c r="D590" i="35"/>
  <c r="E587" i="35"/>
  <c r="E586" i="35"/>
  <c r="E585" i="35"/>
  <c r="E584" i="35"/>
  <c r="E582" i="35"/>
  <c r="E581" i="35"/>
  <c r="E580" i="35"/>
  <c r="E579" i="35"/>
  <c r="E578" i="35"/>
  <c r="E576" i="35"/>
  <c r="D583" i="35"/>
  <c r="D577" i="35"/>
  <c r="E574" i="35"/>
  <c r="E573" i="35"/>
  <c r="E571" i="35"/>
  <c r="E569" i="35"/>
  <c r="E568" i="35"/>
  <c r="E567" i="35"/>
  <c r="E566" i="35"/>
  <c r="E565" i="35"/>
  <c r="E563" i="35"/>
  <c r="D570" i="35"/>
  <c r="E570" i="35" s="1"/>
  <c r="D564" i="35"/>
  <c r="E561" i="35"/>
  <c r="E560" i="35"/>
  <c r="E558" i="35"/>
  <c r="E557" i="35"/>
  <c r="E556" i="35"/>
  <c r="E555" i="35"/>
  <c r="E554" i="35"/>
  <c r="E553" i="35"/>
  <c r="E552" i="35"/>
  <c r="E550" i="35"/>
  <c r="D559" i="35"/>
  <c r="D551" i="35"/>
  <c r="E548" i="35"/>
  <c r="E547" i="35"/>
  <c r="E546" i="35"/>
  <c r="E545" i="35"/>
  <c r="E544" i="35"/>
  <c r="E543" i="35"/>
  <c r="E542" i="35"/>
  <c r="E541" i="35"/>
  <c r="E540" i="35"/>
  <c r="E539" i="35"/>
  <c r="E537" i="35"/>
  <c r="D538" i="35"/>
  <c r="E535" i="35"/>
  <c r="E532" i="35"/>
  <c r="E529" i="35"/>
  <c r="E526" i="35"/>
  <c r="D525" i="35"/>
  <c r="E522" i="35"/>
  <c r="E519" i="35"/>
  <c r="E516" i="35"/>
  <c r="E513" i="35"/>
  <c r="D520" i="35"/>
  <c r="E533" i="35" s="1"/>
  <c r="D517" i="35"/>
  <c r="D518" i="35" s="1"/>
  <c r="E531" i="35" s="1"/>
  <c r="D514" i="35"/>
  <c r="D511" i="35"/>
  <c r="E524" i="35" s="1"/>
  <c r="E506" i="35"/>
  <c r="E500" i="35"/>
  <c r="D507" i="35"/>
  <c r="D508" i="35" s="1"/>
  <c r="D504" i="35"/>
  <c r="D501" i="35"/>
  <c r="D494" i="35"/>
  <c r="E494" i="35" s="1"/>
  <c r="E493" i="35"/>
  <c r="E488" i="35"/>
  <c r="E487" i="35"/>
  <c r="E485" i="35"/>
  <c r="D489" i="35"/>
  <c r="E489" i="35" s="1"/>
  <c r="D486" i="35"/>
  <c r="E486" i="35" s="1"/>
  <c r="E483" i="35"/>
  <c r="E482" i="35"/>
  <c r="E481" i="35"/>
  <c r="E480" i="35"/>
  <c r="E479" i="35"/>
  <c r="E478" i="35"/>
  <c r="E477" i="35"/>
  <c r="E476" i="35"/>
  <c r="E475" i="35"/>
  <c r="E474" i="35"/>
  <c r="E473" i="35"/>
  <c r="E472" i="35"/>
  <c r="E470" i="35"/>
  <c r="E469" i="35"/>
  <c r="E468" i="35"/>
  <c r="E467" i="35"/>
  <c r="E466" i="35"/>
  <c r="E465" i="35"/>
  <c r="E464" i="35"/>
  <c r="E463" i="35"/>
  <c r="E462" i="35"/>
  <c r="E461" i="35"/>
  <c r="E460" i="35"/>
  <c r="E459" i="35"/>
  <c r="E457" i="35"/>
  <c r="E456" i="35"/>
  <c r="E455" i="35"/>
  <c r="E454" i="35"/>
  <c r="E453" i="35"/>
  <c r="E452" i="35"/>
  <c r="E451" i="35"/>
  <c r="E450" i="35"/>
  <c r="E449" i="35"/>
  <c r="E448" i="35"/>
  <c r="E447" i="35"/>
  <c r="E446" i="35"/>
  <c r="D361" i="35"/>
  <c r="E360" i="35"/>
  <c r="E359" i="35"/>
  <c r="E358" i="35"/>
  <c r="E357" i="35"/>
  <c r="E356" i="35"/>
  <c r="E355" i="35"/>
  <c r="E353" i="35"/>
  <c r="E352" i="35"/>
  <c r="E351" i="35"/>
  <c r="E350" i="35"/>
  <c r="E349" i="35"/>
  <c r="E348" i="35"/>
  <c r="E347" i="35"/>
  <c r="E346" i="35"/>
  <c r="E345" i="35"/>
  <c r="E344" i="35"/>
  <c r="E343" i="35"/>
  <c r="E342" i="35"/>
  <c r="A341" i="35"/>
  <c r="A354" i="35" s="1"/>
  <c r="A367" i="35" s="1"/>
  <c r="A380" i="35" s="1"/>
  <c r="A393" i="35" s="1"/>
  <c r="A406" i="35" s="1"/>
  <c r="A419" i="35" s="1"/>
  <c r="A432" i="35" s="1"/>
  <c r="A445" i="35" s="1"/>
  <c r="A458" i="35" s="1"/>
  <c r="A471" i="35" s="1"/>
  <c r="A484" i="35" s="1"/>
  <c r="A497" i="35" s="1"/>
  <c r="A510" i="35" s="1"/>
  <c r="A523" i="35" s="1"/>
  <c r="A536" i="35" s="1"/>
  <c r="A549" i="35" s="1"/>
  <c r="A562" i="35" s="1"/>
  <c r="A575" i="35" s="1"/>
  <c r="A588" i="35" s="1"/>
  <c r="A601" i="35" s="1"/>
  <c r="A614" i="35" s="1"/>
  <c r="A619" i="35" s="1"/>
  <c r="A624" i="35" s="1"/>
  <c r="A629" i="35" s="1"/>
  <c r="A634" i="35" s="1"/>
  <c r="A639" i="35" s="1"/>
  <c r="C334" i="35"/>
  <c r="D303" i="35"/>
  <c r="E308" i="35" s="1"/>
  <c r="K301" i="35"/>
  <c r="K300" i="35"/>
  <c r="K299" i="35"/>
  <c r="K298" i="35"/>
  <c r="E301" i="35"/>
  <c r="E300" i="35"/>
  <c r="E299" i="35"/>
  <c r="E298" i="35"/>
  <c r="K296" i="35"/>
  <c r="K295" i="35"/>
  <c r="K294" i="35"/>
  <c r="K293" i="35"/>
  <c r="E296" i="35"/>
  <c r="E295" i="35"/>
  <c r="E294" i="35"/>
  <c r="E293" i="35"/>
  <c r="K291" i="35"/>
  <c r="K290" i="35"/>
  <c r="K289" i="35"/>
  <c r="K288" i="35"/>
  <c r="K287" i="35"/>
  <c r="K286" i="35"/>
  <c r="K285" i="35"/>
  <c r="K284" i="35"/>
  <c r="K283" i="35"/>
  <c r="K282" i="35"/>
  <c r="K281" i="35"/>
  <c r="K280" i="35"/>
  <c r="E291" i="35"/>
  <c r="E290" i="35"/>
  <c r="E289" i="35"/>
  <c r="E288" i="35"/>
  <c r="E287" i="35"/>
  <c r="E286" i="35"/>
  <c r="E285" i="35"/>
  <c r="E284" i="35"/>
  <c r="E283" i="35"/>
  <c r="E282" i="35"/>
  <c r="E281" i="35"/>
  <c r="E280" i="35"/>
  <c r="K278" i="35"/>
  <c r="K277" i="35"/>
  <c r="K276" i="35"/>
  <c r="K275" i="35"/>
  <c r="K274" i="35"/>
  <c r="K273" i="35"/>
  <c r="K272" i="35"/>
  <c r="K271" i="35"/>
  <c r="K270" i="35"/>
  <c r="K269" i="35"/>
  <c r="K268" i="35"/>
  <c r="K267" i="35"/>
  <c r="E278" i="35"/>
  <c r="E277" i="35"/>
  <c r="E276" i="35"/>
  <c r="E275" i="35"/>
  <c r="E274" i="35"/>
  <c r="E273" i="35"/>
  <c r="E272" i="35"/>
  <c r="E271" i="35"/>
  <c r="E270" i="35"/>
  <c r="E269" i="35"/>
  <c r="E268" i="35"/>
  <c r="E267" i="35"/>
  <c r="K265" i="35"/>
  <c r="K264" i="35"/>
  <c r="K263" i="35"/>
  <c r="K262" i="35"/>
  <c r="K261" i="35"/>
  <c r="K260" i="35"/>
  <c r="K259" i="35"/>
  <c r="K258" i="35"/>
  <c r="K257" i="35"/>
  <c r="K256" i="35"/>
  <c r="K255" i="35"/>
  <c r="K254" i="35"/>
  <c r="E265" i="35"/>
  <c r="E264" i="35"/>
  <c r="E263" i="35"/>
  <c r="E262" i="35"/>
  <c r="E261" i="35"/>
  <c r="E260" i="35"/>
  <c r="E259" i="35"/>
  <c r="E258" i="35"/>
  <c r="E257" i="35"/>
  <c r="E256" i="35"/>
  <c r="E255" i="35"/>
  <c r="E254" i="35"/>
  <c r="K252" i="35"/>
  <c r="K251" i="35"/>
  <c r="K250" i="35"/>
  <c r="K249" i="35"/>
  <c r="K248" i="35"/>
  <c r="K247" i="35"/>
  <c r="K246" i="35"/>
  <c r="K245" i="35"/>
  <c r="K244" i="35"/>
  <c r="K243" i="35"/>
  <c r="K242" i="35"/>
  <c r="K241" i="35"/>
  <c r="E252" i="35"/>
  <c r="E251" i="35"/>
  <c r="E250" i="35"/>
  <c r="E249" i="35"/>
  <c r="E248" i="35"/>
  <c r="E247" i="35"/>
  <c r="E246" i="35"/>
  <c r="E245" i="35"/>
  <c r="E244" i="35"/>
  <c r="E243" i="35"/>
  <c r="E242" i="35"/>
  <c r="E241" i="35"/>
  <c r="K239" i="35"/>
  <c r="K238" i="35"/>
  <c r="K237" i="35"/>
  <c r="K236" i="35"/>
  <c r="K235" i="35"/>
  <c r="K234" i="35"/>
  <c r="K233" i="35"/>
  <c r="K232" i="35"/>
  <c r="K231" i="35"/>
  <c r="K230" i="35"/>
  <c r="K229" i="35"/>
  <c r="K228" i="35"/>
  <c r="E239" i="35"/>
  <c r="E238" i="35"/>
  <c r="E237" i="35"/>
  <c r="E236" i="35"/>
  <c r="E235" i="35"/>
  <c r="E234" i="35"/>
  <c r="E233" i="35"/>
  <c r="E232" i="35"/>
  <c r="E231" i="35"/>
  <c r="E230" i="35"/>
  <c r="E229" i="35"/>
  <c r="E228" i="35"/>
  <c r="K226" i="35"/>
  <c r="K225" i="35"/>
  <c r="K224" i="35"/>
  <c r="K223" i="35"/>
  <c r="K222" i="35"/>
  <c r="K221" i="35"/>
  <c r="K220" i="35"/>
  <c r="K219" i="35"/>
  <c r="K218" i="35"/>
  <c r="K217" i="35"/>
  <c r="K216" i="35"/>
  <c r="K215" i="35"/>
  <c r="E226" i="35"/>
  <c r="E225" i="35"/>
  <c r="E224" i="35"/>
  <c r="E223" i="35"/>
  <c r="E222" i="35"/>
  <c r="E221" i="35"/>
  <c r="E220" i="35"/>
  <c r="E219" i="35"/>
  <c r="E218" i="35"/>
  <c r="E217" i="35"/>
  <c r="E216" i="35"/>
  <c r="E215" i="35"/>
  <c r="K213" i="35"/>
  <c r="K212" i="35"/>
  <c r="K211" i="35"/>
  <c r="K210" i="35"/>
  <c r="K209" i="35"/>
  <c r="K208" i="35"/>
  <c r="K207" i="35"/>
  <c r="K206" i="35"/>
  <c r="K205" i="35"/>
  <c r="K204" i="35"/>
  <c r="K203" i="35"/>
  <c r="K202" i="35"/>
  <c r="E213" i="35"/>
  <c r="E212" i="35"/>
  <c r="E211" i="35"/>
  <c r="E210" i="35"/>
  <c r="E209" i="35"/>
  <c r="E208" i="35"/>
  <c r="E207" i="35"/>
  <c r="E206" i="35"/>
  <c r="E205" i="35"/>
  <c r="E204" i="35"/>
  <c r="E203" i="35"/>
  <c r="E202" i="35"/>
  <c r="K200" i="35"/>
  <c r="K199" i="35"/>
  <c r="K198" i="35"/>
  <c r="K197" i="35"/>
  <c r="K196" i="35"/>
  <c r="K195" i="35"/>
  <c r="K194" i="35"/>
  <c r="K193" i="35"/>
  <c r="K192" i="35"/>
  <c r="K191" i="35"/>
  <c r="K190" i="35"/>
  <c r="K189" i="35"/>
  <c r="E200" i="35"/>
  <c r="E199" i="35"/>
  <c r="E198" i="35"/>
  <c r="E197" i="35"/>
  <c r="E196" i="35"/>
  <c r="E195" i="35"/>
  <c r="E194" i="35"/>
  <c r="E193" i="35"/>
  <c r="E192" i="35"/>
  <c r="E191" i="35"/>
  <c r="E190" i="35"/>
  <c r="E189" i="35"/>
  <c r="K187" i="35"/>
  <c r="K186" i="35"/>
  <c r="K185" i="35"/>
  <c r="K184" i="35"/>
  <c r="K183" i="35"/>
  <c r="K182" i="35"/>
  <c r="K181" i="35"/>
  <c r="K180" i="35"/>
  <c r="K179" i="35"/>
  <c r="K178" i="35"/>
  <c r="K177" i="35"/>
  <c r="K176" i="35"/>
  <c r="E187" i="35"/>
  <c r="E186" i="35"/>
  <c r="E185" i="35"/>
  <c r="E184" i="35"/>
  <c r="E183" i="35"/>
  <c r="E182" i="35"/>
  <c r="E181" i="35"/>
  <c r="E180" i="35"/>
  <c r="E179" i="35"/>
  <c r="E178" i="35"/>
  <c r="E177" i="35"/>
  <c r="E176" i="35"/>
  <c r="K174" i="35"/>
  <c r="K173" i="35"/>
  <c r="K172" i="35"/>
  <c r="K171" i="35"/>
  <c r="K170" i="35"/>
  <c r="K169" i="35"/>
  <c r="K168" i="35"/>
  <c r="K167" i="35"/>
  <c r="K166" i="35"/>
  <c r="K165" i="35"/>
  <c r="K164" i="35"/>
  <c r="K163" i="35"/>
  <c r="E174" i="35"/>
  <c r="E173" i="35"/>
  <c r="E172" i="35"/>
  <c r="E171" i="35"/>
  <c r="E170" i="35"/>
  <c r="E169" i="35"/>
  <c r="E168" i="35"/>
  <c r="E167" i="35"/>
  <c r="E166" i="35"/>
  <c r="E165" i="35"/>
  <c r="E164" i="35"/>
  <c r="E163" i="35"/>
  <c r="K161" i="35"/>
  <c r="K160" i="35"/>
  <c r="K159" i="35"/>
  <c r="K158" i="35"/>
  <c r="K157" i="35"/>
  <c r="K156" i="35"/>
  <c r="K155" i="35"/>
  <c r="K154" i="35"/>
  <c r="K153" i="35"/>
  <c r="K152" i="35"/>
  <c r="K151" i="35"/>
  <c r="K150" i="35"/>
  <c r="E161" i="35"/>
  <c r="E160" i="35"/>
  <c r="E159" i="35"/>
  <c r="E158" i="35"/>
  <c r="E157" i="35"/>
  <c r="E156" i="35"/>
  <c r="E155" i="35"/>
  <c r="E154" i="35"/>
  <c r="E153" i="35"/>
  <c r="E152" i="35"/>
  <c r="E151" i="35"/>
  <c r="E150" i="35"/>
  <c r="K148" i="35"/>
  <c r="K147" i="35"/>
  <c r="K146" i="35"/>
  <c r="K145" i="35"/>
  <c r="K144" i="35"/>
  <c r="K143" i="35"/>
  <c r="K142" i="35"/>
  <c r="K141" i="35"/>
  <c r="K140" i="35"/>
  <c r="K139" i="35"/>
  <c r="K138" i="35"/>
  <c r="K137" i="35"/>
  <c r="E148" i="35"/>
  <c r="E147" i="35"/>
  <c r="E146" i="35"/>
  <c r="E145" i="35"/>
  <c r="E144" i="35"/>
  <c r="E143" i="35"/>
  <c r="E142" i="35"/>
  <c r="E141" i="35"/>
  <c r="E140" i="35"/>
  <c r="E139" i="35"/>
  <c r="E138" i="35"/>
  <c r="E137" i="35"/>
  <c r="K135" i="35"/>
  <c r="K134" i="35"/>
  <c r="K133" i="35"/>
  <c r="K132" i="35"/>
  <c r="K131" i="35"/>
  <c r="K130" i="35"/>
  <c r="K129" i="35"/>
  <c r="K128" i="35"/>
  <c r="K127" i="35"/>
  <c r="K126" i="35"/>
  <c r="K125" i="35"/>
  <c r="K124" i="35"/>
  <c r="E135" i="35"/>
  <c r="E134" i="35"/>
  <c r="E133" i="35"/>
  <c r="E132" i="35"/>
  <c r="E131" i="35"/>
  <c r="E130" i="35"/>
  <c r="E129" i="35"/>
  <c r="E128" i="35"/>
  <c r="E127" i="35"/>
  <c r="E126" i="35"/>
  <c r="E125" i="35"/>
  <c r="E124" i="35"/>
  <c r="K122" i="35"/>
  <c r="K121" i="35"/>
  <c r="K120" i="35"/>
  <c r="K119" i="35"/>
  <c r="K118" i="35"/>
  <c r="K117" i="35"/>
  <c r="K116" i="35"/>
  <c r="K115" i="35"/>
  <c r="K114" i="35"/>
  <c r="K113" i="35"/>
  <c r="K112" i="35"/>
  <c r="K111" i="35"/>
  <c r="E122" i="35"/>
  <c r="E121" i="35"/>
  <c r="E120" i="35"/>
  <c r="E119" i="35"/>
  <c r="E118" i="35"/>
  <c r="E117" i="35"/>
  <c r="E116" i="35"/>
  <c r="E115" i="35"/>
  <c r="E114" i="35"/>
  <c r="E113" i="35"/>
  <c r="E112" i="35"/>
  <c r="E111" i="35"/>
  <c r="K109" i="35"/>
  <c r="K108" i="35"/>
  <c r="K107" i="35"/>
  <c r="K106" i="35"/>
  <c r="K105" i="35"/>
  <c r="K104" i="35"/>
  <c r="K103" i="35"/>
  <c r="K102" i="35"/>
  <c r="K101" i="35"/>
  <c r="K100" i="35"/>
  <c r="K99" i="35"/>
  <c r="K98" i="35"/>
  <c r="E109" i="35"/>
  <c r="E108" i="35"/>
  <c r="E107" i="35"/>
  <c r="E106" i="35"/>
  <c r="E105" i="35"/>
  <c r="E104" i="35"/>
  <c r="E103" i="35"/>
  <c r="E102" i="35"/>
  <c r="E101" i="35"/>
  <c r="E100" i="35"/>
  <c r="E99" i="35"/>
  <c r="E98" i="35"/>
  <c r="K96" i="35"/>
  <c r="K95" i="35"/>
  <c r="K94" i="35"/>
  <c r="K93" i="35"/>
  <c r="K92" i="35"/>
  <c r="K91" i="35"/>
  <c r="K90" i="35"/>
  <c r="K89" i="35"/>
  <c r="K88" i="35"/>
  <c r="K87" i="35"/>
  <c r="K86" i="35"/>
  <c r="K85" i="35"/>
  <c r="E96" i="35"/>
  <c r="E95" i="35"/>
  <c r="E94" i="35"/>
  <c r="E93" i="35"/>
  <c r="E92" i="35"/>
  <c r="E91" i="35"/>
  <c r="E90" i="35"/>
  <c r="E89" i="35"/>
  <c r="E88" i="35"/>
  <c r="E87" i="35"/>
  <c r="E86" i="35"/>
  <c r="E85" i="35"/>
  <c r="K83" i="35"/>
  <c r="K82" i="35"/>
  <c r="K81" i="35"/>
  <c r="K80" i="35"/>
  <c r="K79" i="35"/>
  <c r="K78" i="35"/>
  <c r="K77" i="35"/>
  <c r="K76" i="35"/>
  <c r="K75" i="35"/>
  <c r="K74" i="35"/>
  <c r="K73" i="35"/>
  <c r="K72" i="35"/>
  <c r="E83" i="35"/>
  <c r="E82" i="35"/>
  <c r="E81" i="35"/>
  <c r="E80" i="35"/>
  <c r="E79" i="35"/>
  <c r="E78" i="35"/>
  <c r="E77" i="35"/>
  <c r="E76" i="35"/>
  <c r="E75" i="35"/>
  <c r="E74" i="35"/>
  <c r="E73" i="35"/>
  <c r="E72" i="35"/>
  <c r="K70" i="35"/>
  <c r="K69" i="35"/>
  <c r="K68" i="35"/>
  <c r="K67" i="35"/>
  <c r="K66" i="35"/>
  <c r="K65" i="35"/>
  <c r="K64" i="35"/>
  <c r="K63" i="35"/>
  <c r="K62" i="35"/>
  <c r="K61" i="35"/>
  <c r="K60" i="35"/>
  <c r="K59" i="35"/>
  <c r="E70" i="35"/>
  <c r="E69" i="35"/>
  <c r="E68" i="35"/>
  <c r="E67" i="35"/>
  <c r="E66" i="35"/>
  <c r="E65" i="35"/>
  <c r="E64" i="35"/>
  <c r="E63" i="35"/>
  <c r="E62" i="35"/>
  <c r="E61" i="35"/>
  <c r="E60" i="35"/>
  <c r="E59" i="35"/>
  <c r="K57" i="35"/>
  <c r="K56" i="35"/>
  <c r="K55" i="35"/>
  <c r="K54" i="35"/>
  <c r="K53" i="35"/>
  <c r="K52" i="35"/>
  <c r="K51" i="35"/>
  <c r="K50" i="35"/>
  <c r="K49" i="35"/>
  <c r="K48" i="35"/>
  <c r="K47" i="35"/>
  <c r="K46" i="35"/>
  <c r="E57" i="35"/>
  <c r="E56" i="35"/>
  <c r="E55" i="35"/>
  <c r="E54" i="35"/>
  <c r="E53" i="35"/>
  <c r="E52" i="35"/>
  <c r="E51" i="35"/>
  <c r="E50" i="35"/>
  <c r="E49" i="35"/>
  <c r="E48" i="35"/>
  <c r="E47" i="35"/>
  <c r="E46" i="35"/>
  <c r="K44" i="35"/>
  <c r="K43" i="35"/>
  <c r="K42" i="35"/>
  <c r="K41" i="35"/>
  <c r="K40" i="35"/>
  <c r="K39" i="35"/>
  <c r="K38" i="35"/>
  <c r="K37" i="35"/>
  <c r="K36" i="35"/>
  <c r="K35" i="35"/>
  <c r="K34" i="35"/>
  <c r="K33" i="35"/>
  <c r="E44" i="35"/>
  <c r="E43" i="35"/>
  <c r="E42" i="35"/>
  <c r="E41" i="35"/>
  <c r="E40" i="35"/>
  <c r="E39" i="35"/>
  <c r="E38" i="35"/>
  <c r="E37" i="35"/>
  <c r="E36" i="35"/>
  <c r="E35" i="35"/>
  <c r="E34" i="35"/>
  <c r="E33" i="35"/>
  <c r="K31" i="35"/>
  <c r="K30" i="35"/>
  <c r="K29" i="35"/>
  <c r="K28" i="35"/>
  <c r="K27" i="35"/>
  <c r="K26" i="35"/>
  <c r="K25" i="35"/>
  <c r="K24" i="35"/>
  <c r="K23" i="35"/>
  <c r="K22" i="35"/>
  <c r="K21" i="35"/>
  <c r="K20" i="35"/>
  <c r="E31" i="35"/>
  <c r="E30" i="35"/>
  <c r="E29" i="35"/>
  <c r="E28" i="35"/>
  <c r="E27" i="35"/>
  <c r="E26" i="35"/>
  <c r="E25" i="35"/>
  <c r="E24" i="35"/>
  <c r="E23" i="35"/>
  <c r="E22" i="35"/>
  <c r="E21" i="35"/>
  <c r="E20" i="35"/>
  <c r="I19" i="35"/>
  <c r="I32" i="35"/>
  <c r="I45" i="35"/>
  <c r="I58" i="35" s="1"/>
  <c r="I71" i="35" s="1"/>
  <c r="I84" i="35" s="1"/>
  <c r="I97" i="35"/>
  <c r="I110" i="35" s="1"/>
  <c r="I123" i="35" s="1"/>
  <c r="I136" i="35" s="1"/>
  <c r="I149" i="35" s="1"/>
  <c r="I162" i="35" s="1"/>
  <c r="I175" i="35" s="1"/>
  <c r="I188" i="35" s="1"/>
  <c r="I201" i="35" s="1"/>
  <c r="I214" i="35" s="1"/>
  <c r="I227" i="35" s="1"/>
  <c r="I240" i="35" s="1"/>
  <c r="I253" i="35" s="1"/>
  <c r="I266" i="35" s="1"/>
  <c r="I279" i="35" s="1"/>
  <c r="I292" i="35" s="1"/>
  <c r="A19" i="35"/>
  <c r="A32" i="35" s="1"/>
  <c r="A45" i="35" s="1"/>
  <c r="A58" i="35" s="1"/>
  <c r="A71" i="35" s="1"/>
  <c r="A84" i="35" s="1"/>
  <c r="A97" i="35" s="1"/>
  <c r="A110" i="35" s="1"/>
  <c r="A123" i="35" s="1"/>
  <c r="A136" i="35" s="1"/>
  <c r="A149" i="35" s="1"/>
  <c r="A162" i="35" s="1"/>
  <c r="A175" i="35" s="1"/>
  <c r="A188" i="35" s="1"/>
  <c r="A201" i="35" s="1"/>
  <c r="A214" i="35" s="1"/>
  <c r="A227" i="35" s="1"/>
  <c r="A240" i="35" s="1"/>
  <c r="A253" i="35" s="1"/>
  <c r="A266" i="35" s="1"/>
  <c r="A279" i="35" s="1"/>
  <c r="A292" i="35" s="1"/>
  <c r="A297" i="35" s="1"/>
  <c r="K18" i="35"/>
  <c r="K17" i="35"/>
  <c r="K16" i="35"/>
  <c r="K15" i="35"/>
  <c r="K14" i="35"/>
  <c r="K13" i="35"/>
  <c r="K12" i="35"/>
  <c r="K11" i="35"/>
  <c r="K10" i="35"/>
  <c r="K9" i="35"/>
  <c r="K8" i="35"/>
  <c r="C12" i="35"/>
  <c r="R172" i="68"/>
  <c r="Q172" i="68"/>
  <c r="Y150" i="68"/>
  <c r="R125" i="68"/>
  <c r="Q125" i="68"/>
  <c r="P125" i="68"/>
  <c r="O125" i="68"/>
  <c r="N125" i="68"/>
  <c r="M125" i="68"/>
  <c r="L125" i="68"/>
  <c r="K125" i="68"/>
  <c r="J125" i="68"/>
  <c r="I125" i="68"/>
  <c r="H125" i="68"/>
  <c r="G125" i="68"/>
  <c r="F125" i="68"/>
  <c r="E125" i="68"/>
  <c r="D125" i="68"/>
  <c r="C125" i="68"/>
  <c r="Q124" i="68"/>
  <c r="P124" i="68"/>
  <c r="O124" i="68"/>
  <c r="N124" i="68"/>
  <c r="M124" i="68"/>
  <c r="L124" i="68"/>
  <c r="K124" i="68"/>
  <c r="J124" i="68"/>
  <c r="I124" i="68"/>
  <c r="H124" i="68"/>
  <c r="G124" i="68"/>
  <c r="F124" i="68"/>
  <c r="E124" i="68"/>
  <c r="D124" i="68"/>
  <c r="C124" i="68"/>
  <c r="A92" i="68"/>
  <c r="R42" i="68"/>
  <c r="R83" i="68" s="1"/>
  <c r="R124" i="68" s="1"/>
  <c r="R36" i="68"/>
  <c r="R171" i="68" s="1"/>
  <c r="N64" i="42"/>
  <c r="I136" i="42"/>
  <c r="I100" i="42"/>
  <c r="I35" i="42"/>
  <c r="D105" i="42"/>
  <c r="D104" i="42"/>
  <c r="D103" i="42"/>
  <c r="D102" i="42"/>
  <c r="K72" i="42"/>
  <c r="L72" i="42"/>
  <c r="L73" i="42" s="1"/>
  <c r="I64" i="42"/>
  <c r="G106" i="42"/>
  <c r="F73" i="42"/>
  <c r="K106" i="42"/>
  <c r="J73" i="42"/>
  <c r="N72" i="42"/>
  <c r="N73" i="42" s="1"/>
  <c r="N74" i="42" s="1"/>
  <c r="D101" i="42"/>
  <c r="C74" i="42"/>
  <c r="C109" i="42" s="1"/>
  <c r="C107" i="42"/>
  <c r="D106" i="42"/>
  <c r="G107" i="42"/>
  <c r="H106" i="42"/>
  <c r="U66" i="42"/>
  <c r="C75" i="42"/>
  <c r="C110" i="42" s="1"/>
  <c r="AD32" i="7"/>
  <c r="AD44" i="7" s="1"/>
  <c r="N5" i="7"/>
  <c r="P5" i="7" s="1"/>
  <c r="R5" i="7" s="1"/>
  <c r="T5" i="7" s="1"/>
  <c r="V5" i="7" s="1"/>
  <c r="X5" i="7" s="1"/>
  <c r="Z5" i="7" s="1"/>
  <c r="AB5" i="7" s="1"/>
  <c r="AD5" i="7" s="1"/>
  <c r="D34" i="7"/>
  <c r="D46" i="7" s="1"/>
  <c r="L34" i="7"/>
  <c r="P34" i="7"/>
  <c r="T34" i="7"/>
  <c r="L53" i="7"/>
  <c r="AW17" i="6"/>
  <c r="BA22" i="6"/>
  <c r="BE20" i="6"/>
  <c r="BI20" i="6"/>
  <c r="AW16" i="6"/>
  <c r="AV34" i="6"/>
  <c r="H38" i="6"/>
  <c r="BE14" i="6"/>
  <c r="Q33" i="6"/>
  <c r="BA17" i="6"/>
  <c r="BE17" i="6"/>
  <c r="AW21" i="6"/>
  <c r="AK35" i="6"/>
  <c r="AO35" i="6"/>
  <c r="X38" i="6"/>
  <c r="AB38" i="6"/>
  <c r="AF38" i="6"/>
  <c r="AN39" i="6"/>
  <c r="AH59" i="10"/>
  <c r="AI59" i="10" s="1"/>
  <c r="AJ59" i="10" s="1"/>
  <c r="AK59" i="10" s="1"/>
  <c r="FO75" i="11"/>
  <c r="Z58" i="9"/>
  <c r="I27" i="4"/>
  <c r="CY35" i="1"/>
  <c r="DA35" i="1" s="1"/>
  <c r="E361" i="35"/>
  <c r="D362" i="35"/>
  <c r="K73" i="42"/>
  <c r="L107" i="42" s="1"/>
  <c r="O106" i="42"/>
  <c r="F74" i="42"/>
  <c r="T46" i="7"/>
  <c r="L46" i="7"/>
  <c r="L52" i="7" s="1"/>
  <c r="E626" i="35"/>
  <c r="F75" i="42"/>
  <c r="D116" i="8"/>
  <c r="E627" i="35"/>
  <c r="C337" i="35"/>
  <c r="C340" i="35" s="1"/>
  <c r="C344" i="35" s="1"/>
  <c r="C347" i="35" s="1"/>
  <c r="C350" i="35" s="1"/>
  <c r="C353" i="35" s="1"/>
  <c r="C357" i="35" s="1"/>
  <c r="C360" i="35" s="1"/>
  <c r="C363" i="35" s="1"/>
  <c r="C366" i="35" s="1"/>
  <c r="C370" i="35" s="1"/>
  <c r="C373" i="35" s="1"/>
  <c r="C376" i="35" s="1"/>
  <c r="C379" i="35" s="1"/>
  <c r="C383" i="35" s="1"/>
  <c r="C386" i="35" s="1"/>
  <c r="C389" i="35" s="1"/>
  <c r="C392" i="35" s="1"/>
  <c r="C396" i="35" s="1"/>
  <c r="C399" i="35" s="1"/>
  <c r="C402" i="35" s="1"/>
  <c r="C405" i="35" s="1"/>
  <c r="C409" i="35" s="1"/>
  <c r="C412" i="35" s="1"/>
  <c r="C415" i="35" s="1"/>
  <c r="C418" i="35" s="1"/>
  <c r="C422" i="35" s="1"/>
  <c r="C425" i="35" s="1"/>
  <c r="C428" i="35" s="1"/>
  <c r="C431" i="35" s="1"/>
  <c r="C435" i="35" s="1"/>
  <c r="C438" i="35" s="1"/>
  <c r="C441" i="35" s="1"/>
  <c r="C444" i="35" s="1"/>
  <c r="C448" i="35" s="1"/>
  <c r="C451" i="35" s="1"/>
  <c r="C454" i="35" s="1"/>
  <c r="C457" i="35" s="1"/>
  <c r="C461" i="35" s="1"/>
  <c r="C464" i="35" s="1"/>
  <c r="C467" i="35" s="1"/>
  <c r="C470" i="35" s="1"/>
  <c r="C474" i="35" s="1"/>
  <c r="C477" i="35" s="1"/>
  <c r="C480" i="35" s="1"/>
  <c r="C483" i="35" s="1"/>
  <c r="C487" i="35" s="1"/>
  <c r="C490" i="35" s="1"/>
  <c r="C493" i="35" s="1"/>
  <c r="C496" i="35" s="1"/>
  <c r="C500" i="35" s="1"/>
  <c r="C503" i="35" s="1"/>
  <c r="C506" i="35" s="1"/>
  <c r="C509" i="35" s="1"/>
  <c r="C513" i="35" s="1"/>
  <c r="C516" i="35" s="1"/>
  <c r="C519" i="35" s="1"/>
  <c r="C522" i="35" s="1"/>
  <c r="C526" i="35" s="1"/>
  <c r="C529" i="35" s="1"/>
  <c r="C532" i="35" s="1"/>
  <c r="C535" i="35" s="1"/>
  <c r="C539" i="35" s="1"/>
  <c r="C542" i="35" s="1"/>
  <c r="C545" i="35" s="1"/>
  <c r="C548" i="35" s="1"/>
  <c r="C552" i="35" s="1"/>
  <c r="C555" i="35" s="1"/>
  <c r="C558" i="35" s="1"/>
  <c r="C561" i="35" s="1"/>
  <c r="C565" i="35" s="1"/>
  <c r="C568" i="35" s="1"/>
  <c r="C571" i="35" s="1"/>
  <c r="C574" i="35" s="1"/>
  <c r="C578" i="35" s="1"/>
  <c r="C581" i="35" s="1"/>
  <c r="C584" i="35" s="1"/>
  <c r="C587" i="35" s="1"/>
  <c r="C591" i="35" s="1"/>
  <c r="C594" i="35" s="1"/>
  <c r="C597" i="35" s="1"/>
  <c r="C600" i="35" s="1"/>
  <c r="C604" i="35" s="1"/>
  <c r="C607" i="35" s="1"/>
  <c r="C610" i="35" s="1"/>
  <c r="C613" i="35" s="1"/>
  <c r="C615" i="35" s="1"/>
  <c r="C616" i="35" s="1"/>
  <c r="C617" i="35" s="1"/>
  <c r="C618" i="35" s="1"/>
  <c r="C620" i="35" s="1"/>
  <c r="C621" i="35" s="1"/>
  <c r="C622" i="35" s="1"/>
  <c r="C623" i="35" s="1"/>
  <c r="C625" i="35" s="1"/>
  <c r="C626" i="35" s="1"/>
  <c r="C627" i="35" s="1"/>
  <c r="C628" i="35" s="1"/>
  <c r="C630" i="35" s="1"/>
  <c r="C631" i="35" s="1"/>
  <c r="C632" i="35" s="1"/>
  <c r="C633" i="35" s="1"/>
  <c r="C635" i="35" s="1"/>
  <c r="C636" i="35" s="1"/>
  <c r="C637" i="35" s="1"/>
  <c r="C638" i="35" s="1"/>
  <c r="C640" i="35" s="1"/>
  <c r="C641" i="35" s="1"/>
  <c r="C642" i="35" s="1"/>
  <c r="C643" i="35" s="1"/>
  <c r="CY25" i="1"/>
  <c r="R170" i="68"/>
  <c r="Q170" i="68"/>
  <c r="FO64" i="11"/>
  <c r="FO72" i="11" s="1"/>
  <c r="AB117" i="8"/>
  <c r="DC104" i="1"/>
  <c r="BH43" i="1"/>
  <c r="BH23" i="1"/>
  <c r="AF33" i="1"/>
  <c r="BK83" i="1"/>
  <c r="CY12" i="1"/>
  <c r="CZ32" i="1" s="1"/>
  <c r="D117" i="8"/>
  <c r="E559" i="35"/>
  <c r="E572" i="35"/>
  <c r="L22" i="1"/>
  <c r="X42" i="1"/>
  <c r="X22" i="1"/>
  <c r="CA5" i="11"/>
  <c r="CB5" i="11" s="1"/>
  <c r="CC5" i="11" s="1"/>
  <c r="BP5" i="11"/>
  <c r="BQ5" i="11" s="1"/>
  <c r="BR5" i="11" s="1"/>
  <c r="BS5" i="11" s="1"/>
  <c r="BB5" i="11"/>
  <c r="BC5" i="11" s="1"/>
  <c r="BD5" i="11" s="1"/>
  <c r="ER62" i="11"/>
  <c r="Q134" i="1"/>
  <c r="FP62" i="11"/>
  <c r="FQ6" i="11"/>
  <c r="ES6" i="11"/>
  <c r="ET6" i="11" s="1"/>
  <c r="CE5" i="11"/>
  <c r="CF5" i="11" s="1"/>
  <c r="CG5" i="11" s="1"/>
  <c r="CH5" i="11" s="1"/>
  <c r="FA72" i="11"/>
  <c r="CY56" i="1"/>
  <c r="CY54" i="1"/>
  <c r="DC56" i="1"/>
  <c r="DC54" i="1"/>
  <c r="AA189" i="3"/>
  <c r="AC189" i="3" s="1"/>
  <c r="E628" i="35"/>
  <c r="AF29" i="7"/>
  <c r="CY13" i="1"/>
  <c r="S190" i="3"/>
  <c r="D119" i="8" s="1"/>
  <c r="D118" i="8"/>
  <c r="S5" i="4"/>
  <c r="T5" i="5"/>
  <c r="CY34" i="1"/>
  <c r="FQ36" i="11"/>
  <c r="T5" i="4"/>
  <c r="A66" i="3"/>
  <c r="J193" i="3"/>
  <c r="W164" i="1"/>
  <c r="X164" i="1" s="1"/>
  <c r="BI134" i="1"/>
  <c r="AO136" i="1"/>
  <c r="J194" i="3"/>
  <c r="K194" i="3" s="1"/>
  <c r="DC10" i="1"/>
  <c r="AH32" i="7"/>
  <c r="AH44" i="7" s="1"/>
  <c r="AE43" i="9"/>
  <c r="AF43" i="9" s="1"/>
  <c r="AG43" i="9" s="1"/>
  <c r="AH43" i="9" s="1"/>
  <c r="AI43" i="9" s="1"/>
  <c r="AJ43" i="9" s="1"/>
  <c r="CY24" i="1"/>
  <c r="CY26" i="1"/>
  <c r="AB41" i="4"/>
  <c r="N36" i="68" s="1"/>
  <c r="N116" i="68" s="1"/>
  <c r="N172" i="68" s="1"/>
  <c r="DA14" i="1"/>
  <c r="FQ74" i="11"/>
  <c r="FQ76" i="11"/>
  <c r="AC32" i="9"/>
  <c r="AC61" i="9"/>
  <c r="AD31" i="10"/>
  <c r="AF35" i="7"/>
  <c r="AF47" i="7" s="1"/>
  <c r="CS34" i="1"/>
  <c r="BQ35" i="1"/>
  <c r="AI6" i="1"/>
  <c r="AK35" i="1"/>
  <c r="BH51" i="1"/>
  <c r="BL81" i="1"/>
  <c r="BA36" i="1"/>
  <c r="BT33" i="1"/>
  <c r="BA35" i="1"/>
  <c r="BG83" i="1"/>
  <c r="BH83" i="1" s="1"/>
  <c r="BY35" i="1"/>
  <c r="AW36" i="1"/>
  <c r="AK36" i="1"/>
  <c r="CO135" i="1"/>
  <c r="AC136" i="1"/>
  <c r="AG136" i="1"/>
  <c r="BI135" i="1"/>
  <c r="AS35" i="1"/>
  <c r="AO35" i="1"/>
  <c r="AF23" i="1"/>
  <c r="AK34" i="1"/>
  <c r="CV200" i="1"/>
  <c r="CU200" i="1" s="1"/>
  <c r="CW199" i="1"/>
  <c r="BA134" i="1"/>
  <c r="L32" i="1"/>
  <c r="X102" i="1"/>
  <c r="BY135" i="1"/>
  <c r="AN13" i="1"/>
  <c r="F11" i="6" s="1"/>
  <c r="F17" i="6" s="1"/>
  <c r="F23" i="6" s="1"/>
  <c r="F29" i="6" s="1"/>
  <c r="F35" i="6" s="1"/>
  <c r="BH10" i="1"/>
  <c r="R8" i="6" s="1"/>
  <c r="R14" i="6" s="1"/>
  <c r="R20" i="6" s="1"/>
  <c r="R26" i="6" s="1"/>
  <c r="R32" i="6" s="1"/>
  <c r="BL50" i="1"/>
  <c r="CO34" i="1"/>
  <c r="CO136" i="1"/>
  <c r="D30" i="1"/>
  <c r="X24" i="1"/>
  <c r="BH21" i="1"/>
  <c r="BH41" i="1"/>
  <c r="BY136" i="1"/>
  <c r="BM136" i="1"/>
  <c r="BU135" i="1"/>
  <c r="AG134" i="1"/>
  <c r="Y135" i="1"/>
  <c r="U135" i="1"/>
  <c r="BM135" i="1"/>
  <c r="BQ135" i="1"/>
  <c r="W184" i="1"/>
  <c r="BI35" i="1"/>
  <c r="CK36" i="1"/>
  <c r="M134" i="1"/>
  <c r="I134" i="1"/>
  <c r="Y136" i="1"/>
  <c r="AK135" i="1"/>
  <c r="BM35" i="1"/>
  <c r="CS35" i="1"/>
  <c r="CW35" i="1"/>
  <c r="CY105" i="1"/>
  <c r="CY104" i="1"/>
  <c r="P31" i="1"/>
  <c r="BH32" i="1"/>
  <c r="CF41" i="1"/>
  <c r="I35" i="1"/>
  <c r="Y34" i="1"/>
  <c r="BE35" i="1"/>
  <c r="I136" i="1"/>
  <c r="AG34" i="1"/>
  <c r="L42" i="1"/>
  <c r="K82" i="1"/>
  <c r="K122" i="1" s="1"/>
  <c r="L102" i="1"/>
  <c r="W82" i="1"/>
  <c r="C80" i="1"/>
  <c r="C120" i="1" s="1"/>
  <c r="C140" i="1" s="1"/>
  <c r="D20" i="1"/>
  <c r="AJ13" i="1"/>
  <c r="BG81" i="1"/>
  <c r="BG91" i="1" s="1"/>
  <c r="BH31" i="1"/>
  <c r="AN23" i="1"/>
  <c r="U134" i="1"/>
  <c r="CC136" i="1"/>
  <c r="AN11" i="1"/>
  <c r="F9" i="6" s="1"/>
  <c r="F15" i="6" s="1"/>
  <c r="F21" i="6" s="1"/>
  <c r="F27" i="6" s="1"/>
  <c r="F33" i="6" s="1"/>
  <c r="BO6" i="1"/>
  <c r="S83" i="1"/>
  <c r="S123" i="1" s="1"/>
  <c r="T123" i="1" s="1"/>
  <c r="AJ22" i="1"/>
  <c r="AR21" i="1"/>
  <c r="AR101" i="1"/>
  <c r="AO134" i="1"/>
  <c r="AK134" i="1"/>
  <c r="CM202" i="1"/>
  <c r="AM16" i="1"/>
  <c r="BL101" i="1"/>
  <c r="BL11" i="1"/>
  <c r="V9" i="6" s="1"/>
  <c r="V15" i="6" s="1"/>
  <c r="V21" i="6" s="1"/>
  <c r="V27" i="6" s="1"/>
  <c r="V33" i="6" s="1"/>
  <c r="BL41" i="1"/>
  <c r="BL31" i="1"/>
  <c r="BL21" i="1"/>
  <c r="BL51" i="1"/>
  <c r="BH52" i="1"/>
  <c r="AW136" i="1"/>
  <c r="AF51" i="1"/>
  <c r="BP33" i="1"/>
  <c r="BP23" i="1"/>
  <c r="BO83" i="1"/>
  <c r="BO93" i="1" s="1"/>
  <c r="BP103" i="1"/>
  <c r="BP53" i="1"/>
  <c r="L51" i="1"/>
  <c r="AJ101" i="1"/>
  <c r="X52" i="1"/>
  <c r="X32" i="1"/>
  <c r="M136" i="1"/>
  <c r="BC82" i="1"/>
  <c r="AF31" i="9"/>
  <c r="AC48" i="9"/>
  <c r="FR76" i="11"/>
  <c r="AM6" i="1"/>
  <c r="AQ6" i="1" s="1"/>
  <c r="BG121" i="1"/>
  <c r="BH131" i="1" s="1"/>
  <c r="C90" i="1"/>
  <c r="BS6" i="1"/>
  <c r="BW6" i="1"/>
  <c r="CA6" i="1" s="1"/>
  <c r="CY210" i="1"/>
  <c r="J195" i="3"/>
  <c r="AB110" i="8"/>
  <c r="V101" i="8"/>
  <c r="AB101" i="8"/>
  <c r="V110" i="8"/>
  <c r="K181" i="3"/>
  <c r="E631" i="35"/>
  <c r="E630" i="35"/>
  <c r="AA193" i="3"/>
  <c r="AB122" i="8" s="1"/>
  <c r="D635" i="35"/>
  <c r="AA200" i="3" s="1"/>
  <c r="AA194" i="3"/>
  <c r="AB123" i="8" s="1"/>
  <c r="D123" i="8"/>
  <c r="L123" i="8" s="1"/>
  <c r="D521" i="35"/>
  <c r="E534" i="35" s="1"/>
  <c r="D490" i="35"/>
  <c r="E490" i="35" s="1"/>
  <c r="E608" i="35"/>
  <c r="J19" i="3"/>
  <c r="C15" i="35"/>
  <c r="E501" i="35"/>
  <c r="D502" i="35"/>
  <c r="D512" i="35"/>
  <c r="E525" i="35" s="1"/>
  <c r="E514" i="35"/>
  <c r="E530" i="35"/>
  <c r="D491" i="35"/>
  <c r="D492" i="35" s="1"/>
  <c r="E492" i="35" s="1"/>
  <c r="D515" i="35"/>
  <c r="E527" i="35"/>
  <c r="E598" i="35"/>
  <c r="E362" i="35"/>
  <c r="D363" i="35"/>
  <c r="E363" i="35" s="1"/>
  <c r="E507" i="35"/>
  <c r="C18" i="35"/>
  <c r="E528" i="35"/>
  <c r="D364" i="35"/>
  <c r="D365" i="35" s="1"/>
  <c r="E365" i="35" s="1"/>
  <c r="C22" i="35"/>
  <c r="C25" i="35" s="1"/>
  <c r="C28" i="35" s="1"/>
  <c r="C31" i="35" s="1"/>
  <c r="C35" i="35" s="1"/>
  <c r="C38" i="35" s="1"/>
  <c r="C41" i="35" s="1"/>
  <c r="C44" i="35" s="1"/>
  <c r="C48" i="35" s="1"/>
  <c r="C51" i="35" s="1"/>
  <c r="BX10" i="6"/>
  <c r="E632" i="35"/>
  <c r="B21" i="3"/>
  <c r="B25" i="3" s="1"/>
  <c r="J20" i="3"/>
  <c r="C26" i="3"/>
  <c r="C27" i="3" s="1"/>
  <c r="C28" i="3" s="1"/>
  <c r="C32" i="3" s="1"/>
  <c r="C33" i="3" s="1"/>
  <c r="C34" i="3" s="1"/>
  <c r="A59" i="3"/>
  <c r="AA195" i="3"/>
  <c r="AB124" i="8" s="1"/>
  <c r="AC16" i="4"/>
  <c r="FR63" i="11" s="1"/>
  <c r="FR71" i="11" s="1"/>
  <c r="J196" i="3"/>
  <c r="DC25" i="1"/>
  <c r="J21" i="3"/>
  <c r="DC135" i="1"/>
  <c r="DC12" i="1"/>
  <c r="DH12" i="1" s="1"/>
  <c r="D202" i="3" s="1"/>
  <c r="B53" i="5"/>
  <c r="B54" i="5" s="1"/>
  <c r="AF45" i="7"/>
  <c r="AF51" i="7"/>
  <c r="DE32" i="1"/>
  <c r="AA196" i="3"/>
  <c r="AB125" i="8" s="1"/>
  <c r="AC29" i="4"/>
  <c r="AC26" i="4" s="1"/>
  <c r="E633" i="35"/>
  <c r="AF57" i="7"/>
  <c r="DC13" i="1"/>
  <c r="D125" i="8"/>
  <c r="S197" i="3"/>
  <c r="D126" i="8"/>
  <c r="DE14" i="1"/>
  <c r="AC41" i="4" s="1"/>
  <c r="B49" i="4"/>
  <c r="B50" i="4" s="1"/>
  <c r="DC36" i="1"/>
  <c r="J200" i="3"/>
  <c r="V129" i="8" s="1"/>
  <c r="E313" i="35"/>
  <c r="DI202" i="1"/>
  <c r="FS40" i="11" s="1"/>
  <c r="AR23" i="1"/>
  <c r="AS23" i="1" s="1"/>
  <c r="AV52" i="1"/>
  <c r="L52" i="1"/>
  <c r="BH103" i="1"/>
  <c r="BH33" i="1"/>
  <c r="BH53" i="1"/>
  <c r="BL100" i="1"/>
  <c r="BL40" i="1"/>
  <c r="L23" i="1"/>
  <c r="BK123" i="1"/>
  <c r="H40" i="1"/>
  <c r="H20" i="1"/>
  <c r="AB101" i="1"/>
  <c r="AU83" i="1"/>
  <c r="AV43" i="1"/>
  <c r="AZ50" i="1"/>
  <c r="AZ21" i="1"/>
  <c r="AZ41" i="1"/>
  <c r="AZ12" i="1"/>
  <c r="AZ53" i="1"/>
  <c r="BK16" i="1"/>
  <c r="BL56" i="1" s="1"/>
  <c r="BL53" i="1"/>
  <c r="BL23" i="1"/>
  <c r="BM23" i="1" s="1"/>
  <c r="BL103" i="1"/>
  <c r="BL13" i="1"/>
  <c r="V11" i="6" s="1"/>
  <c r="V17" i="6" s="1"/>
  <c r="V23" i="6" s="1"/>
  <c r="V29" i="6" s="1"/>
  <c r="V35" i="6" s="1"/>
  <c r="BL43" i="1"/>
  <c r="BP13" i="1"/>
  <c r="Z11" i="6" s="1"/>
  <c r="Z17" i="6" s="1"/>
  <c r="Z23" i="6" s="1"/>
  <c r="Z29" i="6" s="1"/>
  <c r="Z35" i="6" s="1"/>
  <c r="BL33" i="1"/>
  <c r="BP10" i="1"/>
  <c r="Z8" i="6" s="1"/>
  <c r="Z14" i="6" s="1"/>
  <c r="Z20" i="6" s="1"/>
  <c r="Z26" i="6" s="1"/>
  <c r="Z32" i="6" s="1"/>
  <c r="BP41" i="1"/>
  <c r="BP51" i="1"/>
  <c r="BP21" i="1"/>
  <c r="BQ21" i="1" s="1"/>
  <c r="BP31" i="1"/>
  <c r="BP101" i="1"/>
  <c r="BO81" i="1"/>
  <c r="BO91" i="1" s="1"/>
  <c r="BP11" i="1"/>
  <c r="Z9" i="6" s="1"/>
  <c r="Z15" i="6" s="1"/>
  <c r="Z21" i="6" s="1"/>
  <c r="Z27" i="6" s="1"/>
  <c r="Z33" i="6" s="1"/>
  <c r="BX33" i="1"/>
  <c r="CB20" i="1"/>
  <c r="CB101" i="1"/>
  <c r="CB102" i="1"/>
  <c r="CA83" i="1"/>
  <c r="CN44" i="1"/>
  <c r="X41" i="1"/>
  <c r="X33" i="1"/>
  <c r="C15" i="1"/>
  <c r="BW81" i="1"/>
  <c r="BW91" i="1" s="1"/>
  <c r="BO121" i="1"/>
  <c r="BO141" i="1" s="1"/>
  <c r="BP81" i="1"/>
  <c r="BQ23" i="1"/>
  <c r="D314" i="35"/>
  <c r="E314" i="35" s="1"/>
  <c r="FB65" i="11"/>
  <c r="EW72" i="11"/>
  <c r="AH29" i="7"/>
  <c r="AD58" i="9"/>
  <c r="AD60" i="9" s="1"/>
  <c r="AD63" i="9" s="1"/>
  <c r="Z23" i="7"/>
  <c r="AB61" i="9"/>
  <c r="AA58" i="9"/>
  <c r="AA60" i="9" s="1"/>
  <c r="AA63" i="9" s="1"/>
  <c r="AA37" i="9"/>
  <c r="BF6" i="11"/>
  <c r="BF5" i="11" s="1"/>
  <c r="BG5" i="11" s="1"/>
  <c r="BH5" i="11" s="1"/>
  <c r="BI5" i="11" s="1"/>
  <c r="BK5" i="11"/>
  <c r="BL5" i="11" s="1"/>
  <c r="DT62" i="11"/>
  <c r="DS62" i="11" s="1"/>
  <c r="DQ62" i="11" s="1"/>
  <c r="DP62" i="11" s="1"/>
  <c r="DO62" i="11" s="1"/>
  <c r="CZ13" i="1"/>
  <c r="D189" i="3" s="1"/>
  <c r="H189" i="3" s="1"/>
  <c r="CZ23" i="1"/>
  <c r="DC26" i="1"/>
  <c r="H54" i="8"/>
  <c r="H48" i="8"/>
  <c r="H42" i="8"/>
  <c r="H38" i="8"/>
  <c r="H32" i="8"/>
  <c r="H26" i="8"/>
  <c r="H20" i="8"/>
  <c r="H53" i="8"/>
  <c r="H47" i="8"/>
  <c r="H41" i="8"/>
  <c r="H35" i="8"/>
  <c r="H31" i="8"/>
  <c r="H25" i="8"/>
  <c r="H19" i="8"/>
  <c r="H56" i="8"/>
  <c r="H52" i="8"/>
  <c r="H46" i="8"/>
  <c r="H40" i="8"/>
  <c r="H34" i="8"/>
  <c r="H28" i="8"/>
  <c r="H24" i="8"/>
  <c r="H18" i="8"/>
  <c r="H55" i="8"/>
  <c r="H49" i="8"/>
  <c r="H45" i="8"/>
  <c r="H39" i="8"/>
  <c r="H33" i="8"/>
  <c r="H27" i="8"/>
  <c r="H21" i="8"/>
  <c r="H17" i="8"/>
  <c r="I34" i="6"/>
  <c r="Q34" i="6"/>
  <c r="AG34" i="6"/>
  <c r="BI17" i="6"/>
  <c r="BH35" i="6"/>
  <c r="BM22" i="6"/>
  <c r="BI15" i="6"/>
  <c r="H41" i="6"/>
  <c r="H40" i="6"/>
  <c r="BI22" i="6"/>
  <c r="BM21" i="6"/>
  <c r="FR36" i="11"/>
  <c r="E635" i="35"/>
  <c r="FR74" i="11"/>
  <c r="DC134" i="1"/>
  <c r="DC24" i="1"/>
  <c r="DC136" i="1"/>
  <c r="DC210" i="1"/>
  <c r="AD80" i="9"/>
  <c r="EE64" i="11" s="1"/>
  <c r="AD32" i="9"/>
  <c r="H126" i="8"/>
  <c r="AD61" i="9"/>
  <c r="AE31" i="10"/>
  <c r="AE33" i="10" s="1"/>
  <c r="BM11" i="6"/>
  <c r="BX11" i="6"/>
  <c r="AH35" i="7"/>
  <c r="AH47" i="7" s="1"/>
  <c r="FR64" i="11"/>
  <c r="FR72" i="11" s="1"/>
  <c r="DC154" i="1"/>
  <c r="CU143" i="1"/>
  <c r="CU173" i="1" s="1"/>
  <c r="AB81" i="1" l="1"/>
  <c r="BH81" i="1"/>
  <c r="BM81" i="1"/>
  <c r="AG31" i="9"/>
  <c r="C32" i="86"/>
  <c r="BQ81" i="1"/>
  <c r="H45" i="7"/>
  <c r="H51" i="7" s="1"/>
  <c r="X45" i="7"/>
  <c r="X51" i="7" s="1"/>
  <c r="X57" i="7"/>
  <c r="AF5" i="6"/>
  <c r="AJ5" i="6" s="1"/>
  <c r="AN5" i="6" s="1"/>
  <c r="AR5" i="6" s="1"/>
  <c r="AV5" i="6" s="1"/>
  <c r="AZ5" i="6" s="1"/>
  <c r="BD5" i="6" s="1"/>
  <c r="BH5" i="6" s="1"/>
  <c r="BL5" i="6" s="1"/>
  <c r="BT5" i="6" s="1"/>
  <c r="H138" i="8" s="1"/>
  <c r="H59" i="8"/>
  <c r="J59" i="8" s="1"/>
  <c r="H81" i="8"/>
  <c r="H76" i="8"/>
  <c r="H123" i="8"/>
  <c r="AD123" i="8" s="1"/>
  <c r="J47" i="7"/>
  <c r="J53" i="7" s="1"/>
  <c r="J59" i="7"/>
  <c r="P45" i="7"/>
  <c r="P51" i="7" s="1"/>
  <c r="AH46" i="7"/>
  <c r="AH58" i="7" s="1"/>
  <c r="E508" i="35"/>
  <c r="CE6" i="1"/>
  <c r="G74" i="42"/>
  <c r="G109" i="42" s="1"/>
  <c r="AX11" i="11"/>
  <c r="CJ50" i="1"/>
  <c r="CR51" i="1"/>
  <c r="BP12" i="1"/>
  <c r="Z10" i="6" s="1"/>
  <c r="Z16" i="6" s="1"/>
  <c r="Z22" i="6" s="1"/>
  <c r="Z28" i="6" s="1"/>
  <c r="Z34" i="6" s="1"/>
  <c r="BO14" i="1"/>
  <c r="H10" i="1"/>
  <c r="H30" i="1"/>
  <c r="CN50" i="1"/>
  <c r="BK15" i="1"/>
  <c r="BL25" i="1" s="1"/>
  <c r="BX42" i="1"/>
  <c r="BP83" i="1"/>
  <c r="AH52" i="7"/>
  <c r="E520" i="35"/>
  <c r="E503" i="35"/>
  <c r="E515" i="35"/>
  <c r="DD101" i="1"/>
  <c r="CR23" i="1"/>
  <c r="BH102" i="1"/>
  <c r="Y134" i="1"/>
  <c r="BA135" i="1"/>
  <c r="AC34" i="1"/>
  <c r="BL30" i="1"/>
  <c r="CG135" i="1"/>
  <c r="AD50" i="10"/>
  <c r="D495" i="35"/>
  <c r="V66" i="42"/>
  <c r="L57" i="7"/>
  <c r="E609" i="35"/>
  <c r="AC182" i="3"/>
  <c r="W84" i="1"/>
  <c r="BM36" i="1"/>
  <c r="BQ136" i="1"/>
  <c r="CS135" i="1"/>
  <c r="M27" i="4"/>
  <c r="R27" i="4"/>
  <c r="V27" i="4"/>
  <c r="AB30" i="4"/>
  <c r="AB50" i="10"/>
  <c r="BE22" i="6"/>
  <c r="AN38" i="6"/>
  <c r="C6" i="42"/>
  <c r="C25" i="42" s="1"/>
  <c r="C101" i="42"/>
  <c r="DO32" i="1"/>
  <c r="DP32" i="1"/>
  <c r="DK34" i="1"/>
  <c r="DK36" i="1"/>
  <c r="DD23" i="1"/>
  <c r="DI23" i="1" s="1"/>
  <c r="DO23" i="1" s="1"/>
  <c r="CN102" i="1"/>
  <c r="BL32" i="1"/>
  <c r="H50" i="1"/>
  <c r="G80" i="1"/>
  <c r="H80" i="1" s="1"/>
  <c r="BL20" i="1"/>
  <c r="E491" i="35"/>
  <c r="AC188" i="3"/>
  <c r="AE195" i="3" s="1"/>
  <c r="BG82" i="1"/>
  <c r="BG92" i="1" s="1"/>
  <c r="BG16" i="1"/>
  <c r="AS36" i="1"/>
  <c r="CF100" i="1"/>
  <c r="M35" i="1"/>
  <c r="BH42" i="1"/>
  <c r="U36" i="1"/>
  <c r="FF6" i="11"/>
  <c r="FF62" i="11" s="1"/>
  <c r="D600" i="35"/>
  <c r="U6" i="42"/>
  <c r="U25" i="42" s="1"/>
  <c r="M106" i="42"/>
  <c r="AJ39" i="6"/>
  <c r="AR34" i="6"/>
  <c r="T57" i="7"/>
  <c r="D57" i="7"/>
  <c r="J106" i="42"/>
  <c r="P56" i="42"/>
  <c r="K107" i="42"/>
  <c r="E551" i="35"/>
  <c r="AC35" i="1"/>
  <c r="BU35" i="1"/>
  <c r="BM134" i="1"/>
  <c r="BA136" i="1"/>
  <c r="L27" i="4"/>
  <c r="DP31" i="1"/>
  <c r="DO31" i="1"/>
  <c r="CY134" i="1"/>
  <c r="BL26" i="1"/>
  <c r="D105" i="1"/>
  <c r="BP42" i="1"/>
  <c r="BK82" i="1"/>
  <c r="BL82" i="1" s="1"/>
  <c r="BO123" i="1"/>
  <c r="BO143" i="1" s="1"/>
  <c r="BP143" i="1" s="1"/>
  <c r="DE36" i="1"/>
  <c r="DD21" i="1"/>
  <c r="AD33" i="10"/>
  <c r="AV5" i="11"/>
  <c r="AW5" i="11" s="1"/>
  <c r="AX5" i="11" s="1"/>
  <c r="AY5" i="11" s="1"/>
  <c r="A121" i="42"/>
  <c r="E504" i="35"/>
  <c r="E577" i="35"/>
  <c r="E590" i="35"/>
  <c r="Y36" i="1"/>
  <c r="CK35" i="1"/>
  <c r="CC36" i="1"/>
  <c r="AO135" i="1"/>
  <c r="CQ206" i="1"/>
  <c r="M41" i="4"/>
  <c r="M9" i="5" s="1"/>
  <c r="AV35" i="6"/>
  <c r="AV41" i="6" s="1"/>
  <c r="AZ33" i="6"/>
  <c r="AW33" i="6"/>
  <c r="AJ41" i="6"/>
  <c r="F6" i="42"/>
  <c r="F25" i="42" s="1"/>
  <c r="S54" i="42"/>
  <c r="T104" i="42"/>
  <c r="DO30" i="1"/>
  <c r="DP30" i="1"/>
  <c r="K92" i="1"/>
  <c r="BK120" i="1"/>
  <c r="L82" i="1"/>
  <c r="BL80" i="1"/>
  <c r="P55" i="8"/>
  <c r="K60" i="9"/>
  <c r="O60" i="9"/>
  <c r="O63" i="9" s="1"/>
  <c r="S60" i="9"/>
  <c r="S63" i="9" s="1"/>
  <c r="AF58" i="9"/>
  <c r="Y60" i="9"/>
  <c r="E60" i="9"/>
  <c r="AB37" i="9"/>
  <c r="AB39" i="9" s="1"/>
  <c r="AB62" i="9" s="1"/>
  <c r="N50" i="9"/>
  <c r="V50" i="9"/>
  <c r="H60" i="9"/>
  <c r="H63" i="9" s="1"/>
  <c r="L60" i="9"/>
  <c r="L63" i="9" s="1"/>
  <c r="J119" i="8"/>
  <c r="Q39" i="9"/>
  <c r="Q50" i="9" s="1"/>
  <c r="Q60" i="9"/>
  <c r="Q63" i="9" s="1"/>
  <c r="AD37" i="9"/>
  <c r="AD39" i="9" s="1"/>
  <c r="J126" i="8"/>
  <c r="Y37" i="9"/>
  <c r="Y39" i="9" s="1"/>
  <c r="Y50" i="9" s="1"/>
  <c r="Z60" i="9"/>
  <c r="Z63" i="9" s="1"/>
  <c r="Z61" i="9"/>
  <c r="N62" i="9"/>
  <c r="AC37" i="9"/>
  <c r="AC39" i="9" s="1"/>
  <c r="AC50" i="9" s="1"/>
  <c r="AA61" i="9"/>
  <c r="Q62" i="9"/>
  <c r="S50" i="9"/>
  <c r="W39" i="9"/>
  <c r="W62" i="9" s="1"/>
  <c r="K50" i="9"/>
  <c r="AC60" i="9"/>
  <c r="AC63" i="9" s="1"/>
  <c r="H39" i="9"/>
  <c r="H62" i="9" s="1"/>
  <c r="L39" i="9"/>
  <c r="L62" i="9" s="1"/>
  <c r="P39" i="9"/>
  <c r="P50" i="9" s="1"/>
  <c r="I39" i="9"/>
  <c r="I50" i="9" s="1"/>
  <c r="M39" i="9"/>
  <c r="M50" i="9" s="1"/>
  <c r="X39" i="9"/>
  <c r="X50" i="9" s="1"/>
  <c r="F39" i="9"/>
  <c r="F50" i="9" s="1"/>
  <c r="R39" i="9"/>
  <c r="R62" i="9" s="1"/>
  <c r="BL123" i="1"/>
  <c r="BL133" i="1"/>
  <c r="BK143" i="1"/>
  <c r="BG122" i="1"/>
  <c r="BH82" i="1"/>
  <c r="AN26" i="1"/>
  <c r="AN56" i="1"/>
  <c r="CF80" i="1"/>
  <c r="CE120" i="1"/>
  <c r="CE140" i="1" s="1"/>
  <c r="BT40" i="1"/>
  <c r="BT50" i="1"/>
  <c r="BT100" i="1"/>
  <c r="BT30" i="1"/>
  <c r="BS80" i="1"/>
  <c r="BT32" i="1"/>
  <c r="BT42" i="1"/>
  <c r="BT52" i="1"/>
  <c r="BS82" i="1"/>
  <c r="BT102" i="1"/>
  <c r="BX10" i="1"/>
  <c r="BX20" i="1"/>
  <c r="BY20" i="1" s="1"/>
  <c r="BX100" i="1"/>
  <c r="BX50" i="1"/>
  <c r="BX30" i="1"/>
  <c r="BX40" i="1"/>
  <c r="BX52" i="1"/>
  <c r="BX32" i="1"/>
  <c r="BX12" i="1"/>
  <c r="AH10" i="6" s="1"/>
  <c r="AH16" i="6" s="1"/>
  <c r="AH22" i="6" s="1"/>
  <c r="AH28" i="6" s="1"/>
  <c r="AH34" i="6" s="1"/>
  <c r="BX102" i="1"/>
  <c r="BX22" i="1"/>
  <c r="BY22" i="1" s="1"/>
  <c r="CB10" i="1"/>
  <c r="CB30" i="1"/>
  <c r="CB40" i="1"/>
  <c r="CA80" i="1"/>
  <c r="CG80" i="1" s="1"/>
  <c r="CB50" i="1"/>
  <c r="CB22" i="1"/>
  <c r="CC22" i="1" s="1"/>
  <c r="CB42" i="1"/>
  <c r="CB32" i="1"/>
  <c r="CA82" i="1"/>
  <c r="CB82" i="1" s="1"/>
  <c r="CB12" i="1"/>
  <c r="AL10" i="6" s="1"/>
  <c r="AL16" i="6" s="1"/>
  <c r="AL22" i="6" s="1"/>
  <c r="AL28" i="6" s="1"/>
  <c r="AL34" i="6" s="1"/>
  <c r="CF40" i="1"/>
  <c r="CF30" i="1"/>
  <c r="CF20" i="1"/>
  <c r="CG20" i="1" s="1"/>
  <c r="CF50" i="1"/>
  <c r="CF10" i="1"/>
  <c r="AP8" i="6" s="1"/>
  <c r="AP14" i="6" s="1"/>
  <c r="AP20" i="6" s="1"/>
  <c r="AP26" i="6" s="1"/>
  <c r="AP32" i="6" s="1"/>
  <c r="CF102" i="1"/>
  <c r="CF22" i="1"/>
  <c r="CE82" i="1"/>
  <c r="CF32" i="1"/>
  <c r="CF52" i="1"/>
  <c r="CF12" i="1"/>
  <c r="AP10" i="6" s="1"/>
  <c r="AP16" i="6" s="1"/>
  <c r="AP22" i="6" s="1"/>
  <c r="AP28" i="6" s="1"/>
  <c r="AP34" i="6" s="1"/>
  <c r="CJ30" i="1"/>
  <c r="CJ10" i="1"/>
  <c r="AT8" i="6" s="1"/>
  <c r="AT14" i="6" s="1"/>
  <c r="AT20" i="6" s="1"/>
  <c r="AT26" i="6" s="1"/>
  <c r="AT32" i="6" s="1"/>
  <c r="CJ20" i="1"/>
  <c r="CJ40" i="1"/>
  <c r="CJ100" i="1"/>
  <c r="CJ22" i="1"/>
  <c r="CK22" i="1" s="1"/>
  <c r="CJ42" i="1"/>
  <c r="CJ12" i="1"/>
  <c r="AT10" i="6" s="1"/>
  <c r="AT16" i="6" s="1"/>
  <c r="AT22" i="6" s="1"/>
  <c r="AT28" i="6" s="1"/>
  <c r="AT34" i="6" s="1"/>
  <c r="CI82" i="1"/>
  <c r="CI122" i="1" s="1"/>
  <c r="CI142" i="1" s="1"/>
  <c r="CJ102" i="1"/>
  <c r="CJ52" i="1"/>
  <c r="CN20" i="1"/>
  <c r="CM80" i="1"/>
  <c r="CM120" i="1" s="1"/>
  <c r="CN100" i="1"/>
  <c r="CN40" i="1"/>
  <c r="CN10" i="1"/>
  <c r="AX8" i="6" s="1"/>
  <c r="AX14" i="6" s="1"/>
  <c r="AX20" i="6" s="1"/>
  <c r="AX26" i="6" s="1"/>
  <c r="AX32" i="6" s="1"/>
  <c r="CM82" i="1"/>
  <c r="CM122" i="1" s="1"/>
  <c r="CN12" i="1"/>
  <c r="AX10" i="6" s="1"/>
  <c r="AX16" i="6" s="1"/>
  <c r="AX22" i="6" s="1"/>
  <c r="AX28" i="6" s="1"/>
  <c r="AX34" i="6" s="1"/>
  <c r="CN42" i="1"/>
  <c r="CN22" i="1"/>
  <c r="CN32" i="1"/>
  <c r="CM84" i="1"/>
  <c r="CN84" i="1" s="1"/>
  <c r="CN104" i="1"/>
  <c r="CN54" i="1"/>
  <c r="CN34" i="1"/>
  <c r="CR101" i="1"/>
  <c r="CR31" i="1"/>
  <c r="CR41" i="1"/>
  <c r="CR21" i="1"/>
  <c r="CR53" i="1"/>
  <c r="CV13" i="1"/>
  <c r="BF11" i="6" s="1"/>
  <c r="BF17" i="6" s="1"/>
  <c r="BF23" i="6" s="1"/>
  <c r="BF29" i="6" s="1"/>
  <c r="BF35" i="6" s="1"/>
  <c r="CQ83" i="1"/>
  <c r="CQ93" i="1" s="1"/>
  <c r="CR43" i="1"/>
  <c r="CR103" i="1"/>
  <c r="CV100" i="1"/>
  <c r="CV20" i="1"/>
  <c r="CV50" i="1"/>
  <c r="L31" i="1"/>
  <c r="K81" i="1"/>
  <c r="L21" i="1"/>
  <c r="L101" i="1"/>
  <c r="X51" i="1"/>
  <c r="W81" i="1"/>
  <c r="X11" i="1"/>
  <c r="X21" i="1"/>
  <c r="X31" i="1"/>
  <c r="C83" i="1"/>
  <c r="C16" i="1"/>
  <c r="E16" i="1" s="1"/>
  <c r="D103" i="1"/>
  <c r="D33" i="1"/>
  <c r="CK80" i="1"/>
  <c r="CI120" i="1"/>
  <c r="H43" i="1"/>
  <c r="H33" i="1"/>
  <c r="P33" i="1"/>
  <c r="P43" i="1"/>
  <c r="P53" i="1"/>
  <c r="T101" i="1"/>
  <c r="T31" i="1"/>
  <c r="T43" i="1"/>
  <c r="T103" i="1"/>
  <c r="AB43" i="1"/>
  <c r="AB23" i="1"/>
  <c r="AB53" i="1"/>
  <c r="AE81" i="1"/>
  <c r="AG81" i="1" s="1"/>
  <c r="AF101" i="1"/>
  <c r="AF31" i="1"/>
  <c r="AF41" i="1"/>
  <c r="AF11" i="1"/>
  <c r="D61" i="3" s="1"/>
  <c r="AF21" i="1"/>
  <c r="AF103" i="1"/>
  <c r="AF53" i="1"/>
  <c r="AE83" i="1"/>
  <c r="AE123" i="1" s="1"/>
  <c r="AF133" i="1" s="1"/>
  <c r="AF43" i="1"/>
  <c r="AJ31" i="1"/>
  <c r="AI81" i="1"/>
  <c r="AI91" i="1" s="1"/>
  <c r="AJ41" i="1"/>
  <c r="AJ21" i="1"/>
  <c r="AJ51" i="1"/>
  <c r="AJ11" i="1"/>
  <c r="AJ103" i="1"/>
  <c r="AJ23" i="1"/>
  <c r="AO23" i="1" s="1"/>
  <c r="AJ53" i="1"/>
  <c r="AJ43" i="1"/>
  <c r="AJ33" i="1"/>
  <c r="AI83" i="1"/>
  <c r="AI93" i="1" s="1"/>
  <c r="AN101" i="1"/>
  <c r="AN41" i="1"/>
  <c r="AN51" i="1"/>
  <c r="AN21" i="1"/>
  <c r="AO21" i="1" s="1"/>
  <c r="AM81" i="1"/>
  <c r="AN31" i="1"/>
  <c r="AN33" i="1"/>
  <c r="AN103" i="1"/>
  <c r="AN53" i="1"/>
  <c r="AM83" i="1"/>
  <c r="AN43" i="1"/>
  <c r="AR31" i="1"/>
  <c r="AQ81" i="1"/>
  <c r="AR51" i="1"/>
  <c r="AR11" i="1"/>
  <c r="J9" i="6" s="1"/>
  <c r="J15" i="6" s="1"/>
  <c r="J21" i="6" s="1"/>
  <c r="J27" i="6" s="1"/>
  <c r="J33" i="6" s="1"/>
  <c r="AR41" i="1"/>
  <c r="AR53" i="1"/>
  <c r="AR33" i="1"/>
  <c r="AQ83" i="1"/>
  <c r="AW83" i="1" s="1"/>
  <c r="AR43" i="1"/>
  <c r="AR13" i="1"/>
  <c r="J11" i="6" s="1"/>
  <c r="J17" i="6" s="1"/>
  <c r="J23" i="6" s="1"/>
  <c r="J29" i="6" s="1"/>
  <c r="J35" i="6" s="1"/>
  <c r="AR103" i="1"/>
  <c r="AV51" i="1"/>
  <c r="AV11" i="1"/>
  <c r="AV13" i="1"/>
  <c r="AV23" i="1"/>
  <c r="AV103" i="1"/>
  <c r="AV53" i="1"/>
  <c r="AV33" i="1"/>
  <c r="AZ101" i="1"/>
  <c r="AZ31" i="1"/>
  <c r="AY81" i="1"/>
  <c r="AZ11" i="1"/>
  <c r="AZ51" i="1"/>
  <c r="AZ43" i="1"/>
  <c r="AZ23" i="1"/>
  <c r="AZ33" i="1"/>
  <c r="AZ103" i="1"/>
  <c r="AZ13" i="1"/>
  <c r="AY83" i="1"/>
  <c r="AZ83" i="1" s="1"/>
  <c r="BD51" i="1"/>
  <c r="BD11" i="1"/>
  <c r="N9" i="6" s="1"/>
  <c r="N15" i="6" s="1"/>
  <c r="N21" i="6" s="1"/>
  <c r="N27" i="6" s="1"/>
  <c r="N33" i="6" s="1"/>
  <c r="CJ80" i="1"/>
  <c r="CZ33" i="1"/>
  <c r="CZ53" i="1"/>
  <c r="CZ43" i="1"/>
  <c r="CZ103" i="1"/>
  <c r="CY83" i="1"/>
  <c r="CY93" i="1" s="1"/>
  <c r="BL83" i="1"/>
  <c r="BK93" i="1"/>
  <c r="BQ83" i="1"/>
  <c r="AU123" i="1"/>
  <c r="AU126" i="1" s="1"/>
  <c r="AU93" i="1"/>
  <c r="AV83" i="1"/>
  <c r="AE16" i="1"/>
  <c r="AI16" i="1"/>
  <c r="AK16" i="1" s="1"/>
  <c r="CQ14" i="1"/>
  <c r="CR14" i="1" s="1"/>
  <c r="BX81" i="1"/>
  <c r="BW121" i="1"/>
  <c r="BS92" i="1"/>
  <c r="BT82" i="1"/>
  <c r="CA92" i="1"/>
  <c r="CC82" i="1"/>
  <c r="CA122" i="1"/>
  <c r="CB122" i="1" s="1"/>
  <c r="I20" i="1"/>
  <c r="AN20" i="1"/>
  <c r="BG123" i="1"/>
  <c r="BM123" i="1" s="1"/>
  <c r="BG93" i="1"/>
  <c r="BM83" i="1"/>
  <c r="D25" i="1"/>
  <c r="D35" i="1"/>
  <c r="C85" i="1"/>
  <c r="C95" i="1" s="1"/>
  <c r="CN82" i="1"/>
  <c r="CA93" i="1"/>
  <c r="CA123" i="1"/>
  <c r="CA120" i="1"/>
  <c r="CC80" i="1"/>
  <c r="CA90" i="1"/>
  <c r="CB80" i="1"/>
  <c r="K142" i="1"/>
  <c r="L122" i="1"/>
  <c r="L132" i="1"/>
  <c r="AC22" i="1"/>
  <c r="AJ106" i="1"/>
  <c r="AM80" i="1"/>
  <c r="AN30" i="1"/>
  <c r="AN32" i="1"/>
  <c r="AN42" i="1"/>
  <c r="AR30" i="1"/>
  <c r="AR50" i="1"/>
  <c r="AR52" i="1"/>
  <c r="AQ16" i="1"/>
  <c r="AR46" i="1" s="1"/>
  <c r="AV30" i="1"/>
  <c r="AV20" i="1"/>
  <c r="AV40" i="1"/>
  <c r="AV50" i="1"/>
  <c r="AU80" i="1"/>
  <c r="AV32" i="1"/>
  <c r="AV42" i="1"/>
  <c r="AV22" i="1"/>
  <c r="AU16" i="1"/>
  <c r="AU82" i="1"/>
  <c r="AU122" i="1" s="1"/>
  <c r="AZ100" i="1"/>
  <c r="AY14" i="1"/>
  <c r="AZ104" i="1" s="1"/>
  <c r="AY15" i="1"/>
  <c r="AZ20" i="1"/>
  <c r="BA20" i="1" s="1"/>
  <c r="AZ30" i="1"/>
  <c r="AZ10" i="1"/>
  <c r="AZ15" i="1" s="1"/>
  <c r="AY80" i="1"/>
  <c r="AY16" i="1"/>
  <c r="AZ106" i="1" s="1"/>
  <c r="AZ52" i="1"/>
  <c r="AZ22" i="1"/>
  <c r="BA22" i="1" s="1"/>
  <c r="AZ32" i="1"/>
  <c r="AY82" i="1"/>
  <c r="BD50" i="1"/>
  <c r="BC80" i="1"/>
  <c r="BD10" i="1"/>
  <c r="BD20" i="1"/>
  <c r="BE20" i="1" s="1"/>
  <c r="BD40" i="1"/>
  <c r="BD100" i="1"/>
  <c r="BD22" i="1"/>
  <c r="BD52" i="1"/>
  <c r="BD102" i="1"/>
  <c r="BH12" i="1"/>
  <c r="R10" i="6" s="1"/>
  <c r="R16" i="6" s="1"/>
  <c r="R22" i="6" s="1"/>
  <c r="R28" i="6" s="1"/>
  <c r="R34" i="6" s="1"/>
  <c r="BD42" i="1"/>
  <c r="BD32" i="1"/>
  <c r="BD12" i="1"/>
  <c r="N10" i="6" s="1"/>
  <c r="N16" i="6" s="1"/>
  <c r="N22" i="6" s="1"/>
  <c r="N28" i="6" s="1"/>
  <c r="N34" i="6" s="1"/>
  <c r="BH30" i="1"/>
  <c r="BH100" i="1"/>
  <c r="BG80" i="1"/>
  <c r="BH50" i="1"/>
  <c r="BH20" i="1"/>
  <c r="BI20" i="1" s="1"/>
  <c r="BG15" i="1"/>
  <c r="BL10" i="1"/>
  <c r="V8" i="6" s="1"/>
  <c r="V14" i="6" s="1"/>
  <c r="V20" i="6" s="1"/>
  <c r="V26" i="6" s="1"/>
  <c r="V32" i="6" s="1"/>
  <c r="BH40" i="1"/>
  <c r="BG14" i="1"/>
  <c r="BH44" i="1" s="1"/>
  <c r="BI15" i="1"/>
  <c r="BS81" i="1"/>
  <c r="BT41" i="1"/>
  <c r="BS15" i="1"/>
  <c r="BT45" i="1" s="1"/>
  <c r="BT21" i="1"/>
  <c r="BU21" i="1" s="1"/>
  <c r="BS14" i="1"/>
  <c r="BT11" i="1"/>
  <c r="AD9" i="6" s="1"/>
  <c r="AD15" i="6" s="1"/>
  <c r="AD21" i="6" s="1"/>
  <c r="AD27" i="6" s="1"/>
  <c r="AD33" i="6" s="1"/>
  <c r="BT101" i="1"/>
  <c r="BT31" i="1"/>
  <c r="BT103" i="1"/>
  <c r="BT53" i="1"/>
  <c r="BT13" i="1"/>
  <c r="AD11" i="6" s="1"/>
  <c r="AD17" i="6" s="1"/>
  <c r="AD23" i="6" s="1"/>
  <c r="AD29" i="6" s="1"/>
  <c r="AD35" i="6" s="1"/>
  <c r="BT23" i="1"/>
  <c r="BU23" i="1" s="1"/>
  <c r="BS16" i="1"/>
  <c r="BS83" i="1"/>
  <c r="BX21" i="1"/>
  <c r="BY21" i="1" s="1"/>
  <c r="BX31" i="1"/>
  <c r="BX11" i="1"/>
  <c r="AH9" i="6" s="1"/>
  <c r="AH15" i="6" s="1"/>
  <c r="AH21" i="6" s="1"/>
  <c r="AH27" i="6" s="1"/>
  <c r="AH33" i="6" s="1"/>
  <c r="BX51" i="1"/>
  <c r="BX41" i="1"/>
  <c r="BX101" i="1"/>
  <c r="BX23" i="1"/>
  <c r="BW16" i="1"/>
  <c r="BW86" i="1" s="1"/>
  <c r="BX43" i="1"/>
  <c r="BX103" i="1"/>
  <c r="BW83" i="1"/>
  <c r="BX13" i="1"/>
  <c r="AH11" i="6" s="1"/>
  <c r="AH17" i="6" s="1"/>
  <c r="AH23" i="6" s="1"/>
  <c r="AH29" i="6" s="1"/>
  <c r="AH35" i="6" s="1"/>
  <c r="BX53" i="1"/>
  <c r="CB41" i="1"/>
  <c r="CB11" i="1"/>
  <c r="AL9" i="6" s="1"/>
  <c r="AL15" i="6" s="1"/>
  <c r="AL21" i="6" s="1"/>
  <c r="AL27" i="6" s="1"/>
  <c r="AL33" i="6" s="1"/>
  <c r="CA15" i="1"/>
  <c r="CA85" i="1" s="1"/>
  <c r="CB85" i="1" s="1"/>
  <c r="CA81" i="1"/>
  <c r="CB81" i="1" s="1"/>
  <c r="CB51" i="1"/>
  <c r="CA14" i="1"/>
  <c r="CB21" i="1"/>
  <c r="CB31" i="1"/>
  <c r="CA16" i="1"/>
  <c r="CB106" i="1" s="1"/>
  <c r="CB13" i="1"/>
  <c r="AL11" i="6" s="1"/>
  <c r="AL17" i="6" s="1"/>
  <c r="AL23" i="6" s="1"/>
  <c r="AL29" i="6" s="1"/>
  <c r="AL35" i="6" s="1"/>
  <c r="CB53" i="1"/>
  <c r="CB23" i="1"/>
  <c r="CC23" i="1" s="1"/>
  <c r="CB33" i="1"/>
  <c r="CB43" i="1"/>
  <c r="CF101" i="1"/>
  <c r="CE15" i="1"/>
  <c r="CF45" i="1" s="1"/>
  <c r="CF53" i="1"/>
  <c r="CF23" i="1"/>
  <c r="CF103" i="1"/>
  <c r="CJ11" i="1"/>
  <c r="AT9" i="6" s="1"/>
  <c r="AT15" i="6" s="1"/>
  <c r="AT21" i="6" s="1"/>
  <c r="AT27" i="6" s="1"/>
  <c r="AT33" i="6" s="1"/>
  <c r="CJ103" i="1"/>
  <c r="CJ33" i="1"/>
  <c r="CN41" i="1"/>
  <c r="CN11" i="1"/>
  <c r="AX9" i="6" s="1"/>
  <c r="AX15" i="6" s="1"/>
  <c r="AX21" i="6" s="1"/>
  <c r="AX27" i="6" s="1"/>
  <c r="AX33" i="6" s="1"/>
  <c r="CM81" i="1"/>
  <c r="CM121" i="1" s="1"/>
  <c r="CM141" i="1" s="1"/>
  <c r="CM171" i="1" s="1"/>
  <c r="CM16" i="1"/>
  <c r="CN36" i="1" s="1"/>
  <c r="CN103" i="1"/>
  <c r="L53" i="1"/>
  <c r="K16" i="1"/>
  <c r="L106" i="1" s="1"/>
  <c r="L13" i="1"/>
  <c r="L33" i="1"/>
  <c r="K83" i="1"/>
  <c r="L103" i="1"/>
  <c r="L43" i="1"/>
  <c r="X43" i="1"/>
  <c r="W83" i="1"/>
  <c r="W123" i="1" s="1"/>
  <c r="X103" i="1"/>
  <c r="X23" i="1"/>
  <c r="AC23" i="1" s="1"/>
  <c r="X53" i="1"/>
  <c r="D31" i="1"/>
  <c r="D101" i="1"/>
  <c r="D21" i="1"/>
  <c r="C81" i="1"/>
  <c r="C91" i="1" s="1"/>
  <c r="E15" i="1"/>
  <c r="BC122" i="1"/>
  <c r="BD122" i="1" s="1"/>
  <c r="BC92" i="1"/>
  <c r="BH56" i="1"/>
  <c r="BH26" i="1"/>
  <c r="BM26" i="1" s="1"/>
  <c r="BW120" i="1"/>
  <c r="BX80" i="1"/>
  <c r="CB83" i="1"/>
  <c r="AK23" i="1"/>
  <c r="W16" i="1"/>
  <c r="BW14" i="1"/>
  <c r="AZ42" i="1"/>
  <c r="AU14" i="1"/>
  <c r="AV104" i="1" s="1"/>
  <c r="BS122" i="1"/>
  <c r="BS142" i="1" s="1"/>
  <c r="BT142" i="1" s="1"/>
  <c r="BX82" i="1"/>
  <c r="BW122" i="1"/>
  <c r="BY82" i="1"/>
  <c r="BH36" i="1"/>
  <c r="AV100" i="1"/>
  <c r="BT51" i="1"/>
  <c r="BW15" i="1"/>
  <c r="BY15" i="1" s="1"/>
  <c r="AB13" i="1"/>
  <c r="BI16" i="1"/>
  <c r="BM22" i="1"/>
  <c r="BU16" i="1"/>
  <c r="BH25" i="1"/>
  <c r="BS84" i="1"/>
  <c r="BT84" i="1" s="1"/>
  <c r="AA90" i="1"/>
  <c r="AB80" i="1"/>
  <c r="AA120" i="1"/>
  <c r="AF56" i="1"/>
  <c r="AF106" i="1"/>
  <c r="AF46" i="1"/>
  <c r="AF36" i="1"/>
  <c r="AB42" i="1"/>
  <c r="AB32" i="1"/>
  <c r="AA16" i="1"/>
  <c r="AB52" i="1"/>
  <c r="AB12" i="1"/>
  <c r="AA82" i="1"/>
  <c r="BP131" i="1"/>
  <c r="BP121" i="1"/>
  <c r="BM21" i="1"/>
  <c r="CB36" i="1"/>
  <c r="CB26" i="1"/>
  <c r="CB46" i="1"/>
  <c r="CC16" i="1"/>
  <c r="AL8" i="6"/>
  <c r="AL14" i="6" s="1"/>
  <c r="AL20" i="6" s="1"/>
  <c r="AL26" i="6" s="1"/>
  <c r="AL32" i="6" s="1"/>
  <c r="BX56" i="1"/>
  <c r="BT14" i="1"/>
  <c r="BP54" i="1"/>
  <c r="AZ36" i="1"/>
  <c r="AZ46" i="1"/>
  <c r="AZ26" i="1"/>
  <c r="AZ56" i="1"/>
  <c r="AZ24" i="1"/>
  <c r="BT132" i="1"/>
  <c r="DD22" i="1"/>
  <c r="DI22" i="1" s="1"/>
  <c r="DC16" i="1"/>
  <c r="DE16" i="1" s="1"/>
  <c r="H32" i="1"/>
  <c r="H22" i="1"/>
  <c r="H42" i="1"/>
  <c r="G82" i="1"/>
  <c r="G92" i="1" s="1"/>
  <c r="H52" i="1"/>
  <c r="H102" i="1"/>
  <c r="BO161" i="1"/>
  <c r="BP141" i="1"/>
  <c r="AV122" i="1"/>
  <c r="AU142" i="1"/>
  <c r="AV132" i="1"/>
  <c r="X81" i="1"/>
  <c r="W121" i="1"/>
  <c r="AC121" i="1" s="1"/>
  <c r="W91" i="1"/>
  <c r="BM15" i="1"/>
  <c r="BK85" i="1"/>
  <c r="BL85" i="1" s="1"/>
  <c r="P100" i="1"/>
  <c r="P20" i="1"/>
  <c r="O15" i="1"/>
  <c r="P55" i="1" s="1"/>
  <c r="P50" i="1"/>
  <c r="P40" i="1"/>
  <c r="P12" i="1"/>
  <c r="P42" i="1"/>
  <c r="O82" i="1"/>
  <c r="O92" i="1" s="1"/>
  <c r="P32" i="1"/>
  <c r="P52" i="1"/>
  <c r="P102" i="1"/>
  <c r="P22" i="1"/>
  <c r="Q22" i="1" s="1"/>
  <c r="T30" i="1"/>
  <c r="T20" i="1"/>
  <c r="U20" i="1" s="1"/>
  <c r="T10" i="1"/>
  <c r="D39" i="3" s="1"/>
  <c r="T40" i="1"/>
  <c r="S80" i="1"/>
  <c r="T100" i="1"/>
  <c r="T50" i="1"/>
  <c r="T42" i="1"/>
  <c r="T102" i="1"/>
  <c r="S82" i="1"/>
  <c r="T52" i="1"/>
  <c r="T22" i="1"/>
  <c r="T32" i="1"/>
  <c r="X12" i="1"/>
  <c r="AB20" i="1"/>
  <c r="AB40" i="1"/>
  <c r="AB30" i="1"/>
  <c r="AB50" i="1"/>
  <c r="AB100" i="1"/>
  <c r="AF30" i="1"/>
  <c r="AF20" i="1"/>
  <c r="AE80" i="1"/>
  <c r="AF80" i="1" s="1"/>
  <c r="AE14" i="1"/>
  <c r="AF54" i="1" s="1"/>
  <c r="AE15" i="1"/>
  <c r="AF45" i="1" s="1"/>
  <c r="AF100" i="1"/>
  <c r="AF50" i="1"/>
  <c r="AF40" i="1"/>
  <c r="AF32" i="1"/>
  <c r="AF52" i="1"/>
  <c r="AF22" i="1"/>
  <c r="AG22" i="1" s="1"/>
  <c r="AE82" i="1"/>
  <c r="AE92" i="1" s="1"/>
  <c r="AF102" i="1"/>
  <c r="AF12" i="1"/>
  <c r="D62" i="3" s="1"/>
  <c r="AF42" i="1"/>
  <c r="AI15" i="1"/>
  <c r="AK15" i="1" s="1"/>
  <c r="AJ10" i="1"/>
  <c r="AJ50" i="1"/>
  <c r="AJ20" i="1"/>
  <c r="AJ40" i="1"/>
  <c r="AI80" i="1"/>
  <c r="AO80" i="1" s="1"/>
  <c r="AJ100" i="1"/>
  <c r="AA9" i="5"/>
  <c r="FP55" i="11" s="1"/>
  <c r="DP10" i="1"/>
  <c r="BO171" i="1"/>
  <c r="AB102" i="1"/>
  <c r="AF10" i="1"/>
  <c r="D60" i="3" s="1"/>
  <c r="I80" i="1"/>
  <c r="G90" i="1"/>
  <c r="G120" i="1"/>
  <c r="H120" i="1" s="1"/>
  <c r="T12" i="1"/>
  <c r="L12" i="1"/>
  <c r="AV82" i="1"/>
  <c r="BA82" i="1"/>
  <c r="AU92" i="1"/>
  <c r="AR83" i="1"/>
  <c r="O80" i="1"/>
  <c r="AV101" i="1"/>
  <c r="AU15" i="1"/>
  <c r="AV35" i="1" s="1"/>
  <c r="AV21" i="1"/>
  <c r="BA21" i="1" s="1"/>
  <c r="AU81" i="1"/>
  <c r="AV31" i="1"/>
  <c r="AV41" i="1"/>
  <c r="BD31" i="1"/>
  <c r="BD21" i="1"/>
  <c r="BE21" i="1" s="1"/>
  <c r="BH11" i="1"/>
  <c r="R9" i="6" s="1"/>
  <c r="R15" i="6" s="1"/>
  <c r="R21" i="6" s="1"/>
  <c r="R27" i="6" s="1"/>
  <c r="R33" i="6" s="1"/>
  <c r="BD101" i="1"/>
  <c r="BC15" i="1"/>
  <c r="BC81" i="1"/>
  <c r="BD41" i="1"/>
  <c r="BD43" i="1"/>
  <c r="BD33" i="1"/>
  <c r="BC83" i="1"/>
  <c r="BD83" i="1" s="1"/>
  <c r="AN81" i="1"/>
  <c r="AM121" i="1"/>
  <c r="AN121" i="1" s="1"/>
  <c r="BK121" i="1"/>
  <c r="BK91" i="1"/>
  <c r="AJ81" i="1"/>
  <c r="W122" i="1"/>
  <c r="W92" i="1"/>
  <c r="X82" i="1"/>
  <c r="CC15" i="1"/>
  <c r="P10" i="1"/>
  <c r="L20" i="1"/>
  <c r="Q20" i="1" s="1"/>
  <c r="L100" i="1"/>
  <c r="X100" i="1"/>
  <c r="X10" i="1"/>
  <c r="D46" i="3" s="1"/>
  <c r="X20" i="1"/>
  <c r="Y20" i="1" s="1"/>
  <c r="D102" i="1"/>
  <c r="D32" i="1"/>
  <c r="AF26" i="1"/>
  <c r="AV26" i="1"/>
  <c r="CA86" i="1"/>
  <c r="CB86" i="1" s="1"/>
  <c r="AA14" i="1"/>
  <c r="AK22" i="1"/>
  <c r="CJ13" i="1"/>
  <c r="AT11" i="6" s="1"/>
  <c r="AT17" i="6" s="1"/>
  <c r="AT23" i="6" s="1"/>
  <c r="AT29" i="6" s="1"/>
  <c r="AT35" i="6" s="1"/>
  <c r="BL35" i="1"/>
  <c r="AW21" i="1"/>
  <c r="BH15" i="1"/>
  <c r="AG16" i="1"/>
  <c r="AJ12" i="1"/>
  <c r="D69" i="3" s="1"/>
  <c r="BA16" i="1"/>
  <c r="BE15" i="1"/>
  <c r="BH46" i="1"/>
  <c r="BP44" i="1"/>
  <c r="BX46" i="1"/>
  <c r="AZ45" i="1"/>
  <c r="AJ55" i="1"/>
  <c r="BK95" i="1"/>
  <c r="BX54" i="1"/>
  <c r="AY86" i="1"/>
  <c r="AY96" i="1" s="1"/>
  <c r="BW84" i="1"/>
  <c r="BC85" i="1"/>
  <c r="BC95" i="1" s="1"/>
  <c r="BG86" i="1"/>
  <c r="BH86" i="1" s="1"/>
  <c r="AZ105" i="1"/>
  <c r="BH106" i="1"/>
  <c r="BP104" i="1"/>
  <c r="BD105" i="1"/>
  <c r="EV72" i="11"/>
  <c r="FH65" i="11"/>
  <c r="ES65" i="11"/>
  <c r="EZ65" i="11"/>
  <c r="CY6" i="11"/>
  <c r="DD6" i="11" s="1"/>
  <c r="CT5" i="11"/>
  <c r="CU5" i="11" s="1"/>
  <c r="CJ5" i="11"/>
  <c r="CK5" i="11" s="1"/>
  <c r="CL5" i="11" s="1"/>
  <c r="CM5" i="11" s="1"/>
  <c r="ES62" i="11"/>
  <c r="FF65" i="11"/>
  <c r="FJ65" i="11"/>
  <c r="ET65" i="11"/>
  <c r="FC65" i="11"/>
  <c r="EX65" i="11"/>
  <c r="FE65" i="11"/>
  <c r="EU65" i="11"/>
  <c r="FI65" i="11"/>
  <c r="EY65" i="11"/>
  <c r="AC195" i="3"/>
  <c r="L116" i="8"/>
  <c r="L109" i="8"/>
  <c r="DC15" i="1"/>
  <c r="L181" i="3"/>
  <c r="M36" i="68"/>
  <c r="AC181" i="3"/>
  <c r="AE188" i="3" s="1"/>
  <c r="DD41" i="1"/>
  <c r="L122" i="8"/>
  <c r="DD43" i="1"/>
  <c r="CQ91" i="1"/>
  <c r="K179" i="3"/>
  <c r="AC179" i="3"/>
  <c r="O36" i="68"/>
  <c r="O171" i="68" s="1"/>
  <c r="O169" i="68" s="1"/>
  <c r="AC9" i="5"/>
  <c r="FR55" i="11" s="1"/>
  <c r="BY11" i="6"/>
  <c r="DD32" i="1"/>
  <c r="M116" i="68"/>
  <c r="M172" i="68" s="1"/>
  <c r="DE23" i="1"/>
  <c r="DD52" i="1"/>
  <c r="DC82" i="1"/>
  <c r="DC92" i="1" s="1"/>
  <c r="DD53" i="1"/>
  <c r="BY9" i="6"/>
  <c r="CY82" i="1"/>
  <c r="CY122" i="1" s="1"/>
  <c r="CV51" i="1"/>
  <c r="CV21" i="1"/>
  <c r="DC83" i="1"/>
  <c r="DE83" i="1" s="1"/>
  <c r="DD102" i="1"/>
  <c r="DD33" i="1"/>
  <c r="CV31" i="1"/>
  <c r="CV11" i="1"/>
  <c r="BF9" i="6" s="1"/>
  <c r="BF15" i="6" s="1"/>
  <c r="BF21" i="6" s="1"/>
  <c r="BF27" i="6" s="1"/>
  <c r="BF33" i="6" s="1"/>
  <c r="CU14" i="1"/>
  <c r="CV24" i="1" s="1"/>
  <c r="CZ40" i="1"/>
  <c r="CU81" i="1"/>
  <c r="CU121" i="1" s="1"/>
  <c r="L117" i="8"/>
  <c r="L195" i="3"/>
  <c r="CZ100" i="1"/>
  <c r="CV101" i="1"/>
  <c r="CZ30" i="1"/>
  <c r="AP179" i="3"/>
  <c r="AP186" i="3" s="1"/>
  <c r="AP193" i="3" s="1"/>
  <c r="U172" i="3"/>
  <c r="AJ172" i="3" s="1"/>
  <c r="CZ11" i="1"/>
  <c r="BJ9" i="6" s="1"/>
  <c r="BJ15" i="6" s="1"/>
  <c r="BJ21" i="6" s="1"/>
  <c r="BJ27" i="6" s="1"/>
  <c r="BJ33" i="6" s="1"/>
  <c r="CQ82" i="1"/>
  <c r="CQ122" i="1" s="1"/>
  <c r="CR50" i="1"/>
  <c r="U173" i="3"/>
  <c r="AJ173" i="3" s="1"/>
  <c r="CZ50" i="1"/>
  <c r="AB9" i="5"/>
  <c r="FQ55" i="11" s="1"/>
  <c r="K195" i="3"/>
  <c r="DP13" i="1"/>
  <c r="CY14" i="1"/>
  <c r="CY84" i="1" s="1"/>
  <c r="CR12" i="1"/>
  <c r="BB10" i="6" s="1"/>
  <c r="BB16" i="6" s="1"/>
  <c r="BB22" i="6" s="1"/>
  <c r="BB28" i="6" s="1"/>
  <c r="BB34" i="6" s="1"/>
  <c r="DD103" i="1"/>
  <c r="AB118" i="8"/>
  <c r="CY80" i="1"/>
  <c r="CZ80" i="1" s="1"/>
  <c r="DD10" i="1"/>
  <c r="D193" i="3" s="1"/>
  <c r="H193" i="3" s="1"/>
  <c r="L124" i="8"/>
  <c r="CU15" i="1"/>
  <c r="CV35" i="1" s="1"/>
  <c r="CZ12" i="1"/>
  <c r="BJ10" i="6" s="1"/>
  <c r="BJ16" i="6" s="1"/>
  <c r="BJ22" i="6" s="1"/>
  <c r="BJ28" i="6" s="1"/>
  <c r="BJ34" i="6" s="1"/>
  <c r="DD12" i="1"/>
  <c r="BN10" i="6" s="1"/>
  <c r="BN16" i="6" s="1"/>
  <c r="BN22" i="6" s="1"/>
  <c r="BN28" i="6" s="1"/>
  <c r="BN34" i="6" s="1"/>
  <c r="DP11" i="1"/>
  <c r="DD31" i="1"/>
  <c r="EV65" i="11"/>
  <c r="T40" i="6"/>
  <c r="X40" i="6"/>
  <c r="AB40" i="6"/>
  <c r="BL39" i="6"/>
  <c r="BL34" i="6"/>
  <c r="BQ22" i="6"/>
  <c r="BL32" i="6"/>
  <c r="BP38" i="6" s="1"/>
  <c r="BQ20" i="6"/>
  <c r="BL35" i="6"/>
  <c r="BQ35" i="6" s="1"/>
  <c r="L38" i="6"/>
  <c r="AJ38" i="6"/>
  <c r="BL33" i="6"/>
  <c r="BD34" i="6"/>
  <c r="N32" i="8"/>
  <c r="J25" i="8"/>
  <c r="AA26" i="4"/>
  <c r="AB27" i="4" s="1"/>
  <c r="L194" i="3"/>
  <c r="AC196" i="3"/>
  <c r="AE196" i="3" s="1"/>
  <c r="L182" i="3"/>
  <c r="V102" i="8"/>
  <c r="K196" i="3"/>
  <c r="FQ65" i="11"/>
  <c r="AC197" i="3"/>
  <c r="V123" i="8"/>
  <c r="V122" i="8"/>
  <c r="AC32" i="4"/>
  <c r="AC33" i="4" s="1"/>
  <c r="V124" i="8"/>
  <c r="L19" i="3"/>
  <c r="AB111" i="8"/>
  <c r="AC30" i="4"/>
  <c r="V125" i="8"/>
  <c r="V126" i="8" s="1"/>
  <c r="AC27" i="4"/>
  <c r="K182" i="3"/>
  <c r="L174" i="3"/>
  <c r="N181" i="3" s="1"/>
  <c r="K174" i="3"/>
  <c r="AC173" i="3"/>
  <c r="K200" i="3"/>
  <c r="L196" i="3"/>
  <c r="AC200" i="3"/>
  <c r="K173" i="3"/>
  <c r="AC174" i="3"/>
  <c r="AE189" i="3"/>
  <c r="AG189" i="3" s="1"/>
  <c r="AA30" i="4"/>
  <c r="K175" i="3"/>
  <c r="FP65" i="11"/>
  <c r="L125" i="8"/>
  <c r="L111" i="8"/>
  <c r="N26" i="8"/>
  <c r="DA134" i="1"/>
  <c r="CW135" i="1"/>
  <c r="CK136" i="1"/>
  <c r="CS134" i="1"/>
  <c r="CY124" i="1"/>
  <c r="CZ124" i="1" s="1"/>
  <c r="CV133" i="1"/>
  <c r="DA83" i="1"/>
  <c r="CU93" i="1"/>
  <c r="CV83" i="1"/>
  <c r="CZ83" i="1"/>
  <c r="CU163" i="1"/>
  <c r="CV143" i="1"/>
  <c r="CW36" i="1"/>
  <c r="CU146" i="1"/>
  <c r="DA23" i="1"/>
  <c r="DP23" i="1" s="1"/>
  <c r="CY123" i="1"/>
  <c r="CZ123" i="1" s="1"/>
  <c r="CV132" i="1"/>
  <c r="CQ121" i="1"/>
  <c r="CQ141" i="1" s="1"/>
  <c r="CQ161" i="1" s="1"/>
  <c r="CO20" i="1"/>
  <c r="CK20" i="1"/>
  <c r="AP194" i="3"/>
  <c r="U194" i="3" s="1"/>
  <c r="AJ194" i="3" s="1"/>
  <c r="U187" i="3"/>
  <c r="AJ187" i="3" s="1"/>
  <c r="U180" i="3"/>
  <c r="AJ180" i="3" s="1"/>
  <c r="L108" i="8"/>
  <c r="CV42" i="1"/>
  <c r="CV102" i="1"/>
  <c r="CU172" i="1"/>
  <c r="CU176" i="1" s="1"/>
  <c r="CU126" i="1"/>
  <c r="CZ10" i="1"/>
  <c r="BY10" i="6"/>
  <c r="BY8" i="6"/>
  <c r="CU16" i="1"/>
  <c r="CV32" i="1"/>
  <c r="CV22" i="1"/>
  <c r="CU80" i="1"/>
  <c r="CV30" i="1"/>
  <c r="CU92" i="1"/>
  <c r="CV82" i="1"/>
  <c r="CV52" i="1"/>
  <c r="L118" i="8"/>
  <c r="L110" i="8"/>
  <c r="L115" i="8"/>
  <c r="DA20" i="1"/>
  <c r="BI35" i="6"/>
  <c r="BL41" i="6"/>
  <c r="BH41" i="6"/>
  <c r="AV39" i="6"/>
  <c r="AW35" i="6"/>
  <c r="N33" i="8"/>
  <c r="J26" i="8"/>
  <c r="P52" i="8"/>
  <c r="AV40" i="6"/>
  <c r="AG34" i="9"/>
  <c r="AH34" i="9" s="1"/>
  <c r="AI34" i="9" s="1"/>
  <c r="AJ34" i="9" s="1"/>
  <c r="Z29" i="7"/>
  <c r="AA39" i="9"/>
  <c r="AA62" i="9" s="1"/>
  <c r="CZ201" i="1"/>
  <c r="J24" i="8"/>
  <c r="J32" i="8"/>
  <c r="DG36" i="1"/>
  <c r="DG34" i="1"/>
  <c r="J20" i="8"/>
  <c r="P24" i="8"/>
  <c r="DG35" i="1"/>
  <c r="DM35" i="1" s="1"/>
  <c r="N47" i="8"/>
  <c r="J41" i="8"/>
  <c r="N40" i="8"/>
  <c r="J47" i="8"/>
  <c r="P40" i="8"/>
  <c r="P47" i="8"/>
  <c r="J34" i="8"/>
  <c r="J48" i="8"/>
  <c r="P33" i="8"/>
  <c r="P32" i="8"/>
  <c r="P26" i="8"/>
  <c r="N39" i="8"/>
  <c r="D130" i="8"/>
  <c r="J31" i="8"/>
  <c r="N41" i="8"/>
  <c r="L21" i="3"/>
  <c r="D636" i="35"/>
  <c r="AB129" i="8"/>
  <c r="J201" i="3"/>
  <c r="V130" i="8" s="1"/>
  <c r="D315" i="35"/>
  <c r="L20" i="3"/>
  <c r="N48" i="8"/>
  <c r="N55" i="8"/>
  <c r="P41" i="8"/>
  <c r="J52" i="8"/>
  <c r="P34" i="8"/>
  <c r="P48" i="8"/>
  <c r="P45" i="8"/>
  <c r="N46" i="8"/>
  <c r="N24" i="8"/>
  <c r="N54" i="8"/>
  <c r="J39" i="8"/>
  <c r="P59" i="8"/>
  <c r="D129" i="8"/>
  <c r="DG10" i="1"/>
  <c r="AE143" i="1"/>
  <c r="AF143" i="1" s="1"/>
  <c r="AM90" i="1"/>
  <c r="AV42" i="11" s="1"/>
  <c r="AM120" i="1"/>
  <c r="AN80" i="1"/>
  <c r="D56" i="7"/>
  <c r="D50" i="7"/>
  <c r="AA141" i="1"/>
  <c r="AB121" i="1"/>
  <c r="AB131" i="1"/>
  <c r="AH31" i="9"/>
  <c r="L74" i="42"/>
  <c r="L75" i="42"/>
  <c r="L110" i="42" s="1"/>
  <c r="ER37" i="11"/>
  <c r="S48" i="3"/>
  <c r="U48" i="3" s="1"/>
  <c r="AJ48" i="3" s="1"/>
  <c r="EQ55" i="11"/>
  <c r="F55" i="3"/>
  <c r="ER55" i="11"/>
  <c r="BD55" i="11"/>
  <c r="F85" i="3"/>
  <c r="BA9" i="11"/>
  <c r="BA14" i="11"/>
  <c r="BC15" i="11"/>
  <c r="BB17" i="11"/>
  <c r="M35" i="5"/>
  <c r="FA17" i="11" s="1"/>
  <c r="BD19" i="11"/>
  <c r="BD22" i="11"/>
  <c r="BB37" i="11"/>
  <c r="BD26" i="11"/>
  <c r="BD14" i="11"/>
  <c r="D82" i="3"/>
  <c r="M42" i="5"/>
  <c r="FA19" i="11" s="1"/>
  <c r="F83" i="3"/>
  <c r="M47" i="5"/>
  <c r="BB9" i="11"/>
  <c r="BC22" i="11"/>
  <c r="BB18" i="11"/>
  <c r="M56" i="5"/>
  <c r="FA26" i="11" s="1"/>
  <c r="F71" i="3"/>
  <c r="D70" i="3"/>
  <c r="S67" i="3"/>
  <c r="U67" i="3" s="1"/>
  <c r="AJ67" i="3" s="1"/>
  <c r="S70" i="3"/>
  <c r="U70" i="3" s="1"/>
  <c r="AJ70" i="3" s="1"/>
  <c r="S62" i="3"/>
  <c r="U62" i="3" s="1"/>
  <c r="AJ62" i="3" s="1"/>
  <c r="D48" i="3"/>
  <c r="S54" i="3"/>
  <c r="U54" i="3" s="1"/>
  <c r="AJ54" i="3" s="1"/>
  <c r="F63" i="3"/>
  <c r="F47" i="3"/>
  <c r="D84" i="3"/>
  <c r="F40" i="3"/>
  <c r="F50" i="3"/>
  <c r="L73" i="5"/>
  <c r="EZ36" i="11" s="1"/>
  <c r="BA11" i="11"/>
  <c r="AY30" i="11"/>
  <c r="BD37" i="11"/>
  <c r="BD36" i="11"/>
  <c r="AY55" i="11"/>
  <c r="L62" i="5"/>
  <c r="EZ30" i="11" s="1"/>
  <c r="BA30" i="11"/>
  <c r="BA26" i="11"/>
  <c r="M73" i="5"/>
  <c r="FA36" i="11" s="1"/>
  <c r="F67" i="3"/>
  <c r="S61" i="3"/>
  <c r="U61" i="3" s="1"/>
  <c r="AJ61" i="3" s="1"/>
  <c r="F62" i="3"/>
  <c r="ES55" i="11"/>
  <c r="S46" i="3"/>
  <c r="U46" i="3" s="1"/>
  <c r="AJ46" i="3" s="1"/>
  <c r="ER38" i="11"/>
  <c r="EQ37" i="11"/>
  <c r="F48" i="3"/>
  <c r="F75" i="3"/>
  <c r="D75" i="3"/>
  <c r="S74" i="3"/>
  <c r="U74" i="3" s="1"/>
  <c r="AJ74" i="3" s="1"/>
  <c r="BB22" i="11"/>
  <c r="BB19" i="11"/>
  <c r="BA19" i="11"/>
  <c r="M24" i="5"/>
  <c r="BB26" i="11"/>
  <c r="S76" i="3"/>
  <c r="U76" i="3" s="1"/>
  <c r="AJ76" i="3" s="1"/>
  <c r="F76" i="3"/>
  <c r="BD11" i="11"/>
  <c r="F81" i="3"/>
  <c r="F84" i="3"/>
  <c r="BD17" i="11"/>
  <c r="BD30" i="11"/>
  <c r="BB55" i="11"/>
  <c r="BA37" i="11"/>
  <c r="BC23" i="11"/>
  <c r="BA15" i="11"/>
  <c r="BD18" i="11"/>
  <c r="BC30" i="11"/>
  <c r="S83" i="3"/>
  <c r="M11" i="5"/>
  <c r="BC36" i="11"/>
  <c r="F69" i="3"/>
  <c r="F70" i="3"/>
  <c r="D67" i="3"/>
  <c r="F64" i="3"/>
  <c r="F60" i="3"/>
  <c r="F49" i="3"/>
  <c r="D55" i="3"/>
  <c r="S57" i="3"/>
  <c r="U57" i="3" s="1"/>
  <c r="S50" i="3"/>
  <c r="U50" i="3" s="1"/>
  <c r="S42" i="3"/>
  <c r="U42" i="3" s="1"/>
  <c r="AJ42" i="3" s="1"/>
  <c r="F46" i="3"/>
  <c r="L35" i="5"/>
  <c r="EZ17" i="11" s="1"/>
  <c r="BC37" i="11"/>
  <c r="BD15" i="11"/>
  <c r="L41" i="4"/>
  <c r="L9" i="5" s="1"/>
  <c r="AY11" i="11"/>
  <c r="AY26" i="11"/>
  <c r="M40" i="5"/>
  <c r="FA18" i="11" s="1"/>
  <c r="BA22" i="11"/>
  <c r="S82" i="3"/>
  <c r="M62" i="5"/>
  <c r="FA30" i="11" s="1"/>
  <c r="BB30" i="11"/>
  <c r="D68" i="3"/>
  <c r="C41" i="4"/>
  <c r="C9" i="5" s="1"/>
  <c r="F56" i="3"/>
  <c r="F53" i="3"/>
  <c r="EQ38" i="11"/>
  <c r="F54" i="3"/>
  <c r="F77" i="3"/>
  <c r="D77" i="3"/>
  <c r="BC11" i="11"/>
  <c r="F74" i="3"/>
  <c r="BA55" i="11"/>
  <c r="BC17" i="11"/>
  <c r="S81" i="3"/>
  <c r="BA36" i="11"/>
  <c r="M50" i="5"/>
  <c r="FA23" i="11" s="1"/>
  <c r="BC18" i="11"/>
  <c r="BC26" i="11"/>
  <c r="BA23" i="11"/>
  <c r="BB14" i="11"/>
  <c r="F82" i="3"/>
  <c r="BC55" i="11"/>
  <c r="BB11" i="11"/>
  <c r="BC14" i="11"/>
  <c r="M37" i="5"/>
  <c r="FA15" i="11" s="1"/>
  <c r="BB36" i="11"/>
  <c r="BC9" i="11"/>
  <c r="BB23" i="11"/>
  <c r="F68" i="3"/>
  <c r="S68" i="3"/>
  <c r="U68" i="3" s="1"/>
  <c r="AJ68" i="3" s="1"/>
  <c r="S55" i="3"/>
  <c r="U55" i="3" s="1"/>
  <c r="AJ55" i="3" s="1"/>
  <c r="S56" i="3"/>
  <c r="U56" i="3" s="1"/>
  <c r="AJ56" i="3" s="1"/>
  <c r="F61" i="3"/>
  <c r="S49" i="3"/>
  <c r="U49" i="3" s="1"/>
  <c r="AJ49" i="3" s="1"/>
  <c r="D47" i="3"/>
  <c r="ES38" i="11"/>
  <c r="S41" i="3"/>
  <c r="U41" i="3" s="1"/>
  <c r="AJ41" i="3" s="1"/>
  <c r="ES37" i="11"/>
  <c r="F57" i="3"/>
  <c r="S75" i="3"/>
  <c r="U75" i="3" s="1"/>
  <c r="AJ75" i="3" s="1"/>
  <c r="AX15" i="11"/>
  <c r="F78" i="3"/>
  <c r="AV14" i="11"/>
  <c r="AW11" i="11"/>
  <c r="AY18" i="11"/>
  <c r="BD9" i="11"/>
  <c r="BA18" i="11"/>
  <c r="S77" i="3"/>
  <c r="U77" i="3" s="1"/>
  <c r="AJ77" i="3" s="1"/>
  <c r="L37" i="5"/>
  <c r="BA17" i="11"/>
  <c r="BB15" i="11"/>
  <c r="S84" i="3"/>
  <c r="BC19" i="11"/>
  <c r="S69" i="3"/>
  <c r="U69" i="3" s="1"/>
  <c r="AJ69" i="3" s="1"/>
  <c r="S63" i="3"/>
  <c r="U63" i="3" s="1"/>
  <c r="AJ63" i="3" s="1"/>
  <c r="S53" i="3"/>
  <c r="U53" i="3" s="1"/>
  <c r="AJ53" i="3" s="1"/>
  <c r="S47" i="3"/>
  <c r="U47" i="3" s="1"/>
  <c r="AJ47" i="3" s="1"/>
  <c r="AA84" i="1"/>
  <c r="AB34" i="1"/>
  <c r="AB24" i="1"/>
  <c r="AC24" i="1" s="1"/>
  <c r="AB14" i="1"/>
  <c r="D57" i="3" s="1"/>
  <c r="AB54" i="1"/>
  <c r="D56" i="3"/>
  <c r="W124" i="1"/>
  <c r="X84" i="1"/>
  <c r="W94" i="1"/>
  <c r="BA26" i="1"/>
  <c r="N47" i="7"/>
  <c r="N53" i="7" s="1"/>
  <c r="R53" i="7"/>
  <c r="DQ65" i="11" s="1"/>
  <c r="R59" i="7"/>
  <c r="P106" i="42"/>
  <c r="I107" i="42"/>
  <c r="AD53" i="10"/>
  <c r="AD35" i="10"/>
  <c r="DG13" i="1"/>
  <c r="D132" i="8"/>
  <c r="DH30" i="1"/>
  <c r="CQ142" i="1"/>
  <c r="CR122" i="1"/>
  <c r="CR132" i="1"/>
  <c r="CU162" i="1"/>
  <c r="CV142" i="1"/>
  <c r="D140" i="1"/>
  <c r="C170" i="1"/>
  <c r="C160" i="1"/>
  <c r="F41" i="3"/>
  <c r="AJ174" i="3"/>
  <c r="CM86" i="1"/>
  <c r="CR54" i="1"/>
  <c r="CQ84" i="1"/>
  <c r="EC66" i="11"/>
  <c r="AB60" i="9"/>
  <c r="AB63" i="9" s="1"/>
  <c r="ED66" i="11"/>
  <c r="H47" i="7"/>
  <c r="H59" i="7" s="1"/>
  <c r="I74" i="42"/>
  <c r="J107" i="42"/>
  <c r="DI6" i="11"/>
  <c r="D131" i="8"/>
  <c r="CQ171" i="1"/>
  <c r="CM161" i="1"/>
  <c r="BP80" i="1"/>
  <c r="BO120" i="1"/>
  <c r="BO90" i="1"/>
  <c r="BQ80" i="1"/>
  <c r="AB44" i="1"/>
  <c r="BW124" i="1"/>
  <c r="BX84" i="1"/>
  <c r="BD85" i="1"/>
  <c r="AB104" i="1"/>
  <c r="X134" i="1"/>
  <c r="FL72" i="11"/>
  <c r="FL65" i="11"/>
  <c r="AZ39" i="6"/>
  <c r="BA33" i="6"/>
  <c r="N57" i="7"/>
  <c r="N51" i="7"/>
  <c r="V68" i="42"/>
  <c r="U103" i="42"/>
  <c r="DE134" i="1"/>
  <c r="BE23" i="6"/>
  <c r="S204" i="3"/>
  <c r="D133" i="8" s="1"/>
  <c r="J45" i="8"/>
  <c r="H130" i="1"/>
  <c r="I120" i="1"/>
  <c r="CZ133" i="1"/>
  <c r="CU141" i="1"/>
  <c r="CW122" i="1"/>
  <c r="N25" i="8"/>
  <c r="T133" i="1"/>
  <c r="N171" i="68"/>
  <c r="N169" i="68" s="1"/>
  <c r="DE133" i="1"/>
  <c r="E63" i="9"/>
  <c r="P46" i="8"/>
  <c r="AK34" i="6"/>
  <c r="U34" i="6"/>
  <c r="H61" i="8"/>
  <c r="H77" i="8"/>
  <c r="H90" i="8"/>
  <c r="P54" i="8"/>
  <c r="H97" i="8"/>
  <c r="J33" i="8"/>
  <c r="H117" i="8"/>
  <c r="BJ11" i="6"/>
  <c r="BJ17" i="6" s="1"/>
  <c r="BJ23" i="6" s="1"/>
  <c r="BJ29" i="6" s="1"/>
  <c r="BJ35" i="6" s="1"/>
  <c r="CZ24" i="1"/>
  <c r="CZ101" i="1"/>
  <c r="CZ21" i="1"/>
  <c r="Y62" i="9"/>
  <c r="X60" i="9"/>
  <c r="X63" i="9" s="1"/>
  <c r="FG65" i="11"/>
  <c r="FA65" i="11"/>
  <c r="FD65" i="11"/>
  <c r="ER65" i="11"/>
  <c r="BW94" i="1"/>
  <c r="DD46" i="1"/>
  <c r="AA91" i="1"/>
  <c r="AW16" i="1"/>
  <c r="N8" i="6"/>
  <c r="N14" i="6" s="1"/>
  <c r="N20" i="6" s="1"/>
  <c r="N26" i="6" s="1"/>
  <c r="N32" i="6" s="1"/>
  <c r="BE82" i="1"/>
  <c r="BL106" i="1"/>
  <c r="BK86" i="1"/>
  <c r="BP34" i="1"/>
  <c r="CQ92" i="1"/>
  <c r="AB130" i="1"/>
  <c r="AA86" i="1"/>
  <c r="AB56" i="1"/>
  <c r="AV24" i="1"/>
  <c r="BM82" i="1"/>
  <c r="BK122" i="1"/>
  <c r="BW93" i="1"/>
  <c r="CB56" i="1"/>
  <c r="X106" i="1"/>
  <c r="C121" i="1"/>
  <c r="C125" i="1" s="1"/>
  <c r="CW83" i="1"/>
  <c r="BL15" i="1"/>
  <c r="D41" i="3"/>
  <c r="BL55" i="1"/>
  <c r="D22" i="1"/>
  <c r="BI22" i="1"/>
  <c r="AN36" i="1"/>
  <c r="CR100" i="1"/>
  <c r="CS81" i="1"/>
  <c r="C14" i="1"/>
  <c r="D104" i="1" s="1"/>
  <c r="X13" i="1"/>
  <c r="X16" i="1" s="1"/>
  <c r="W15" i="1"/>
  <c r="X15" i="1" s="1"/>
  <c r="CQ16" i="1"/>
  <c r="CR32" i="1"/>
  <c r="CR30" i="1"/>
  <c r="CQ80" i="1"/>
  <c r="CN53" i="1"/>
  <c r="CN33" i="1"/>
  <c r="CF11" i="1"/>
  <c r="BP52" i="1"/>
  <c r="BO82" i="1"/>
  <c r="BT10" i="1"/>
  <c r="BP20" i="1"/>
  <c r="BM16" i="1"/>
  <c r="BL102" i="1"/>
  <c r="BA15" i="1"/>
  <c r="AF13" i="1"/>
  <c r="D63" i="3" s="1"/>
  <c r="AB21" i="1"/>
  <c r="AB31" i="1"/>
  <c r="CW23" i="1"/>
  <c r="CJ23" i="1"/>
  <c r="CK23" i="1" s="1"/>
  <c r="CJ51" i="1"/>
  <c r="AR22" i="1"/>
  <c r="AO16" i="1"/>
  <c r="DC81" i="1"/>
  <c r="DD40" i="1"/>
  <c r="DD30" i="1"/>
  <c r="AD14" i="4"/>
  <c r="S60" i="3"/>
  <c r="U60" i="3" s="1"/>
  <c r="AJ60" i="3" s="1"/>
  <c r="E564" i="35"/>
  <c r="W30" i="4"/>
  <c r="E521" i="35"/>
  <c r="E502" i="35"/>
  <c r="AC193" i="3"/>
  <c r="CZ52" i="1"/>
  <c r="K183" i="3"/>
  <c r="L175" i="3"/>
  <c r="AC175" i="3"/>
  <c r="CY15" i="1"/>
  <c r="AP181" i="3"/>
  <c r="D188" i="3"/>
  <c r="H188" i="3" s="1"/>
  <c r="AC187" i="3"/>
  <c r="AC190" i="3"/>
  <c r="AC180" i="3"/>
  <c r="CZ22" i="1"/>
  <c r="CV81" i="1"/>
  <c r="CR20" i="1"/>
  <c r="S40" i="3"/>
  <c r="U40" i="3" s="1"/>
  <c r="AJ40" i="3" s="1"/>
  <c r="CN121" i="1"/>
  <c r="AW37" i="11"/>
  <c r="AV23" i="11"/>
  <c r="L42" i="5"/>
  <c r="EZ19" i="11" s="1"/>
  <c r="AX17" i="11"/>
  <c r="AW23" i="11"/>
  <c r="AX26" i="11"/>
  <c r="AX22" i="11"/>
  <c r="AV26" i="11"/>
  <c r="AV22" i="11"/>
  <c r="L11" i="5"/>
  <c r="AY17" i="11"/>
  <c r="AY22" i="11"/>
  <c r="AW22" i="11"/>
  <c r="AX23" i="11"/>
  <c r="T83" i="1"/>
  <c r="AW15" i="1"/>
  <c r="AN106" i="1"/>
  <c r="T82" i="1"/>
  <c r="BS120" i="1"/>
  <c r="L56" i="1"/>
  <c r="AV37" i="11"/>
  <c r="AY19" i="11"/>
  <c r="AV55" i="11"/>
  <c r="AW14" i="11"/>
  <c r="W60" i="9"/>
  <c r="W63" i="9" s="1"/>
  <c r="CN31" i="1"/>
  <c r="CF33" i="1"/>
  <c r="CE83" i="1"/>
  <c r="BT24" i="1"/>
  <c r="AR20" i="1"/>
  <c r="AS20" i="1" s="1"/>
  <c r="S16" i="1"/>
  <c r="T46" i="1" s="1"/>
  <c r="AN22" i="1"/>
  <c r="AO22" i="1" s="1"/>
  <c r="AN52" i="1"/>
  <c r="AJ102" i="1"/>
  <c r="AJ52" i="1"/>
  <c r="T53" i="1"/>
  <c r="T13" i="1"/>
  <c r="D42" i="3" s="1"/>
  <c r="O14" i="1"/>
  <c r="P13" i="1"/>
  <c r="H23" i="1"/>
  <c r="M23" i="1" s="1"/>
  <c r="G16" i="1"/>
  <c r="BC16" i="1"/>
  <c r="BD36" i="1" s="1"/>
  <c r="BH13" i="1"/>
  <c r="AM15" i="1"/>
  <c r="BU36" i="1"/>
  <c r="CI16" i="1"/>
  <c r="CO35" i="1"/>
  <c r="W80" i="1"/>
  <c r="L40" i="1"/>
  <c r="CN51" i="1"/>
  <c r="CE14" i="1"/>
  <c r="CF104" i="1" s="1"/>
  <c r="CF31" i="1"/>
  <c r="AN10" i="1"/>
  <c r="F8" i="6" s="1"/>
  <c r="F14" i="6" s="1"/>
  <c r="F20" i="6" s="1"/>
  <c r="F26" i="6" s="1"/>
  <c r="F32" i="6" s="1"/>
  <c r="AN50" i="1"/>
  <c r="T41" i="1"/>
  <c r="T11" i="1"/>
  <c r="D40" i="3" s="1"/>
  <c r="P21" i="1"/>
  <c r="Q21" i="1" s="1"/>
  <c r="O81" i="1"/>
  <c r="BO16" i="1"/>
  <c r="BP56" i="1" s="1"/>
  <c r="BE136" i="1"/>
  <c r="U136" i="1"/>
  <c r="CC134" i="1"/>
  <c r="C82" i="1"/>
  <c r="CE16" i="1"/>
  <c r="CK34" i="1"/>
  <c r="AH8" i="6"/>
  <c r="AH14" i="6" s="1"/>
  <c r="AH20" i="6" s="1"/>
  <c r="AH26" i="6" s="1"/>
  <c r="AH32" i="6" s="1"/>
  <c r="CG34" i="1"/>
  <c r="DC35" i="1"/>
  <c r="AV12" i="1"/>
  <c r="AR42" i="1"/>
  <c r="CS36" i="1"/>
  <c r="O122" i="1"/>
  <c r="F60" i="9"/>
  <c r="F63" i="9" s="1"/>
  <c r="AC36" i="1"/>
  <c r="A31" i="3"/>
  <c r="DA34" i="1"/>
  <c r="U5" i="5"/>
  <c r="AQ6" i="11"/>
  <c r="CZ42" i="1"/>
  <c r="P107" i="42"/>
  <c r="G108" i="42"/>
  <c r="D59" i="7"/>
  <c r="AB50" i="7"/>
  <c r="R51" i="7"/>
  <c r="O73" i="42"/>
  <c r="O108" i="42" s="1"/>
  <c r="P38" i="6"/>
  <c r="Q35" i="6"/>
  <c r="M32" i="6"/>
  <c r="V51" i="7"/>
  <c r="T53" i="7"/>
  <c r="H53" i="7"/>
  <c r="L50" i="7"/>
  <c r="P41" i="42"/>
  <c r="P73" i="42"/>
  <c r="K59" i="42"/>
  <c r="N22" i="42"/>
  <c r="D505" i="35"/>
  <c r="E518" i="35" s="1"/>
  <c r="E538" i="35"/>
  <c r="V108" i="8"/>
  <c r="FR39" i="11"/>
  <c r="FF72" i="11"/>
  <c r="BD53" i="1"/>
  <c r="CF51" i="1"/>
  <c r="K80" i="1"/>
  <c r="AO34" i="1"/>
  <c r="AW34" i="1"/>
  <c r="BI34" i="1"/>
  <c r="B17" i="4"/>
  <c r="S27" i="4"/>
  <c r="T39" i="9"/>
  <c r="T50" i="9" s="1"/>
  <c r="O39" i="9"/>
  <c r="AZ35" i="6"/>
  <c r="BD41" i="6" s="1"/>
  <c r="BM20" i="6"/>
  <c r="BI27" i="6"/>
  <c r="P41" i="6"/>
  <c r="AK32" i="6"/>
  <c r="AJ40" i="6"/>
  <c r="AO32" i="6"/>
  <c r="AN41" i="6"/>
  <c r="AW32" i="6"/>
  <c r="F33" i="7"/>
  <c r="F45" i="7" s="1"/>
  <c r="F57" i="7" s="1"/>
  <c r="J33" i="7"/>
  <c r="J45" i="7" s="1"/>
  <c r="J57" i="7" s="1"/>
  <c r="T32" i="7"/>
  <c r="T44" i="7" s="1"/>
  <c r="T56" i="7" s="1"/>
  <c r="P35" i="7"/>
  <c r="J6" i="42"/>
  <c r="J25" i="42" s="1"/>
  <c r="J53" i="42"/>
  <c r="K54" i="42" s="1"/>
  <c r="D57" i="42"/>
  <c r="T103" i="42"/>
  <c r="E73" i="42"/>
  <c r="F107" i="42" s="1"/>
  <c r="AF28" i="7"/>
  <c r="BI23" i="6"/>
  <c r="T60" i="9"/>
  <c r="T63" i="9" s="1"/>
  <c r="AF40" i="6"/>
  <c r="DG11" i="1"/>
  <c r="CV122" i="1"/>
  <c r="J19" i="8"/>
  <c r="S143" i="1"/>
  <c r="N75" i="68"/>
  <c r="N170" i="68" s="1"/>
  <c r="CZ84" i="1"/>
  <c r="J46" i="8"/>
  <c r="J54" i="8"/>
  <c r="AC34" i="6"/>
  <c r="H62" i="8"/>
  <c r="H80" i="8"/>
  <c r="P81" i="8" s="1"/>
  <c r="H63" i="8"/>
  <c r="H116" i="8"/>
  <c r="H60" i="8"/>
  <c r="CZ34" i="1"/>
  <c r="CZ41" i="1"/>
  <c r="CZ51" i="1"/>
  <c r="DS65" i="11"/>
  <c r="Y63" i="9"/>
  <c r="FJ72" i="11"/>
  <c r="AC81" i="1"/>
  <c r="AG23" i="1"/>
  <c r="AV56" i="1"/>
  <c r="AV106" i="1"/>
  <c r="BL36" i="1"/>
  <c r="BO84" i="1"/>
  <c r="BP24" i="1"/>
  <c r="CG82" i="1"/>
  <c r="CR82" i="1"/>
  <c r="AB26" i="1"/>
  <c r="BK92" i="1"/>
  <c r="X26" i="1"/>
  <c r="W86" i="1"/>
  <c r="W96" i="1" s="1"/>
  <c r="CQ123" i="1"/>
  <c r="BL105" i="1"/>
  <c r="BL45" i="1"/>
  <c r="CR10" i="1"/>
  <c r="K15" i="1"/>
  <c r="L105" i="1" s="1"/>
  <c r="S39" i="3"/>
  <c r="U39" i="3" s="1"/>
  <c r="AJ39" i="3" s="1"/>
  <c r="AM86" i="1"/>
  <c r="BI82" i="1"/>
  <c r="CR13" i="1"/>
  <c r="BB11" i="6" s="1"/>
  <c r="BB17" i="6" s="1"/>
  <c r="BB23" i="6" s="1"/>
  <c r="BB29" i="6" s="1"/>
  <c r="BB35" i="6" s="1"/>
  <c r="DC14" i="1"/>
  <c r="CR52" i="1"/>
  <c r="CR22" i="1"/>
  <c r="CR42" i="1"/>
  <c r="CR40" i="1"/>
  <c r="CV10" i="1"/>
  <c r="CN43" i="1"/>
  <c r="CN13" i="1"/>
  <c r="AX11" i="6" s="1"/>
  <c r="AX17" i="6" s="1"/>
  <c r="AX23" i="6" s="1"/>
  <c r="AX29" i="6" s="1"/>
  <c r="AX35" i="6" s="1"/>
  <c r="BT12" i="1"/>
  <c r="BP102" i="1"/>
  <c r="BP40" i="1"/>
  <c r="BP30" i="1"/>
  <c r="BO15" i="1"/>
  <c r="BL42" i="1"/>
  <c r="BL52" i="1"/>
  <c r="BD13" i="1"/>
  <c r="N11" i="6" s="1"/>
  <c r="N17" i="6" s="1"/>
  <c r="N23" i="6" s="1"/>
  <c r="N29" i="6" s="1"/>
  <c r="N35" i="6" s="1"/>
  <c r="AB103" i="1"/>
  <c r="AB33" i="1"/>
  <c r="AA83" i="1"/>
  <c r="AB51" i="1"/>
  <c r="AB10" i="1"/>
  <c r="AA15" i="1"/>
  <c r="L10" i="1"/>
  <c r="X83" i="1"/>
  <c r="CW81" i="1"/>
  <c r="CJ53" i="1"/>
  <c r="CJ101" i="1"/>
  <c r="AR102" i="1"/>
  <c r="AR40" i="1"/>
  <c r="DD11" i="1"/>
  <c r="BN9" i="6" s="1"/>
  <c r="DD20" i="1"/>
  <c r="DC80" i="1"/>
  <c r="W26" i="4"/>
  <c r="W27" i="4" s="1"/>
  <c r="K180" i="3"/>
  <c r="AC183" i="3"/>
  <c r="AB108" i="8"/>
  <c r="L180" i="3"/>
  <c r="N180" i="3" s="1"/>
  <c r="L179" i="3"/>
  <c r="CZ102" i="1"/>
  <c r="AC186" i="3"/>
  <c r="CY16" i="1"/>
  <c r="F43" i="3"/>
  <c r="D130" i="1"/>
  <c r="BG141" i="1"/>
  <c r="AW17" i="11"/>
  <c r="AW15" i="11"/>
  <c r="L50" i="5"/>
  <c r="EZ23" i="11" s="1"/>
  <c r="AY23" i="11"/>
  <c r="AY15" i="11"/>
  <c r="AX30" i="11"/>
  <c r="L40" i="5"/>
  <c r="EZ18" i="11" s="1"/>
  <c r="AW19" i="11"/>
  <c r="AW55" i="11"/>
  <c r="AV19" i="11"/>
  <c r="AX14" i="11"/>
  <c r="AV9" i="11"/>
  <c r="AX55" i="11"/>
  <c r="S93" i="1"/>
  <c r="BD82" i="1"/>
  <c r="AV105" i="1"/>
  <c r="AE86" i="1"/>
  <c r="CJ82" i="1"/>
  <c r="L46" i="1"/>
  <c r="AE121" i="1"/>
  <c r="AX18" i="11"/>
  <c r="AV17" i="11"/>
  <c r="AX9" i="11"/>
  <c r="T62" i="9"/>
  <c r="CY135" i="1"/>
  <c r="CF43" i="1"/>
  <c r="AQ15" i="1"/>
  <c r="AQ14" i="1"/>
  <c r="S14" i="1"/>
  <c r="P11" i="1"/>
  <c r="P15" i="1" s="1"/>
  <c r="AM82" i="1"/>
  <c r="AN102" i="1"/>
  <c r="X30" i="1"/>
  <c r="X40" i="1"/>
  <c r="AJ42" i="1"/>
  <c r="AJ32" i="1"/>
  <c r="T33" i="1"/>
  <c r="P23" i="1"/>
  <c r="Q23" i="1" s="1"/>
  <c r="O83" i="1"/>
  <c r="U83" i="1" s="1"/>
  <c r="H103" i="1"/>
  <c r="H53" i="1"/>
  <c r="BC14" i="1"/>
  <c r="BD23" i="1"/>
  <c r="AE120" i="1"/>
  <c r="U35" i="1"/>
  <c r="L50" i="1"/>
  <c r="CN21" i="1"/>
  <c r="CN101" i="1"/>
  <c r="CF21" i="1"/>
  <c r="CG21" i="1" s="1"/>
  <c r="CE81" i="1"/>
  <c r="AR10" i="1"/>
  <c r="J8" i="6" s="1"/>
  <c r="J14" i="6" s="1"/>
  <c r="J20" i="6" s="1"/>
  <c r="J26" i="6" s="1"/>
  <c r="J32" i="6" s="1"/>
  <c r="AN40" i="1"/>
  <c r="T51" i="1"/>
  <c r="S15" i="1"/>
  <c r="P51" i="1"/>
  <c r="H12" i="1"/>
  <c r="CJ43" i="1"/>
  <c r="K84" i="1"/>
  <c r="M36" i="1"/>
  <c r="CI81" i="1"/>
  <c r="Q34" i="1"/>
  <c r="CJ31" i="1"/>
  <c r="CY136" i="1"/>
  <c r="DA136" i="1" s="1"/>
  <c r="CC34" i="1"/>
  <c r="K5" i="5"/>
  <c r="BM34" i="1"/>
  <c r="CJ21" i="1"/>
  <c r="K74" i="42"/>
  <c r="K75" i="42" s="1"/>
  <c r="K76" i="42" s="1"/>
  <c r="AW34" i="6"/>
  <c r="H58" i="7"/>
  <c r="T59" i="7"/>
  <c r="L106" i="42"/>
  <c r="U27" i="4"/>
  <c r="Q32" i="6"/>
  <c r="D53" i="7"/>
  <c r="O59" i="42"/>
  <c r="N15" i="42"/>
  <c r="N100" i="42"/>
  <c r="CO36" i="1"/>
  <c r="AC135" i="1"/>
  <c r="AS135" i="1"/>
  <c r="AW134" i="1"/>
  <c r="CG136" i="1"/>
  <c r="CY154" i="1"/>
  <c r="G27" i="4"/>
  <c r="U39" i="9"/>
  <c r="BE15" i="6"/>
  <c r="AW22" i="6"/>
  <c r="U32" i="6"/>
  <c r="T41" i="6"/>
  <c r="AR39" i="6"/>
  <c r="O3" i="42"/>
  <c r="O22" i="42" s="1"/>
  <c r="M41" i="42"/>
  <c r="DD202" i="1"/>
  <c r="DE31" i="1"/>
  <c r="DA130" i="1"/>
  <c r="DE130" i="1"/>
  <c r="BM25" i="1"/>
  <c r="BD23" i="11"/>
  <c r="I36" i="1"/>
  <c r="P60" i="9"/>
  <c r="P63" i="9" s="1"/>
  <c r="DD200" i="1"/>
  <c r="J55" i="8"/>
  <c r="G140" i="1"/>
  <c r="J18" i="8"/>
  <c r="AE50" i="10"/>
  <c r="Y34" i="6"/>
  <c r="BM33" i="6"/>
  <c r="H89" i="8"/>
  <c r="H69" i="8"/>
  <c r="H88" i="8"/>
  <c r="DC123" i="1"/>
  <c r="DC143" i="1" s="1"/>
  <c r="DC173" i="1" s="1"/>
  <c r="CZ31" i="1"/>
  <c r="M20" i="1"/>
  <c r="BL46" i="1"/>
  <c r="BY23" i="1"/>
  <c r="CC83" i="1"/>
  <c r="CW82" i="1"/>
  <c r="AG80" i="1"/>
  <c r="AB36" i="1"/>
  <c r="AG82" i="1"/>
  <c r="BU80" i="1"/>
  <c r="BX34" i="1"/>
  <c r="X46" i="1"/>
  <c r="CR83" i="1"/>
  <c r="AQ80" i="1"/>
  <c r="CI15" i="1"/>
  <c r="BG85" i="1"/>
  <c r="D120" i="1"/>
  <c r="CR11" i="1"/>
  <c r="BB9" i="6" s="1"/>
  <c r="BB15" i="6" s="1"/>
  <c r="BB21" i="6" s="1"/>
  <c r="BB27" i="6" s="1"/>
  <c r="BB33" i="6" s="1"/>
  <c r="CQ15" i="1"/>
  <c r="CM83" i="1"/>
  <c r="CN23" i="1"/>
  <c r="CF13" i="1"/>
  <c r="AP11" i="6" s="1"/>
  <c r="AP17" i="6" s="1"/>
  <c r="AP23" i="6" s="1"/>
  <c r="AP29" i="6" s="1"/>
  <c r="AP35" i="6" s="1"/>
  <c r="BP22" i="1"/>
  <c r="BP50" i="1"/>
  <c r="BP100" i="1"/>
  <c r="BK14" i="1"/>
  <c r="BL12" i="1"/>
  <c r="AB11" i="1"/>
  <c r="D54" i="3" s="1"/>
  <c r="AB41" i="1"/>
  <c r="CI83" i="1"/>
  <c r="CJ41" i="1"/>
  <c r="AR32" i="1"/>
  <c r="AV10" i="1"/>
  <c r="AN46" i="1"/>
  <c r="DC34" i="1"/>
  <c r="L126" i="8"/>
  <c r="DD100" i="1"/>
  <c r="DD50" i="1"/>
  <c r="AC194" i="3"/>
  <c r="E505" i="35"/>
  <c r="E517" i="35"/>
  <c r="L183" i="3"/>
  <c r="CU91" i="1"/>
  <c r="F42" i="3"/>
  <c r="AU6" i="1"/>
  <c r="F20" i="8" s="1"/>
  <c r="BH121" i="1"/>
  <c r="AV15" i="11"/>
  <c r="L47" i="5"/>
  <c r="AW30" i="11"/>
  <c r="AY36" i="11"/>
  <c r="AY37" i="11"/>
  <c r="AV30" i="11"/>
  <c r="AW18" i="11"/>
  <c r="AX36" i="11"/>
  <c r="AW9" i="11"/>
  <c r="AY14" i="11"/>
  <c r="L24" i="5"/>
  <c r="AV36" i="11"/>
  <c r="AV11" i="11"/>
  <c r="AX19" i="11"/>
  <c r="AV55" i="1"/>
  <c r="BY80" i="1"/>
  <c r="CF105" i="1"/>
  <c r="AW26" i="11"/>
  <c r="L56" i="5"/>
  <c r="EZ26" i="11" s="1"/>
  <c r="AY9" i="11"/>
  <c r="AX37" i="11"/>
  <c r="AW36" i="11"/>
  <c r="AV18" i="11"/>
  <c r="AE90" i="1"/>
  <c r="CM15" i="1"/>
  <c r="CN25" i="1" s="1"/>
  <c r="CI14" i="1"/>
  <c r="AR100" i="1"/>
  <c r="AI14" i="1"/>
  <c r="M22" i="1"/>
  <c r="AR12" i="1"/>
  <c r="AN12" i="1"/>
  <c r="F10" i="6" s="1"/>
  <c r="F16" i="6" s="1"/>
  <c r="F22" i="6" s="1"/>
  <c r="F28" i="6" s="1"/>
  <c r="F34" i="6" s="1"/>
  <c r="X50" i="1"/>
  <c r="AI82" i="1"/>
  <c r="T23" i="1"/>
  <c r="O16" i="1"/>
  <c r="P103" i="1"/>
  <c r="H13" i="1"/>
  <c r="G83" i="1"/>
  <c r="BD103" i="1"/>
  <c r="AM14" i="1"/>
  <c r="L7" i="5" s="1"/>
  <c r="L30" i="1"/>
  <c r="S81" i="1"/>
  <c r="T21" i="1"/>
  <c r="U21" i="1" s="1"/>
  <c r="P101" i="1"/>
  <c r="BQ134" i="1"/>
  <c r="AQ82" i="1"/>
  <c r="L58" i="7"/>
  <c r="L59" i="7"/>
  <c r="N35" i="42"/>
  <c r="CV12" i="1"/>
  <c r="I34" i="1"/>
  <c r="BQ34" i="1"/>
  <c r="H27" i="4"/>
  <c r="O27" i="4"/>
  <c r="E39" i="9"/>
  <c r="Z39" i="9"/>
  <c r="Z50" i="9" s="1"/>
  <c r="J39" i="9"/>
  <c r="G60" i="9"/>
  <c r="G63" i="9" s="1"/>
  <c r="V62" i="9"/>
  <c r="AX56" i="10"/>
  <c r="Y32" i="6"/>
  <c r="N41" i="42"/>
  <c r="DE131" i="1"/>
  <c r="P27" i="8"/>
  <c r="N34" i="8"/>
  <c r="P31" i="8"/>
  <c r="J27" i="8"/>
  <c r="N27" i="8"/>
  <c r="P38" i="8"/>
  <c r="N38" i="8"/>
  <c r="J38" i="8"/>
  <c r="P53" i="8"/>
  <c r="N52" i="8"/>
  <c r="J53" i="8"/>
  <c r="P39" i="8"/>
  <c r="FV16" i="11"/>
  <c r="FW16" i="11"/>
  <c r="B57" i="5"/>
  <c r="B59" i="5"/>
  <c r="FS16" i="11"/>
  <c r="BQ143" i="1"/>
  <c r="FR65" i="11"/>
  <c r="AH53" i="7"/>
  <c r="AH59" i="7"/>
  <c r="J25" i="3"/>
  <c r="B26" i="3"/>
  <c r="CV5" i="11"/>
  <c r="BM5" i="11"/>
  <c r="C35" i="3"/>
  <c r="DO65" i="11"/>
  <c r="DN62" i="11"/>
  <c r="C54" i="35"/>
  <c r="C57" i="35" s="1"/>
  <c r="C61" i="35" s="1"/>
  <c r="C64" i="35" s="1"/>
  <c r="C67" i="35" s="1"/>
  <c r="C70" i="35" s="1"/>
  <c r="C74" i="35" s="1"/>
  <c r="C77" i="35" s="1"/>
  <c r="C80" i="35" s="1"/>
  <c r="C83" i="35" s="1"/>
  <c r="C87" i="35" s="1"/>
  <c r="C90" i="35" s="1"/>
  <c r="C93" i="35" s="1"/>
  <c r="C96" i="35" s="1"/>
  <c r="C100" i="35" s="1"/>
  <c r="C103" i="35" s="1"/>
  <c r="C106" i="35" s="1"/>
  <c r="C109" i="35" s="1"/>
  <c r="C113" i="35" s="1"/>
  <c r="C116" i="35" s="1"/>
  <c r="C119" i="35" s="1"/>
  <c r="C122" i="35" s="1"/>
  <c r="C126" i="35" s="1"/>
  <c r="C129" i="35" s="1"/>
  <c r="C132" i="35" s="1"/>
  <c r="C135" i="35" s="1"/>
  <c r="C139" i="35" s="1"/>
  <c r="C142" i="35" s="1"/>
  <c r="C145" i="35" s="1"/>
  <c r="C148" i="35" s="1"/>
  <c r="C152" i="35" s="1"/>
  <c r="C155" i="35" s="1"/>
  <c r="C158" i="35" s="1"/>
  <c r="C161" i="35" s="1"/>
  <c r="C165" i="35" s="1"/>
  <c r="C168" i="35" s="1"/>
  <c r="C171" i="35" s="1"/>
  <c r="C174" i="35" s="1"/>
  <c r="C178" i="35" s="1"/>
  <c r="C181" i="35" s="1"/>
  <c r="C184" i="35" s="1"/>
  <c r="C187" i="35" s="1"/>
  <c r="C191" i="35" s="1"/>
  <c r="C194" i="35" s="1"/>
  <c r="C197" i="35" s="1"/>
  <c r="C200" i="35" s="1"/>
  <c r="C204" i="35" s="1"/>
  <c r="C207" i="35" s="1"/>
  <c r="C210" i="35" s="1"/>
  <c r="C213" i="35" s="1"/>
  <c r="C217" i="35" s="1"/>
  <c r="C220" i="35" s="1"/>
  <c r="C223" i="35" s="1"/>
  <c r="C226" i="35" s="1"/>
  <c r="C230" i="35" s="1"/>
  <c r="C233" i="35" s="1"/>
  <c r="C236" i="35" s="1"/>
  <c r="C239" i="35" s="1"/>
  <c r="C243" i="35" s="1"/>
  <c r="C246" i="35" s="1"/>
  <c r="C249" i="35" s="1"/>
  <c r="C252" i="35" s="1"/>
  <c r="C256" i="35" s="1"/>
  <c r="C259" i="35" s="1"/>
  <c r="C262" i="35" s="1"/>
  <c r="C265" i="35" s="1"/>
  <c r="C269" i="35" s="1"/>
  <c r="C272" i="35" s="1"/>
  <c r="C275" i="35" s="1"/>
  <c r="C278" i="35" s="1"/>
  <c r="C282" i="35" s="1"/>
  <c r="C285" i="35" s="1"/>
  <c r="C288" i="35" s="1"/>
  <c r="C291" i="35" s="1"/>
  <c r="C293" i="35" s="1"/>
  <c r="C294" i="35" s="1"/>
  <c r="C295" i="35" s="1"/>
  <c r="C296" i="35" s="1"/>
  <c r="C298" i="35" s="1"/>
  <c r="C299" i="35" s="1"/>
  <c r="C300" i="35" s="1"/>
  <c r="C301" i="35" s="1"/>
  <c r="C303" i="35" s="1"/>
  <c r="C304" i="35" s="1"/>
  <c r="C305" i="35" s="1"/>
  <c r="C306" i="35" s="1"/>
  <c r="C308" i="35" s="1"/>
  <c r="C309" i="35" s="1"/>
  <c r="C310" i="35" s="1"/>
  <c r="C311" i="35" s="1"/>
  <c r="C313" i="35" s="1"/>
  <c r="C314" i="35" s="1"/>
  <c r="C315" i="35" s="1"/>
  <c r="C316" i="35" s="1"/>
  <c r="C318" i="35" s="1"/>
  <c r="C319" i="35" s="1"/>
  <c r="C320" i="35" s="1"/>
  <c r="C321" i="35" s="1"/>
  <c r="J40" i="8"/>
  <c r="L200" i="3"/>
  <c r="DD42" i="1"/>
  <c r="D366" i="35"/>
  <c r="P25" i="8"/>
  <c r="AD6" i="10"/>
  <c r="AB33" i="7"/>
  <c r="CY91" i="1"/>
  <c r="CY94" i="1"/>
  <c r="CZ44" i="1"/>
  <c r="D187" i="3"/>
  <c r="H187" i="3" s="1"/>
  <c r="DD5" i="11"/>
  <c r="BH11" i="11"/>
  <c r="BG30" i="11"/>
  <c r="BH15" i="11"/>
  <c r="BF19" i="11"/>
  <c r="BI37" i="11"/>
  <c r="BG37" i="11"/>
  <c r="BI18" i="11"/>
  <c r="CY5" i="11"/>
  <c r="DD13" i="1"/>
  <c r="BN11" i="6" s="1"/>
  <c r="AF53" i="7"/>
  <c r="AF59" i="7"/>
  <c r="AF5" i="7"/>
  <c r="EF65" i="11" s="1"/>
  <c r="A302" i="35"/>
  <c r="I297" i="35"/>
  <c r="O75" i="68"/>
  <c r="O170" i="68" s="1"/>
  <c r="CY121" i="1"/>
  <c r="N45" i="8"/>
  <c r="N53" i="8"/>
  <c r="N31" i="8"/>
  <c r="CZ81" i="1"/>
  <c r="CZ104" i="1"/>
  <c r="CZ54" i="1"/>
  <c r="BI42" i="11"/>
  <c r="BG11" i="11"/>
  <c r="BF11" i="11"/>
  <c r="BI55" i="11"/>
  <c r="BI17" i="11"/>
  <c r="BF17" i="11"/>
  <c r="BF18" i="11"/>
  <c r="BI23" i="11"/>
  <c r="E364" i="35"/>
  <c r="ET55" i="11"/>
  <c r="ET62" i="11"/>
  <c r="EU6" i="11"/>
  <c r="ET38" i="11"/>
  <c r="ET37" i="11"/>
  <c r="F76" i="42"/>
  <c r="P50" i="7"/>
  <c r="P56" i="7"/>
  <c r="BI36" i="1"/>
  <c r="K63" i="9"/>
  <c r="BA14" i="6"/>
  <c r="AZ32" i="6"/>
  <c r="BD32" i="6"/>
  <c r="BI14" i="6"/>
  <c r="BE21" i="6"/>
  <c r="BD33" i="6"/>
  <c r="BI21" i="6"/>
  <c r="M34" i="6"/>
  <c r="L40" i="6"/>
  <c r="P40" i="6"/>
  <c r="X41" i="6"/>
  <c r="Y35" i="6"/>
  <c r="AF41" i="6"/>
  <c r="AC35" i="6"/>
  <c r="AG35" i="6"/>
  <c r="AB41" i="6"/>
  <c r="AB34" i="7"/>
  <c r="AD34" i="7"/>
  <c r="F44" i="7"/>
  <c r="F50" i="7" s="1"/>
  <c r="F34" i="7"/>
  <c r="J44" i="7"/>
  <c r="J50" i="7" s="1"/>
  <c r="J34" i="7"/>
  <c r="N44" i="7"/>
  <c r="N50" i="7" s="1"/>
  <c r="N34" i="7"/>
  <c r="R44" i="7"/>
  <c r="R50" i="7" s="1"/>
  <c r="R46" i="7"/>
  <c r="R52" i="7" s="1"/>
  <c r="R58" i="7"/>
  <c r="V44" i="7"/>
  <c r="V50" i="7" s="1"/>
  <c r="V34" i="7"/>
  <c r="Z45" i="7"/>
  <c r="Z51" i="7" s="1"/>
  <c r="O35" i="42"/>
  <c r="E105" i="42"/>
  <c r="E103" i="42"/>
  <c r="E102" i="42"/>
  <c r="E104" i="42"/>
  <c r="Q57" i="42"/>
  <c r="Q59" i="42"/>
  <c r="R57" i="42"/>
  <c r="D610" i="35"/>
  <c r="Z71" i="42"/>
  <c r="AD56" i="7"/>
  <c r="N75" i="42"/>
  <c r="T58" i="7"/>
  <c r="T52" i="7"/>
  <c r="O107" i="42"/>
  <c r="L57" i="42"/>
  <c r="L59" i="42"/>
  <c r="R54" i="42"/>
  <c r="Q54" i="42"/>
  <c r="T169" i="68"/>
  <c r="S169" i="68"/>
  <c r="R169" i="68"/>
  <c r="F39" i="3"/>
  <c r="C16" i="4"/>
  <c r="C17" i="4" s="1"/>
  <c r="B20" i="4"/>
  <c r="B23" i="4"/>
  <c r="B35" i="4"/>
  <c r="P27" i="4"/>
  <c r="Q27" i="4"/>
  <c r="AX58" i="10"/>
  <c r="BA21" i="6"/>
  <c r="M35" i="6"/>
  <c r="I35" i="6"/>
  <c r="L41" i="6"/>
  <c r="AR40" i="6"/>
  <c r="AS34" i="6"/>
  <c r="AN40" i="6"/>
  <c r="AS35" i="6"/>
  <c r="AR41" i="6"/>
  <c r="AB35" i="7"/>
  <c r="V47" i="7"/>
  <c r="V53" i="7" s="1"/>
  <c r="DT65" i="11" s="1"/>
  <c r="J54" i="42"/>
  <c r="G57" i="42"/>
  <c r="G59" i="42"/>
  <c r="M56" i="42"/>
  <c r="M59" i="42" s="1"/>
  <c r="M72" i="42"/>
  <c r="M73" i="42" s="1"/>
  <c r="G53" i="42"/>
  <c r="G54" i="42" s="1"/>
  <c r="G101" i="42"/>
  <c r="G6" i="42"/>
  <c r="K6" i="42"/>
  <c r="K101" i="42"/>
  <c r="O6" i="42"/>
  <c r="O101" i="42"/>
  <c r="O53" i="42"/>
  <c r="U101" i="42"/>
  <c r="U67" i="42"/>
  <c r="T102" i="42"/>
  <c r="K42" i="5"/>
  <c r="EY19" i="11" s="1"/>
  <c r="AH56" i="7"/>
  <c r="FQ62" i="11"/>
  <c r="P46" i="7"/>
  <c r="P52" i="7" s="1"/>
  <c r="X56" i="7"/>
  <c r="X50" i="7"/>
  <c r="H50" i="7"/>
  <c r="H56" i="7"/>
  <c r="U138" i="42"/>
  <c r="P59" i="42"/>
  <c r="P57" i="42"/>
  <c r="D304" i="35"/>
  <c r="J186" i="3"/>
  <c r="E303" i="35"/>
  <c r="E596" i="35"/>
  <c r="E583" i="35"/>
  <c r="N50" i="5"/>
  <c r="W10" i="4"/>
  <c r="K27" i="4"/>
  <c r="I60" i="9"/>
  <c r="I63" i="9" s="1"/>
  <c r="I62" i="9"/>
  <c r="Z50" i="10"/>
  <c r="BA16" i="6"/>
  <c r="AZ34" i="6"/>
  <c r="U33" i="6"/>
  <c r="T39" i="6"/>
  <c r="X39" i="6"/>
  <c r="Y33" i="6"/>
  <c r="AG33" i="6"/>
  <c r="AB39" i="6"/>
  <c r="AC33" i="6"/>
  <c r="AD50" i="7"/>
  <c r="X47" i="7"/>
  <c r="X53" i="7" s="1"/>
  <c r="DU65" i="11" s="1"/>
  <c r="AD57" i="7"/>
  <c r="D54" i="42"/>
  <c r="S59" i="42"/>
  <c r="S57" i="42"/>
  <c r="N59" i="42"/>
  <c r="C76" i="42"/>
  <c r="C77" i="42" s="1"/>
  <c r="C112" i="42" s="1"/>
  <c r="C108" i="42"/>
  <c r="E74" i="42"/>
  <c r="K37" i="5"/>
  <c r="AH45" i="7"/>
  <c r="AH57" i="7" s="1"/>
  <c r="CO5" i="11"/>
  <c r="AD59" i="7"/>
  <c r="AD53" i="7"/>
  <c r="EC65" i="11" s="1"/>
  <c r="D52" i="7"/>
  <c r="D58" i="7"/>
  <c r="X69" i="42"/>
  <c r="J74" i="42"/>
  <c r="CW134" i="1"/>
  <c r="CC135" i="1"/>
  <c r="E27" i="4"/>
  <c r="D27" i="4"/>
  <c r="N27" i="4"/>
  <c r="G50" i="9"/>
  <c r="DX64" i="11"/>
  <c r="DW64" i="11"/>
  <c r="BD40" i="6"/>
  <c r="I33" i="6"/>
  <c r="L39" i="6"/>
  <c r="M33" i="6"/>
  <c r="H39" i="6"/>
  <c r="AR38" i="6"/>
  <c r="AV38" i="6"/>
  <c r="AS32" i="6"/>
  <c r="AF32" i="7"/>
  <c r="Z34" i="7"/>
  <c r="Z32" i="7"/>
  <c r="F47" i="7"/>
  <c r="F53" i="7" s="1"/>
  <c r="P54" i="42"/>
  <c r="F57" i="42"/>
  <c r="E59" i="42"/>
  <c r="I57" i="42"/>
  <c r="I59" i="42"/>
  <c r="J57" i="42"/>
  <c r="O57" i="42"/>
  <c r="E53" i="42"/>
  <c r="E54" i="42" s="1"/>
  <c r="E101" i="42"/>
  <c r="I6" i="42"/>
  <c r="I101" i="42"/>
  <c r="M53" i="42"/>
  <c r="M101" i="42"/>
  <c r="M6" i="42"/>
  <c r="Q6" i="42"/>
  <c r="Q101" i="42"/>
  <c r="U104" i="42"/>
  <c r="U70" i="42"/>
  <c r="V104" i="42" s="1"/>
  <c r="T105" i="42"/>
  <c r="D73" i="42"/>
  <c r="D107" i="42"/>
  <c r="I106" i="42"/>
  <c r="H107" i="42"/>
  <c r="H74" i="42"/>
  <c r="AE58" i="9"/>
  <c r="X58" i="7"/>
  <c r="FQ39" i="11"/>
  <c r="R5" i="4"/>
  <c r="P6" i="42"/>
  <c r="I22" i="42"/>
  <c r="H53" i="42"/>
  <c r="L53" i="42"/>
  <c r="L54" i="42" s="1"/>
  <c r="N53" i="42"/>
  <c r="DE132" i="1"/>
  <c r="BM23" i="6"/>
  <c r="AH50" i="7"/>
  <c r="DE200" i="1"/>
  <c r="DE202" i="1" s="1"/>
  <c r="FR40" i="11" s="1"/>
  <c r="CW136" i="1"/>
  <c r="CV202" i="1"/>
  <c r="CV201" i="1" s="1"/>
  <c r="CU201" i="1" s="1"/>
  <c r="AL41" i="10"/>
  <c r="BH32" i="6"/>
  <c r="AC32" i="6"/>
  <c r="H3" i="42"/>
  <c r="N6" i="42"/>
  <c r="T6" i="42"/>
  <c r="H57" i="42"/>
  <c r="AC50" i="10"/>
  <c r="DP12" i="1"/>
  <c r="BV16" i="6" s="1"/>
  <c r="BV22" i="6" s="1"/>
  <c r="BV28" i="6" s="1"/>
  <c r="BV34" i="6" s="1"/>
  <c r="BM35" i="6"/>
  <c r="AV126" i="1" l="1"/>
  <c r="AV136" i="1"/>
  <c r="BO173" i="1"/>
  <c r="CM124" i="1"/>
  <c r="I23" i="1"/>
  <c r="AS21" i="1"/>
  <c r="AE85" i="1"/>
  <c r="AE95" i="1" s="1"/>
  <c r="AI123" i="1"/>
  <c r="J60" i="8"/>
  <c r="CE85" i="1"/>
  <c r="CE95" i="1" s="1"/>
  <c r="AJ26" i="1"/>
  <c r="AK26" i="1" s="1"/>
  <c r="BI83" i="1"/>
  <c r="AY123" i="1"/>
  <c r="CA96" i="1"/>
  <c r="CS84" i="1"/>
  <c r="AG15" i="1"/>
  <c r="BO163" i="1"/>
  <c r="AJ56" i="1"/>
  <c r="AJ83" i="1"/>
  <c r="AJ36" i="1"/>
  <c r="AY93" i="1"/>
  <c r="CB132" i="1"/>
  <c r="CG132" i="1" s="1"/>
  <c r="CA126" i="1"/>
  <c r="CB136" i="1" s="1"/>
  <c r="AK83" i="1"/>
  <c r="AB16" i="1"/>
  <c r="BY83" i="1"/>
  <c r="AZ16" i="1"/>
  <c r="BI122" i="1"/>
  <c r="N59" i="8"/>
  <c r="BA83" i="1"/>
  <c r="AT42" i="11"/>
  <c r="CJ16" i="1"/>
  <c r="AZ14" i="1"/>
  <c r="AO20" i="1"/>
  <c r="BA23" i="1"/>
  <c r="N123" i="8"/>
  <c r="H136" i="8"/>
  <c r="H57" i="3"/>
  <c r="AM141" i="1"/>
  <c r="AN141" i="1" s="1"/>
  <c r="CJ122" i="1"/>
  <c r="BS172" i="1"/>
  <c r="BS162" i="1"/>
  <c r="BT162" i="1" s="1"/>
  <c r="BT122" i="1"/>
  <c r="BQ123" i="1"/>
  <c r="BP123" i="1"/>
  <c r="BP133" i="1"/>
  <c r="CC86" i="1"/>
  <c r="DM34" i="1"/>
  <c r="CN132" i="1"/>
  <c r="CN122" i="1"/>
  <c r="CM142" i="1"/>
  <c r="CM162" i="1" s="1"/>
  <c r="CM182" i="1" s="1"/>
  <c r="CS122" i="1"/>
  <c r="CO122" i="1"/>
  <c r="CM125" i="1"/>
  <c r="CN135" i="1" s="1"/>
  <c r="CN130" i="1"/>
  <c r="CN120" i="1"/>
  <c r="O100" i="42"/>
  <c r="H129" i="8"/>
  <c r="J136" i="8" s="1"/>
  <c r="H110" i="8"/>
  <c r="H91" i="8"/>
  <c r="H118" i="8"/>
  <c r="P118" i="8" s="1"/>
  <c r="CN81" i="1"/>
  <c r="H104" i="8"/>
  <c r="J104" i="8" s="1"/>
  <c r="H73" i="8"/>
  <c r="CK82" i="1"/>
  <c r="AE182" i="3"/>
  <c r="H108" i="8"/>
  <c r="X108" i="8" s="1"/>
  <c r="H95" i="8"/>
  <c r="J95" i="8" s="1"/>
  <c r="BG96" i="1"/>
  <c r="BY84" i="1"/>
  <c r="I75" i="42"/>
  <c r="I76" i="42" s="1"/>
  <c r="I77" i="42" s="1"/>
  <c r="AJ16" i="1"/>
  <c r="BC142" i="1"/>
  <c r="M62" i="9"/>
  <c r="DG80" i="1"/>
  <c r="DI80" i="1" s="1"/>
  <c r="DL10" i="1"/>
  <c r="CI92" i="1"/>
  <c r="X123" i="8"/>
  <c r="CW21" i="1"/>
  <c r="BX106" i="1"/>
  <c r="P105" i="1"/>
  <c r="AJ46" i="1"/>
  <c r="AF34" i="1"/>
  <c r="AI121" i="1"/>
  <c r="AO121" i="1" s="1"/>
  <c r="AW23" i="1"/>
  <c r="BX26" i="1"/>
  <c r="CB15" i="1"/>
  <c r="AW22" i="1"/>
  <c r="AI86" i="1"/>
  <c r="AI96" i="1" s="1"/>
  <c r="CM92" i="1"/>
  <c r="D602" i="35"/>
  <c r="X29" i="4"/>
  <c r="E600" i="35"/>
  <c r="V6" i="42"/>
  <c r="V25" i="42" s="1"/>
  <c r="W66" i="42"/>
  <c r="G75" i="42"/>
  <c r="G77" i="42" s="1"/>
  <c r="G78" i="42" s="1"/>
  <c r="P57" i="7"/>
  <c r="H83" i="8"/>
  <c r="N83" i="8" s="1"/>
  <c r="H124" i="8"/>
  <c r="X124" i="8" s="1"/>
  <c r="H103" i="8"/>
  <c r="H101" i="8"/>
  <c r="P101" i="8" s="1"/>
  <c r="H57" i="7"/>
  <c r="DD201" i="1"/>
  <c r="H54" i="42"/>
  <c r="J108" i="42"/>
  <c r="P58" i="7"/>
  <c r="P3" i="42"/>
  <c r="P15" i="42" s="1"/>
  <c r="O64" i="42"/>
  <c r="BH23" i="11"/>
  <c r="BH30" i="11"/>
  <c r="BG36" i="11"/>
  <c r="BG18" i="11"/>
  <c r="BH55" i="11"/>
  <c r="BF22" i="11"/>
  <c r="BI9" i="11"/>
  <c r="CO82" i="1"/>
  <c r="H66" i="8"/>
  <c r="H115" i="8"/>
  <c r="CK21" i="1"/>
  <c r="M16" i="1"/>
  <c r="CM91" i="1"/>
  <c r="D36" i="1"/>
  <c r="H102" i="8"/>
  <c r="J102" i="8" s="1"/>
  <c r="H87" i="8"/>
  <c r="H130" i="8"/>
  <c r="L36" i="1"/>
  <c r="H94" i="8"/>
  <c r="J101" i="8" s="1"/>
  <c r="H75" i="8"/>
  <c r="J76" i="8" s="1"/>
  <c r="H68" i="8"/>
  <c r="N68" i="8" s="1"/>
  <c r="AZ86" i="1"/>
  <c r="CN141" i="1"/>
  <c r="CJ132" i="1"/>
  <c r="H108" i="42"/>
  <c r="AF14" i="1"/>
  <c r="D64" i="3" s="1"/>
  <c r="H64" i="3" s="1"/>
  <c r="S64" i="3"/>
  <c r="U64" i="3" s="1"/>
  <c r="BD132" i="1"/>
  <c r="CN80" i="1"/>
  <c r="H137" i="8"/>
  <c r="P138" i="8" s="1"/>
  <c r="CF55" i="1"/>
  <c r="P45" i="1"/>
  <c r="BY16" i="1"/>
  <c r="BH24" i="1"/>
  <c r="BD15" i="1"/>
  <c r="AQ93" i="1"/>
  <c r="BD42" i="11" s="1"/>
  <c r="BD51" i="11" s="1"/>
  <c r="L16" i="1"/>
  <c r="CM90" i="1"/>
  <c r="BX36" i="1"/>
  <c r="W50" i="9"/>
  <c r="G76" i="42"/>
  <c r="G111" i="42" s="1"/>
  <c r="H67" i="8"/>
  <c r="J67" i="8" s="1"/>
  <c r="H131" i="8"/>
  <c r="N138" i="8" s="1"/>
  <c r="F62" i="9"/>
  <c r="FG6" i="11"/>
  <c r="K77" i="42"/>
  <c r="K78" i="42" s="1"/>
  <c r="BF55" i="11"/>
  <c r="BH36" i="11"/>
  <c r="BF26" i="11"/>
  <c r="BI14" i="11"/>
  <c r="BI11" i="11"/>
  <c r="BH17" i="11"/>
  <c r="BF23" i="11"/>
  <c r="AS22" i="11"/>
  <c r="H109" i="8"/>
  <c r="P109" i="8" s="1"/>
  <c r="H84" i="8"/>
  <c r="P35" i="1"/>
  <c r="H82" i="8"/>
  <c r="H122" i="8"/>
  <c r="P123" i="8" s="1"/>
  <c r="DH21" i="1"/>
  <c r="DL11" i="1"/>
  <c r="BV9" i="6" s="1"/>
  <c r="BV15" i="6" s="1"/>
  <c r="BV21" i="6" s="1"/>
  <c r="BV27" i="6" s="1"/>
  <c r="BV33" i="6" s="1"/>
  <c r="I22" i="1"/>
  <c r="D26" i="1"/>
  <c r="H70" i="8"/>
  <c r="H111" i="8"/>
  <c r="DH50" i="1"/>
  <c r="BQ32" i="6"/>
  <c r="DA81" i="1"/>
  <c r="CO80" i="1"/>
  <c r="BH34" i="1"/>
  <c r="BX16" i="1"/>
  <c r="BX45" i="1"/>
  <c r="A122" i="42"/>
  <c r="B122" i="42"/>
  <c r="D496" i="35"/>
  <c r="E495" i="35"/>
  <c r="CI6" i="1"/>
  <c r="H96" i="8"/>
  <c r="H125" i="8"/>
  <c r="X125" i="8" s="1"/>
  <c r="H74" i="8"/>
  <c r="BL130" i="1"/>
  <c r="BK140" i="1"/>
  <c r="BL120" i="1"/>
  <c r="BE80" i="1"/>
  <c r="CK120" i="1"/>
  <c r="DI36" i="1"/>
  <c r="DM36" i="1"/>
  <c r="DO22" i="1"/>
  <c r="AD50" i="9"/>
  <c r="AD62" i="9"/>
  <c r="AB50" i="9"/>
  <c r="H50" i="9"/>
  <c r="L50" i="9"/>
  <c r="AG58" i="9"/>
  <c r="P62" i="9"/>
  <c r="AC62" i="9"/>
  <c r="R50" i="9"/>
  <c r="X62" i="9"/>
  <c r="C46" i="86"/>
  <c r="H56" i="3"/>
  <c r="CM94" i="1"/>
  <c r="M82" i="1"/>
  <c r="AK81" i="1"/>
  <c r="AV15" i="1"/>
  <c r="AV34" i="1"/>
  <c r="DC86" i="1"/>
  <c r="DD86" i="1" s="1"/>
  <c r="H82" i="1"/>
  <c r="AE93" i="1"/>
  <c r="CR131" i="1"/>
  <c r="BG143" i="1"/>
  <c r="BG163" i="1" s="1"/>
  <c r="AF83" i="1"/>
  <c r="AJ86" i="1"/>
  <c r="AV54" i="1"/>
  <c r="CS121" i="1"/>
  <c r="CG120" i="1"/>
  <c r="CS141" i="1"/>
  <c r="CR104" i="1"/>
  <c r="CN26" i="1"/>
  <c r="CN56" i="1"/>
  <c r="BS124" i="1"/>
  <c r="BT134" i="1" s="1"/>
  <c r="AF123" i="1"/>
  <c r="CF120" i="1"/>
  <c r="CM140" i="1"/>
  <c r="CM160" i="1" s="1"/>
  <c r="CO120" i="1"/>
  <c r="BH54" i="1"/>
  <c r="BE22" i="1"/>
  <c r="AF15" i="1"/>
  <c r="BC120" i="1"/>
  <c r="BC140" i="1" s="1"/>
  <c r="CF35" i="1"/>
  <c r="AQ123" i="1"/>
  <c r="AW123" i="1" s="1"/>
  <c r="CC122" i="1"/>
  <c r="AK20" i="1"/>
  <c r="AY84" i="1"/>
  <c r="AZ84" i="1" s="1"/>
  <c r="BU15" i="1"/>
  <c r="AU143" i="1"/>
  <c r="AU146" i="1" s="1"/>
  <c r="AV146" i="1" s="1"/>
  <c r="AV133" i="1"/>
  <c r="AV123" i="1"/>
  <c r="AY91" i="1"/>
  <c r="AZ81" i="1"/>
  <c r="AY121" i="1"/>
  <c r="AK21" i="1"/>
  <c r="K121" i="1"/>
  <c r="K91" i="1"/>
  <c r="L81" i="1"/>
  <c r="BS90" i="1"/>
  <c r="BT80" i="1"/>
  <c r="BK173" i="1"/>
  <c r="BP173" i="1" s="1"/>
  <c r="BL143" i="1"/>
  <c r="BK163" i="1"/>
  <c r="BQ163" i="1" s="1"/>
  <c r="AE91" i="1"/>
  <c r="AF81" i="1"/>
  <c r="CO23" i="1"/>
  <c r="AR36" i="1"/>
  <c r="DD106" i="1"/>
  <c r="BH14" i="1"/>
  <c r="CF130" i="1"/>
  <c r="CK130" i="1" s="1"/>
  <c r="CA91" i="1"/>
  <c r="CW121" i="1"/>
  <c r="I82" i="1"/>
  <c r="G122" i="1"/>
  <c r="H122" i="1" s="1"/>
  <c r="AQ86" i="1"/>
  <c r="AR86" i="1" s="1"/>
  <c r="CN106" i="1"/>
  <c r="CA95" i="1"/>
  <c r="CR141" i="1"/>
  <c r="CR24" i="1"/>
  <c r="CR34" i="1"/>
  <c r="CN46" i="1"/>
  <c r="BS94" i="1"/>
  <c r="DD36" i="1"/>
  <c r="BS85" i="1"/>
  <c r="CG23" i="1"/>
  <c r="BD80" i="1"/>
  <c r="BH104" i="1"/>
  <c r="BX35" i="1"/>
  <c r="AS83" i="1"/>
  <c r="AZ44" i="1"/>
  <c r="AM93" i="1"/>
  <c r="AY42" i="11" s="1"/>
  <c r="AY51" i="11" s="1"/>
  <c r="AM123" i="1"/>
  <c r="AO123" i="1" s="1"/>
  <c r="AO83" i="1"/>
  <c r="AN83" i="1"/>
  <c r="CI140" i="1"/>
  <c r="CJ130" i="1"/>
  <c r="CJ120" i="1"/>
  <c r="D106" i="1"/>
  <c r="C86" i="1"/>
  <c r="C96" i="1" s="1"/>
  <c r="CF82" i="1"/>
  <c r="CE122" i="1"/>
  <c r="CE92" i="1"/>
  <c r="CG22" i="1"/>
  <c r="BH122" i="1"/>
  <c r="BG142" i="1"/>
  <c r="BH132" i="1"/>
  <c r="BH123" i="1"/>
  <c r="BW85" i="1"/>
  <c r="CC85" i="1" s="1"/>
  <c r="CG15" i="1"/>
  <c r="CC81" i="1"/>
  <c r="BG126" i="1"/>
  <c r="BH136" i="1" s="1"/>
  <c r="CF25" i="1"/>
  <c r="CA121" i="1"/>
  <c r="CA141" i="1" s="1"/>
  <c r="BH133" i="1"/>
  <c r="CR44" i="1"/>
  <c r="CO16" i="1"/>
  <c r="DD56" i="1"/>
  <c r="DD26" i="1"/>
  <c r="BG84" i="1"/>
  <c r="BX15" i="1"/>
  <c r="CC21" i="1"/>
  <c r="BC90" i="1"/>
  <c r="CA142" i="1"/>
  <c r="CA172" i="1" s="1"/>
  <c r="AQ121" i="1"/>
  <c r="AS121" i="1" s="1"/>
  <c r="AR81" i="1"/>
  <c r="AS81" i="1"/>
  <c r="AQ91" i="1"/>
  <c r="BB42" i="11" s="1"/>
  <c r="BB51" i="11" s="1"/>
  <c r="AO81" i="1"/>
  <c r="AM91" i="1"/>
  <c r="AW42" i="11" s="1"/>
  <c r="AW51" i="11" s="1"/>
  <c r="C123" i="1"/>
  <c r="C93" i="1"/>
  <c r="CO22" i="1"/>
  <c r="CC20" i="1"/>
  <c r="Y16" i="1"/>
  <c r="X56" i="1"/>
  <c r="X36" i="1"/>
  <c r="BH55" i="1"/>
  <c r="BH105" i="1"/>
  <c r="BH45" i="1"/>
  <c r="BH35" i="1"/>
  <c r="AZ80" i="1"/>
  <c r="AY90" i="1"/>
  <c r="BA80" i="1"/>
  <c r="AY120" i="1"/>
  <c r="AZ25" i="1"/>
  <c r="AZ55" i="1"/>
  <c r="AZ35" i="1"/>
  <c r="AY85" i="1"/>
  <c r="AV36" i="1"/>
  <c r="AV46" i="1"/>
  <c r="AU86" i="1"/>
  <c r="AU90" i="1"/>
  <c r="BF42" i="11" s="1"/>
  <c r="AU120" i="1"/>
  <c r="AV80" i="1"/>
  <c r="CB133" i="1"/>
  <c r="CG133" i="1" s="1"/>
  <c r="CA143" i="1"/>
  <c r="CB123" i="1"/>
  <c r="BX25" i="1"/>
  <c r="BX55" i="1"/>
  <c r="BX105" i="1"/>
  <c r="AU84" i="1"/>
  <c r="AL21" i="8" s="1"/>
  <c r="AV44" i="1"/>
  <c r="BT105" i="1"/>
  <c r="BT25" i="1"/>
  <c r="BT35" i="1"/>
  <c r="BT55" i="1"/>
  <c r="AZ54" i="1"/>
  <c r="AZ34" i="1"/>
  <c r="AR106" i="1"/>
  <c r="AR56" i="1"/>
  <c r="AR26" i="1"/>
  <c r="AS16" i="1"/>
  <c r="CB16" i="1"/>
  <c r="BX121" i="1"/>
  <c r="BX131" i="1"/>
  <c r="BW141" i="1"/>
  <c r="CC26" i="1"/>
  <c r="BX132" i="1"/>
  <c r="BX122" i="1"/>
  <c r="BW142" i="1"/>
  <c r="BY122" i="1"/>
  <c r="BX120" i="1"/>
  <c r="BW125" i="1"/>
  <c r="BW140" i="1"/>
  <c r="BX130" i="1"/>
  <c r="K86" i="1"/>
  <c r="L26" i="1"/>
  <c r="CB55" i="1"/>
  <c r="CB25" i="1"/>
  <c r="CG25" i="1" s="1"/>
  <c r="CB45" i="1"/>
  <c r="CB35" i="1"/>
  <c r="CB105" i="1"/>
  <c r="BX86" i="1"/>
  <c r="BW96" i="1"/>
  <c r="BS93" i="1"/>
  <c r="BT83" i="1"/>
  <c r="BS123" i="1"/>
  <c r="BU83" i="1"/>
  <c r="K162" i="1"/>
  <c r="K172" i="1"/>
  <c r="L142" i="1"/>
  <c r="BX24" i="1"/>
  <c r="BY24" i="1" s="1"/>
  <c r="BX104" i="1"/>
  <c r="BX14" i="1"/>
  <c r="BX44" i="1"/>
  <c r="W93" i="1"/>
  <c r="Y83" i="1"/>
  <c r="K93" i="1"/>
  <c r="K123" i="1"/>
  <c r="L83" i="1"/>
  <c r="CB34" i="1"/>
  <c r="CB104" i="1"/>
  <c r="CB14" i="1"/>
  <c r="CB44" i="1"/>
  <c r="CB54" i="1"/>
  <c r="CA84" i="1"/>
  <c r="CB24" i="1"/>
  <c r="CC24" i="1" s="1"/>
  <c r="BW123" i="1"/>
  <c r="BX83" i="1"/>
  <c r="BT46" i="1"/>
  <c r="BT56" i="1"/>
  <c r="BT106" i="1"/>
  <c r="BT26" i="1"/>
  <c r="BY26" i="1" s="1"/>
  <c r="BT36" i="1"/>
  <c r="BS86" i="1"/>
  <c r="BT44" i="1"/>
  <c r="BT54" i="1"/>
  <c r="BT104" i="1"/>
  <c r="BT34" i="1"/>
  <c r="BS91" i="1"/>
  <c r="BS121" i="1"/>
  <c r="BS125" i="1" s="1"/>
  <c r="BU81" i="1"/>
  <c r="BT81" i="1"/>
  <c r="BH80" i="1"/>
  <c r="BG90" i="1"/>
  <c r="BG120" i="1"/>
  <c r="BI80" i="1"/>
  <c r="BM80" i="1"/>
  <c r="AY92" i="1"/>
  <c r="BM42" i="11" s="1"/>
  <c r="AZ82" i="1"/>
  <c r="AY122" i="1"/>
  <c r="AY126" i="1" s="1"/>
  <c r="BM20" i="1"/>
  <c r="CB130" i="1"/>
  <c r="CG130" i="1" s="1"/>
  <c r="CA140" i="1"/>
  <c r="CB120" i="1"/>
  <c r="CC120" i="1"/>
  <c r="BY81" i="1"/>
  <c r="AI120" i="1"/>
  <c r="AK80" i="1"/>
  <c r="AJ80" i="1"/>
  <c r="AI90" i="1"/>
  <c r="AQ42" i="11" s="1"/>
  <c r="AF105" i="1"/>
  <c r="AF25" i="1"/>
  <c r="AF55" i="1"/>
  <c r="AF35" i="1"/>
  <c r="Y22" i="1"/>
  <c r="U22" i="1"/>
  <c r="P82" i="1"/>
  <c r="Q82" i="1"/>
  <c r="AU172" i="1"/>
  <c r="BH33" i="11" s="1"/>
  <c r="AV142" i="1"/>
  <c r="AW142" i="1" s="1"/>
  <c r="AU162" i="1"/>
  <c r="AA92" i="1"/>
  <c r="AC82" i="1"/>
  <c r="AA122" i="1"/>
  <c r="AB82" i="1"/>
  <c r="X132" i="1"/>
  <c r="W142" i="1"/>
  <c r="X122" i="1"/>
  <c r="BD120" i="1"/>
  <c r="BD130" i="1"/>
  <c r="BC123" i="1"/>
  <c r="BE123" i="1" s="1"/>
  <c r="BC93" i="1"/>
  <c r="BE83" i="1"/>
  <c r="BC91" i="1"/>
  <c r="BI81" i="1"/>
  <c r="BD81" i="1"/>
  <c r="BC121" i="1"/>
  <c r="BC125" i="1" s="1"/>
  <c r="BE81" i="1"/>
  <c r="AV81" i="1"/>
  <c r="AU121" i="1"/>
  <c r="BA81" i="1"/>
  <c r="AW81" i="1"/>
  <c r="AU91" i="1"/>
  <c r="BG42" i="11" s="1"/>
  <c r="AI85" i="1"/>
  <c r="AK85" i="1" s="1"/>
  <c r="AJ45" i="1"/>
  <c r="AJ25" i="1"/>
  <c r="AJ105" i="1"/>
  <c r="AJ15" i="1"/>
  <c r="AJ35" i="1"/>
  <c r="AE122" i="1"/>
  <c r="AF82" i="1"/>
  <c r="AE84" i="1"/>
  <c r="AF104" i="1"/>
  <c r="AF44" i="1"/>
  <c r="AF24" i="1"/>
  <c r="AC20" i="1"/>
  <c r="O85" i="1"/>
  <c r="P25" i="1"/>
  <c r="Q15" i="1"/>
  <c r="W141" i="1"/>
  <c r="AC141" i="1" s="1"/>
  <c r="X121" i="1"/>
  <c r="X131" i="1"/>
  <c r="BP161" i="1"/>
  <c r="BO181" i="1"/>
  <c r="AA140" i="1"/>
  <c r="AA125" i="1"/>
  <c r="AB135" i="1" s="1"/>
  <c r="AB120" i="1"/>
  <c r="BK125" i="1"/>
  <c r="BL131" i="1"/>
  <c r="BK141" i="1"/>
  <c r="BM141" i="1" s="1"/>
  <c r="BM121" i="1"/>
  <c r="BL121" i="1"/>
  <c r="BQ121" i="1"/>
  <c r="AN131" i="1"/>
  <c r="BD55" i="1"/>
  <c r="BD35" i="1"/>
  <c r="BD45" i="1"/>
  <c r="BD25" i="1"/>
  <c r="S92" i="1"/>
  <c r="U82" i="1"/>
  <c r="Y82" i="1"/>
  <c r="S122" i="1"/>
  <c r="Y122" i="1" s="1"/>
  <c r="AY124" i="1"/>
  <c r="BI21" i="1"/>
  <c r="AV25" i="1"/>
  <c r="AV45" i="1"/>
  <c r="AU85" i="1"/>
  <c r="O120" i="1"/>
  <c r="O90" i="1"/>
  <c r="P80" i="1"/>
  <c r="AR133" i="1"/>
  <c r="AG20" i="1"/>
  <c r="T80" i="1"/>
  <c r="S90" i="1"/>
  <c r="U80" i="1"/>
  <c r="S120" i="1"/>
  <c r="AC16" i="1"/>
  <c r="AB46" i="1"/>
  <c r="AB106" i="1"/>
  <c r="CV54" i="1"/>
  <c r="CZ14" i="1"/>
  <c r="DA24" i="1"/>
  <c r="AL173" i="3"/>
  <c r="CY90" i="1"/>
  <c r="CZ82" i="1"/>
  <c r="CV44" i="1"/>
  <c r="U186" i="3"/>
  <c r="AJ186" i="3" s="1"/>
  <c r="AL186" i="3" s="1"/>
  <c r="CU84" i="1"/>
  <c r="CV34" i="1"/>
  <c r="AG188" i="3"/>
  <c r="CV14" i="1"/>
  <c r="AE181" i="3"/>
  <c r="CY92" i="1"/>
  <c r="AE186" i="3"/>
  <c r="DA82" i="1"/>
  <c r="CV104" i="1"/>
  <c r="DA80" i="1"/>
  <c r="CY120" i="1"/>
  <c r="CZ120" i="1" s="1"/>
  <c r="BN8" i="6"/>
  <c r="W174" i="3"/>
  <c r="M75" i="68"/>
  <c r="M170" i="68" s="1"/>
  <c r="M171" i="68"/>
  <c r="M169" i="68" s="1"/>
  <c r="DD25" i="1"/>
  <c r="DD45" i="1"/>
  <c r="DE15" i="1"/>
  <c r="AL174" i="3"/>
  <c r="W173" i="3"/>
  <c r="CS82" i="1"/>
  <c r="O116" i="68"/>
  <c r="O172" i="68" s="1"/>
  <c r="DD55" i="1"/>
  <c r="DD105" i="1"/>
  <c r="DE82" i="1"/>
  <c r="CV105" i="1"/>
  <c r="DD82" i="1"/>
  <c r="DC122" i="1"/>
  <c r="DE122" i="1" s="1"/>
  <c r="DD83" i="1"/>
  <c r="DC93" i="1"/>
  <c r="AE190" i="3"/>
  <c r="AL180" i="3"/>
  <c r="AN180" i="3" s="1"/>
  <c r="CW15" i="1"/>
  <c r="CV55" i="1"/>
  <c r="CV131" i="1"/>
  <c r="CV121" i="1"/>
  <c r="CV45" i="1"/>
  <c r="CV25" i="1"/>
  <c r="AP201" i="3"/>
  <c r="AP208" i="3" s="1"/>
  <c r="D195" i="3"/>
  <c r="H195" i="3" s="1"/>
  <c r="AG195" i="3" s="1"/>
  <c r="CU85" i="1"/>
  <c r="CV85" i="1" s="1"/>
  <c r="U179" i="3"/>
  <c r="AJ179" i="3" s="1"/>
  <c r="AL179" i="3" s="1"/>
  <c r="W194" i="3"/>
  <c r="CZ134" i="1"/>
  <c r="CU120" i="1"/>
  <c r="CV120" i="1" s="1"/>
  <c r="DA123" i="1"/>
  <c r="L131" i="8"/>
  <c r="L138" i="8"/>
  <c r="DH100" i="1"/>
  <c r="N182" i="3"/>
  <c r="L132" i="8"/>
  <c r="DH10" i="1"/>
  <c r="BR8" i="6" s="1"/>
  <c r="DH20" i="1"/>
  <c r="CY143" i="1"/>
  <c r="DA143" i="1" s="1"/>
  <c r="L133" i="8"/>
  <c r="DH40" i="1"/>
  <c r="L129" i="8"/>
  <c r="L136" i="8"/>
  <c r="L130" i="8"/>
  <c r="L137" i="8"/>
  <c r="BI34" i="6"/>
  <c r="BH40" i="6"/>
  <c r="BQ33" i="6"/>
  <c r="BP39" i="6"/>
  <c r="BQ34" i="6"/>
  <c r="BM34" i="6"/>
  <c r="BL40" i="6"/>
  <c r="AE197" i="3"/>
  <c r="H63" i="3"/>
  <c r="H54" i="3"/>
  <c r="H40" i="3"/>
  <c r="CY126" i="1"/>
  <c r="DA126" i="1" s="1"/>
  <c r="CR121" i="1"/>
  <c r="CV163" i="1"/>
  <c r="CU183" i="1"/>
  <c r="DE20" i="1"/>
  <c r="CO21" i="1"/>
  <c r="U193" i="3"/>
  <c r="AJ193" i="3" s="1"/>
  <c r="AP200" i="3"/>
  <c r="AP207" i="3" s="1"/>
  <c r="H39" i="3"/>
  <c r="CR16" i="1"/>
  <c r="J88" i="8"/>
  <c r="BJ8" i="6"/>
  <c r="BJ14" i="6" s="1"/>
  <c r="BJ20" i="6" s="1"/>
  <c r="BJ26" i="6" s="1"/>
  <c r="BJ32" i="6" s="1"/>
  <c r="D186" i="3"/>
  <c r="H186" i="3" s="1"/>
  <c r="AG186" i="3" s="1"/>
  <c r="CV36" i="1"/>
  <c r="CV26" i="1"/>
  <c r="CV56" i="1"/>
  <c r="CU86" i="1"/>
  <c r="CV46" i="1"/>
  <c r="CW16" i="1"/>
  <c r="CV106" i="1"/>
  <c r="J98" i="8"/>
  <c r="J123" i="8"/>
  <c r="P62" i="8"/>
  <c r="CV146" i="1"/>
  <c r="CV126" i="1"/>
  <c r="CV136" i="1"/>
  <c r="CW80" i="1"/>
  <c r="CV80" i="1"/>
  <c r="CU90" i="1"/>
  <c r="J21" i="8"/>
  <c r="AH58" i="9"/>
  <c r="J97" i="8"/>
  <c r="AI31" i="9"/>
  <c r="AA50" i="9"/>
  <c r="DI14" i="1"/>
  <c r="DH31" i="1"/>
  <c r="DH11" i="1"/>
  <c r="J35" i="8"/>
  <c r="N67" i="8"/>
  <c r="H47" i="3"/>
  <c r="N69" i="8"/>
  <c r="L201" i="3"/>
  <c r="N201" i="3" s="1"/>
  <c r="E315" i="35"/>
  <c r="D316" i="35"/>
  <c r="J202" i="3"/>
  <c r="K201" i="3"/>
  <c r="AA201" i="3"/>
  <c r="E636" i="35"/>
  <c r="H67" i="3"/>
  <c r="AJ43" i="3"/>
  <c r="J87" i="8"/>
  <c r="H41" i="3"/>
  <c r="H55" i="3"/>
  <c r="AJ64" i="3"/>
  <c r="H60" i="3"/>
  <c r="H84" i="3"/>
  <c r="H42" i="3"/>
  <c r="H77" i="3"/>
  <c r="H46" i="3"/>
  <c r="L11" i="4"/>
  <c r="M67" i="9"/>
  <c r="EZ9" i="11"/>
  <c r="L44" i="5"/>
  <c r="L45" i="5" s="1"/>
  <c r="T19" i="8"/>
  <c r="AH20" i="8"/>
  <c r="AJ19" i="8"/>
  <c r="R20" i="8"/>
  <c r="V59" i="7"/>
  <c r="F77" i="42"/>
  <c r="F78" i="42" s="1"/>
  <c r="EE65" i="11"/>
  <c r="AA18" i="3"/>
  <c r="AA20" i="3"/>
  <c r="O86" i="1"/>
  <c r="P106" i="1"/>
  <c r="Q16" i="1"/>
  <c r="P36" i="1"/>
  <c r="P56" i="1"/>
  <c r="P46" i="1"/>
  <c r="AJ44" i="1"/>
  <c r="AJ24" i="1"/>
  <c r="AK24" i="1" s="1"/>
  <c r="AI84" i="1"/>
  <c r="AJ104" i="1"/>
  <c r="AJ54" i="1"/>
  <c r="AJ14" i="1"/>
  <c r="D71" i="3" s="1"/>
  <c r="H71" i="3" s="1"/>
  <c r="AY46" i="11"/>
  <c r="EZ22" i="11"/>
  <c r="BL54" i="1"/>
  <c r="BL104" i="1"/>
  <c r="BL44" i="1"/>
  <c r="BP14" i="1"/>
  <c r="BL34" i="1"/>
  <c r="BL24" i="1"/>
  <c r="BM24" i="1" s="1"/>
  <c r="BK84" i="1"/>
  <c r="BL14" i="1"/>
  <c r="BG95" i="1"/>
  <c r="BM85" i="1"/>
  <c r="BH85" i="1"/>
  <c r="BI85" i="1"/>
  <c r="CJ35" i="1"/>
  <c r="CK15" i="1"/>
  <c r="CJ15" i="1"/>
  <c r="CI85" i="1"/>
  <c r="CJ25" i="1"/>
  <c r="CK25" i="1" s="1"/>
  <c r="CJ55" i="1"/>
  <c r="O136" i="42"/>
  <c r="O15" i="42"/>
  <c r="CJ81" i="1"/>
  <c r="CI121" i="1"/>
  <c r="CI91" i="1"/>
  <c r="CK81" i="1"/>
  <c r="BD54" i="1"/>
  <c r="BC84" i="1"/>
  <c r="BD104" i="1"/>
  <c r="BD44" i="1"/>
  <c r="BD34" i="1"/>
  <c r="BD14" i="1"/>
  <c r="AX46" i="11"/>
  <c r="D194" i="3"/>
  <c r="H194" i="3" s="1"/>
  <c r="BN15" i="6"/>
  <c r="BN21" i="6" s="1"/>
  <c r="BN27" i="6" s="1"/>
  <c r="BN33" i="6" s="1"/>
  <c r="AF85" i="1"/>
  <c r="AB15" i="1"/>
  <c r="CS22" i="1"/>
  <c r="CW22" i="1"/>
  <c r="BB8" i="6"/>
  <c r="BB14" i="6" s="1"/>
  <c r="BB20" i="6" s="1"/>
  <c r="BB26" i="6" s="1"/>
  <c r="BB32" i="6" s="1"/>
  <c r="CR15" i="1"/>
  <c r="AC26" i="1"/>
  <c r="J105" i="8"/>
  <c r="N87" i="8"/>
  <c r="J62" i="8"/>
  <c r="N62" i="8"/>
  <c r="O62" i="9"/>
  <c r="O50" i="9"/>
  <c r="U5" i="4"/>
  <c r="V5" i="5"/>
  <c r="AV16" i="1"/>
  <c r="O121" i="1"/>
  <c r="O91" i="1"/>
  <c r="P81" i="1"/>
  <c r="Q81" i="1"/>
  <c r="CK16" i="1"/>
  <c r="CI86" i="1"/>
  <c r="CO86" i="1" s="1"/>
  <c r="CJ56" i="1"/>
  <c r="CJ36" i="1"/>
  <c r="CJ26" i="1"/>
  <c r="CJ106" i="1"/>
  <c r="CJ46" i="1"/>
  <c r="BD46" i="1"/>
  <c r="BD26" i="1"/>
  <c r="BE16" i="1"/>
  <c r="BD16" i="1"/>
  <c r="BD56" i="1"/>
  <c r="BD106" i="1"/>
  <c r="BC86" i="1"/>
  <c r="P24" i="1"/>
  <c r="Q24" i="1" s="1"/>
  <c r="P44" i="1"/>
  <c r="P54" i="1"/>
  <c r="P14" i="1"/>
  <c r="P104" i="1"/>
  <c r="O84" i="1"/>
  <c r="AW46" i="11"/>
  <c r="DA22" i="1"/>
  <c r="DP22" i="1" s="1"/>
  <c r="DE22" i="1"/>
  <c r="AS22" i="1"/>
  <c r="X123" i="1"/>
  <c r="Y123" i="1"/>
  <c r="W143" i="1"/>
  <c r="X133" i="1"/>
  <c r="W126" i="1"/>
  <c r="BQ20" i="1"/>
  <c r="BU20" i="1"/>
  <c r="AP9" i="6"/>
  <c r="AP15" i="6" s="1"/>
  <c r="AP21" i="6" s="1"/>
  <c r="AP27" i="6" s="1"/>
  <c r="AP33" i="6" s="1"/>
  <c r="CF15" i="1"/>
  <c r="P117" i="8"/>
  <c r="AD117" i="8"/>
  <c r="CJ105" i="1"/>
  <c r="CF44" i="1"/>
  <c r="CN161" i="1"/>
  <c r="CM181" i="1"/>
  <c r="CS161" i="1"/>
  <c r="CR161" i="1"/>
  <c r="CQ181" i="1"/>
  <c r="AF16" i="1"/>
  <c r="CW24" i="1"/>
  <c r="CM96" i="1"/>
  <c r="CN86" i="1"/>
  <c r="CU182" i="1"/>
  <c r="CU166" i="1"/>
  <c r="CV162" i="1"/>
  <c r="CQ172" i="1"/>
  <c r="CR142" i="1"/>
  <c r="CQ162" i="1"/>
  <c r="O74" i="42"/>
  <c r="O109" i="42" s="1"/>
  <c r="L25" i="1"/>
  <c r="BD24" i="1"/>
  <c r="AN24" i="1"/>
  <c r="BH26" i="11"/>
  <c r="D53" i="3"/>
  <c r="H53" i="3" s="1"/>
  <c r="F91" i="3"/>
  <c r="AV46" i="11"/>
  <c r="BF37" i="11"/>
  <c r="BG9" i="11"/>
  <c r="BG13" i="11" s="1"/>
  <c r="D91" i="3"/>
  <c r="H61" i="3"/>
  <c r="F90" i="3"/>
  <c r="N41" i="4"/>
  <c r="N9" i="5" s="1"/>
  <c r="BI19" i="11"/>
  <c r="AL20" i="8"/>
  <c r="BH19" i="11"/>
  <c r="BF38" i="11"/>
  <c r="AL19" i="8"/>
  <c r="FB55" i="11"/>
  <c r="N37" i="5"/>
  <c r="N68" i="9"/>
  <c r="FA11" i="11"/>
  <c r="S78" i="3"/>
  <c r="U78" i="3" s="1"/>
  <c r="H75" i="3"/>
  <c r="BG14" i="11"/>
  <c r="BH9" i="11"/>
  <c r="BG38" i="11"/>
  <c r="H70" i="3"/>
  <c r="N40" i="5"/>
  <c r="FB18" i="11" s="1"/>
  <c r="L76" i="42"/>
  <c r="L109" i="42"/>
  <c r="DE136" i="1"/>
  <c r="AE173" i="1"/>
  <c r="AE163" i="1"/>
  <c r="E50" i="9"/>
  <c r="E62" i="9"/>
  <c r="AS82" i="1"/>
  <c r="AQ122" i="1"/>
  <c r="AQ92" i="1"/>
  <c r="BC42" i="11" s="1"/>
  <c r="AR82" i="1"/>
  <c r="AW82" i="1"/>
  <c r="S91" i="1"/>
  <c r="Y81" i="1"/>
  <c r="S121" i="1"/>
  <c r="U81" i="1"/>
  <c r="T81" i="1"/>
  <c r="I83" i="1"/>
  <c r="H83" i="1"/>
  <c r="G123" i="1"/>
  <c r="G93" i="1"/>
  <c r="M83" i="1"/>
  <c r="U23" i="1"/>
  <c r="Y23" i="1"/>
  <c r="J10" i="6"/>
  <c r="J16" i="6" s="1"/>
  <c r="J22" i="6" s="1"/>
  <c r="J28" i="6" s="1"/>
  <c r="J34" i="6" s="1"/>
  <c r="AR16" i="1"/>
  <c r="AW13" i="11"/>
  <c r="AY6" i="1"/>
  <c r="AE194" i="3"/>
  <c r="AL194" i="3"/>
  <c r="AS80" i="1"/>
  <c r="AQ90" i="1"/>
  <c r="BA42" i="11" s="1"/>
  <c r="BA51" i="11" s="1"/>
  <c r="AW80" i="1"/>
  <c r="AQ120" i="1"/>
  <c r="AR80" i="1"/>
  <c r="N88" i="8"/>
  <c r="P88" i="8"/>
  <c r="P89" i="8"/>
  <c r="J89" i="8"/>
  <c r="I140" i="1"/>
  <c r="H140" i="1"/>
  <c r="G170" i="1"/>
  <c r="H170" i="1" s="1"/>
  <c r="G160" i="1"/>
  <c r="H16" i="1"/>
  <c r="AE140" i="1"/>
  <c r="AF130" i="1"/>
  <c r="AG120" i="1"/>
  <c r="AF120" i="1"/>
  <c r="AE125" i="1"/>
  <c r="T34" i="1"/>
  <c r="T104" i="1"/>
  <c r="X14" i="1"/>
  <c r="D50" i="3" s="1"/>
  <c r="H50" i="3" s="1"/>
  <c r="S84" i="1"/>
  <c r="T44" i="1"/>
  <c r="T14" i="1"/>
  <c r="D43" i="3" s="1"/>
  <c r="H43" i="3" s="1"/>
  <c r="T54" i="1"/>
  <c r="T24" i="1"/>
  <c r="AX13" i="11"/>
  <c r="AF131" i="1"/>
  <c r="AF121" i="1"/>
  <c r="AG121" i="1"/>
  <c r="AE141" i="1"/>
  <c r="AF86" i="1"/>
  <c r="AE96" i="1"/>
  <c r="AG86" i="1"/>
  <c r="BQ15" i="1"/>
  <c r="BP25" i="1"/>
  <c r="BP55" i="1"/>
  <c r="BP35" i="1"/>
  <c r="BP105" i="1"/>
  <c r="BP45" i="1"/>
  <c r="BO85" i="1"/>
  <c r="BT16" i="1"/>
  <c r="AD10" i="6"/>
  <c r="AD16" i="6" s="1"/>
  <c r="AD22" i="6" s="1"/>
  <c r="AD28" i="6" s="1"/>
  <c r="AD34" i="6" s="1"/>
  <c r="CV15" i="1"/>
  <c r="BF8" i="6"/>
  <c r="BF14" i="6" s="1"/>
  <c r="BF20" i="6" s="1"/>
  <c r="BF26" i="6" s="1"/>
  <c r="BF32" i="6" s="1"/>
  <c r="AN86" i="1"/>
  <c r="AM96" i="1"/>
  <c r="AO86" i="1"/>
  <c r="CR133" i="1"/>
  <c r="CW123" i="1"/>
  <c r="CR123" i="1"/>
  <c r="CQ143" i="1"/>
  <c r="CQ126" i="1"/>
  <c r="BO124" i="1"/>
  <c r="BU124" i="1" s="1"/>
  <c r="BO94" i="1"/>
  <c r="BP84" i="1"/>
  <c r="BQ84" i="1"/>
  <c r="P108" i="42"/>
  <c r="P74" i="42"/>
  <c r="P122" i="1"/>
  <c r="P132" i="1"/>
  <c r="O142" i="1"/>
  <c r="Q122" i="1"/>
  <c r="DE35" i="1"/>
  <c r="DD35" i="1"/>
  <c r="CF56" i="1"/>
  <c r="CF26" i="1"/>
  <c r="CG26" i="1" s="1"/>
  <c r="CF106" i="1"/>
  <c r="CF36" i="1"/>
  <c r="CF46" i="1"/>
  <c r="CE86" i="1"/>
  <c r="CF16" i="1"/>
  <c r="CG16" i="1"/>
  <c r="G86" i="1"/>
  <c r="H56" i="1"/>
  <c r="H46" i="1"/>
  <c r="I16" i="1"/>
  <c r="H26" i="1"/>
  <c r="M26" i="1" s="1"/>
  <c r="H106" i="1"/>
  <c r="BU24" i="1"/>
  <c r="CF85" i="1"/>
  <c r="CG85" i="1"/>
  <c r="BS140" i="1"/>
  <c r="BT120" i="1"/>
  <c r="BY120" i="1"/>
  <c r="BT130" i="1"/>
  <c r="BU120" i="1"/>
  <c r="P34" i="1"/>
  <c r="U181" i="3"/>
  <c r="AP188" i="3"/>
  <c r="AE193" i="3"/>
  <c r="AG193" i="3" s="1"/>
  <c r="AE200" i="3"/>
  <c r="AD8" i="6"/>
  <c r="AD14" i="6" s="1"/>
  <c r="AD20" i="6" s="1"/>
  <c r="AD26" i="6" s="1"/>
  <c r="AD32" i="6" s="1"/>
  <c r="BT15" i="1"/>
  <c r="D34" i="1"/>
  <c r="C84" i="1"/>
  <c r="BK126" i="1"/>
  <c r="BK142" i="1"/>
  <c r="BL132" i="1"/>
  <c r="BM122" i="1"/>
  <c r="BL122" i="1"/>
  <c r="BA24" i="1"/>
  <c r="CS21" i="1"/>
  <c r="BL86" i="1"/>
  <c r="BK96" i="1"/>
  <c r="BM86" i="1"/>
  <c r="D99" i="3"/>
  <c r="N97" i="8"/>
  <c r="J90" i="8"/>
  <c r="P90" i="8"/>
  <c r="CZ122" i="1"/>
  <c r="CZ132" i="1"/>
  <c r="CY142" i="1"/>
  <c r="DA122" i="1"/>
  <c r="N76" i="8"/>
  <c r="AE180" i="3"/>
  <c r="F51" i="7"/>
  <c r="BX134" i="1"/>
  <c r="BX124" i="1"/>
  <c r="BY124" i="1"/>
  <c r="T56" i="1"/>
  <c r="BR10" i="6"/>
  <c r="BR16" i="6" s="1"/>
  <c r="BR22" i="6" s="1"/>
  <c r="BR28" i="6" s="1"/>
  <c r="BR34" i="6" s="1"/>
  <c r="DG16" i="1"/>
  <c r="DI16" i="1" s="1"/>
  <c r="DH52" i="1"/>
  <c r="DH102" i="1"/>
  <c r="DH32" i="1"/>
  <c r="DH42" i="1"/>
  <c r="DH80" i="1"/>
  <c r="DG83" i="1"/>
  <c r="DH43" i="1"/>
  <c r="DH13" i="1"/>
  <c r="BR11" i="6" s="1"/>
  <c r="BR17" i="6" s="1"/>
  <c r="BR23" i="6" s="1"/>
  <c r="BR29" i="6" s="1"/>
  <c r="BR35" i="6" s="1"/>
  <c r="DH103" i="1"/>
  <c r="DH33" i="1"/>
  <c r="DH53" i="1"/>
  <c r="J51" i="7"/>
  <c r="AG26" i="1"/>
  <c r="X124" i="1"/>
  <c r="BI36" i="11"/>
  <c r="BL42" i="11"/>
  <c r="BN19" i="11"/>
  <c r="BN37" i="11"/>
  <c r="BL37" i="11"/>
  <c r="AL18" i="8"/>
  <c r="BD54" i="11"/>
  <c r="BD13" i="11"/>
  <c r="BG15" i="11"/>
  <c r="BI22" i="11"/>
  <c r="BN9" i="11"/>
  <c r="F97" i="3"/>
  <c r="BN11" i="11"/>
  <c r="BN18" i="11"/>
  <c r="N24" i="5"/>
  <c r="D89" i="3"/>
  <c r="D10" i="8"/>
  <c r="U81" i="3"/>
  <c r="AJ81" i="3" s="1"/>
  <c r="BG17" i="11"/>
  <c r="AL25" i="8"/>
  <c r="D88" i="3"/>
  <c r="H68" i="3"/>
  <c r="O50" i="5"/>
  <c r="FC23" i="11" s="1"/>
  <c r="F17" i="8"/>
  <c r="U82" i="3"/>
  <c r="AJ82" i="3" s="1"/>
  <c r="D11" i="8"/>
  <c r="EZ16" i="11"/>
  <c r="BF36" i="11"/>
  <c r="D49" i="3"/>
  <c r="H49" i="3" s="1"/>
  <c r="F99" i="3"/>
  <c r="BK55" i="11"/>
  <c r="F21" i="8"/>
  <c r="O37" i="5"/>
  <c r="S89" i="3"/>
  <c r="D83" i="3"/>
  <c r="H83" i="3" s="1"/>
  <c r="D74" i="3"/>
  <c r="H74" i="3" s="1"/>
  <c r="BF30" i="11"/>
  <c r="O42" i="5"/>
  <c r="FC19" i="11" s="1"/>
  <c r="S88" i="3"/>
  <c r="D76" i="3"/>
  <c r="H76" i="3" s="1"/>
  <c r="BI30" i="11"/>
  <c r="BF15" i="11"/>
  <c r="BM15" i="11"/>
  <c r="BN36" i="11"/>
  <c r="BN30" i="11"/>
  <c r="BK14" i="11"/>
  <c r="BK56" i="11" s="1"/>
  <c r="AL17" i="8"/>
  <c r="N62" i="5"/>
  <c r="FB30" i="11" s="1"/>
  <c r="D81" i="3"/>
  <c r="H81" i="3" s="1"/>
  <c r="BB13" i="11"/>
  <c r="BB54" i="11"/>
  <c r="H82" i="3"/>
  <c r="L77" i="42"/>
  <c r="L112" i="42" s="1"/>
  <c r="DC85" i="1"/>
  <c r="Y21" i="1"/>
  <c r="AG24" i="1"/>
  <c r="P26" i="1"/>
  <c r="Q26" i="1" s="1"/>
  <c r="DI35" i="1"/>
  <c r="AN120" i="1"/>
  <c r="AM140" i="1"/>
  <c r="AN130" i="1"/>
  <c r="AM125" i="1"/>
  <c r="AO120" i="1"/>
  <c r="P16" i="1"/>
  <c r="BF10" i="6"/>
  <c r="BF16" i="6" s="1"/>
  <c r="BF22" i="6" s="1"/>
  <c r="BF28" i="6" s="1"/>
  <c r="BF34" i="6" s="1"/>
  <c r="CV16" i="1"/>
  <c r="AI122" i="1"/>
  <c r="AI126" i="1" s="1"/>
  <c r="AK82" i="1"/>
  <c r="AI92" i="1"/>
  <c r="AS42" i="11" s="1"/>
  <c r="AJ82" i="1"/>
  <c r="CJ44" i="1"/>
  <c r="CN14" i="1"/>
  <c r="CJ34" i="1"/>
  <c r="CI84" i="1"/>
  <c r="CU87" i="1" s="1"/>
  <c r="CJ24" i="1"/>
  <c r="CJ54" i="1"/>
  <c r="CJ104" i="1"/>
  <c r="CJ14" i="1"/>
  <c r="Z62" i="9"/>
  <c r="CN83" i="1"/>
  <c r="CM123" i="1"/>
  <c r="CM93" i="1"/>
  <c r="CO83" i="1"/>
  <c r="AN16" i="1"/>
  <c r="P66" i="8"/>
  <c r="AD115" i="8"/>
  <c r="U50" i="9"/>
  <c r="U62" i="9"/>
  <c r="T45" i="1"/>
  <c r="T15" i="1"/>
  <c r="U15" i="1"/>
  <c r="S85" i="1"/>
  <c r="T55" i="1"/>
  <c r="T35" i="1"/>
  <c r="T25" i="1"/>
  <c r="T105" i="1"/>
  <c r="AR104" i="1"/>
  <c r="AR24" i="1"/>
  <c r="AS24" i="1" s="1"/>
  <c r="AR44" i="1"/>
  <c r="AR14" i="1"/>
  <c r="D85" i="3" s="1"/>
  <c r="H85" i="3" s="1"/>
  <c r="AQ84" i="1"/>
  <c r="AR54" i="1"/>
  <c r="DA135" i="1"/>
  <c r="DE135" i="1"/>
  <c r="CZ26" i="1"/>
  <c r="DA16" i="1"/>
  <c r="CY86" i="1"/>
  <c r="DE86" i="1" s="1"/>
  <c r="CZ106" i="1"/>
  <c r="CZ36" i="1"/>
  <c r="CZ46" i="1"/>
  <c r="CZ56" i="1"/>
  <c r="DE80" i="1"/>
  <c r="DC120" i="1"/>
  <c r="DC90" i="1"/>
  <c r="DD80" i="1"/>
  <c r="AB83" i="1"/>
  <c r="AA123" i="1"/>
  <c r="AC83" i="1"/>
  <c r="AA93" i="1"/>
  <c r="DD54" i="1"/>
  <c r="DD44" i="1"/>
  <c r="DC84" i="1"/>
  <c r="DD104" i="1"/>
  <c r="DD14" i="1"/>
  <c r="CS83" i="1"/>
  <c r="BP15" i="1"/>
  <c r="CS23" i="1"/>
  <c r="P60" i="8"/>
  <c r="N60" i="8"/>
  <c r="BG146" i="1"/>
  <c r="DH41" i="1"/>
  <c r="DG81" i="1"/>
  <c r="DM81" i="1" s="1"/>
  <c r="DH101" i="1"/>
  <c r="DH51" i="1"/>
  <c r="DG14" i="1"/>
  <c r="DG15" i="1"/>
  <c r="DI15" i="1" s="1"/>
  <c r="W180" i="3"/>
  <c r="S34" i="3"/>
  <c r="U34" i="3" s="1"/>
  <c r="AJ34" i="3" s="1"/>
  <c r="D34" i="3"/>
  <c r="F34" i="3"/>
  <c r="D32" i="3"/>
  <c r="S33" i="3"/>
  <c r="U33" i="3" s="1"/>
  <c r="AJ33" i="3" s="1"/>
  <c r="F36" i="3"/>
  <c r="F32" i="3"/>
  <c r="F35" i="3"/>
  <c r="D36" i="3"/>
  <c r="A24" i="3"/>
  <c r="S32" i="3"/>
  <c r="U32" i="3" s="1"/>
  <c r="AJ32" i="3" s="1"/>
  <c r="F33" i="3"/>
  <c r="S36" i="3"/>
  <c r="U36" i="3" s="1"/>
  <c r="S35" i="3"/>
  <c r="U35" i="3" s="1"/>
  <c r="AJ35" i="3" s="1"/>
  <c r="D33" i="3"/>
  <c r="C92" i="1"/>
  <c r="C122" i="1"/>
  <c r="W90" i="1"/>
  <c r="W120" i="1"/>
  <c r="X80" i="1"/>
  <c r="AC80" i="1"/>
  <c r="Y80" i="1"/>
  <c r="AN105" i="1"/>
  <c r="AN35" i="1"/>
  <c r="AO15" i="1"/>
  <c r="AN25" i="1"/>
  <c r="AN45" i="1"/>
  <c r="AN15" i="1"/>
  <c r="AN55" i="1"/>
  <c r="AM85" i="1"/>
  <c r="CE123" i="1"/>
  <c r="CE93" i="1"/>
  <c r="CF83" i="1"/>
  <c r="CG83" i="1"/>
  <c r="M68" i="9"/>
  <c r="EZ11" i="11"/>
  <c r="L12" i="5"/>
  <c r="CS20" i="1"/>
  <c r="CY85" i="1"/>
  <c r="CZ25" i="1"/>
  <c r="DA15" i="1"/>
  <c r="CZ55" i="1"/>
  <c r="CZ15" i="1"/>
  <c r="CZ105" i="1"/>
  <c r="CZ35" i="1"/>
  <c r="DC121" i="1"/>
  <c r="DC91" i="1"/>
  <c r="DD81" i="1"/>
  <c r="DE81" i="1"/>
  <c r="AC21" i="1"/>
  <c r="AG21" i="1"/>
  <c r="BP82" i="1"/>
  <c r="BO92" i="1"/>
  <c r="BQ82" i="1"/>
  <c r="BO122" i="1"/>
  <c r="BU82" i="1"/>
  <c r="CS16" i="1"/>
  <c r="CR46" i="1"/>
  <c r="CQ86" i="1"/>
  <c r="CR56" i="1"/>
  <c r="CR106" i="1"/>
  <c r="CR36" i="1"/>
  <c r="CR26" i="1"/>
  <c r="D135" i="1"/>
  <c r="D125" i="1"/>
  <c r="N61" i="8"/>
  <c r="J61" i="8"/>
  <c r="P61" i="8"/>
  <c r="AM171" i="1"/>
  <c r="W68" i="42"/>
  <c r="V103" i="42"/>
  <c r="CZ45" i="1"/>
  <c r="BP120" i="1"/>
  <c r="BP130" i="1"/>
  <c r="BO125" i="1"/>
  <c r="BO140" i="1"/>
  <c r="BQ120" i="1"/>
  <c r="DD15" i="1"/>
  <c r="CR171" i="1"/>
  <c r="DN6" i="11"/>
  <c r="DI5" i="11"/>
  <c r="DJ5" i="11" s="1"/>
  <c r="DK5" i="11" s="1"/>
  <c r="CN16" i="1"/>
  <c r="CI162" i="1"/>
  <c r="CJ142" i="1"/>
  <c r="CI172" i="1"/>
  <c r="AW20" i="1"/>
  <c r="DD24" i="1"/>
  <c r="DE24" i="1" s="1"/>
  <c r="DG25" i="1"/>
  <c r="DH25" i="1" s="1"/>
  <c r="DM25" i="1" s="1"/>
  <c r="BU84" i="1"/>
  <c r="D24" i="1"/>
  <c r="AA124" i="1"/>
  <c r="AB84" i="1"/>
  <c r="AA94" i="1"/>
  <c r="AC84" i="1"/>
  <c r="BN23" i="11"/>
  <c r="F19" i="8"/>
  <c r="EZ15" i="11"/>
  <c r="L38" i="5"/>
  <c r="BI15" i="11"/>
  <c r="BF14" i="11"/>
  <c r="BL9" i="11"/>
  <c r="S71" i="3"/>
  <c r="U71" i="3" s="1"/>
  <c r="O73" i="5"/>
  <c r="FC36" i="11" s="1"/>
  <c r="N35" i="5"/>
  <c r="FB17" i="11" s="1"/>
  <c r="BL55" i="11"/>
  <c r="S90" i="3"/>
  <c r="BH37" i="11"/>
  <c r="BG26" i="11"/>
  <c r="AL28" i="8"/>
  <c r="BK9" i="11"/>
  <c r="BK36" i="11"/>
  <c r="BK38" i="11"/>
  <c r="BK15" i="11"/>
  <c r="BM23" i="11"/>
  <c r="BM14" i="11"/>
  <c r="FB37" i="11"/>
  <c r="N73" i="5"/>
  <c r="FB36" i="11" s="1"/>
  <c r="N56" i="5"/>
  <c r="FB26" i="11" s="1"/>
  <c r="U83" i="3"/>
  <c r="AJ83" i="3" s="1"/>
  <c r="D12" i="8"/>
  <c r="S92" i="3"/>
  <c r="H69" i="3"/>
  <c r="BK11" i="11"/>
  <c r="BM38" i="11"/>
  <c r="S43" i="3"/>
  <c r="U43" i="3" s="1"/>
  <c r="BG22" i="11"/>
  <c r="BG19" i="11"/>
  <c r="H62" i="3"/>
  <c r="D97" i="3"/>
  <c r="BN15" i="11"/>
  <c r="BL23" i="11"/>
  <c r="F18" i="8"/>
  <c r="M7" i="5"/>
  <c r="M12" i="5" s="1"/>
  <c r="FA22" i="11"/>
  <c r="M48" i="5"/>
  <c r="BD46" i="11"/>
  <c r="BD56" i="11"/>
  <c r="BA46" i="11"/>
  <c r="BA56" i="11"/>
  <c r="BC172" i="1"/>
  <c r="BC162" i="1"/>
  <c r="BD142" i="1"/>
  <c r="CZ16" i="1"/>
  <c r="AK86" i="1"/>
  <c r="H36" i="1"/>
  <c r="AA25" i="3"/>
  <c r="J50" i="9"/>
  <c r="J62" i="9"/>
  <c r="AN54" i="1"/>
  <c r="AN104" i="1"/>
  <c r="AN34" i="1"/>
  <c r="AN44" i="1"/>
  <c r="AM84" i="1"/>
  <c r="AN14" i="1"/>
  <c r="D78" i="3" s="1"/>
  <c r="H78" i="3" s="1"/>
  <c r="CN35" i="1"/>
  <c r="CN55" i="1"/>
  <c r="CN45" i="1"/>
  <c r="CM85" i="1"/>
  <c r="CO15" i="1"/>
  <c r="CN105" i="1"/>
  <c r="CN15" i="1"/>
  <c r="AY13" i="11"/>
  <c r="M69" i="9"/>
  <c r="L25" i="5"/>
  <c r="EZ14" i="11"/>
  <c r="DD34" i="1"/>
  <c r="DE34" i="1"/>
  <c r="CK83" i="1"/>
  <c r="CI93" i="1"/>
  <c r="CJ83" i="1"/>
  <c r="CI123" i="1"/>
  <c r="V10" i="6"/>
  <c r="V16" i="6" s="1"/>
  <c r="V22" i="6" s="1"/>
  <c r="V28" i="6" s="1"/>
  <c r="V34" i="6" s="1"/>
  <c r="BL16" i="1"/>
  <c r="BQ22" i="1"/>
  <c r="BU22" i="1"/>
  <c r="CS15" i="1"/>
  <c r="CR55" i="1"/>
  <c r="CR45" i="1"/>
  <c r="CR35" i="1"/>
  <c r="CQ85" i="1"/>
  <c r="CR25" i="1"/>
  <c r="CR105" i="1"/>
  <c r="DD133" i="1"/>
  <c r="DD123" i="1"/>
  <c r="DE123" i="1"/>
  <c r="DC96" i="1"/>
  <c r="K35" i="5"/>
  <c r="EY17" i="11" s="1"/>
  <c r="K24" i="5"/>
  <c r="K56" i="5"/>
  <c r="EY26" i="11" s="1"/>
  <c r="K5" i="4"/>
  <c r="K41" i="4" s="1"/>
  <c r="K9" i="5" s="1"/>
  <c r="K11" i="5"/>
  <c r="K40" i="5"/>
  <c r="EY18" i="11" s="1"/>
  <c r="K73" i="5"/>
  <c r="EY36" i="11" s="1"/>
  <c r="K50" i="5"/>
  <c r="EY23" i="11" s="1"/>
  <c r="K47" i="5"/>
  <c r="L48" i="5" s="1"/>
  <c r="J5" i="5"/>
  <c r="K62" i="5"/>
  <c r="EY30" i="11" s="1"/>
  <c r="K7" i="5"/>
  <c r="L8" i="5" s="1"/>
  <c r="L84" i="1"/>
  <c r="K94" i="1"/>
  <c r="ES42" i="11" s="1"/>
  <c r="K124" i="1"/>
  <c r="CE121" i="1"/>
  <c r="CF81" i="1"/>
  <c r="CE91" i="1"/>
  <c r="CG81" i="1"/>
  <c r="BE23" i="1"/>
  <c r="BI23" i="1"/>
  <c r="O93" i="1"/>
  <c r="Q83" i="1"/>
  <c r="P83" i="1"/>
  <c r="O123" i="1"/>
  <c r="AM122" i="1"/>
  <c r="AO82" i="1"/>
  <c r="AM92" i="1"/>
  <c r="AX42" i="11" s="1"/>
  <c r="AN82" i="1"/>
  <c r="AR55" i="1"/>
  <c r="AQ85" i="1"/>
  <c r="AR45" i="1"/>
  <c r="AR105" i="1"/>
  <c r="AS15" i="1"/>
  <c r="AR35" i="1"/>
  <c r="AR15" i="1"/>
  <c r="AV13" i="11"/>
  <c r="BG161" i="1"/>
  <c r="BH141" i="1"/>
  <c r="BG171" i="1"/>
  <c r="AA85" i="1"/>
  <c r="AC15" i="1"/>
  <c r="AB55" i="1"/>
  <c r="AB105" i="1"/>
  <c r="AB35" i="1"/>
  <c r="AB45" i="1"/>
  <c r="AB25" i="1"/>
  <c r="AJ133" i="1"/>
  <c r="AI143" i="1"/>
  <c r="AK123" i="1"/>
  <c r="AJ123" i="1"/>
  <c r="K85" i="1"/>
  <c r="L35" i="1"/>
  <c r="M15" i="1"/>
  <c r="L55" i="1"/>
  <c r="L45" i="1"/>
  <c r="X86" i="1"/>
  <c r="AV14" i="1"/>
  <c r="D92" i="3" s="1"/>
  <c r="AD116" i="8"/>
  <c r="P116" i="8"/>
  <c r="J81" i="8"/>
  <c r="J80" i="8"/>
  <c r="P80" i="8"/>
  <c r="S173" i="1"/>
  <c r="S163" i="1"/>
  <c r="T143" i="1"/>
  <c r="CN125" i="1"/>
  <c r="AF34" i="7"/>
  <c r="P47" i="7"/>
  <c r="P53" i="7" s="1"/>
  <c r="DP65" i="11" s="1"/>
  <c r="AZ41" i="6"/>
  <c r="BA35" i="6"/>
  <c r="BE35" i="6"/>
  <c r="K120" i="1"/>
  <c r="L80" i="1"/>
  <c r="Q80" i="1"/>
  <c r="K90" i="1"/>
  <c r="M80" i="1"/>
  <c r="AL6" i="11"/>
  <c r="AN42" i="11" s="1"/>
  <c r="AQ18" i="11"/>
  <c r="AT9" i="11"/>
  <c r="AT51" i="11" s="1"/>
  <c r="AQ55" i="11"/>
  <c r="AT15" i="11"/>
  <c r="AT55" i="11"/>
  <c r="AQ19" i="11"/>
  <c r="AS15" i="11"/>
  <c r="AS9" i="11"/>
  <c r="AX54" i="11" s="1"/>
  <c r="AR19" i="11"/>
  <c r="AT23" i="11"/>
  <c r="AR55" i="11"/>
  <c r="AQ36" i="11"/>
  <c r="AQ26" i="11"/>
  <c r="AQ11" i="11"/>
  <c r="AR22" i="11"/>
  <c r="AT19" i="11"/>
  <c r="AQ22" i="11"/>
  <c r="AR17" i="11"/>
  <c r="AQ23" i="11"/>
  <c r="AS23" i="11"/>
  <c r="AQ14" i="11"/>
  <c r="AQ30" i="11"/>
  <c r="AS18" i="11"/>
  <c r="AT11" i="11"/>
  <c r="AT36" i="11"/>
  <c r="AS36" i="11"/>
  <c r="AT26" i="11"/>
  <c r="AT17" i="11"/>
  <c r="AR42" i="11"/>
  <c r="AT18" i="11"/>
  <c r="AR18" i="11"/>
  <c r="AS11" i="11"/>
  <c r="AR15" i="11"/>
  <c r="AR37" i="11"/>
  <c r="AQ5" i="11"/>
  <c r="AR5" i="11" s="1"/>
  <c r="AS5" i="11" s="1"/>
  <c r="AT5" i="11" s="1"/>
  <c r="AR23" i="11"/>
  <c r="AT14" i="11"/>
  <c r="AY56" i="11" s="1"/>
  <c r="AS14" i="11"/>
  <c r="AS26" i="11"/>
  <c r="AS55" i="11"/>
  <c r="AR11" i="11"/>
  <c r="AQ9" i="11"/>
  <c r="AR36" i="11"/>
  <c r="AR14" i="11"/>
  <c r="AW56" i="11" s="1"/>
  <c r="AS19" i="11"/>
  <c r="AQ15" i="11"/>
  <c r="AT30" i="11"/>
  <c r="AS37" i="11"/>
  <c r="AS17" i="11"/>
  <c r="AR9" i="11"/>
  <c r="AT37" i="11"/>
  <c r="AR26" i="11"/>
  <c r="AS30" i="11"/>
  <c r="AQ17" i="11"/>
  <c r="AQ37" i="11"/>
  <c r="AT22" i="11"/>
  <c r="AR30" i="11"/>
  <c r="BO86" i="1"/>
  <c r="BQ16" i="1"/>
  <c r="BP46" i="1"/>
  <c r="BP16" i="1"/>
  <c r="BP26" i="1"/>
  <c r="BP106" i="1"/>
  <c r="CE84" i="1"/>
  <c r="CF14" i="1"/>
  <c r="CF34" i="1"/>
  <c r="CF54" i="1"/>
  <c r="CF24" i="1"/>
  <c r="BH16" i="1"/>
  <c r="R11" i="6"/>
  <c r="R17" i="6" s="1"/>
  <c r="R23" i="6" s="1"/>
  <c r="R29" i="6" s="1"/>
  <c r="R35" i="6" s="1"/>
  <c r="D35" i="3"/>
  <c r="T36" i="1"/>
  <c r="U16" i="1"/>
  <c r="T16" i="1"/>
  <c r="S86" i="1"/>
  <c r="T26" i="1"/>
  <c r="Y26" i="1" s="1"/>
  <c r="AR34" i="1"/>
  <c r="AE187" i="3"/>
  <c r="BP36" i="1"/>
  <c r="CS80" i="1"/>
  <c r="CQ90" i="1"/>
  <c r="CR80" i="1"/>
  <c r="CQ120" i="1"/>
  <c r="W85" i="1"/>
  <c r="X45" i="1"/>
  <c r="X35" i="1"/>
  <c r="X105" i="1"/>
  <c r="X25" i="1"/>
  <c r="Y15" i="1"/>
  <c r="X55" i="1"/>
  <c r="AG83" i="1"/>
  <c r="CE170" i="1"/>
  <c r="CG140" i="1"/>
  <c r="CF140" i="1"/>
  <c r="CE160" i="1"/>
  <c r="D131" i="1"/>
  <c r="C141" i="1"/>
  <c r="D121" i="1"/>
  <c r="AZ133" i="1"/>
  <c r="BA123" i="1"/>
  <c r="AY143" i="1"/>
  <c r="AZ123" i="1"/>
  <c r="AC86" i="1"/>
  <c r="AA96" i="1"/>
  <c r="AB86" i="1"/>
  <c r="BI38" i="11"/>
  <c r="DA21" i="1"/>
  <c r="DE21" i="1"/>
  <c r="CV141" i="1"/>
  <c r="CU171" i="1"/>
  <c r="CV171" i="1" s="1"/>
  <c r="CU161" i="1"/>
  <c r="CW141" i="1"/>
  <c r="J49" i="8"/>
  <c r="T106" i="1"/>
  <c r="CJ45" i="1"/>
  <c r="AJ34" i="1"/>
  <c r="DI34" i="1"/>
  <c r="CQ94" i="1"/>
  <c r="CQ124" i="1"/>
  <c r="CR84" i="1"/>
  <c r="CO81" i="1"/>
  <c r="D160" i="1"/>
  <c r="C180" i="1"/>
  <c r="CW142" i="1"/>
  <c r="AL193" i="3"/>
  <c r="CW20" i="1"/>
  <c r="N59" i="7"/>
  <c r="BT124" i="1"/>
  <c r="AR25" i="1"/>
  <c r="BH42" i="11"/>
  <c r="D95" i="3"/>
  <c r="AJ57" i="3"/>
  <c r="BL19" i="11"/>
  <c r="BM37" i="11"/>
  <c r="N42" i="5"/>
  <c r="FB19" i="11" s="1"/>
  <c r="U84" i="3"/>
  <c r="AJ84" i="3" s="1"/>
  <c r="D13" i="8"/>
  <c r="BH22" i="11"/>
  <c r="BH14" i="11"/>
  <c r="N7" i="5"/>
  <c r="D90" i="3"/>
  <c r="S95" i="3"/>
  <c r="O41" i="4"/>
  <c r="O9" i="5" s="1"/>
  <c r="BL18" i="11"/>
  <c r="F88" i="3"/>
  <c r="F92" i="3"/>
  <c r="BC13" i="11"/>
  <c r="BC54" i="11"/>
  <c r="BC56" i="11"/>
  <c r="BC46" i="11"/>
  <c r="BB46" i="11"/>
  <c r="BB56" i="11"/>
  <c r="BI26" i="11"/>
  <c r="F27" i="8"/>
  <c r="F89" i="3"/>
  <c r="BH18" i="11"/>
  <c r="BG55" i="11"/>
  <c r="S91" i="3"/>
  <c r="BL30" i="11"/>
  <c r="BK23" i="11"/>
  <c r="O56" i="5"/>
  <c r="BN14" i="11"/>
  <c r="FB38" i="11"/>
  <c r="N11" i="5"/>
  <c r="N69" i="9"/>
  <c r="FA14" i="11"/>
  <c r="AJ78" i="3"/>
  <c r="BF9" i="11"/>
  <c r="BM9" i="11"/>
  <c r="O40" i="5"/>
  <c r="FC18" i="11" s="1"/>
  <c r="F24" i="8"/>
  <c r="S85" i="3"/>
  <c r="BH38" i="11"/>
  <c r="BG23" i="11"/>
  <c r="O7" i="5"/>
  <c r="S98" i="3"/>
  <c r="H48" i="3"/>
  <c r="AJ71" i="3"/>
  <c r="BL22" i="11"/>
  <c r="BL36" i="11"/>
  <c r="BM19" i="11"/>
  <c r="BK18" i="11"/>
  <c r="O62" i="5"/>
  <c r="BN22" i="11"/>
  <c r="BK26" i="11"/>
  <c r="F98" i="3"/>
  <c r="FC37" i="11"/>
  <c r="N47" i="5"/>
  <c r="FA16" i="11"/>
  <c r="BA13" i="11"/>
  <c r="BA54" i="11"/>
  <c r="L108" i="42"/>
  <c r="AL187" i="3"/>
  <c r="AB125" i="1"/>
  <c r="AA161" i="1"/>
  <c r="AB141" i="1"/>
  <c r="AA171" i="1"/>
  <c r="T50" i="7"/>
  <c r="J56" i="8"/>
  <c r="J28" i="8"/>
  <c r="B67" i="5"/>
  <c r="B70" i="5" s="1"/>
  <c r="B60" i="5"/>
  <c r="B64" i="5"/>
  <c r="B65" i="5" s="1"/>
  <c r="CN124" i="1"/>
  <c r="CN134" i="1"/>
  <c r="CM144" i="1"/>
  <c r="BO183" i="1"/>
  <c r="BP163" i="1"/>
  <c r="CU202" i="1"/>
  <c r="CY198" i="1"/>
  <c r="CY199" i="1" s="1"/>
  <c r="CY200" i="1" s="1"/>
  <c r="CY201" i="1" s="1"/>
  <c r="T25" i="42"/>
  <c r="BI32" i="6"/>
  <c r="BH38" i="6"/>
  <c r="BM32" i="6"/>
  <c r="BL38" i="6"/>
  <c r="H109" i="42"/>
  <c r="I108" i="42"/>
  <c r="H75" i="42"/>
  <c r="D108" i="42"/>
  <c r="E107" i="42"/>
  <c r="D74" i="42"/>
  <c r="D75" i="42"/>
  <c r="D110" i="42" s="1"/>
  <c r="M54" i="42"/>
  <c r="F54" i="42"/>
  <c r="Z46" i="7"/>
  <c r="Z52" i="7" s="1"/>
  <c r="Z58" i="7"/>
  <c r="G25" i="42"/>
  <c r="AB46" i="7"/>
  <c r="AB52" i="7" s="1"/>
  <c r="AB58" i="7"/>
  <c r="AJ50" i="3"/>
  <c r="BN5" i="11"/>
  <c r="L25" i="3"/>
  <c r="AH51" i="7"/>
  <c r="N25" i="42"/>
  <c r="Q25" i="42"/>
  <c r="F59" i="7"/>
  <c r="J75" i="42"/>
  <c r="K108" i="42"/>
  <c r="FH6" i="11"/>
  <c r="FG62" i="11"/>
  <c r="EY15" i="11"/>
  <c r="BA34" i="6"/>
  <c r="BE34" i="6"/>
  <c r="AZ40" i="6"/>
  <c r="FB23" i="11"/>
  <c r="L111" i="42"/>
  <c r="U102" i="42"/>
  <c r="V101" i="42"/>
  <c r="V67" i="42"/>
  <c r="O25" i="42"/>
  <c r="M107" i="42"/>
  <c r="N106" i="42"/>
  <c r="M74" i="42"/>
  <c r="X10" i="4"/>
  <c r="I54" i="42"/>
  <c r="J46" i="7"/>
  <c r="J52" i="7" s="1"/>
  <c r="BD38" i="6"/>
  <c r="BE32" i="6"/>
  <c r="C18" i="4"/>
  <c r="C35" i="4"/>
  <c r="EU62" i="11"/>
  <c r="EU37" i="11"/>
  <c r="EU55" i="11"/>
  <c r="EV6" i="11"/>
  <c r="EU38" i="11"/>
  <c r="DC163" i="1"/>
  <c r="DD143" i="1"/>
  <c r="DE5" i="11"/>
  <c r="AE6" i="10"/>
  <c r="AA19" i="3"/>
  <c r="DN65" i="11"/>
  <c r="H100" i="42"/>
  <c r="H22" i="42"/>
  <c r="H64" i="42"/>
  <c r="G3" i="42"/>
  <c r="H136" i="42"/>
  <c r="H35" i="42"/>
  <c r="H15" i="42"/>
  <c r="U105" i="42"/>
  <c r="V70" i="42"/>
  <c r="M25" i="42"/>
  <c r="I25" i="42"/>
  <c r="Z44" i="7"/>
  <c r="Z50" i="7" s="1"/>
  <c r="CP5" i="11"/>
  <c r="F108" i="42"/>
  <c r="E109" i="42"/>
  <c r="E75" i="42"/>
  <c r="C111" i="42"/>
  <c r="C78" i="42"/>
  <c r="K186" i="3"/>
  <c r="L186" i="3"/>
  <c r="V115" i="8"/>
  <c r="X115" i="8" s="1"/>
  <c r="V138" i="42"/>
  <c r="W138" i="42" s="1"/>
  <c r="X138" i="42" s="1"/>
  <c r="Y138" i="42" s="1"/>
  <c r="Z138" i="42" s="1"/>
  <c r="K79" i="42"/>
  <c r="N57" i="42"/>
  <c r="M57" i="42"/>
  <c r="AB47" i="7"/>
  <c r="AB53" i="7" s="1"/>
  <c r="EQ63" i="11"/>
  <c r="EQ71" i="11" s="1"/>
  <c r="D14" i="4"/>
  <c r="Q74" i="42"/>
  <c r="Q73" i="42"/>
  <c r="Q72" i="42"/>
  <c r="CV84" i="1"/>
  <c r="CU94" i="1"/>
  <c r="CW84" i="1"/>
  <c r="CU124" i="1"/>
  <c r="P35" i="42"/>
  <c r="P22" i="42"/>
  <c r="V46" i="7"/>
  <c r="V52" i="7" s="1"/>
  <c r="N46" i="7"/>
  <c r="N52" i="7" s="1"/>
  <c r="F46" i="7"/>
  <c r="F52" i="7" s="1"/>
  <c r="AD46" i="7"/>
  <c r="AD52" i="7" s="1"/>
  <c r="AD58" i="7"/>
  <c r="BE33" i="6"/>
  <c r="BD39" i="6"/>
  <c r="BH39" i="6"/>
  <c r="BI33" i="6"/>
  <c r="BA32" i="6"/>
  <c r="AZ38" i="6"/>
  <c r="G110" i="42"/>
  <c r="CY141" i="1"/>
  <c r="CZ131" i="1"/>
  <c r="CZ121" i="1"/>
  <c r="DA121" i="1"/>
  <c r="I302" i="35"/>
  <c r="A307" i="35"/>
  <c r="CZ5" i="11"/>
  <c r="AB45" i="7"/>
  <c r="AB51" i="7" s="1"/>
  <c r="J42" i="8"/>
  <c r="AA27" i="3"/>
  <c r="DL5" i="11"/>
  <c r="N54" i="42"/>
  <c r="P25" i="42"/>
  <c r="H21" i="1"/>
  <c r="H41" i="1"/>
  <c r="H51" i="1"/>
  <c r="H101" i="1"/>
  <c r="G81" i="1"/>
  <c r="H11" i="1"/>
  <c r="L11" i="1"/>
  <c r="H31" i="1"/>
  <c r="G14" i="1"/>
  <c r="G15" i="1"/>
  <c r="AF44" i="7"/>
  <c r="AF50" i="7" s="1"/>
  <c r="Y69" i="42"/>
  <c r="X59" i="7"/>
  <c r="D305" i="35"/>
  <c r="E304" i="35"/>
  <c r="J187" i="3"/>
  <c r="L187" i="3" s="1"/>
  <c r="E309" i="35"/>
  <c r="O54" i="42"/>
  <c r="K25" i="42"/>
  <c r="N107" i="42"/>
  <c r="M108" i="42"/>
  <c r="N76" i="42"/>
  <c r="E610" i="35"/>
  <c r="E617" i="35"/>
  <c r="D611" i="35"/>
  <c r="Z57" i="7"/>
  <c r="V56" i="7"/>
  <c r="R56" i="7"/>
  <c r="N56" i="7"/>
  <c r="J56" i="7"/>
  <c r="F56" i="7"/>
  <c r="BI59" i="11"/>
  <c r="DA84" i="1"/>
  <c r="ED65" i="11"/>
  <c r="BN17" i="6"/>
  <c r="BN23" i="6" s="1"/>
  <c r="BN29" i="6" s="1"/>
  <c r="BN35" i="6" s="1"/>
  <c r="D196" i="3"/>
  <c r="H196" i="3" s="1"/>
  <c r="DD16" i="1"/>
  <c r="AG187" i="3"/>
  <c r="AV51" i="11"/>
  <c r="D368" i="35"/>
  <c r="E366" i="35"/>
  <c r="AA26" i="3"/>
  <c r="AA21" i="3"/>
  <c r="C39" i="3"/>
  <c r="CW5" i="11"/>
  <c r="B27" i="3"/>
  <c r="J26" i="3"/>
  <c r="L26" i="3" s="1"/>
  <c r="AM161" i="1" l="1"/>
  <c r="CB126" i="1"/>
  <c r="J74" i="8"/>
  <c r="J122" i="8"/>
  <c r="AO26" i="1"/>
  <c r="CN142" i="1"/>
  <c r="CO26" i="1"/>
  <c r="J115" i="8"/>
  <c r="CG24" i="1"/>
  <c r="AK25" i="1"/>
  <c r="P103" i="8"/>
  <c r="P111" i="8"/>
  <c r="J96" i="8"/>
  <c r="J73" i="8"/>
  <c r="P97" i="8"/>
  <c r="P73" i="8"/>
  <c r="N80" i="8"/>
  <c r="N95" i="8"/>
  <c r="P137" i="8"/>
  <c r="P68" i="8"/>
  <c r="P69" i="8"/>
  <c r="N124" i="8"/>
  <c r="N74" i="8"/>
  <c r="N137" i="8"/>
  <c r="J112" i="8"/>
  <c r="N73" i="8"/>
  <c r="P76" i="8"/>
  <c r="N89" i="8"/>
  <c r="N82" i="8"/>
  <c r="AD129" i="8"/>
  <c r="J66" i="8"/>
  <c r="N66" i="8"/>
  <c r="P75" i="8"/>
  <c r="J130" i="8"/>
  <c r="N130" i="8"/>
  <c r="P131" i="8"/>
  <c r="J137" i="8"/>
  <c r="AD109" i="8"/>
  <c r="AF116" i="8" s="1"/>
  <c r="X130" i="8"/>
  <c r="J124" i="8"/>
  <c r="J69" i="8"/>
  <c r="J68" i="8"/>
  <c r="N75" i="8"/>
  <c r="P96" i="8"/>
  <c r="J110" i="8"/>
  <c r="J138" i="8"/>
  <c r="AD118" i="8"/>
  <c r="P110" i="8"/>
  <c r="N125" i="8"/>
  <c r="CO142" i="1"/>
  <c r="H132" i="1"/>
  <c r="CN162" i="1"/>
  <c r="BH143" i="1"/>
  <c r="AK121" i="1"/>
  <c r="CS142" i="1"/>
  <c r="AJ121" i="1"/>
  <c r="CA125" i="1"/>
  <c r="G142" i="1"/>
  <c r="CM172" i="1"/>
  <c r="BS182" i="1"/>
  <c r="CZ143" i="1"/>
  <c r="BH126" i="1"/>
  <c r="CZ130" i="1"/>
  <c r="CY125" i="1"/>
  <c r="CZ135" i="1" s="1"/>
  <c r="CB142" i="1"/>
  <c r="P129" i="8"/>
  <c r="N104" i="8"/>
  <c r="C46" i="53" s="1"/>
  <c r="J83" i="8"/>
  <c r="J125" i="8"/>
  <c r="N90" i="8"/>
  <c r="P87" i="8"/>
  <c r="N111" i="8"/>
  <c r="D46" i="53" s="1"/>
  <c r="BI13" i="11"/>
  <c r="BI20" i="11" s="1"/>
  <c r="DI20" i="1"/>
  <c r="DM20" i="1"/>
  <c r="AD101" i="8"/>
  <c r="X101" i="8"/>
  <c r="Z108" i="8" s="1"/>
  <c r="N108" i="8"/>
  <c r="P64" i="42"/>
  <c r="BI46" i="11"/>
  <c r="I78" i="42"/>
  <c r="AD111" i="8"/>
  <c r="X109" i="8"/>
  <c r="CB131" i="1"/>
  <c r="CG131" i="1" s="1"/>
  <c r="N94" i="8"/>
  <c r="CS24" i="1"/>
  <c r="AD102" i="8"/>
  <c r="N118" i="8"/>
  <c r="X110" i="8"/>
  <c r="P95" i="8"/>
  <c r="AA28" i="3"/>
  <c r="AC28" i="3" s="1"/>
  <c r="D318" i="35"/>
  <c r="J94" i="8"/>
  <c r="AD103" i="8"/>
  <c r="X103" i="8"/>
  <c r="J103" i="8"/>
  <c r="N103" i="8"/>
  <c r="P100" i="42"/>
  <c r="P136" i="42"/>
  <c r="N129" i="8"/>
  <c r="X129" i="8"/>
  <c r="X111" i="8"/>
  <c r="J116" i="8"/>
  <c r="N109" i="8"/>
  <c r="J75" i="8"/>
  <c r="CC121" i="1"/>
  <c r="I26" i="1"/>
  <c r="M122" i="1"/>
  <c r="BG173" i="1"/>
  <c r="BM143" i="1"/>
  <c r="X122" i="8"/>
  <c r="Z122" i="8" s="1"/>
  <c r="AD104" i="8"/>
  <c r="P115" i="8"/>
  <c r="DA120" i="1"/>
  <c r="DG120" i="1"/>
  <c r="DM120" i="1" s="1"/>
  <c r="P82" i="8"/>
  <c r="F136" i="8"/>
  <c r="AH136" i="8" s="1"/>
  <c r="AD108" i="8"/>
  <c r="X102" i="8"/>
  <c r="J118" i="8"/>
  <c r="J117" i="8"/>
  <c r="P94" i="8"/>
  <c r="J111" i="8"/>
  <c r="N110" i="8"/>
  <c r="J108" i="8"/>
  <c r="P102" i="8"/>
  <c r="P130" i="8"/>
  <c r="N136" i="8"/>
  <c r="U201" i="3"/>
  <c r="AJ201" i="3" s="1"/>
  <c r="AN186" i="3"/>
  <c r="AQ143" i="1"/>
  <c r="AJ131" i="1"/>
  <c r="BY25" i="1"/>
  <c r="E496" i="35"/>
  <c r="D498" i="35"/>
  <c r="E509" i="35"/>
  <c r="DI21" i="1"/>
  <c r="DM21" i="1"/>
  <c r="E602" i="35"/>
  <c r="D603" i="35"/>
  <c r="P74" i="8"/>
  <c r="AR208" i="3"/>
  <c r="U208" i="3"/>
  <c r="AQ96" i="1"/>
  <c r="AS86" i="1"/>
  <c r="N122" i="8"/>
  <c r="X104" i="8"/>
  <c r="N115" i="8"/>
  <c r="DG90" i="1"/>
  <c r="N117" i="8"/>
  <c r="P104" i="8"/>
  <c r="J109" i="8"/>
  <c r="N101" i="8"/>
  <c r="AR123" i="1"/>
  <c r="BA25" i="1"/>
  <c r="DM80" i="1"/>
  <c r="A123" i="42"/>
  <c r="B123" i="42"/>
  <c r="N81" i="8"/>
  <c r="BI51" i="11"/>
  <c r="F58" i="7"/>
  <c r="Q3" i="42"/>
  <c r="J129" i="8"/>
  <c r="J109" i="42"/>
  <c r="G79" i="42"/>
  <c r="G80" i="42" s="1"/>
  <c r="Y25" i="1"/>
  <c r="N116" i="8"/>
  <c r="CB121" i="1"/>
  <c r="P122" i="8"/>
  <c r="AD122" i="8"/>
  <c r="P83" i="8"/>
  <c r="J82" i="8"/>
  <c r="AO24" i="1"/>
  <c r="N102" i="8"/>
  <c r="AD110" i="8"/>
  <c r="P108" i="8"/>
  <c r="AR207" i="3"/>
  <c r="U207" i="3"/>
  <c r="AR201" i="3"/>
  <c r="AY94" i="1"/>
  <c r="FC42" i="11" s="1"/>
  <c r="AI141" i="1"/>
  <c r="AO141" i="1" s="1"/>
  <c r="AW86" i="1"/>
  <c r="P125" i="8"/>
  <c r="AD125" i="8"/>
  <c r="AL138" i="8"/>
  <c r="N131" i="8"/>
  <c r="J131" i="8"/>
  <c r="P67" i="8"/>
  <c r="N96" i="8"/>
  <c r="P124" i="8"/>
  <c r="AD124" i="8"/>
  <c r="AF124" i="8" s="1"/>
  <c r="X66" i="42"/>
  <c r="W6" i="42"/>
  <c r="W25" i="42" s="1"/>
  <c r="AK29" i="4"/>
  <c r="FM64" i="11"/>
  <c r="X26" i="4"/>
  <c r="X30" i="4"/>
  <c r="F137" i="8"/>
  <c r="AH137" i="8" s="1"/>
  <c r="BV8" i="6"/>
  <c r="BV14" i="6" s="1"/>
  <c r="BV20" i="6" s="1"/>
  <c r="BV26" i="6" s="1"/>
  <c r="BV32" i="6" s="1"/>
  <c r="DL15" i="1"/>
  <c r="AS123" i="1"/>
  <c r="CY140" i="1"/>
  <c r="CY144" i="1" s="1"/>
  <c r="BL140" i="1"/>
  <c r="BK160" i="1"/>
  <c r="BK170" i="1"/>
  <c r="CU95" i="1"/>
  <c r="CA162" i="1"/>
  <c r="CB162" i="1" s="1"/>
  <c r="DO34" i="1"/>
  <c r="DP34" i="1"/>
  <c r="AI58" i="9"/>
  <c r="AJ31" i="9"/>
  <c r="AJ58" i="9" s="1"/>
  <c r="BD59" i="11"/>
  <c r="AY59" i="11"/>
  <c r="BF59" i="11"/>
  <c r="BB59" i="11"/>
  <c r="AV59" i="11"/>
  <c r="U25" i="1"/>
  <c r="Q25" i="1"/>
  <c r="CM145" i="1"/>
  <c r="CN145" i="1" s="1"/>
  <c r="BG162" i="1"/>
  <c r="BG166" i="1" s="1"/>
  <c r="BH142" i="1"/>
  <c r="BG172" i="1"/>
  <c r="BH172" i="1" s="1"/>
  <c r="BI142" i="1"/>
  <c r="CE142" i="1"/>
  <c r="CF122" i="1"/>
  <c r="CG122" i="1"/>
  <c r="CK122" i="1"/>
  <c r="CF132" i="1"/>
  <c r="CK132" i="1" s="1"/>
  <c r="L131" i="1"/>
  <c r="K141" i="1"/>
  <c r="L121" i="1"/>
  <c r="AV143" i="1"/>
  <c r="AW143" i="1" s="1"/>
  <c r="AU163" i="1"/>
  <c r="AU166" i="1" s="1"/>
  <c r="AV166" i="1" s="1"/>
  <c r="AU173" i="1"/>
  <c r="BI33" i="11" s="1"/>
  <c r="AQ51" i="11"/>
  <c r="AR131" i="1"/>
  <c r="AQ141" i="1"/>
  <c r="AR121" i="1"/>
  <c r="BY85" i="1"/>
  <c r="BX85" i="1"/>
  <c r="BW95" i="1"/>
  <c r="AM143" i="1"/>
  <c r="AS143" i="1" s="1"/>
  <c r="AN123" i="1"/>
  <c r="AN133" i="1"/>
  <c r="BT85" i="1"/>
  <c r="BS95" i="1"/>
  <c r="BL163" i="1"/>
  <c r="BK183" i="1"/>
  <c r="D133" i="1"/>
  <c r="D123" i="1"/>
  <c r="C143" i="1"/>
  <c r="CN140" i="1"/>
  <c r="CO140" i="1"/>
  <c r="AO25" i="1"/>
  <c r="CM170" i="1"/>
  <c r="CM175" i="1" s="1"/>
  <c r="BG124" i="1"/>
  <c r="BG94" i="1"/>
  <c r="BH84" i="1"/>
  <c r="CJ140" i="1"/>
  <c r="CI160" i="1"/>
  <c r="CO160" i="1" s="1"/>
  <c r="CK140" i="1"/>
  <c r="CI170" i="1"/>
  <c r="CJ170" i="1" s="1"/>
  <c r="AZ121" i="1"/>
  <c r="AZ131" i="1"/>
  <c r="AY141" i="1"/>
  <c r="BW126" i="1"/>
  <c r="CC123" i="1"/>
  <c r="BY123" i="1"/>
  <c r="BX123" i="1"/>
  <c r="BX133" i="1"/>
  <c r="BW143" i="1"/>
  <c r="BW144" i="1" s="1"/>
  <c r="BU123" i="1"/>
  <c r="BT123" i="1"/>
  <c r="BS143" i="1"/>
  <c r="BT133" i="1"/>
  <c r="BS126" i="1"/>
  <c r="CC25" i="1"/>
  <c r="AS26" i="1"/>
  <c r="AW26" i="1"/>
  <c r="CB143" i="1"/>
  <c r="CA173" i="1"/>
  <c r="CA146" i="1"/>
  <c r="CB146" i="1" s="1"/>
  <c r="CA163" i="1"/>
  <c r="BE85" i="1"/>
  <c r="AZ85" i="1"/>
  <c r="AY95" i="1"/>
  <c r="AY140" i="1"/>
  <c r="BE140" i="1" s="1"/>
  <c r="AY125" i="1"/>
  <c r="AZ120" i="1"/>
  <c r="AZ130" i="1"/>
  <c r="BE120" i="1"/>
  <c r="BA120" i="1"/>
  <c r="AZ132" i="1"/>
  <c r="AZ122" i="1"/>
  <c r="BE122" i="1"/>
  <c r="AY142" i="1"/>
  <c r="BA122" i="1"/>
  <c r="BT86" i="1"/>
  <c r="BS96" i="1"/>
  <c r="BY86" i="1"/>
  <c r="BX140" i="1"/>
  <c r="BW145" i="1"/>
  <c r="BX145" i="1" s="1"/>
  <c r="BW160" i="1"/>
  <c r="BW170" i="1"/>
  <c r="CO33" i="11" s="1"/>
  <c r="BW162" i="1"/>
  <c r="BX142" i="1"/>
  <c r="BW172" i="1"/>
  <c r="BY142" i="1"/>
  <c r="CC142" i="1"/>
  <c r="AU96" i="1"/>
  <c r="BA86" i="1"/>
  <c r="AV86" i="1"/>
  <c r="CB140" i="1"/>
  <c r="CA170" i="1"/>
  <c r="CA160" i="1"/>
  <c r="CG160" i="1" s="1"/>
  <c r="CC140" i="1"/>
  <c r="BG140" i="1"/>
  <c r="BI140" i="1" s="1"/>
  <c r="BM120" i="1"/>
  <c r="BH130" i="1"/>
  <c r="BG125" i="1"/>
  <c r="BH120" i="1"/>
  <c r="BI120" i="1"/>
  <c r="CA124" i="1"/>
  <c r="CA94" i="1"/>
  <c r="CB84" i="1"/>
  <c r="CC84" i="1"/>
  <c r="L162" i="1"/>
  <c r="K182" i="1"/>
  <c r="BX125" i="1"/>
  <c r="BX135" i="1"/>
  <c r="AU124" i="1"/>
  <c r="AU94" i="1"/>
  <c r="FB42" i="11" s="1"/>
  <c r="BA84" i="1"/>
  <c r="AV84" i="1"/>
  <c r="BT131" i="1"/>
  <c r="BS141" i="1"/>
  <c r="BS145" i="1" s="1"/>
  <c r="BT121" i="1"/>
  <c r="BU121" i="1"/>
  <c r="BY121" i="1"/>
  <c r="L123" i="1"/>
  <c r="K143" i="1"/>
  <c r="L133" i="1"/>
  <c r="K126" i="1"/>
  <c r="L86" i="1"/>
  <c r="K96" i="1"/>
  <c r="BW171" i="1"/>
  <c r="CP33" i="11" s="1"/>
  <c r="BX141" i="1"/>
  <c r="BY141" i="1"/>
  <c r="BW161" i="1"/>
  <c r="AV130" i="1"/>
  <c r="AU140" i="1"/>
  <c r="AV120" i="1"/>
  <c r="AQ163" i="1"/>
  <c r="AQ173" i="1"/>
  <c r="AR143" i="1"/>
  <c r="AU95" i="1"/>
  <c r="AV85" i="1"/>
  <c r="BA85" i="1"/>
  <c r="AB140" i="1"/>
  <c r="AA145" i="1"/>
  <c r="AB145" i="1" s="1"/>
  <c r="AA170" i="1"/>
  <c r="AA175" i="1" s="1"/>
  <c r="AA160" i="1"/>
  <c r="AA165" i="1" s="1"/>
  <c r="AB165" i="1" s="1"/>
  <c r="AF84" i="1"/>
  <c r="AE94" i="1"/>
  <c r="AE124" i="1"/>
  <c r="AG124" i="1" s="1"/>
  <c r="AG84" i="1"/>
  <c r="AJ85" i="1"/>
  <c r="AI95" i="1"/>
  <c r="BD125" i="1"/>
  <c r="BD135" i="1"/>
  <c r="AB122" i="1"/>
  <c r="AC122" i="1"/>
  <c r="AB132" i="1"/>
  <c r="AA142" i="1"/>
  <c r="AJ130" i="1"/>
  <c r="AJ120" i="1"/>
  <c r="AI125" i="1"/>
  <c r="AO125" i="1" s="1"/>
  <c r="AI140" i="1"/>
  <c r="AO140" i="1" s="1"/>
  <c r="BL125" i="1"/>
  <c r="BL135" i="1"/>
  <c r="BD121" i="1"/>
  <c r="BE121" i="1"/>
  <c r="BC141" i="1"/>
  <c r="BD131" i="1"/>
  <c r="BI121" i="1"/>
  <c r="BC170" i="1"/>
  <c r="BC145" i="1"/>
  <c r="BD140" i="1"/>
  <c r="BC160" i="1"/>
  <c r="AK120" i="1"/>
  <c r="AY144" i="1"/>
  <c r="AZ134" i="1"/>
  <c r="AZ124" i="1"/>
  <c r="T122" i="1"/>
  <c r="S126" i="1"/>
  <c r="S142" i="1"/>
  <c r="U142" i="1" s="1"/>
  <c r="T132" i="1"/>
  <c r="U122" i="1"/>
  <c r="BE25" i="1"/>
  <c r="BI25" i="1"/>
  <c r="AJ141" i="1"/>
  <c r="W171" i="1"/>
  <c r="AB171" i="1" s="1"/>
  <c r="X141" i="1"/>
  <c r="W161" i="1"/>
  <c r="AE142" i="1"/>
  <c r="AE144" i="1" s="1"/>
  <c r="AE126" i="1"/>
  <c r="AK126" i="1" s="1"/>
  <c r="AG122" i="1"/>
  <c r="AF122" i="1"/>
  <c r="AF132" i="1"/>
  <c r="CA182" i="1"/>
  <c r="CA166" i="1"/>
  <c r="CB166" i="1" s="1"/>
  <c r="AU141" i="1"/>
  <c r="BA121" i="1"/>
  <c r="AU125" i="1"/>
  <c r="AV131" i="1"/>
  <c r="AW121" i="1"/>
  <c r="AV121" i="1"/>
  <c r="W172" i="1"/>
  <c r="W162" i="1"/>
  <c r="X142" i="1"/>
  <c r="AU182" i="1"/>
  <c r="BH34" i="11" s="1"/>
  <c r="AV162" i="1"/>
  <c r="CK26" i="1"/>
  <c r="T130" i="1"/>
  <c r="S140" i="1"/>
  <c r="T120" i="1"/>
  <c r="U120" i="1"/>
  <c r="O140" i="1"/>
  <c r="P120" i="1"/>
  <c r="P130" i="1"/>
  <c r="BL141" i="1"/>
  <c r="BK161" i="1"/>
  <c r="BK171" i="1"/>
  <c r="BL171" i="1" s="1"/>
  <c r="BK145" i="1"/>
  <c r="BL145" i="1" s="1"/>
  <c r="BQ141" i="1"/>
  <c r="O95" i="1"/>
  <c r="P85" i="1"/>
  <c r="BI123" i="1"/>
  <c r="BC143" i="1"/>
  <c r="BE143" i="1" s="1"/>
  <c r="BC126" i="1"/>
  <c r="BE126" i="1" s="1"/>
  <c r="BD133" i="1"/>
  <c r="BD123" i="1"/>
  <c r="AU176" i="1"/>
  <c r="AL42" i="11"/>
  <c r="AQ59" i="11" s="1"/>
  <c r="DC126" i="1"/>
  <c r="DE126" i="1" s="1"/>
  <c r="Y180" i="3"/>
  <c r="AN187" i="3"/>
  <c r="CY173" i="1"/>
  <c r="CZ173" i="1" s="1"/>
  <c r="BN14" i="6"/>
  <c r="BN20" i="6" s="1"/>
  <c r="BN26" i="6" s="1"/>
  <c r="BN32" i="6" s="1"/>
  <c r="DI25" i="1"/>
  <c r="CY146" i="1"/>
  <c r="CZ146" i="1" s="1"/>
  <c r="DE143" i="1"/>
  <c r="W179" i="3"/>
  <c r="DD132" i="1"/>
  <c r="DD122" i="1"/>
  <c r="DC142" i="1"/>
  <c r="DE142" i="1" s="1"/>
  <c r="CW120" i="1"/>
  <c r="CU125" i="1"/>
  <c r="CV135" i="1" s="1"/>
  <c r="CU140" i="1"/>
  <c r="CV140" i="1" s="1"/>
  <c r="CV130" i="1"/>
  <c r="CY163" i="1"/>
  <c r="CY183" i="1" s="1"/>
  <c r="U200" i="3"/>
  <c r="AR200" i="3"/>
  <c r="D200" i="3"/>
  <c r="H200" i="3" s="1"/>
  <c r="AG200" i="3" s="1"/>
  <c r="BR9" i="6"/>
  <c r="BR15" i="6" s="1"/>
  <c r="BR21" i="6" s="1"/>
  <c r="BR27" i="6" s="1"/>
  <c r="BR33" i="6" s="1"/>
  <c r="D201" i="3"/>
  <c r="H201" i="3" s="1"/>
  <c r="P201" i="3" s="1"/>
  <c r="EY16" i="11"/>
  <c r="BR14" i="6"/>
  <c r="BR20" i="6" s="1"/>
  <c r="BR26" i="6" s="1"/>
  <c r="BR32" i="6" s="1"/>
  <c r="AG194" i="3"/>
  <c r="Z130" i="8"/>
  <c r="H90" i="3"/>
  <c r="DH15" i="1"/>
  <c r="CZ136" i="1"/>
  <c r="CZ126" i="1"/>
  <c r="CY160" i="1"/>
  <c r="CZ160" i="1" s="1"/>
  <c r="CN160" i="1"/>
  <c r="CM165" i="1"/>
  <c r="CN165" i="1" s="1"/>
  <c r="CM180" i="1"/>
  <c r="DI34" i="11" s="1"/>
  <c r="CR181" i="1"/>
  <c r="AN193" i="3"/>
  <c r="H97" i="3"/>
  <c r="CV86" i="1"/>
  <c r="CU96" i="1"/>
  <c r="BG20" i="11"/>
  <c r="BG24" i="11" s="1"/>
  <c r="R21" i="8"/>
  <c r="BG45" i="11"/>
  <c r="AF115" i="8"/>
  <c r="H33" i="3"/>
  <c r="K38" i="5"/>
  <c r="DP14" i="1"/>
  <c r="AD41" i="4"/>
  <c r="H35" i="3"/>
  <c r="M25" i="5"/>
  <c r="M26" i="5" s="1"/>
  <c r="DG24" i="1"/>
  <c r="DG84" i="1" s="1"/>
  <c r="AS13" i="11"/>
  <c r="AS45" i="11" s="1"/>
  <c r="EZ46" i="11"/>
  <c r="M13" i="5"/>
  <c r="L49" i="4"/>
  <c r="L50" i="4" s="1"/>
  <c r="L53" i="5"/>
  <c r="L57" i="5" s="1"/>
  <c r="AC21" i="3"/>
  <c r="AC20" i="3"/>
  <c r="D640" i="35"/>
  <c r="E637" i="35"/>
  <c r="AA202" i="3"/>
  <c r="V131" i="8"/>
  <c r="X131" i="8" s="1"/>
  <c r="K202" i="3"/>
  <c r="L202" i="3"/>
  <c r="N202" i="3" s="1"/>
  <c r="AD16" i="4"/>
  <c r="J203" i="3"/>
  <c r="E316" i="35"/>
  <c r="AB130" i="8"/>
  <c r="AD130" i="8" s="1"/>
  <c r="AC201" i="3"/>
  <c r="AF122" i="8"/>
  <c r="BA59" i="11"/>
  <c r="J91" i="8"/>
  <c r="AT13" i="11"/>
  <c r="AT20" i="11" s="1"/>
  <c r="J63" i="8"/>
  <c r="H32" i="3"/>
  <c r="AJ36" i="3"/>
  <c r="H36" i="3"/>
  <c r="AS51" i="11"/>
  <c r="AS59" i="11"/>
  <c r="DH81" i="1"/>
  <c r="DG91" i="1"/>
  <c r="DI81" i="1"/>
  <c r="DG121" i="1"/>
  <c r="DM121" i="1" s="1"/>
  <c r="F79" i="42"/>
  <c r="G113" i="42" s="1"/>
  <c r="G112" i="42"/>
  <c r="FB22" i="11"/>
  <c r="N48" i="5"/>
  <c r="D14" i="8"/>
  <c r="U85" i="3"/>
  <c r="BM54" i="11"/>
  <c r="BN46" i="11"/>
  <c r="BN56" i="11"/>
  <c r="T26" i="8"/>
  <c r="AJ26" i="8"/>
  <c r="BH59" i="11"/>
  <c r="BH51" i="11"/>
  <c r="AZ126" i="1"/>
  <c r="BA126" i="1"/>
  <c r="AZ136" i="1"/>
  <c r="S96" i="1"/>
  <c r="T86" i="1"/>
  <c r="U86" i="1"/>
  <c r="AR51" i="11"/>
  <c r="AQ46" i="11"/>
  <c r="K140" i="1"/>
  <c r="Q120" i="1"/>
  <c r="K125" i="1"/>
  <c r="M120" i="1"/>
  <c r="L130" i="1"/>
  <c r="L120" i="1"/>
  <c r="BM59" i="11"/>
  <c r="BM51" i="11"/>
  <c r="AF123" i="8"/>
  <c r="L85" i="1"/>
  <c r="K95" i="1"/>
  <c r="Q85" i="1"/>
  <c r="AV20" i="11"/>
  <c r="AV45" i="11"/>
  <c r="AQ95" i="1"/>
  <c r="AS85" i="1"/>
  <c r="AR85" i="1"/>
  <c r="AW85" i="1"/>
  <c r="L124" i="1"/>
  <c r="L134" i="1"/>
  <c r="AW59" i="11"/>
  <c r="AY20" i="11"/>
  <c r="AY45" i="11"/>
  <c r="AN84" i="1"/>
  <c r="AM94" i="1"/>
  <c r="AO84" i="1"/>
  <c r="AM124" i="1"/>
  <c r="AJ17" i="8"/>
  <c r="T17" i="8"/>
  <c r="R18" i="8"/>
  <c r="AH18" i="8"/>
  <c r="D21" i="8"/>
  <c r="U92" i="3"/>
  <c r="U90" i="3"/>
  <c r="AJ90" i="3" s="1"/>
  <c r="D19" i="8"/>
  <c r="L19" i="8" s="1"/>
  <c r="BF56" i="11"/>
  <c r="T18" i="8"/>
  <c r="R19" i="8"/>
  <c r="AJ18" i="8"/>
  <c r="X68" i="42"/>
  <c r="W103" i="42"/>
  <c r="AW33" i="11"/>
  <c r="DA25" i="1"/>
  <c r="DE25" i="1"/>
  <c r="M73" i="9"/>
  <c r="M77" i="9" s="1"/>
  <c r="M74" i="9"/>
  <c r="M78" i="9" s="1"/>
  <c r="CE143" i="1"/>
  <c r="CF133" i="1"/>
  <c r="CK133" i="1" s="1"/>
  <c r="CE126" i="1"/>
  <c r="CF123" i="1"/>
  <c r="CG123" i="1"/>
  <c r="X130" i="1"/>
  <c r="X120" i="1"/>
  <c r="Y120" i="1"/>
  <c r="W125" i="1"/>
  <c r="W140" i="1"/>
  <c r="AC120" i="1"/>
  <c r="DH105" i="1"/>
  <c r="DH45" i="1"/>
  <c r="DG85" i="1"/>
  <c r="DM85" i="1" s="1"/>
  <c r="DH55" i="1"/>
  <c r="DH35" i="1"/>
  <c r="BG176" i="1"/>
  <c r="BL173" i="1"/>
  <c r="BM163" i="1"/>
  <c r="BG183" i="1"/>
  <c r="BH163" i="1"/>
  <c r="AB133" i="1"/>
  <c r="AA126" i="1"/>
  <c r="AA143" i="1"/>
  <c r="AC123" i="1"/>
  <c r="AB123" i="1"/>
  <c r="AG123" i="1"/>
  <c r="DE120" i="1"/>
  <c r="DC140" i="1"/>
  <c r="DC170" i="1" s="1"/>
  <c r="DC125" i="1"/>
  <c r="DD130" i="1"/>
  <c r="DD120" i="1"/>
  <c r="DA26" i="1"/>
  <c r="DE26" i="1"/>
  <c r="CK24" i="1"/>
  <c r="CO24" i="1"/>
  <c r="AJ132" i="1"/>
  <c r="AJ122" i="1"/>
  <c r="AI142" i="1"/>
  <c r="AK122" i="1"/>
  <c r="AN125" i="1"/>
  <c r="AN135" i="1"/>
  <c r="BD20" i="11"/>
  <c r="BD45" i="11"/>
  <c r="AW24" i="1"/>
  <c r="BL142" i="1"/>
  <c r="BK172" i="1"/>
  <c r="CB33" i="11" s="1"/>
  <c r="BM142" i="1"/>
  <c r="BK146" i="1"/>
  <c r="BK162" i="1"/>
  <c r="G96" i="1"/>
  <c r="I86" i="1"/>
  <c r="H86" i="1"/>
  <c r="M86" i="1"/>
  <c r="P142" i="1"/>
  <c r="O172" i="1"/>
  <c r="P172" i="1" s="1"/>
  <c r="Q142" i="1"/>
  <c r="O162" i="1"/>
  <c r="CQ146" i="1"/>
  <c r="CQ163" i="1"/>
  <c r="CR143" i="1"/>
  <c r="CW143" i="1"/>
  <c r="CQ173" i="1"/>
  <c r="DQ33" i="11" s="1"/>
  <c r="BU85" i="1"/>
  <c r="BP85" i="1"/>
  <c r="BQ85" i="1"/>
  <c r="BO95" i="1"/>
  <c r="AF141" i="1"/>
  <c r="AG141" i="1"/>
  <c r="AE171" i="1"/>
  <c r="AE161" i="1"/>
  <c r="G180" i="1"/>
  <c r="H180" i="1" s="1"/>
  <c r="I160" i="1"/>
  <c r="H160" i="1"/>
  <c r="BC6" i="1"/>
  <c r="CF34" i="11"/>
  <c r="DL9" i="11"/>
  <c r="DJ18" i="11"/>
  <c r="DI26" i="11"/>
  <c r="DL11" i="11"/>
  <c r="DG42" i="11"/>
  <c r="DE26" i="11"/>
  <c r="DE38" i="11"/>
  <c r="DE30" i="11"/>
  <c r="DD26" i="11"/>
  <c r="DB30" i="11"/>
  <c r="CZ15" i="11"/>
  <c r="CZ18" i="11"/>
  <c r="CY17" i="11"/>
  <c r="DK38" i="11"/>
  <c r="DI19" i="11"/>
  <c r="DK30" i="11"/>
  <c r="DF55" i="11"/>
  <c r="DG9" i="11"/>
  <c r="DG15" i="11"/>
  <c r="DG37" i="11"/>
  <c r="CY22" i="11"/>
  <c r="CY15" i="11"/>
  <c r="CZ14" i="11"/>
  <c r="CU26" i="11"/>
  <c r="CT26" i="11"/>
  <c r="CT18" i="11"/>
  <c r="CT19" i="11"/>
  <c r="CW55" i="11"/>
  <c r="CW22" i="11"/>
  <c r="CU15" i="11"/>
  <c r="CT17" i="11"/>
  <c r="CU37" i="11"/>
  <c r="CT37" i="11"/>
  <c r="CU22" i="11"/>
  <c r="CT38" i="11"/>
  <c r="CT22" i="11"/>
  <c r="CU38" i="11"/>
  <c r="BW42" i="11"/>
  <c r="DK33" i="11"/>
  <c r="DK37" i="11"/>
  <c r="DG18" i="11"/>
  <c r="DA14" i="11"/>
  <c r="DJ22" i="11"/>
  <c r="DD19" i="11"/>
  <c r="CY18" i="11"/>
  <c r="CW38" i="11"/>
  <c r="CV55" i="11"/>
  <c r="CW17" i="11"/>
  <c r="CW30" i="11"/>
  <c r="CW18" i="11"/>
  <c r="T73" i="5"/>
  <c r="DK42" i="11"/>
  <c r="DK18" i="11"/>
  <c r="DJ55" i="11"/>
  <c r="DK15" i="11"/>
  <c r="DD22" i="11"/>
  <c r="DG14" i="11"/>
  <c r="DE9" i="11"/>
  <c r="DG38" i="11"/>
  <c r="DA17" i="11"/>
  <c r="DB26" i="11"/>
  <c r="CZ38" i="11"/>
  <c r="CZ19" i="11"/>
  <c r="DK9" i="11"/>
  <c r="DJ37" i="11"/>
  <c r="DK17" i="11"/>
  <c r="DL22" i="11"/>
  <c r="DF22" i="11"/>
  <c r="DE14" i="11"/>
  <c r="DD36" i="11"/>
  <c r="DD42" i="11"/>
  <c r="CZ9" i="11"/>
  <c r="DA15" i="11"/>
  <c r="DA23" i="11"/>
  <c r="CV19" i="11"/>
  <c r="CU11" i="11"/>
  <c r="CU36" i="11"/>
  <c r="CW19" i="11"/>
  <c r="CV14" i="11"/>
  <c r="CW11" i="11"/>
  <c r="CU14" i="11"/>
  <c r="CV22" i="11"/>
  <c r="CW37" i="11"/>
  <c r="CV17" i="11"/>
  <c r="CW23" i="11"/>
  <c r="CT30" i="11"/>
  <c r="CV36" i="11"/>
  <c r="CV37" i="11"/>
  <c r="DJ34" i="11"/>
  <c r="DD14" i="11"/>
  <c r="DK11" i="11"/>
  <c r="DE19" i="11"/>
  <c r="CT15" i="11"/>
  <c r="CT23" i="11"/>
  <c r="CY33" i="11"/>
  <c r="DI11" i="11"/>
  <c r="DK55" i="11"/>
  <c r="DE17" i="11"/>
  <c r="DB15" i="11"/>
  <c r="DL38" i="11"/>
  <c r="DD55" i="11"/>
  <c r="CZ55" i="11"/>
  <c r="CW15" i="11"/>
  <c r="CT55" i="11"/>
  <c r="CV18" i="11"/>
  <c r="AL116" i="8"/>
  <c r="DL15" i="11"/>
  <c r="DL17" i="11"/>
  <c r="DJ11" i="11"/>
  <c r="DJ17" i="11"/>
  <c r="DF26" i="11"/>
  <c r="DE11" i="11"/>
  <c r="DE42" i="11"/>
  <c r="DF11" i="11"/>
  <c r="DB42" i="11"/>
  <c r="CZ17" i="11"/>
  <c r="DB17" i="11"/>
  <c r="CZ36" i="11"/>
  <c r="CZ26" i="11"/>
  <c r="DJ23" i="11"/>
  <c r="DI23" i="11"/>
  <c r="DI15" i="11"/>
  <c r="DJ9" i="11"/>
  <c r="DF37" i="11"/>
  <c r="DE37" i="11"/>
  <c r="DD11" i="11"/>
  <c r="CZ22" i="11"/>
  <c r="DA11" i="11"/>
  <c r="CY23" i="11"/>
  <c r="CU19" i="11"/>
  <c r="CU55" i="11"/>
  <c r="CW36" i="11"/>
  <c r="CV23" i="11"/>
  <c r="CW14" i="11"/>
  <c r="CU30" i="11"/>
  <c r="CW26" i="11"/>
  <c r="CU23" i="11"/>
  <c r="CU18" i="11"/>
  <c r="CV11" i="11"/>
  <c r="CV38" i="11"/>
  <c r="CT14" i="11"/>
  <c r="CV26" i="11"/>
  <c r="CT36" i="11"/>
  <c r="CL42" i="11"/>
  <c r="BV42" i="11"/>
  <c r="R50" i="5"/>
  <c r="FF23" i="11" s="1"/>
  <c r="CH55" i="11"/>
  <c r="DD18" i="11"/>
  <c r="DB36" i="11"/>
  <c r="CY30" i="11"/>
  <c r="DI14" i="11"/>
  <c r="DF19" i="11"/>
  <c r="CT11" i="11"/>
  <c r="CU17" i="11"/>
  <c r="CV30" i="11"/>
  <c r="CV15" i="11"/>
  <c r="T121" i="1"/>
  <c r="S125" i="1"/>
  <c r="Y121" i="1"/>
  <c r="U121" i="1"/>
  <c r="T131" i="1"/>
  <c r="S141" i="1"/>
  <c r="F127" i="3"/>
  <c r="BP14" i="11"/>
  <c r="BK19" i="11"/>
  <c r="F82" i="8"/>
  <c r="CM9" i="11"/>
  <c r="CF22" i="11"/>
  <c r="BU19" i="11"/>
  <c r="F118" i="3"/>
  <c r="CL23" i="11"/>
  <c r="BV37" i="11"/>
  <c r="FQ37" i="11"/>
  <c r="BQ42" i="11"/>
  <c r="D130" i="3"/>
  <c r="F95" i="3"/>
  <c r="H95" i="3" s="1"/>
  <c r="S110" i="3"/>
  <c r="S113" i="3"/>
  <c r="FP37" i="11"/>
  <c r="D146" i="3"/>
  <c r="CG37" i="11"/>
  <c r="BS22" i="11"/>
  <c r="BW38" i="11"/>
  <c r="CK15" i="11"/>
  <c r="CC26" i="11"/>
  <c r="FF55" i="11"/>
  <c r="CH36" i="11"/>
  <c r="CH26" i="11"/>
  <c r="Q42" i="5"/>
  <c r="FE19" i="11" s="1"/>
  <c r="F54" i="8"/>
  <c r="F158" i="3"/>
  <c r="CW9" i="11"/>
  <c r="AL26" i="8"/>
  <c r="AL110" i="8"/>
  <c r="BL26" i="11"/>
  <c r="BK22" i="11"/>
  <c r="F110" i="3"/>
  <c r="S35" i="5"/>
  <c r="FG17" i="11" s="1"/>
  <c r="AL102" i="8"/>
  <c r="DB22" i="11"/>
  <c r="CR55" i="11"/>
  <c r="BQ26" i="11"/>
  <c r="F25" i="8"/>
  <c r="F46" i="8"/>
  <c r="BZ11" i="11"/>
  <c r="F40" i="8"/>
  <c r="S109" i="3"/>
  <c r="CH18" i="11"/>
  <c r="F38" i="8"/>
  <c r="CG36" i="11"/>
  <c r="AL87" i="8"/>
  <c r="BS55" i="11"/>
  <c r="AL27" i="8"/>
  <c r="BG54" i="11"/>
  <c r="AV56" i="11"/>
  <c r="BM55" i="11"/>
  <c r="BS42" i="11"/>
  <c r="CE23" i="11"/>
  <c r="AL95" i="8"/>
  <c r="D147" i="3"/>
  <c r="CR172" i="1"/>
  <c r="CV172" i="1"/>
  <c r="CU186" i="1"/>
  <c r="DE15" i="11"/>
  <c r="DD23" i="11"/>
  <c r="CY19" i="11"/>
  <c r="CL34" i="11"/>
  <c r="W163" i="1"/>
  <c r="Y163" i="1" s="1"/>
  <c r="Y143" i="1"/>
  <c r="W173" i="1"/>
  <c r="W146" i="1"/>
  <c r="X143" i="1"/>
  <c r="U24" i="5"/>
  <c r="U35" i="5"/>
  <c r="FI17" i="11" s="1"/>
  <c r="U40" i="5"/>
  <c r="FI18" i="11" s="1"/>
  <c r="DA30" i="11"/>
  <c r="D106" i="3"/>
  <c r="BD84" i="1"/>
  <c r="BC124" i="1"/>
  <c r="BE84" i="1"/>
  <c r="BC94" i="1"/>
  <c r="BI84" i="1"/>
  <c r="CI141" i="1"/>
  <c r="CO121" i="1"/>
  <c r="CI125" i="1"/>
  <c r="CK121" i="1"/>
  <c r="CJ121" i="1"/>
  <c r="CJ131" i="1"/>
  <c r="M72" i="9"/>
  <c r="M76" i="9" s="1"/>
  <c r="N62" i="10"/>
  <c r="BA45" i="11"/>
  <c r="BA20" i="11"/>
  <c r="T20" i="8"/>
  <c r="AJ20" i="8"/>
  <c r="R24" i="8"/>
  <c r="AH24" i="8"/>
  <c r="BF46" i="11"/>
  <c r="BF54" i="11"/>
  <c r="D20" i="8"/>
  <c r="L20" i="8" s="1"/>
  <c r="U91" i="3"/>
  <c r="AJ91" i="3" s="1"/>
  <c r="U95" i="3"/>
  <c r="AJ95" i="3" s="1"/>
  <c r="D24" i="8"/>
  <c r="AS25" i="1"/>
  <c r="AW25" i="1"/>
  <c r="AZ143" i="1"/>
  <c r="BA143" i="1"/>
  <c r="AY163" i="1"/>
  <c r="AY173" i="1"/>
  <c r="D141" i="1"/>
  <c r="C171" i="1"/>
  <c r="C175" i="1" s="1"/>
  <c r="C161" i="1"/>
  <c r="C145" i="1"/>
  <c r="D145" i="1" s="1"/>
  <c r="W95" i="1"/>
  <c r="X85" i="1"/>
  <c r="Y85" i="1"/>
  <c r="BQ26" i="1"/>
  <c r="BU26" i="1"/>
  <c r="BP86" i="1"/>
  <c r="BQ86" i="1"/>
  <c r="BU86" i="1"/>
  <c r="BO96" i="1"/>
  <c r="AR13" i="11"/>
  <c r="AQ13" i="11"/>
  <c r="AS46" i="11"/>
  <c r="P59" i="7"/>
  <c r="S183" i="1"/>
  <c r="T163" i="1"/>
  <c r="H92" i="3"/>
  <c r="AJ136" i="1"/>
  <c r="AJ126" i="1"/>
  <c r="AG85" i="1"/>
  <c r="AC85" i="1"/>
  <c r="AA95" i="1"/>
  <c r="AB85" i="1"/>
  <c r="AV54" i="11"/>
  <c r="AO122" i="1"/>
  <c r="AM126" i="1"/>
  <c r="AN132" i="1"/>
  <c r="AN122" i="1"/>
  <c r="AM142" i="1"/>
  <c r="J24" i="5"/>
  <c r="J47" i="5"/>
  <c r="K48" i="5" s="1"/>
  <c r="J73" i="5"/>
  <c r="EX36" i="11" s="1"/>
  <c r="J40" i="5"/>
  <c r="EX18" i="11" s="1"/>
  <c r="J7" i="5"/>
  <c r="K8" i="5" s="1"/>
  <c r="J56" i="5"/>
  <c r="J35" i="5"/>
  <c r="EX17" i="11" s="1"/>
  <c r="J50" i="5"/>
  <c r="EX23" i="11" s="1"/>
  <c r="J62" i="5"/>
  <c r="EX30" i="11" s="1"/>
  <c r="I5" i="5"/>
  <c r="J5" i="4"/>
  <c r="J41" i="4" s="1"/>
  <c r="J9" i="5" s="1"/>
  <c r="J37" i="5"/>
  <c r="J11" i="5"/>
  <c r="J42" i="5"/>
  <c r="EX19" i="11" s="1"/>
  <c r="K25" i="5"/>
  <c r="L26" i="5" s="1"/>
  <c r="EY14" i="11"/>
  <c r="L69" i="9"/>
  <c r="CS25" i="1"/>
  <c r="CW25" i="1"/>
  <c r="AY54" i="11"/>
  <c r="BF13" i="11"/>
  <c r="BC182" i="1"/>
  <c r="BD162" i="1"/>
  <c r="BK46" i="11"/>
  <c r="BK13" i="11"/>
  <c r="BK54" i="11"/>
  <c r="AB134" i="1"/>
  <c r="AB124" i="1"/>
  <c r="AC124" i="1"/>
  <c r="CI182" i="1"/>
  <c r="CJ162" i="1"/>
  <c r="CO162" i="1"/>
  <c r="DQ55" i="11"/>
  <c r="DS6" i="11"/>
  <c r="DO19" i="11"/>
  <c r="DN37" i="11"/>
  <c r="DP9" i="11"/>
  <c r="DP19" i="11"/>
  <c r="DQ14" i="11"/>
  <c r="DP30" i="11"/>
  <c r="DN42" i="11"/>
  <c r="DO15" i="11"/>
  <c r="DO34" i="11"/>
  <c r="DN18" i="11"/>
  <c r="DQ26" i="11"/>
  <c r="DQ37" i="11"/>
  <c r="DN19" i="11"/>
  <c r="DN5" i="11"/>
  <c r="DO14" i="11"/>
  <c r="DP22" i="11"/>
  <c r="DO17" i="11"/>
  <c r="DQ11" i="11"/>
  <c r="DP15" i="11"/>
  <c r="DQ30" i="11"/>
  <c r="DQ38" i="11"/>
  <c r="DQ42" i="11"/>
  <c r="DO33" i="11"/>
  <c r="DO18" i="11"/>
  <c r="DQ19" i="11"/>
  <c r="DN55" i="11"/>
  <c r="DP55" i="11"/>
  <c r="DO37" i="11"/>
  <c r="DP14" i="11"/>
  <c r="DO30" i="11"/>
  <c r="DO23" i="11"/>
  <c r="DO11" i="11"/>
  <c r="DN17" i="11"/>
  <c r="DO9" i="11"/>
  <c r="DO26" i="11"/>
  <c r="DN26" i="11"/>
  <c r="DN36" i="11"/>
  <c r="DP38" i="11"/>
  <c r="DP37" i="11"/>
  <c r="DP26" i="11"/>
  <c r="DO42" i="11"/>
  <c r="DQ18" i="11"/>
  <c r="DO22" i="11"/>
  <c r="DN22" i="11"/>
  <c r="DP36" i="11"/>
  <c r="DP33" i="11"/>
  <c r="DN9" i="11"/>
  <c r="DN15" i="11"/>
  <c r="DN38" i="11"/>
  <c r="DO55" i="11"/>
  <c r="DP17" i="11"/>
  <c r="DQ22" i="11"/>
  <c r="DQ23" i="11"/>
  <c r="DP11" i="11"/>
  <c r="DN30" i="11"/>
  <c r="DQ17" i="11"/>
  <c r="DP23" i="11"/>
  <c r="DN23" i="11"/>
  <c r="DQ9" i="11"/>
  <c r="DN11" i="11"/>
  <c r="DN14" i="11"/>
  <c r="DQ36" i="11"/>
  <c r="DP42" i="11"/>
  <c r="DQ15" i="11"/>
  <c r="DO38" i="11"/>
  <c r="DP18" i="11"/>
  <c r="DO36" i="11"/>
  <c r="CA171" i="1"/>
  <c r="CB141" i="1"/>
  <c r="CA145" i="1"/>
  <c r="CC141" i="1"/>
  <c r="CA161" i="1"/>
  <c r="CG42" i="11"/>
  <c r="CY95" i="1"/>
  <c r="CZ85" i="1"/>
  <c r="DA85" i="1"/>
  <c r="AM95" i="1"/>
  <c r="AN85" i="1"/>
  <c r="AO85" i="1"/>
  <c r="F26" i="3"/>
  <c r="S25" i="3"/>
  <c r="U25" i="3" s="1"/>
  <c r="AJ25" i="3" s="1"/>
  <c r="F28" i="3"/>
  <c r="D28" i="3"/>
  <c r="D27" i="3"/>
  <c r="S26" i="3"/>
  <c r="U26" i="3" s="1"/>
  <c r="AJ26" i="3" s="1"/>
  <c r="F25" i="3"/>
  <c r="F29" i="3"/>
  <c r="S28" i="3"/>
  <c r="U28" i="3" s="1"/>
  <c r="AJ28" i="3" s="1"/>
  <c r="A17" i="3"/>
  <c r="D19" i="3" s="1"/>
  <c r="D25" i="3"/>
  <c r="S29" i="3"/>
  <c r="U29" i="3" s="1"/>
  <c r="S27" i="3"/>
  <c r="U27" i="3" s="1"/>
  <c r="AJ27" i="3" s="1"/>
  <c r="F27" i="3"/>
  <c r="H34" i="3"/>
  <c r="DH14" i="1"/>
  <c r="DH34" i="1"/>
  <c r="DH54" i="1"/>
  <c r="DH104" i="1"/>
  <c r="DH44" i="1"/>
  <c r="BH146" i="1"/>
  <c r="AQ94" i="1"/>
  <c r="AR84" i="1"/>
  <c r="AS84" i="1"/>
  <c r="AQ124" i="1"/>
  <c r="AW84" i="1"/>
  <c r="CM126" i="1"/>
  <c r="CS126" i="1" s="1"/>
  <c r="CN123" i="1"/>
  <c r="CN133" i="1"/>
  <c r="CM143" i="1"/>
  <c r="CS143" i="1" s="1"/>
  <c r="CO123" i="1"/>
  <c r="CJ84" i="1"/>
  <c r="CI94" i="1"/>
  <c r="CK84" i="1"/>
  <c r="CI124" i="1"/>
  <c r="CO84" i="1"/>
  <c r="DD85" i="1"/>
  <c r="DE85" i="1"/>
  <c r="DC95" i="1"/>
  <c r="BB45" i="11"/>
  <c r="BB20" i="11"/>
  <c r="D17" i="8"/>
  <c r="L17" i="8" s="1"/>
  <c r="U88" i="3"/>
  <c r="AJ88" i="3" s="1"/>
  <c r="D18" i="8"/>
  <c r="L18" i="8" s="1"/>
  <c r="U89" i="3"/>
  <c r="AJ89" i="3" s="1"/>
  <c r="BG51" i="11"/>
  <c r="BG59" i="11"/>
  <c r="H89" i="3"/>
  <c r="BL59" i="11"/>
  <c r="BL51" i="11"/>
  <c r="DH83" i="1"/>
  <c r="DG93" i="1"/>
  <c r="DG123" i="1"/>
  <c r="DI83" i="1"/>
  <c r="DG82" i="1"/>
  <c r="DG26" i="1"/>
  <c r="DH26" i="1" s="1"/>
  <c r="BM126" i="1"/>
  <c r="BL136" i="1"/>
  <c r="BL126" i="1"/>
  <c r="C124" i="1"/>
  <c r="C94" i="1"/>
  <c r="EQ42" i="11" s="1"/>
  <c r="EQ59" i="11" s="1"/>
  <c r="BQ25" i="1"/>
  <c r="BU25" i="1"/>
  <c r="AX20" i="11"/>
  <c r="AX45" i="11"/>
  <c r="U24" i="1"/>
  <c r="Y24" i="1"/>
  <c r="S94" i="1"/>
  <c r="EU42" i="11" s="1"/>
  <c r="U84" i="1"/>
  <c r="S124" i="1"/>
  <c r="T84" i="1"/>
  <c r="Y84" i="1"/>
  <c r="AF135" i="1"/>
  <c r="AG125" i="1"/>
  <c r="AF125" i="1"/>
  <c r="AG140" i="1"/>
  <c r="AE170" i="1"/>
  <c r="AE160" i="1"/>
  <c r="AE145" i="1"/>
  <c r="AF140" i="1"/>
  <c r="BC59" i="11"/>
  <c r="BC51" i="11"/>
  <c r="AF163" i="1"/>
  <c r="AE183" i="1"/>
  <c r="AO34" i="11" s="1"/>
  <c r="BM30" i="11"/>
  <c r="O11" i="5"/>
  <c r="O12" i="5" s="1"/>
  <c r="BL38" i="11"/>
  <c r="CA42" i="11"/>
  <c r="CG15" i="11"/>
  <c r="CB38" i="11"/>
  <c r="CF17" i="11"/>
  <c r="CQ30" i="11"/>
  <c r="CO55" i="11"/>
  <c r="CQ14" i="11"/>
  <c r="D166" i="3"/>
  <c r="AL103" i="8"/>
  <c r="BR33" i="11"/>
  <c r="O47" i="5"/>
  <c r="R56" i="5"/>
  <c r="BP38" i="11"/>
  <c r="R42" i="5"/>
  <c r="FF19" i="11" s="1"/>
  <c r="S183" i="3"/>
  <c r="D112" i="8" s="1"/>
  <c r="BK37" i="11"/>
  <c r="BM17" i="11"/>
  <c r="CG22" i="11"/>
  <c r="BR26" i="11"/>
  <c r="CO17" i="11"/>
  <c r="CF14" i="11"/>
  <c r="F60" i="8"/>
  <c r="CE18" i="11"/>
  <c r="F130" i="3"/>
  <c r="BW18" i="11"/>
  <c r="CK9" i="11"/>
  <c r="F168" i="3"/>
  <c r="F125" i="3"/>
  <c r="CH38" i="11"/>
  <c r="F112" i="3"/>
  <c r="P42" i="5"/>
  <c r="FD19" i="11" s="1"/>
  <c r="AL104" i="8"/>
  <c r="S97" i="3"/>
  <c r="BW26" i="11"/>
  <c r="BV19" i="11"/>
  <c r="FE37" i="11"/>
  <c r="CA37" i="11"/>
  <c r="Q37" i="5"/>
  <c r="CJ37" i="11"/>
  <c r="F34" i="8"/>
  <c r="BV11" i="11"/>
  <c r="CR11" i="11"/>
  <c r="F91" i="8"/>
  <c r="CK55" i="11"/>
  <c r="D182" i="3"/>
  <c r="H182" i="3" s="1"/>
  <c r="F131" i="8"/>
  <c r="BK17" i="11"/>
  <c r="CB26" i="11"/>
  <c r="BW37" i="11"/>
  <c r="AL48" i="8"/>
  <c r="BI24" i="1"/>
  <c r="BE24" i="1"/>
  <c r="DG11" i="11"/>
  <c r="DF9" i="11"/>
  <c r="AL108" i="8"/>
  <c r="CR42" i="11"/>
  <c r="BI86" i="1"/>
  <c r="BC96" i="1"/>
  <c r="BE86" i="1"/>
  <c r="BD86" i="1"/>
  <c r="CJ86" i="1"/>
  <c r="CK86" i="1"/>
  <c r="CI96" i="1"/>
  <c r="V50" i="5"/>
  <c r="FJ23" i="11" s="1"/>
  <c r="V47" i="5"/>
  <c r="V62" i="5"/>
  <c r="FJ30" i="11" s="1"/>
  <c r="V42" i="5"/>
  <c r="FJ19" i="11" s="1"/>
  <c r="V11" i="5"/>
  <c r="V73" i="5"/>
  <c r="V40" i="5"/>
  <c r="FJ18" i="11" s="1"/>
  <c r="V7" i="5"/>
  <c r="W5" i="5"/>
  <c r="V24" i="5"/>
  <c r="V56" i="5"/>
  <c r="V35" i="5"/>
  <c r="FJ17" i="11" s="1"/>
  <c r="V5" i="4"/>
  <c r="V41" i="4" s="1"/>
  <c r="V37" i="5"/>
  <c r="U11" i="5"/>
  <c r="U47" i="5"/>
  <c r="U37" i="5"/>
  <c r="AX56" i="11"/>
  <c r="AI124" i="1"/>
  <c r="AI94" i="1"/>
  <c r="AJ84" i="1"/>
  <c r="AK84" i="1"/>
  <c r="P86" i="1"/>
  <c r="O96" i="1"/>
  <c r="Q86" i="1"/>
  <c r="CO25" i="1"/>
  <c r="L38" i="4"/>
  <c r="L7" i="4"/>
  <c r="Z56" i="7"/>
  <c r="AC27" i="3"/>
  <c r="BF51" i="11"/>
  <c r="CQ144" i="1"/>
  <c r="CS144" i="1" s="1"/>
  <c r="CR124" i="1"/>
  <c r="CR134" i="1"/>
  <c r="AT46" i="11"/>
  <c r="AF46" i="7"/>
  <c r="AF52" i="7" s="1"/>
  <c r="AF58" i="7"/>
  <c r="P133" i="1"/>
  <c r="Q123" i="1"/>
  <c r="O126" i="1"/>
  <c r="P123" i="1"/>
  <c r="O143" i="1"/>
  <c r="U123" i="1"/>
  <c r="M11" i="4"/>
  <c r="M8" i="5"/>
  <c r="N67" i="9"/>
  <c r="FA9" i="11"/>
  <c r="FA46" i="11" s="1"/>
  <c r="M38" i="5"/>
  <c r="M44" i="5"/>
  <c r="BM46" i="11"/>
  <c r="BM56" i="11"/>
  <c r="FB16" i="11"/>
  <c r="BL54" i="11"/>
  <c r="DC141" i="1"/>
  <c r="DC171" i="1" s="1"/>
  <c r="DD131" i="1"/>
  <c r="DD121" i="1"/>
  <c r="I122" i="1"/>
  <c r="C142" i="1"/>
  <c r="D132" i="1"/>
  <c r="D122" i="1"/>
  <c r="C126" i="1"/>
  <c r="DA86" i="1"/>
  <c r="CZ86" i="1"/>
  <c r="CY96" i="1"/>
  <c r="CS124" i="1"/>
  <c r="AM170" i="1"/>
  <c r="AN140" i="1"/>
  <c r="AM145" i="1"/>
  <c r="AM160" i="1"/>
  <c r="FC15" i="11"/>
  <c r="O38" i="5"/>
  <c r="H88" i="3"/>
  <c r="O69" i="9"/>
  <c r="FB14" i="11"/>
  <c r="N25" i="5"/>
  <c r="BN13" i="11"/>
  <c r="BN54" i="11"/>
  <c r="DH106" i="1"/>
  <c r="DH36" i="1"/>
  <c r="DH46" i="1"/>
  <c r="DH56" i="1"/>
  <c r="H99" i="3"/>
  <c r="AP195" i="3"/>
  <c r="U188" i="3"/>
  <c r="AJ188" i="3" s="1"/>
  <c r="AL188" i="3" s="1"/>
  <c r="BT135" i="1"/>
  <c r="BT125" i="1"/>
  <c r="BY125" i="1"/>
  <c r="BU125" i="1"/>
  <c r="AR130" i="1"/>
  <c r="AQ125" i="1"/>
  <c r="AR120" i="1"/>
  <c r="AS120" i="1"/>
  <c r="AQ140" i="1"/>
  <c r="AW120" i="1"/>
  <c r="AN194" i="3"/>
  <c r="AW54" i="11"/>
  <c r="AQ142" i="1"/>
  <c r="AR132" i="1"/>
  <c r="AS122" i="1"/>
  <c r="AW122" i="1"/>
  <c r="AR122" i="1"/>
  <c r="AQ126" i="1"/>
  <c r="BM36" i="11"/>
  <c r="F96" i="3"/>
  <c r="S104" i="3"/>
  <c r="BX19" i="11"/>
  <c r="CB30" i="11"/>
  <c r="R35" i="5"/>
  <c r="FF17" i="11" s="1"/>
  <c r="BP36" i="11"/>
  <c r="AL80" i="8"/>
  <c r="CB22" i="11"/>
  <c r="FN37" i="11"/>
  <c r="S140" i="3"/>
  <c r="D153" i="3"/>
  <c r="D131" i="3"/>
  <c r="BH54" i="11"/>
  <c r="CT33" i="11"/>
  <c r="BK30" i="11"/>
  <c r="CC23" i="11"/>
  <c r="BV15" i="11"/>
  <c r="CA19" i="11"/>
  <c r="F151" i="3"/>
  <c r="BG56" i="11"/>
  <c r="BG46" i="11"/>
  <c r="N38" i="5"/>
  <c r="FB15" i="11"/>
  <c r="D111" i="3"/>
  <c r="CH9" i="11"/>
  <c r="O24" i="5"/>
  <c r="CJ14" i="11"/>
  <c r="Q35" i="5"/>
  <c r="FE17" i="11" s="1"/>
  <c r="CL19" i="11"/>
  <c r="F77" i="8"/>
  <c r="CO11" i="11"/>
  <c r="P50" i="5"/>
  <c r="FD23" i="11" s="1"/>
  <c r="CR22" i="11"/>
  <c r="S118" i="3"/>
  <c r="D173" i="3"/>
  <c r="H173" i="3" s="1"/>
  <c r="F62" i="8"/>
  <c r="BQ17" i="11"/>
  <c r="BS14" i="11"/>
  <c r="F101" i="8"/>
  <c r="T97" i="8" s="1"/>
  <c r="CW42" i="11"/>
  <c r="FC38" i="11"/>
  <c r="BL17" i="11"/>
  <c r="BX30" i="11"/>
  <c r="CC30" i="11"/>
  <c r="FD37" i="11"/>
  <c r="S102" i="3"/>
  <c r="F76" i="8"/>
  <c r="CR18" i="11"/>
  <c r="F66" i="8"/>
  <c r="CG17" i="11"/>
  <c r="S167" i="3"/>
  <c r="S148" i="3"/>
  <c r="AL132" i="8"/>
  <c r="BR36" i="11"/>
  <c r="FD38" i="11"/>
  <c r="BQ11" i="11"/>
  <c r="S11" i="5"/>
  <c r="CU9" i="11"/>
  <c r="DB38" i="11"/>
  <c r="CQ182" i="1"/>
  <c r="CR182" i="1" s="1"/>
  <c r="CR162" i="1"/>
  <c r="CS162" i="1"/>
  <c r="CV166" i="1"/>
  <c r="DD30" i="11"/>
  <c r="DG22" i="11"/>
  <c r="DA55" i="11"/>
  <c r="Y126" i="1"/>
  <c r="X136" i="1"/>
  <c r="X126" i="1"/>
  <c r="BE26" i="1"/>
  <c r="BI26" i="1"/>
  <c r="P121" i="1"/>
  <c r="O125" i="1"/>
  <c r="O141" i="1"/>
  <c r="P131" i="1"/>
  <c r="Q121" i="1"/>
  <c r="U41" i="4"/>
  <c r="U56" i="5"/>
  <c r="U73" i="5"/>
  <c r="U62" i="5"/>
  <c r="FI30" i="11" s="1"/>
  <c r="CZ42" i="11"/>
  <c r="CI95" i="1"/>
  <c r="CJ85" i="1"/>
  <c r="CK85" i="1"/>
  <c r="D120" i="3"/>
  <c r="D127" i="3"/>
  <c r="AH27" i="8"/>
  <c r="AA181" i="1"/>
  <c r="AB161" i="1"/>
  <c r="AC161" i="1"/>
  <c r="FC30" i="11"/>
  <c r="D27" i="8"/>
  <c r="U98" i="3"/>
  <c r="AJ98" i="3" s="1"/>
  <c r="N12" i="5"/>
  <c r="N13" i="5" s="1"/>
  <c r="O68" i="9"/>
  <c r="FB11" i="11"/>
  <c r="FC26" i="11"/>
  <c r="O67" i="9"/>
  <c r="FB9" i="11"/>
  <c r="N8" i="5"/>
  <c r="N11" i="4"/>
  <c r="N44" i="5"/>
  <c r="CQ125" i="1"/>
  <c r="CS120" i="1"/>
  <c r="CR120" i="1"/>
  <c r="CQ140" i="1"/>
  <c r="CR130" i="1"/>
  <c r="D155" i="3"/>
  <c r="Y86" i="1"/>
  <c r="EY22" i="11"/>
  <c r="K12" i="5"/>
  <c r="L68" i="9"/>
  <c r="EY11" i="11"/>
  <c r="CS85" i="1"/>
  <c r="CR85" i="1"/>
  <c r="CQ95" i="1"/>
  <c r="CW85" i="1"/>
  <c r="BO160" i="1"/>
  <c r="BQ140" i="1"/>
  <c r="BO145" i="1"/>
  <c r="BO170" i="1"/>
  <c r="BP140" i="1"/>
  <c r="BI54" i="11"/>
  <c r="DE121" i="1"/>
  <c r="V58" i="7"/>
  <c r="BI56" i="11"/>
  <c r="K44" i="5"/>
  <c r="K49" i="4" s="1"/>
  <c r="R27" i="8"/>
  <c r="P67" i="9"/>
  <c r="O11" i="4"/>
  <c r="O8" i="5"/>
  <c r="FC9" i="11"/>
  <c r="FA56" i="11"/>
  <c r="BC20" i="11"/>
  <c r="BC45" i="11"/>
  <c r="BH46" i="11"/>
  <c r="BH56" i="11"/>
  <c r="CV161" i="1"/>
  <c r="CU181" i="1"/>
  <c r="CV181" i="1" s="1"/>
  <c r="CW161" i="1"/>
  <c r="CF160" i="1"/>
  <c r="CE180" i="1"/>
  <c r="CF170" i="1"/>
  <c r="U26" i="1"/>
  <c r="CF84" i="1"/>
  <c r="CE124" i="1"/>
  <c r="CG84" i="1"/>
  <c r="CE94" i="1"/>
  <c r="AR46" i="11"/>
  <c r="AO26" i="11"/>
  <c r="AO36" i="11"/>
  <c r="AL26" i="11"/>
  <c r="AM14" i="11"/>
  <c r="AO9" i="11"/>
  <c r="AT54" i="11" s="1"/>
  <c r="AO11" i="11"/>
  <c r="AL37" i="11"/>
  <c r="AL19" i="11"/>
  <c r="AM37" i="11"/>
  <c r="AM22" i="11"/>
  <c r="AN37" i="11"/>
  <c r="AN30" i="11"/>
  <c r="AN14" i="11"/>
  <c r="AS56" i="11" s="1"/>
  <c r="AN55" i="11"/>
  <c r="AL5" i="11"/>
  <c r="AM5" i="11" s="1"/>
  <c r="AN5" i="11" s="1"/>
  <c r="AO5" i="11" s="1"/>
  <c r="AN26" i="11"/>
  <c r="AO19" i="11"/>
  <c r="AL11" i="11"/>
  <c r="AL36" i="11"/>
  <c r="AM36" i="11"/>
  <c r="AN22" i="11"/>
  <c r="AL17" i="11"/>
  <c r="AN18" i="11"/>
  <c r="AN19" i="11"/>
  <c r="AM9" i="11"/>
  <c r="AR54" i="11" s="1"/>
  <c r="AO17" i="11"/>
  <c r="AN15" i="11"/>
  <c r="AM30" i="11"/>
  <c r="AM23" i="11"/>
  <c r="AN9" i="11"/>
  <c r="AS54" i="11" s="1"/>
  <c r="AO30" i="11"/>
  <c r="AO14" i="11"/>
  <c r="AM15" i="11"/>
  <c r="AL14" i="11"/>
  <c r="AL22" i="11"/>
  <c r="AM55" i="11"/>
  <c r="AO37" i="11"/>
  <c r="AL30" i="11"/>
  <c r="AN17" i="11"/>
  <c r="AM11" i="11"/>
  <c r="AO15" i="11"/>
  <c r="AM18" i="11"/>
  <c r="AL23" i="11"/>
  <c r="AO23" i="11"/>
  <c r="AO22" i="11"/>
  <c r="AN23" i="11"/>
  <c r="AM19" i="11"/>
  <c r="AL18" i="11"/>
  <c r="AL15" i="11"/>
  <c r="AL9" i="11"/>
  <c r="AM17" i="11"/>
  <c r="AL55" i="11"/>
  <c r="AO55" i="11"/>
  <c r="AO33" i="11"/>
  <c r="AN11" i="11"/>
  <c r="AN36" i="11"/>
  <c r="AO18" i="11"/>
  <c r="AM42" i="11"/>
  <c r="AR59" i="11" s="1"/>
  <c r="AG6" i="11"/>
  <c r="AM26" i="11"/>
  <c r="AI173" i="1"/>
  <c r="AK143" i="1"/>
  <c r="AI163" i="1"/>
  <c r="AJ143" i="1"/>
  <c r="AI146" i="1"/>
  <c r="AJ146" i="1" s="1"/>
  <c r="AG25" i="1"/>
  <c r="AC25" i="1"/>
  <c r="BG181" i="1"/>
  <c r="BH161" i="1"/>
  <c r="AX59" i="11"/>
  <c r="AX51" i="11"/>
  <c r="CE141" i="1"/>
  <c r="CF121" i="1"/>
  <c r="CG121" i="1"/>
  <c r="CF131" i="1"/>
  <c r="CK131" i="1" s="1"/>
  <c r="CE125" i="1"/>
  <c r="EY9" i="11"/>
  <c r="EZ54" i="11" s="1"/>
  <c r="K11" i="4"/>
  <c r="L12" i="4" s="1"/>
  <c r="L67" i="9"/>
  <c r="CY14" i="11"/>
  <c r="CJ123" i="1"/>
  <c r="CJ133" i="1"/>
  <c r="CI143" i="1"/>
  <c r="CK123" i="1"/>
  <c r="CI126" i="1"/>
  <c r="CN85" i="1"/>
  <c r="CM95" i="1"/>
  <c r="CO85" i="1"/>
  <c r="R41" i="4"/>
  <c r="BM18" i="11"/>
  <c r="BP19" i="11"/>
  <c r="BP37" i="11"/>
  <c r="BU42" i="11"/>
  <c r="BX23" i="11"/>
  <c r="CL55" i="11"/>
  <c r="CA36" i="11"/>
  <c r="D159" i="3"/>
  <c r="S40" i="5"/>
  <c r="FG18" i="11" s="1"/>
  <c r="CP14" i="11"/>
  <c r="F97" i="8"/>
  <c r="AH97" i="8" s="1"/>
  <c r="BV33" i="11"/>
  <c r="D162" i="3"/>
  <c r="D103" i="3"/>
  <c r="BN26" i="11"/>
  <c r="CE26" i="11"/>
  <c r="FF38" i="11"/>
  <c r="F103" i="8"/>
  <c r="D154" i="3"/>
  <c r="AL119" i="8"/>
  <c r="CO19" i="11"/>
  <c r="Q62" i="5"/>
  <c r="FE30" i="11" s="1"/>
  <c r="BM11" i="11"/>
  <c r="BM13" i="11" s="1"/>
  <c r="F32" i="8"/>
  <c r="BV18" i="11"/>
  <c r="CL22" i="11"/>
  <c r="CJ23" i="11"/>
  <c r="BZ55" i="11"/>
  <c r="P24" i="5"/>
  <c r="BP15" i="11"/>
  <c r="F169" i="3"/>
  <c r="D169" i="3"/>
  <c r="D134" i="3"/>
  <c r="AL129" i="8"/>
  <c r="F61" i="8"/>
  <c r="AH61" i="8" s="1"/>
  <c r="BU23" i="11"/>
  <c r="F147" i="3"/>
  <c r="F118" i="8"/>
  <c r="S7" i="5"/>
  <c r="BL14" i="11"/>
  <c r="BQ19" i="11"/>
  <c r="F39" i="8"/>
  <c r="BU37" i="11"/>
  <c r="CA15" i="11"/>
  <c r="F119" i="3"/>
  <c r="F59" i="8"/>
  <c r="Q7" i="5"/>
  <c r="CC36" i="11"/>
  <c r="BP17" i="11"/>
  <c r="F110" i="8"/>
  <c r="CC9" i="11"/>
  <c r="D172" i="3"/>
  <c r="H172" i="3" s="1"/>
  <c r="CC33" i="11"/>
  <c r="BM26" i="11"/>
  <c r="CJ17" i="11"/>
  <c r="F42" i="8"/>
  <c r="R42" i="8" s="1"/>
  <c r="F104" i="3"/>
  <c r="D118" i="3"/>
  <c r="CN172" i="1"/>
  <c r="DI33" i="11"/>
  <c r="DK14" i="11"/>
  <c r="DL26" i="11"/>
  <c r="DI17" i="11"/>
  <c r="DJ38" i="11"/>
  <c r="DK23" i="11"/>
  <c r="DJ19" i="11"/>
  <c r="DJ33" i="11"/>
  <c r="DL14" i="11"/>
  <c r="DI22" i="11"/>
  <c r="DD9" i="11"/>
  <c r="BP135" i="1"/>
  <c r="BQ125" i="1"/>
  <c r="BP125" i="1"/>
  <c r="AN161" i="1"/>
  <c r="AM181" i="1"/>
  <c r="CB125" i="1"/>
  <c r="CB135" i="1"/>
  <c r="CC125" i="1"/>
  <c r="CW26" i="1"/>
  <c r="CS26" i="1"/>
  <c r="CR86" i="1"/>
  <c r="CS86" i="1"/>
  <c r="CQ96" i="1"/>
  <c r="CW86" i="1"/>
  <c r="BO126" i="1"/>
  <c r="BP132" i="1"/>
  <c r="BP122" i="1"/>
  <c r="BO142" i="1"/>
  <c r="BQ122" i="1"/>
  <c r="BU122" i="1"/>
  <c r="G172" i="1"/>
  <c r="H142" i="1"/>
  <c r="G162" i="1"/>
  <c r="M142" i="1"/>
  <c r="I142" i="1"/>
  <c r="DA9" i="11"/>
  <c r="DE84" i="1"/>
  <c r="DC124" i="1"/>
  <c r="DC94" i="1"/>
  <c r="DD84" i="1"/>
  <c r="T85" i="1"/>
  <c r="U85" i="1"/>
  <c r="S95" i="1"/>
  <c r="DB14" i="11"/>
  <c r="BH13" i="11"/>
  <c r="CQ22" i="11"/>
  <c r="CM23" i="11"/>
  <c r="BR18" i="11"/>
  <c r="AL66" i="8"/>
  <c r="CC37" i="11"/>
  <c r="CH22" i="11"/>
  <c r="P35" i="5"/>
  <c r="FD17" i="11" s="1"/>
  <c r="F68" i="8"/>
  <c r="F80" i="8"/>
  <c r="S159" i="3"/>
  <c r="S147" i="3"/>
  <c r="AL69" i="8"/>
  <c r="AL49" i="8"/>
  <c r="O35" i="5"/>
  <c r="FC17" i="11" s="1"/>
  <c r="FC16" i="11" s="1"/>
  <c r="CB15" i="11"/>
  <c r="BR37" i="11"/>
  <c r="CO26" i="11"/>
  <c r="D145" i="3"/>
  <c r="BX11" i="11"/>
  <c r="BN17" i="11"/>
  <c r="FE55" i="11"/>
  <c r="CP11" i="11"/>
  <c r="BS19" i="11"/>
  <c r="BS37" i="11"/>
  <c r="F146" i="3"/>
  <c r="CH37" i="11"/>
  <c r="F140" i="3"/>
  <c r="FO37" i="11"/>
  <c r="S96" i="3"/>
  <c r="AL52" i="8"/>
  <c r="CF33" i="11"/>
  <c r="S47" i="5"/>
  <c r="BS38" i="11"/>
  <c r="CB19" i="11"/>
  <c r="F95" i="8"/>
  <c r="AH95" i="8" s="1"/>
  <c r="BN42" i="11"/>
  <c r="AJ85" i="3"/>
  <c r="CE14" i="11"/>
  <c r="BN55" i="11"/>
  <c r="CA26" i="11"/>
  <c r="BN38" i="11"/>
  <c r="CP9" i="11"/>
  <c r="AL82" i="8"/>
  <c r="R40" i="5"/>
  <c r="FF18" i="11" s="1"/>
  <c r="CK19" i="11"/>
  <c r="CK36" i="11"/>
  <c r="BZ36" i="11"/>
  <c r="S162" i="3"/>
  <c r="CF9" i="11"/>
  <c r="AL24" i="8"/>
  <c r="F138" i="3"/>
  <c r="CL9" i="11"/>
  <c r="CO18" i="11"/>
  <c r="CF55" i="11"/>
  <c r="AL53" i="8"/>
  <c r="DF38" i="11"/>
  <c r="DE55" i="11"/>
  <c r="DH16" i="1"/>
  <c r="CZ142" i="1"/>
  <c r="CY162" i="1"/>
  <c r="DA142" i="1"/>
  <c r="CY172" i="1"/>
  <c r="DB18" i="11"/>
  <c r="D96" i="3"/>
  <c r="W181" i="3"/>
  <c r="Y181" i="3" s="1"/>
  <c r="AJ181" i="3"/>
  <c r="AL181" i="3" s="1"/>
  <c r="AN181" i="3" s="1"/>
  <c r="BU140" i="1"/>
  <c r="BS160" i="1"/>
  <c r="BT140" i="1"/>
  <c r="BS170" i="1"/>
  <c r="CJ33" i="11" s="1"/>
  <c r="BY140" i="1"/>
  <c r="CF86" i="1"/>
  <c r="CE96" i="1"/>
  <c r="CG86" i="1"/>
  <c r="P75" i="42"/>
  <c r="Q109" i="42" s="1"/>
  <c r="BP134" i="1"/>
  <c r="BP124" i="1"/>
  <c r="CR136" i="1"/>
  <c r="CR126" i="1"/>
  <c r="CW126" i="1"/>
  <c r="CS123" i="1"/>
  <c r="D98" i="3"/>
  <c r="H98" i="3" s="1"/>
  <c r="DA36" i="11"/>
  <c r="AW45" i="11"/>
  <c r="AW20" i="11"/>
  <c r="H123" i="1"/>
  <c r="M123" i="1"/>
  <c r="G126" i="1"/>
  <c r="H133" i="1"/>
  <c r="G143" i="1"/>
  <c r="I123" i="1"/>
  <c r="FN42" i="11"/>
  <c r="CP30" i="11"/>
  <c r="F28" i="8"/>
  <c r="R28" i="8" s="1"/>
  <c r="BU26" i="11"/>
  <c r="BQ36" i="11"/>
  <c r="BU30" i="11"/>
  <c r="CO14" i="11"/>
  <c r="S62" i="5"/>
  <c r="FG30" i="11" s="1"/>
  <c r="F41" i="8"/>
  <c r="BV14" i="11"/>
  <c r="F87" i="8"/>
  <c r="F154" i="3"/>
  <c r="AL101" i="8"/>
  <c r="BK42" i="11"/>
  <c r="F126" i="8"/>
  <c r="F26" i="8"/>
  <c r="CQ23" i="11"/>
  <c r="BS30" i="11"/>
  <c r="F123" i="3"/>
  <c r="AL54" i="8"/>
  <c r="AL125" i="8"/>
  <c r="N74" i="9"/>
  <c r="N78" i="9" s="1"/>
  <c r="N73" i="9"/>
  <c r="N77" i="9" s="1"/>
  <c r="BL15" i="11"/>
  <c r="FC55" i="11"/>
  <c r="BL11" i="11"/>
  <c r="BL13" i="11" s="1"/>
  <c r="CP26" i="11"/>
  <c r="CP23" i="11"/>
  <c r="CQ9" i="11"/>
  <c r="BX15" i="11"/>
  <c r="D110" i="3"/>
  <c r="AL81" i="8"/>
  <c r="F104" i="8"/>
  <c r="CR9" i="11"/>
  <c r="AL76" i="8"/>
  <c r="CM55" i="11"/>
  <c r="CO30" i="11"/>
  <c r="F31" i="8"/>
  <c r="F124" i="8"/>
  <c r="CF23" i="11"/>
  <c r="BM22" i="11"/>
  <c r="BU17" i="11"/>
  <c r="R73" i="5"/>
  <c r="S126" i="3"/>
  <c r="BP9" i="11"/>
  <c r="CF38" i="11"/>
  <c r="S117" i="3"/>
  <c r="BU36" i="11"/>
  <c r="F116" i="8"/>
  <c r="H91" i="3"/>
  <c r="D151" i="3"/>
  <c r="S99" i="3"/>
  <c r="FR37" i="11"/>
  <c r="BZ22" i="11"/>
  <c r="S73" i="5"/>
  <c r="F160" i="3"/>
  <c r="F141" i="3"/>
  <c r="D119" i="3"/>
  <c r="O75" i="42"/>
  <c r="CW162" i="1"/>
  <c r="DG23" i="11"/>
  <c r="DD37" i="11"/>
  <c r="DF42" i="11"/>
  <c r="DB11" i="11"/>
  <c r="O124" i="1"/>
  <c r="Q84" i="1"/>
  <c r="O94" i="1"/>
  <c r="ET42" i="11" s="1"/>
  <c r="P84" i="1"/>
  <c r="U7" i="5"/>
  <c r="U42" i="5"/>
  <c r="FI19" i="11" s="1"/>
  <c r="U50" i="5"/>
  <c r="FI23" i="11" s="1"/>
  <c r="AH19" i="8"/>
  <c r="DB37" i="11"/>
  <c r="BQ24" i="1"/>
  <c r="AO42" i="11"/>
  <c r="CY38" i="11"/>
  <c r="BK124" i="1"/>
  <c r="BM84" i="1"/>
  <c r="BL84" i="1"/>
  <c r="BK94" i="1"/>
  <c r="FF42" i="11" s="1"/>
  <c r="EZ13" i="11"/>
  <c r="L78" i="42"/>
  <c r="CM174" i="1"/>
  <c r="CM164" i="1"/>
  <c r="CN144" i="1"/>
  <c r="CH34" i="11"/>
  <c r="BP183" i="1"/>
  <c r="N26" i="3"/>
  <c r="N187" i="3"/>
  <c r="P187" i="3" s="1"/>
  <c r="W187" i="3"/>
  <c r="N194" i="3"/>
  <c r="P194" i="3" s="1"/>
  <c r="B28" i="3"/>
  <c r="J27" i="3"/>
  <c r="L27" i="3" s="1"/>
  <c r="M21" i="1"/>
  <c r="I21" i="1"/>
  <c r="J188" i="3"/>
  <c r="L188" i="3" s="1"/>
  <c r="D306" i="35"/>
  <c r="E305" i="35"/>
  <c r="E310" i="35"/>
  <c r="AF56" i="7"/>
  <c r="D26" i="3"/>
  <c r="L15" i="1"/>
  <c r="AB57" i="7"/>
  <c r="N58" i="7"/>
  <c r="AP175" i="3"/>
  <c r="AP169" i="3"/>
  <c r="AB59" i="7"/>
  <c r="I79" i="42"/>
  <c r="M109" i="42"/>
  <c r="N108" i="42"/>
  <c r="M75" i="42"/>
  <c r="M76" i="42" s="1"/>
  <c r="AC26" i="3"/>
  <c r="AC19" i="3"/>
  <c r="D109" i="42"/>
  <c r="E108" i="42"/>
  <c r="E368" i="35"/>
  <c r="D369" i="35"/>
  <c r="Z69" i="42"/>
  <c r="H105" i="1"/>
  <c r="G85" i="1"/>
  <c r="H15" i="1"/>
  <c r="H55" i="1"/>
  <c r="H25" i="1"/>
  <c r="H45" i="1"/>
  <c r="I15" i="1"/>
  <c r="H35" i="1"/>
  <c r="A312" i="35"/>
  <c r="I307" i="35"/>
  <c r="Q107" i="42"/>
  <c r="R72" i="42"/>
  <c r="R106" i="42"/>
  <c r="DW65" i="11"/>
  <c r="DX65" i="11"/>
  <c r="F109" i="42"/>
  <c r="E76" i="42"/>
  <c r="CQ5" i="11"/>
  <c r="EV38" i="11"/>
  <c r="EV42" i="11"/>
  <c r="EW6" i="11"/>
  <c r="EV62" i="11"/>
  <c r="EV37" i="11"/>
  <c r="EV55" i="11"/>
  <c r="EQ66" i="11"/>
  <c r="C36" i="4"/>
  <c r="FH38" i="11"/>
  <c r="FI6" i="11"/>
  <c r="FH37" i="11"/>
  <c r="FH62" i="11"/>
  <c r="FH55" i="11"/>
  <c r="FH42" i="11"/>
  <c r="J110" i="42"/>
  <c r="K109" i="42"/>
  <c r="AC25" i="3"/>
  <c r="H110" i="42"/>
  <c r="I109" i="42"/>
  <c r="CY202" i="1"/>
  <c r="DC198" i="1"/>
  <c r="DC199" i="1" s="1"/>
  <c r="DC200" i="1" s="1"/>
  <c r="DC201" i="1" s="1"/>
  <c r="C40" i="3"/>
  <c r="AG196" i="3"/>
  <c r="D612" i="35"/>
  <c r="E611" i="35"/>
  <c r="O110" i="42"/>
  <c r="K187" i="3"/>
  <c r="V116" i="8"/>
  <c r="X116" i="8" s="1"/>
  <c r="H104" i="1"/>
  <c r="G84" i="1"/>
  <c r="L14" i="1"/>
  <c r="D29" i="3" s="1"/>
  <c r="H54" i="1"/>
  <c r="H24" i="1"/>
  <c r="H14" i="1"/>
  <c r="D22" i="3" s="1"/>
  <c r="H34" i="1"/>
  <c r="S22" i="3"/>
  <c r="U22" i="3" s="1"/>
  <c r="W22" i="3" s="1"/>
  <c r="H44" i="1"/>
  <c r="G91" i="1"/>
  <c r="H81" i="1"/>
  <c r="G121" i="1"/>
  <c r="M81" i="1"/>
  <c r="I81" i="1"/>
  <c r="CZ125" i="1"/>
  <c r="CY161" i="1"/>
  <c r="CY171" i="1"/>
  <c r="CZ141" i="1"/>
  <c r="CY145" i="1"/>
  <c r="DE141" i="1"/>
  <c r="DA141" i="1"/>
  <c r="F80" i="42"/>
  <c r="CV124" i="1"/>
  <c r="CV134" i="1"/>
  <c r="CU144" i="1"/>
  <c r="CW124" i="1"/>
  <c r="DA124" i="1"/>
  <c r="R73" i="42"/>
  <c r="Q108" i="42"/>
  <c r="D16" i="4"/>
  <c r="D17" i="4" s="1"/>
  <c r="L113" i="42"/>
  <c r="K80" i="42"/>
  <c r="Z115" i="8"/>
  <c r="C113" i="42"/>
  <c r="C79" i="42"/>
  <c r="V105" i="42"/>
  <c r="W70" i="42"/>
  <c r="W104" i="42"/>
  <c r="F3" i="42"/>
  <c r="G136" i="42"/>
  <c r="G35" i="42"/>
  <c r="G100" i="42"/>
  <c r="G22" i="42"/>
  <c r="G15" i="42"/>
  <c r="G64" i="42"/>
  <c r="AG6" i="10"/>
  <c r="AH6" i="10" s="1"/>
  <c r="AI6" i="10" s="1"/>
  <c r="AJ6" i="10" s="1"/>
  <c r="AK6" i="10" s="1"/>
  <c r="DF5" i="11"/>
  <c r="DD163" i="1"/>
  <c r="DC183" i="1"/>
  <c r="J58" i="7"/>
  <c r="U10" i="4"/>
  <c r="V10" i="4"/>
  <c r="G114" i="42"/>
  <c r="FP38" i="11"/>
  <c r="DV38" i="11"/>
  <c r="DA5" i="11"/>
  <c r="Q100" i="42"/>
  <c r="Q15" i="42"/>
  <c r="Q35" i="42"/>
  <c r="R3" i="42"/>
  <c r="Q136" i="42"/>
  <c r="Q22" i="42"/>
  <c r="Q64" i="42"/>
  <c r="R74" i="42"/>
  <c r="Y10" i="4"/>
  <c r="N186" i="3"/>
  <c r="P186" i="3" s="1"/>
  <c r="W186" i="3"/>
  <c r="V102" i="42"/>
  <c r="W67" i="42"/>
  <c r="W101" i="42"/>
  <c r="J76" i="42"/>
  <c r="N77" i="42"/>
  <c r="D76" i="42"/>
  <c r="D77" i="42" s="1"/>
  <c r="D112" i="42" s="1"/>
  <c r="H76" i="42"/>
  <c r="AH68" i="8" l="1"/>
  <c r="AF129" i="8"/>
  <c r="J77" i="8"/>
  <c r="R77" i="8" s="1"/>
  <c r="DS63" i="11" s="1"/>
  <c r="AF109" i="8"/>
  <c r="J70" i="8"/>
  <c r="AF125" i="8"/>
  <c r="AH66" i="8"/>
  <c r="AH124" i="8"/>
  <c r="AF110" i="8"/>
  <c r="R136" i="8"/>
  <c r="AF108" i="8"/>
  <c r="Z109" i="8"/>
  <c r="J84" i="8"/>
  <c r="BI45" i="11"/>
  <c r="FC59" i="11"/>
  <c r="H25" i="3"/>
  <c r="AF111" i="8"/>
  <c r="BS144" i="1"/>
  <c r="DA163" i="1"/>
  <c r="DE125" i="1"/>
  <c r="DE163" i="1"/>
  <c r="CZ163" i="1"/>
  <c r="DD33" i="11"/>
  <c r="DD58" i="11" s="1"/>
  <c r="CN170" i="1"/>
  <c r="AO143" i="1"/>
  <c r="BI162" i="1"/>
  <c r="Z111" i="8"/>
  <c r="AF118" i="8"/>
  <c r="FC51" i="11"/>
  <c r="X6" i="42"/>
  <c r="X25" i="42" s="1"/>
  <c r="Y66" i="42"/>
  <c r="AJ207" i="3"/>
  <c r="D604" i="35"/>
  <c r="E603" i="35"/>
  <c r="D319" i="35"/>
  <c r="J207" i="3"/>
  <c r="E318" i="35"/>
  <c r="AA32" i="3"/>
  <c r="AH116" i="8"/>
  <c r="DH120" i="1"/>
  <c r="Y186" i="3"/>
  <c r="DD126" i="1"/>
  <c r="C144" i="1"/>
  <c r="C164" i="1" s="1"/>
  <c r="AK141" i="1"/>
  <c r="Z129" i="8"/>
  <c r="W201" i="3"/>
  <c r="Y201" i="3" s="1"/>
  <c r="AI161" i="1"/>
  <c r="AO161" i="1" s="1"/>
  <c r="CC162" i="1"/>
  <c r="CC34" i="11"/>
  <c r="FM72" i="11"/>
  <c r="FM65" i="11"/>
  <c r="DO21" i="1"/>
  <c r="DP21" i="1"/>
  <c r="Z110" i="8"/>
  <c r="D641" i="35"/>
  <c r="E640" i="35"/>
  <c r="AA207" i="3"/>
  <c r="T136" i="8"/>
  <c r="AJ136" i="8"/>
  <c r="G81" i="42"/>
  <c r="A124" i="42"/>
  <c r="B124" i="42"/>
  <c r="AJ208" i="3"/>
  <c r="DP20" i="1"/>
  <c r="DO20" i="1"/>
  <c r="I312" i="35"/>
  <c r="A317" i="35"/>
  <c r="I317" i="35" s="1"/>
  <c r="DI120" i="1"/>
  <c r="AH118" i="8"/>
  <c r="DD136" i="1"/>
  <c r="AF117" i="8"/>
  <c r="F138" i="8"/>
  <c r="R137" i="8"/>
  <c r="AI171" i="1"/>
  <c r="AJ171" i="1" s="1"/>
  <c r="AX143" i="1"/>
  <c r="AK26" i="4"/>
  <c r="X27" i="4"/>
  <c r="AL137" i="8"/>
  <c r="D499" i="35"/>
  <c r="E511" i="35"/>
  <c r="E498" i="35"/>
  <c r="AL136" i="8"/>
  <c r="CY170" i="1"/>
  <c r="CZ140" i="1"/>
  <c r="BL160" i="1"/>
  <c r="BK180" i="1"/>
  <c r="BZ34" i="11" s="1"/>
  <c r="CV125" i="1"/>
  <c r="DA146" i="1"/>
  <c r="CK160" i="1"/>
  <c r="BW33" i="11"/>
  <c r="CB58" i="11" s="1"/>
  <c r="Y142" i="1"/>
  <c r="DA125" i="1"/>
  <c r="DI26" i="1"/>
  <c r="AL131" i="8"/>
  <c r="DM82" i="1"/>
  <c r="H110" i="3"/>
  <c r="C163" i="1"/>
  <c r="C173" i="1"/>
  <c r="D143" i="1"/>
  <c r="AU183" i="1"/>
  <c r="BI34" i="11" s="1"/>
  <c r="AV163" i="1"/>
  <c r="AM163" i="1"/>
  <c r="AS163" i="1" s="1"/>
  <c r="AN143" i="1"/>
  <c r="AM173" i="1"/>
  <c r="AY33" i="11" s="1"/>
  <c r="CG142" i="1"/>
  <c r="CE172" i="1"/>
  <c r="CF142" i="1"/>
  <c r="CE162" i="1"/>
  <c r="CK142" i="1"/>
  <c r="BH162" i="1"/>
  <c r="BG182" i="1"/>
  <c r="BH182" i="1" s="1"/>
  <c r="AZ141" i="1"/>
  <c r="AY171" i="1"/>
  <c r="BL33" i="11" s="1"/>
  <c r="BL58" i="11" s="1"/>
  <c r="AY161" i="1"/>
  <c r="AQ161" i="1"/>
  <c r="AQ171" i="1"/>
  <c r="AR141" i="1"/>
  <c r="AS141" i="1"/>
  <c r="CJ160" i="1"/>
  <c r="CI180" i="1"/>
  <c r="DD34" i="11" s="1"/>
  <c r="BH134" i="1"/>
  <c r="BH124" i="1"/>
  <c r="K171" i="1"/>
  <c r="L141" i="1"/>
  <c r="K161" i="1"/>
  <c r="BT136" i="1"/>
  <c r="BT126" i="1"/>
  <c r="AU170" i="1"/>
  <c r="BF33" i="11" s="1"/>
  <c r="AU160" i="1"/>
  <c r="AV140" i="1"/>
  <c r="AW140" i="1" s="1"/>
  <c r="BT141" i="1"/>
  <c r="BU141" i="1"/>
  <c r="BS161" i="1"/>
  <c r="BY161" i="1" s="1"/>
  <c r="BS171" i="1"/>
  <c r="BT171" i="1" s="1"/>
  <c r="BX160" i="1"/>
  <c r="BW165" i="1"/>
  <c r="BX165" i="1" s="1"/>
  <c r="BW180" i="1"/>
  <c r="CA176" i="1"/>
  <c r="BH140" i="1"/>
  <c r="BG170" i="1"/>
  <c r="BH170" i="1" s="1"/>
  <c r="BG160" i="1"/>
  <c r="BI160" i="1" s="1"/>
  <c r="BM140" i="1"/>
  <c r="BG144" i="1"/>
  <c r="BG145" i="1"/>
  <c r="BW182" i="1"/>
  <c r="BX162" i="1"/>
  <c r="BY162" i="1"/>
  <c r="BA142" i="1"/>
  <c r="AZ142" i="1"/>
  <c r="BE142" i="1"/>
  <c r="AY172" i="1"/>
  <c r="AY176" i="1" s="1"/>
  <c r="AZ176" i="1" s="1"/>
  <c r="AY162" i="1"/>
  <c r="AZ125" i="1"/>
  <c r="AZ135" i="1"/>
  <c r="BE125" i="1"/>
  <c r="CU160" i="1"/>
  <c r="CU165" i="1" s="1"/>
  <c r="BI125" i="1"/>
  <c r="BH135" i="1"/>
  <c r="BH125" i="1"/>
  <c r="BM125" i="1"/>
  <c r="BX144" i="1"/>
  <c r="BW164" i="1"/>
  <c r="BW174" i="1"/>
  <c r="AZ140" i="1"/>
  <c r="AY170" i="1"/>
  <c r="BD170" i="1" s="1"/>
  <c r="BA140" i="1"/>
  <c r="AY145" i="1"/>
  <c r="AZ145" i="1" s="1"/>
  <c r="AY160" i="1"/>
  <c r="BE160" i="1" s="1"/>
  <c r="CA183" i="1"/>
  <c r="CA186" i="1" s="1"/>
  <c r="CB163" i="1"/>
  <c r="BY143" i="1"/>
  <c r="BW173" i="1"/>
  <c r="CB173" i="1" s="1"/>
  <c r="CC143" i="1"/>
  <c r="BX143" i="1"/>
  <c r="BW146" i="1"/>
  <c r="BW163" i="1"/>
  <c r="CB182" i="1"/>
  <c r="L126" i="1"/>
  <c r="L136" i="1"/>
  <c r="AY146" i="1"/>
  <c r="BW181" i="1"/>
  <c r="CP34" i="11" s="1"/>
  <c r="BX161" i="1"/>
  <c r="L143" i="1"/>
  <c r="K173" i="1"/>
  <c r="K176" i="1" s="1"/>
  <c r="K146" i="1"/>
  <c r="L146" i="1" s="1"/>
  <c r="K163" i="1"/>
  <c r="AV124" i="1"/>
  <c r="AU144" i="1"/>
  <c r="AV134" i="1"/>
  <c r="CB134" i="1"/>
  <c r="CG134" i="1" s="1"/>
  <c r="CB124" i="1"/>
  <c r="CA144" i="1"/>
  <c r="CC124" i="1"/>
  <c r="CB160" i="1"/>
  <c r="CA180" i="1"/>
  <c r="CF180" i="1" s="1"/>
  <c r="CC160" i="1"/>
  <c r="BX172" i="1"/>
  <c r="CB172" i="1"/>
  <c r="CB170" i="1"/>
  <c r="BW175" i="1"/>
  <c r="BT143" i="1"/>
  <c r="BS163" i="1"/>
  <c r="BS173" i="1"/>
  <c r="BS146" i="1"/>
  <c r="BT146" i="1" s="1"/>
  <c r="BU143" i="1"/>
  <c r="CC126" i="1"/>
  <c r="BX126" i="1"/>
  <c r="BX136" i="1"/>
  <c r="BY126" i="1"/>
  <c r="BI143" i="1"/>
  <c r="BC173" i="1"/>
  <c r="BD173" i="1" s="1"/>
  <c r="BC146" i="1"/>
  <c r="BD143" i="1"/>
  <c r="BC163" i="1"/>
  <c r="BE163" i="1" s="1"/>
  <c r="X162" i="1"/>
  <c r="W182" i="1"/>
  <c r="AE162" i="1"/>
  <c r="AG142" i="1"/>
  <c r="AE172" i="1"/>
  <c r="AF142" i="1"/>
  <c r="AE146" i="1"/>
  <c r="AF146" i="1" s="1"/>
  <c r="T136" i="1"/>
  <c r="T126" i="1"/>
  <c r="AY174" i="1"/>
  <c r="AY164" i="1"/>
  <c r="AZ144" i="1"/>
  <c r="AV173" i="1"/>
  <c r="AR173" i="1"/>
  <c r="BD33" i="11"/>
  <c r="AV135" i="1"/>
  <c r="AV125" i="1"/>
  <c r="BA125" i="1"/>
  <c r="X161" i="1"/>
  <c r="W181" i="1"/>
  <c r="AB181" i="1" s="1"/>
  <c r="BD145" i="1"/>
  <c r="BC171" i="1"/>
  <c r="BC175" i="1" s="1"/>
  <c r="BE141" i="1"/>
  <c r="BC161" i="1"/>
  <c r="BC165" i="1" s="1"/>
  <c r="BD141" i="1"/>
  <c r="BI141" i="1"/>
  <c r="BC144" i="1"/>
  <c r="AR163" i="1"/>
  <c r="AQ183" i="1"/>
  <c r="AW163" i="1"/>
  <c r="BK175" i="1"/>
  <c r="BP171" i="1"/>
  <c r="S170" i="1"/>
  <c r="S160" i="1"/>
  <c r="U140" i="1"/>
  <c r="T140" i="1"/>
  <c r="AJ140" i="1"/>
  <c r="AI145" i="1"/>
  <c r="AJ145" i="1" s="1"/>
  <c r="AI170" i="1"/>
  <c r="AN170" i="1" s="1"/>
  <c r="AI160" i="1"/>
  <c r="AO160" i="1" s="1"/>
  <c r="AK140" i="1"/>
  <c r="AB142" i="1"/>
  <c r="AA172" i="1"/>
  <c r="AB172" i="1" s="1"/>
  <c r="AC142" i="1"/>
  <c r="AA162" i="1"/>
  <c r="AB160" i="1"/>
  <c r="AA180" i="1"/>
  <c r="AA185" i="1" s="1"/>
  <c r="AU186" i="1"/>
  <c r="BD136" i="1"/>
  <c r="BD126" i="1"/>
  <c r="BI126" i="1"/>
  <c r="BQ161" i="1"/>
  <c r="BK181" i="1"/>
  <c r="CA34" i="11" s="1"/>
  <c r="BL161" i="1"/>
  <c r="BK165" i="1"/>
  <c r="BL165" i="1" s="1"/>
  <c r="O160" i="1"/>
  <c r="P140" i="1"/>
  <c r="O170" i="1"/>
  <c r="AU171" i="1"/>
  <c r="AV141" i="1"/>
  <c r="AU161" i="1"/>
  <c r="BA141" i="1"/>
  <c r="AU145" i="1"/>
  <c r="AF126" i="1"/>
  <c r="AF136" i="1"/>
  <c r="S172" i="1"/>
  <c r="S162" i="1"/>
  <c r="U162" i="1" s="1"/>
  <c r="T142" i="1"/>
  <c r="S146" i="1"/>
  <c r="T146" i="1" s="1"/>
  <c r="BD160" i="1"/>
  <c r="BC180" i="1"/>
  <c r="BP34" i="11" s="1"/>
  <c r="AJ135" i="1"/>
  <c r="AK125" i="1"/>
  <c r="AJ125" i="1"/>
  <c r="AF124" i="1"/>
  <c r="AF134" i="1"/>
  <c r="FJ16" i="11"/>
  <c r="CU145" i="1"/>
  <c r="CV145" i="1" s="1"/>
  <c r="CU170" i="1"/>
  <c r="DS33" i="11" s="1"/>
  <c r="DA140" i="1"/>
  <c r="DD142" i="1"/>
  <c r="DC146" i="1"/>
  <c r="DC162" i="1"/>
  <c r="DC172" i="1"/>
  <c r="DD172" i="1" s="1"/>
  <c r="AJ200" i="3"/>
  <c r="AL200" i="3" s="1"/>
  <c r="AN200" i="3" s="1"/>
  <c r="W200" i="3"/>
  <c r="DG125" i="1"/>
  <c r="DH125" i="1" s="1"/>
  <c r="DH131" i="1"/>
  <c r="AF130" i="8"/>
  <c r="Z131" i="8"/>
  <c r="H26" i="3"/>
  <c r="P26" i="3" s="1"/>
  <c r="AL13" i="11"/>
  <c r="AL20" i="11" s="1"/>
  <c r="CY180" i="1"/>
  <c r="DA160" i="1"/>
  <c r="CM185" i="1"/>
  <c r="AT45" i="11"/>
  <c r="CV182" i="1"/>
  <c r="DP34" i="11"/>
  <c r="BG47" i="11"/>
  <c r="AS20" i="11"/>
  <c r="AS24" i="11" s="1"/>
  <c r="AN188" i="3"/>
  <c r="AO46" i="11"/>
  <c r="CT58" i="11"/>
  <c r="W25" i="3"/>
  <c r="H151" i="3"/>
  <c r="N26" i="5"/>
  <c r="AE27" i="3"/>
  <c r="K53" i="5"/>
  <c r="K59" i="5" s="1"/>
  <c r="AD9" i="5"/>
  <c r="P36" i="68"/>
  <c r="W26" i="3"/>
  <c r="K50" i="4"/>
  <c r="K45" i="5"/>
  <c r="DG86" i="1"/>
  <c r="F133" i="8"/>
  <c r="DH24" i="1"/>
  <c r="CO56" i="11"/>
  <c r="L59" i="5"/>
  <c r="N8" i="10" s="1"/>
  <c r="N18" i="10" s="1"/>
  <c r="N53" i="10" s="1"/>
  <c r="N56" i="10" s="1"/>
  <c r="DP58" i="11"/>
  <c r="R116" i="8"/>
  <c r="O13" i="5"/>
  <c r="H169" i="3"/>
  <c r="L54" i="5"/>
  <c r="R91" i="8"/>
  <c r="DU63" i="11" s="1"/>
  <c r="K204" i="3"/>
  <c r="L203" i="3"/>
  <c r="N203" i="3" s="1"/>
  <c r="V132" i="8"/>
  <c r="V133" i="8" s="1"/>
  <c r="K203" i="3"/>
  <c r="L204" i="3"/>
  <c r="AE201" i="3"/>
  <c r="AG201" i="3" s="1"/>
  <c r="AL201" i="3"/>
  <c r="AN201" i="3" s="1"/>
  <c r="AD15" i="4"/>
  <c r="AD17" i="4"/>
  <c r="AE14" i="4"/>
  <c r="FS63" i="11"/>
  <c r="FS71" i="11" s="1"/>
  <c r="AB131" i="8"/>
  <c r="AD131" i="8" s="1"/>
  <c r="AC202" i="3"/>
  <c r="AE202" i="3" s="1"/>
  <c r="AC203" i="3"/>
  <c r="AE203" i="3" s="1"/>
  <c r="AD29" i="4"/>
  <c r="E638" i="35"/>
  <c r="H127" i="3"/>
  <c r="EU59" i="11"/>
  <c r="H28" i="3"/>
  <c r="AL27" i="3"/>
  <c r="H119" i="3"/>
  <c r="H96" i="3"/>
  <c r="DP13" i="11"/>
  <c r="DP20" i="11" s="1"/>
  <c r="H146" i="3"/>
  <c r="DF13" i="11"/>
  <c r="DF45" i="11" s="1"/>
  <c r="O44" i="5"/>
  <c r="O49" i="4" s="1"/>
  <c r="O50" i="4" s="1"/>
  <c r="L21" i="8"/>
  <c r="DD13" i="11"/>
  <c r="DD45" i="11" s="1"/>
  <c r="BM45" i="11"/>
  <c r="BM20" i="11"/>
  <c r="BL20" i="11"/>
  <c r="BL57" i="11" s="1"/>
  <c r="BL45" i="11"/>
  <c r="D144" i="1"/>
  <c r="CR13" i="11"/>
  <c r="CR54" i="11"/>
  <c r="AJ83" i="8"/>
  <c r="AH87" i="8"/>
  <c r="R87" i="8"/>
  <c r="CY182" i="1"/>
  <c r="CY186" i="1" s="1"/>
  <c r="CZ186" i="1" s="1"/>
  <c r="DA162" i="1"/>
  <c r="CZ162" i="1"/>
  <c r="DE162" i="1"/>
  <c r="AJ55" i="8"/>
  <c r="R59" i="8"/>
  <c r="T55" i="8"/>
  <c r="AH59" i="8"/>
  <c r="CK126" i="1"/>
  <c r="CJ126" i="1"/>
  <c r="CJ136" i="1"/>
  <c r="AN173" i="1"/>
  <c r="AJ173" i="1"/>
  <c r="AT33" i="11"/>
  <c r="CZ183" i="1"/>
  <c r="BO165" i="1"/>
  <c r="BQ160" i="1"/>
  <c r="BP160" i="1"/>
  <c r="BO180" i="1"/>
  <c r="CE34" i="11" s="1"/>
  <c r="CQ170" i="1"/>
  <c r="CV170" i="1" s="1"/>
  <c r="CQ145" i="1"/>
  <c r="CS140" i="1"/>
  <c r="CR140" i="1"/>
  <c r="CQ160" i="1"/>
  <c r="CW160" i="1" s="1"/>
  <c r="G24" i="68"/>
  <c r="FI36" i="11"/>
  <c r="U167" i="3"/>
  <c r="AJ167" i="3" s="1"/>
  <c r="D96" i="8"/>
  <c r="AH101" i="8"/>
  <c r="R101" i="8"/>
  <c r="AR125" i="1"/>
  <c r="AS125" i="1"/>
  <c r="AR135" i="1"/>
  <c r="AW125" i="1"/>
  <c r="D126" i="1"/>
  <c r="D136" i="1"/>
  <c r="AG182" i="3"/>
  <c r="P182" i="3"/>
  <c r="U97" i="3"/>
  <c r="AJ97" i="3" s="1"/>
  <c r="D26" i="8"/>
  <c r="L26" i="8" s="1"/>
  <c r="FF26" i="11"/>
  <c r="D18" i="68"/>
  <c r="AF170" i="1"/>
  <c r="AE175" i="1"/>
  <c r="AF175" i="1" s="1"/>
  <c r="EZ56" i="11"/>
  <c r="EY46" i="11"/>
  <c r="CK125" i="1"/>
  <c r="CJ135" i="1"/>
  <c r="CJ125" i="1"/>
  <c r="CO125" i="1"/>
  <c r="T81" i="8"/>
  <c r="R82" i="8"/>
  <c r="AJ81" i="8"/>
  <c r="CU46" i="11"/>
  <c r="CU56" i="11"/>
  <c r="DE46" i="11"/>
  <c r="DE56" i="11"/>
  <c r="DG46" i="11"/>
  <c r="DG56" i="11"/>
  <c r="O182" i="1"/>
  <c r="P182" i="1" s="1"/>
  <c r="Q162" i="1"/>
  <c r="P162" i="1"/>
  <c r="H29" i="3"/>
  <c r="AO51" i="11"/>
  <c r="AT59" i="11"/>
  <c r="V67" i="9"/>
  <c r="FI9" i="11"/>
  <c r="G6" i="68"/>
  <c r="U11" i="4"/>
  <c r="U44" i="5"/>
  <c r="P134" i="1"/>
  <c r="Q124" i="1"/>
  <c r="P124" i="1"/>
  <c r="D28" i="8"/>
  <c r="L28" i="8" s="1"/>
  <c r="U99" i="3"/>
  <c r="D55" i="8"/>
  <c r="U126" i="3"/>
  <c r="AJ126" i="3" s="1"/>
  <c r="T25" i="8"/>
  <c r="AJ25" i="8"/>
  <c r="R26" i="8"/>
  <c r="AH26" i="8"/>
  <c r="AJ40" i="8"/>
  <c r="AH41" i="8"/>
  <c r="T40" i="8"/>
  <c r="R41" i="8"/>
  <c r="AW24" i="11"/>
  <c r="AW47" i="11"/>
  <c r="P76" i="42"/>
  <c r="P77" i="42" s="1"/>
  <c r="Q75" i="42"/>
  <c r="BU145" i="1"/>
  <c r="BT145" i="1"/>
  <c r="BY145" i="1"/>
  <c r="CZ172" i="1"/>
  <c r="CY176" i="1"/>
  <c r="CZ176" i="1" s="1"/>
  <c r="D76" i="8"/>
  <c r="U147" i="3"/>
  <c r="AJ147" i="3" s="1"/>
  <c r="DB56" i="11"/>
  <c r="BO172" i="1"/>
  <c r="CG33" i="11" s="1"/>
  <c r="CG58" i="11" s="1"/>
  <c r="BQ142" i="1"/>
  <c r="BP142" i="1"/>
  <c r="BU142" i="1"/>
  <c r="BO162" i="1"/>
  <c r="BO146" i="1"/>
  <c r="DK46" i="11"/>
  <c r="BL56" i="11"/>
  <c r="BL46" i="11"/>
  <c r="R32" i="8"/>
  <c r="AH32" i="8"/>
  <c r="T31" i="8"/>
  <c r="AJ31" i="8"/>
  <c r="CP46" i="11"/>
  <c r="CI146" i="1"/>
  <c r="CJ143" i="1"/>
  <c r="CI173" i="1"/>
  <c r="CI163" i="1"/>
  <c r="CK143" i="1"/>
  <c r="K7" i="4"/>
  <c r="K38" i="4"/>
  <c r="L39" i="4" s="1"/>
  <c r="EZ68" i="11" s="1"/>
  <c r="AI183" i="1"/>
  <c r="AJ163" i="1"/>
  <c r="AK163" i="1"/>
  <c r="CY166" i="1"/>
  <c r="AM51" i="11"/>
  <c r="AL46" i="11"/>
  <c r="AM46" i="11"/>
  <c r="AR56" i="11"/>
  <c r="CJ180" i="1"/>
  <c r="BQ145" i="1"/>
  <c r="BP145" i="1"/>
  <c r="L74" i="9"/>
  <c r="L78" i="9" s="1"/>
  <c r="L73" i="9"/>
  <c r="L77" i="9" s="1"/>
  <c r="N49" i="4"/>
  <c r="N50" i="4" s="1"/>
  <c r="N45" i="5"/>
  <c r="N53" i="5"/>
  <c r="O72" i="9"/>
  <c r="O76" i="9" s="1"/>
  <c r="P62" i="10"/>
  <c r="O73" i="9"/>
  <c r="O77" i="9" s="1"/>
  <c r="O74" i="9"/>
  <c r="O78" i="9" s="1"/>
  <c r="CZ51" i="11"/>
  <c r="G36" i="68"/>
  <c r="U9" i="5"/>
  <c r="P125" i="1"/>
  <c r="P135" i="1"/>
  <c r="Q125" i="1"/>
  <c r="R66" i="8"/>
  <c r="AJ62" i="8"/>
  <c r="T62" i="8"/>
  <c r="D47" i="8"/>
  <c r="U118" i="3"/>
  <c r="AJ118" i="3" s="1"/>
  <c r="O25" i="5"/>
  <c r="O26" i="5" s="1"/>
  <c r="FC14" i="11"/>
  <c r="P69" i="9"/>
  <c r="U140" i="3"/>
  <c r="AJ140" i="3" s="1"/>
  <c r="D69" i="8"/>
  <c r="U104" i="3"/>
  <c r="AJ104" i="3" s="1"/>
  <c r="D33" i="8"/>
  <c r="AN160" i="1"/>
  <c r="AM180" i="1"/>
  <c r="AM165" i="1"/>
  <c r="AM175" i="1"/>
  <c r="AV33" i="11"/>
  <c r="M49" i="4"/>
  <c r="M50" i="4" s="1"/>
  <c r="M53" i="5"/>
  <c r="M45" i="5"/>
  <c r="EZ67" i="11"/>
  <c r="FJ15" i="11"/>
  <c r="V38" i="5"/>
  <c r="H12" i="68"/>
  <c r="FJ14" i="11"/>
  <c r="V25" i="5"/>
  <c r="H11" i="68"/>
  <c r="W69" i="9"/>
  <c r="FJ36" i="11"/>
  <c r="H24" i="68"/>
  <c r="FJ22" i="11"/>
  <c r="H15" i="68"/>
  <c r="V48" i="5"/>
  <c r="CF46" i="11"/>
  <c r="AF145" i="1"/>
  <c r="AG145" i="1"/>
  <c r="P109" i="42"/>
  <c r="DG92" i="1"/>
  <c r="DH82" i="1"/>
  <c r="DG122" i="1"/>
  <c r="DI82" i="1"/>
  <c r="CK124" i="1"/>
  <c r="CJ134" i="1"/>
  <c r="CJ124" i="1"/>
  <c r="CO124" i="1"/>
  <c r="CN136" i="1"/>
  <c r="CN126" i="1"/>
  <c r="CO126" i="1"/>
  <c r="CW140" i="1"/>
  <c r="AQ144" i="1"/>
  <c r="AR124" i="1"/>
  <c r="AS124" i="1"/>
  <c r="AR134" i="1"/>
  <c r="AW124" i="1"/>
  <c r="S20" i="3"/>
  <c r="U20" i="3" s="1"/>
  <c r="S18" i="3"/>
  <c r="U18" i="3" s="1"/>
  <c r="F21" i="3"/>
  <c r="D18" i="3"/>
  <c r="F22" i="3"/>
  <c r="H22" i="3" s="1"/>
  <c r="F19" i="3"/>
  <c r="H19" i="3" s="1"/>
  <c r="F18" i="3"/>
  <c r="D20" i="3"/>
  <c r="F20" i="3"/>
  <c r="S21" i="3"/>
  <c r="U21" i="3" s="1"/>
  <c r="A10" i="3"/>
  <c r="DN72" i="11" s="1"/>
  <c r="D21" i="3"/>
  <c r="S19" i="3"/>
  <c r="U19" i="3" s="1"/>
  <c r="AJ29" i="3"/>
  <c r="DO58" i="11"/>
  <c r="DO46" i="11"/>
  <c r="DT55" i="11"/>
  <c r="DU55" i="11"/>
  <c r="DS38" i="11"/>
  <c r="DU23" i="11"/>
  <c r="DV14" i="11"/>
  <c r="DS19" i="11"/>
  <c r="DT26" i="11"/>
  <c r="DS42" i="11"/>
  <c r="DT15" i="11"/>
  <c r="DU33" i="11"/>
  <c r="DU58" i="11" s="1"/>
  <c r="DT34" i="11"/>
  <c r="DT11" i="11"/>
  <c r="DV18" i="11"/>
  <c r="DS14" i="11"/>
  <c r="DU9" i="11"/>
  <c r="DS15" i="11"/>
  <c r="DU11" i="11"/>
  <c r="DT36" i="11"/>
  <c r="DU19" i="11"/>
  <c r="DV22" i="11"/>
  <c r="DV15" i="11"/>
  <c r="DT37" i="11"/>
  <c r="DS9" i="11"/>
  <c r="DT33" i="11"/>
  <c r="DT58" i="11" s="1"/>
  <c r="DV55" i="11"/>
  <c r="DT38" i="11"/>
  <c r="DU26" i="11"/>
  <c r="DV26" i="11"/>
  <c r="DU15" i="11"/>
  <c r="DV36" i="11"/>
  <c r="DT42" i="11"/>
  <c r="DV17" i="11"/>
  <c r="DU42" i="11"/>
  <c r="DV33" i="11"/>
  <c r="DV58" i="11" s="1"/>
  <c r="DU34" i="11"/>
  <c r="DV34" i="11"/>
  <c r="DT17" i="11"/>
  <c r="DT30" i="11"/>
  <c r="DU30" i="11"/>
  <c r="DU18" i="11"/>
  <c r="DS22" i="11"/>
  <c r="DT19" i="11"/>
  <c r="DU14" i="11"/>
  <c r="DS55" i="11"/>
  <c r="DV9" i="11"/>
  <c r="DS17" i="11"/>
  <c r="DT22" i="11"/>
  <c r="DU22" i="11"/>
  <c r="DT9" i="11"/>
  <c r="DU37" i="11"/>
  <c r="DV30" i="11"/>
  <c r="DV42" i="11"/>
  <c r="DT18" i="11"/>
  <c r="DS23" i="11"/>
  <c r="DS5" i="11"/>
  <c r="DV19" i="11"/>
  <c r="DV37" i="11"/>
  <c r="DS30" i="11"/>
  <c r="DX6" i="11"/>
  <c r="DS37" i="11"/>
  <c r="DT14" i="11"/>
  <c r="DU36" i="11"/>
  <c r="DS18" i="11"/>
  <c r="DS11" i="11"/>
  <c r="DS26" i="11"/>
  <c r="DU38" i="11"/>
  <c r="DT23" i="11"/>
  <c r="DV23" i="11"/>
  <c r="DV11" i="11"/>
  <c r="DU17" i="11"/>
  <c r="DS36" i="11"/>
  <c r="DG94" i="1"/>
  <c r="DH84" i="1"/>
  <c r="DG124" i="1"/>
  <c r="DI84" i="1"/>
  <c r="BF45" i="11"/>
  <c r="BF20" i="11"/>
  <c r="I47" i="5"/>
  <c r="J48" i="5" s="1"/>
  <c r="I5" i="4"/>
  <c r="I41" i="4" s="1"/>
  <c r="I9" i="5" s="1"/>
  <c r="I24" i="5"/>
  <c r="I73" i="5"/>
  <c r="EW36" i="11" s="1"/>
  <c r="I37" i="5"/>
  <c r="I50" i="5"/>
  <c r="EW23" i="11" s="1"/>
  <c r="I56" i="5"/>
  <c r="I42" i="5"/>
  <c r="EW19" i="11" s="1"/>
  <c r="I40" i="5"/>
  <c r="EW18" i="11" s="1"/>
  <c r="H5" i="5"/>
  <c r="I11" i="5"/>
  <c r="I62" i="5"/>
  <c r="EW30" i="11" s="1"/>
  <c r="I35" i="5"/>
  <c r="EW17" i="11" s="1"/>
  <c r="I7" i="5"/>
  <c r="J8" i="5" s="1"/>
  <c r="EX26" i="11"/>
  <c r="EX22" i="11"/>
  <c r="AT24" i="11"/>
  <c r="AT47" i="11"/>
  <c r="AQ20" i="11"/>
  <c r="AV57" i="11" s="1"/>
  <c r="AQ45" i="11"/>
  <c r="CO141" i="1"/>
  <c r="CJ141" i="1"/>
  <c r="CI145" i="1"/>
  <c r="CI161" i="1"/>
  <c r="CK141" i="1"/>
  <c r="CI171" i="1"/>
  <c r="DE33" i="11" s="1"/>
  <c r="CI144" i="1"/>
  <c r="BD124" i="1"/>
  <c r="BE124" i="1"/>
  <c r="BD134" i="1"/>
  <c r="BI124" i="1"/>
  <c r="BS59" i="11"/>
  <c r="T39" i="8"/>
  <c r="AJ39" i="8"/>
  <c r="R40" i="8"/>
  <c r="AH40" i="8"/>
  <c r="AJ53" i="8"/>
  <c r="T53" i="8"/>
  <c r="R54" i="8"/>
  <c r="AH54" i="8"/>
  <c r="D42" i="8"/>
  <c r="U113" i="3"/>
  <c r="BP56" i="11"/>
  <c r="BP46" i="11"/>
  <c r="CL51" i="11"/>
  <c r="CL59" i="11"/>
  <c r="DA13" i="11"/>
  <c r="CY58" i="11"/>
  <c r="CV56" i="11"/>
  <c r="DD51" i="11"/>
  <c r="CT42" i="11"/>
  <c r="DG17" i="11"/>
  <c r="DD17" i="11"/>
  <c r="CZ37" i="11"/>
  <c r="AL97" i="8"/>
  <c r="BW11" i="11"/>
  <c r="CC11" i="11"/>
  <c r="CC13" i="11" s="1"/>
  <c r="CQ19" i="11"/>
  <c r="AL130" i="8"/>
  <c r="D167" i="3"/>
  <c r="S145" i="3"/>
  <c r="D161" i="3"/>
  <c r="CQ18" i="11"/>
  <c r="BX26" i="11"/>
  <c r="CO9" i="11"/>
  <c r="F49" i="8"/>
  <c r="R49" i="8" s="1"/>
  <c r="DN63" i="11" s="1"/>
  <c r="BR17" i="11"/>
  <c r="BU18" i="11"/>
  <c r="CM36" i="11"/>
  <c r="BS23" i="11"/>
  <c r="BR55" i="11"/>
  <c r="CG11" i="11"/>
  <c r="BZ33" i="11"/>
  <c r="F115" i="8"/>
  <c r="T111" i="8" s="1"/>
  <c r="CG14" i="11"/>
  <c r="CQ37" i="11"/>
  <c r="CE55" i="11"/>
  <c r="CW33" i="11"/>
  <c r="BW34" i="11"/>
  <c r="CG9" i="11"/>
  <c r="BV23" i="11"/>
  <c r="CR26" i="11"/>
  <c r="AL34" i="8"/>
  <c r="S116" i="3"/>
  <c r="BZ9" i="11"/>
  <c r="CE17" i="11"/>
  <c r="F106" i="3"/>
  <c r="H106" i="3" s="1"/>
  <c r="CA9" i="11"/>
  <c r="CA51" i="11" s="1"/>
  <c r="CR30" i="11"/>
  <c r="D124" i="3"/>
  <c r="F102" i="8"/>
  <c r="BR9" i="11"/>
  <c r="T37" i="5"/>
  <c r="BX34" i="11"/>
  <c r="AL126" i="8"/>
  <c r="D152" i="3"/>
  <c r="CT9" i="11"/>
  <c r="CT13" i="11" s="1"/>
  <c r="F165" i="3"/>
  <c r="BW55" i="11"/>
  <c r="CK23" i="11"/>
  <c r="BQ18" i="11"/>
  <c r="FE38" i="11"/>
  <c r="BW14" i="11"/>
  <c r="AL61" i="8"/>
  <c r="F90" i="8"/>
  <c r="F152" i="3"/>
  <c r="AL112" i="8"/>
  <c r="AL98" i="8"/>
  <c r="T62" i="5"/>
  <c r="CY34" i="11"/>
  <c r="DE23" i="11"/>
  <c r="DG30" i="11"/>
  <c r="AL77" i="8"/>
  <c r="T56" i="5"/>
  <c r="CB9" i="11"/>
  <c r="BX36" i="11"/>
  <c r="BV26" i="11"/>
  <c r="R11" i="5"/>
  <c r="AL83" i="8"/>
  <c r="F48" i="8"/>
  <c r="CQ36" i="11"/>
  <c r="CQ55" i="11"/>
  <c r="BZ14" i="11"/>
  <c r="CE56" i="11" s="1"/>
  <c r="BU33" i="11"/>
  <c r="AL89" i="8"/>
  <c r="CJ22" i="11"/>
  <c r="CR36" i="11"/>
  <c r="S42" i="5"/>
  <c r="FG19" i="11" s="1"/>
  <c r="FG16" i="11" s="1"/>
  <c r="S138" i="3"/>
  <c r="CB42" i="11"/>
  <c r="CG59" i="11" s="1"/>
  <c r="BR38" i="11"/>
  <c r="CQ26" i="11"/>
  <c r="F132" i="8"/>
  <c r="S120" i="3"/>
  <c r="CJ11" i="11"/>
  <c r="F102" i="3"/>
  <c r="S146" i="3"/>
  <c r="CH33" i="11"/>
  <c r="FG37" i="11"/>
  <c r="DA18" i="11"/>
  <c r="DF18" i="11"/>
  <c r="DG26" i="11"/>
  <c r="S119" i="3"/>
  <c r="CM26" i="11"/>
  <c r="CK37" i="11"/>
  <c r="AL75" i="8"/>
  <c r="F94" i="8"/>
  <c r="BQ22" i="11"/>
  <c r="CL18" i="11"/>
  <c r="BV30" i="11"/>
  <c r="S41" i="4"/>
  <c r="BU22" i="11"/>
  <c r="CK18" i="11"/>
  <c r="CA14" i="11"/>
  <c r="CA17" i="11"/>
  <c r="CM18" i="11"/>
  <c r="FF37" i="11"/>
  <c r="BX18" i="11"/>
  <c r="CP19" i="11"/>
  <c r="F125" i="8"/>
  <c r="AL68" i="8"/>
  <c r="F161" i="3"/>
  <c r="CP18" i="11"/>
  <c r="CO23" i="11"/>
  <c r="BS9" i="11"/>
  <c r="BS51" i="11" s="1"/>
  <c r="BQ38" i="11"/>
  <c r="BQ14" i="11"/>
  <c r="BV56" i="11" s="1"/>
  <c r="CF36" i="11"/>
  <c r="CF30" i="11"/>
  <c r="P11" i="5"/>
  <c r="CL30" i="11"/>
  <c r="CE15" i="11"/>
  <c r="AL111" i="8"/>
  <c r="F131" i="3"/>
  <c r="H131" i="3" s="1"/>
  <c r="F56" i="8"/>
  <c r="R56" i="8" s="1"/>
  <c r="DO63" i="11" s="1"/>
  <c r="F111" i="3"/>
  <c r="H111" i="3" s="1"/>
  <c r="FN55" i="11"/>
  <c r="S111" i="3"/>
  <c r="D102" i="3"/>
  <c r="D174" i="3"/>
  <c r="H174" i="3" s="1"/>
  <c r="S124" i="3"/>
  <c r="CR38" i="11"/>
  <c r="BW30" i="11"/>
  <c r="CQ11" i="11"/>
  <c r="CQ13" i="11" s="1"/>
  <c r="F52" i="8"/>
  <c r="R37" i="5"/>
  <c r="F139" i="3"/>
  <c r="F113" i="3"/>
  <c r="BR30" i="11"/>
  <c r="BX9" i="11"/>
  <c r="CC54" i="11" s="1"/>
  <c r="DA19" i="11"/>
  <c r="D113" i="3"/>
  <c r="H113" i="3" s="1"/>
  <c r="CY36" i="11"/>
  <c r="BZ42" i="11"/>
  <c r="DI9" i="11"/>
  <c r="DI46" i="11" s="1"/>
  <c r="DK26" i="11"/>
  <c r="DJ26" i="11"/>
  <c r="DI55" i="11"/>
  <c r="DK19" i="11"/>
  <c r="DI37" i="11"/>
  <c r="DL19" i="11"/>
  <c r="DL23" i="11"/>
  <c r="DL36" i="11"/>
  <c r="DJ42" i="11"/>
  <c r="DO59" i="11" s="1"/>
  <c r="DF30" i="11"/>
  <c r="DG19" i="11"/>
  <c r="AL124" i="8"/>
  <c r="AL109" i="8"/>
  <c r="CK17" i="11"/>
  <c r="BR15" i="11"/>
  <c r="F120" i="3"/>
  <c r="H120" i="3" s="1"/>
  <c r="AL123" i="8"/>
  <c r="D132" i="3"/>
  <c r="F105" i="8"/>
  <c r="BR14" i="11"/>
  <c r="S103" i="3"/>
  <c r="BX42" i="11"/>
  <c r="P62" i="5"/>
  <c r="FD30" i="11" s="1"/>
  <c r="BS18" i="11"/>
  <c r="Q47" i="5"/>
  <c r="BW22" i="11"/>
  <c r="CP15" i="11"/>
  <c r="AL96" i="8"/>
  <c r="F88" i="8"/>
  <c r="CB36" i="11"/>
  <c r="S37" i="5"/>
  <c r="BX33" i="11"/>
  <c r="BQ55" i="11"/>
  <c r="CF42" i="11"/>
  <c r="CJ55" i="11"/>
  <c r="S165" i="3"/>
  <c r="FE42" i="11"/>
  <c r="FF59" i="11" s="1"/>
  <c r="CK14" i="11"/>
  <c r="AL41" i="8"/>
  <c r="CP36" i="11"/>
  <c r="BP55" i="11"/>
  <c r="BZ15" i="11"/>
  <c r="F109" i="8"/>
  <c r="S139" i="3"/>
  <c r="DB23" i="11"/>
  <c r="S123" i="3"/>
  <c r="AL33" i="8"/>
  <c r="AL35" i="8"/>
  <c r="BU38" i="11"/>
  <c r="S141" i="3"/>
  <c r="F126" i="3"/>
  <c r="D158" i="3"/>
  <c r="H158" i="3" s="1"/>
  <c r="F69" i="8"/>
  <c r="CH15" i="11"/>
  <c r="CA11" i="11"/>
  <c r="S105" i="3"/>
  <c r="CJ15" i="11"/>
  <c r="CM17" i="11"/>
  <c r="S154" i="3"/>
  <c r="F74" i="8"/>
  <c r="BX55" i="11"/>
  <c r="CH11" i="11"/>
  <c r="CH13" i="11" s="1"/>
  <c r="DA42" i="11"/>
  <c r="DF59" i="11" s="1"/>
  <c r="DA26" i="11"/>
  <c r="DF34" i="11"/>
  <c r="S168" i="3"/>
  <c r="CH14" i="11"/>
  <c r="F159" i="3"/>
  <c r="H159" i="3" s="1"/>
  <c r="CB55" i="11"/>
  <c r="D133" i="3"/>
  <c r="BP26" i="11"/>
  <c r="CU42" i="11"/>
  <c r="CZ59" i="11" s="1"/>
  <c r="BU14" i="11"/>
  <c r="CG30" i="11"/>
  <c r="AL70" i="8"/>
  <c r="S132" i="3"/>
  <c r="CJ36" i="11"/>
  <c r="S155" i="3"/>
  <c r="CO36" i="11"/>
  <c r="CG55" i="11"/>
  <c r="P40" i="5"/>
  <c r="FD18" i="11" s="1"/>
  <c r="FD16" i="11" s="1"/>
  <c r="AL63" i="8"/>
  <c r="F166" i="3"/>
  <c r="H166" i="3" s="1"/>
  <c r="CM30" i="11"/>
  <c r="F117" i="3"/>
  <c r="S112" i="3"/>
  <c r="BV34" i="11"/>
  <c r="FG38" i="11"/>
  <c r="CR33" i="11"/>
  <c r="FG42" i="11"/>
  <c r="FH59" i="11" s="1"/>
  <c r="BR42" i="11"/>
  <c r="BW59" i="11" s="1"/>
  <c r="D148" i="3"/>
  <c r="CY42" i="11"/>
  <c r="DD59" i="11" s="1"/>
  <c r="DE22" i="11"/>
  <c r="DD15" i="11"/>
  <c r="F162" i="3"/>
  <c r="F134" i="3"/>
  <c r="H134" i="3" s="1"/>
  <c r="CL38" i="11"/>
  <c r="AL62" i="8"/>
  <c r="D181" i="3"/>
  <c r="H181" i="3" s="1"/>
  <c r="F67" i="8"/>
  <c r="CP55" i="11"/>
  <c r="D137" i="3"/>
  <c r="BW15" i="11"/>
  <c r="Q73" i="5"/>
  <c r="CF26" i="11"/>
  <c r="BS36" i="11"/>
  <c r="BV9" i="11"/>
  <c r="BV51" i="11" s="1"/>
  <c r="CO22" i="11"/>
  <c r="CY9" i="11"/>
  <c r="CY46" i="11" s="1"/>
  <c r="S125" i="3"/>
  <c r="F35" i="8"/>
  <c r="R35" i="8" s="1"/>
  <c r="T47" i="5"/>
  <c r="U48" i="5" s="1"/>
  <c r="R7" i="5"/>
  <c r="S8" i="5" s="1"/>
  <c r="AL45" i="8"/>
  <c r="F96" i="8"/>
  <c r="CH30" i="11"/>
  <c r="F33" i="8"/>
  <c r="FD55" i="11"/>
  <c r="CE36" i="11"/>
  <c r="BW36" i="11"/>
  <c r="CO15" i="11"/>
  <c r="BR22" i="11"/>
  <c r="BX37" i="11"/>
  <c r="F122" i="8"/>
  <c r="T118" i="8" s="1"/>
  <c r="CE22" i="11"/>
  <c r="CB18" i="11"/>
  <c r="CE33" i="11"/>
  <c r="CJ58" i="11" s="1"/>
  <c r="AL73" i="8"/>
  <c r="AL94" i="8"/>
  <c r="F112" i="8"/>
  <c r="P7" i="5"/>
  <c r="P25" i="5" s="1"/>
  <c r="P26" i="5" s="1"/>
  <c r="BU11" i="11"/>
  <c r="CK11" i="11"/>
  <c r="CK13" i="11" s="1"/>
  <c r="CC55" i="11"/>
  <c r="F75" i="8"/>
  <c r="CR19" i="11"/>
  <c r="CA38" i="11"/>
  <c r="CL36" i="11"/>
  <c r="BV36" i="11"/>
  <c r="T50" i="5"/>
  <c r="FH23" i="11" s="1"/>
  <c r="CM42" i="11"/>
  <c r="CR59" i="11" s="1"/>
  <c r="DB19" i="11"/>
  <c r="AL117" i="8"/>
  <c r="DJ30" i="11"/>
  <c r="DJ14" i="11"/>
  <c r="DJ46" i="11" s="1"/>
  <c r="DI30" i="11"/>
  <c r="DJ15" i="11"/>
  <c r="DJ36" i="11"/>
  <c r="DL30" i="11"/>
  <c r="DL18" i="11"/>
  <c r="DI36" i="11"/>
  <c r="DL55" i="11"/>
  <c r="DD38" i="11"/>
  <c r="DG36" i="11"/>
  <c r="CY55" i="11"/>
  <c r="D140" i="3"/>
  <c r="H140" i="3" s="1"/>
  <c r="S133" i="3"/>
  <c r="CM38" i="11"/>
  <c r="T24" i="5"/>
  <c r="D138" i="3"/>
  <c r="H138" i="3" s="1"/>
  <c r="F129" i="8"/>
  <c r="T125" i="8" s="1"/>
  <c r="D104" i="3"/>
  <c r="H104" i="3" s="1"/>
  <c r="D165" i="3"/>
  <c r="P37" i="5"/>
  <c r="F124" i="3"/>
  <c r="CE19" i="11"/>
  <c r="Q50" i="5"/>
  <c r="FE23" i="11" s="1"/>
  <c r="CL26" i="11"/>
  <c r="F133" i="3"/>
  <c r="CM37" i="11"/>
  <c r="BQ15" i="11"/>
  <c r="CK30" i="11"/>
  <c r="F70" i="8"/>
  <c r="CY26" i="11"/>
  <c r="AL40" i="8"/>
  <c r="CC14" i="11"/>
  <c r="CR17" i="11"/>
  <c r="S153" i="3"/>
  <c r="AL55" i="8"/>
  <c r="CU33" i="11"/>
  <c r="CU58" i="11" s="1"/>
  <c r="AL90" i="8"/>
  <c r="CF37" i="11"/>
  <c r="S106" i="3"/>
  <c r="CG18" i="11"/>
  <c r="F83" i="8"/>
  <c r="CF18" i="11"/>
  <c r="Q24" i="5"/>
  <c r="CJ42" i="11"/>
  <c r="BQ9" i="11"/>
  <c r="BQ51" i="11" s="1"/>
  <c r="CF15" i="11"/>
  <c r="D123" i="3"/>
  <c r="H123" i="3" s="1"/>
  <c r="CP38" i="11"/>
  <c r="S56" i="5"/>
  <c r="BW17" i="11"/>
  <c r="F130" i="8"/>
  <c r="AL91" i="8"/>
  <c r="CV9" i="11"/>
  <c r="CV46" i="11" s="1"/>
  <c r="FO38" i="11"/>
  <c r="CE9" i="11"/>
  <c r="CE46" i="11" s="1"/>
  <c r="BS17" i="11"/>
  <c r="P73" i="5"/>
  <c r="FD36" i="11" s="1"/>
  <c r="F144" i="3"/>
  <c r="CB11" i="11"/>
  <c r="F45" i="8"/>
  <c r="CL15" i="11"/>
  <c r="BQ23" i="11"/>
  <c r="T7" i="5"/>
  <c r="U8" i="5" s="1"/>
  <c r="DB55" i="11"/>
  <c r="CZ11" i="11"/>
  <c r="CZ13" i="11" s="1"/>
  <c r="DA37" i="11"/>
  <c r="T42" i="5"/>
  <c r="FH19" i="11" s="1"/>
  <c r="DB9" i="11"/>
  <c r="DB51" i="11" s="1"/>
  <c r="DF36" i="11"/>
  <c r="DE36" i="11"/>
  <c r="DF14" i="11"/>
  <c r="AL74" i="8"/>
  <c r="CQ15" i="11"/>
  <c r="BW19" i="11"/>
  <c r="BV22" i="11"/>
  <c r="AL118" i="8"/>
  <c r="D141" i="3"/>
  <c r="H141" i="3" s="1"/>
  <c r="F117" i="8"/>
  <c r="BR11" i="11"/>
  <c r="F148" i="3"/>
  <c r="AL31" i="8"/>
  <c r="CR15" i="11"/>
  <c r="BZ23" i="11"/>
  <c r="CC17" i="11"/>
  <c r="BU9" i="11"/>
  <c r="BU51" i="11" s="1"/>
  <c r="P56" i="5"/>
  <c r="FD26" i="11" s="1"/>
  <c r="S176" i="3"/>
  <c r="T35" i="5"/>
  <c r="FH17" i="11" s="1"/>
  <c r="CP22" i="11"/>
  <c r="BP11" i="11"/>
  <c r="BP13" i="11" s="1"/>
  <c r="D125" i="3"/>
  <c r="H125" i="3" s="1"/>
  <c r="D160" i="3"/>
  <c r="H160" i="3" s="1"/>
  <c r="P41" i="4"/>
  <c r="P9" i="5" s="1"/>
  <c r="CE37" i="11"/>
  <c r="Q11" i="5"/>
  <c r="S134" i="3"/>
  <c r="F47" i="8"/>
  <c r="CC22" i="11"/>
  <c r="BZ19" i="11"/>
  <c r="BW23" i="11"/>
  <c r="BP23" i="11"/>
  <c r="CG38" i="11"/>
  <c r="F103" i="3"/>
  <c r="H103" i="3" s="1"/>
  <c r="CM11" i="11"/>
  <c r="CM13" i="11" s="1"/>
  <c r="CJ9" i="11"/>
  <c r="CJ46" i="11" s="1"/>
  <c r="CJ30" i="11"/>
  <c r="CA33" i="11"/>
  <c r="CA58" i="11" s="1"/>
  <c r="D180" i="3"/>
  <c r="H180" i="3" s="1"/>
  <c r="D116" i="3"/>
  <c r="F108" i="8"/>
  <c r="T104" i="8" s="1"/>
  <c r="BP30" i="11"/>
  <c r="CA18" i="11"/>
  <c r="BZ18" i="11"/>
  <c r="CP17" i="11"/>
  <c r="S24" i="5"/>
  <c r="F116" i="3"/>
  <c r="CM19" i="11"/>
  <c r="S50" i="5"/>
  <c r="FG23" i="11" s="1"/>
  <c r="T41" i="4"/>
  <c r="CY11" i="11"/>
  <c r="CP42" i="11"/>
  <c r="CZ30" i="11"/>
  <c r="CE42" i="11"/>
  <c r="DF23" i="11"/>
  <c r="DE18" i="11"/>
  <c r="BP33" i="11"/>
  <c r="AL67" i="8"/>
  <c r="CG23" i="11"/>
  <c r="CA30" i="11"/>
  <c r="CL17" i="11"/>
  <c r="AL122" i="8"/>
  <c r="AL56" i="8"/>
  <c r="D126" i="3"/>
  <c r="FN38" i="11"/>
  <c r="CL14" i="11"/>
  <c r="CQ56" i="11" s="1"/>
  <c r="BP18" i="11"/>
  <c r="BX38" i="11"/>
  <c r="AL46" i="8"/>
  <c r="BZ37" i="11"/>
  <c r="CL11" i="11"/>
  <c r="CL13" i="11" s="1"/>
  <c r="BP22" i="11"/>
  <c r="CM14" i="11"/>
  <c r="CM46" i="11" s="1"/>
  <c r="CR14" i="11"/>
  <c r="CW56" i="11" s="1"/>
  <c r="F155" i="3"/>
  <c r="BV55" i="11"/>
  <c r="R24" i="5"/>
  <c r="CV34" i="11"/>
  <c r="F132" i="3"/>
  <c r="F167" i="3"/>
  <c r="CA55" i="11"/>
  <c r="CA22" i="11"/>
  <c r="BX14" i="11"/>
  <c r="BR23" i="11"/>
  <c r="CK38" i="11"/>
  <c r="BZ38" i="11"/>
  <c r="S158" i="3"/>
  <c r="CB14" i="11"/>
  <c r="BV38" i="11"/>
  <c r="D112" i="3"/>
  <c r="H112" i="3" s="1"/>
  <c r="D105" i="3"/>
  <c r="F89" i="8"/>
  <c r="BP42" i="11"/>
  <c r="BU59" i="11" s="1"/>
  <c r="F73" i="8"/>
  <c r="Q41" i="4"/>
  <c r="CV33" i="11"/>
  <c r="D175" i="3"/>
  <c r="H175" i="3" s="1"/>
  <c r="FD42" i="11"/>
  <c r="S160" i="3"/>
  <c r="BZ30" i="11"/>
  <c r="BZ17" i="11"/>
  <c r="CC19" i="11"/>
  <c r="CG26" i="11"/>
  <c r="CH17" i="11"/>
  <c r="CK26" i="11"/>
  <c r="F53" i="8"/>
  <c r="T11" i="5"/>
  <c r="CL33" i="11"/>
  <c r="CY37" i="11"/>
  <c r="DF33" i="11"/>
  <c r="DI38" i="11"/>
  <c r="DK36" i="11"/>
  <c r="DK22" i="11"/>
  <c r="DI42" i="11"/>
  <c r="DN59" i="11" s="1"/>
  <c r="DI18" i="11"/>
  <c r="DL37" i="11"/>
  <c r="DK34" i="11"/>
  <c r="DL42" i="11"/>
  <c r="DL51" i="11" s="1"/>
  <c r="DF15" i="11"/>
  <c r="CQ33" i="11"/>
  <c r="AL105" i="8"/>
  <c r="S169" i="3"/>
  <c r="D98" i="8" s="1"/>
  <c r="CC38" i="11"/>
  <c r="CQ17" i="11"/>
  <c r="BR34" i="11"/>
  <c r="CV42" i="11"/>
  <c r="F153" i="3"/>
  <c r="H153" i="3" s="1"/>
  <c r="S166" i="3"/>
  <c r="BW9" i="11"/>
  <c r="D117" i="3"/>
  <c r="CJ38" i="11"/>
  <c r="AL59" i="8"/>
  <c r="CH19" i="11"/>
  <c r="S130" i="3"/>
  <c r="AL88" i="8"/>
  <c r="CJ19" i="11"/>
  <c r="AL42" i="8"/>
  <c r="CG19" i="11"/>
  <c r="CC42" i="11"/>
  <c r="F109" i="3"/>
  <c r="CB17" i="11"/>
  <c r="CL37" i="11"/>
  <c r="AL32" i="8"/>
  <c r="F98" i="8"/>
  <c r="CR23" i="11"/>
  <c r="CO38" i="11"/>
  <c r="R47" i="5"/>
  <c r="S48" i="5" s="1"/>
  <c r="S131" i="3"/>
  <c r="AL39" i="8"/>
  <c r="F145" i="3"/>
  <c r="H145" i="3" s="1"/>
  <c r="AL60" i="8"/>
  <c r="CO37" i="11"/>
  <c r="AL115" i="8"/>
  <c r="F63" i="8"/>
  <c r="R63" i="8" s="1"/>
  <c r="DP63" i="11" s="1"/>
  <c r="BU15" i="11"/>
  <c r="BV17" i="11"/>
  <c r="D179" i="3"/>
  <c r="H179" i="3" s="1"/>
  <c r="CQ42" i="11"/>
  <c r="CQ51" i="11" s="1"/>
  <c r="F105" i="3"/>
  <c r="S161" i="3"/>
  <c r="CF11" i="11"/>
  <c r="CF13" i="11" s="1"/>
  <c r="Q56" i="5"/>
  <c r="BS15" i="11"/>
  <c r="CO42" i="11"/>
  <c r="CE11" i="11"/>
  <c r="BX17" i="11"/>
  <c r="CM22" i="11"/>
  <c r="BQ30" i="11"/>
  <c r="S137" i="3"/>
  <c r="DA38" i="11"/>
  <c r="DF17" i="11"/>
  <c r="DG55" i="11"/>
  <c r="F111" i="8"/>
  <c r="CK42" i="11"/>
  <c r="T40" i="5"/>
  <c r="FH18" i="11" s="1"/>
  <c r="CJ26" i="11"/>
  <c r="S127" i="3"/>
  <c r="F123" i="8"/>
  <c r="CE30" i="11"/>
  <c r="CF19" i="11"/>
  <c r="F81" i="8"/>
  <c r="F55" i="8"/>
  <c r="CR37" i="11"/>
  <c r="Q40" i="5"/>
  <c r="FE18" i="11" s="1"/>
  <c r="FE16" i="11" s="1"/>
  <c r="S152" i="3"/>
  <c r="CH42" i="11"/>
  <c r="BS11" i="11"/>
  <c r="BU55" i="11"/>
  <c r="CZ23" i="11"/>
  <c r="D139" i="3"/>
  <c r="BZ26" i="11"/>
  <c r="CA23" i="11"/>
  <c r="D144" i="3"/>
  <c r="S144" i="3"/>
  <c r="F119" i="8"/>
  <c r="P47" i="5"/>
  <c r="R62" i="5"/>
  <c r="FF30" i="11" s="1"/>
  <c r="BS26" i="11"/>
  <c r="CP37" i="11"/>
  <c r="S151" i="3"/>
  <c r="CE38" i="11"/>
  <c r="CB37" i="11"/>
  <c r="CB23" i="11"/>
  <c r="CH23" i="11"/>
  <c r="DA22" i="11"/>
  <c r="BQ37" i="11"/>
  <c r="AL84" i="8"/>
  <c r="CC18" i="11"/>
  <c r="AL47" i="8"/>
  <c r="D109" i="3"/>
  <c r="AL38" i="8"/>
  <c r="F137" i="3"/>
  <c r="CQ38" i="11"/>
  <c r="CK22" i="11"/>
  <c r="BX22" i="11"/>
  <c r="F84" i="8"/>
  <c r="R84" i="8" s="1"/>
  <c r="DT63" i="11" s="1"/>
  <c r="CC15" i="11"/>
  <c r="CM15" i="11"/>
  <c r="CJ18" i="11"/>
  <c r="BR19" i="11"/>
  <c r="FG55" i="11"/>
  <c r="CR146" i="1"/>
  <c r="CW146" i="1"/>
  <c r="BM162" i="1"/>
  <c r="BK166" i="1"/>
  <c r="BL162" i="1"/>
  <c r="BK182" i="1"/>
  <c r="CB34" i="11" s="1"/>
  <c r="AK142" i="1"/>
  <c r="AI162" i="1"/>
  <c r="AI166" i="1" s="1"/>
  <c r="AI172" i="1"/>
  <c r="AJ142" i="1"/>
  <c r="AI144" i="1"/>
  <c r="DD125" i="1"/>
  <c r="DD135" i="1"/>
  <c r="BL183" i="1"/>
  <c r="BG186" i="1"/>
  <c r="DG95" i="1"/>
  <c r="DI85" i="1"/>
  <c r="DH85" i="1"/>
  <c r="CF126" i="1"/>
  <c r="CF136" i="1"/>
  <c r="CG126" i="1"/>
  <c r="L135" i="1"/>
  <c r="L125" i="1"/>
  <c r="R31" i="8"/>
  <c r="T27" i="8"/>
  <c r="AH31" i="8"/>
  <c r="AJ27" i="8"/>
  <c r="R126" i="8"/>
  <c r="EE63" i="11" s="1"/>
  <c r="AJ125" i="8"/>
  <c r="R80" i="8"/>
  <c r="AJ76" i="8"/>
  <c r="T38" i="8"/>
  <c r="R39" i="8"/>
  <c r="AJ38" i="8"/>
  <c r="AH39" i="8"/>
  <c r="R103" i="8"/>
  <c r="T102" i="8"/>
  <c r="AH103" i="8"/>
  <c r="AJ102" i="8"/>
  <c r="T75" i="8"/>
  <c r="R76" i="8"/>
  <c r="AH76" i="8"/>
  <c r="AJ75" i="8"/>
  <c r="G15" i="68"/>
  <c r="FI22" i="11"/>
  <c r="V8" i="5"/>
  <c r="V44" i="5"/>
  <c r="H6" i="68"/>
  <c r="FJ9" i="11"/>
  <c r="V11" i="4"/>
  <c r="W67" i="9"/>
  <c r="D124" i="1"/>
  <c r="D134" i="1"/>
  <c r="DP56" i="11"/>
  <c r="DP46" i="11"/>
  <c r="AM162" i="1"/>
  <c r="AO142" i="1"/>
  <c r="AM146" i="1"/>
  <c r="AN142" i="1"/>
  <c r="AM172" i="1"/>
  <c r="AR45" i="11"/>
  <c r="AR20" i="11"/>
  <c r="AW57" i="11" s="1"/>
  <c r="AZ173" i="1"/>
  <c r="BN33" i="11"/>
  <c r="X146" i="1"/>
  <c r="CW54" i="11"/>
  <c r="CZ46" i="11"/>
  <c r="CZ56" i="11"/>
  <c r="AF171" i="1"/>
  <c r="AB143" i="1"/>
  <c r="AA146" i="1"/>
  <c r="AC143" i="1"/>
  <c r="AA163" i="1"/>
  <c r="AA173" i="1"/>
  <c r="AJ33" i="11" s="1"/>
  <c r="AA144" i="1"/>
  <c r="AG144" i="1" s="1"/>
  <c r="AG143" i="1"/>
  <c r="AV24" i="11"/>
  <c r="AV47" i="11"/>
  <c r="Q140" i="1"/>
  <c r="K144" i="1"/>
  <c r="K145" i="1"/>
  <c r="L145" i="1" s="1"/>
  <c r="L140" i="1"/>
  <c r="K170" i="1"/>
  <c r="K160" i="1"/>
  <c r="M140" i="1"/>
  <c r="BL124" i="1"/>
  <c r="BK144" i="1"/>
  <c r="BM124" i="1"/>
  <c r="BL134" i="1"/>
  <c r="O76" i="42"/>
  <c r="O77" i="42" s="1"/>
  <c r="FG36" i="11"/>
  <c r="E24" i="68"/>
  <c r="D46" i="8"/>
  <c r="U117" i="3"/>
  <c r="AJ117" i="3" s="1"/>
  <c r="D24" i="68"/>
  <c r="FF36" i="11"/>
  <c r="T123" i="8"/>
  <c r="R124" i="8"/>
  <c r="AJ123" i="8"/>
  <c r="I126" i="1"/>
  <c r="H136" i="1"/>
  <c r="H126" i="1"/>
  <c r="M126" i="1"/>
  <c r="BT170" i="1"/>
  <c r="BX170" i="1"/>
  <c r="BU160" i="1"/>
  <c r="BT160" i="1"/>
  <c r="BS180" i="1"/>
  <c r="CJ34" i="11" s="1"/>
  <c r="BY160" i="1"/>
  <c r="U162" i="3"/>
  <c r="D91" i="8"/>
  <c r="BN51" i="11"/>
  <c r="BN59" i="11"/>
  <c r="FG22" i="11"/>
  <c r="E15" i="68"/>
  <c r="U96" i="3"/>
  <c r="AJ96" i="3" s="1"/>
  <c r="D25" i="8"/>
  <c r="L25" i="8" s="1"/>
  <c r="D88" i="8"/>
  <c r="U159" i="3"/>
  <c r="AJ159" i="3" s="1"/>
  <c r="H162" i="1"/>
  <c r="M162" i="1"/>
  <c r="G182" i="1"/>
  <c r="DL46" i="11"/>
  <c r="DL56" i="11"/>
  <c r="H118" i="3"/>
  <c r="FE9" i="11"/>
  <c r="C6" i="68"/>
  <c r="R67" i="9"/>
  <c r="Q11" i="4"/>
  <c r="T67" i="9"/>
  <c r="S11" i="4"/>
  <c r="FG9" i="11"/>
  <c r="E6" i="68"/>
  <c r="T60" i="8"/>
  <c r="R61" i="8"/>
  <c r="AJ60" i="8"/>
  <c r="H154" i="3"/>
  <c r="AL33" i="11"/>
  <c r="AN13" i="11"/>
  <c r="CF124" i="1"/>
  <c r="CG124" i="1"/>
  <c r="CF134" i="1"/>
  <c r="CK134" i="1" s="1"/>
  <c r="O38" i="4"/>
  <c r="O12" i="4"/>
  <c r="O7" i="4"/>
  <c r="BO144" i="1"/>
  <c r="BU144" i="1" s="1"/>
  <c r="CR135" i="1"/>
  <c r="CR125" i="1"/>
  <c r="CS125" i="1"/>
  <c r="N38" i="4"/>
  <c r="N7" i="4"/>
  <c r="N12" i="4"/>
  <c r="U148" i="3"/>
  <c r="D77" i="8"/>
  <c r="CW51" i="11"/>
  <c r="CW59" i="11"/>
  <c r="R62" i="8"/>
  <c r="T61" i="8"/>
  <c r="AJ61" i="8"/>
  <c r="CH54" i="11"/>
  <c r="FF16" i="11"/>
  <c r="AR126" i="1"/>
  <c r="AS126" i="1"/>
  <c r="AW126" i="1"/>
  <c r="AR136" i="1"/>
  <c r="BN45" i="11"/>
  <c r="BN20" i="11"/>
  <c r="AO145" i="1"/>
  <c r="AN145" i="1"/>
  <c r="D142" i="1"/>
  <c r="C172" i="1"/>
  <c r="C162" i="1"/>
  <c r="C146" i="1"/>
  <c r="D146" i="1" s="1"/>
  <c r="M38" i="4"/>
  <c r="M12" i="4"/>
  <c r="M7" i="4"/>
  <c r="O173" i="1"/>
  <c r="Q143" i="1"/>
  <c r="O163" i="1"/>
  <c r="O146" i="1"/>
  <c r="P143" i="1"/>
  <c r="U143" i="1"/>
  <c r="AT56" i="11"/>
  <c r="CQ164" i="1"/>
  <c r="CS164" i="1" s="1"/>
  <c r="CQ174" i="1"/>
  <c r="CR174" i="1" s="1"/>
  <c r="CR144" i="1"/>
  <c r="AJ124" i="1"/>
  <c r="AJ134" i="1"/>
  <c r="AK124" i="1"/>
  <c r="G12" i="68"/>
  <c r="U38" i="5"/>
  <c r="FI15" i="11"/>
  <c r="V9" i="5"/>
  <c r="H36" i="68"/>
  <c r="W56" i="5"/>
  <c r="W11" i="5"/>
  <c r="W7" i="5"/>
  <c r="W42" i="5"/>
  <c r="FL19" i="11" s="1"/>
  <c r="W40" i="5"/>
  <c r="FL18" i="11" s="1"/>
  <c r="W62" i="5"/>
  <c r="FL30" i="11" s="1"/>
  <c r="W47" i="5"/>
  <c r="W5" i="4"/>
  <c r="W41" i="4" s="1"/>
  <c r="W50" i="5"/>
  <c r="FL23" i="11" s="1"/>
  <c r="X5" i="5"/>
  <c r="W35" i="5"/>
  <c r="FL17" i="11" s="1"/>
  <c r="W37" i="5"/>
  <c r="W73" i="5"/>
  <c r="W24" i="5"/>
  <c r="H8" i="68"/>
  <c r="FJ11" i="11"/>
  <c r="V12" i="5"/>
  <c r="W68" i="9"/>
  <c r="T130" i="8"/>
  <c r="AH131" i="8"/>
  <c r="R131" i="8"/>
  <c r="AJ130" i="8"/>
  <c r="FE15" i="11"/>
  <c r="Q38" i="5"/>
  <c r="C12" i="68"/>
  <c r="CA59" i="11"/>
  <c r="AF160" i="1"/>
  <c r="AG160" i="1"/>
  <c r="AE180" i="1"/>
  <c r="AE165" i="1"/>
  <c r="T124" i="1"/>
  <c r="U124" i="1"/>
  <c r="T134" i="1"/>
  <c r="Y124" i="1"/>
  <c r="DI123" i="1"/>
  <c r="DH123" i="1"/>
  <c r="BB57" i="11"/>
  <c r="BB24" i="11"/>
  <c r="BB47" i="11"/>
  <c r="CN143" i="1"/>
  <c r="CO143" i="1"/>
  <c r="CM163" i="1"/>
  <c r="CS163" i="1" s="1"/>
  <c r="CM146" i="1"/>
  <c r="CU175" i="1"/>
  <c r="H27" i="3"/>
  <c r="CC161" i="1"/>
  <c r="CB161" i="1"/>
  <c r="CA181" i="1"/>
  <c r="CA165" i="1"/>
  <c r="CB171" i="1"/>
  <c r="CA175" i="1"/>
  <c r="DP59" i="11"/>
  <c r="DP51" i="11"/>
  <c r="DQ13" i="11"/>
  <c r="DQ54" i="11"/>
  <c r="DN13" i="11"/>
  <c r="DO13" i="11"/>
  <c r="DO54" i="11"/>
  <c r="DQ51" i="11"/>
  <c r="DO5" i="11"/>
  <c r="DN71" i="11"/>
  <c r="DN51" i="11"/>
  <c r="DP54" i="11"/>
  <c r="BK45" i="11"/>
  <c r="BK20" i="11"/>
  <c r="J12" i="5"/>
  <c r="EX11" i="11"/>
  <c r="K68" i="9"/>
  <c r="J11" i="4"/>
  <c r="K12" i="4" s="1"/>
  <c r="K67" i="9"/>
  <c r="J44" i="5"/>
  <c r="EX9" i="11"/>
  <c r="K69" i="9"/>
  <c r="EX14" i="11"/>
  <c r="EY56" i="11" s="1"/>
  <c r="J25" i="5"/>
  <c r="AN126" i="1"/>
  <c r="AO126" i="1"/>
  <c r="AN136" i="1"/>
  <c r="AZ146" i="1"/>
  <c r="BA146" i="1"/>
  <c r="L24" i="8"/>
  <c r="FI16" i="11"/>
  <c r="W183" i="1"/>
  <c r="X163" i="1"/>
  <c r="W166" i="1"/>
  <c r="H147" i="3"/>
  <c r="AJ34" i="8"/>
  <c r="T34" i="8"/>
  <c r="R38" i="8"/>
  <c r="AH38" i="8"/>
  <c r="U110" i="3"/>
  <c r="AJ110" i="3" s="1"/>
  <c r="D39" i="8"/>
  <c r="H130" i="3"/>
  <c r="CM54" i="11"/>
  <c r="DI56" i="11"/>
  <c r="DJ54" i="11"/>
  <c r="DJ13" i="11"/>
  <c r="DB59" i="11"/>
  <c r="AL133" i="8"/>
  <c r="DD56" i="11"/>
  <c r="DD46" i="11"/>
  <c r="DE13" i="11"/>
  <c r="DE54" i="11"/>
  <c r="DG51" i="11"/>
  <c r="DG59" i="11"/>
  <c r="DL54" i="11"/>
  <c r="DL13" i="11"/>
  <c r="CO58" i="11"/>
  <c r="AG161" i="1"/>
  <c r="AE181" i="1"/>
  <c r="AF161" i="1"/>
  <c r="AH82" i="8"/>
  <c r="BM146" i="1"/>
  <c r="BL146" i="1"/>
  <c r="DC145" i="1"/>
  <c r="DD145" i="1" s="1"/>
  <c r="DC160" i="1"/>
  <c r="DD140" i="1"/>
  <c r="DE140" i="1"/>
  <c r="W160" i="1"/>
  <c r="W170" i="1"/>
  <c r="Y140" i="1"/>
  <c r="AC140" i="1"/>
  <c r="X140" i="1"/>
  <c r="W145" i="1"/>
  <c r="ET59" i="11"/>
  <c r="R95" i="8"/>
  <c r="T94" i="8"/>
  <c r="AJ94" i="8"/>
  <c r="T109" i="8"/>
  <c r="R110" i="8"/>
  <c r="AJ109" i="8"/>
  <c r="R118" i="8"/>
  <c r="T117" i="8"/>
  <c r="AJ117" i="8"/>
  <c r="R9" i="5"/>
  <c r="D36" i="68"/>
  <c r="AM13" i="11"/>
  <c r="Q62" i="10"/>
  <c r="P72" i="9"/>
  <c r="P76" i="9" s="1"/>
  <c r="CU54" i="11"/>
  <c r="AQ162" i="1"/>
  <c r="AQ172" i="1"/>
  <c r="AS142" i="1"/>
  <c r="AR142" i="1"/>
  <c r="AX142" i="1" s="1"/>
  <c r="AQ146" i="1"/>
  <c r="DC161" i="1"/>
  <c r="DE161" i="1" s="1"/>
  <c r="DD141" i="1"/>
  <c r="FA13" i="11"/>
  <c r="FA54" i="11"/>
  <c r="CN182" i="1"/>
  <c r="J38" i="5"/>
  <c r="EX15" i="11"/>
  <c r="C181" i="1"/>
  <c r="C185" i="1" s="1"/>
  <c r="D161" i="1"/>
  <c r="C165" i="1"/>
  <c r="D165" i="1" s="1"/>
  <c r="FI14" i="11"/>
  <c r="U25" i="5"/>
  <c r="G11" i="68"/>
  <c r="V69" i="9"/>
  <c r="T45" i="8"/>
  <c r="AJ45" i="8"/>
  <c r="AH46" i="8"/>
  <c r="R46" i="8"/>
  <c r="BQ59" i="11"/>
  <c r="T141" i="1"/>
  <c r="S161" i="1"/>
  <c r="Y141" i="1"/>
  <c r="S171" i="1"/>
  <c r="U141" i="1"/>
  <c r="S145" i="1"/>
  <c r="S144" i="1"/>
  <c r="T125" i="1"/>
  <c r="U125" i="1"/>
  <c r="T135" i="1"/>
  <c r="CW46" i="11"/>
  <c r="FH36" i="11"/>
  <c r="F24" i="68"/>
  <c r="X135" i="1"/>
  <c r="Y125" i="1"/>
  <c r="X125" i="1"/>
  <c r="AC125" i="1"/>
  <c r="CE163" i="1"/>
  <c r="CG143" i="1"/>
  <c r="CE146" i="1"/>
  <c r="CF143" i="1"/>
  <c r="CE173" i="1"/>
  <c r="AM144" i="1"/>
  <c r="AN134" i="1"/>
  <c r="AN124" i="1"/>
  <c r="AO124" i="1"/>
  <c r="DH121" i="1"/>
  <c r="DI121" i="1"/>
  <c r="EZ45" i="11"/>
  <c r="EZ20" i="11"/>
  <c r="AH110" i="8"/>
  <c r="DF51" i="11"/>
  <c r="T115" i="8"/>
  <c r="AJ115" i="8"/>
  <c r="BP54" i="11"/>
  <c r="T103" i="8"/>
  <c r="AJ103" i="8"/>
  <c r="R104" i="8"/>
  <c r="AH104" i="8"/>
  <c r="CQ54" i="11"/>
  <c r="BK51" i="11"/>
  <c r="BK59" i="11"/>
  <c r="G173" i="1"/>
  <c r="G163" i="1"/>
  <c r="M143" i="1"/>
  <c r="G146" i="1"/>
  <c r="I143" i="1"/>
  <c r="H143" i="1"/>
  <c r="BQ124" i="1"/>
  <c r="BS164" i="1"/>
  <c r="BS174" i="1"/>
  <c r="BT144" i="1"/>
  <c r="BY144" i="1"/>
  <c r="CP13" i="11"/>
  <c r="CP54" i="11"/>
  <c r="T67" i="8"/>
  <c r="AJ67" i="8"/>
  <c r="BH20" i="11"/>
  <c r="BH45" i="11"/>
  <c r="DE124" i="1"/>
  <c r="DC144" i="1"/>
  <c r="DE144" i="1" s="1"/>
  <c r="DD124" i="1"/>
  <c r="DD134" i="1"/>
  <c r="L172" i="1"/>
  <c r="BP126" i="1"/>
  <c r="BP136" i="1"/>
  <c r="BQ126" i="1"/>
  <c r="BU126" i="1"/>
  <c r="AW34" i="11"/>
  <c r="FD14" i="11"/>
  <c r="Q69" i="9"/>
  <c r="T96" i="8"/>
  <c r="R97" i="8"/>
  <c r="AJ96" i="8"/>
  <c r="CY56" i="11"/>
  <c r="M62" i="10"/>
  <c r="L72" i="9"/>
  <c r="L76" i="9" s="1"/>
  <c r="CF125" i="1"/>
  <c r="CG125" i="1"/>
  <c r="CF135" i="1"/>
  <c r="CE171" i="1"/>
  <c r="CE161" i="1"/>
  <c r="CF141" i="1"/>
  <c r="CG141" i="1"/>
  <c r="CE144" i="1"/>
  <c r="CE145" i="1"/>
  <c r="BL181" i="1"/>
  <c r="AH37" i="11"/>
  <c r="AJ55" i="11"/>
  <c r="AH19" i="11"/>
  <c r="AI15" i="11"/>
  <c r="AI26" i="11"/>
  <c r="AJ22" i="11"/>
  <c r="AH30" i="11"/>
  <c r="AJ19" i="11"/>
  <c r="AJ23" i="11"/>
  <c r="AJ18" i="11"/>
  <c r="AI30" i="11"/>
  <c r="AJ11" i="11"/>
  <c r="AH14" i="11"/>
  <c r="AI9" i="11"/>
  <c r="AG42" i="11"/>
  <c r="AJ14" i="11"/>
  <c r="AJ15" i="11"/>
  <c r="AJ17" i="11"/>
  <c r="AG11" i="11"/>
  <c r="AI22" i="11"/>
  <c r="AI19" i="11"/>
  <c r="AG15" i="11"/>
  <c r="AB6" i="11"/>
  <c r="AH22" i="11"/>
  <c r="AI37" i="11"/>
  <c r="AG18" i="11"/>
  <c r="AJ36" i="11"/>
  <c r="AG55" i="11"/>
  <c r="AH42" i="11"/>
  <c r="AI42" i="11"/>
  <c r="AH34" i="11"/>
  <c r="AH33" i="11"/>
  <c r="AG5" i="11"/>
  <c r="AH5" i="11" s="1"/>
  <c r="AG23" i="11"/>
  <c r="AJ26" i="11"/>
  <c r="AH17" i="11"/>
  <c r="AH11" i="11"/>
  <c r="AI11" i="11"/>
  <c r="AI18" i="11"/>
  <c r="AI55" i="11"/>
  <c r="AI17" i="11"/>
  <c r="AI36" i="11"/>
  <c r="AJ42" i="11"/>
  <c r="AI23" i="11"/>
  <c r="AG36" i="11"/>
  <c r="AG19" i="11"/>
  <c r="AH15" i="11"/>
  <c r="AH23" i="11"/>
  <c r="AH36" i="11"/>
  <c r="AG17" i="11"/>
  <c r="AH9" i="11"/>
  <c r="AM54" i="11" s="1"/>
  <c r="AH26" i="11"/>
  <c r="AH55" i="11"/>
  <c r="AG26" i="11"/>
  <c r="AG22" i="11"/>
  <c r="AJ9" i="11"/>
  <c r="AG9" i="11"/>
  <c r="AG30" i="11"/>
  <c r="AI14" i="11"/>
  <c r="AG37" i="11"/>
  <c r="AG33" i="11"/>
  <c r="AJ37" i="11"/>
  <c r="AJ30" i="11"/>
  <c r="AG14" i="11"/>
  <c r="AH18" i="11"/>
  <c r="AM33" i="11"/>
  <c r="AN46" i="11"/>
  <c r="AO13" i="11"/>
  <c r="CV165" i="1"/>
  <c r="BC57" i="11"/>
  <c r="BC47" i="11"/>
  <c r="BC24" i="11"/>
  <c r="FC54" i="11"/>
  <c r="BO175" i="1"/>
  <c r="BP170" i="1"/>
  <c r="EY13" i="11"/>
  <c r="FB54" i="11"/>
  <c r="FB13" i="11"/>
  <c r="L27" i="8"/>
  <c r="FI26" i="11"/>
  <c r="G18" i="68"/>
  <c r="O161" i="1"/>
  <c r="O144" i="1"/>
  <c r="P141" i="1"/>
  <c r="O171" i="1"/>
  <c r="Q141" i="1"/>
  <c r="O145" i="1"/>
  <c r="T68" i="9"/>
  <c r="S12" i="5"/>
  <c r="FG11" i="11"/>
  <c r="E8" i="68"/>
  <c r="D31" i="8"/>
  <c r="L31" i="8" s="1"/>
  <c r="U102" i="3"/>
  <c r="AJ102" i="3" s="1"/>
  <c r="BS56" i="11"/>
  <c r="CJ56" i="11"/>
  <c r="L79" i="42"/>
  <c r="AR140" i="1"/>
  <c r="AQ145" i="1"/>
  <c r="AQ160" i="1"/>
  <c r="AQ170" i="1"/>
  <c r="AS140" i="1"/>
  <c r="AP202" i="3"/>
  <c r="U195" i="3"/>
  <c r="FB56" i="11"/>
  <c r="FB46" i="11"/>
  <c r="CW125" i="1"/>
  <c r="L13" i="5"/>
  <c r="O62" i="10"/>
  <c r="N72" i="9"/>
  <c r="N76" i="9" s="1"/>
  <c r="AL51" i="11"/>
  <c r="P136" i="1"/>
  <c r="P126" i="1"/>
  <c r="Q126" i="1"/>
  <c r="U126" i="1"/>
  <c r="AH62" i="8"/>
  <c r="V68" i="9"/>
  <c r="U12" i="5"/>
  <c r="G8" i="68"/>
  <c r="FI11" i="11"/>
  <c r="H18" i="68"/>
  <c r="FJ26" i="11"/>
  <c r="CR51" i="11"/>
  <c r="DF54" i="11"/>
  <c r="T33" i="8"/>
  <c r="AJ33" i="8"/>
  <c r="R34" i="8"/>
  <c r="AH34" i="8"/>
  <c r="CK54" i="11"/>
  <c r="T59" i="8"/>
  <c r="AJ59" i="8"/>
  <c r="R60" i="8"/>
  <c r="AH60" i="8"/>
  <c r="L119" i="8"/>
  <c r="O48" i="5"/>
  <c r="FC22" i="11"/>
  <c r="CQ46" i="11"/>
  <c r="P68" i="9"/>
  <c r="FC11" i="11"/>
  <c r="FC13" i="11" s="1"/>
  <c r="AF144" i="1"/>
  <c r="AE164" i="1"/>
  <c r="AE174" i="1"/>
  <c r="AX47" i="11"/>
  <c r="AX24" i="11"/>
  <c r="AJ92" i="3"/>
  <c r="CU180" i="1"/>
  <c r="DS34" i="11" s="1"/>
  <c r="CV160" i="1"/>
  <c r="CC145" i="1"/>
  <c r="CB145" i="1"/>
  <c r="R68" i="8"/>
  <c r="DN56" i="11"/>
  <c r="DN46" i="11"/>
  <c r="DO51" i="11"/>
  <c r="DQ56" i="11"/>
  <c r="DQ46" i="11"/>
  <c r="EX16" i="11"/>
  <c r="AH80" i="8"/>
  <c r="AQ54" i="11"/>
  <c r="AZ163" i="1"/>
  <c r="AY166" i="1"/>
  <c r="AY183" i="1"/>
  <c r="BA163" i="1"/>
  <c r="BA47" i="11"/>
  <c r="BA24" i="11"/>
  <c r="BA57" i="11"/>
  <c r="X173" i="1"/>
  <c r="W176" i="1"/>
  <c r="D38" i="8"/>
  <c r="U109" i="3"/>
  <c r="AJ109" i="3" s="1"/>
  <c r="T24" i="8"/>
  <c r="AH25" i="8"/>
  <c r="AJ24" i="8"/>
  <c r="R25" i="8"/>
  <c r="BV59" i="11"/>
  <c r="CT56" i="11"/>
  <c r="DE59" i="11"/>
  <c r="DE51" i="11"/>
  <c r="CW13" i="11"/>
  <c r="CU13" i="11"/>
  <c r="CZ54" i="11"/>
  <c r="DK54" i="11"/>
  <c r="DK13" i="11"/>
  <c r="DK59" i="11"/>
  <c r="DK51" i="11"/>
  <c r="DA56" i="11"/>
  <c r="DA46" i="11"/>
  <c r="DG13" i="11"/>
  <c r="CQ176" i="1"/>
  <c r="CV173" i="1"/>
  <c r="CQ183" i="1"/>
  <c r="CW163" i="1"/>
  <c r="CQ166" i="1"/>
  <c r="CR163" i="1"/>
  <c r="BL172" i="1"/>
  <c r="BK176" i="1"/>
  <c r="BL176" i="1" s="1"/>
  <c r="FB51" i="11"/>
  <c r="BD24" i="11"/>
  <c r="BD57" i="11"/>
  <c r="BD47" i="11"/>
  <c r="AB136" i="1"/>
  <c r="AB126" i="1"/>
  <c r="AC126" i="1"/>
  <c r="AG126" i="1"/>
  <c r="BH166" i="1"/>
  <c r="Y68" i="42"/>
  <c r="X103" i="42"/>
  <c r="AY57" i="11"/>
  <c r="AY47" i="11"/>
  <c r="AY24" i="11"/>
  <c r="AQ56" i="11"/>
  <c r="AK145" i="1"/>
  <c r="AN51" i="11"/>
  <c r="CN164" i="1"/>
  <c r="CM184" i="1"/>
  <c r="D35" i="4"/>
  <c r="D18" i="4"/>
  <c r="X67" i="42"/>
  <c r="W102" i="42"/>
  <c r="X101" i="42"/>
  <c r="DB5" i="11"/>
  <c r="AL28" i="3"/>
  <c r="AE28" i="3"/>
  <c r="DD183" i="1"/>
  <c r="F100" i="42"/>
  <c r="F15" i="42"/>
  <c r="F35" i="42"/>
  <c r="F64" i="42"/>
  <c r="E3" i="42"/>
  <c r="F136" i="42"/>
  <c r="F22" i="42"/>
  <c r="Z10" i="4"/>
  <c r="CZ145" i="1"/>
  <c r="BI47" i="11"/>
  <c r="BI57" i="11"/>
  <c r="BI24" i="11"/>
  <c r="G94" i="1"/>
  <c r="ER42" i="11" s="1"/>
  <c r="I84" i="1"/>
  <c r="G124" i="1"/>
  <c r="M84" i="1"/>
  <c r="H84" i="1"/>
  <c r="C41" i="3"/>
  <c r="FQ38" i="11"/>
  <c r="EA38" i="11"/>
  <c r="AC29" i="3"/>
  <c r="AL25" i="3"/>
  <c r="G95" i="1"/>
  <c r="I85" i="1"/>
  <c r="M85" i="1"/>
  <c r="H85" i="1"/>
  <c r="AL26" i="3"/>
  <c r="AE26" i="3"/>
  <c r="M110" i="42"/>
  <c r="N109" i="42"/>
  <c r="M77" i="42"/>
  <c r="M78" i="42"/>
  <c r="M113" i="42" s="1"/>
  <c r="U175" i="3"/>
  <c r="AP182" i="3"/>
  <c r="AP176" i="3"/>
  <c r="E306" i="35"/>
  <c r="AB16" i="4"/>
  <c r="J189" i="3"/>
  <c r="L189" i="3" s="1"/>
  <c r="E311" i="35"/>
  <c r="R109" i="42"/>
  <c r="S74" i="42"/>
  <c r="DG5" i="11"/>
  <c r="C80" i="42"/>
  <c r="C81" i="42" s="1"/>
  <c r="L114" i="42"/>
  <c r="K81" i="42"/>
  <c r="K82" i="42" s="1"/>
  <c r="E14" i="4"/>
  <c r="ER63" i="11"/>
  <c r="ER71" i="11" s="1"/>
  <c r="F81" i="42"/>
  <c r="CY164" i="1"/>
  <c r="CZ144" i="1"/>
  <c r="CY174" i="1"/>
  <c r="DA144" i="1"/>
  <c r="H131" i="1"/>
  <c r="G141" i="1"/>
  <c r="H121" i="1"/>
  <c r="I121" i="1"/>
  <c r="G125" i="1"/>
  <c r="M121" i="1"/>
  <c r="M24" i="1"/>
  <c r="I24" i="1"/>
  <c r="E612" i="35"/>
  <c r="D613" i="35"/>
  <c r="N27" i="3"/>
  <c r="W27" i="3"/>
  <c r="FI62" i="11"/>
  <c r="FI37" i="11"/>
  <c r="FJ6" i="11"/>
  <c r="FI55" i="11"/>
  <c r="FI38" i="11"/>
  <c r="FI42" i="11"/>
  <c r="EW38" i="11"/>
  <c r="EW55" i="11"/>
  <c r="EW37" i="11"/>
  <c r="EX6" i="11"/>
  <c r="EW62" i="11"/>
  <c r="EW42" i="11"/>
  <c r="E110" i="42"/>
  <c r="M25" i="1"/>
  <c r="I25" i="1"/>
  <c r="K188" i="3"/>
  <c r="V117" i="8"/>
  <c r="X117" i="8" s="1"/>
  <c r="W105" i="42"/>
  <c r="X70" i="42"/>
  <c r="X104" i="42"/>
  <c r="C114" i="42"/>
  <c r="S73" i="42"/>
  <c r="R108" i="42"/>
  <c r="CY175" i="1"/>
  <c r="CZ171" i="1"/>
  <c r="DY33" i="11"/>
  <c r="N188" i="3"/>
  <c r="P188" i="3" s="1"/>
  <c r="W188" i="3"/>
  <c r="N195" i="3"/>
  <c r="P195" i="3" s="1"/>
  <c r="EV59" i="11"/>
  <c r="E111" i="42"/>
  <c r="F110" i="42"/>
  <c r="R107" i="42"/>
  <c r="S106" i="42"/>
  <c r="S72" i="42"/>
  <c r="E369" i="35"/>
  <c r="D370" i="35"/>
  <c r="M111" i="42"/>
  <c r="N110" i="42"/>
  <c r="I80" i="42"/>
  <c r="Y187" i="3"/>
  <c r="Y194" i="3"/>
  <c r="G82" i="42"/>
  <c r="H111" i="42"/>
  <c r="I110" i="42"/>
  <c r="H77" i="42"/>
  <c r="D111" i="42"/>
  <c r="D78" i="42"/>
  <c r="D113" i="42" s="1"/>
  <c r="O111" i="42"/>
  <c r="N78" i="42"/>
  <c r="K110" i="42"/>
  <c r="J111" i="42"/>
  <c r="J77" i="42"/>
  <c r="R22" i="42"/>
  <c r="R136" i="42"/>
  <c r="R35" i="42"/>
  <c r="R100" i="42"/>
  <c r="S3" i="42"/>
  <c r="R64" i="42"/>
  <c r="R15" i="42"/>
  <c r="DD173" i="1"/>
  <c r="N79" i="42"/>
  <c r="CU174" i="1"/>
  <c r="CU164" i="1"/>
  <c r="CV144" i="1"/>
  <c r="CW144" i="1"/>
  <c r="CZ161" i="1"/>
  <c r="CY181" i="1"/>
  <c r="DA161" i="1"/>
  <c r="CY165" i="1"/>
  <c r="Z116" i="8"/>
  <c r="Z123" i="8"/>
  <c r="DG198" i="1"/>
  <c r="DC202" i="1"/>
  <c r="CR5" i="11"/>
  <c r="E77" i="42"/>
  <c r="BG28" i="11"/>
  <c r="BG31" i="11" s="1"/>
  <c r="BG50" i="11" s="1"/>
  <c r="BG48" i="11"/>
  <c r="BG49" i="11"/>
  <c r="AI5" i="11"/>
  <c r="B32" i="3"/>
  <c r="J28" i="3"/>
  <c r="L28" i="3" s="1"/>
  <c r="C174" i="1" l="1"/>
  <c r="R70" i="8"/>
  <c r="DQ63" i="11" s="1"/>
  <c r="P171" i="68"/>
  <c r="P169" i="68" s="1"/>
  <c r="P75" i="68"/>
  <c r="P170" i="68" s="1"/>
  <c r="P116" i="68"/>
  <c r="P172" i="68" s="1"/>
  <c r="DI58" i="11"/>
  <c r="AI181" i="1"/>
  <c r="AR34" i="11" s="1"/>
  <c r="AK161" i="1"/>
  <c r="Y146" i="1"/>
  <c r="BW58" i="11"/>
  <c r="AJ161" i="1"/>
  <c r="CV174" i="1"/>
  <c r="BS165" i="1"/>
  <c r="CB175" i="1"/>
  <c r="AK146" i="1"/>
  <c r="CZ170" i="1"/>
  <c r="BD58" i="11"/>
  <c r="AA208" i="3"/>
  <c r="D642" i="35"/>
  <c r="E641" i="35"/>
  <c r="AC32" i="3"/>
  <c r="BQ33" i="11"/>
  <c r="BV58" i="11" s="1"/>
  <c r="CW34" i="11"/>
  <c r="E499" i="35"/>
  <c r="E512" i="35"/>
  <c r="AR33" i="11"/>
  <c r="AW58" i="11" s="1"/>
  <c r="AN171" i="1"/>
  <c r="AH138" i="8"/>
  <c r="AJ137" i="8"/>
  <c r="R138" i="8"/>
  <c r="T137" i="8"/>
  <c r="B125" i="42"/>
  <c r="A125" i="42"/>
  <c r="AC208" i="3"/>
  <c r="AE208" i="3" s="1"/>
  <c r="AG208" i="3" s="1"/>
  <c r="AB136" i="8"/>
  <c r="AD136" i="8" s="1"/>
  <c r="AF136" i="8" s="1"/>
  <c r="AC207" i="3"/>
  <c r="AE207" i="3" s="1"/>
  <c r="AG207" i="3" s="1"/>
  <c r="L207" i="3"/>
  <c r="K207" i="3"/>
  <c r="V136" i="8"/>
  <c r="X136" i="8" s="1"/>
  <c r="Z136" i="8" s="1"/>
  <c r="Z66" i="42"/>
  <c r="Z6" i="42" s="1"/>
  <c r="Z25" i="42" s="1"/>
  <c r="Y6" i="42"/>
  <c r="Y25" i="42" s="1"/>
  <c r="M79" i="42"/>
  <c r="U202" i="3"/>
  <c r="W202" i="3" s="1"/>
  <c r="AP209" i="3"/>
  <c r="AN181" i="1"/>
  <c r="J208" i="3"/>
  <c r="E319" i="35"/>
  <c r="D320" i="35"/>
  <c r="AA33" i="3"/>
  <c r="AC33" i="3" s="1"/>
  <c r="D605" i="35"/>
  <c r="E615" i="35"/>
  <c r="E604" i="35"/>
  <c r="DH132" i="1"/>
  <c r="AX140" i="1"/>
  <c r="AO163" i="1"/>
  <c r="AI33" i="11"/>
  <c r="AG34" i="11"/>
  <c r="C176" i="1"/>
  <c r="BS175" i="1"/>
  <c r="BX175" i="1" s="1"/>
  <c r="CK33" i="11"/>
  <c r="CK58" i="11" s="1"/>
  <c r="BE145" i="1"/>
  <c r="BX171" i="1"/>
  <c r="DI125" i="1"/>
  <c r="DM125" i="1"/>
  <c r="DI24" i="1"/>
  <c r="DI86" i="1"/>
  <c r="DG126" i="1"/>
  <c r="DM122" i="1"/>
  <c r="H109" i="3"/>
  <c r="H117" i="3"/>
  <c r="BN58" i="11"/>
  <c r="H126" i="3"/>
  <c r="AY181" i="1"/>
  <c r="BL34" i="11" s="1"/>
  <c r="AZ161" i="1"/>
  <c r="CF172" i="1"/>
  <c r="CJ172" i="1"/>
  <c r="DA33" i="11"/>
  <c r="DF58" i="11" s="1"/>
  <c r="AM183" i="1"/>
  <c r="AY34" i="11" s="1"/>
  <c r="AN163" i="1"/>
  <c r="L161" i="1"/>
  <c r="K181" i="1"/>
  <c r="C183" i="1"/>
  <c r="D163" i="1"/>
  <c r="BB33" i="11"/>
  <c r="BB58" i="11" s="1"/>
  <c r="AR171" i="1"/>
  <c r="CE182" i="1"/>
  <c r="CG162" i="1"/>
  <c r="CF162" i="1"/>
  <c r="CK162" i="1"/>
  <c r="CN180" i="1"/>
  <c r="AR161" i="1"/>
  <c r="AQ181" i="1"/>
  <c r="AS161" i="1"/>
  <c r="BS176" i="1"/>
  <c r="BT173" i="1"/>
  <c r="CM33" i="11"/>
  <c r="CM58" i="11" s="1"/>
  <c r="BX164" i="1"/>
  <c r="BW184" i="1"/>
  <c r="AZ172" i="1"/>
  <c r="BM33" i="11"/>
  <c r="BD172" i="1"/>
  <c r="BG164" i="1"/>
  <c r="BG174" i="1"/>
  <c r="BH144" i="1"/>
  <c r="BS183" i="1"/>
  <c r="BS166" i="1"/>
  <c r="BT166" i="1" s="1"/>
  <c r="BT163" i="1"/>
  <c r="BU163" i="1"/>
  <c r="AZ170" i="1"/>
  <c r="AY175" i="1"/>
  <c r="BD175" i="1" s="1"/>
  <c r="BK33" i="11"/>
  <c r="BK58" i="11" s="1"/>
  <c r="CA174" i="1"/>
  <c r="CB174" i="1" s="1"/>
  <c r="CC144" i="1"/>
  <c r="CA164" i="1"/>
  <c r="CB144" i="1"/>
  <c r="AV144" i="1"/>
  <c r="AW144" i="1" s="1"/>
  <c r="AU174" i="1"/>
  <c r="AZ174" i="1" s="1"/>
  <c r="BA144" i="1"/>
  <c r="AU164" i="1"/>
  <c r="K166" i="1"/>
  <c r="L166" i="1" s="1"/>
  <c r="L163" i="1"/>
  <c r="K183" i="1"/>
  <c r="K186" i="1" s="1"/>
  <c r="BW183" i="1"/>
  <c r="BY163" i="1"/>
  <c r="CC163" i="1"/>
  <c r="BW166" i="1"/>
  <c r="BX163" i="1"/>
  <c r="BX173" i="1"/>
  <c r="BW176" i="1"/>
  <c r="AY165" i="1"/>
  <c r="AZ165" i="1" s="1"/>
  <c r="AZ160" i="1"/>
  <c r="BA160" i="1"/>
  <c r="AY180" i="1"/>
  <c r="BX182" i="1"/>
  <c r="CQ34" i="11"/>
  <c r="BH160" i="1"/>
  <c r="BM160" i="1"/>
  <c r="BG180" i="1"/>
  <c r="BH180" i="1" s="1"/>
  <c r="BG165" i="1"/>
  <c r="T170" i="1"/>
  <c r="CB180" i="1"/>
  <c r="CT34" i="11"/>
  <c r="CC146" i="1"/>
  <c r="BY146" i="1"/>
  <c r="BX146" i="1"/>
  <c r="AZ162" i="1"/>
  <c r="BE162" i="1"/>
  <c r="AY182" i="1"/>
  <c r="AY186" i="1" s="1"/>
  <c r="BA162" i="1"/>
  <c r="BM145" i="1"/>
  <c r="BH145" i="1"/>
  <c r="BI145" i="1"/>
  <c r="BL170" i="1"/>
  <c r="BG175" i="1"/>
  <c r="BW185" i="1"/>
  <c r="CO34" i="11"/>
  <c r="BU161" i="1"/>
  <c r="BT161" i="1"/>
  <c r="BS181" i="1"/>
  <c r="BS185" i="1" s="1"/>
  <c r="BX185" i="1" s="1"/>
  <c r="AU180" i="1"/>
  <c r="BF34" i="11" s="1"/>
  <c r="AV160" i="1"/>
  <c r="BD165" i="1"/>
  <c r="AW141" i="1"/>
  <c r="AX141" i="1"/>
  <c r="O180" i="1"/>
  <c r="P160" i="1"/>
  <c r="AK160" i="1"/>
  <c r="AI165" i="1"/>
  <c r="AJ165" i="1" s="1"/>
  <c r="AI180" i="1"/>
  <c r="AN180" i="1" s="1"/>
  <c r="AJ160" i="1"/>
  <c r="S180" i="1"/>
  <c r="U160" i="1"/>
  <c r="T160" i="1"/>
  <c r="BC181" i="1"/>
  <c r="BD161" i="1"/>
  <c r="BE161" i="1"/>
  <c r="BI161" i="1"/>
  <c r="AZ164" i="1"/>
  <c r="AY184" i="1"/>
  <c r="AE182" i="1"/>
  <c r="AG162" i="1"/>
  <c r="AF162" i="1"/>
  <c r="AE166" i="1"/>
  <c r="AF166" i="1" s="1"/>
  <c r="AK165" i="1"/>
  <c r="T162" i="1"/>
  <c r="S166" i="1"/>
  <c r="T166" i="1" s="1"/>
  <c r="S182" i="1"/>
  <c r="Y162" i="1"/>
  <c r="AV145" i="1"/>
  <c r="BA145" i="1"/>
  <c r="AV171" i="1"/>
  <c r="AU175" i="1"/>
  <c r="BG33" i="11"/>
  <c r="AZ171" i="1"/>
  <c r="AQ33" i="11"/>
  <c r="BF58" i="11" s="1"/>
  <c r="AJ170" i="1"/>
  <c r="AI175" i="1"/>
  <c r="AJ175" i="1" s="1"/>
  <c r="BI144" i="1"/>
  <c r="BD144" i="1"/>
  <c r="BE144" i="1"/>
  <c r="BC164" i="1"/>
  <c r="BC174" i="1"/>
  <c r="BI146" i="1"/>
  <c r="BD146" i="1"/>
  <c r="BE146" i="1"/>
  <c r="BC185" i="1"/>
  <c r="T172" i="1"/>
  <c r="S176" i="1"/>
  <c r="X176" i="1" s="1"/>
  <c r="X172" i="1"/>
  <c r="BD171" i="1"/>
  <c r="BH171" i="1"/>
  <c r="AF172" i="1"/>
  <c r="AN33" i="11"/>
  <c r="AE176" i="1"/>
  <c r="BS33" i="11"/>
  <c r="BS58" i="11" s="1"/>
  <c r="BH173" i="1"/>
  <c r="BC176" i="1"/>
  <c r="AW161" i="1"/>
  <c r="AU165" i="1"/>
  <c r="AV161" i="1"/>
  <c r="BA161" i="1"/>
  <c r="AU181" i="1"/>
  <c r="BP181" i="1"/>
  <c r="BK185" i="1"/>
  <c r="AA182" i="1"/>
  <c r="AC162" i="1"/>
  <c r="AB162" i="1"/>
  <c r="BD34" i="11"/>
  <c r="AR183" i="1"/>
  <c r="AV183" i="1"/>
  <c r="BI163" i="1"/>
  <c r="BC166" i="1"/>
  <c r="BC183" i="1"/>
  <c r="BD183" i="1" s="1"/>
  <c r="BD163" i="1"/>
  <c r="EW16" i="11"/>
  <c r="DA145" i="1"/>
  <c r="CW145" i="1"/>
  <c r="DC176" i="1"/>
  <c r="DD176" i="1" s="1"/>
  <c r="DD162" i="1"/>
  <c r="DC182" i="1"/>
  <c r="DC186" i="1" s="1"/>
  <c r="DD186" i="1" s="1"/>
  <c r="DC166" i="1"/>
  <c r="DD166" i="1" s="1"/>
  <c r="DE146" i="1"/>
  <c r="DD146" i="1"/>
  <c r="AL45" i="11"/>
  <c r="AG26" i="3"/>
  <c r="DE145" i="1"/>
  <c r="AG27" i="3"/>
  <c r="AF131" i="8"/>
  <c r="Q8" i="5"/>
  <c r="DG54" i="11"/>
  <c r="L60" i="5"/>
  <c r="CZ180" i="1"/>
  <c r="L38" i="8"/>
  <c r="BV46" i="11"/>
  <c r="H139" i="3"/>
  <c r="S44" i="5"/>
  <c r="S53" i="5" s="1"/>
  <c r="S57" i="5" s="1"/>
  <c r="AS47" i="11"/>
  <c r="AX57" i="11"/>
  <c r="DP45" i="11"/>
  <c r="CT46" i="11"/>
  <c r="DN54" i="11"/>
  <c r="K54" i="5"/>
  <c r="BS46" i="11"/>
  <c r="N35" i="10"/>
  <c r="N63" i="10" s="1"/>
  <c r="AG28" i="3"/>
  <c r="L67" i="5"/>
  <c r="EZ33" i="11" s="1"/>
  <c r="CC58" i="11"/>
  <c r="K57" i="5"/>
  <c r="DQ59" i="11"/>
  <c r="DL59" i="11"/>
  <c r="FS55" i="11"/>
  <c r="DH86" i="1"/>
  <c r="DG96" i="1"/>
  <c r="L64" i="5"/>
  <c r="L65" i="5" s="1"/>
  <c r="CL58" i="11"/>
  <c r="AL29" i="3"/>
  <c r="H162" i="3"/>
  <c r="CF58" i="11"/>
  <c r="AJ99" i="3"/>
  <c r="H21" i="3"/>
  <c r="CV58" i="11"/>
  <c r="CE58" i="11"/>
  <c r="AD30" i="4"/>
  <c r="AD26" i="4"/>
  <c r="AD27" i="4" s="1"/>
  <c r="FS64" i="11"/>
  <c r="AD32" i="4"/>
  <c r="AD33" i="4" s="1"/>
  <c r="AD35" i="4"/>
  <c r="FS66" i="11" s="1"/>
  <c r="AC204" i="3"/>
  <c r="AE204" i="3" s="1"/>
  <c r="AB132" i="8"/>
  <c r="DI13" i="11"/>
  <c r="DI20" i="11" s="1"/>
  <c r="U176" i="3"/>
  <c r="AJ176" i="3" s="1"/>
  <c r="DD54" i="11"/>
  <c r="H165" i="3"/>
  <c r="O53" i="5"/>
  <c r="O54" i="5" s="1"/>
  <c r="O45" i="5"/>
  <c r="DD20" i="11"/>
  <c r="DD24" i="11" s="1"/>
  <c r="H144" i="3"/>
  <c r="P27" i="3"/>
  <c r="L33" i="8"/>
  <c r="H20" i="3"/>
  <c r="H152" i="3"/>
  <c r="DS13" i="11"/>
  <c r="DS45" i="11" s="1"/>
  <c r="V26" i="5"/>
  <c r="H102" i="3"/>
  <c r="C116" i="42"/>
  <c r="C82" i="42"/>
  <c r="C117" i="42" s="1"/>
  <c r="O78" i="42"/>
  <c r="O79" i="42" s="1"/>
  <c r="CF45" i="11"/>
  <c r="CF20" i="11"/>
  <c r="BP20" i="11"/>
  <c r="BP45" i="11"/>
  <c r="FC45" i="11"/>
  <c r="FC20" i="11"/>
  <c r="CL45" i="11"/>
  <c r="CL20" i="11"/>
  <c r="AJ166" i="1"/>
  <c r="AJ111" i="8"/>
  <c r="R112" i="8"/>
  <c r="EC63" i="11" s="1"/>
  <c r="U125" i="3"/>
  <c r="AJ125" i="3" s="1"/>
  <c r="D54" i="8"/>
  <c r="L54" i="8" s="1"/>
  <c r="H137" i="3"/>
  <c r="H148" i="3"/>
  <c r="BU56" i="11"/>
  <c r="BU46" i="11"/>
  <c r="T68" i="8"/>
  <c r="R69" i="8"/>
  <c r="AH69" i="8"/>
  <c r="AJ68" i="8"/>
  <c r="T108" i="8"/>
  <c r="AJ108" i="8"/>
  <c r="R109" i="8"/>
  <c r="AH109" i="8"/>
  <c r="FG15" i="11"/>
  <c r="E12" i="68"/>
  <c r="S38" i="5"/>
  <c r="R105" i="8"/>
  <c r="AJ104" i="8"/>
  <c r="DI54" i="11"/>
  <c r="R125" i="8"/>
  <c r="T124" i="8"/>
  <c r="AJ124" i="8"/>
  <c r="AH125" i="8"/>
  <c r="BZ56" i="11"/>
  <c r="BZ46" i="11"/>
  <c r="CB13" i="11"/>
  <c r="CB54" i="11"/>
  <c r="R90" i="8"/>
  <c r="T89" i="8"/>
  <c r="AJ89" i="8"/>
  <c r="AH90" i="8"/>
  <c r="CT54" i="11"/>
  <c r="T38" i="5"/>
  <c r="F12" i="68"/>
  <c r="FH15" i="11"/>
  <c r="BZ13" i="11"/>
  <c r="BZ54" i="11"/>
  <c r="CO46" i="11"/>
  <c r="CO13" i="11"/>
  <c r="CO54" i="11"/>
  <c r="D74" i="8"/>
  <c r="U145" i="3"/>
  <c r="AJ145" i="3" s="1"/>
  <c r="CN171" i="1"/>
  <c r="CJ171" i="1"/>
  <c r="CI175" i="1"/>
  <c r="EW15" i="11"/>
  <c r="I38" i="5"/>
  <c r="EW22" i="11"/>
  <c r="DI124" i="1"/>
  <c r="DH124" i="1"/>
  <c r="DX37" i="11"/>
  <c r="EA37" i="11"/>
  <c r="DX19" i="11"/>
  <c r="DX33" i="11"/>
  <c r="DX26" i="11"/>
  <c r="DY11" i="11"/>
  <c r="DZ15" i="11"/>
  <c r="EA55" i="11"/>
  <c r="DY9" i="11"/>
  <c r="DY15" i="11"/>
  <c r="DY55" i="11"/>
  <c r="DY38" i="11"/>
  <c r="DZ55" i="11"/>
  <c r="DX18" i="11"/>
  <c r="EA14" i="11"/>
  <c r="DZ18" i="11"/>
  <c r="DX34" i="11"/>
  <c r="EC6" i="11"/>
  <c r="DX22" i="11"/>
  <c r="EA9" i="11"/>
  <c r="DX17" i="11"/>
  <c r="DY14" i="11"/>
  <c r="DZ42" i="11"/>
  <c r="EA11" i="11"/>
  <c r="EA42" i="11"/>
  <c r="DX11" i="11"/>
  <c r="DX55" i="11"/>
  <c r="DY30" i="11"/>
  <c r="DX14" i="11"/>
  <c r="DX5" i="11"/>
  <c r="DY19" i="11"/>
  <c r="EA23" i="11"/>
  <c r="DX9" i="11"/>
  <c r="DY22" i="11"/>
  <c r="EA33" i="11"/>
  <c r="DY17" i="11"/>
  <c r="DX23" i="11"/>
  <c r="DY26" i="11"/>
  <c r="DZ14" i="11"/>
  <c r="DX38" i="11"/>
  <c r="EA18" i="11"/>
  <c r="DZ38" i="11"/>
  <c r="DX15" i="11"/>
  <c r="DX36" i="11"/>
  <c r="DZ22" i="11"/>
  <c r="DY36" i="11"/>
  <c r="DY23" i="11"/>
  <c r="EA19" i="11"/>
  <c r="DZ11" i="11"/>
  <c r="DZ37" i="11"/>
  <c r="DY42" i="11"/>
  <c r="DZ23" i="11"/>
  <c r="EA34" i="11"/>
  <c r="EA36" i="11"/>
  <c r="EA17" i="11"/>
  <c r="DZ30" i="11"/>
  <c r="DZ9" i="11"/>
  <c r="DZ17" i="11"/>
  <c r="EA22" i="11"/>
  <c r="EA30" i="11"/>
  <c r="DX30" i="11"/>
  <c r="DY18" i="11"/>
  <c r="DZ26" i="11"/>
  <c r="EA15" i="11"/>
  <c r="EA26" i="11"/>
  <c r="DZ33" i="11"/>
  <c r="DZ36" i="11"/>
  <c r="DY37" i="11"/>
  <c r="DZ19" i="11"/>
  <c r="DX42" i="11"/>
  <c r="DZ34" i="11"/>
  <c r="DT5" i="11"/>
  <c r="DS72" i="11"/>
  <c r="DS71" i="11"/>
  <c r="DU46" i="11"/>
  <c r="DU56" i="11"/>
  <c r="DT51" i="11"/>
  <c r="DT59" i="11"/>
  <c r="DS54" i="11"/>
  <c r="DU13" i="11"/>
  <c r="DU54" i="11"/>
  <c r="DS59" i="11"/>
  <c r="DS51" i="11"/>
  <c r="DO56" i="11"/>
  <c r="H18" i="3"/>
  <c r="AQ164" i="1"/>
  <c r="AR144" i="1"/>
  <c r="AX144" i="1" s="1"/>
  <c r="AQ174" i="1"/>
  <c r="AS144" i="1"/>
  <c r="H136" i="68"/>
  <c r="H95" i="68"/>
  <c r="H54" i="68"/>
  <c r="M59" i="5"/>
  <c r="M54" i="5"/>
  <c r="M57" i="5"/>
  <c r="AN165" i="1"/>
  <c r="AO165" i="1"/>
  <c r="G75" i="68"/>
  <c r="G169" i="68"/>
  <c r="G116" i="68"/>
  <c r="N54" i="5"/>
  <c r="N57" i="5"/>
  <c r="N59" i="5"/>
  <c r="AL24" i="11"/>
  <c r="AL47" i="11"/>
  <c r="CJ163" i="1"/>
  <c r="CI166" i="1"/>
  <c r="CI183" i="1"/>
  <c r="CK163" i="1"/>
  <c r="BP146" i="1"/>
  <c r="BQ146" i="1"/>
  <c r="BU146" i="1"/>
  <c r="L76" i="8"/>
  <c r="P110" i="42"/>
  <c r="U53" i="5"/>
  <c r="U45" i="5"/>
  <c r="U49" i="4"/>
  <c r="U50" i="4" s="1"/>
  <c r="DJ56" i="11"/>
  <c r="BP180" i="1"/>
  <c r="BO185" i="1"/>
  <c r="CR45" i="11"/>
  <c r="CR20" i="11"/>
  <c r="DJ58" i="11"/>
  <c r="CZ20" i="11"/>
  <c r="CZ45" i="11"/>
  <c r="AZ183" i="1"/>
  <c r="BN34" i="11"/>
  <c r="AF164" i="1"/>
  <c r="AE184" i="1"/>
  <c r="P73" i="9"/>
  <c r="P77" i="9" s="1"/>
  <c r="P74" i="9"/>
  <c r="P78" i="9" s="1"/>
  <c r="CK45" i="11"/>
  <c r="CK20" i="11"/>
  <c r="AQ165" i="1"/>
  <c r="AQ180" i="1"/>
  <c r="AS160" i="1"/>
  <c r="AR160" i="1"/>
  <c r="AW160" i="1"/>
  <c r="T73" i="9"/>
  <c r="T77" i="9" s="1"/>
  <c r="T74" i="9"/>
  <c r="T78" i="9" s="1"/>
  <c r="BT175" i="1"/>
  <c r="BP175" i="1"/>
  <c r="AI51" i="11"/>
  <c r="AN59" i="11"/>
  <c r="EZ47" i="11"/>
  <c r="EZ24" i="11"/>
  <c r="CE183" i="1"/>
  <c r="CE166" i="1"/>
  <c r="CG163" i="1"/>
  <c r="CF163" i="1"/>
  <c r="W175" i="1"/>
  <c r="X170" i="1"/>
  <c r="AB170" i="1"/>
  <c r="DD160" i="1"/>
  <c r="DC165" i="1"/>
  <c r="DD165" i="1" s="1"/>
  <c r="DE160" i="1"/>
  <c r="DC180" i="1"/>
  <c r="DL20" i="11"/>
  <c r="DL45" i="11"/>
  <c r="DJ45" i="11"/>
  <c r="DJ20" i="11"/>
  <c r="CM45" i="11"/>
  <c r="CM20" i="11"/>
  <c r="K26" i="5"/>
  <c r="J53" i="5"/>
  <c r="J45" i="5"/>
  <c r="J49" i="4"/>
  <c r="J50" i="4" s="1"/>
  <c r="K73" i="9"/>
  <c r="K77" i="9" s="1"/>
  <c r="K74" i="9"/>
  <c r="K78" i="9" s="1"/>
  <c r="CN146" i="1"/>
  <c r="CO146" i="1"/>
  <c r="C51" i="68"/>
  <c r="C133" i="68"/>
  <c r="C92" i="68"/>
  <c r="H88" i="68"/>
  <c r="H47" i="68"/>
  <c r="H129" i="68"/>
  <c r="AY28" i="11"/>
  <c r="AY31" i="11" s="1"/>
  <c r="AY50" i="11" s="1"/>
  <c r="AY48" i="11"/>
  <c r="AY49" i="11"/>
  <c r="CV176" i="1"/>
  <c r="DK45" i="11"/>
  <c r="DK20" i="11"/>
  <c r="H57" i="68"/>
  <c r="H98" i="68"/>
  <c r="H139" i="68"/>
  <c r="U161" i="1"/>
  <c r="O165" i="1"/>
  <c r="O181" i="1"/>
  <c r="P161" i="1"/>
  <c r="Q161" i="1"/>
  <c r="EY45" i="11"/>
  <c r="EY20" i="11"/>
  <c r="EZ57" i="11" s="1"/>
  <c r="AO45" i="11"/>
  <c r="AO20" i="11"/>
  <c r="AI46" i="11"/>
  <c r="AN56" i="11"/>
  <c r="AH13" i="11"/>
  <c r="AO58" i="11"/>
  <c r="AJ46" i="11"/>
  <c r="AI13" i="11"/>
  <c r="AN54" i="11"/>
  <c r="FD56" i="11"/>
  <c r="DC174" i="1"/>
  <c r="DD174" i="1" s="1"/>
  <c r="DD144" i="1"/>
  <c r="DC164" i="1"/>
  <c r="DE164" i="1" s="1"/>
  <c r="BX174" i="1"/>
  <c r="G176" i="1"/>
  <c r="H173" i="1"/>
  <c r="L173" i="1"/>
  <c r="CF146" i="1"/>
  <c r="CG146" i="1"/>
  <c r="F145" i="68"/>
  <c r="F63" i="68"/>
  <c r="F104" i="68" s="1"/>
  <c r="FI46" i="11"/>
  <c r="DP47" i="11"/>
  <c r="DP24" i="11"/>
  <c r="AR172" i="1"/>
  <c r="AV172" i="1"/>
  <c r="BC33" i="11"/>
  <c r="AQ176" i="1"/>
  <c r="AM20" i="11"/>
  <c r="AR57" i="11" s="1"/>
  <c r="AM45" i="11"/>
  <c r="DE45" i="11"/>
  <c r="DE20" i="11"/>
  <c r="J38" i="4"/>
  <c r="K39" i="4" s="1"/>
  <c r="EY68" i="11" s="1"/>
  <c r="J7" i="4"/>
  <c r="DO20" i="11"/>
  <c r="DO45" i="11"/>
  <c r="CA185" i="1"/>
  <c r="CB181" i="1"/>
  <c r="CU34" i="11"/>
  <c r="AF180" i="1"/>
  <c r="AE185" i="1"/>
  <c r="AF185" i="1" s="1"/>
  <c r="AL34" i="11"/>
  <c r="V13" i="5"/>
  <c r="W25" i="5"/>
  <c r="W26" i="5" s="1"/>
  <c r="X69" i="9"/>
  <c r="I11" i="68"/>
  <c r="FL14" i="11"/>
  <c r="X37" i="5"/>
  <c r="X7" i="5"/>
  <c r="X35" i="5"/>
  <c r="FM17" i="11" s="1"/>
  <c r="X50" i="5"/>
  <c r="FM23" i="11" s="1"/>
  <c r="Y5" i="5"/>
  <c r="X24" i="5"/>
  <c r="X47" i="5"/>
  <c r="X56" i="5"/>
  <c r="X5" i="4"/>
  <c r="X41" i="4" s="1"/>
  <c r="X62" i="5"/>
  <c r="X42" i="5"/>
  <c r="FM19" i="11" s="1"/>
  <c r="X73" i="5"/>
  <c r="X11" i="5"/>
  <c r="X40" i="5"/>
  <c r="FM18" i="11" s="1"/>
  <c r="FL11" i="11"/>
  <c r="X68" i="9"/>
  <c r="W12" i="5"/>
  <c r="W13" i="5" s="1"/>
  <c r="I8" i="68"/>
  <c r="P173" i="1"/>
  <c r="O176" i="1"/>
  <c r="T173" i="1"/>
  <c r="K13" i="5"/>
  <c r="FC67" i="11"/>
  <c r="O39" i="4"/>
  <c r="FC68" i="11" s="1"/>
  <c r="Q7" i="4"/>
  <c r="Q38" i="4"/>
  <c r="AF173" i="1"/>
  <c r="AA176" i="1"/>
  <c r="AB173" i="1"/>
  <c r="V38" i="4"/>
  <c r="V7" i="4"/>
  <c r="V12" i="4"/>
  <c r="V45" i="5"/>
  <c r="V49" i="4"/>
  <c r="V50" i="4" s="1"/>
  <c r="V53" i="5"/>
  <c r="BM166" i="1"/>
  <c r="BL166" i="1"/>
  <c r="U151" i="3"/>
  <c r="AJ151" i="3" s="1"/>
  <c r="D80" i="8"/>
  <c r="FD22" i="11"/>
  <c r="P48" i="5"/>
  <c r="D81" i="8"/>
  <c r="U152" i="3"/>
  <c r="AJ152" i="3" s="1"/>
  <c r="T80" i="8"/>
  <c r="AJ80" i="8"/>
  <c r="R81" i="8"/>
  <c r="AH81" i="8"/>
  <c r="D56" i="8"/>
  <c r="U127" i="3"/>
  <c r="T110" i="8"/>
  <c r="AJ110" i="8"/>
  <c r="R111" i="8"/>
  <c r="AH111" i="8"/>
  <c r="D66" i="8"/>
  <c r="U137" i="3"/>
  <c r="AJ137" i="3" s="1"/>
  <c r="BW13" i="11"/>
  <c r="BW54" i="11"/>
  <c r="AJ52" i="8"/>
  <c r="T52" i="8"/>
  <c r="AH53" i="8"/>
  <c r="R53" i="8"/>
  <c r="FD59" i="11"/>
  <c r="R73" i="8"/>
  <c r="T69" i="8"/>
  <c r="AJ69" i="8"/>
  <c r="AH73" i="8"/>
  <c r="CR56" i="11"/>
  <c r="CR46" i="11"/>
  <c r="CL56" i="11"/>
  <c r="CL46" i="11"/>
  <c r="CE51" i="11"/>
  <c r="CE59" i="11"/>
  <c r="P180" i="3"/>
  <c r="AG180" i="3"/>
  <c r="D63" i="8"/>
  <c r="U134" i="3"/>
  <c r="FH16" i="11"/>
  <c r="CV54" i="11"/>
  <c r="FG26" i="11"/>
  <c r="E18" i="68"/>
  <c r="BQ13" i="11"/>
  <c r="BQ54" i="11"/>
  <c r="R83" i="8"/>
  <c r="T82" i="8"/>
  <c r="AJ82" i="8"/>
  <c r="AH83" i="8"/>
  <c r="D82" i="8"/>
  <c r="U153" i="3"/>
  <c r="AJ153" i="3" s="1"/>
  <c r="BD48" i="11"/>
  <c r="BD28" i="11"/>
  <c r="BD31" i="11" s="1"/>
  <c r="BD50" i="11" s="1"/>
  <c r="BD49" i="11"/>
  <c r="CQ186" i="1"/>
  <c r="CV183" i="1"/>
  <c r="DQ34" i="11"/>
  <c r="DG45" i="11"/>
  <c r="DG20" i="11"/>
  <c r="BW51" i="11"/>
  <c r="CU20" i="11"/>
  <c r="CU45" i="11"/>
  <c r="AX28" i="11"/>
  <c r="AX31" i="11" s="1"/>
  <c r="AX50" i="11" s="1"/>
  <c r="AX48" i="11"/>
  <c r="AX49" i="11"/>
  <c r="V73" i="9"/>
  <c r="V77" i="9" s="1"/>
  <c r="V74" i="9"/>
  <c r="V78" i="9" s="1"/>
  <c r="AR170" i="1"/>
  <c r="AQ175" i="1"/>
  <c r="AV170" i="1"/>
  <c r="BA33" i="11"/>
  <c r="BA58" i="11" s="1"/>
  <c r="P171" i="1"/>
  <c r="O175" i="1"/>
  <c r="G139" i="68"/>
  <c r="G57" i="68"/>
  <c r="G98" i="68"/>
  <c r="BC28" i="11"/>
  <c r="BC31" i="11" s="1"/>
  <c r="BC50" i="11" s="1"/>
  <c r="BC48" i="11"/>
  <c r="BC49" i="11"/>
  <c r="AO59" i="11"/>
  <c r="AJ51" i="11"/>
  <c r="W6" i="11"/>
  <c r="AB15" i="11"/>
  <c r="AB26" i="11"/>
  <c r="AB42" i="11"/>
  <c r="AG59" i="11" s="1"/>
  <c r="AB19" i="11"/>
  <c r="AB55" i="11"/>
  <c r="AB17" i="11"/>
  <c r="AB36" i="11"/>
  <c r="AC17" i="11"/>
  <c r="AD15" i="11"/>
  <c r="AD36" i="11"/>
  <c r="AB14" i="11"/>
  <c r="AC11" i="11"/>
  <c r="AC15" i="11"/>
  <c r="AE42" i="11"/>
  <c r="AE33" i="11"/>
  <c r="AJ58" i="11" s="1"/>
  <c r="AB33" i="11"/>
  <c r="AG58" i="11" s="1"/>
  <c r="AD34" i="11"/>
  <c r="AC14" i="11"/>
  <c r="AE14" i="11"/>
  <c r="AB22" i="11"/>
  <c r="AD9" i="11"/>
  <c r="AC55" i="11"/>
  <c r="AE34" i="11"/>
  <c r="AC19" i="11"/>
  <c r="AD11" i="11"/>
  <c r="AE15" i="11"/>
  <c r="AE18" i="11"/>
  <c r="AB9" i="11"/>
  <c r="AE22" i="11"/>
  <c r="AE19" i="11"/>
  <c r="AE17" i="11"/>
  <c r="AE11" i="11"/>
  <c r="AE23" i="11"/>
  <c r="AC36" i="11"/>
  <c r="AB11" i="11"/>
  <c r="AC26" i="11"/>
  <c r="AD17" i="11"/>
  <c r="AC9" i="11"/>
  <c r="AH54" i="11" s="1"/>
  <c r="AE9" i="11"/>
  <c r="AJ54" i="11" s="1"/>
  <c r="AC34" i="11"/>
  <c r="AC22" i="11"/>
  <c r="AC18" i="11"/>
  <c r="AB18" i="11"/>
  <c r="AD55" i="11"/>
  <c r="AD37" i="11"/>
  <c r="AD19" i="11"/>
  <c r="AD33" i="11"/>
  <c r="AB37" i="11"/>
  <c r="AC37" i="11"/>
  <c r="AD14" i="11"/>
  <c r="AE26" i="11"/>
  <c r="AC30" i="11"/>
  <c r="AE37" i="11"/>
  <c r="AB5" i="11"/>
  <c r="AC5" i="11" s="1"/>
  <c r="AD5" i="11" s="1"/>
  <c r="AB30" i="11"/>
  <c r="AD23" i="11"/>
  <c r="AE30" i="11"/>
  <c r="AD18" i="11"/>
  <c r="AE36" i="11"/>
  <c r="AD22" i="11"/>
  <c r="AB23" i="11"/>
  <c r="AC42" i="11"/>
  <c r="AE55" i="11"/>
  <c r="AC33" i="11"/>
  <c r="AD42" i="11"/>
  <c r="AC23" i="11"/>
  <c r="AD30" i="11"/>
  <c r="AD26" i="11"/>
  <c r="AL59" i="11"/>
  <c r="AG51" i="11"/>
  <c r="AH46" i="11"/>
  <c r="AM56" i="11"/>
  <c r="CF145" i="1"/>
  <c r="CG145" i="1"/>
  <c r="CF161" i="1"/>
  <c r="CE181" i="1"/>
  <c r="CE165" i="1"/>
  <c r="H172" i="1"/>
  <c r="BH24" i="11"/>
  <c r="BH47" i="11"/>
  <c r="BH57" i="11"/>
  <c r="CP45" i="11"/>
  <c r="CP20" i="11"/>
  <c r="BS184" i="1"/>
  <c r="BT164" i="1"/>
  <c r="BY164" i="1"/>
  <c r="H146" i="1"/>
  <c r="M146" i="1"/>
  <c r="I146" i="1"/>
  <c r="CQ20" i="11"/>
  <c r="CQ45" i="11"/>
  <c r="DG141" i="1"/>
  <c r="DM141" i="1" s="1"/>
  <c r="DI131" i="1"/>
  <c r="AN144" i="1"/>
  <c r="AO144" i="1"/>
  <c r="AM174" i="1"/>
  <c r="AM164" i="1"/>
  <c r="T171" i="1"/>
  <c r="X171" i="1"/>
  <c r="S175" i="1"/>
  <c r="G132" i="68"/>
  <c r="G91" i="68"/>
  <c r="G50" i="68"/>
  <c r="G30" i="68"/>
  <c r="DD171" i="1"/>
  <c r="DD161" i="1"/>
  <c r="DC181" i="1"/>
  <c r="DD181" i="1" s="1"/>
  <c r="AS146" i="1"/>
  <c r="AR146" i="1"/>
  <c r="AW146" i="1"/>
  <c r="AQ182" i="1"/>
  <c r="AR162" i="1"/>
  <c r="AS162" i="1"/>
  <c r="AW162" i="1"/>
  <c r="AQ166" i="1"/>
  <c r="D116" i="68"/>
  <c r="D75" i="68"/>
  <c r="D169" i="68"/>
  <c r="CV13" i="11"/>
  <c r="X166" i="1"/>
  <c r="EX13" i="11"/>
  <c r="DN20" i="11"/>
  <c r="DN45" i="11"/>
  <c r="FL36" i="11"/>
  <c r="I24" i="68"/>
  <c r="FL26" i="11"/>
  <c r="I18" i="68"/>
  <c r="CQ184" i="1"/>
  <c r="CR184" i="1" s="1"/>
  <c r="CR164" i="1"/>
  <c r="P146" i="1"/>
  <c r="Q146" i="1"/>
  <c r="U146" i="1"/>
  <c r="C182" i="1"/>
  <c r="C186" i="1" s="1"/>
  <c r="D162" i="1"/>
  <c r="C166" i="1"/>
  <c r="D166" i="1" s="1"/>
  <c r="BP144" i="1"/>
  <c r="BO174" i="1"/>
  <c r="BT174" i="1" s="1"/>
  <c r="BQ144" i="1"/>
  <c r="BO164" i="1"/>
  <c r="BU164" i="1" s="1"/>
  <c r="AN20" i="11"/>
  <c r="AN45" i="11"/>
  <c r="E86" i="68"/>
  <c r="E127" i="68"/>
  <c r="E45" i="68"/>
  <c r="E10" i="68"/>
  <c r="S7" i="4"/>
  <c r="FG68" i="11" s="1"/>
  <c r="S38" i="4"/>
  <c r="CC45" i="11"/>
  <c r="CC20" i="11"/>
  <c r="I162" i="1"/>
  <c r="E136" i="68"/>
  <c r="E54" i="68"/>
  <c r="E95" i="68"/>
  <c r="BU165" i="1"/>
  <c r="BT165" i="1"/>
  <c r="BY165" i="1"/>
  <c r="D145" i="68"/>
  <c r="D63" i="68"/>
  <c r="D104" i="68" s="1"/>
  <c r="E63" i="68"/>
  <c r="E104" i="68" s="1"/>
  <c r="E145" i="68"/>
  <c r="L80" i="42"/>
  <c r="L81" i="42" s="1"/>
  <c r="L160" i="1"/>
  <c r="M160" i="1"/>
  <c r="K180" i="1"/>
  <c r="Q160" i="1"/>
  <c r="K165" i="1"/>
  <c r="L165" i="1" s="1"/>
  <c r="K174" i="1"/>
  <c r="L144" i="1"/>
  <c r="K164" i="1"/>
  <c r="AV28" i="11"/>
  <c r="AV31" i="11" s="1"/>
  <c r="AV50" i="11" s="1"/>
  <c r="AV48" i="11"/>
  <c r="AV49" i="11"/>
  <c r="AA166" i="1"/>
  <c r="AA183" i="1"/>
  <c r="AC163" i="1"/>
  <c r="AB163" i="1"/>
  <c r="AG163" i="1"/>
  <c r="AR24" i="11"/>
  <c r="AR47" i="11"/>
  <c r="BG57" i="11"/>
  <c r="AN172" i="1"/>
  <c r="AM176" i="1"/>
  <c r="AX33" i="11"/>
  <c r="AN162" i="1"/>
  <c r="AO162" i="1"/>
  <c r="AM182" i="1"/>
  <c r="AM166" i="1"/>
  <c r="DA54" i="11"/>
  <c r="AS33" i="11"/>
  <c r="AJ172" i="1"/>
  <c r="R119" i="8"/>
  <c r="ED63" i="11" s="1"/>
  <c r="AJ118" i="8"/>
  <c r="CO59" i="11"/>
  <c r="CO51" i="11"/>
  <c r="D90" i="8"/>
  <c r="U161" i="3"/>
  <c r="AJ161" i="3" s="1"/>
  <c r="D60" i="8"/>
  <c r="U131" i="3"/>
  <c r="AJ131" i="3" s="1"/>
  <c r="R98" i="8"/>
  <c r="DV63" i="11" s="1"/>
  <c r="AJ97" i="8"/>
  <c r="U166" i="3"/>
  <c r="AJ166" i="3" s="1"/>
  <c r="D95" i="8"/>
  <c r="CQ58" i="11"/>
  <c r="BP51" i="11"/>
  <c r="BP59" i="11"/>
  <c r="FF14" i="11"/>
  <c r="S69" i="9"/>
  <c r="D11" i="68"/>
  <c r="R25" i="5"/>
  <c r="T9" i="5"/>
  <c r="F36" i="68"/>
  <c r="FG14" i="11"/>
  <c r="E11" i="68"/>
  <c r="T69" i="9"/>
  <c r="S25" i="5"/>
  <c r="C8" i="68"/>
  <c r="C10" i="68" s="1"/>
  <c r="FE11" i="11"/>
  <c r="FE13" i="11" s="1"/>
  <c r="R68" i="9"/>
  <c r="Q12" i="5"/>
  <c r="D105" i="8"/>
  <c r="F176" i="3"/>
  <c r="DB13" i="11"/>
  <c r="DB54" i="11"/>
  <c r="T41" i="8"/>
  <c r="R45" i="8"/>
  <c r="AJ41" i="8"/>
  <c r="AH45" i="8"/>
  <c r="CJ51" i="11"/>
  <c r="CJ59" i="11"/>
  <c r="R129" i="8"/>
  <c r="AH129" i="8"/>
  <c r="U133" i="3"/>
  <c r="AJ133" i="3" s="1"/>
  <c r="D62" i="8"/>
  <c r="L62" i="8" s="1"/>
  <c r="CM59" i="11"/>
  <c r="CM51" i="11"/>
  <c r="AJ32" i="8"/>
  <c r="T32" i="8"/>
  <c r="R33" i="8"/>
  <c r="AH33" i="8"/>
  <c r="R44" i="5"/>
  <c r="FF9" i="11"/>
  <c r="FG54" i="11" s="1"/>
  <c r="S67" i="9"/>
  <c r="R8" i="5"/>
  <c r="R11" i="4"/>
  <c r="D6" i="68"/>
  <c r="CY13" i="11"/>
  <c r="CY54" i="11"/>
  <c r="D61" i="8"/>
  <c r="U132" i="3"/>
  <c r="AJ132" i="3" s="1"/>
  <c r="CU51" i="11"/>
  <c r="CU59" i="11"/>
  <c r="T73" i="8"/>
  <c r="AJ73" i="8"/>
  <c r="R74" i="8"/>
  <c r="AH74" i="8"/>
  <c r="U105" i="3"/>
  <c r="AJ105" i="3" s="1"/>
  <c r="D34" i="8"/>
  <c r="L34" i="8" s="1"/>
  <c r="U123" i="3"/>
  <c r="AJ123" i="3" s="1"/>
  <c r="D52" i="8"/>
  <c r="CK56" i="11"/>
  <c r="CK46" i="11"/>
  <c r="CF51" i="11"/>
  <c r="CF59" i="11"/>
  <c r="BX59" i="11"/>
  <c r="BX51" i="11"/>
  <c r="H132" i="3"/>
  <c r="BZ51" i="11"/>
  <c r="BZ59" i="11"/>
  <c r="BX13" i="11"/>
  <c r="BX54" i="11"/>
  <c r="D12" i="68"/>
  <c r="R38" i="5"/>
  <c r="FF15" i="11"/>
  <c r="BQ56" i="11"/>
  <c r="BQ46" i="11"/>
  <c r="S9" i="5"/>
  <c r="E36" i="68"/>
  <c r="R94" i="8"/>
  <c r="AJ90" i="8"/>
  <c r="AH94" i="8"/>
  <c r="CH58" i="11"/>
  <c r="U120" i="3"/>
  <c r="D49" i="8"/>
  <c r="L49" i="8" s="1"/>
  <c r="CB51" i="11"/>
  <c r="CB59" i="11"/>
  <c r="D8" i="68"/>
  <c r="FF11" i="11"/>
  <c r="R12" i="5"/>
  <c r="S68" i="9"/>
  <c r="FH26" i="11"/>
  <c r="F18" i="68"/>
  <c r="BR13" i="11"/>
  <c r="BR54" i="11"/>
  <c r="CA13" i="11"/>
  <c r="CA54" i="11"/>
  <c r="U116" i="3"/>
  <c r="AJ116" i="3" s="1"/>
  <c r="D45" i="8"/>
  <c r="L45" i="8" s="1"/>
  <c r="CG54" i="11"/>
  <c r="CG13" i="11"/>
  <c r="H167" i="3"/>
  <c r="CQ59" i="11"/>
  <c r="BF24" i="11"/>
  <c r="BF57" i="11"/>
  <c r="BF47" i="11"/>
  <c r="DS46" i="11"/>
  <c r="DS56" i="11"/>
  <c r="CG51" i="11"/>
  <c r="S11" i="3"/>
  <c r="U11" i="3" s="1"/>
  <c r="AJ11" i="3" s="1"/>
  <c r="F13" i="3"/>
  <c r="D11" i="3"/>
  <c r="DR72" i="11"/>
  <c r="S15" i="3"/>
  <c r="U15" i="3" s="1"/>
  <c r="W15" i="3" s="1"/>
  <c r="D12" i="3"/>
  <c r="D13" i="3"/>
  <c r="D14" i="3"/>
  <c r="S12" i="3"/>
  <c r="U12" i="3" s="1"/>
  <c r="AJ12" i="3" s="1"/>
  <c r="AL12" i="3" s="1"/>
  <c r="F14" i="3"/>
  <c r="F11" i="3"/>
  <c r="S13" i="3"/>
  <c r="U13" i="3" s="1"/>
  <c r="AJ13" i="3" s="1"/>
  <c r="AL13" i="3" s="1"/>
  <c r="F15" i="3"/>
  <c r="F12" i="3"/>
  <c r="D15" i="3"/>
  <c r="S14" i="3"/>
  <c r="U14" i="3" s="1"/>
  <c r="AJ14" i="3" s="1"/>
  <c r="AL14" i="3" s="1"/>
  <c r="EB72" i="11"/>
  <c r="DM72" i="11"/>
  <c r="H145" i="68"/>
  <c r="H63" i="68"/>
  <c r="H104" i="68" s="1"/>
  <c r="H30" i="68"/>
  <c r="H50" i="68"/>
  <c r="H37" i="68"/>
  <c r="H132" i="68"/>
  <c r="H91" i="68"/>
  <c r="H133" i="68"/>
  <c r="H51" i="68"/>
  <c r="H92" i="68"/>
  <c r="AM185" i="1"/>
  <c r="AV34" i="11"/>
  <c r="FC56" i="11"/>
  <c r="FC46" i="11"/>
  <c r="H155" i="3"/>
  <c r="EY67" i="11"/>
  <c r="CI176" i="1"/>
  <c r="CJ173" i="1"/>
  <c r="DG33" i="11"/>
  <c r="CP56" i="11"/>
  <c r="BU162" i="1"/>
  <c r="BO182" i="1"/>
  <c r="BP162" i="1"/>
  <c r="BQ162" i="1"/>
  <c r="BO166" i="1"/>
  <c r="BT172" i="1"/>
  <c r="BP172" i="1"/>
  <c r="BO176" i="1"/>
  <c r="DB46" i="11"/>
  <c r="CF54" i="11"/>
  <c r="R75" i="42"/>
  <c r="S109" i="42" s="1"/>
  <c r="Q110" i="42"/>
  <c r="FI13" i="11"/>
  <c r="L103" i="8"/>
  <c r="AT58" i="11"/>
  <c r="AY58" i="11"/>
  <c r="BI58" i="11"/>
  <c r="EY54" i="11"/>
  <c r="Z68" i="42"/>
  <c r="Z103" i="42" s="1"/>
  <c r="Y103" i="42"/>
  <c r="CW45" i="11"/>
  <c r="CW20" i="11"/>
  <c r="CT45" i="11"/>
  <c r="CT20" i="11"/>
  <c r="BA28" i="11"/>
  <c r="BA31" i="11" s="1"/>
  <c r="BA50" i="11" s="1"/>
  <c r="BA48" i="11"/>
  <c r="BA49" i="11"/>
  <c r="AJ195" i="3"/>
  <c r="AL195" i="3" s="1"/>
  <c r="AN195" i="3" s="1"/>
  <c r="W195" i="3"/>
  <c r="Y195" i="3" s="1"/>
  <c r="E47" i="68"/>
  <c r="E88" i="68"/>
  <c r="E129" i="68"/>
  <c r="FB45" i="11"/>
  <c r="FB20" i="11"/>
  <c r="AL56" i="11"/>
  <c r="AG46" i="11"/>
  <c r="AL54" i="11"/>
  <c r="AG13" i="11"/>
  <c r="CE174" i="1"/>
  <c r="CF174" i="1" s="1"/>
  <c r="CG144" i="1"/>
  <c r="CE164" i="1"/>
  <c r="CF144" i="1"/>
  <c r="CF171" i="1"/>
  <c r="CE175" i="1"/>
  <c r="CF175" i="1" s="1"/>
  <c r="CF173" i="1"/>
  <c r="CE176" i="1"/>
  <c r="CF176" i="1" s="1"/>
  <c r="U144" i="1"/>
  <c r="Y144" i="1"/>
  <c r="T144" i="1"/>
  <c r="S174" i="1"/>
  <c r="S164" i="1"/>
  <c r="AC145" i="1"/>
  <c r="Y145" i="1"/>
  <c r="X145" i="1"/>
  <c r="Q77" i="42"/>
  <c r="FL15" i="11"/>
  <c r="W39" i="5"/>
  <c r="I12" i="68"/>
  <c r="W38" i="5"/>
  <c r="I36" i="68"/>
  <c r="W9" i="5"/>
  <c r="H75" i="68"/>
  <c r="H116" i="68"/>
  <c r="H169" i="68"/>
  <c r="G51" i="68"/>
  <c r="G92" i="68"/>
  <c r="G133" i="68"/>
  <c r="O183" i="1"/>
  <c r="P163" i="1"/>
  <c r="O166" i="1"/>
  <c r="Q163" i="1"/>
  <c r="U163" i="1"/>
  <c r="BN24" i="11"/>
  <c r="BN47" i="11"/>
  <c r="BN57" i="11"/>
  <c r="CH45" i="11"/>
  <c r="CH20" i="11"/>
  <c r="N39" i="4"/>
  <c r="FB68" i="11" s="1"/>
  <c r="FB67" i="11"/>
  <c r="AL58" i="11"/>
  <c r="U62" i="10"/>
  <c r="T72" i="9"/>
  <c r="T76" i="9" s="1"/>
  <c r="R72" i="9"/>
  <c r="R76" i="9" s="1"/>
  <c r="S62" i="10"/>
  <c r="L182" i="1"/>
  <c r="K175" i="1"/>
  <c r="P170" i="1"/>
  <c r="FJ13" i="11"/>
  <c r="FJ54" i="11"/>
  <c r="AI182" i="1"/>
  <c r="AJ162" i="1"/>
  <c r="AK162" i="1"/>
  <c r="AI164" i="1"/>
  <c r="BL182" i="1"/>
  <c r="BK186" i="1"/>
  <c r="BL186" i="1" s="1"/>
  <c r="D73" i="8"/>
  <c r="U144" i="3"/>
  <c r="AJ144" i="3" s="1"/>
  <c r="FF22" i="11"/>
  <c r="D15" i="68"/>
  <c r="R48" i="5"/>
  <c r="CC59" i="11"/>
  <c r="CC51" i="11"/>
  <c r="R89" i="8"/>
  <c r="T88" i="8"/>
  <c r="AJ88" i="8"/>
  <c r="AH89" i="8"/>
  <c r="CB46" i="11"/>
  <c r="CB56" i="11"/>
  <c r="CP51" i="11"/>
  <c r="CP59" i="11"/>
  <c r="R108" i="8"/>
  <c r="AH108" i="8"/>
  <c r="T116" i="8"/>
  <c r="R117" i="8"/>
  <c r="AJ116" i="8"/>
  <c r="AH117" i="8"/>
  <c r="DF46" i="11"/>
  <c r="DF56" i="11"/>
  <c r="U67" i="9"/>
  <c r="T44" i="5"/>
  <c r="T11" i="4"/>
  <c r="U12" i="4" s="1"/>
  <c r="T8" i="5"/>
  <c r="FH9" i="11"/>
  <c r="FI54" i="11" s="1"/>
  <c r="F6" i="68"/>
  <c r="G35" i="68" s="1"/>
  <c r="CE13" i="11"/>
  <c r="CE54" i="11"/>
  <c r="R130" i="8"/>
  <c r="AJ129" i="8"/>
  <c r="T129" i="8"/>
  <c r="AH130" i="8"/>
  <c r="R69" i="9"/>
  <c r="Q25" i="5"/>
  <c r="Q26" i="5" s="1"/>
  <c r="FE14" i="11"/>
  <c r="FE46" i="11" s="1"/>
  <c r="C11" i="68"/>
  <c r="C30" i="68" s="1"/>
  <c r="U106" i="3"/>
  <c r="D35" i="8"/>
  <c r="L35" i="8" s="1"/>
  <c r="CC46" i="11"/>
  <c r="CC56" i="11"/>
  <c r="FD15" i="11"/>
  <c r="P38" i="5"/>
  <c r="R122" i="8"/>
  <c r="AH122" i="8"/>
  <c r="T48" i="5"/>
  <c r="F15" i="68"/>
  <c r="FH22" i="11"/>
  <c r="FE36" i="11"/>
  <c r="C24" i="68"/>
  <c r="R67" i="8"/>
  <c r="AJ66" i="8"/>
  <c r="T66" i="8"/>
  <c r="AH67" i="8"/>
  <c r="BR51" i="11"/>
  <c r="BR59" i="11"/>
  <c r="CM56" i="11"/>
  <c r="CH56" i="11"/>
  <c r="CH46" i="11"/>
  <c r="DA51" i="11"/>
  <c r="DA59" i="11"/>
  <c r="U154" i="3"/>
  <c r="AJ154" i="3" s="1"/>
  <c r="D83" i="8"/>
  <c r="L83" i="8" s="1"/>
  <c r="FE51" i="11"/>
  <c r="FE59" i="11"/>
  <c r="T87" i="8"/>
  <c r="R88" i="8"/>
  <c r="AH88" i="8"/>
  <c r="AJ87" i="8"/>
  <c r="Q48" i="5"/>
  <c r="C15" i="68"/>
  <c r="FE22" i="11"/>
  <c r="U103" i="3"/>
  <c r="AJ103" i="3" s="1"/>
  <c r="D32" i="8"/>
  <c r="L32" i="8" s="1"/>
  <c r="AH52" i="8"/>
  <c r="T48" i="8"/>
  <c r="R52" i="8"/>
  <c r="AJ48" i="8"/>
  <c r="D53" i="8"/>
  <c r="L53" i="8" s="1"/>
  <c r="U124" i="3"/>
  <c r="AJ124" i="3" s="1"/>
  <c r="U111" i="3"/>
  <c r="AJ111" i="3" s="1"/>
  <c r="D40" i="8"/>
  <c r="L40" i="8" s="1"/>
  <c r="FD11" i="11"/>
  <c r="P12" i="5"/>
  <c r="P13" i="5" s="1"/>
  <c r="Q68" i="9"/>
  <c r="CA46" i="11"/>
  <c r="CA56" i="11"/>
  <c r="D48" i="8"/>
  <c r="L55" i="8" s="1"/>
  <c r="U119" i="3"/>
  <c r="AJ119" i="3" s="1"/>
  <c r="U146" i="3"/>
  <c r="AJ146" i="3" s="1"/>
  <c r="D75" i="8"/>
  <c r="T131" i="8"/>
  <c r="AJ131" i="8"/>
  <c r="U138" i="3"/>
  <c r="AJ138" i="3" s="1"/>
  <c r="D67" i="8"/>
  <c r="FH30" i="11"/>
  <c r="DB33" i="11"/>
  <c r="DB58" i="11" s="1"/>
  <c r="BW46" i="11"/>
  <c r="BW56" i="11"/>
  <c r="R102" i="8"/>
  <c r="AJ101" i="8"/>
  <c r="T101" i="8"/>
  <c r="AH102" i="8"/>
  <c r="CG46" i="11"/>
  <c r="CG56" i="11"/>
  <c r="CZ33" i="11"/>
  <c r="CZ58" i="11" s="1"/>
  <c r="DA45" i="11"/>
  <c r="DA20" i="11"/>
  <c r="L42" i="8"/>
  <c r="CI181" i="1"/>
  <c r="CK161" i="1"/>
  <c r="CO161" i="1"/>
  <c r="CJ161" i="1"/>
  <c r="CI165" i="1"/>
  <c r="AT49" i="11"/>
  <c r="AT48" i="11"/>
  <c r="AT28" i="11"/>
  <c r="AT31" i="11" s="1"/>
  <c r="AT50" i="11" s="1"/>
  <c r="EW11" i="11"/>
  <c r="J68" i="9"/>
  <c r="I12" i="5"/>
  <c r="J13" i="5" s="1"/>
  <c r="EW26" i="11"/>
  <c r="EW14" i="11"/>
  <c r="J69" i="9"/>
  <c r="I25" i="5"/>
  <c r="J26" i="5" s="1"/>
  <c r="DT56" i="11"/>
  <c r="DT46" i="11"/>
  <c r="DT54" i="11"/>
  <c r="DT13" i="11"/>
  <c r="DV13" i="11"/>
  <c r="DV54" i="11"/>
  <c r="DU51" i="11"/>
  <c r="DU59" i="11"/>
  <c r="AJ21" i="3"/>
  <c r="AL21" i="3" s="1"/>
  <c r="AN28" i="3" s="1"/>
  <c r="W21" i="3"/>
  <c r="Y21" i="3" s="1"/>
  <c r="AJ18" i="3"/>
  <c r="W18" i="3"/>
  <c r="DI122" i="1"/>
  <c r="DH122" i="1"/>
  <c r="CF56" i="11"/>
  <c r="AJ180" i="1"/>
  <c r="CZ166" i="1"/>
  <c r="DA166" i="1"/>
  <c r="AJ183" i="1"/>
  <c r="AI186" i="1"/>
  <c r="AN183" i="1"/>
  <c r="AT34" i="11"/>
  <c r="P78" i="42"/>
  <c r="P79" i="42" s="1"/>
  <c r="P111" i="42"/>
  <c r="Q76" i="42"/>
  <c r="U38" i="4"/>
  <c r="U7" i="4"/>
  <c r="W62" i="10"/>
  <c r="V72" i="9"/>
  <c r="V76" i="9" s="1"/>
  <c r="D57" i="68"/>
  <c r="D139" i="68"/>
  <c r="D98" i="68"/>
  <c r="G63" i="68"/>
  <c r="G104" i="68" s="1"/>
  <c r="G145" i="68"/>
  <c r="CR145" i="1"/>
  <c r="CS145" i="1"/>
  <c r="CZ182" i="1"/>
  <c r="C184" i="1"/>
  <c r="D164" i="1"/>
  <c r="BL47" i="11"/>
  <c r="BL24" i="11"/>
  <c r="BM47" i="11"/>
  <c r="BM24" i="11"/>
  <c r="BM57" i="11"/>
  <c r="N112" i="42"/>
  <c r="CR166" i="1"/>
  <c r="CW166" i="1"/>
  <c r="BA166" i="1"/>
  <c r="AZ166" i="1"/>
  <c r="CU185" i="1"/>
  <c r="G10" i="68"/>
  <c r="G129" i="68"/>
  <c r="G47" i="68"/>
  <c r="G88" i="68"/>
  <c r="AR145" i="1"/>
  <c r="AS145" i="1"/>
  <c r="AW145" i="1"/>
  <c r="P145" i="1"/>
  <c r="Q145" i="1"/>
  <c r="Q144" i="1"/>
  <c r="O174" i="1"/>
  <c r="O164" i="1"/>
  <c r="P144" i="1"/>
  <c r="AM58" i="11"/>
  <c r="AO54" i="11"/>
  <c r="AJ13" i="11"/>
  <c r="AH51" i="11"/>
  <c r="AM59" i="11"/>
  <c r="H163" i="1"/>
  <c r="G183" i="1"/>
  <c r="M163" i="1"/>
  <c r="I163" i="1"/>
  <c r="G166" i="1"/>
  <c r="DK58" i="11"/>
  <c r="T145" i="1"/>
  <c r="U145" i="1"/>
  <c r="S181" i="1"/>
  <c r="T161" i="1"/>
  <c r="Y161" i="1"/>
  <c r="S165" i="1"/>
  <c r="FA45" i="11"/>
  <c r="FA20" i="11"/>
  <c r="W165" i="1"/>
  <c r="W180" i="1"/>
  <c r="Y160" i="1"/>
  <c r="X160" i="1"/>
  <c r="AC160" i="1"/>
  <c r="AF181" i="1"/>
  <c r="AJ181" i="1"/>
  <c r="AM34" i="11"/>
  <c r="W186" i="1"/>
  <c r="X183" i="1"/>
  <c r="EX46" i="11"/>
  <c r="K72" i="9"/>
  <c r="K76" i="9" s="1"/>
  <c r="L62" i="10"/>
  <c r="BK57" i="11"/>
  <c r="BK47" i="11"/>
  <c r="BK24" i="11"/>
  <c r="DP5" i="11"/>
  <c r="DO72" i="11"/>
  <c r="DO71" i="11"/>
  <c r="DQ45" i="11"/>
  <c r="DQ20" i="11"/>
  <c r="CB165" i="1"/>
  <c r="CC165" i="1"/>
  <c r="CN163" i="1"/>
  <c r="CO163" i="1"/>
  <c r="CM173" i="1"/>
  <c r="CM166" i="1"/>
  <c r="CS166" i="1" s="1"/>
  <c r="CM183" i="1"/>
  <c r="CR183" i="1" s="1"/>
  <c r="BB48" i="11"/>
  <c r="BB28" i="11"/>
  <c r="BB31" i="11" s="1"/>
  <c r="BB50" i="11" s="1"/>
  <c r="BB49" i="11"/>
  <c r="AF165" i="1"/>
  <c r="AG165" i="1"/>
  <c r="W73" i="9"/>
  <c r="W77" i="9" s="1"/>
  <c r="W74" i="9"/>
  <c r="W78" i="9" s="1"/>
  <c r="FL16" i="11"/>
  <c r="FL22" i="11"/>
  <c r="I15" i="68"/>
  <c r="W48" i="5"/>
  <c r="W33" i="5"/>
  <c r="I6" i="68"/>
  <c r="W29" i="5"/>
  <c r="FL9" i="11"/>
  <c r="W11" i="4"/>
  <c r="W31" i="5"/>
  <c r="X67" i="9"/>
  <c r="W8" i="5"/>
  <c r="W44" i="5"/>
  <c r="FA67" i="11"/>
  <c r="M39" i="4"/>
  <c r="FA68" i="11" s="1"/>
  <c r="AS28" i="11"/>
  <c r="AS31" i="11" s="1"/>
  <c r="AS50" i="11" s="1"/>
  <c r="AS48" i="11"/>
  <c r="AS49" i="11"/>
  <c r="FG13" i="11"/>
  <c r="FG45" i="11" s="1"/>
  <c r="Q44" i="5"/>
  <c r="C86" i="68"/>
  <c r="C45" i="68"/>
  <c r="C127" i="68"/>
  <c r="BT180" i="1"/>
  <c r="BX180" i="1"/>
  <c r="L46" i="8"/>
  <c r="BL144" i="1"/>
  <c r="BM144" i="1"/>
  <c r="BK164" i="1"/>
  <c r="BK174" i="1"/>
  <c r="AO56" i="11"/>
  <c r="AC144" i="1"/>
  <c r="AA164" i="1"/>
  <c r="AA174" i="1"/>
  <c r="AB174" i="1" s="1"/>
  <c r="AB144" i="1"/>
  <c r="AB146" i="1"/>
  <c r="AC146" i="1"/>
  <c r="AG146" i="1"/>
  <c r="AN146" i="1"/>
  <c r="AO146" i="1"/>
  <c r="W72" i="9"/>
  <c r="W76" i="9" s="1"/>
  <c r="X62" i="10"/>
  <c r="H35" i="68"/>
  <c r="H127" i="68"/>
  <c r="H86" i="68"/>
  <c r="H45" i="68"/>
  <c r="H10" i="68"/>
  <c r="G136" i="68"/>
  <c r="G95" i="68"/>
  <c r="G54" i="68"/>
  <c r="AI174" i="1"/>
  <c r="AJ174" i="1" s="1"/>
  <c r="AK144" i="1"/>
  <c r="AJ144" i="1"/>
  <c r="CS146" i="1"/>
  <c r="CH51" i="11"/>
  <c r="CH59" i="11"/>
  <c r="R55" i="8"/>
  <c r="T54" i="8"/>
  <c r="AJ54" i="8"/>
  <c r="AH55" i="8"/>
  <c r="R123" i="8"/>
  <c r="T122" i="8"/>
  <c r="AJ122" i="8"/>
  <c r="AH123" i="8"/>
  <c r="CK59" i="11"/>
  <c r="CK51" i="11"/>
  <c r="C18" i="68"/>
  <c r="FE26" i="11"/>
  <c r="U130" i="3"/>
  <c r="AJ130" i="3" s="1"/>
  <c r="D59" i="8"/>
  <c r="CV51" i="11"/>
  <c r="CV59" i="11"/>
  <c r="L98" i="8"/>
  <c r="DI51" i="11"/>
  <c r="DI59" i="11"/>
  <c r="U68" i="9"/>
  <c r="T12" i="5"/>
  <c r="T13" i="5" s="1"/>
  <c r="FH11" i="11"/>
  <c r="F8" i="68"/>
  <c r="D89" i="8"/>
  <c r="U160" i="3"/>
  <c r="AJ160" i="3" s="1"/>
  <c r="Q9" i="5"/>
  <c r="C36" i="68"/>
  <c r="H105" i="3"/>
  <c r="D87" i="8"/>
  <c r="U158" i="3"/>
  <c r="AJ158" i="3" s="1"/>
  <c r="BX46" i="11"/>
  <c r="BX56" i="11"/>
  <c r="H116" i="3"/>
  <c r="CJ13" i="11"/>
  <c r="CJ54" i="11"/>
  <c r="AJ46" i="8"/>
  <c r="R47" i="8"/>
  <c r="T46" i="8"/>
  <c r="AH47" i="8"/>
  <c r="BU54" i="11"/>
  <c r="BU13" i="11"/>
  <c r="FH14" i="11"/>
  <c r="T25" i="5"/>
  <c r="F11" i="68"/>
  <c r="G37" i="68" s="1"/>
  <c r="U69" i="9"/>
  <c r="T74" i="8"/>
  <c r="R75" i="8"/>
  <c r="AJ74" i="8"/>
  <c r="AH75" i="8"/>
  <c r="P11" i="4"/>
  <c r="Q67" i="9"/>
  <c r="FD9" i="11"/>
  <c r="FD54" i="11" s="1"/>
  <c r="P8" i="5"/>
  <c r="P44" i="5"/>
  <c r="T95" i="8"/>
  <c r="R96" i="8"/>
  <c r="AH96" i="8"/>
  <c r="AJ95" i="8"/>
  <c r="BV13" i="11"/>
  <c r="BV54" i="11"/>
  <c r="P181" i="3"/>
  <c r="AG181" i="3"/>
  <c r="CY59" i="11"/>
  <c r="CY51" i="11"/>
  <c r="FG51" i="11"/>
  <c r="FG59" i="11"/>
  <c r="D41" i="8"/>
  <c r="U112" i="3"/>
  <c r="AJ112" i="3" s="1"/>
  <c r="U155" i="3"/>
  <c r="D84" i="8"/>
  <c r="L84" i="8" s="1"/>
  <c r="H133" i="3"/>
  <c r="D97" i="8"/>
  <c r="D168" i="3"/>
  <c r="H168" i="3" s="1"/>
  <c r="U168" i="3"/>
  <c r="AJ168" i="3" s="1"/>
  <c r="D70" i="8"/>
  <c r="U141" i="3"/>
  <c r="D68" i="8"/>
  <c r="U139" i="3"/>
  <c r="AJ139" i="3" s="1"/>
  <c r="U165" i="3"/>
  <c r="AJ165" i="3" s="1"/>
  <c r="D94" i="8"/>
  <c r="BR46" i="11"/>
  <c r="BR56" i="11"/>
  <c r="DJ51" i="11"/>
  <c r="DJ59" i="11"/>
  <c r="BS54" i="11"/>
  <c r="BS13" i="11"/>
  <c r="BZ58" i="11"/>
  <c r="BU58" i="11"/>
  <c r="AJ47" i="8"/>
  <c r="AH48" i="8"/>
  <c r="R48" i="8"/>
  <c r="T47" i="8"/>
  <c r="H124" i="3"/>
  <c r="CW58" i="11"/>
  <c r="R115" i="8"/>
  <c r="AH115" i="8"/>
  <c r="H161" i="3"/>
  <c r="CT51" i="11"/>
  <c r="CT59" i="11"/>
  <c r="CK144" i="1"/>
  <c r="CI164" i="1"/>
  <c r="CI174" i="1"/>
  <c r="CJ144" i="1"/>
  <c r="CO144" i="1"/>
  <c r="CJ145" i="1"/>
  <c r="CK145" i="1"/>
  <c r="CO145" i="1"/>
  <c r="AQ57" i="11"/>
  <c r="AQ24" i="11"/>
  <c r="AQ47" i="11"/>
  <c r="I44" i="5"/>
  <c r="I11" i="4"/>
  <c r="EW9" i="11"/>
  <c r="EW51" i="11" s="1"/>
  <c r="J67" i="9"/>
  <c r="H24" i="5"/>
  <c r="H35" i="5"/>
  <c r="EV17" i="11" s="1"/>
  <c r="H7" i="5"/>
  <c r="I8" i="5" s="1"/>
  <c r="G5" i="5"/>
  <c r="H50" i="5"/>
  <c r="EV23" i="11" s="1"/>
  <c r="H37" i="5"/>
  <c r="H40" i="5"/>
  <c r="EV18" i="11" s="1"/>
  <c r="H47" i="5"/>
  <c r="H56" i="5"/>
  <c r="H62" i="5"/>
  <c r="EV30" i="11" s="1"/>
  <c r="H5" i="4"/>
  <c r="H41" i="4" s="1"/>
  <c r="H9" i="5" s="1"/>
  <c r="H11" i="5"/>
  <c r="H42" i="5"/>
  <c r="EV19" i="11" s="1"/>
  <c r="DV59" i="11"/>
  <c r="DV51" i="11"/>
  <c r="DV56" i="11"/>
  <c r="DV46" i="11"/>
  <c r="W19" i="3"/>
  <c r="AJ19" i="3"/>
  <c r="AL19" i="3" s="1"/>
  <c r="AN26" i="3" s="1"/>
  <c r="AJ20" i="3"/>
  <c r="AL20" i="3" s="1"/>
  <c r="AN27" i="3" s="1"/>
  <c r="W20" i="3"/>
  <c r="Y20" i="3" s="1"/>
  <c r="FJ56" i="11"/>
  <c r="FJ46" i="11"/>
  <c r="CJ146" i="1"/>
  <c r="CK146" i="1"/>
  <c r="DK56" i="11"/>
  <c r="CL54" i="11"/>
  <c r="AW48" i="11"/>
  <c r="AW28" i="11"/>
  <c r="AW31" i="11" s="1"/>
  <c r="AW50" i="11" s="1"/>
  <c r="AW49" i="11"/>
  <c r="G86" i="68"/>
  <c r="G127" i="68"/>
  <c r="G45" i="68"/>
  <c r="U169" i="3"/>
  <c r="DF20" i="11"/>
  <c r="CR160" i="1"/>
  <c r="CQ165" i="1"/>
  <c r="CS160" i="1"/>
  <c r="CQ180" i="1"/>
  <c r="CR170" i="1"/>
  <c r="CQ175" i="1"/>
  <c r="CR175" i="1" s="1"/>
  <c r="DN33" i="11"/>
  <c r="DN58" i="11" s="1"/>
  <c r="BP165" i="1"/>
  <c r="BQ165" i="1"/>
  <c r="AI176" i="1"/>
  <c r="N28" i="3"/>
  <c r="P28" i="3" s="1"/>
  <c r="W28" i="3"/>
  <c r="L29" i="3"/>
  <c r="W29" i="3" s="1"/>
  <c r="Y29" i="3" s="1"/>
  <c r="E112" i="42"/>
  <c r="F111" i="42"/>
  <c r="CZ165" i="1"/>
  <c r="DA165" i="1"/>
  <c r="CY185" i="1"/>
  <c r="CZ181" i="1"/>
  <c r="DY34" i="11"/>
  <c r="S15" i="42"/>
  <c r="S136" i="42"/>
  <c r="S35" i="42"/>
  <c r="S64" i="42"/>
  <c r="T3" i="42"/>
  <c r="S100" i="42"/>
  <c r="S22" i="42"/>
  <c r="K64" i="5"/>
  <c r="K67" i="5"/>
  <c r="K60" i="5"/>
  <c r="M8" i="10"/>
  <c r="M18" i="10" s="1"/>
  <c r="J78" i="42"/>
  <c r="J79" i="42" s="1"/>
  <c r="D79" i="42"/>
  <c r="H78" i="42"/>
  <c r="DY58" i="11"/>
  <c r="Z124" i="8"/>
  <c r="Z117" i="8"/>
  <c r="Y29" i="4"/>
  <c r="E618" i="35"/>
  <c r="E613" i="35"/>
  <c r="H135" i="1"/>
  <c r="I125" i="1"/>
  <c r="H125" i="1"/>
  <c r="M125" i="1"/>
  <c r="G115" i="42"/>
  <c r="E17" i="4"/>
  <c r="E16" i="4"/>
  <c r="K83" i="42"/>
  <c r="K84" i="42" s="1"/>
  <c r="K85" i="42" s="1"/>
  <c r="C115" i="42"/>
  <c r="AP183" i="3"/>
  <c r="U182" i="3"/>
  <c r="AP189" i="3"/>
  <c r="M112" i="42"/>
  <c r="N111" i="42"/>
  <c r="AJ5" i="11"/>
  <c r="CV164" i="1"/>
  <c r="CU184" i="1"/>
  <c r="CV184" i="1" s="1"/>
  <c r="CW164" i="1"/>
  <c r="N80" i="42"/>
  <c r="N81" i="42" s="1"/>
  <c r="N113" i="42"/>
  <c r="O112" i="42"/>
  <c r="E78" i="42"/>
  <c r="Y188" i="3"/>
  <c r="T73" i="42"/>
  <c r="S108" i="42"/>
  <c r="EW59" i="11"/>
  <c r="CZ174" i="1"/>
  <c r="AJ175" i="3"/>
  <c r="AL175" i="3" s="1"/>
  <c r="W175" i="3"/>
  <c r="M80" i="42"/>
  <c r="H134" i="1"/>
  <c r="H124" i="1"/>
  <c r="M124" i="1"/>
  <c r="I124" i="1"/>
  <c r="BI28" i="11"/>
  <c r="BI31" i="11" s="1"/>
  <c r="BI50" i="11" s="1"/>
  <c r="BI48" i="11"/>
  <c r="BI49" i="11"/>
  <c r="X102" i="42"/>
  <c r="Y67" i="42"/>
  <c r="Y101" i="42"/>
  <c r="B33" i="3"/>
  <c r="J32" i="3"/>
  <c r="FR38" i="11"/>
  <c r="H112" i="42"/>
  <c r="I111" i="42"/>
  <c r="G83" i="42"/>
  <c r="I81" i="42"/>
  <c r="D371" i="35"/>
  <c r="E370" i="35"/>
  <c r="AA39" i="3"/>
  <c r="T106" i="42"/>
  <c r="S107" i="42"/>
  <c r="T72" i="42"/>
  <c r="FL6" i="11"/>
  <c r="FJ62" i="11"/>
  <c r="FJ55" i="11"/>
  <c r="FJ38" i="11"/>
  <c r="FJ37" i="11"/>
  <c r="FJ42" i="11"/>
  <c r="L115" i="42"/>
  <c r="K189" i="3"/>
  <c r="K190" i="3"/>
  <c r="L190" i="3"/>
  <c r="N190" i="3" s="1"/>
  <c r="K197" i="3"/>
  <c r="L193" i="3"/>
  <c r="K193" i="3"/>
  <c r="L197" i="3"/>
  <c r="V118" i="8"/>
  <c r="ER66" i="11"/>
  <c r="D36" i="4"/>
  <c r="DG199" i="1"/>
  <c r="J112" i="42"/>
  <c r="K111" i="42"/>
  <c r="D80" i="42"/>
  <c r="D115" i="42" s="1"/>
  <c r="CZ175" i="1"/>
  <c r="X105" i="42"/>
  <c r="Y70" i="42"/>
  <c r="Y104" i="42"/>
  <c r="N189" i="3"/>
  <c r="P189" i="3" s="1"/>
  <c r="N196" i="3"/>
  <c r="P196" i="3" s="1"/>
  <c r="EX38" i="11"/>
  <c r="EX62" i="11"/>
  <c r="EX55" i="11"/>
  <c r="EY6" i="11"/>
  <c r="EX37" i="11"/>
  <c r="EX42" i="11"/>
  <c r="FI59" i="11"/>
  <c r="FI51" i="11"/>
  <c r="H141" i="1"/>
  <c r="G161" i="1"/>
  <c r="I141" i="1"/>
  <c r="G171" i="1"/>
  <c r="M141" i="1"/>
  <c r="G145" i="1"/>
  <c r="G144" i="1"/>
  <c r="DA164" i="1"/>
  <c r="CY184" i="1"/>
  <c r="CZ164" i="1"/>
  <c r="T74" i="42"/>
  <c r="FQ63" i="11"/>
  <c r="FQ71" i="11" s="1"/>
  <c r="AC14" i="4"/>
  <c r="C42" i="3"/>
  <c r="ES59" i="11"/>
  <c r="ER59" i="11"/>
  <c r="F82" i="42"/>
  <c r="E64" i="42"/>
  <c r="E136" i="42"/>
  <c r="E22" i="42"/>
  <c r="E35" i="42"/>
  <c r="D3" i="42"/>
  <c r="E100" i="42"/>
  <c r="E15" i="42"/>
  <c r="L89" i="8" l="1"/>
  <c r="BX176" i="1"/>
  <c r="DH126" i="1"/>
  <c r="AR58" i="11"/>
  <c r="BG58" i="11"/>
  <c r="AE33" i="3"/>
  <c r="AG33" i="3" s="1"/>
  <c r="AL33" i="3"/>
  <c r="AN33" i="3" s="1"/>
  <c r="O113" i="42"/>
  <c r="AJ202" i="3"/>
  <c r="AL202" i="3" s="1"/>
  <c r="AN202" i="3" s="1"/>
  <c r="J209" i="3"/>
  <c r="E320" i="35"/>
  <c r="D321" i="35"/>
  <c r="AA34" i="3"/>
  <c r="AC34" i="3" s="1"/>
  <c r="U209" i="3"/>
  <c r="AL207" i="3"/>
  <c r="AN207" i="3" s="1"/>
  <c r="AL32" i="3"/>
  <c r="AN32" i="3" s="1"/>
  <c r="AE32" i="3"/>
  <c r="AG32" i="3" s="1"/>
  <c r="EF38" i="11"/>
  <c r="N207" i="3"/>
  <c r="P207" i="3" s="1"/>
  <c r="W207" i="3"/>
  <c r="Y207" i="3" s="1"/>
  <c r="A126" i="42"/>
  <c r="B126" i="42"/>
  <c r="AA209" i="3"/>
  <c r="E642" i="35"/>
  <c r="O80" i="42"/>
  <c r="D606" i="35"/>
  <c r="E606" i="35" s="1"/>
  <c r="E605" i="35"/>
  <c r="V137" i="8"/>
  <c r="X137" i="8" s="1"/>
  <c r="Z137" i="8" s="1"/>
  <c r="K208" i="3"/>
  <c r="L209" i="3"/>
  <c r="N209" i="3" s="1"/>
  <c r="P209" i="3" s="1"/>
  <c r="AB137" i="8"/>
  <c r="AD137" i="8" s="1"/>
  <c r="AF137" i="8" s="1"/>
  <c r="P112" i="42"/>
  <c r="L208" i="3"/>
  <c r="AL208" i="3"/>
  <c r="AN208" i="3" s="1"/>
  <c r="DI126" i="1"/>
  <c r="AJ176" i="1"/>
  <c r="AI58" i="11"/>
  <c r="AK166" i="1"/>
  <c r="CP58" i="11"/>
  <c r="AN58" i="11"/>
  <c r="BE165" i="1"/>
  <c r="P174" i="1"/>
  <c r="DM132" i="1"/>
  <c r="AV58" i="11"/>
  <c r="AQ58" i="11"/>
  <c r="L81" i="8"/>
  <c r="BQ58" i="11"/>
  <c r="AZ175" i="1"/>
  <c r="DD182" i="1"/>
  <c r="DA58" i="11"/>
  <c r="BX181" i="1"/>
  <c r="CR58" i="11"/>
  <c r="BB34" i="11"/>
  <c r="AR181" i="1"/>
  <c r="BL174" i="1"/>
  <c r="Y166" i="1"/>
  <c r="CB185" i="1"/>
  <c r="DA34" i="11"/>
  <c r="CJ182" i="1"/>
  <c r="CF182" i="1"/>
  <c r="BT181" i="1"/>
  <c r="CK34" i="11"/>
  <c r="BL180" i="1"/>
  <c r="BU34" i="11"/>
  <c r="BG185" i="1"/>
  <c r="BX166" i="1"/>
  <c r="CC166" i="1"/>
  <c r="BY166" i="1"/>
  <c r="CC164" i="1"/>
  <c r="CA184" i="1"/>
  <c r="CB184" i="1" s="1"/>
  <c r="CB164" i="1"/>
  <c r="BH175" i="1"/>
  <c r="BL175" i="1"/>
  <c r="AY185" i="1"/>
  <c r="BD185" i="1" s="1"/>
  <c r="AZ180" i="1"/>
  <c r="BK34" i="11"/>
  <c r="BX58" i="11"/>
  <c r="BD180" i="1"/>
  <c r="CB176" i="1"/>
  <c r="T175" i="1"/>
  <c r="T180" i="1"/>
  <c r="BM34" i="11"/>
  <c r="AZ182" i="1"/>
  <c r="BD182" i="1"/>
  <c r="BI165" i="1"/>
  <c r="BH165" i="1"/>
  <c r="BM165" i="1"/>
  <c r="CR34" i="11"/>
  <c r="BW186" i="1"/>
  <c r="CB183" i="1"/>
  <c r="BX183" i="1"/>
  <c r="AU184" i="1"/>
  <c r="AZ184" i="1" s="1"/>
  <c r="BA164" i="1"/>
  <c r="AV164" i="1"/>
  <c r="BT183" i="1"/>
  <c r="BS186" i="1"/>
  <c r="CM34" i="11"/>
  <c r="BH164" i="1"/>
  <c r="BG184" i="1"/>
  <c r="BH183" i="1"/>
  <c r="BS34" i="11"/>
  <c r="BC186" i="1"/>
  <c r="BH186" i="1" s="1"/>
  <c r="AB182" i="1"/>
  <c r="AI34" i="11"/>
  <c r="T182" i="1"/>
  <c r="X182" i="1"/>
  <c r="S186" i="1"/>
  <c r="X186" i="1" s="1"/>
  <c r="BD166" i="1"/>
  <c r="BI166" i="1"/>
  <c r="BE166" i="1"/>
  <c r="BD174" i="1"/>
  <c r="BH174" i="1"/>
  <c r="BD181" i="1"/>
  <c r="BQ34" i="11"/>
  <c r="BH181" i="1"/>
  <c r="AV165" i="1"/>
  <c r="BA165" i="1"/>
  <c r="BC184" i="1"/>
  <c r="BI164" i="1"/>
  <c r="BE164" i="1"/>
  <c r="BD164" i="1"/>
  <c r="AQ34" i="11"/>
  <c r="AI185" i="1"/>
  <c r="AN185" i="1" s="1"/>
  <c r="BG34" i="11"/>
  <c r="AV181" i="1"/>
  <c r="AZ181" i="1"/>
  <c r="AU185" i="1"/>
  <c r="BH176" i="1"/>
  <c r="BD176" i="1"/>
  <c r="AN34" i="11"/>
  <c r="AF182" i="1"/>
  <c r="AE186" i="1"/>
  <c r="AJ186" i="1" s="1"/>
  <c r="AN175" i="1"/>
  <c r="EV16" i="11"/>
  <c r="DE166" i="1"/>
  <c r="L67" i="8"/>
  <c r="S49" i="4"/>
  <c r="S50" i="4" s="1"/>
  <c r="S45" i="5"/>
  <c r="Y202" i="3"/>
  <c r="CV175" i="1"/>
  <c r="L88" i="8"/>
  <c r="L70" i="5"/>
  <c r="EZ34" i="11" s="1"/>
  <c r="DE165" i="1"/>
  <c r="AD51" i="11"/>
  <c r="L69" i="8"/>
  <c r="M70" i="9"/>
  <c r="L61" i="8"/>
  <c r="DI45" i="11"/>
  <c r="L73" i="8"/>
  <c r="L87" i="8"/>
  <c r="AJ169" i="3"/>
  <c r="L68" i="8"/>
  <c r="FH56" i="11"/>
  <c r="DE58" i="11"/>
  <c r="O59" i="5"/>
  <c r="Q8" i="10" s="1"/>
  <c r="Q18" i="10" s="1"/>
  <c r="FS65" i="11"/>
  <c r="FS72" i="11"/>
  <c r="Y28" i="3"/>
  <c r="DD47" i="11"/>
  <c r="O57" i="5"/>
  <c r="S26" i="5"/>
  <c r="DS20" i="11"/>
  <c r="DS47" i="11" s="1"/>
  <c r="T26" i="5"/>
  <c r="BP58" i="11"/>
  <c r="R13" i="5"/>
  <c r="AJ106" i="3"/>
  <c r="L90" i="8"/>
  <c r="AJ113" i="3"/>
  <c r="L56" i="8"/>
  <c r="L63" i="8"/>
  <c r="FD46" i="11"/>
  <c r="FE45" i="11"/>
  <c r="FE20" i="11"/>
  <c r="L116" i="42"/>
  <c r="EV15" i="11"/>
  <c r="H38" i="5"/>
  <c r="H168" i="68"/>
  <c r="DQ5" i="11"/>
  <c r="DP71" i="11"/>
  <c r="DP72" i="11"/>
  <c r="X181" i="1"/>
  <c r="T181" i="1"/>
  <c r="S185" i="1"/>
  <c r="O184" i="1"/>
  <c r="P164" i="1"/>
  <c r="Q164" i="1"/>
  <c r="R76" i="42"/>
  <c r="Q111" i="42"/>
  <c r="EX56" i="11"/>
  <c r="EW46" i="11"/>
  <c r="Q73" i="9"/>
  <c r="Q77" i="9" s="1"/>
  <c r="Q74" i="9"/>
  <c r="Q78" i="9" s="1"/>
  <c r="BP182" i="1"/>
  <c r="BT182" i="1"/>
  <c r="CG34" i="11"/>
  <c r="BO186" i="1"/>
  <c r="H76" i="68"/>
  <c r="H69" i="68"/>
  <c r="CS14" i="1"/>
  <c r="BH58" i="11"/>
  <c r="AS58" i="11"/>
  <c r="E131" i="68"/>
  <c r="I139" i="68"/>
  <c r="I98" i="68"/>
  <c r="I57" i="68"/>
  <c r="EX45" i="11"/>
  <c r="EX20" i="11"/>
  <c r="EY57" i="11" s="1"/>
  <c r="CQ57" i="11"/>
  <c r="CQ47" i="11"/>
  <c r="CQ24" i="11"/>
  <c r="CP47" i="11"/>
  <c r="CP24" i="11"/>
  <c r="CP57" i="11"/>
  <c r="DX72" i="11"/>
  <c r="DY5" i="11"/>
  <c r="DX71" i="11"/>
  <c r="DX63" i="11"/>
  <c r="DW63" i="11"/>
  <c r="CS165" i="1"/>
  <c r="CR165" i="1"/>
  <c r="CW165" i="1"/>
  <c r="G90" i="68"/>
  <c r="I68" i="9"/>
  <c r="H12" i="5"/>
  <c r="I13" i="5" s="1"/>
  <c r="EV11" i="11"/>
  <c r="EV22" i="11"/>
  <c r="G40" i="5"/>
  <c r="EU18" i="11" s="1"/>
  <c r="G5" i="4"/>
  <c r="G41" i="4" s="1"/>
  <c r="G9" i="5" s="1"/>
  <c r="G62" i="5"/>
  <c r="F5" i="5"/>
  <c r="G42" i="5"/>
  <c r="EU19" i="11" s="1"/>
  <c r="G56" i="5"/>
  <c r="G73" i="5"/>
  <c r="EU36" i="11" s="1"/>
  <c r="G24" i="5"/>
  <c r="G37" i="5"/>
  <c r="G7" i="5"/>
  <c r="H8" i="5" s="1"/>
  <c r="G11" i="5"/>
  <c r="G35" i="5"/>
  <c r="EU17" i="11" s="1"/>
  <c r="G50" i="5"/>
  <c r="EU23" i="11" s="1"/>
  <c r="G47" i="5"/>
  <c r="K62" i="10"/>
  <c r="J72" i="9"/>
  <c r="J76" i="9" s="1"/>
  <c r="BS45" i="11"/>
  <c r="BS20" i="11"/>
  <c r="L70" i="8"/>
  <c r="L104" i="8"/>
  <c r="L97" i="8"/>
  <c r="BU45" i="11"/>
  <c r="BU20" i="11"/>
  <c r="AJ162" i="3"/>
  <c r="U74" i="9"/>
  <c r="U78" i="9" s="1"/>
  <c r="U73" i="9"/>
  <c r="U77" i="9" s="1"/>
  <c r="H74" i="68"/>
  <c r="Y62" i="10"/>
  <c r="X72" i="9"/>
  <c r="X76" i="9" s="1"/>
  <c r="DQ47" i="11"/>
  <c r="DQ57" i="11"/>
  <c r="DQ24" i="11"/>
  <c r="FA47" i="11"/>
  <c r="FA57" i="11"/>
  <c r="FA24" i="11"/>
  <c r="H166" i="1"/>
  <c r="I166" i="1"/>
  <c r="M166" i="1"/>
  <c r="DI57" i="11"/>
  <c r="DI47" i="11"/>
  <c r="DI24" i="11"/>
  <c r="P114" i="42"/>
  <c r="Q79" i="42"/>
  <c r="P113" i="42"/>
  <c r="Q78" i="42"/>
  <c r="P80" i="42"/>
  <c r="AL18" i="3"/>
  <c r="AJ22" i="3"/>
  <c r="AL22" i="3" s="1"/>
  <c r="L82" i="8"/>
  <c r="L75" i="8"/>
  <c r="FD13" i="11"/>
  <c r="C54" i="68"/>
  <c r="C136" i="68"/>
  <c r="C95" i="68"/>
  <c r="T38" i="4"/>
  <c r="U39" i="4" s="1"/>
  <c r="T12" i="4"/>
  <c r="T7" i="4"/>
  <c r="FH68" i="11" s="1"/>
  <c r="D54" i="68"/>
  <c r="D95" i="68"/>
  <c r="D136" i="68"/>
  <c r="AJ148" i="3"/>
  <c r="AS34" i="11"/>
  <c r="AJ182" i="1"/>
  <c r="L91" i="8"/>
  <c r="O186" i="1"/>
  <c r="P183" i="1"/>
  <c r="T183" i="1"/>
  <c r="I169" i="68"/>
  <c r="I116" i="68"/>
  <c r="I75" i="68"/>
  <c r="CF164" i="1"/>
  <c r="CE184" i="1"/>
  <c r="CF184" i="1" s="1"/>
  <c r="CG164" i="1"/>
  <c r="S75" i="42"/>
  <c r="R110" i="42"/>
  <c r="BP176" i="1"/>
  <c r="BT176" i="1"/>
  <c r="H173" i="68"/>
  <c r="H157" i="68"/>
  <c r="F139" i="68"/>
  <c r="F57" i="68"/>
  <c r="F98" i="68"/>
  <c r="D51" i="68"/>
  <c r="D133" i="68"/>
  <c r="D92" i="68"/>
  <c r="L59" i="8"/>
  <c r="L52" i="8"/>
  <c r="D127" i="68"/>
  <c r="D35" i="68"/>
  <c r="D86" i="68"/>
  <c r="E115" i="68" s="1"/>
  <c r="D10" i="68"/>
  <c r="D45" i="68"/>
  <c r="E74" i="68" s="1"/>
  <c r="Q13" i="5"/>
  <c r="R26" i="5"/>
  <c r="FF46" i="11"/>
  <c r="FF56" i="11"/>
  <c r="L60" i="8"/>
  <c r="AR48" i="11"/>
  <c r="AR28" i="11"/>
  <c r="AR31" i="11" s="1"/>
  <c r="AR50" i="11" s="1"/>
  <c r="AR49" i="11"/>
  <c r="L180" i="1"/>
  <c r="P180" i="1"/>
  <c r="K185" i="1"/>
  <c r="E29" i="68"/>
  <c r="E13" i="68"/>
  <c r="E35" i="68"/>
  <c r="DN24" i="11"/>
  <c r="DN47" i="11"/>
  <c r="DN57" i="11"/>
  <c r="G69" i="68"/>
  <c r="DI141" i="1"/>
  <c r="DH141" i="1"/>
  <c r="DG161" i="1"/>
  <c r="DM161" i="1" s="1"/>
  <c r="CF165" i="1"/>
  <c r="CG165" i="1"/>
  <c r="AH58" i="11"/>
  <c r="AG54" i="11"/>
  <c r="AB13" i="11"/>
  <c r="W23" i="11"/>
  <c r="X30" i="11"/>
  <c r="Y18" i="11"/>
  <c r="R6" i="11"/>
  <c r="Z37" i="11"/>
  <c r="Z19" i="11"/>
  <c r="X37" i="11"/>
  <c r="W15" i="11"/>
  <c r="Y19" i="11"/>
  <c r="W22" i="11"/>
  <c r="Z55" i="11"/>
  <c r="W5" i="11"/>
  <c r="X5" i="11" s="1"/>
  <c r="Y5" i="11" s="1"/>
  <c r="Y17" i="11"/>
  <c r="W37" i="11"/>
  <c r="W30" i="11"/>
  <c r="X33" i="11"/>
  <c r="AC58" i="11" s="1"/>
  <c r="Y34" i="11"/>
  <c r="Z9" i="11"/>
  <c r="W26" i="11"/>
  <c r="X19" i="11"/>
  <c r="W9" i="11"/>
  <c r="AB54" i="11" s="1"/>
  <c r="Y26" i="11"/>
  <c r="Z11" i="11"/>
  <c r="Z22" i="11"/>
  <c r="W42" i="11"/>
  <c r="Z15" i="11"/>
  <c r="W36" i="11"/>
  <c r="Y14" i="11"/>
  <c r="Y15" i="11"/>
  <c r="Z36" i="11"/>
  <c r="Y30" i="11"/>
  <c r="Z14" i="11"/>
  <c r="Y23" i="11"/>
  <c r="Y22" i="11"/>
  <c r="Y9" i="11"/>
  <c r="X18" i="11"/>
  <c r="Z42" i="11"/>
  <c r="AE59" i="11" s="1"/>
  <c r="Z30" i="11"/>
  <c r="W55" i="11"/>
  <c r="X14" i="11"/>
  <c r="Y33" i="11"/>
  <c r="Z33" i="11"/>
  <c r="Z34" i="11"/>
  <c r="Y36" i="11"/>
  <c r="W17" i="11"/>
  <c r="X26" i="11"/>
  <c r="X55" i="11"/>
  <c r="Y55" i="11"/>
  <c r="X11" i="11"/>
  <c r="X15" i="11"/>
  <c r="Y37" i="11"/>
  <c r="Z26" i="11"/>
  <c r="W18" i="11"/>
  <c r="X9" i="11"/>
  <c r="W19" i="11"/>
  <c r="W14" i="11"/>
  <c r="Y11" i="11"/>
  <c r="Z23" i="11"/>
  <c r="Y42" i="11"/>
  <c r="W33" i="11"/>
  <c r="Z17" i="11"/>
  <c r="W11" i="11"/>
  <c r="X36" i="11"/>
  <c r="Z18" i="11"/>
  <c r="X23" i="11"/>
  <c r="X42" i="11"/>
  <c r="AC59" i="11" s="1"/>
  <c r="X17" i="11"/>
  <c r="X22" i="11"/>
  <c r="X34" i="11"/>
  <c r="W34" i="11"/>
  <c r="CU24" i="11"/>
  <c r="CU47" i="11"/>
  <c r="CU57" i="11"/>
  <c r="E57" i="68"/>
  <c r="E139" i="68"/>
  <c r="E98" i="68"/>
  <c r="L66" i="8"/>
  <c r="L80" i="8"/>
  <c r="V54" i="5"/>
  <c r="V59" i="5"/>
  <c r="V57" i="5"/>
  <c r="FJ68" i="11"/>
  <c r="V8" i="4"/>
  <c r="AB176" i="1"/>
  <c r="AF176" i="1"/>
  <c r="FE67" i="11"/>
  <c r="P176" i="1"/>
  <c r="T176" i="1"/>
  <c r="FM11" i="11"/>
  <c r="X12" i="5"/>
  <c r="X13" i="5" s="1"/>
  <c r="Y68" i="9"/>
  <c r="J8" i="68"/>
  <c r="J36" i="68"/>
  <c r="X9" i="5"/>
  <c r="Y5" i="4"/>
  <c r="Y41" i="4" s="1"/>
  <c r="Y40" i="5"/>
  <c r="FN18" i="11" s="1"/>
  <c r="Y56" i="5"/>
  <c r="Y7" i="5"/>
  <c r="Y24" i="5"/>
  <c r="Y34" i="5" s="1"/>
  <c r="Z5" i="5"/>
  <c r="Y73" i="5"/>
  <c r="Y37" i="5"/>
  <c r="Y11" i="5"/>
  <c r="Y47" i="5"/>
  <c r="Y62" i="5"/>
  <c r="Y50" i="5"/>
  <c r="FN23" i="11" s="1"/>
  <c r="Y35" i="5"/>
  <c r="FN17" i="11" s="1"/>
  <c r="X38" i="5"/>
  <c r="J12" i="68"/>
  <c r="FM15" i="11"/>
  <c r="X39" i="5"/>
  <c r="L39" i="8"/>
  <c r="BC58" i="11"/>
  <c r="BR58" i="11"/>
  <c r="L176" i="1"/>
  <c r="H176" i="1"/>
  <c r="FE56" i="11"/>
  <c r="H90" i="68"/>
  <c r="CR57" i="11"/>
  <c r="CM57" i="11"/>
  <c r="CM47" i="11"/>
  <c r="CM24" i="11"/>
  <c r="CF166" i="1"/>
  <c r="CG166" i="1"/>
  <c r="AQ185" i="1"/>
  <c r="AR180" i="1"/>
  <c r="BA34" i="11"/>
  <c r="AV180" i="1"/>
  <c r="CR47" i="11"/>
  <c r="CR24" i="11"/>
  <c r="CI186" i="1"/>
  <c r="DG34" i="11"/>
  <c r="CJ183" i="1"/>
  <c r="AL28" i="11"/>
  <c r="AL31" i="11" s="1"/>
  <c r="AL50" i="11" s="1"/>
  <c r="AL48" i="11"/>
  <c r="AL49" i="11"/>
  <c r="L47" i="8"/>
  <c r="AQ184" i="1"/>
  <c r="AS164" i="1"/>
  <c r="AR164" i="1"/>
  <c r="AW164" i="1"/>
  <c r="DU5" i="11"/>
  <c r="DT71" i="11"/>
  <c r="DT72" i="11"/>
  <c r="EA13" i="11"/>
  <c r="EA54" i="11"/>
  <c r="DX58" i="11"/>
  <c r="DS58" i="11"/>
  <c r="CL24" i="11"/>
  <c r="CL47" i="11"/>
  <c r="DN34" i="11"/>
  <c r="CR180" i="1"/>
  <c r="CQ185" i="1"/>
  <c r="CR185" i="1" s="1"/>
  <c r="G131" i="68"/>
  <c r="Y19" i="3"/>
  <c r="Y26" i="3"/>
  <c r="I38" i="4"/>
  <c r="J39" i="4" s="1"/>
  <c r="EX68" i="11" s="1"/>
  <c r="I7" i="4"/>
  <c r="CI184" i="1"/>
  <c r="CJ164" i="1"/>
  <c r="CK164" i="1"/>
  <c r="CO164" i="1"/>
  <c r="P7" i="4"/>
  <c r="P38" i="4"/>
  <c r="Q39" i="4" s="1"/>
  <c r="FE68" i="11" s="1"/>
  <c r="P12" i="4"/>
  <c r="C98" i="68"/>
  <c r="C57" i="68"/>
  <c r="C139" i="68"/>
  <c r="BK184" i="1"/>
  <c r="BL184" i="1" s="1"/>
  <c r="BL164" i="1"/>
  <c r="BM164" i="1"/>
  <c r="W53" i="5"/>
  <c r="W45" i="5"/>
  <c r="W49" i="4"/>
  <c r="W50" i="4" s="1"/>
  <c r="W7" i="4"/>
  <c r="W38" i="4"/>
  <c r="W12" i="4"/>
  <c r="CN166" i="1"/>
  <c r="CO166" i="1"/>
  <c r="X165" i="1"/>
  <c r="Y165" i="1"/>
  <c r="AC165" i="1"/>
  <c r="CV180" i="1"/>
  <c r="DG142" i="1"/>
  <c r="DM142" i="1" s="1"/>
  <c r="DI132" i="1"/>
  <c r="J73" i="9"/>
  <c r="J77" i="9" s="1"/>
  <c r="J74" i="9"/>
  <c r="J78" i="9" s="1"/>
  <c r="V62" i="10"/>
  <c r="U72" i="9"/>
  <c r="U76" i="9" s="1"/>
  <c r="P166" i="1"/>
  <c r="Q166" i="1"/>
  <c r="U166" i="1"/>
  <c r="Y164" i="1"/>
  <c r="T164" i="1"/>
  <c r="S184" i="1"/>
  <c r="U164" i="1"/>
  <c r="CG45" i="11"/>
  <c r="CG20" i="11"/>
  <c r="CL57" i="11" s="1"/>
  <c r="S73" i="9"/>
  <c r="S77" i="9" s="1"/>
  <c r="S74" i="9"/>
  <c r="S78" i="9" s="1"/>
  <c r="BX20" i="11"/>
  <c r="BX45" i="11"/>
  <c r="AX58" i="11"/>
  <c r="BM58" i="11"/>
  <c r="AB183" i="1"/>
  <c r="AA186" i="1"/>
  <c r="AF183" i="1"/>
  <c r="AJ34" i="11"/>
  <c r="AN47" i="11"/>
  <c r="AN24" i="11"/>
  <c r="AS57" i="11"/>
  <c r="AS166" i="1"/>
  <c r="AR166" i="1"/>
  <c r="AW166" i="1"/>
  <c r="AN164" i="1"/>
  <c r="AM184" i="1"/>
  <c r="AO164" i="1"/>
  <c r="AD46" i="11"/>
  <c r="AE51" i="11"/>
  <c r="AJ59" i="11"/>
  <c r="DG47" i="11"/>
  <c r="DG24" i="11"/>
  <c r="J15" i="68"/>
  <c r="FM22" i="11"/>
  <c r="X48" i="5"/>
  <c r="I30" i="68"/>
  <c r="I50" i="68"/>
  <c r="I37" i="68"/>
  <c r="I91" i="68"/>
  <c r="I132" i="68"/>
  <c r="J12" i="4"/>
  <c r="DP28" i="11"/>
  <c r="DP31" i="11" s="1"/>
  <c r="DP50" i="11" s="1"/>
  <c r="DP48" i="11"/>
  <c r="DP49" i="11"/>
  <c r="AI45" i="11"/>
  <c r="AI20" i="11"/>
  <c r="AN57" i="11" s="1"/>
  <c r="DP57" i="11"/>
  <c r="DK24" i="11"/>
  <c r="DK47" i="11"/>
  <c r="DK57" i="11"/>
  <c r="DC185" i="1"/>
  <c r="DD185" i="1" s="1"/>
  <c r="DD180" i="1"/>
  <c r="CK47" i="11"/>
  <c r="CK57" i="11"/>
  <c r="CK24" i="11"/>
  <c r="N67" i="5"/>
  <c r="P8" i="10"/>
  <c r="P18" i="10" s="1"/>
  <c r="N60" i="5"/>
  <c r="N64" i="5"/>
  <c r="AR174" i="1"/>
  <c r="AV174" i="1"/>
  <c r="DX51" i="11"/>
  <c r="DX59" i="11"/>
  <c r="DY56" i="11"/>
  <c r="DY46" i="11"/>
  <c r="E51" i="68"/>
  <c r="E133" i="68"/>
  <c r="E92" i="68"/>
  <c r="G49" i="68"/>
  <c r="G68" i="68" s="1"/>
  <c r="H11" i="4"/>
  <c r="I12" i="4" s="1"/>
  <c r="I67" i="9"/>
  <c r="EV9" i="11"/>
  <c r="EW54" i="11" s="1"/>
  <c r="H44" i="5"/>
  <c r="EW13" i="11"/>
  <c r="CJ174" i="1"/>
  <c r="CN174" i="1"/>
  <c r="L41" i="8"/>
  <c r="BV45" i="11"/>
  <c r="BV20" i="11"/>
  <c r="R62" i="10"/>
  <c r="Q72" i="9"/>
  <c r="Q76" i="9" s="1"/>
  <c r="F91" i="68"/>
  <c r="G117" i="68" s="1"/>
  <c r="F132" i="68"/>
  <c r="G173" i="68" s="1"/>
  <c r="F30" i="68"/>
  <c r="F50" i="68"/>
  <c r="F37" i="68"/>
  <c r="F88" i="68"/>
  <c r="F47" i="68"/>
  <c r="F129" i="68"/>
  <c r="H115" i="68"/>
  <c r="C29" i="68"/>
  <c r="C13" i="68"/>
  <c r="Q53" i="5"/>
  <c r="Q45" i="5"/>
  <c r="Q49" i="4"/>
  <c r="Q50" i="4" s="1"/>
  <c r="I86" i="68"/>
  <c r="I45" i="68"/>
  <c r="I10" i="68"/>
  <c r="I35" i="68"/>
  <c r="I127" i="68"/>
  <c r="CM186" i="1"/>
  <c r="CR186" i="1" s="1"/>
  <c r="CN183" i="1"/>
  <c r="DL34" i="11"/>
  <c r="X180" i="1"/>
  <c r="W185" i="1"/>
  <c r="AB180" i="1"/>
  <c r="BM48" i="11"/>
  <c r="BM28" i="11"/>
  <c r="BM31" i="11" s="1"/>
  <c r="BM50" i="11" s="1"/>
  <c r="BM49" i="11"/>
  <c r="FI67" i="11"/>
  <c r="DT45" i="11"/>
  <c r="DT20" i="11"/>
  <c r="DA24" i="11"/>
  <c r="DA47" i="11"/>
  <c r="F45" i="68"/>
  <c r="F10" i="68"/>
  <c r="F86" i="68"/>
  <c r="F35" i="68"/>
  <c r="F127" i="68"/>
  <c r="T53" i="5"/>
  <c r="T45" i="5"/>
  <c r="T49" i="4"/>
  <c r="T50" i="4" s="1"/>
  <c r="AI184" i="1"/>
  <c r="AJ184" i="1" s="1"/>
  <c r="AK164" i="1"/>
  <c r="AJ164" i="1"/>
  <c r="H182" i="1"/>
  <c r="AG20" i="11"/>
  <c r="AG45" i="11"/>
  <c r="FB24" i="11"/>
  <c r="FB57" i="11"/>
  <c r="FB47" i="11"/>
  <c r="CW57" i="11"/>
  <c r="CW47" i="11"/>
  <c r="CW24" i="11"/>
  <c r="Y27" i="3"/>
  <c r="FI45" i="11"/>
  <c r="FI20" i="11"/>
  <c r="DG58" i="11"/>
  <c r="BF28" i="11"/>
  <c r="BF31" i="11" s="1"/>
  <c r="BF50" i="11" s="1"/>
  <c r="BF48" i="11"/>
  <c r="BF49" i="11"/>
  <c r="AJ120" i="3"/>
  <c r="D88" i="68"/>
  <c r="D129" i="68"/>
  <c r="D47" i="68"/>
  <c r="E169" i="68"/>
  <c r="E116" i="68"/>
  <c r="E75" i="68"/>
  <c r="AJ127" i="3"/>
  <c r="R38" i="4"/>
  <c r="S39" i="4" s="1"/>
  <c r="R12" i="4"/>
  <c r="R7" i="4"/>
  <c r="FF68" i="11" s="1"/>
  <c r="FF13" i="11"/>
  <c r="FF45" i="11" s="1"/>
  <c r="FF54" i="11"/>
  <c r="FF51" i="11"/>
  <c r="DB45" i="11"/>
  <c r="DB20" i="11"/>
  <c r="DG57" i="11" s="1"/>
  <c r="R73" i="9"/>
  <c r="R77" i="9" s="1"/>
  <c r="R74" i="9"/>
  <c r="R78" i="9" s="1"/>
  <c r="F116" i="68"/>
  <c r="F169" i="68"/>
  <c r="F75" i="68"/>
  <c r="D50" i="68"/>
  <c r="D91" i="68"/>
  <c r="D132" i="68"/>
  <c r="D37" i="68"/>
  <c r="D30" i="68"/>
  <c r="S12" i="4"/>
  <c r="E49" i="68"/>
  <c r="E68" i="68" s="1"/>
  <c r="BP174" i="1"/>
  <c r="EX54" i="11"/>
  <c r="CV45" i="11"/>
  <c r="CV20" i="11"/>
  <c r="G110" i="68"/>
  <c r="BX184" i="1"/>
  <c r="CF181" i="1"/>
  <c r="CZ34" i="11"/>
  <c r="CE185" i="1"/>
  <c r="CF185" i="1" s="1"/>
  <c r="AE13" i="11"/>
  <c r="AE54" i="11"/>
  <c r="AE46" i="11"/>
  <c r="AG56" i="11"/>
  <c r="AB46" i="11"/>
  <c r="AB51" i="11"/>
  <c r="P175" i="1"/>
  <c r="BQ20" i="11"/>
  <c r="BQ45" i="11"/>
  <c r="AJ155" i="3"/>
  <c r="FJ67" i="11"/>
  <c r="V39" i="4"/>
  <c r="Q12" i="4"/>
  <c r="X73" i="9"/>
  <c r="X77" i="9" s="1"/>
  <c r="X74" i="9"/>
  <c r="X78" i="9" s="1"/>
  <c r="FM36" i="11"/>
  <c r="J24" i="68"/>
  <c r="J18" i="68"/>
  <c r="FM26" i="11"/>
  <c r="FL46" i="11"/>
  <c r="FL56" i="11"/>
  <c r="DE57" i="11"/>
  <c r="DE47" i="11"/>
  <c r="DE24" i="11"/>
  <c r="FI56" i="11"/>
  <c r="AJ56" i="11"/>
  <c r="AH20" i="11"/>
  <c r="AM57" i="11" s="1"/>
  <c r="AH45" i="11"/>
  <c r="EY47" i="11"/>
  <c r="EY24" i="11"/>
  <c r="O185" i="1"/>
  <c r="P185" i="1" s="1"/>
  <c r="P181" i="1"/>
  <c r="U13" i="5"/>
  <c r="J59" i="5"/>
  <c r="J54" i="5"/>
  <c r="J57" i="5"/>
  <c r="DL24" i="11"/>
  <c r="DL47" i="11"/>
  <c r="DL57" i="11"/>
  <c r="DD170" i="1"/>
  <c r="DC175" i="1"/>
  <c r="DD175" i="1" s="1"/>
  <c r="X175" i="1"/>
  <c r="AB175" i="1"/>
  <c r="CE186" i="1"/>
  <c r="CF186" i="1" s="1"/>
  <c r="CF183" i="1"/>
  <c r="DB34" i="11"/>
  <c r="AI59" i="11"/>
  <c r="AR165" i="1"/>
  <c r="AS165" i="1"/>
  <c r="AW165" i="1"/>
  <c r="CZ47" i="11"/>
  <c r="CZ57" i="11"/>
  <c r="CZ24" i="11"/>
  <c r="CJ166" i="1"/>
  <c r="CK166" i="1"/>
  <c r="AJ185" i="1"/>
  <c r="M67" i="5"/>
  <c r="O8" i="10"/>
  <c r="O18" i="10" s="1"/>
  <c r="M60" i="5"/>
  <c r="M64" i="5"/>
  <c r="DY51" i="11"/>
  <c r="DY59" i="11"/>
  <c r="DZ56" i="11"/>
  <c r="DZ46" i="11"/>
  <c r="EA58" i="11"/>
  <c r="DZ51" i="11"/>
  <c r="DZ59" i="11"/>
  <c r="EA46" i="11"/>
  <c r="EA56" i="11"/>
  <c r="CO20" i="11"/>
  <c r="CO45" i="11"/>
  <c r="BZ20" i="11"/>
  <c r="BZ45" i="11"/>
  <c r="F51" i="68"/>
  <c r="F92" i="68"/>
  <c r="F133" i="68"/>
  <c r="CF24" i="11"/>
  <c r="CF47" i="11"/>
  <c r="AQ28" i="11"/>
  <c r="AQ31" i="11" s="1"/>
  <c r="AQ50" i="11" s="1"/>
  <c r="AQ48" i="11"/>
  <c r="AQ49" i="11"/>
  <c r="P45" i="5"/>
  <c r="P53" i="5"/>
  <c r="P49" i="4"/>
  <c r="P50" i="4" s="1"/>
  <c r="AC164" i="1"/>
  <c r="AA184" i="1"/>
  <c r="AB184" i="1" s="1"/>
  <c r="AB164" i="1"/>
  <c r="U26" i="5"/>
  <c r="DV20" i="11"/>
  <c r="DV45" i="11"/>
  <c r="F95" i="68"/>
  <c r="F136" i="68"/>
  <c r="F54" i="68"/>
  <c r="C91" i="68"/>
  <c r="C110" i="68" s="1"/>
  <c r="C50" i="68"/>
  <c r="C69" i="68" s="1"/>
  <c r="C132" i="68"/>
  <c r="C157" i="68" s="1"/>
  <c r="FH46" i="11"/>
  <c r="FH13" i="11"/>
  <c r="FH45" i="11" s="1"/>
  <c r="FH54" i="11"/>
  <c r="FH51" i="11"/>
  <c r="R77" i="42"/>
  <c r="Q112" i="42"/>
  <c r="BR45" i="11"/>
  <c r="BR20" i="11"/>
  <c r="R45" i="5"/>
  <c r="R49" i="4"/>
  <c r="R50" i="4" s="1"/>
  <c r="R53" i="5"/>
  <c r="E132" i="68"/>
  <c r="E37" i="68"/>
  <c r="E30" i="68"/>
  <c r="E50" i="68"/>
  <c r="E91" i="68"/>
  <c r="L102" i="8"/>
  <c r="L95" i="8"/>
  <c r="AN166" i="1"/>
  <c r="AO166" i="1"/>
  <c r="FG67" i="11"/>
  <c r="I145" i="68"/>
  <c r="I63" i="68"/>
  <c r="I104" i="68" s="1"/>
  <c r="AR182" i="1"/>
  <c r="BC34" i="11"/>
  <c r="AV182" i="1"/>
  <c r="AQ186" i="1"/>
  <c r="G157" i="68"/>
  <c r="BH49" i="11"/>
  <c r="BH48" i="11"/>
  <c r="BH28" i="11"/>
  <c r="BH31" i="11" s="1"/>
  <c r="BH50" i="11" s="1"/>
  <c r="AH59" i="11"/>
  <c r="AC51" i="11"/>
  <c r="AC13" i="11"/>
  <c r="AC46" i="11"/>
  <c r="BW45" i="11"/>
  <c r="BW20" i="11"/>
  <c r="S54" i="5"/>
  <c r="S59" i="5"/>
  <c r="I88" i="68"/>
  <c r="I47" i="68"/>
  <c r="I129" i="68"/>
  <c r="FM16" i="11"/>
  <c r="AM47" i="11"/>
  <c r="AM24" i="11"/>
  <c r="P165" i="1"/>
  <c r="Q165" i="1"/>
  <c r="H131" i="68"/>
  <c r="DJ47" i="11"/>
  <c r="DJ24" i="11"/>
  <c r="DJ57" i="11"/>
  <c r="BT185" i="1"/>
  <c r="BP185" i="1"/>
  <c r="U59" i="5"/>
  <c r="U57" i="5"/>
  <c r="U54" i="5"/>
  <c r="DZ58" i="11"/>
  <c r="EC30" i="11"/>
  <c r="ED18" i="11"/>
  <c r="EE26" i="11"/>
  <c r="D21" i="53" s="1"/>
  <c r="EC38" i="11"/>
  <c r="EF22" i="11"/>
  <c r="EE22" i="11"/>
  <c r="D17" i="53" s="1"/>
  <c r="ED42" i="11"/>
  <c r="EC5" i="11"/>
  <c r="EF37" i="11"/>
  <c r="EC17" i="11"/>
  <c r="ED26" i="11"/>
  <c r="EC37" i="11"/>
  <c r="EF23" i="11"/>
  <c r="EF30" i="11"/>
  <c r="EF42" i="11"/>
  <c r="ED34" i="11"/>
  <c r="EE42" i="11"/>
  <c r="EF14" i="11"/>
  <c r="ED37" i="11"/>
  <c r="ED38" i="11"/>
  <c r="ED30" i="11"/>
  <c r="EE9" i="11"/>
  <c r="D4" i="53" s="1"/>
  <c r="F39" i="53" s="1"/>
  <c r="EC42" i="11"/>
  <c r="EC19" i="11"/>
  <c r="EE34" i="11"/>
  <c r="ED14" i="11"/>
  <c r="ED11" i="11"/>
  <c r="EC55" i="11"/>
  <c r="EE15" i="11"/>
  <c r="D10" i="53" s="1"/>
  <c r="EE37" i="11"/>
  <c r="EF15" i="11"/>
  <c r="EF26" i="11"/>
  <c r="EE17" i="11"/>
  <c r="ED22" i="11"/>
  <c r="EC9" i="11"/>
  <c r="EE55" i="11"/>
  <c r="D40" i="53" s="1"/>
  <c r="EE33" i="11"/>
  <c r="EC23" i="11"/>
  <c r="EC18" i="11"/>
  <c r="EC11" i="11"/>
  <c r="EC33" i="11"/>
  <c r="EF36" i="11"/>
  <c r="EE19" i="11"/>
  <c r="EC34" i="11"/>
  <c r="ED17" i="11"/>
  <c r="EC22" i="11"/>
  <c r="ED15" i="11"/>
  <c r="EF17" i="11"/>
  <c r="EF55" i="11"/>
  <c r="ED9" i="11"/>
  <c r="EC36" i="11"/>
  <c r="EC14" i="11"/>
  <c r="EE14" i="11"/>
  <c r="D9" i="53" s="1"/>
  <c r="EC26" i="11"/>
  <c r="EF11" i="11"/>
  <c r="ED19" i="11"/>
  <c r="ED36" i="11"/>
  <c r="ED55" i="11"/>
  <c r="EE38" i="11"/>
  <c r="EE18" i="11"/>
  <c r="EC15" i="11"/>
  <c r="EF9" i="11"/>
  <c r="EE11" i="11"/>
  <c r="D6" i="53" s="1"/>
  <c r="ED33" i="11"/>
  <c r="EF18" i="11"/>
  <c r="EF19" i="11"/>
  <c r="EE23" i="11"/>
  <c r="ED23" i="11"/>
  <c r="EE36" i="11"/>
  <c r="D26" i="53" s="1"/>
  <c r="EE30" i="11"/>
  <c r="EF34" i="11"/>
  <c r="EF33" i="11"/>
  <c r="FC24" i="11"/>
  <c r="FC47" i="11"/>
  <c r="FC57" i="11"/>
  <c r="BP57" i="11"/>
  <c r="BP24" i="11"/>
  <c r="BP47" i="11"/>
  <c r="C83" i="42"/>
  <c r="C84" i="42" s="1"/>
  <c r="C119" i="42" s="1"/>
  <c r="DF57" i="11"/>
  <c r="DF24" i="11"/>
  <c r="DF47" i="11"/>
  <c r="G121" i="68"/>
  <c r="G122" i="68" s="1"/>
  <c r="G177" i="68"/>
  <c r="G178" i="68" s="1"/>
  <c r="G80" i="68"/>
  <c r="G81" i="68" s="1"/>
  <c r="EV26" i="11"/>
  <c r="EV14" i="11"/>
  <c r="EW56" i="11" s="1"/>
  <c r="H25" i="5"/>
  <c r="I69" i="9"/>
  <c r="I45" i="5"/>
  <c r="I49" i="4"/>
  <c r="I50" i="4" s="1"/>
  <c r="I53" i="5"/>
  <c r="L101" i="8"/>
  <c r="L94" i="8"/>
  <c r="CJ20" i="11"/>
  <c r="CJ45" i="11"/>
  <c r="C116" i="68"/>
  <c r="C169" i="68"/>
  <c r="C75" i="68"/>
  <c r="AJ134" i="3"/>
  <c r="H13" i="68"/>
  <c r="H29" i="68"/>
  <c r="H177" i="68"/>
  <c r="H178" i="68" s="1"/>
  <c r="H121" i="68"/>
  <c r="H122" i="68" s="1"/>
  <c r="H80" i="68"/>
  <c r="H81" i="68" s="1"/>
  <c r="DD48" i="11"/>
  <c r="DD49" i="11"/>
  <c r="DD28" i="11"/>
  <c r="DD31" i="11" s="1"/>
  <c r="DD50" i="11" s="1"/>
  <c r="O81" i="42"/>
  <c r="O82" i="42" s="1"/>
  <c r="O83" i="42" s="1"/>
  <c r="FL13" i="11"/>
  <c r="FL54" i="11"/>
  <c r="I136" i="68"/>
  <c r="I54" i="68"/>
  <c r="I95" i="68"/>
  <c r="CM176" i="1"/>
  <c r="CN173" i="1"/>
  <c r="DL33" i="11"/>
  <c r="CR173" i="1"/>
  <c r="BK28" i="11"/>
  <c r="BK31" i="11" s="1"/>
  <c r="BK50" i="11" s="1"/>
  <c r="BK48" i="11"/>
  <c r="BK49" i="11"/>
  <c r="T165" i="1"/>
  <c r="U165" i="1"/>
  <c r="G186" i="1"/>
  <c r="H183" i="1"/>
  <c r="L183" i="1"/>
  <c r="AJ20" i="11"/>
  <c r="AJ45" i="11"/>
  <c r="G29" i="68"/>
  <c r="G13" i="68"/>
  <c r="BL49" i="11"/>
  <c r="BL48" i="11"/>
  <c r="BL28" i="11"/>
  <c r="BL31" i="11" s="1"/>
  <c r="BL50" i="11" s="1"/>
  <c r="FI68" i="11"/>
  <c r="Y18" i="3"/>
  <c r="Y25" i="3"/>
  <c r="CK165" i="1"/>
  <c r="CO165" i="1"/>
  <c r="CJ165" i="1"/>
  <c r="CI185" i="1"/>
  <c r="CJ181" i="1"/>
  <c r="CN181" i="1"/>
  <c r="DE34" i="11"/>
  <c r="L48" i="8"/>
  <c r="C63" i="68"/>
  <c r="C104" i="68" s="1"/>
  <c r="C145" i="68"/>
  <c r="CE45" i="11"/>
  <c r="CE20" i="11"/>
  <c r="FJ20" i="11"/>
  <c r="FJ45" i="11"/>
  <c r="CH24" i="11"/>
  <c r="CH57" i="11"/>
  <c r="CH47" i="11"/>
  <c r="BN28" i="11"/>
  <c r="BN31" i="11" s="1"/>
  <c r="BN50" i="11" s="1"/>
  <c r="BN48" i="11"/>
  <c r="BN49" i="11"/>
  <c r="I133" i="68"/>
  <c r="I51" i="68"/>
  <c r="I92" i="68"/>
  <c r="T174" i="1"/>
  <c r="X174" i="1"/>
  <c r="CT47" i="11"/>
  <c r="CT24" i="11"/>
  <c r="L96" i="8"/>
  <c r="BP166" i="1"/>
  <c r="BQ166" i="1"/>
  <c r="BU166" i="1"/>
  <c r="CJ176" i="1"/>
  <c r="H117" i="68"/>
  <c r="H110" i="68"/>
  <c r="Y15" i="3"/>
  <c r="Y22" i="3"/>
  <c r="AL11" i="3"/>
  <c r="AJ15" i="3"/>
  <c r="AL15" i="3" s="1"/>
  <c r="CA45" i="11"/>
  <c r="CA20" i="11"/>
  <c r="CY45" i="11"/>
  <c r="CY20" i="11"/>
  <c r="S72" i="9"/>
  <c r="S76" i="9" s="1"/>
  <c r="T62" i="10"/>
  <c r="L105" i="8"/>
  <c r="L112" i="8"/>
  <c r="C129" i="68"/>
  <c r="C131" i="68" s="1"/>
  <c r="C88" i="68"/>
  <c r="C90" i="68" s="1"/>
  <c r="C47" i="68"/>
  <c r="C49" i="68" s="1"/>
  <c r="C68" i="68" s="1"/>
  <c r="FG56" i="11"/>
  <c r="FG46" i="11"/>
  <c r="AN182" i="1"/>
  <c r="AM186" i="1"/>
  <c r="AN186" i="1" s="1"/>
  <c r="AX34" i="11"/>
  <c r="AN176" i="1"/>
  <c r="AC166" i="1"/>
  <c r="AB166" i="1"/>
  <c r="AG166" i="1"/>
  <c r="L164" i="1"/>
  <c r="K184" i="1"/>
  <c r="L82" i="42"/>
  <c r="L117" i="42" s="1"/>
  <c r="CC47" i="11"/>
  <c r="CC24" i="11"/>
  <c r="E90" i="68"/>
  <c r="E109" i="68" s="1"/>
  <c r="BP164" i="1"/>
  <c r="BO184" i="1"/>
  <c r="BQ164" i="1"/>
  <c r="L77" i="8"/>
  <c r="AN174" i="1"/>
  <c r="AH56" i="11"/>
  <c r="AB34" i="11"/>
  <c r="AD13" i="11"/>
  <c r="S13" i="5"/>
  <c r="AR175" i="1"/>
  <c r="AV175" i="1"/>
  <c r="AF174" i="1"/>
  <c r="CV186" i="1"/>
  <c r="FD51" i="11"/>
  <c r="AJ141" i="3"/>
  <c r="FE54" i="11"/>
  <c r="FM30" i="11"/>
  <c r="Y69" i="9"/>
  <c r="J11" i="68"/>
  <c r="X25" i="5"/>
  <c r="X26" i="5" s="1"/>
  <c r="FM14" i="11"/>
  <c r="FM9" i="11"/>
  <c r="X29" i="5"/>
  <c r="X33" i="5"/>
  <c r="X8" i="5"/>
  <c r="J6" i="68"/>
  <c r="X11" i="4"/>
  <c r="Y67" i="9"/>
  <c r="X31" i="5"/>
  <c r="X44" i="5"/>
  <c r="X22" i="5"/>
  <c r="DO47" i="11"/>
  <c r="DO24" i="11"/>
  <c r="DO57" i="11"/>
  <c r="EX67" i="11"/>
  <c r="AV176" i="1"/>
  <c r="AR176" i="1"/>
  <c r="DC184" i="1"/>
  <c r="DD184" i="1" s="1"/>
  <c r="DD164" i="1"/>
  <c r="AI54" i="11"/>
  <c r="AI56" i="11"/>
  <c r="AO24" i="11"/>
  <c r="AO47" i="11"/>
  <c r="AT57" i="11"/>
  <c r="H49" i="68"/>
  <c r="EZ48" i="11"/>
  <c r="EZ28" i="11"/>
  <c r="EZ31" i="11" s="1"/>
  <c r="EZ50" i="11" s="1"/>
  <c r="EZ49" i="11"/>
  <c r="AG164" i="1"/>
  <c r="BD186" i="1"/>
  <c r="AZ186" i="1"/>
  <c r="DU45" i="11"/>
  <c r="DU20" i="11"/>
  <c r="DZ13" i="11"/>
  <c r="DZ54" i="11"/>
  <c r="DX13" i="11"/>
  <c r="DX54" i="11"/>
  <c r="DX56" i="11"/>
  <c r="DX46" i="11"/>
  <c r="EA59" i="11"/>
  <c r="EA51" i="11"/>
  <c r="DY13" i="11"/>
  <c r="DY54" i="11"/>
  <c r="I48" i="5"/>
  <c r="CJ175" i="1"/>
  <c r="CN175" i="1"/>
  <c r="L74" i="8"/>
  <c r="CB45" i="11"/>
  <c r="CB20" i="11"/>
  <c r="FG20" i="11"/>
  <c r="M114" i="42"/>
  <c r="K86" i="42"/>
  <c r="H144" i="1"/>
  <c r="M144" i="1"/>
  <c r="G164" i="1"/>
  <c r="I144" i="1"/>
  <c r="G174" i="1"/>
  <c r="EZ6" i="11"/>
  <c r="EY37" i="11"/>
  <c r="EY42" i="11"/>
  <c r="EY55" i="11"/>
  <c r="EY62" i="11"/>
  <c r="EY38" i="11"/>
  <c r="EH37" i="11"/>
  <c r="G116" i="42"/>
  <c r="F83" i="42"/>
  <c r="U74" i="42"/>
  <c r="T109" i="42"/>
  <c r="H145" i="1"/>
  <c r="I145" i="1"/>
  <c r="M145" i="1"/>
  <c r="G181" i="1"/>
  <c r="H161" i="1"/>
  <c r="G165" i="1"/>
  <c r="I161" i="1"/>
  <c r="M161" i="1"/>
  <c r="DG200" i="1"/>
  <c r="EI38" i="11"/>
  <c r="V119" i="8"/>
  <c r="X118" i="8"/>
  <c r="U106" i="42"/>
  <c r="U72" i="42"/>
  <c r="T107" i="42"/>
  <c r="D372" i="35"/>
  <c r="E371" i="35"/>
  <c r="Z67" i="42"/>
  <c r="Z102" i="42" s="1"/>
  <c r="Y102" i="42"/>
  <c r="Z101" i="42"/>
  <c r="J114" i="42"/>
  <c r="K113" i="42"/>
  <c r="AA9" i="4"/>
  <c r="U183" i="3"/>
  <c r="E18" i="4"/>
  <c r="E35" i="4"/>
  <c r="Z30" i="4"/>
  <c r="Y26" i="4"/>
  <c r="Z26" i="4"/>
  <c r="FN64" i="11"/>
  <c r="Y30" i="4"/>
  <c r="M35" i="10"/>
  <c r="M63" i="10" s="1"/>
  <c r="M53" i="10"/>
  <c r="M56" i="10" s="1"/>
  <c r="D35" i="42"/>
  <c r="D136" i="42"/>
  <c r="D15" i="42"/>
  <c r="D64" i="42"/>
  <c r="D22" i="42"/>
  <c r="C3" i="42"/>
  <c r="D100" i="42"/>
  <c r="H171" i="1"/>
  <c r="G175" i="1"/>
  <c r="H175" i="1" s="1"/>
  <c r="C46" i="3"/>
  <c r="AC15" i="4"/>
  <c r="AC17" i="4"/>
  <c r="CZ184" i="1"/>
  <c r="EX51" i="11"/>
  <c r="EX59" i="11"/>
  <c r="Z70" i="42"/>
  <c r="Z105" i="42" s="1"/>
  <c r="Y105" i="42"/>
  <c r="Z104" i="42"/>
  <c r="EH36" i="11"/>
  <c r="N197" i="3"/>
  <c r="N204" i="3"/>
  <c r="G84" i="42"/>
  <c r="T108" i="42"/>
  <c r="U73" i="42"/>
  <c r="E79" i="42"/>
  <c r="FJ51" i="11"/>
  <c r="FJ59" i="11"/>
  <c r="O115" i="42"/>
  <c r="L32" i="3"/>
  <c r="M115" i="42"/>
  <c r="M81" i="42"/>
  <c r="U189" i="3"/>
  <c r="AP190" i="3"/>
  <c r="AP196" i="3"/>
  <c r="D81" i="42"/>
  <c r="L68" i="5"/>
  <c r="K70" i="5"/>
  <c r="EY33" i="11"/>
  <c r="C118" i="42"/>
  <c r="CZ185" i="1"/>
  <c r="N114" i="42"/>
  <c r="N193" i="3"/>
  <c r="P193" i="3" s="1"/>
  <c r="W193" i="3"/>
  <c r="N200" i="3"/>
  <c r="P200" i="3" s="1"/>
  <c r="FL38" i="11"/>
  <c r="FL55" i="11"/>
  <c r="FL42" i="11"/>
  <c r="FL62" i="11"/>
  <c r="FL37" i="11"/>
  <c r="FM6" i="11"/>
  <c r="B34" i="3"/>
  <c r="J33" i="3"/>
  <c r="I82" i="42"/>
  <c r="E113" i="42"/>
  <c r="F112" i="42"/>
  <c r="AE5" i="11"/>
  <c r="O114" i="42"/>
  <c r="N115" i="42"/>
  <c r="N82" i="42"/>
  <c r="AJ182" i="3"/>
  <c r="AL182" i="3" s="1"/>
  <c r="AN182" i="3" s="1"/>
  <c r="W182" i="3"/>
  <c r="Y182" i="3" s="1"/>
  <c r="ES63" i="11"/>
  <c r="ES71" i="11" s="1"/>
  <c r="F14" i="4"/>
  <c r="H113" i="42"/>
  <c r="I112" i="42"/>
  <c r="H79" i="42"/>
  <c r="D114" i="42"/>
  <c r="J113" i="42"/>
  <c r="K112" i="42"/>
  <c r="J80" i="42"/>
  <c r="J81" i="42" s="1"/>
  <c r="L70" i="9"/>
  <c r="K65" i="5"/>
  <c r="T35" i="42"/>
  <c r="T22" i="42"/>
  <c r="T64" i="42"/>
  <c r="T100" i="42"/>
  <c r="U3" i="42"/>
  <c r="T136" i="42"/>
  <c r="T15" i="42"/>
  <c r="D30" i="53" l="1"/>
  <c r="F41" i="53"/>
  <c r="D11" i="53"/>
  <c r="D32" i="53" s="1"/>
  <c r="D31" i="53"/>
  <c r="D8" i="53"/>
  <c r="D29" i="53" s="1"/>
  <c r="EJ37" i="11"/>
  <c r="DG201" i="1"/>
  <c r="N208" i="3"/>
  <c r="P208" i="3" s="1"/>
  <c r="W208" i="3"/>
  <c r="Y208" i="3" s="1"/>
  <c r="AB138" i="8"/>
  <c r="AD138" i="8" s="1"/>
  <c r="AF138" i="8" s="1"/>
  <c r="AJ209" i="3"/>
  <c r="W209" i="3"/>
  <c r="Y209" i="3" s="1"/>
  <c r="V138" i="8"/>
  <c r="X138" i="8" s="1"/>
  <c r="Z138" i="8" s="1"/>
  <c r="K209" i="3"/>
  <c r="AL34" i="3"/>
  <c r="AN34" i="3" s="1"/>
  <c r="AE34" i="3"/>
  <c r="AG34" i="3" s="1"/>
  <c r="EK14" i="11"/>
  <c r="EK15" i="11"/>
  <c r="EJ15" i="11"/>
  <c r="C10" i="53" s="1"/>
  <c r="EH14" i="11"/>
  <c r="EH15" i="11"/>
  <c r="EM6" i="11"/>
  <c r="EL6" i="11"/>
  <c r="EI14" i="11"/>
  <c r="EI15" i="11"/>
  <c r="EJ14" i="11"/>
  <c r="C9" i="53" s="1"/>
  <c r="A127" i="42"/>
  <c r="B127" i="42"/>
  <c r="AE16" i="4"/>
  <c r="E321" i="35"/>
  <c r="J210" i="3"/>
  <c r="AA35" i="3"/>
  <c r="AC39" i="3" s="1"/>
  <c r="AE39" i="3" s="1"/>
  <c r="AG39" i="3" s="1"/>
  <c r="AC209" i="3"/>
  <c r="AE209" i="3" s="1"/>
  <c r="AG209" i="3" s="1"/>
  <c r="D643" i="35"/>
  <c r="AZ185" i="1"/>
  <c r="BP184" i="1"/>
  <c r="BX186" i="1"/>
  <c r="CB186" i="1"/>
  <c r="BL185" i="1"/>
  <c r="BH185" i="1"/>
  <c r="BD184" i="1"/>
  <c r="BH184" i="1"/>
  <c r="P184" i="1"/>
  <c r="FN16" i="11"/>
  <c r="EU16" i="11"/>
  <c r="CV185" i="1"/>
  <c r="CN186" i="1"/>
  <c r="O60" i="5"/>
  <c r="O64" i="5"/>
  <c r="O65" i="5" s="1"/>
  <c r="O67" i="5"/>
  <c r="O70" i="5" s="1"/>
  <c r="DS24" i="11"/>
  <c r="DS28" i="11" s="1"/>
  <c r="DS31" i="11" s="1"/>
  <c r="DS50" i="11" s="1"/>
  <c r="DS57" i="11"/>
  <c r="C52" i="68"/>
  <c r="C65" i="68" s="1"/>
  <c r="FH20" i="11"/>
  <c r="FH57" i="11" s="1"/>
  <c r="EV13" i="11"/>
  <c r="EV45" i="11" s="1"/>
  <c r="U8" i="4"/>
  <c r="FF20" i="11"/>
  <c r="FF57" i="11" s="1"/>
  <c r="C109" i="68"/>
  <c r="C93" i="68"/>
  <c r="C153" i="68"/>
  <c r="C134" i="68"/>
  <c r="DO28" i="11"/>
  <c r="DO31" i="11" s="1"/>
  <c r="DO50" i="11" s="1"/>
  <c r="DO48" i="11"/>
  <c r="DO49" i="11"/>
  <c r="J86" i="68"/>
  <c r="J115" i="68" s="1"/>
  <c r="J127" i="68"/>
  <c r="J168" i="68" s="1"/>
  <c r="J10" i="68"/>
  <c r="J35" i="68"/>
  <c r="J45" i="68"/>
  <c r="J74" i="68" s="1"/>
  <c r="J50" i="68"/>
  <c r="J30" i="68"/>
  <c r="J132" i="68"/>
  <c r="J91" i="68"/>
  <c r="J37" i="68"/>
  <c r="CH48" i="11"/>
  <c r="CH28" i="11"/>
  <c r="CH31" i="11" s="1"/>
  <c r="CH50" i="11" s="1"/>
  <c r="CH49" i="11"/>
  <c r="DL58" i="11"/>
  <c r="DQ58" i="11"/>
  <c r="H38" i="68"/>
  <c r="H26" i="68"/>
  <c r="H16" i="68"/>
  <c r="H31" i="68"/>
  <c r="I59" i="5"/>
  <c r="I54" i="5"/>
  <c r="I57" i="5"/>
  <c r="DF49" i="11"/>
  <c r="DF28" i="11"/>
  <c r="DF31" i="11" s="1"/>
  <c r="DF50" i="11" s="1"/>
  <c r="DF48" i="11"/>
  <c r="EC54" i="11"/>
  <c r="EC13" i="11"/>
  <c r="EE59" i="11"/>
  <c r="EE51" i="11"/>
  <c r="U60" i="5"/>
  <c r="U67" i="5"/>
  <c r="U64" i="5"/>
  <c r="W8" i="10"/>
  <c r="BW47" i="11"/>
  <c r="BW24" i="11"/>
  <c r="AC20" i="11"/>
  <c r="AC45" i="11"/>
  <c r="E117" i="68"/>
  <c r="E110" i="68"/>
  <c r="E173" i="68"/>
  <c r="E157" i="68"/>
  <c r="BW57" i="11"/>
  <c r="BR47" i="11"/>
  <c r="BR24" i="11"/>
  <c r="BR57" i="11"/>
  <c r="CF28" i="11"/>
  <c r="CF31" i="11" s="1"/>
  <c r="CF50" i="11" s="1"/>
  <c r="CF48" i="11"/>
  <c r="CF49" i="11"/>
  <c r="CO47" i="11"/>
  <c r="CO24" i="11"/>
  <c r="CO57" i="11"/>
  <c r="BQ24" i="11"/>
  <c r="BQ57" i="11"/>
  <c r="BQ47" i="11"/>
  <c r="D117" i="68"/>
  <c r="D110" i="68"/>
  <c r="CW48" i="11"/>
  <c r="CW49" i="11"/>
  <c r="CW28" i="11"/>
  <c r="CW31" i="11" s="1"/>
  <c r="CW50" i="11" s="1"/>
  <c r="F168" i="68"/>
  <c r="F131" i="68"/>
  <c r="F74" i="68"/>
  <c r="F49" i="68"/>
  <c r="F68" i="68" s="1"/>
  <c r="I131" i="68"/>
  <c r="I153" i="68" s="1"/>
  <c r="I168" i="68"/>
  <c r="I90" i="68"/>
  <c r="I109" i="68" s="1"/>
  <c r="I115" i="68"/>
  <c r="C26" i="68"/>
  <c r="C16" i="68"/>
  <c r="C31" i="68"/>
  <c r="F173" i="68"/>
  <c r="F157" i="68"/>
  <c r="BV47" i="11"/>
  <c r="BV24" i="11"/>
  <c r="BV57" i="11"/>
  <c r="N65" i="5"/>
  <c r="O70" i="9"/>
  <c r="CK28" i="11"/>
  <c r="CK31" i="11" s="1"/>
  <c r="CK50" i="11" s="1"/>
  <c r="CK48" i="11"/>
  <c r="CK49" i="11"/>
  <c r="I117" i="68"/>
  <c r="I110" i="68"/>
  <c r="J95" i="68"/>
  <c r="J136" i="68"/>
  <c r="J54" i="68"/>
  <c r="BX47" i="11"/>
  <c r="BX24" i="11"/>
  <c r="BX57" i="11"/>
  <c r="G153" i="68"/>
  <c r="G134" i="68"/>
  <c r="DV5" i="11"/>
  <c r="DU72" i="11"/>
  <c r="DU71" i="11"/>
  <c r="AR184" i="1"/>
  <c r="AV184" i="1"/>
  <c r="CR48" i="11"/>
  <c r="CR28" i="11"/>
  <c r="CR31" i="11" s="1"/>
  <c r="CR50" i="11" s="1"/>
  <c r="CR49" i="11"/>
  <c r="FN30" i="11"/>
  <c r="K24" i="68"/>
  <c r="FN36" i="11"/>
  <c r="K18" i="68"/>
  <c r="FN26" i="11"/>
  <c r="J116" i="68"/>
  <c r="J169" i="68"/>
  <c r="J75" i="68"/>
  <c r="AB58" i="11"/>
  <c r="AB56" i="11"/>
  <c r="W46" i="11"/>
  <c r="AC56" i="11"/>
  <c r="X46" i="11"/>
  <c r="AE56" i="11"/>
  <c r="Z46" i="11"/>
  <c r="Y46" i="11"/>
  <c r="R26" i="11"/>
  <c r="S17" i="11"/>
  <c r="T30" i="11"/>
  <c r="T9" i="11"/>
  <c r="T22" i="11"/>
  <c r="R11" i="11"/>
  <c r="R42" i="11"/>
  <c r="R17" i="11"/>
  <c r="U15" i="11"/>
  <c r="R18" i="11"/>
  <c r="U26" i="11"/>
  <c r="S30" i="11"/>
  <c r="U14" i="11"/>
  <c r="Z56" i="11" s="1"/>
  <c r="U36" i="11"/>
  <c r="S37" i="11"/>
  <c r="U33" i="11"/>
  <c r="Z58" i="11" s="1"/>
  <c r="S55" i="11"/>
  <c r="S33" i="11"/>
  <c r="X58" i="11" s="1"/>
  <c r="R30" i="11"/>
  <c r="S9" i="11"/>
  <c r="X54" i="11" s="1"/>
  <c r="S22" i="11"/>
  <c r="S42" i="11"/>
  <c r="X59" i="11" s="1"/>
  <c r="T15" i="11"/>
  <c r="T23" i="11"/>
  <c r="R33" i="11"/>
  <c r="W58" i="11" s="1"/>
  <c r="S18" i="11"/>
  <c r="U17" i="11"/>
  <c r="S36" i="11"/>
  <c r="T14" i="11"/>
  <c r="Y56" i="11" s="1"/>
  <c r="R9" i="11"/>
  <c r="R13" i="11" s="1"/>
  <c r="R45" i="11" s="1"/>
  <c r="R23" i="11"/>
  <c r="M6" i="11"/>
  <c r="T37" i="11"/>
  <c r="S23" i="11"/>
  <c r="S26" i="11"/>
  <c r="U42" i="11"/>
  <c r="U9" i="11"/>
  <c r="Z54" i="11" s="1"/>
  <c r="R15" i="11"/>
  <c r="U11" i="11"/>
  <c r="R55" i="11"/>
  <c r="U34" i="11"/>
  <c r="T33" i="11"/>
  <c r="Y58" i="11" s="1"/>
  <c r="U19" i="11"/>
  <c r="S15" i="11"/>
  <c r="U23" i="11"/>
  <c r="T26" i="11"/>
  <c r="S34" i="11"/>
  <c r="S19" i="11"/>
  <c r="T17" i="11"/>
  <c r="R36" i="11"/>
  <c r="R5" i="11"/>
  <c r="R22" i="11"/>
  <c r="U30" i="11"/>
  <c r="U37" i="11"/>
  <c r="S14" i="11"/>
  <c r="S11" i="11"/>
  <c r="R19" i="11"/>
  <c r="T11" i="11"/>
  <c r="R14" i="11"/>
  <c r="U22" i="11"/>
  <c r="R37" i="11"/>
  <c r="T55" i="11"/>
  <c r="U55" i="11"/>
  <c r="T34" i="11"/>
  <c r="T19" i="11"/>
  <c r="U18" i="11"/>
  <c r="T42" i="11"/>
  <c r="T36" i="11"/>
  <c r="T18" i="11"/>
  <c r="R34" i="11"/>
  <c r="AB45" i="11"/>
  <c r="AB20" i="11"/>
  <c r="E177" i="68"/>
  <c r="E178" i="68" s="1"/>
  <c r="E121" i="68"/>
  <c r="E122" i="68" s="1"/>
  <c r="E80" i="68"/>
  <c r="E81" i="68" s="1"/>
  <c r="D121" i="68"/>
  <c r="D122" i="68" s="1"/>
  <c r="D177" i="68"/>
  <c r="D178" i="68" s="1"/>
  <c r="D80" i="68"/>
  <c r="D81" i="68" s="1"/>
  <c r="S110" i="42"/>
  <c r="T75" i="42"/>
  <c r="I26" i="5"/>
  <c r="R78" i="42"/>
  <c r="Q113" i="42"/>
  <c r="DQ49" i="11"/>
  <c r="DQ48" i="11"/>
  <c r="DQ28" i="11"/>
  <c r="DQ31" i="11" s="1"/>
  <c r="DQ50" i="11" s="1"/>
  <c r="BS24" i="11"/>
  <c r="BS57" i="11"/>
  <c r="BS47" i="11"/>
  <c r="EU22" i="11"/>
  <c r="G11" i="4"/>
  <c r="H12" i="4" s="1"/>
  <c r="G44" i="5"/>
  <c r="EU9" i="11"/>
  <c r="EV54" i="11" s="1"/>
  <c r="H67" i="9"/>
  <c r="EU26" i="11"/>
  <c r="G109" i="68"/>
  <c r="G93" i="68"/>
  <c r="CQ48" i="11"/>
  <c r="CQ28" i="11"/>
  <c r="CQ31" i="11" s="1"/>
  <c r="CQ50" i="11" s="1"/>
  <c r="CQ49" i="11"/>
  <c r="BP186" i="1"/>
  <c r="BT186" i="1"/>
  <c r="S76" i="42"/>
  <c r="R111" i="42"/>
  <c r="L83" i="42"/>
  <c r="FE47" i="11"/>
  <c r="FE24" i="11"/>
  <c r="FG47" i="11"/>
  <c r="FG24" i="11"/>
  <c r="H68" i="68"/>
  <c r="H52" i="68"/>
  <c r="AO28" i="11"/>
  <c r="AO31" i="11" s="1"/>
  <c r="AO50" i="11" s="1"/>
  <c r="AO48" i="11"/>
  <c r="AO49" i="11"/>
  <c r="FM13" i="11"/>
  <c r="FM45" i="11" s="1"/>
  <c r="FM54" i="11"/>
  <c r="CC48" i="11"/>
  <c r="CC28" i="11"/>
  <c r="CC31" i="11" s="1"/>
  <c r="CC50" i="11" s="1"/>
  <c r="CC49" i="11"/>
  <c r="CA47" i="11"/>
  <c r="CA57" i="11"/>
  <c r="CA24" i="11"/>
  <c r="CE57" i="11"/>
  <c r="CE24" i="11"/>
  <c r="CE47" i="11"/>
  <c r="CJ185" i="1"/>
  <c r="CN185" i="1"/>
  <c r="H186" i="1"/>
  <c r="L186" i="1"/>
  <c r="FL45" i="11"/>
  <c r="FL20" i="11"/>
  <c r="CJ57" i="11"/>
  <c r="CJ47" i="11"/>
  <c r="CJ24" i="11"/>
  <c r="EF54" i="11"/>
  <c r="EF13" i="11"/>
  <c r="ED54" i="11"/>
  <c r="ED13" i="11"/>
  <c r="EC72" i="11"/>
  <c r="EC71" i="11"/>
  <c r="ED5" i="11"/>
  <c r="DJ48" i="11"/>
  <c r="DJ49" i="11"/>
  <c r="DJ28" i="11"/>
  <c r="DJ31" i="11" s="1"/>
  <c r="DJ50" i="11" s="1"/>
  <c r="AM48" i="11"/>
  <c r="AM28" i="11"/>
  <c r="AM31" i="11" s="1"/>
  <c r="AM50" i="11" s="1"/>
  <c r="AM49" i="11"/>
  <c r="E69" i="68"/>
  <c r="E76" i="68"/>
  <c r="R59" i="5"/>
  <c r="R54" i="5"/>
  <c r="R57" i="5"/>
  <c r="DV57" i="11"/>
  <c r="DV47" i="11"/>
  <c r="DV24" i="11"/>
  <c r="O53" i="10"/>
  <c r="O56" i="10" s="1"/>
  <c r="O35" i="10"/>
  <c r="O63" i="10" s="1"/>
  <c r="EY28" i="11"/>
  <c r="EY31" i="11" s="1"/>
  <c r="EY50" i="11" s="1"/>
  <c r="EY49" i="11"/>
  <c r="EY48" i="11"/>
  <c r="AH47" i="11"/>
  <c r="AH24" i="11"/>
  <c r="D76" i="68"/>
  <c r="D69" i="68"/>
  <c r="FI24" i="11"/>
  <c r="FI47" i="11"/>
  <c r="FB48" i="11"/>
  <c r="FB49" i="11"/>
  <c r="FB28" i="11"/>
  <c r="FB31" i="11" s="1"/>
  <c r="FB50" i="11" s="1"/>
  <c r="F121" i="68"/>
  <c r="F122" i="68" s="1"/>
  <c r="F80" i="68"/>
  <c r="F81" i="68" s="1"/>
  <c r="F177" i="68"/>
  <c r="F178" i="68" s="1"/>
  <c r="DT47" i="11"/>
  <c r="DT57" i="11"/>
  <c r="DT24" i="11"/>
  <c r="I121" i="68"/>
  <c r="I122" i="68" s="1"/>
  <c r="I80" i="68"/>
  <c r="I81" i="68" s="1"/>
  <c r="I177" i="68"/>
  <c r="I178" i="68" s="1"/>
  <c r="F117" i="68"/>
  <c r="F110" i="68"/>
  <c r="EV46" i="11"/>
  <c r="EV51" i="11"/>
  <c r="G74" i="68"/>
  <c r="E93" i="68"/>
  <c r="E106" i="68" s="1"/>
  <c r="AI47" i="11"/>
  <c r="AI24" i="11"/>
  <c r="DG49" i="11"/>
  <c r="DG28" i="11"/>
  <c r="DG31" i="11" s="1"/>
  <c r="DG50" i="11" s="1"/>
  <c r="DG48" i="11"/>
  <c r="AN184" i="1"/>
  <c r="DH142" i="1"/>
  <c r="DG162" i="1"/>
  <c r="DI142" i="1"/>
  <c r="FL67" i="11"/>
  <c r="W39" i="4"/>
  <c r="W54" i="5"/>
  <c r="W59" i="5"/>
  <c r="W57" i="5"/>
  <c r="EW67" i="11"/>
  <c r="AR185" i="1"/>
  <c r="AV185" i="1"/>
  <c r="CM48" i="11"/>
  <c r="CM28" i="11"/>
  <c r="CM31" i="11" s="1"/>
  <c r="CM50" i="11" s="1"/>
  <c r="CM49" i="11"/>
  <c r="H109" i="68"/>
  <c r="H93" i="68"/>
  <c r="FN22" i="11"/>
  <c r="Y48" i="5"/>
  <c r="K15" i="68"/>
  <c r="Z37" i="5"/>
  <c r="Z50" i="5"/>
  <c r="FO23" i="11" s="1"/>
  <c r="Z24" i="5"/>
  <c r="Z34" i="5" s="1"/>
  <c r="Z5" i="4"/>
  <c r="Z41" i="4" s="1"/>
  <c r="Z11" i="5"/>
  <c r="Z47" i="5"/>
  <c r="Z35" i="5"/>
  <c r="FO17" i="11" s="1"/>
  <c r="Z7" i="5"/>
  <c r="Z62" i="5"/>
  <c r="Z73" i="5"/>
  <c r="Z56" i="5"/>
  <c r="AA5" i="5"/>
  <c r="Z40" i="5"/>
  <c r="FO18" i="11" s="1"/>
  <c r="CU48" i="11"/>
  <c r="CU49" i="11"/>
  <c r="CU28" i="11"/>
  <c r="CU31" i="11" s="1"/>
  <c r="CU50" i="11" s="1"/>
  <c r="Y51" i="11"/>
  <c r="AD59" i="11"/>
  <c r="AD54" i="11"/>
  <c r="Y13" i="11"/>
  <c r="E31" i="68"/>
  <c r="E16" i="68"/>
  <c r="E26" i="68"/>
  <c r="D74" i="68"/>
  <c r="D49" i="68"/>
  <c r="D168" i="68"/>
  <c r="D131" i="68"/>
  <c r="T186" i="1"/>
  <c r="P186" i="1"/>
  <c r="T39" i="4"/>
  <c r="FH67" i="11"/>
  <c r="FD45" i="11"/>
  <c r="FD20" i="11"/>
  <c r="FE57" i="11" s="1"/>
  <c r="FA48" i="11"/>
  <c r="FA49" i="11"/>
  <c r="FA28" i="11"/>
  <c r="FA31" i="11" s="1"/>
  <c r="FA50" i="11" s="1"/>
  <c r="EU15" i="11"/>
  <c r="G38" i="5"/>
  <c r="DY71" i="11"/>
  <c r="DZ5" i="11"/>
  <c r="DY72" i="11"/>
  <c r="E168" i="68"/>
  <c r="T185" i="1"/>
  <c r="L84" i="42"/>
  <c r="L119" i="42" s="1"/>
  <c r="CB57" i="11"/>
  <c r="CB24" i="11"/>
  <c r="CB47" i="11"/>
  <c r="DX45" i="11"/>
  <c r="DX20" i="11"/>
  <c r="DU24" i="11"/>
  <c r="DU57" i="11"/>
  <c r="DU47" i="11"/>
  <c r="Z62" i="10"/>
  <c r="Y72" i="9"/>
  <c r="Y76" i="9" s="1"/>
  <c r="FM46" i="11"/>
  <c r="FM56" i="11"/>
  <c r="AD45" i="11"/>
  <c r="AD20" i="11"/>
  <c r="CC57" i="11"/>
  <c r="CY24" i="11"/>
  <c r="CY57" i="11"/>
  <c r="CY47" i="11"/>
  <c r="DD57" i="11"/>
  <c r="CT49" i="11"/>
  <c r="CT48" i="11"/>
  <c r="CT28" i="11"/>
  <c r="CT31" i="11" s="1"/>
  <c r="CT50" i="11" s="1"/>
  <c r="G52" i="68"/>
  <c r="FJ57" i="11"/>
  <c r="FJ24" i="11"/>
  <c r="FJ47" i="11"/>
  <c r="Q53" i="10"/>
  <c r="Q56" i="10" s="1"/>
  <c r="Q35" i="10"/>
  <c r="Q63" i="10" s="1"/>
  <c r="AJ47" i="11"/>
  <c r="AO57" i="11"/>
  <c r="AJ24" i="11"/>
  <c r="CN176" i="1"/>
  <c r="CR176" i="1"/>
  <c r="BP48" i="11"/>
  <c r="BP28" i="11"/>
  <c r="BP31" i="11" s="1"/>
  <c r="BP50" i="11" s="1"/>
  <c r="BP49" i="11"/>
  <c r="FC48" i="11"/>
  <c r="FC28" i="11"/>
  <c r="FC31" i="11" s="1"/>
  <c r="FC50" i="11" s="1"/>
  <c r="FC49" i="11"/>
  <c r="EE56" i="11"/>
  <c r="D41" i="53" s="1"/>
  <c r="EE46" i="11"/>
  <c r="EC58" i="11"/>
  <c r="EE58" i="11"/>
  <c r="D43" i="53" s="1"/>
  <c r="ED46" i="11"/>
  <c r="ED56" i="11"/>
  <c r="EC51" i="11"/>
  <c r="EC59" i="11"/>
  <c r="EF59" i="11"/>
  <c r="EF51" i="11"/>
  <c r="ED59" i="11"/>
  <c r="ED51" i="11"/>
  <c r="AR186" i="1"/>
  <c r="AV186" i="1"/>
  <c r="BZ47" i="11"/>
  <c r="BZ24" i="11"/>
  <c r="BZ57" i="11"/>
  <c r="FA33" i="11"/>
  <c r="FA58" i="11" s="1"/>
  <c r="M70" i="5"/>
  <c r="M68" i="5"/>
  <c r="J63" i="68"/>
  <c r="J104" i="68" s="1"/>
  <c r="J145" i="68"/>
  <c r="FF67" i="11"/>
  <c r="R39" i="4"/>
  <c r="F115" i="68"/>
  <c r="F90" i="68"/>
  <c r="DA28" i="11"/>
  <c r="DA31" i="11" s="1"/>
  <c r="DA50" i="11" s="1"/>
  <c r="DA49" i="11"/>
  <c r="DA48" i="11"/>
  <c r="X185" i="1"/>
  <c r="AB185" i="1"/>
  <c r="I29" i="68"/>
  <c r="I13" i="68"/>
  <c r="O84" i="42"/>
  <c r="F69" i="68"/>
  <c r="F76" i="68"/>
  <c r="EW45" i="11"/>
  <c r="EW20" i="11"/>
  <c r="J62" i="10"/>
  <c r="I72" i="9"/>
  <c r="I76" i="9" s="1"/>
  <c r="W72" i="11"/>
  <c r="P53" i="10"/>
  <c r="P56" i="10" s="1"/>
  <c r="P35" i="10"/>
  <c r="P63" i="10" s="1"/>
  <c r="I69" i="68"/>
  <c r="I76" i="68"/>
  <c r="AD56" i="11"/>
  <c r="X184" i="1"/>
  <c r="T184" i="1"/>
  <c r="FL68" i="11"/>
  <c r="W8" i="4"/>
  <c r="FD67" i="11"/>
  <c r="P39" i="4"/>
  <c r="FD68" i="11" s="1"/>
  <c r="Y12" i="5"/>
  <c r="Y13" i="5" s="1"/>
  <c r="Z68" i="9"/>
  <c r="K8" i="68"/>
  <c r="FN11" i="11"/>
  <c r="FN14" i="11"/>
  <c r="Z69" i="9"/>
  <c r="Y25" i="5"/>
  <c r="Y26" i="5" s="1"/>
  <c r="K11" i="68"/>
  <c r="Y9" i="5"/>
  <c r="K36" i="68"/>
  <c r="J129" i="68"/>
  <c r="J88" i="68"/>
  <c r="J47" i="68"/>
  <c r="X51" i="11"/>
  <c r="X13" i="11"/>
  <c r="AE58" i="11"/>
  <c r="Z13" i="11"/>
  <c r="G76" i="68"/>
  <c r="DN48" i="11"/>
  <c r="DN49" i="11"/>
  <c r="DN28" i="11"/>
  <c r="DN31" i="11" s="1"/>
  <c r="DN50" i="11" s="1"/>
  <c r="D29" i="68"/>
  <c r="D13" i="68"/>
  <c r="Q114" i="42"/>
  <c r="R79" i="42"/>
  <c r="H69" i="9"/>
  <c r="EU14" i="11"/>
  <c r="G25" i="5"/>
  <c r="H26" i="5" s="1"/>
  <c r="E5" i="5"/>
  <c r="F35" i="5"/>
  <c r="ET17" i="11" s="1"/>
  <c r="F50" i="5"/>
  <c r="ET23" i="11" s="1"/>
  <c r="F47" i="5"/>
  <c r="F37" i="5"/>
  <c r="F73" i="5"/>
  <c r="ET36" i="11" s="1"/>
  <c r="F5" i="4"/>
  <c r="F41" i="4" s="1"/>
  <c r="F9" i="5" s="1"/>
  <c r="F11" i="5"/>
  <c r="F7" i="5"/>
  <c r="F62" i="5"/>
  <c r="F24" i="5"/>
  <c r="F42" i="5"/>
  <c r="ET19" i="11" s="1"/>
  <c r="F56" i="5"/>
  <c r="F40" i="5"/>
  <c r="ET18" i="11" s="1"/>
  <c r="H48" i="5"/>
  <c r="I74" i="9"/>
  <c r="I78" i="9" s="1"/>
  <c r="I73" i="9"/>
  <c r="I77" i="9" s="1"/>
  <c r="CP28" i="11"/>
  <c r="CP31" i="11" s="1"/>
  <c r="CP50" i="11" s="1"/>
  <c r="CP48" i="11"/>
  <c r="CP49" i="11"/>
  <c r="E153" i="68"/>
  <c r="E134" i="68"/>
  <c r="DQ72" i="11"/>
  <c r="DQ71" i="11"/>
  <c r="C85" i="42"/>
  <c r="DY20" i="11"/>
  <c r="DY45" i="11"/>
  <c r="DZ45" i="11"/>
  <c r="DZ20" i="11"/>
  <c r="X53" i="5"/>
  <c r="X45" i="5"/>
  <c r="X49" i="4"/>
  <c r="X38" i="4"/>
  <c r="X12" i="4"/>
  <c r="X7" i="4"/>
  <c r="CT57" i="11"/>
  <c r="G16" i="68"/>
  <c r="G26" i="68"/>
  <c r="G31" i="68"/>
  <c r="EF58" i="11"/>
  <c r="ED58" i="11"/>
  <c r="EC56" i="11"/>
  <c r="EC46" i="11"/>
  <c r="EJ19" i="11"/>
  <c r="EH18" i="11"/>
  <c r="EH55" i="11"/>
  <c r="EJ17" i="11"/>
  <c r="EK30" i="11"/>
  <c r="EI22" i="11"/>
  <c r="EI9" i="11"/>
  <c r="EJ11" i="11"/>
  <c r="C6" i="53" s="1"/>
  <c r="EK9" i="11"/>
  <c r="EH30" i="11"/>
  <c r="EI18" i="11"/>
  <c r="EJ23" i="11"/>
  <c r="EJ18" i="11"/>
  <c r="EH17" i="11"/>
  <c r="EJ42" i="11"/>
  <c r="EJ9" i="11"/>
  <c r="C4" i="53" s="1"/>
  <c r="EK19" i="11"/>
  <c r="EI17" i="11"/>
  <c r="EI30" i="11"/>
  <c r="EK17" i="11"/>
  <c r="EJ30" i="11"/>
  <c r="EH23" i="11"/>
  <c r="EI42" i="11"/>
  <c r="EH42" i="11"/>
  <c r="EH11" i="11"/>
  <c r="EH9" i="11"/>
  <c r="EI55" i="11"/>
  <c r="EI23" i="11"/>
  <c r="EJ22" i="11"/>
  <c r="C17" i="53" s="1"/>
  <c r="EH19" i="11"/>
  <c r="EK55" i="11"/>
  <c r="EK23" i="11"/>
  <c r="EI19" i="11"/>
  <c r="EK18" i="11"/>
  <c r="EJ26" i="11"/>
  <c r="C21" i="53" s="1"/>
  <c r="EI26" i="11"/>
  <c r="EK11" i="11"/>
  <c r="EJ55" i="11"/>
  <c r="C40" i="53" s="1"/>
  <c r="EH5" i="11"/>
  <c r="EK22" i="11"/>
  <c r="EH22" i="11"/>
  <c r="EK42" i="11"/>
  <c r="EI11" i="11"/>
  <c r="EH38" i="11"/>
  <c r="EE13" i="11"/>
  <c r="EE54" i="11"/>
  <c r="D39" i="53" s="1"/>
  <c r="C47" i="53" s="1"/>
  <c r="C48" i="53" s="1"/>
  <c r="EF46" i="11"/>
  <c r="EF56" i="11"/>
  <c r="AF184" i="1"/>
  <c r="H134" i="68"/>
  <c r="H153" i="68"/>
  <c r="S67" i="5"/>
  <c r="S64" i="5"/>
  <c r="S60" i="5"/>
  <c r="U8" i="10"/>
  <c r="AC54" i="11"/>
  <c r="R112" i="42"/>
  <c r="S77" i="42"/>
  <c r="P57" i="5"/>
  <c r="P54" i="5"/>
  <c r="P59" i="5"/>
  <c r="CF57" i="11"/>
  <c r="N70" i="9"/>
  <c r="M65" i="5"/>
  <c r="CZ28" i="11"/>
  <c r="CZ31" i="11" s="1"/>
  <c r="CZ50" i="11" s="1"/>
  <c r="CZ49" i="11"/>
  <c r="CZ48" i="11"/>
  <c r="DL48" i="11"/>
  <c r="DL28" i="11"/>
  <c r="DL31" i="11" s="1"/>
  <c r="DL50" i="11" s="1"/>
  <c r="DL49" i="11"/>
  <c r="J67" i="5"/>
  <c r="L8" i="10"/>
  <c r="L18" i="10" s="1"/>
  <c r="J64" i="5"/>
  <c r="J60" i="5"/>
  <c r="DE28" i="11"/>
  <c r="DE31" i="11" s="1"/>
  <c r="DE50" i="11" s="1"/>
  <c r="DE48" i="11"/>
  <c r="DE49" i="11"/>
  <c r="J57" i="68"/>
  <c r="J98" i="68"/>
  <c r="J139" i="68"/>
  <c r="AE45" i="11"/>
  <c r="AE20" i="11"/>
  <c r="BT184" i="1"/>
  <c r="CV24" i="11"/>
  <c r="CV47" i="11"/>
  <c r="CV57" i="11"/>
  <c r="D157" i="68"/>
  <c r="D173" i="68"/>
  <c r="DB24" i="11"/>
  <c r="DB47" i="11"/>
  <c r="DB57" i="11"/>
  <c r="AL57" i="11"/>
  <c r="AG24" i="11"/>
  <c r="AG47" i="11"/>
  <c r="T57" i="5"/>
  <c r="T54" i="5"/>
  <c r="T59" i="5"/>
  <c r="F29" i="68"/>
  <c r="F13" i="68"/>
  <c r="DA57" i="11"/>
  <c r="I49" i="68"/>
  <c r="I68" i="68" s="1"/>
  <c r="I74" i="68"/>
  <c r="Q59" i="5"/>
  <c r="Q54" i="5"/>
  <c r="Q57" i="5"/>
  <c r="H53" i="5"/>
  <c r="H45" i="5"/>
  <c r="H49" i="4"/>
  <c r="H50" i="4" s="1"/>
  <c r="H7" i="4"/>
  <c r="H38" i="4"/>
  <c r="I39" i="4" s="1"/>
  <c r="EW68" i="11" s="1"/>
  <c r="EI37" i="11"/>
  <c r="E52" i="68"/>
  <c r="FB33" i="11"/>
  <c r="N70" i="5"/>
  <c r="N68" i="5"/>
  <c r="DK49" i="11"/>
  <c r="DK48" i="11"/>
  <c r="DK28" i="11"/>
  <c r="DK31" i="11" s="1"/>
  <c r="DK50" i="11" s="1"/>
  <c r="I173" i="68"/>
  <c r="I157" i="68"/>
  <c r="AN28" i="11"/>
  <c r="AN31" i="11" s="1"/>
  <c r="AN50" i="11" s="1"/>
  <c r="AN48" i="11"/>
  <c r="AN49" i="11"/>
  <c r="AB186" i="1"/>
  <c r="AF186" i="1"/>
  <c r="CG47" i="11"/>
  <c r="CG57" i="11"/>
  <c r="CG24" i="11"/>
  <c r="CJ184" i="1"/>
  <c r="CN184" i="1"/>
  <c r="G168" i="68"/>
  <c r="CL48" i="11"/>
  <c r="CL28" i="11"/>
  <c r="CL31" i="11" s="1"/>
  <c r="CL50" i="11" s="1"/>
  <c r="CL49" i="11"/>
  <c r="EA45" i="11"/>
  <c r="EA20" i="11"/>
  <c r="CJ186" i="1"/>
  <c r="J92" i="68"/>
  <c r="J133" i="68"/>
  <c r="J51" i="68"/>
  <c r="K12" i="68"/>
  <c r="Y39" i="5"/>
  <c r="Y38" i="5"/>
  <c r="FN15" i="11"/>
  <c r="Z67" i="9"/>
  <c r="Y31" i="5"/>
  <c r="K6" i="68"/>
  <c r="Y8" i="5"/>
  <c r="Y11" i="4"/>
  <c r="Y29" i="5"/>
  <c r="FN9" i="11"/>
  <c r="Y33" i="5"/>
  <c r="Y44" i="5"/>
  <c r="Y22" i="5"/>
  <c r="Y74" i="9"/>
  <c r="Y78" i="9" s="1"/>
  <c r="Y73" i="9"/>
  <c r="Y77" i="9" s="1"/>
  <c r="V67" i="5"/>
  <c r="V60" i="5"/>
  <c r="V64" i="5"/>
  <c r="X8" i="10"/>
  <c r="AD58" i="11"/>
  <c r="Z51" i="11"/>
  <c r="AB59" i="11"/>
  <c r="W51" i="11"/>
  <c r="W13" i="11"/>
  <c r="DH161" i="1"/>
  <c r="DI161" i="1"/>
  <c r="D115" i="68"/>
  <c r="D90" i="68"/>
  <c r="D109" i="68" s="1"/>
  <c r="P115" i="42"/>
  <c r="Q80" i="42"/>
  <c r="P81" i="42"/>
  <c r="P82" i="42" s="1"/>
  <c r="DI28" i="11"/>
  <c r="DI31" i="11" s="1"/>
  <c r="DI50" i="11" s="1"/>
  <c r="DI49" i="11"/>
  <c r="DI48" i="11"/>
  <c r="BU24" i="11"/>
  <c r="BU47" i="11"/>
  <c r="BU57" i="11"/>
  <c r="H68" i="9"/>
  <c r="EU11" i="11"/>
  <c r="G12" i="5"/>
  <c r="H13" i="5" s="1"/>
  <c r="EU30" i="11"/>
  <c r="G115" i="68"/>
  <c r="EX47" i="11"/>
  <c r="EX24" i="11"/>
  <c r="J116" i="42"/>
  <c r="K115" i="42"/>
  <c r="D116" i="42"/>
  <c r="D373" i="35"/>
  <c r="E372" i="35"/>
  <c r="V74" i="42"/>
  <c r="L174" i="1"/>
  <c r="H174" i="1"/>
  <c r="E80" i="42"/>
  <c r="E81" i="42" s="1"/>
  <c r="E82" i="42" s="1"/>
  <c r="O116" i="42"/>
  <c r="N83" i="42"/>
  <c r="J34" i="3"/>
  <c r="L34" i="3" s="1"/>
  <c r="B35" i="3"/>
  <c r="FM37" i="11"/>
  <c r="FM55" i="11"/>
  <c r="FM38" i="11"/>
  <c r="FM62" i="11"/>
  <c r="FM42" i="11"/>
  <c r="Y193" i="3"/>
  <c r="Y200" i="3"/>
  <c r="L71" i="5"/>
  <c r="EY34" i="11"/>
  <c r="AP197" i="3"/>
  <c r="U196" i="3"/>
  <c r="AP203" i="3"/>
  <c r="AP210" i="3" s="1"/>
  <c r="L33" i="3"/>
  <c r="I83" i="42"/>
  <c r="G85" i="42"/>
  <c r="FO65" i="11"/>
  <c r="FN65" i="11"/>
  <c r="FN72" i="11"/>
  <c r="ES66" i="11"/>
  <c r="E36" i="4"/>
  <c r="AA10" i="4"/>
  <c r="Z118" i="8"/>
  <c r="Z125" i="8"/>
  <c r="DG202" i="1"/>
  <c r="EJ38" i="11"/>
  <c r="H165" i="1"/>
  <c r="I165" i="1"/>
  <c r="M165" i="1"/>
  <c r="EZ62" i="11"/>
  <c r="FA6" i="11"/>
  <c r="EZ37" i="11"/>
  <c r="EZ38" i="11"/>
  <c r="EZ55" i="11"/>
  <c r="EZ42" i="11"/>
  <c r="K87" i="42"/>
  <c r="H114" i="42"/>
  <c r="I113" i="42"/>
  <c r="E114" i="42"/>
  <c r="F113" i="42"/>
  <c r="C86" i="42"/>
  <c r="AJ183" i="3"/>
  <c r="AL183" i="3" s="1"/>
  <c r="W183" i="3"/>
  <c r="H80" i="42"/>
  <c r="Z5" i="11"/>
  <c r="F16" i="4"/>
  <c r="F17" i="4" s="1"/>
  <c r="U190" i="3"/>
  <c r="AB9" i="4"/>
  <c r="N32" i="3"/>
  <c r="P32" i="3" s="1"/>
  <c r="W32" i="3"/>
  <c r="Y32" i="3" s="1"/>
  <c r="DG181" i="1"/>
  <c r="DG171" i="1"/>
  <c r="EI36" i="11"/>
  <c r="AC35" i="4"/>
  <c r="AD18" i="4"/>
  <c r="C15" i="42"/>
  <c r="C136" i="42"/>
  <c r="C22" i="42"/>
  <c r="C64" i="42"/>
  <c r="C100" i="42"/>
  <c r="C35" i="42"/>
  <c r="AA27" i="4"/>
  <c r="Z27" i="4"/>
  <c r="G117" i="42"/>
  <c r="F84" i="42"/>
  <c r="H164" i="1"/>
  <c r="I164" i="1"/>
  <c r="M164" i="1"/>
  <c r="G184" i="1"/>
  <c r="U100" i="42"/>
  <c r="U15" i="42"/>
  <c r="U35" i="42"/>
  <c r="U22" i="42"/>
  <c r="U136" i="42"/>
  <c r="V3" i="42"/>
  <c r="U64" i="42"/>
  <c r="C120" i="42"/>
  <c r="C27" i="42"/>
  <c r="FL59" i="11"/>
  <c r="FL51" i="11"/>
  <c r="EZ58" i="11"/>
  <c r="D82" i="42"/>
  <c r="J115" i="42"/>
  <c r="K114" i="42"/>
  <c r="J82" i="42"/>
  <c r="AJ189" i="3"/>
  <c r="AL189" i="3" s="1"/>
  <c r="AN189" i="3" s="1"/>
  <c r="W189" i="3"/>
  <c r="Y189" i="3" s="1"/>
  <c r="M116" i="42"/>
  <c r="M82" i="42"/>
  <c r="U108" i="42"/>
  <c r="V73" i="42"/>
  <c r="C87" i="42"/>
  <c r="C47" i="3"/>
  <c r="Y27" i="4"/>
  <c r="V72" i="42"/>
  <c r="V106" i="42"/>
  <c r="U107" i="42"/>
  <c r="H181" i="1"/>
  <c r="G185" i="1"/>
  <c r="L181" i="1"/>
  <c r="EY59" i="11"/>
  <c r="EY51" i="11"/>
  <c r="AL39" i="3" l="1"/>
  <c r="AN39" i="3" s="1"/>
  <c r="D15" i="53"/>
  <c r="F42" i="53" s="1"/>
  <c r="J4" i="53"/>
  <c r="I4" i="53"/>
  <c r="H4" i="53"/>
  <c r="L4" i="53"/>
  <c r="C31" i="53"/>
  <c r="C11" i="53"/>
  <c r="H10" i="53"/>
  <c r="I17" i="53"/>
  <c r="J17" i="53"/>
  <c r="H9" i="53"/>
  <c r="C30" i="53"/>
  <c r="H17" i="53"/>
  <c r="I6" i="53"/>
  <c r="H6" i="53"/>
  <c r="C8" i="53"/>
  <c r="J6" i="53"/>
  <c r="AC35" i="3"/>
  <c r="AC36" i="3" s="1"/>
  <c r="I21" i="53"/>
  <c r="J21" i="53"/>
  <c r="H21" i="53"/>
  <c r="K210" i="3"/>
  <c r="L211" i="3"/>
  <c r="N211" i="3" s="1"/>
  <c r="K211" i="3"/>
  <c r="V139" i="8"/>
  <c r="V140" i="8" s="1"/>
  <c r="A128" i="42"/>
  <c r="B128" i="42"/>
  <c r="DK198" i="1"/>
  <c r="AE15" i="4"/>
  <c r="AE17" i="4"/>
  <c r="AE18" i="4" s="1"/>
  <c r="AF14" i="4"/>
  <c r="AF16" i="4" s="1"/>
  <c r="AF17" i="4" s="1"/>
  <c r="FT63" i="11"/>
  <c r="FT71" i="11" s="1"/>
  <c r="L210" i="3"/>
  <c r="N210" i="3" s="1"/>
  <c r="P210" i="3" s="1"/>
  <c r="AL209" i="3"/>
  <c r="AN209" i="3" s="1"/>
  <c r="AP211" i="3"/>
  <c r="AE29" i="4"/>
  <c r="E643" i="35"/>
  <c r="AA210" i="3"/>
  <c r="EP23" i="11"/>
  <c r="EP22" i="11"/>
  <c r="EP15" i="11"/>
  <c r="EP14" i="11"/>
  <c r="EP56" i="11" s="1"/>
  <c r="EO23" i="11"/>
  <c r="EO22" i="11"/>
  <c r="EO15" i="11"/>
  <c r="EM15" i="11"/>
  <c r="EN23" i="11"/>
  <c r="EN22" i="11"/>
  <c r="EN15" i="11"/>
  <c r="EM23" i="11"/>
  <c r="EM22" i="11"/>
  <c r="EN14" i="11"/>
  <c r="EN56" i="11" s="1"/>
  <c r="EM55" i="11"/>
  <c r="EM14" i="11"/>
  <c r="EN55" i="11"/>
  <c r="EO14" i="11"/>
  <c r="EO55" i="11"/>
  <c r="EP55" i="11"/>
  <c r="EO11" i="11"/>
  <c r="EM9" i="11"/>
  <c r="EM54" i="11" s="1"/>
  <c r="EO9" i="11"/>
  <c r="EN9" i="11"/>
  <c r="EN54" i="11" s="1"/>
  <c r="EN11" i="11"/>
  <c r="EM11" i="11"/>
  <c r="EM13" i="11" s="1"/>
  <c r="EN42" i="11"/>
  <c r="EM26" i="11"/>
  <c r="EO26" i="11"/>
  <c r="EM42" i="11"/>
  <c r="EO42" i="11"/>
  <c r="EO59" i="11" s="1"/>
  <c r="EN26" i="11"/>
  <c r="DM162" i="1"/>
  <c r="X50" i="4"/>
  <c r="EJ13" i="11"/>
  <c r="EK13" i="11"/>
  <c r="EH13" i="11"/>
  <c r="EI13" i="11"/>
  <c r="R16" i="11"/>
  <c r="R20" i="11" s="1"/>
  <c r="R47" i="11" s="1"/>
  <c r="EV20" i="11"/>
  <c r="EV24" i="11" s="1"/>
  <c r="DS48" i="11"/>
  <c r="DS49" i="11"/>
  <c r="P70" i="9"/>
  <c r="J49" i="68"/>
  <c r="J52" i="68" s="1"/>
  <c r="FC33" i="11"/>
  <c r="FC58" i="11" s="1"/>
  <c r="O68" i="5"/>
  <c r="FI57" i="11"/>
  <c r="FB58" i="11"/>
  <c r="T13" i="11"/>
  <c r="T45" i="11" s="1"/>
  <c r="I93" i="68"/>
  <c r="I106" i="68" s="1"/>
  <c r="FH24" i="11"/>
  <c r="FH28" i="11" s="1"/>
  <c r="FH31" i="11" s="1"/>
  <c r="FH50" i="11" s="1"/>
  <c r="FF47" i="11"/>
  <c r="FH47" i="11"/>
  <c r="C55" i="68"/>
  <c r="C60" i="68" s="1"/>
  <c r="C62" i="68" s="1"/>
  <c r="C70" i="68"/>
  <c r="FF24" i="11"/>
  <c r="FF48" i="11" s="1"/>
  <c r="AG14" i="4"/>
  <c r="AG16" i="4" s="1"/>
  <c r="FU63" i="11"/>
  <c r="FU71" i="11" s="1"/>
  <c r="I134" i="68"/>
  <c r="I150" i="68" s="1"/>
  <c r="FM20" i="11"/>
  <c r="J131" i="68"/>
  <c r="J134" i="68" s="1"/>
  <c r="J150" i="68" s="1"/>
  <c r="FG57" i="11"/>
  <c r="U51" i="11"/>
  <c r="W54" i="11"/>
  <c r="R46" i="11"/>
  <c r="R51" i="11"/>
  <c r="F52" i="68"/>
  <c r="F55" i="68" s="1"/>
  <c r="W56" i="11"/>
  <c r="FN46" i="11"/>
  <c r="I52" i="68"/>
  <c r="I70" i="68" s="1"/>
  <c r="W45" i="11"/>
  <c r="W20" i="11"/>
  <c r="FJ33" i="11"/>
  <c r="V70" i="5"/>
  <c r="V68" i="5"/>
  <c r="K92" i="68"/>
  <c r="K51" i="68"/>
  <c r="K133" i="68"/>
  <c r="N71" i="5"/>
  <c r="FB34" i="11"/>
  <c r="CV48" i="11"/>
  <c r="CV49" i="11"/>
  <c r="CV28" i="11"/>
  <c r="CV31" i="11" s="1"/>
  <c r="CV50" i="11" s="1"/>
  <c r="J65" i="5"/>
  <c r="K70" i="9"/>
  <c r="P64" i="5"/>
  <c r="P60" i="5"/>
  <c r="R8" i="10"/>
  <c r="R18" i="10" s="1"/>
  <c r="P67" i="5"/>
  <c r="FG33" i="11"/>
  <c r="S70" i="5"/>
  <c r="H161" i="68"/>
  <c r="H174" i="68"/>
  <c r="H137" i="68"/>
  <c r="H150" i="68"/>
  <c r="EI51" i="11"/>
  <c r="EI59" i="11"/>
  <c r="X39" i="4"/>
  <c r="FM67" i="11"/>
  <c r="X54" i="5"/>
  <c r="X59" i="5"/>
  <c r="X57" i="5"/>
  <c r="ET16" i="11"/>
  <c r="Z20" i="11"/>
  <c r="Z45" i="11"/>
  <c r="D68" i="68"/>
  <c r="D52" i="68"/>
  <c r="E77" i="68" s="1"/>
  <c r="FO11" i="11"/>
  <c r="L8" i="68"/>
  <c r="AA68" i="9"/>
  <c r="Z12" i="5"/>
  <c r="Z13" i="5" s="1"/>
  <c r="AI48" i="11"/>
  <c r="AI49" i="11"/>
  <c r="AI28" i="11"/>
  <c r="AI31" i="11" s="1"/>
  <c r="AI50" i="11" s="1"/>
  <c r="I62" i="10"/>
  <c r="H72" i="9"/>
  <c r="H76" i="9" s="1"/>
  <c r="U75" i="42"/>
  <c r="V109" i="42" s="1"/>
  <c r="T110" i="42"/>
  <c r="AB47" i="11"/>
  <c r="AG57" i="11"/>
  <c r="AB24" i="11"/>
  <c r="S13" i="11"/>
  <c r="C32" i="68"/>
  <c r="C21" i="68"/>
  <c r="C23" i="68" s="1"/>
  <c r="F153" i="68"/>
  <c r="F134" i="68"/>
  <c r="G174" i="68" s="1"/>
  <c r="I60" i="5"/>
  <c r="I67" i="5"/>
  <c r="J68" i="5" s="1"/>
  <c r="K8" i="10"/>
  <c r="K18" i="10" s="1"/>
  <c r="I64" i="5"/>
  <c r="J110" i="68"/>
  <c r="J117" i="68"/>
  <c r="EX28" i="11"/>
  <c r="EX31" i="11" s="1"/>
  <c r="EX50" i="11" s="1"/>
  <c r="EX48" i="11"/>
  <c r="EX49" i="11"/>
  <c r="Q82" i="42"/>
  <c r="P117" i="42"/>
  <c r="DS66" i="11"/>
  <c r="X18" i="10"/>
  <c r="AA62" i="10"/>
  <c r="Z72" i="9"/>
  <c r="Z76" i="9" s="1"/>
  <c r="EA47" i="11"/>
  <c r="EA57" i="11"/>
  <c r="EA24" i="11"/>
  <c r="H54" i="5"/>
  <c r="H59" i="5"/>
  <c r="H57" i="5"/>
  <c r="F31" i="68"/>
  <c r="F16" i="68"/>
  <c r="F26" i="68"/>
  <c r="F40" i="68" s="1"/>
  <c r="F38" i="68"/>
  <c r="DY47" i="11"/>
  <c r="DY24" i="11"/>
  <c r="DY57" i="11"/>
  <c r="F38" i="5"/>
  <c r="ET15" i="11"/>
  <c r="J90" i="68"/>
  <c r="F109" i="68"/>
  <c r="F93" i="68"/>
  <c r="G118" i="68" s="1"/>
  <c r="FJ49" i="11"/>
  <c r="FJ48" i="11"/>
  <c r="FJ28" i="11"/>
  <c r="FJ31" i="11" s="1"/>
  <c r="FJ50" i="11" s="1"/>
  <c r="DX24" i="11"/>
  <c r="DX47" i="11"/>
  <c r="DX57" i="11"/>
  <c r="L6" i="68"/>
  <c r="L35" i="68" s="1"/>
  <c r="Z8" i="5"/>
  <c r="Z11" i="4"/>
  <c r="FO9" i="11"/>
  <c r="Z44" i="5"/>
  <c r="AA67" i="9"/>
  <c r="ED71" i="11"/>
  <c r="EE5" i="11"/>
  <c r="ED72" i="11"/>
  <c r="T76" i="42"/>
  <c r="S111" i="42"/>
  <c r="T51" i="11"/>
  <c r="U16" i="11"/>
  <c r="G161" i="68"/>
  <c r="G137" i="68"/>
  <c r="G150" i="68"/>
  <c r="BR48" i="11"/>
  <c r="BR28" i="11"/>
  <c r="BR31" i="11" s="1"/>
  <c r="BR50" i="11" s="1"/>
  <c r="BR49" i="11"/>
  <c r="U65" i="5"/>
  <c r="V70" i="9"/>
  <c r="EC20" i="11"/>
  <c r="EC45" i="11"/>
  <c r="E83" i="42"/>
  <c r="E84" i="42" s="1"/>
  <c r="L85" i="42"/>
  <c r="BU28" i="11"/>
  <c r="BU31" i="11" s="1"/>
  <c r="BU50" i="11" s="1"/>
  <c r="BU49" i="11"/>
  <c r="BU48" i="11"/>
  <c r="P116" i="42"/>
  <c r="Q81" i="42"/>
  <c r="P83" i="42"/>
  <c r="FN54" i="11"/>
  <c r="FN51" i="11"/>
  <c r="K35" i="68"/>
  <c r="K127" i="68"/>
  <c r="K168" i="68" s="1"/>
  <c r="K45" i="68"/>
  <c r="K74" i="68" s="1"/>
  <c r="K86" i="68"/>
  <c r="K115" i="68" s="1"/>
  <c r="K10" i="68"/>
  <c r="CG28" i="11"/>
  <c r="CG31" i="11" s="1"/>
  <c r="CG50" i="11" s="1"/>
  <c r="CG48" i="11"/>
  <c r="CG49" i="11"/>
  <c r="T67" i="5"/>
  <c r="T60" i="5"/>
  <c r="V8" i="10"/>
  <c r="T64" i="5"/>
  <c r="AG28" i="11"/>
  <c r="AG31" i="11" s="1"/>
  <c r="AG50" i="11" s="1"/>
  <c r="AG49" i="11"/>
  <c r="AG48" i="11"/>
  <c r="DB48" i="11"/>
  <c r="DB28" i="11"/>
  <c r="DB31" i="11" s="1"/>
  <c r="DB50" i="11" s="1"/>
  <c r="DB49" i="11"/>
  <c r="S112" i="42"/>
  <c r="T77" i="42"/>
  <c r="S65" i="5"/>
  <c r="T70" i="9"/>
  <c r="EE20" i="11"/>
  <c r="D18" i="53" s="1"/>
  <c r="EE45" i="11"/>
  <c r="EK59" i="11"/>
  <c r="EK51" i="11"/>
  <c r="EH51" i="11"/>
  <c r="EH59" i="11"/>
  <c r="EI56" i="11"/>
  <c r="EI46" i="11"/>
  <c r="EJ51" i="11"/>
  <c r="EJ59" i="11"/>
  <c r="EJ56" i="11"/>
  <c r="C41" i="53" s="1"/>
  <c r="EJ46" i="11"/>
  <c r="G32" i="68"/>
  <c r="G21" i="68"/>
  <c r="G23" i="68" s="1"/>
  <c r="E150" i="68"/>
  <c r="E161" i="68"/>
  <c r="E137" i="68"/>
  <c r="ET14" i="11"/>
  <c r="EU56" i="11" s="1"/>
  <c r="G69" i="9"/>
  <c r="F25" i="5"/>
  <c r="G26" i="5" s="1"/>
  <c r="EV56" i="11"/>
  <c r="EU46" i="11"/>
  <c r="X45" i="11"/>
  <c r="X20" i="11"/>
  <c r="AC57" i="11" s="1"/>
  <c r="K75" i="68"/>
  <c r="K169" i="68"/>
  <c r="K116" i="68"/>
  <c r="K129" i="68"/>
  <c r="K88" i="68"/>
  <c r="K47" i="68"/>
  <c r="BZ48" i="11"/>
  <c r="BZ28" i="11"/>
  <c r="BZ31" i="11" s="1"/>
  <c r="BZ50" i="11" s="1"/>
  <c r="BZ49" i="11"/>
  <c r="AJ28" i="11"/>
  <c r="AJ31" i="11" s="1"/>
  <c r="AJ50" i="11" s="1"/>
  <c r="AJ49" i="11"/>
  <c r="AJ48" i="11"/>
  <c r="G70" i="68"/>
  <c r="G55" i="68"/>
  <c r="G65" i="68"/>
  <c r="EA5" i="11"/>
  <c r="DZ71" i="11"/>
  <c r="DZ72" i="11"/>
  <c r="FD24" i="11"/>
  <c r="FD47" i="11"/>
  <c r="FD57" i="11"/>
  <c r="Y54" i="11"/>
  <c r="FO36" i="11"/>
  <c r="L24" i="68"/>
  <c r="FO22" i="11"/>
  <c r="L15" i="68"/>
  <c r="Z48" i="5"/>
  <c r="DH162" i="1"/>
  <c r="DI162" i="1"/>
  <c r="E96" i="68"/>
  <c r="E111" i="68"/>
  <c r="AH48" i="11"/>
  <c r="AH49" i="11"/>
  <c r="AH28" i="11"/>
  <c r="AH31" i="11" s="1"/>
  <c r="AH50" i="11" s="1"/>
  <c r="DV49" i="11"/>
  <c r="DV28" i="11"/>
  <c r="DV31" i="11" s="1"/>
  <c r="DV50" i="11" s="1"/>
  <c r="DV48" i="11"/>
  <c r="ED45" i="11"/>
  <c r="ED20" i="11"/>
  <c r="CJ48" i="11"/>
  <c r="CJ28" i="11"/>
  <c r="CJ31" i="11" s="1"/>
  <c r="CJ50" i="11" s="1"/>
  <c r="CJ49" i="11"/>
  <c r="FG28" i="11"/>
  <c r="FG31" i="11" s="1"/>
  <c r="FG50" i="11" s="1"/>
  <c r="FG48" i="11"/>
  <c r="FG49" i="11"/>
  <c r="L118" i="42"/>
  <c r="L86" i="42"/>
  <c r="L121" i="42" s="1"/>
  <c r="G45" i="5"/>
  <c r="G49" i="4"/>
  <c r="G50" i="4" s="1"/>
  <c r="G53" i="5"/>
  <c r="D93" i="68"/>
  <c r="E118" i="68" s="1"/>
  <c r="T16" i="11"/>
  <c r="U13" i="11"/>
  <c r="T46" i="11"/>
  <c r="U46" i="11"/>
  <c r="DV72" i="11"/>
  <c r="DV71" i="11"/>
  <c r="BV28" i="11"/>
  <c r="BV31" i="11" s="1"/>
  <c r="BV50" i="11" s="1"/>
  <c r="BV48" i="11"/>
  <c r="BV49" i="11"/>
  <c r="H40" i="68"/>
  <c r="J69" i="68"/>
  <c r="J76" i="68"/>
  <c r="C150" i="68"/>
  <c r="C137" i="68"/>
  <c r="C161" i="68"/>
  <c r="H73" i="9"/>
  <c r="H77" i="9" s="1"/>
  <c r="H74" i="9"/>
  <c r="H78" i="9" s="1"/>
  <c r="Y49" i="4"/>
  <c r="Y50" i="4" s="1"/>
  <c r="Y53" i="5"/>
  <c r="Y45" i="5"/>
  <c r="EI54" i="11"/>
  <c r="EK56" i="11"/>
  <c r="EK46" i="11"/>
  <c r="ET30" i="11"/>
  <c r="Z74" i="9"/>
  <c r="Z78" i="9" s="1"/>
  <c r="Z73" i="9"/>
  <c r="Z77" i="9" s="1"/>
  <c r="AD47" i="11"/>
  <c r="AD24" i="11"/>
  <c r="AI57" i="11"/>
  <c r="DU48" i="11"/>
  <c r="DU49" i="11"/>
  <c r="DU28" i="11"/>
  <c r="DU31" i="11" s="1"/>
  <c r="DU50" i="11" s="1"/>
  <c r="E21" i="68"/>
  <c r="E23" i="68" s="1"/>
  <c r="E32" i="68"/>
  <c r="FO30" i="11"/>
  <c r="Z38" i="5"/>
  <c r="L12" i="68"/>
  <c r="Z39" i="5"/>
  <c r="FO15" i="11"/>
  <c r="FI48" i="11"/>
  <c r="FI28" i="11"/>
  <c r="FI31" i="11" s="1"/>
  <c r="FI50" i="11" s="1"/>
  <c r="FI49" i="11"/>
  <c r="R60" i="5"/>
  <c r="R64" i="5"/>
  <c r="T8" i="10"/>
  <c r="R67" i="5"/>
  <c r="EF45" i="11"/>
  <c r="EF20" i="11"/>
  <c r="CA48" i="11"/>
  <c r="CA28" i="11"/>
  <c r="CA31" i="11" s="1"/>
  <c r="CA50" i="11" s="1"/>
  <c r="CA49" i="11"/>
  <c r="L36" i="68"/>
  <c r="Z9" i="5"/>
  <c r="G7" i="4"/>
  <c r="G38" i="4"/>
  <c r="H39" i="4" s="1"/>
  <c r="EV68" i="11" s="1"/>
  <c r="M15" i="11"/>
  <c r="P19" i="11"/>
  <c r="O19" i="11"/>
  <c r="O14" i="11"/>
  <c r="O9" i="11"/>
  <c r="N22" i="11"/>
  <c r="O26" i="11"/>
  <c r="M26" i="11"/>
  <c r="M17" i="11"/>
  <c r="M36" i="11"/>
  <c r="N36" i="11"/>
  <c r="N37" i="11"/>
  <c r="M55" i="11"/>
  <c r="P15" i="11"/>
  <c r="N42" i="11"/>
  <c r="P33" i="11"/>
  <c r="U58" i="11" s="1"/>
  <c r="N34" i="11"/>
  <c r="N15" i="11"/>
  <c r="O36" i="11"/>
  <c r="M19" i="11"/>
  <c r="M42" i="11"/>
  <c r="M11" i="11"/>
  <c r="P17" i="11"/>
  <c r="P11" i="11"/>
  <c r="P9" i="11"/>
  <c r="M9" i="11"/>
  <c r="P23" i="11"/>
  <c r="N26" i="11"/>
  <c r="M30" i="11"/>
  <c r="O37" i="11"/>
  <c r="N18" i="11"/>
  <c r="P22" i="11"/>
  <c r="M5" i="11"/>
  <c r="M33" i="11"/>
  <c r="R58" i="11" s="1"/>
  <c r="O33" i="11"/>
  <c r="N23" i="11"/>
  <c r="P37" i="11"/>
  <c r="N11" i="11"/>
  <c r="O18" i="11"/>
  <c r="P14" i="11"/>
  <c r="M23" i="11"/>
  <c r="N14" i="11"/>
  <c r="O42" i="11"/>
  <c r="T59" i="11" s="1"/>
  <c r="O22" i="11"/>
  <c r="O17" i="11"/>
  <c r="M22" i="11"/>
  <c r="O55" i="11"/>
  <c r="P18" i="11"/>
  <c r="O15" i="11"/>
  <c r="N33" i="11"/>
  <c r="S58" i="11" s="1"/>
  <c r="P42" i="11"/>
  <c r="M34" i="11"/>
  <c r="P34" i="11"/>
  <c r="N30" i="11"/>
  <c r="N55" i="11"/>
  <c r="M18" i="11"/>
  <c r="M37" i="11"/>
  <c r="N17" i="11"/>
  <c r="O11" i="11"/>
  <c r="P30" i="11"/>
  <c r="P55" i="11"/>
  <c r="M14" i="11"/>
  <c r="P26" i="11"/>
  <c r="P36" i="11"/>
  <c r="O23" i="11"/>
  <c r="O30" i="11"/>
  <c r="N19" i="11"/>
  <c r="N9" i="11"/>
  <c r="H6" i="11"/>
  <c r="O34" i="11"/>
  <c r="BQ48" i="11"/>
  <c r="BQ28" i="11"/>
  <c r="BQ31" i="11" s="1"/>
  <c r="BQ50" i="11" s="1"/>
  <c r="BQ49" i="11"/>
  <c r="W18" i="10"/>
  <c r="DQ66" i="11"/>
  <c r="U109" i="42"/>
  <c r="Y12" i="4"/>
  <c r="Y7" i="4"/>
  <c r="EV67" i="11"/>
  <c r="Q60" i="5"/>
  <c r="Q64" i="5"/>
  <c r="Q67" i="5"/>
  <c r="S8" i="10"/>
  <c r="S18" i="10" s="1"/>
  <c r="L35" i="10"/>
  <c r="L63" i="10" s="1"/>
  <c r="L53" i="10"/>
  <c r="L56" i="10" s="1"/>
  <c r="U18" i="10"/>
  <c r="DO66" i="11"/>
  <c r="EH54" i="11"/>
  <c r="ET26" i="11"/>
  <c r="F11" i="4"/>
  <c r="F23" i="4" s="1"/>
  <c r="ET9" i="11"/>
  <c r="EU54" i="11" s="1"/>
  <c r="G67" i="9"/>
  <c r="F44" i="5"/>
  <c r="E5" i="4"/>
  <c r="E41" i="4" s="1"/>
  <c r="E9" i="5" s="1"/>
  <c r="E42" i="5"/>
  <c r="ES19" i="11" s="1"/>
  <c r="E37" i="5"/>
  <c r="E11" i="5"/>
  <c r="E47" i="5"/>
  <c r="F48" i="5" s="1"/>
  <c r="E40" i="5"/>
  <c r="ES18" i="11" s="1"/>
  <c r="E73" i="5"/>
  <c r="ES36" i="11" s="1"/>
  <c r="D5" i="5"/>
  <c r="E7" i="5"/>
  <c r="E56" i="5"/>
  <c r="E50" i="5"/>
  <c r="ES23" i="11" s="1"/>
  <c r="E35" i="5"/>
  <c r="ES17" i="11" s="1"/>
  <c r="E24" i="5"/>
  <c r="E62" i="5"/>
  <c r="D38" i="68"/>
  <c r="D26" i="68"/>
  <c r="D40" i="68" s="1"/>
  <c r="D16" i="68"/>
  <c r="D31" i="68"/>
  <c r="K132" i="68"/>
  <c r="K37" i="68"/>
  <c r="K50" i="68"/>
  <c r="K91" i="68"/>
  <c r="K30" i="68"/>
  <c r="EX57" i="11"/>
  <c r="EW24" i="11"/>
  <c r="EW47" i="11"/>
  <c r="FN56" i="11"/>
  <c r="AA5" i="4"/>
  <c r="AA56" i="5"/>
  <c r="AA35" i="5"/>
  <c r="FP17" i="11" s="1"/>
  <c r="AA7" i="5"/>
  <c r="AA40" i="5"/>
  <c r="FP18" i="11" s="1"/>
  <c r="AA62" i="5"/>
  <c r="AA24" i="5"/>
  <c r="AA34" i="5" s="1"/>
  <c r="AA47" i="5"/>
  <c r="AA11" i="5"/>
  <c r="AB5" i="5"/>
  <c r="AA50" i="5"/>
  <c r="FP23" i="11" s="1"/>
  <c r="AA37" i="5"/>
  <c r="AA73" i="5"/>
  <c r="DT48" i="11"/>
  <c r="DT28" i="11"/>
  <c r="DT31" i="11" s="1"/>
  <c r="DT50" i="11" s="1"/>
  <c r="DT49" i="11"/>
  <c r="CE28" i="11"/>
  <c r="CE31" i="11" s="1"/>
  <c r="CE50" i="11" s="1"/>
  <c r="CE48" i="11"/>
  <c r="CE49" i="11"/>
  <c r="FE48" i="11"/>
  <c r="FE28" i="11"/>
  <c r="FE31" i="11" s="1"/>
  <c r="FE50" i="11" s="1"/>
  <c r="FE49" i="11"/>
  <c r="G8" i="5"/>
  <c r="BS48" i="11"/>
  <c r="BS28" i="11"/>
  <c r="BS31" i="11" s="1"/>
  <c r="BS50" i="11" s="1"/>
  <c r="BS49" i="11"/>
  <c r="S46" i="11"/>
  <c r="R71" i="11"/>
  <c r="S5" i="11"/>
  <c r="R72" i="11"/>
  <c r="X56" i="11"/>
  <c r="K139" i="68"/>
  <c r="K98" i="68"/>
  <c r="K57" i="68"/>
  <c r="K145" i="68"/>
  <c r="K63" i="68"/>
  <c r="K104" i="68" s="1"/>
  <c r="BX28" i="11"/>
  <c r="BX31" i="11" s="1"/>
  <c r="BX50" i="11" s="1"/>
  <c r="BX48" i="11"/>
  <c r="BX49" i="11"/>
  <c r="AC47" i="11"/>
  <c r="AC24" i="11"/>
  <c r="FC34" i="11"/>
  <c r="O71" i="5"/>
  <c r="J157" i="68"/>
  <c r="J173" i="68"/>
  <c r="J177" i="68"/>
  <c r="J178" i="68" s="1"/>
  <c r="J80" i="68"/>
  <c r="J81" i="68" s="1"/>
  <c r="J121" i="68"/>
  <c r="J122" i="68" s="1"/>
  <c r="Y38" i="4"/>
  <c r="FN67" i="11" s="1"/>
  <c r="R80" i="42"/>
  <c r="Q115" i="42"/>
  <c r="W59" i="11"/>
  <c r="Z59" i="11"/>
  <c r="W70" i="9"/>
  <c r="V65" i="5"/>
  <c r="E65" i="68"/>
  <c r="E70" i="68"/>
  <c r="E55" i="68"/>
  <c r="O85" i="42"/>
  <c r="AE24" i="11"/>
  <c r="AJ57" i="11"/>
  <c r="AE47" i="11"/>
  <c r="J70" i="5"/>
  <c r="EX33" i="11"/>
  <c r="EY58" i="11" s="1"/>
  <c r="K68" i="5"/>
  <c r="EH72" i="11"/>
  <c r="EH71" i="11"/>
  <c r="EI5" i="11"/>
  <c r="EH56" i="11"/>
  <c r="EH46" i="11"/>
  <c r="EJ54" i="11"/>
  <c r="C39" i="53" s="1"/>
  <c r="D47" i="53" s="1"/>
  <c r="D48" i="53" s="1"/>
  <c r="EK54" i="11"/>
  <c r="G38" i="68"/>
  <c r="FM68" i="11"/>
  <c r="X8" i="4"/>
  <c r="DZ47" i="11"/>
  <c r="DZ24" i="11"/>
  <c r="DZ57" i="11"/>
  <c r="ET11" i="11"/>
  <c r="F12" i="5"/>
  <c r="G13" i="5" s="1"/>
  <c r="G68" i="9"/>
  <c r="ET22" i="11"/>
  <c r="S79" i="42"/>
  <c r="R114" i="42"/>
  <c r="FN13" i="11"/>
  <c r="I31" i="68"/>
  <c r="I38" i="68"/>
  <c r="I16" i="68"/>
  <c r="I26" i="68"/>
  <c r="I40" i="68" s="1"/>
  <c r="FA34" i="11"/>
  <c r="M71" i="5"/>
  <c r="CY28" i="11"/>
  <c r="CY31" i="11" s="1"/>
  <c r="CY50" i="11" s="1"/>
  <c r="CY48" i="11"/>
  <c r="CY49" i="11"/>
  <c r="CB49" i="11"/>
  <c r="CB28" i="11"/>
  <c r="CB31" i="11" s="1"/>
  <c r="CB50" i="11" s="1"/>
  <c r="CB48" i="11"/>
  <c r="D153" i="68"/>
  <c r="D134" i="68"/>
  <c r="E38" i="68"/>
  <c r="Y45" i="11"/>
  <c r="Y20" i="11"/>
  <c r="AD57" i="11" s="1"/>
  <c r="Y59" i="11"/>
  <c r="FO26" i="11"/>
  <c r="L18" i="68"/>
  <c r="FO16" i="11"/>
  <c r="Z25" i="5"/>
  <c r="Z26" i="5" s="1"/>
  <c r="FO14" i="11"/>
  <c r="AA69" i="9"/>
  <c r="L11" i="68"/>
  <c r="K136" i="68"/>
  <c r="K54" i="68"/>
  <c r="K95" i="68"/>
  <c r="H106" i="68"/>
  <c r="H111" i="68"/>
  <c r="H96" i="68"/>
  <c r="H118" i="68"/>
  <c r="W67" i="5"/>
  <c r="W60" i="5"/>
  <c r="Y8" i="10"/>
  <c r="W64" i="5"/>
  <c r="AH57" i="11"/>
  <c r="FL47" i="11"/>
  <c r="FL24" i="11"/>
  <c r="FL57" i="11"/>
  <c r="H77" i="68"/>
  <c r="H65" i="68"/>
  <c r="H55" i="68"/>
  <c r="H70" i="68"/>
  <c r="G106" i="68"/>
  <c r="G96" i="68"/>
  <c r="G111" i="68"/>
  <c r="EU13" i="11"/>
  <c r="EU51" i="11"/>
  <c r="G48" i="5"/>
  <c r="R113" i="42"/>
  <c r="S78" i="42"/>
  <c r="S51" i="11"/>
  <c r="S16" i="11"/>
  <c r="CO28" i="11"/>
  <c r="CO31" i="11" s="1"/>
  <c r="CO50" i="11" s="1"/>
  <c r="CO48" i="11"/>
  <c r="CO49" i="11"/>
  <c r="BW28" i="11"/>
  <c r="BW31" i="11" s="1"/>
  <c r="BW50" i="11" s="1"/>
  <c r="BW48" i="11"/>
  <c r="BW49" i="11"/>
  <c r="FI33" i="11"/>
  <c r="U70" i="5"/>
  <c r="H21" i="68"/>
  <c r="H23" i="68" s="1"/>
  <c r="H32" i="68"/>
  <c r="J29" i="68"/>
  <c r="J13" i="68"/>
  <c r="C96" i="68"/>
  <c r="C111" i="68"/>
  <c r="C106" i="68"/>
  <c r="C122" i="42"/>
  <c r="C88" i="42"/>
  <c r="H185" i="1"/>
  <c r="L185" i="1"/>
  <c r="V108" i="42"/>
  <c r="W73" i="42"/>
  <c r="H184" i="1"/>
  <c r="L184" i="1"/>
  <c r="F116" i="42"/>
  <c r="AB10" i="4"/>
  <c r="EZ59" i="11"/>
  <c r="EZ51" i="11"/>
  <c r="FA42" i="11"/>
  <c r="FA38" i="11"/>
  <c r="FA62" i="11"/>
  <c r="FA37" i="11"/>
  <c r="FA55" i="11"/>
  <c r="DH171" i="1"/>
  <c r="EI33" i="11"/>
  <c r="AJ190" i="3"/>
  <c r="AL190" i="3" s="1"/>
  <c r="AN190" i="3" s="1"/>
  <c r="W190" i="3"/>
  <c r="Y190" i="3" s="1"/>
  <c r="H115" i="42"/>
  <c r="I114" i="42"/>
  <c r="C121" i="42"/>
  <c r="H81" i="42"/>
  <c r="G86" i="42"/>
  <c r="N33" i="3"/>
  <c r="P33" i="3" s="1"/>
  <c r="W33" i="3"/>
  <c r="Y33" i="3" s="1"/>
  <c r="AP204" i="3"/>
  <c r="AD9" i="4" s="1"/>
  <c r="U203" i="3"/>
  <c r="E116" i="42"/>
  <c r="F115" i="42"/>
  <c r="O117" i="42"/>
  <c r="N84" i="42"/>
  <c r="E373" i="35"/>
  <c r="D374" i="35"/>
  <c r="AA40" i="3"/>
  <c r="W34" i="3"/>
  <c r="Y34" i="3" s="1"/>
  <c r="N34" i="3"/>
  <c r="P34" i="3" s="1"/>
  <c r="W106" i="42"/>
  <c r="W72" i="42"/>
  <c r="V107" i="42"/>
  <c r="J117" i="42"/>
  <c r="K116" i="42"/>
  <c r="C24" i="42"/>
  <c r="C10" i="42" s="1"/>
  <c r="C13" i="42" s="1"/>
  <c r="C19" i="42"/>
  <c r="D23" i="42"/>
  <c r="V100" i="42"/>
  <c r="W3" i="42"/>
  <c r="V22" i="42"/>
  <c r="V64" i="42"/>
  <c r="V15" i="42"/>
  <c r="V35" i="42"/>
  <c r="V136" i="42"/>
  <c r="FR66" i="11"/>
  <c r="AD36" i="4"/>
  <c r="DH181" i="1"/>
  <c r="EI34" i="11"/>
  <c r="G14" i="4"/>
  <c r="ET63" i="11"/>
  <c r="ET71" i="11" s="1"/>
  <c r="FS38" i="11"/>
  <c r="EK38" i="11"/>
  <c r="AJ196" i="3"/>
  <c r="AL196" i="3" s="1"/>
  <c r="AN196" i="3" s="1"/>
  <c r="W196" i="3"/>
  <c r="Y196" i="3" s="1"/>
  <c r="FM59" i="11"/>
  <c r="FN59" i="11"/>
  <c r="FM51" i="11"/>
  <c r="B39" i="3"/>
  <c r="J35" i="3"/>
  <c r="L35" i="3" s="1"/>
  <c r="C48" i="3"/>
  <c r="M117" i="42"/>
  <c r="N116" i="42"/>
  <c r="J83" i="42"/>
  <c r="D117" i="42"/>
  <c r="D83" i="42"/>
  <c r="G118" i="42"/>
  <c r="F85" i="42"/>
  <c r="F86" i="42" s="1"/>
  <c r="EJ36" i="11"/>
  <c r="C26" i="53" s="1"/>
  <c r="DG182" i="1"/>
  <c r="DG172" i="1"/>
  <c r="M83" i="42"/>
  <c r="F18" i="4"/>
  <c r="F35" i="4"/>
  <c r="K88" i="42"/>
  <c r="U197" i="3"/>
  <c r="AC9" i="4"/>
  <c r="E115" i="42"/>
  <c r="F114" i="42"/>
  <c r="W74" i="42"/>
  <c r="I84" i="42"/>
  <c r="AE35" i="3" l="1"/>
  <c r="AG35" i="3" s="1"/>
  <c r="EN51" i="11"/>
  <c r="EN13" i="11"/>
  <c r="D19" i="53"/>
  <c r="D23" i="53" s="1"/>
  <c r="I26" i="53"/>
  <c r="H26" i="53"/>
  <c r="J26" i="53"/>
  <c r="D33" i="53"/>
  <c r="AL35" i="3"/>
  <c r="AN35" i="3" s="1"/>
  <c r="EO13" i="11"/>
  <c r="EO20" i="11" s="1"/>
  <c r="H30" i="53"/>
  <c r="J30" i="53"/>
  <c r="I30" i="53"/>
  <c r="C32" i="53"/>
  <c r="J11" i="53"/>
  <c r="I11" i="53"/>
  <c r="H11" i="53"/>
  <c r="J31" i="53"/>
  <c r="I31" i="53"/>
  <c r="H31" i="53"/>
  <c r="EN46" i="11"/>
  <c r="H8" i="53"/>
  <c r="C29" i="53"/>
  <c r="J8" i="53"/>
  <c r="C15" i="53"/>
  <c r="I8" i="53"/>
  <c r="L8" i="53"/>
  <c r="L9" i="53" s="1"/>
  <c r="L10" i="53" s="1"/>
  <c r="EN59" i="11"/>
  <c r="AE35" i="4"/>
  <c r="AE30" i="4"/>
  <c r="AE32" i="4"/>
  <c r="AE33" i="4" s="1"/>
  <c r="AE26" i="4"/>
  <c r="AE27" i="4" s="1"/>
  <c r="FT64" i="11"/>
  <c r="DK199" i="1"/>
  <c r="DK207" i="1" s="1"/>
  <c r="EN37" i="11" s="1"/>
  <c r="EO51" i="11"/>
  <c r="EN45" i="11"/>
  <c r="EN20" i="11"/>
  <c r="B129" i="42"/>
  <c r="A129" i="42"/>
  <c r="DK190" i="1"/>
  <c r="F117" i="42"/>
  <c r="EO43" i="11"/>
  <c r="EM51" i="11"/>
  <c r="EO56" i="11"/>
  <c r="EO46" i="11"/>
  <c r="AF18" i="4"/>
  <c r="DK206" i="1"/>
  <c r="EM20" i="11"/>
  <c r="EM45" i="11"/>
  <c r="AF29" i="4"/>
  <c r="FU64" i="11" s="1"/>
  <c r="FU65" i="11" s="1"/>
  <c r="EM56" i="11"/>
  <c r="EM46" i="11"/>
  <c r="AE9" i="4"/>
  <c r="AE10" i="4" s="1"/>
  <c r="AL36" i="3"/>
  <c r="AN36" i="3" s="1"/>
  <c r="AE36" i="3"/>
  <c r="AG36" i="3" s="1"/>
  <c r="EO54" i="11"/>
  <c r="EM38" i="11"/>
  <c r="AC211" i="3"/>
  <c r="AE211" i="3" s="1"/>
  <c r="AB139" i="8"/>
  <c r="AC210" i="3"/>
  <c r="AE210" i="3" s="1"/>
  <c r="AG210" i="3" s="1"/>
  <c r="EM59" i="11"/>
  <c r="FS36" i="11"/>
  <c r="EI58" i="11"/>
  <c r="EW57" i="11"/>
  <c r="N16" i="11"/>
  <c r="J68" i="68"/>
  <c r="T20" i="11"/>
  <c r="T24" i="11" s="1"/>
  <c r="T48" i="11" s="1"/>
  <c r="FP16" i="11"/>
  <c r="ES16" i="11"/>
  <c r="EV47" i="11"/>
  <c r="AF30" i="4"/>
  <c r="FM57" i="11"/>
  <c r="I161" i="68"/>
  <c r="J176" i="68"/>
  <c r="J153" i="68"/>
  <c r="FH48" i="11"/>
  <c r="FH49" i="11"/>
  <c r="I174" i="68"/>
  <c r="I137" i="68"/>
  <c r="I142" i="68" s="1"/>
  <c r="I144" i="68" s="1"/>
  <c r="FF28" i="11"/>
  <c r="FF31" i="11" s="1"/>
  <c r="FF50" i="11" s="1"/>
  <c r="I118" i="68"/>
  <c r="G40" i="68"/>
  <c r="I111" i="68"/>
  <c r="K131" i="68"/>
  <c r="K134" i="68" s="1"/>
  <c r="I96" i="68"/>
  <c r="I101" i="68" s="1"/>
  <c r="I103" i="68" s="1"/>
  <c r="H39" i="68"/>
  <c r="C71" i="68"/>
  <c r="FF49" i="11"/>
  <c r="FM24" i="11"/>
  <c r="FM48" i="11" s="1"/>
  <c r="FM47" i="11"/>
  <c r="F77" i="68"/>
  <c r="FU72" i="11"/>
  <c r="AG17" i="4"/>
  <c r="AG18" i="4" s="1"/>
  <c r="FV63" i="11"/>
  <c r="FV71" i="11" s="1"/>
  <c r="AH14" i="4"/>
  <c r="AH16" i="4" s="1"/>
  <c r="AG29" i="4"/>
  <c r="R24" i="11"/>
  <c r="R28" i="11" s="1"/>
  <c r="R31" i="11" s="1"/>
  <c r="R50" i="11" s="1"/>
  <c r="ET13" i="11"/>
  <c r="ET45" i="11" s="1"/>
  <c r="I65" i="68"/>
  <c r="I79" i="68" s="1"/>
  <c r="Y39" i="4"/>
  <c r="I77" i="68"/>
  <c r="K90" i="68"/>
  <c r="K109" i="68" s="1"/>
  <c r="I55" i="68"/>
  <c r="I71" i="68" s="1"/>
  <c r="F70" i="68"/>
  <c r="G77" i="68"/>
  <c r="F65" i="68"/>
  <c r="F79" i="68" s="1"/>
  <c r="H79" i="68"/>
  <c r="K49" i="68"/>
  <c r="K52" i="68" s="1"/>
  <c r="F118" i="42"/>
  <c r="E85" i="42"/>
  <c r="J16" i="68"/>
  <c r="J26" i="68"/>
  <c r="J40" i="68" s="1"/>
  <c r="J31" i="68"/>
  <c r="J38" i="68"/>
  <c r="FJ58" i="11"/>
  <c r="H120" i="68"/>
  <c r="L98" i="68"/>
  <c r="L57" i="68"/>
  <c r="K157" i="68"/>
  <c r="K173" i="68"/>
  <c r="ES15" i="11"/>
  <c r="E38" i="5"/>
  <c r="W53" i="10"/>
  <c r="W56" i="10" s="1"/>
  <c r="W35" i="10"/>
  <c r="W63" i="10" s="1"/>
  <c r="M46" i="11"/>
  <c r="R56" i="11"/>
  <c r="H71" i="68"/>
  <c r="H60" i="68"/>
  <c r="H62" i="68" s="1"/>
  <c r="DT66" i="11"/>
  <c r="Y18" i="10"/>
  <c r="H101" i="68"/>
  <c r="H103" i="68" s="1"/>
  <c r="H112" i="68"/>
  <c r="FO56" i="11"/>
  <c r="FO46" i="11"/>
  <c r="D150" i="68"/>
  <c r="E176" i="68" s="1"/>
  <c r="D137" i="68"/>
  <c r="D161" i="68"/>
  <c r="D174" i="68"/>
  <c r="I21" i="68"/>
  <c r="I23" i="68" s="1"/>
  <c r="I39" i="68" s="1"/>
  <c r="I32" i="68"/>
  <c r="FN45" i="11"/>
  <c r="FN20" i="11"/>
  <c r="T79" i="42"/>
  <c r="S114" i="42"/>
  <c r="G74" i="9"/>
  <c r="G78" i="9" s="1"/>
  <c r="G73" i="9"/>
  <c r="G77" i="9" s="1"/>
  <c r="DZ48" i="11"/>
  <c r="DZ28" i="11"/>
  <c r="DZ49" i="11"/>
  <c r="EK20" i="11"/>
  <c r="EK45" i="11"/>
  <c r="EX34" i="11"/>
  <c r="K71" i="5"/>
  <c r="O86" i="42"/>
  <c r="O87" i="42" s="1"/>
  <c r="O88" i="42" s="1"/>
  <c r="S71" i="11"/>
  <c r="S72" i="11"/>
  <c r="T5" i="11"/>
  <c r="FP36" i="11"/>
  <c r="M24" i="68"/>
  <c r="FP11" i="11"/>
  <c r="M8" i="68"/>
  <c r="AB68" i="9"/>
  <c r="AA12" i="5"/>
  <c r="EW48" i="11"/>
  <c r="EW28" i="11"/>
  <c r="EW31" i="11" s="1"/>
  <c r="EW50" i="11" s="1"/>
  <c r="EW49" i="11"/>
  <c r="K76" i="68"/>
  <c r="K69" i="68"/>
  <c r="D21" i="68"/>
  <c r="D23" i="68" s="1"/>
  <c r="D39" i="68" s="1"/>
  <c r="D32" i="68"/>
  <c r="ES14" i="11"/>
  <c r="ET56" i="11" s="1"/>
  <c r="E25" i="5"/>
  <c r="F26" i="5" s="1"/>
  <c r="F69" i="9"/>
  <c r="E11" i="4"/>
  <c r="F12" i="4" s="1"/>
  <c r="F45" i="4" s="1"/>
  <c r="F67" i="9"/>
  <c r="E44" i="5"/>
  <c r="ES9" i="11"/>
  <c r="ET54" i="11" s="1"/>
  <c r="ES22" i="11"/>
  <c r="ET51" i="11"/>
  <c r="Q65" i="5"/>
  <c r="R70" i="9"/>
  <c r="N13" i="11"/>
  <c r="U56" i="11"/>
  <c r="P46" i="11"/>
  <c r="O46" i="11"/>
  <c r="T56" i="11"/>
  <c r="L171" i="68"/>
  <c r="L169" i="68" s="1"/>
  <c r="L75" i="68"/>
  <c r="L170" i="68" s="1"/>
  <c r="L116" i="68"/>
  <c r="L172" i="68" s="1"/>
  <c r="EF24" i="11"/>
  <c r="EF47" i="11"/>
  <c r="EF57" i="11"/>
  <c r="R65" i="5"/>
  <c r="S70" i="9"/>
  <c r="AD49" i="11"/>
  <c r="AD48" i="11"/>
  <c r="AD28" i="11"/>
  <c r="AD31" i="11" s="1"/>
  <c r="AD50" i="11" s="1"/>
  <c r="C142" i="68"/>
  <c r="C144" i="68" s="1"/>
  <c r="C162" i="68"/>
  <c r="G59" i="5"/>
  <c r="G54" i="5"/>
  <c r="G57" i="5"/>
  <c r="E40" i="68"/>
  <c r="V18" i="10"/>
  <c r="DP66" i="11"/>
  <c r="EK37" i="11"/>
  <c r="FS37" i="11"/>
  <c r="EC24" i="11"/>
  <c r="EC57" i="11"/>
  <c r="EC47" i="11"/>
  <c r="EE72" i="11"/>
  <c r="EE71" i="11"/>
  <c r="EF5" i="11"/>
  <c r="FO54" i="11"/>
  <c r="FO13" i="11"/>
  <c r="F21" i="68"/>
  <c r="F23" i="68" s="1"/>
  <c r="F39" i="68" s="1"/>
  <c r="F32" i="68"/>
  <c r="X53" i="10"/>
  <c r="X35" i="10"/>
  <c r="X63" i="10" s="1"/>
  <c r="K53" i="10"/>
  <c r="K56" i="10" s="1"/>
  <c r="K35" i="10"/>
  <c r="K63" i="10" s="1"/>
  <c r="S20" i="11"/>
  <c r="X57" i="11" s="1"/>
  <c r="S45" i="11"/>
  <c r="D65" i="68"/>
  <c r="D79" i="68" s="1"/>
  <c r="D77" i="68"/>
  <c r="D70" i="68"/>
  <c r="D55" i="68"/>
  <c r="P65" i="5"/>
  <c r="Q70" i="9"/>
  <c r="FJ34" i="11"/>
  <c r="V71" i="5"/>
  <c r="L50" i="68"/>
  <c r="L30" i="68"/>
  <c r="L159" i="68" s="1"/>
  <c r="L157" i="68" s="1"/>
  <c r="L37" i="68"/>
  <c r="L91" i="68"/>
  <c r="L117" i="68" s="1"/>
  <c r="F45" i="5"/>
  <c r="F53" i="5"/>
  <c r="F49" i="4"/>
  <c r="F50" i="4" s="1"/>
  <c r="S53" i="10"/>
  <c r="S56" i="10" s="1"/>
  <c r="S35" i="10"/>
  <c r="S63" i="10" s="1"/>
  <c r="N46" i="11"/>
  <c r="FF33" i="11"/>
  <c r="R70" i="5"/>
  <c r="S71" i="5" s="1"/>
  <c r="R68" i="5"/>
  <c r="C101" i="68"/>
  <c r="C103" i="68" s="1"/>
  <c r="C112" i="68"/>
  <c r="FI34" i="11"/>
  <c r="S113" i="42"/>
  <c r="T78" i="42"/>
  <c r="EU20" i="11"/>
  <c r="EU45" i="11"/>
  <c r="G101" i="68"/>
  <c r="G103" i="68" s="1"/>
  <c r="G112" i="68"/>
  <c r="Y47" i="11"/>
  <c r="Y24" i="11"/>
  <c r="J161" i="68"/>
  <c r="J137" i="68"/>
  <c r="J174" i="68"/>
  <c r="E60" i="68"/>
  <c r="E62" i="68" s="1"/>
  <c r="E71" i="68"/>
  <c r="W57" i="11"/>
  <c r="FP15" i="11"/>
  <c r="AA38" i="5"/>
  <c r="AC10" i="10"/>
  <c r="AA39" i="5"/>
  <c r="M12" i="68"/>
  <c r="AA48" i="5"/>
  <c r="M15" i="68"/>
  <c r="FP22" i="11"/>
  <c r="M6" i="68"/>
  <c r="FP9" i="11"/>
  <c r="AB67" i="9"/>
  <c r="AA11" i="4"/>
  <c r="AA8" i="5"/>
  <c r="AA44" i="5"/>
  <c r="C5" i="5"/>
  <c r="D40" i="5"/>
  <c r="ER18" i="11" s="1"/>
  <c r="D37" i="5"/>
  <c r="D5" i="4"/>
  <c r="D41" i="4" s="1"/>
  <c r="D9" i="5" s="1"/>
  <c r="D47" i="5"/>
  <c r="D73" i="5"/>
  <c r="ER36" i="11" s="1"/>
  <c r="D42" i="5"/>
  <c r="ER19" i="11" s="1"/>
  <c r="D35" i="5"/>
  <c r="ER17" i="11" s="1"/>
  <c r="D50" i="5"/>
  <c r="ER23" i="11" s="1"/>
  <c r="D56" i="5"/>
  <c r="D24" i="5"/>
  <c r="D11" i="5"/>
  <c r="D62" i="5"/>
  <c r="D7" i="5"/>
  <c r="F68" i="9"/>
  <c r="ES11" i="11"/>
  <c r="E12" i="5"/>
  <c r="F8" i="5"/>
  <c r="F7" i="4"/>
  <c r="F20" i="4" s="1"/>
  <c r="F38" i="4"/>
  <c r="G39" i="4" s="1"/>
  <c r="EU68" i="11" s="1"/>
  <c r="F60" i="68"/>
  <c r="F62" i="68" s="1"/>
  <c r="F71" i="68"/>
  <c r="U59" i="11"/>
  <c r="P51" i="11"/>
  <c r="O51" i="11"/>
  <c r="T58" i="11"/>
  <c r="P16" i="11"/>
  <c r="N51" i="11"/>
  <c r="S59" i="11"/>
  <c r="G12" i="4"/>
  <c r="L51" i="68"/>
  <c r="L92" i="68"/>
  <c r="L133" i="68"/>
  <c r="ED47" i="11"/>
  <c r="ED57" i="11"/>
  <c r="ED24" i="11"/>
  <c r="L136" i="68"/>
  <c r="L54" i="68"/>
  <c r="L95" i="68"/>
  <c r="ET46" i="11"/>
  <c r="Q83" i="42"/>
  <c r="P118" i="42"/>
  <c r="AA72" i="9"/>
  <c r="AA76" i="9" s="1"/>
  <c r="AB62" i="10"/>
  <c r="Z12" i="4"/>
  <c r="Z7" i="4"/>
  <c r="Z38" i="4"/>
  <c r="F106" i="68"/>
  <c r="F120" i="68" s="1"/>
  <c r="F111" i="68"/>
  <c r="F96" i="68"/>
  <c r="F118" i="68"/>
  <c r="EA49" i="11"/>
  <c r="EA28" i="11"/>
  <c r="EA48" i="11"/>
  <c r="EW33" i="11"/>
  <c r="I70" i="5"/>
  <c r="J71" i="5" s="1"/>
  <c r="S54" i="11"/>
  <c r="AA73" i="9"/>
  <c r="AA77" i="9" s="1"/>
  <c r="AA74" i="9"/>
  <c r="AA78" i="9" s="1"/>
  <c r="AE57" i="11"/>
  <c r="Z47" i="11"/>
  <c r="Z24" i="11"/>
  <c r="P68" i="5"/>
  <c r="P70" i="5"/>
  <c r="FD33" i="11"/>
  <c r="FD58" i="11" s="1"/>
  <c r="S56" i="11"/>
  <c r="W68" i="5"/>
  <c r="W70" i="5"/>
  <c r="FL33" i="11"/>
  <c r="FL58" i="11" s="1"/>
  <c r="EI72" i="11"/>
  <c r="EI71" i="11"/>
  <c r="EJ5" i="11"/>
  <c r="AC49" i="11"/>
  <c r="AC28" i="11"/>
  <c r="AC31" i="11" s="1"/>
  <c r="AC50" i="11" s="1"/>
  <c r="AC48" i="11"/>
  <c r="FP14" i="11"/>
  <c r="AA25" i="5"/>
  <c r="AB69" i="9"/>
  <c r="M11" i="68"/>
  <c r="R54" i="11"/>
  <c r="M13" i="11"/>
  <c r="EU67" i="11"/>
  <c r="EV48" i="11"/>
  <c r="EV28" i="11"/>
  <c r="EV31" i="11" s="1"/>
  <c r="EV50" i="11" s="1"/>
  <c r="EV49" i="11"/>
  <c r="Y59" i="5"/>
  <c r="Y54" i="5"/>
  <c r="Y57" i="5"/>
  <c r="U20" i="11"/>
  <c r="U45" i="11"/>
  <c r="EA71" i="11"/>
  <c r="EA72" i="11"/>
  <c r="X47" i="11"/>
  <c r="X24" i="11"/>
  <c r="E142" i="68"/>
  <c r="E144" i="68" s="1"/>
  <c r="E162" i="68"/>
  <c r="EE47" i="11"/>
  <c r="EE24" i="11"/>
  <c r="EE57" i="11"/>
  <c r="D42" i="53" s="1"/>
  <c r="U77" i="42"/>
  <c r="T112" i="42"/>
  <c r="T68" i="5"/>
  <c r="FH33" i="11"/>
  <c r="FH58" i="11" s="1"/>
  <c r="T70" i="5"/>
  <c r="U71" i="5" s="1"/>
  <c r="K29" i="68"/>
  <c r="K13" i="68"/>
  <c r="K80" i="68"/>
  <c r="K81" i="68" s="1"/>
  <c r="K177" i="68"/>
  <c r="K178" i="68" s="1"/>
  <c r="K121" i="68"/>
  <c r="K122" i="68" s="1"/>
  <c r="Q116" i="42"/>
  <c r="R81" i="42"/>
  <c r="G142" i="68"/>
  <c r="G144" i="68" s="1"/>
  <c r="G162" i="68"/>
  <c r="U76" i="42"/>
  <c r="T111" i="42"/>
  <c r="D176" i="3"/>
  <c r="H176" i="3" s="1"/>
  <c r="AB48" i="11"/>
  <c r="AB49" i="11"/>
  <c r="AB28" i="11"/>
  <c r="AB31" i="11" s="1"/>
  <c r="AB50" i="11" s="1"/>
  <c r="V75" i="42"/>
  <c r="U110" i="42"/>
  <c r="L88" i="68"/>
  <c r="L47" i="68"/>
  <c r="J65" i="68"/>
  <c r="J55" i="68"/>
  <c r="J70" i="68"/>
  <c r="J77" i="68"/>
  <c r="X60" i="5"/>
  <c r="X67" i="5"/>
  <c r="Z8" i="10"/>
  <c r="X64" i="5"/>
  <c r="I176" i="68"/>
  <c r="H176" i="68"/>
  <c r="S68" i="5"/>
  <c r="R35" i="10"/>
  <c r="R63" i="10" s="1"/>
  <c r="R53" i="10"/>
  <c r="R56" i="10" s="1"/>
  <c r="AB57" i="11"/>
  <c r="W24" i="11"/>
  <c r="W47" i="11"/>
  <c r="I120" i="68"/>
  <c r="U68" i="5"/>
  <c r="FL48" i="11"/>
  <c r="FL28" i="11"/>
  <c r="FL31" i="11" s="1"/>
  <c r="FL50" i="11" s="1"/>
  <c r="FL49" i="11"/>
  <c r="W65" i="5"/>
  <c r="X70" i="9"/>
  <c r="EJ45" i="11"/>
  <c r="EJ20" i="11"/>
  <c r="C18" i="53" s="1"/>
  <c r="AE28" i="11"/>
  <c r="AE31" i="11" s="1"/>
  <c r="AE50" i="11" s="1"/>
  <c r="AE48" i="11"/>
  <c r="AE49" i="11"/>
  <c r="S80" i="42"/>
  <c r="R115" i="42"/>
  <c r="AB62" i="5"/>
  <c r="AB47" i="5"/>
  <c r="AB50" i="5"/>
  <c r="FQ23" i="11" s="1"/>
  <c r="AB56" i="5"/>
  <c r="AB5" i="4"/>
  <c r="AB37" i="5"/>
  <c r="AB11" i="5"/>
  <c r="AC5" i="5"/>
  <c r="AB73" i="5"/>
  <c r="AB35" i="5"/>
  <c r="FQ17" i="11" s="1"/>
  <c r="AB40" i="5"/>
  <c r="FQ18" i="11" s="1"/>
  <c r="AB24" i="5"/>
  <c r="AB34" i="5" s="1"/>
  <c r="AB7" i="5"/>
  <c r="FP30" i="11"/>
  <c r="FP26" i="11"/>
  <c r="M18" i="68"/>
  <c r="K110" i="68"/>
  <c r="K117" i="68"/>
  <c r="ES30" i="11"/>
  <c r="ES26" i="11"/>
  <c r="H62" i="10"/>
  <c r="G72" i="9"/>
  <c r="G76" i="9" s="1"/>
  <c r="EH45" i="11"/>
  <c r="EH20" i="11"/>
  <c r="U35" i="10"/>
  <c r="U63" i="10" s="1"/>
  <c r="U53" i="10"/>
  <c r="U56" i="10" s="1"/>
  <c r="Q68" i="5"/>
  <c r="Q70" i="5"/>
  <c r="FE33" i="11"/>
  <c r="Y8" i="4"/>
  <c r="FN68" i="11"/>
  <c r="H26" i="11"/>
  <c r="I15" i="11"/>
  <c r="K11" i="11"/>
  <c r="K42" i="11"/>
  <c r="P59" i="11" s="1"/>
  <c r="J30" i="11"/>
  <c r="I36" i="11"/>
  <c r="K19" i="11"/>
  <c r="H17" i="11"/>
  <c r="J11" i="11"/>
  <c r="J9" i="11"/>
  <c r="O54" i="11" s="1"/>
  <c r="K37" i="11"/>
  <c r="J55" i="11"/>
  <c r="J23" i="11"/>
  <c r="I19" i="11"/>
  <c r="J19" i="11"/>
  <c r="I55" i="11"/>
  <c r="H33" i="11"/>
  <c r="K23" i="11"/>
  <c r="I42" i="11"/>
  <c r="J37" i="11"/>
  <c r="K18" i="11"/>
  <c r="H19" i="11"/>
  <c r="H15" i="11"/>
  <c r="H37" i="11"/>
  <c r="K33" i="11"/>
  <c r="P58" i="11" s="1"/>
  <c r="K26" i="11"/>
  <c r="H22" i="11"/>
  <c r="J22" i="11"/>
  <c r="I34" i="11"/>
  <c r="I37" i="11"/>
  <c r="K15" i="11"/>
  <c r="I18" i="11"/>
  <c r="K17" i="11"/>
  <c r="I14" i="11"/>
  <c r="N56" i="11" s="1"/>
  <c r="C6" i="11"/>
  <c r="J14" i="11"/>
  <c r="I33" i="11"/>
  <c r="I30" i="11"/>
  <c r="J42" i="11"/>
  <c r="I23" i="11"/>
  <c r="H9" i="11"/>
  <c r="I22" i="11"/>
  <c r="I9" i="11"/>
  <c r="K30" i="11"/>
  <c r="H36" i="11"/>
  <c r="J18" i="11"/>
  <c r="H23" i="11"/>
  <c r="J15" i="11"/>
  <c r="J26" i="11"/>
  <c r="I26" i="11"/>
  <c r="K36" i="11"/>
  <c r="H55" i="11"/>
  <c r="K14" i="11"/>
  <c r="K34" i="11"/>
  <c r="H5" i="11"/>
  <c r="K22" i="11"/>
  <c r="I11" i="11"/>
  <c r="H42" i="11"/>
  <c r="M59" i="11" s="1"/>
  <c r="H14" i="11"/>
  <c r="J34" i="11"/>
  <c r="H11" i="11"/>
  <c r="J33" i="11"/>
  <c r="O58" i="11" s="1"/>
  <c r="J36" i="11"/>
  <c r="K55" i="11"/>
  <c r="H30" i="11"/>
  <c r="J17" i="11"/>
  <c r="K9" i="11"/>
  <c r="P54" i="11" s="1"/>
  <c r="I17" i="11"/>
  <c r="H18" i="11"/>
  <c r="H34" i="11"/>
  <c r="O16" i="11"/>
  <c r="M72" i="11"/>
  <c r="M71" i="11"/>
  <c r="N5" i="11"/>
  <c r="P13" i="11"/>
  <c r="R59" i="11"/>
  <c r="M51" i="11"/>
  <c r="M16" i="11"/>
  <c r="T54" i="11"/>
  <c r="O13" i="11"/>
  <c r="FO55" i="11"/>
  <c r="T18" i="10"/>
  <c r="DN66" i="11"/>
  <c r="EI20" i="11"/>
  <c r="EN57" i="11" s="1"/>
  <c r="EI45" i="11"/>
  <c r="U54" i="11"/>
  <c r="D106" i="68"/>
  <c r="E120" i="68" s="1"/>
  <c r="D111" i="68"/>
  <c r="D96" i="68"/>
  <c r="D118" i="68"/>
  <c r="E101" i="68"/>
  <c r="E103" i="68" s="1"/>
  <c r="E112" i="68"/>
  <c r="L147" i="68"/>
  <c r="L145" i="68" s="1"/>
  <c r="L63" i="68"/>
  <c r="FD48" i="11"/>
  <c r="FD28" i="11"/>
  <c r="FD31" i="11" s="1"/>
  <c r="FD50" i="11" s="1"/>
  <c r="FD49" i="11"/>
  <c r="G60" i="68"/>
  <c r="G62" i="68" s="1"/>
  <c r="G71" i="68"/>
  <c r="E174" i="68"/>
  <c r="U70" i="9"/>
  <c r="T65" i="5"/>
  <c r="L80" i="68"/>
  <c r="L81" i="68" s="1"/>
  <c r="L179" i="68" s="1"/>
  <c r="L121" i="68"/>
  <c r="L177" i="68"/>
  <c r="P84" i="42"/>
  <c r="P85" i="42" s="1"/>
  <c r="L120" i="42"/>
  <c r="L87" i="42"/>
  <c r="L88" i="42" s="1"/>
  <c r="Z45" i="5"/>
  <c r="Z53" i="5"/>
  <c r="Z49" i="4"/>
  <c r="Z50" i="4" s="1"/>
  <c r="L10" i="68"/>
  <c r="L45" i="68"/>
  <c r="L86" i="68"/>
  <c r="L115" i="68" s="1"/>
  <c r="DX49" i="11"/>
  <c r="DX48" i="11"/>
  <c r="DX28" i="11"/>
  <c r="J93" i="68"/>
  <c r="J109" i="68"/>
  <c r="DY48" i="11"/>
  <c r="DY28" i="11"/>
  <c r="DY49" i="11"/>
  <c r="H60" i="5"/>
  <c r="J8" i="10"/>
  <c r="J18" i="10" s="1"/>
  <c r="H64" i="5"/>
  <c r="H67" i="5"/>
  <c r="Q117" i="42"/>
  <c r="R82" i="42"/>
  <c r="J70" i="9"/>
  <c r="I65" i="5"/>
  <c r="F137" i="68"/>
  <c r="F161" i="68"/>
  <c r="F174" i="68"/>
  <c r="F150" i="68"/>
  <c r="F176" i="68" s="1"/>
  <c r="H142" i="68"/>
  <c r="H144" i="68" s="1"/>
  <c r="H162" i="68"/>
  <c r="FG34" i="11"/>
  <c r="G120" i="42"/>
  <c r="F87" i="42"/>
  <c r="AC10" i="4"/>
  <c r="DH182" i="1"/>
  <c r="EJ34" i="11"/>
  <c r="M118" i="42"/>
  <c r="M84" i="42"/>
  <c r="N117" i="42"/>
  <c r="EK36" i="11"/>
  <c r="E86" i="42"/>
  <c r="DH172" i="1"/>
  <c r="EJ33" i="11"/>
  <c r="F119" i="42"/>
  <c r="J118" i="42"/>
  <c r="K117" i="42"/>
  <c r="J84" i="42"/>
  <c r="C49" i="3"/>
  <c r="W136" i="42"/>
  <c r="W22" i="42"/>
  <c r="W100" i="42"/>
  <c r="W35" i="42"/>
  <c r="W15" i="42"/>
  <c r="W64" i="42"/>
  <c r="X3" i="42"/>
  <c r="O118" i="42"/>
  <c r="N85" i="42"/>
  <c r="W203" i="3"/>
  <c r="Y203" i="3" s="1"/>
  <c r="AJ203" i="3"/>
  <c r="AL203" i="3" s="1"/>
  <c r="AN203" i="3" s="1"/>
  <c r="G121" i="42"/>
  <c r="G87" i="42"/>
  <c r="H116" i="42"/>
  <c r="I115" i="42"/>
  <c r="H82" i="42"/>
  <c r="X73" i="42"/>
  <c r="W108" i="42"/>
  <c r="C123" i="42"/>
  <c r="C89" i="42"/>
  <c r="ET66" i="11"/>
  <c r="F36" i="4"/>
  <c r="D118" i="42"/>
  <c r="D84" i="42"/>
  <c r="U204" i="3"/>
  <c r="I85" i="42"/>
  <c r="F120" i="42"/>
  <c r="G119" i="42"/>
  <c r="J39" i="3"/>
  <c r="B40" i="3"/>
  <c r="X72" i="42"/>
  <c r="X106" i="42"/>
  <c r="W107" i="42"/>
  <c r="AC40" i="3"/>
  <c r="X72" i="11"/>
  <c r="FB59" i="11"/>
  <c r="FA59" i="11"/>
  <c r="FA51" i="11"/>
  <c r="E117" i="42"/>
  <c r="L89" i="42"/>
  <c r="W109" i="42"/>
  <c r="X74" i="42"/>
  <c r="AJ197" i="3"/>
  <c r="AL197" i="3" s="1"/>
  <c r="AN197" i="3" s="1"/>
  <c r="W197" i="3"/>
  <c r="Y197" i="3" s="1"/>
  <c r="N35" i="3"/>
  <c r="P35" i="3" s="1"/>
  <c r="W35" i="3"/>
  <c r="Y35" i="3" s="1"/>
  <c r="L36" i="3"/>
  <c r="K89" i="42"/>
  <c r="G16" i="4"/>
  <c r="G17" i="4" s="1"/>
  <c r="C31" i="42"/>
  <c r="D140" i="42"/>
  <c r="C29" i="42"/>
  <c r="C23" i="42" s="1"/>
  <c r="D16" i="42"/>
  <c r="C140" i="42"/>
  <c r="C173" i="42" s="1"/>
  <c r="C18" i="42" s="1"/>
  <c r="C7" i="42" s="1"/>
  <c r="C8" i="42" s="1"/>
  <c r="C11" i="42" s="1"/>
  <c r="E374" i="35"/>
  <c r="D375" i="35"/>
  <c r="L122" i="42"/>
  <c r="AF32" i="4" l="1"/>
  <c r="AF33" i="4" s="1"/>
  <c r="AF26" i="4"/>
  <c r="AF35" i="4"/>
  <c r="AF36" i="4" s="1"/>
  <c r="C19" i="53"/>
  <c r="C34" i="53" s="1"/>
  <c r="EO45" i="11"/>
  <c r="D34" i="53"/>
  <c r="D35" i="53"/>
  <c r="DK191" i="1"/>
  <c r="C38" i="86"/>
  <c r="C40" i="86" s="1"/>
  <c r="H35" i="86" s="1"/>
  <c r="J32" i="53"/>
  <c r="H32" i="53"/>
  <c r="I32" i="53"/>
  <c r="L11" i="53"/>
  <c r="H15" i="53"/>
  <c r="L15" i="53"/>
  <c r="L17" i="53" s="1"/>
  <c r="C33" i="53"/>
  <c r="J15" i="53"/>
  <c r="I15" i="53"/>
  <c r="J29" i="53"/>
  <c r="I29" i="53"/>
  <c r="H29" i="53"/>
  <c r="D25" i="53"/>
  <c r="F43" i="53" s="1"/>
  <c r="D36" i="53"/>
  <c r="O89" i="42"/>
  <c r="AF27" i="4"/>
  <c r="FT65" i="11"/>
  <c r="FT72" i="11"/>
  <c r="FT66" i="11"/>
  <c r="AE36" i="4"/>
  <c r="EM24" i="11"/>
  <c r="EM47" i="11"/>
  <c r="B130" i="42"/>
  <c r="A130" i="42"/>
  <c r="EO47" i="11"/>
  <c r="EO24" i="11"/>
  <c r="EM57" i="11"/>
  <c r="FU66" i="11"/>
  <c r="EM37" i="11"/>
  <c r="EN24" i="11"/>
  <c r="EN47" i="11"/>
  <c r="DK200" i="1"/>
  <c r="DK208" i="1" s="1"/>
  <c r="EO37" i="11" s="1"/>
  <c r="EN38" i="11"/>
  <c r="AH17" i="4"/>
  <c r="AI14" i="4"/>
  <c r="AI16" i="4" s="1"/>
  <c r="EM36" i="11"/>
  <c r="DK180" i="1"/>
  <c r="DK170" i="1"/>
  <c r="Y57" i="11"/>
  <c r="EJ58" i="11"/>
  <c r="C43" i="53" s="1"/>
  <c r="EO57" i="11"/>
  <c r="J16" i="11"/>
  <c r="FQ16" i="11"/>
  <c r="K16" i="11"/>
  <c r="T47" i="11"/>
  <c r="ER16" i="11"/>
  <c r="I60" i="68"/>
  <c r="I62" i="68" s="1"/>
  <c r="I78" i="68" s="1"/>
  <c r="R49" i="11"/>
  <c r="T28" i="11"/>
  <c r="T31" i="11" s="1"/>
  <c r="T50" i="11" s="1"/>
  <c r="T49" i="11"/>
  <c r="K153" i="68"/>
  <c r="I162" i="68"/>
  <c r="I112" i="68"/>
  <c r="J79" i="68"/>
  <c r="FW63" i="11"/>
  <c r="FW71" i="11" s="1"/>
  <c r="K68" i="68"/>
  <c r="FM49" i="11"/>
  <c r="ET20" i="11"/>
  <c r="EU57" i="11" s="1"/>
  <c r="FM28" i="11"/>
  <c r="FM31" i="11" s="1"/>
  <c r="FM50" i="11" s="1"/>
  <c r="R48" i="11"/>
  <c r="AH29" i="4"/>
  <c r="AG26" i="4"/>
  <c r="AG27" i="4" s="1"/>
  <c r="AG30" i="4"/>
  <c r="AG35" i="4"/>
  <c r="FV64" i="11"/>
  <c r="AH18" i="4"/>
  <c r="K93" i="68"/>
  <c r="K106" i="68" s="1"/>
  <c r="FE58" i="11"/>
  <c r="G79" i="68"/>
  <c r="D176" i="68"/>
  <c r="E39" i="68"/>
  <c r="K46" i="11"/>
  <c r="J51" i="11"/>
  <c r="E79" i="68"/>
  <c r="L90" i="68"/>
  <c r="L109" i="68" s="1"/>
  <c r="L156" i="68" s="1"/>
  <c r="F78" i="68"/>
  <c r="I175" i="68"/>
  <c r="H175" i="68"/>
  <c r="DX31" i="11"/>
  <c r="L74" i="68"/>
  <c r="D101" i="68"/>
  <c r="D103" i="68" s="1"/>
  <c r="D119" i="68" s="1"/>
  <c r="D112" i="68"/>
  <c r="K13" i="11"/>
  <c r="H46" i="11"/>
  <c r="H71" i="11"/>
  <c r="H72" i="11"/>
  <c r="I5" i="11"/>
  <c r="I13" i="11"/>
  <c r="F30" i="11"/>
  <c r="F55" i="11"/>
  <c r="F37" i="11"/>
  <c r="F19" i="11"/>
  <c r="F58" i="11" s="1"/>
  <c r="E17" i="11"/>
  <c r="C14" i="11"/>
  <c r="F22" i="11"/>
  <c r="F17" i="11"/>
  <c r="E11" i="11"/>
  <c r="C18" i="11"/>
  <c r="D18" i="11"/>
  <c r="F18" i="11"/>
  <c r="C11" i="11"/>
  <c r="C9" i="11"/>
  <c r="C23" i="11"/>
  <c r="E33" i="11"/>
  <c r="J58" i="11" s="1"/>
  <c r="D36" i="11"/>
  <c r="E26" i="11"/>
  <c r="E23" i="11"/>
  <c r="E42" i="11"/>
  <c r="D30" i="11"/>
  <c r="D23" i="11"/>
  <c r="C36" i="11"/>
  <c r="F23" i="11"/>
  <c r="C22" i="11"/>
  <c r="E19" i="11"/>
  <c r="E58" i="11" s="1"/>
  <c r="F26" i="11"/>
  <c r="C5" i="11"/>
  <c r="E36" i="11"/>
  <c r="D33" i="11"/>
  <c r="I58" i="11" s="1"/>
  <c r="E14" i="11"/>
  <c r="J56" i="11" s="1"/>
  <c r="F15" i="11"/>
  <c r="D15" i="11"/>
  <c r="C19" i="11"/>
  <c r="C58" i="11" s="1"/>
  <c r="D11" i="11"/>
  <c r="E22" i="11"/>
  <c r="C34" i="11"/>
  <c r="D22" i="11"/>
  <c r="F42" i="11"/>
  <c r="K59" i="11" s="1"/>
  <c r="D37" i="11"/>
  <c r="D42" i="11"/>
  <c r="I59" i="11" s="1"/>
  <c r="D34" i="11"/>
  <c r="D19" i="11"/>
  <c r="D58" i="11" s="1"/>
  <c r="E30" i="11"/>
  <c r="F11" i="11"/>
  <c r="E9" i="11"/>
  <c r="J54" i="11" s="1"/>
  <c r="D14" i="11"/>
  <c r="F9" i="11"/>
  <c r="F14" i="11"/>
  <c r="F36" i="11"/>
  <c r="E34" i="11"/>
  <c r="E37" i="11"/>
  <c r="C37" i="11"/>
  <c r="C33" i="11"/>
  <c r="H58" i="11" s="1"/>
  <c r="C26" i="11"/>
  <c r="C30" i="11"/>
  <c r="D17" i="11"/>
  <c r="D26" i="11"/>
  <c r="E18" i="11"/>
  <c r="C15" i="11"/>
  <c r="E15" i="11"/>
  <c r="D9" i="11"/>
  <c r="F34" i="11"/>
  <c r="C17" i="11"/>
  <c r="C42" i="11"/>
  <c r="H59" i="11" s="1"/>
  <c r="F33" i="11"/>
  <c r="K58" i="11" s="1"/>
  <c r="I51" i="11"/>
  <c r="N11" i="68"/>
  <c r="FQ14" i="11"/>
  <c r="AC69" i="9"/>
  <c r="AB25" i="5"/>
  <c r="AB26" i="5" s="1"/>
  <c r="AC47" i="5"/>
  <c r="AK47" i="5" s="1"/>
  <c r="AC24" i="5"/>
  <c r="AK24" i="5" s="1"/>
  <c r="AC56" i="5"/>
  <c r="AK56" i="5" s="1"/>
  <c r="AC73" i="5"/>
  <c r="AC37" i="5"/>
  <c r="AC11" i="5"/>
  <c r="AK11" i="5" s="1"/>
  <c r="AC5" i="4"/>
  <c r="AC7" i="5"/>
  <c r="AK7" i="5" s="1"/>
  <c r="AC62" i="5"/>
  <c r="AD62" i="5"/>
  <c r="FS30" i="11" s="1"/>
  <c r="N18" i="68"/>
  <c r="FQ26" i="11"/>
  <c r="Z18" i="10"/>
  <c r="DU66" i="11"/>
  <c r="V110" i="42"/>
  <c r="W75" i="42"/>
  <c r="X109" i="42" s="1"/>
  <c r="S81" i="42"/>
  <c r="R116" i="42"/>
  <c r="Y60" i="5"/>
  <c r="Y67" i="5"/>
  <c r="AA8" i="10"/>
  <c r="Y64" i="5"/>
  <c r="FP56" i="11"/>
  <c r="FP46" i="11"/>
  <c r="Z39" i="4"/>
  <c r="FO67" i="11"/>
  <c r="R83" i="42"/>
  <c r="Q118" i="42"/>
  <c r="D11" i="4"/>
  <c r="E12" i="4" s="1"/>
  <c r="E45" i="4" s="1"/>
  <c r="ER9" i="11"/>
  <c r="D44" i="5"/>
  <c r="E67" i="9"/>
  <c r="ER26" i="11"/>
  <c r="FP13" i="11"/>
  <c r="FP54" i="11"/>
  <c r="EU47" i="11"/>
  <c r="EU24" i="11"/>
  <c r="EV57" i="11"/>
  <c r="D60" i="68"/>
  <c r="D62" i="68" s="1"/>
  <c r="D78" i="68" s="1"/>
  <c r="D71" i="68"/>
  <c r="FO45" i="11"/>
  <c r="FO20" i="11"/>
  <c r="I8" i="10"/>
  <c r="I18" i="10" s="1"/>
  <c r="G60" i="5"/>
  <c r="G67" i="5"/>
  <c r="H68" i="5" s="1"/>
  <c r="G64" i="5"/>
  <c r="ES13" i="11"/>
  <c r="ES51" i="11"/>
  <c r="AB73" i="9"/>
  <c r="AB77" i="9" s="1"/>
  <c r="AB74" i="9"/>
  <c r="AB78" i="9" s="1"/>
  <c r="T72" i="11"/>
  <c r="T71" i="11"/>
  <c r="U5" i="11"/>
  <c r="FN47" i="11"/>
  <c r="FN24" i="11"/>
  <c r="FN57" i="11"/>
  <c r="Y53" i="10"/>
  <c r="Y56" i="10" s="1"/>
  <c r="Y35" i="10"/>
  <c r="Y63" i="10" s="1"/>
  <c r="EV33" i="11"/>
  <c r="EW58" i="11" s="1"/>
  <c r="L29" i="68"/>
  <c r="L155" i="68" s="1"/>
  <c r="L153" i="68" s="1"/>
  <c r="L13" i="68"/>
  <c r="L180" i="68"/>
  <c r="L178" i="68" s="1"/>
  <c r="L168" i="68" s="1"/>
  <c r="L127" i="68" s="1"/>
  <c r="L122" i="68"/>
  <c r="L181" i="68" s="1"/>
  <c r="EI57" i="11"/>
  <c r="EI24" i="11"/>
  <c r="EI47" i="11"/>
  <c r="T53" i="10"/>
  <c r="T56" i="10" s="1"/>
  <c r="T35" i="10"/>
  <c r="T63" i="10" s="1"/>
  <c r="O45" i="11"/>
  <c r="O20" i="11"/>
  <c r="N71" i="11"/>
  <c r="O5" i="11"/>
  <c r="N72" i="11"/>
  <c r="H51" i="11"/>
  <c r="I46" i="11"/>
  <c r="J13" i="11"/>
  <c r="FE34" i="11"/>
  <c r="Q71" i="5"/>
  <c r="EH24" i="11"/>
  <c r="EH57" i="11"/>
  <c r="EH47" i="11"/>
  <c r="AC68" i="9"/>
  <c r="FQ11" i="11"/>
  <c r="N8" i="68"/>
  <c r="AB12" i="5"/>
  <c r="AB13" i="5" s="1"/>
  <c r="FM33" i="11"/>
  <c r="FM58" i="11" s="1"/>
  <c r="X70" i="5"/>
  <c r="X68" i="5"/>
  <c r="J60" i="68"/>
  <c r="J62" i="68" s="1"/>
  <c r="J71" i="68"/>
  <c r="V76" i="42"/>
  <c r="U111" i="42"/>
  <c r="K31" i="68"/>
  <c r="K16" i="68"/>
  <c r="K38" i="68"/>
  <c r="K26" i="68"/>
  <c r="K40" i="68" s="1"/>
  <c r="EE28" i="11"/>
  <c r="EE48" i="11"/>
  <c r="EE49" i="11"/>
  <c r="K150" i="68"/>
  <c r="K176" i="68" s="1"/>
  <c r="K174" i="68"/>
  <c r="K161" i="68"/>
  <c r="K137" i="68"/>
  <c r="U47" i="11"/>
  <c r="U24" i="11"/>
  <c r="Z57" i="11"/>
  <c r="M50" i="68"/>
  <c r="M30" i="68"/>
  <c r="M159" i="68" s="1"/>
  <c r="M157" i="68" s="1"/>
  <c r="M37" i="68"/>
  <c r="M91" i="68"/>
  <c r="EJ72" i="11"/>
  <c r="EJ71" i="11"/>
  <c r="EK5" i="11"/>
  <c r="FD34" i="11"/>
  <c r="P71" i="5"/>
  <c r="I68" i="5"/>
  <c r="F101" i="68"/>
  <c r="F103" i="68" s="1"/>
  <c r="F119" i="68" s="1"/>
  <c r="F112" i="68"/>
  <c r="Z8" i="4"/>
  <c r="FO68" i="11"/>
  <c r="O59" i="11"/>
  <c r="ER30" i="11"/>
  <c r="ER22" i="11"/>
  <c r="C47" i="5"/>
  <c r="C62" i="5"/>
  <c r="C56" i="5"/>
  <c r="B5" i="5"/>
  <c r="C42" i="5"/>
  <c r="EQ19" i="11" s="1"/>
  <c r="C11" i="5"/>
  <c r="C35" i="5"/>
  <c r="EQ17" i="11" s="1"/>
  <c r="C24" i="5"/>
  <c r="C37" i="5"/>
  <c r="C40" i="5"/>
  <c r="EQ18" i="11" s="1"/>
  <c r="C7" i="5"/>
  <c r="C73" i="5"/>
  <c r="EQ36" i="11" s="1"/>
  <c r="C50" i="5"/>
  <c r="EQ23" i="11" s="1"/>
  <c r="D183" i="3"/>
  <c r="H183" i="3" s="1"/>
  <c r="M86" i="68"/>
  <c r="M115" i="68" s="1"/>
  <c r="M35" i="68"/>
  <c r="M10" i="68"/>
  <c r="M45" i="68"/>
  <c r="M74" i="68" s="1"/>
  <c r="AC18" i="10"/>
  <c r="F13" i="5"/>
  <c r="T113" i="42"/>
  <c r="U78" i="42"/>
  <c r="F54" i="5"/>
  <c r="F59" i="5"/>
  <c r="F57" i="5"/>
  <c r="L69" i="68"/>
  <c r="L158" i="68" s="1"/>
  <c r="L76" i="68"/>
  <c r="S47" i="11"/>
  <c r="S24" i="11"/>
  <c r="G176" i="68"/>
  <c r="EC48" i="11"/>
  <c r="EC28" i="11"/>
  <c r="EC49" i="11"/>
  <c r="V53" i="10"/>
  <c r="V56" i="10" s="1"/>
  <c r="V35" i="10"/>
  <c r="V63" i="10" s="1"/>
  <c r="K77" i="68"/>
  <c r="K70" i="68"/>
  <c r="K55" i="68"/>
  <c r="K65" i="68"/>
  <c r="K79" i="68" s="1"/>
  <c r="N54" i="11"/>
  <c r="E48" i="5"/>
  <c r="E49" i="4"/>
  <c r="E50" i="4" s="1"/>
  <c r="E45" i="5"/>
  <c r="E53" i="5"/>
  <c r="M47" i="68"/>
  <c r="M88" i="68"/>
  <c r="O90" i="42"/>
  <c r="DZ31" i="11"/>
  <c r="G120" i="68"/>
  <c r="F142" i="68"/>
  <c r="F144" i="68" s="1"/>
  <c r="F175" i="68" s="1"/>
  <c r="F162" i="68"/>
  <c r="H70" i="5"/>
  <c r="I71" i="5" s="1"/>
  <c r="H65" i="5"/>
  <c r="I70" i="9"/>
  <c r="J111" i="68"/>
  <c r="J96" i="68"/>
  <c r="J118" i="68"/>
  <c r="J106" i="68"/>
  <c r="J120" i="68" s="1"/>
  <c r="H13" i="11"/>
  <c r="M57" i="68"/>
  <c r="M98" i="68"/>
  <c r="N12" i="68"/>
  <c r="FQ15" i="11"/>
  <c r="AB39" i="5"/>
  <c r="AB38" i="5"/>
  <c r="N15" i="68"/>
  <c r="AB48" i="5"/>
  <c r="FQ22" i="11"/>
  <c r="M54" i="11"/>
  <c r="FL34" i="11"/>
  <c r="W71" i="5"/>
  <c r="EW34" i="11"/>
  <c r="EA31" i="11"/>
  <c r="Q85" i="42"/>
  <c r="P120" i="42"/>
  <c r="ED49" i="11"/>
  <c r="ED48" i="11"/>
  <c r="ED28" i="11"/>
  <c r="ET67" i="11"/>
  <c r="ER11" i="11"/>
  <c r="E68" i="9"/>
  <c r="D12" i="5"/>
  <c r="AA49" i="4"/>
  <c r="AA50" i="4" s="1"/>
  <c r="AA53" i="5"/>
  <c r="AA45" i="5"/>
  <c r="AA12" i="4"/>
  <c r="AA38" i="4"/>
  <c r="AA7" i="4"/>
  <c r="Y49" i="11"/>
  <c r="Y28" i="11"/>
  <c r="Y31" i="11" s="1"/>
  <c r="Y50" i="11" s="1"/>
  <c r="Y48" i="11"/>
  <c r="H119" i="68"/>
  <c r="FF34" i="11"/>
  <c r="R71" i="5"/>
  <c r="L110" i="68"/>
  <c r="L160" i="68" s="1"/>
  <c r="EF71" i="11"/>
  <c r="EF72" i="11"/>
  <c r="P56" i="11"/>
  <c r="N45" i="11"/>
  <c r="N20" i="11"/>
  <c r="G62" i="10"/>
  <c r="F72" i="9"/>
  <c r="F76" i="9" s="1"/>
  <c r="ES46" i="11"/>
  <c r="M147" i="68"/>
  <c r="M145" i="68" s="1"/>
  <c r="M63" i="68"/>
  <c r="D142" i="68"/>
  <c r="D144" i="68" s="1"/>
  <c r="E175" i="68" s="1"/>
  <c r="D162" i="68"/>
  <c r="H78" i="68"/>
  <c r="FI58" i="11"/>
  <c r="R117" i="42"/>
  <c r="S82" i="42"/>
  <c r="J35" i="10"/>
  <c r="J63" i="10" s="1"/>
  <c r="J53" i="10"/>
  <c r="J56" i="10" s="1"/>
  <c r="DY31" i="11"/>
  <c r="Z54" i="5"/>
  <c r="Z59" i="5"/>
  <c r="Z57" i="5"/>
  <c r="Q84" i="42"/>
  <c r="P119" i="42"/>
  <c r="G78" i="68"/>
  <c r="L146" i="68"/>
  <c r="L104" i="68"/>
  <c r="L148" i="68" s="1"/>
  <c r="I119" i="68"/>
  <c r="P45" i="11"/>
  <c r="P20" i="11"/>
  <c r="I16" i="11"/>
  <c r="J46" i="11"/>
  <c r="H16" i="11"/>
  <c r="K51" i="11"/>
  <c r="AC67" i="9"/>
  <c r="AB44" i="5"/>
  <c r="N6" i="68"/>
  <c r="AB8" i="5"/>
  <c r="FQ9" i="11"/>
  <c r="AB11" i="4"/>
  <c r="N24" i="68"/>
  <c r="AD63" i="10"/>
  <c r="FQ30" i="11"/>
  <c r="T80" i="42"/>
  <c r="S115" i="42"/>
  <c r="EJ47" i="11"/>
  <c r="EJ24" i="11"/>
  <c r="EJ57" i="11"/>
  <c r="C42" i="53" s="1"/>
  <c r="D120" i="68"/>
  <c r="W28" i="11"/>
  <c r="W31" i="11" s="1"/>
  <c r="W50" i="11" s="1"/>
  <c r="W49" i="11"/>
  <c r="W48" i="11"/>
  <c r="Y70" i="9"/>
  <c r="X65" i="5"/>
  <c r="L49" i="68"/>
  <c r="FH34" i="11"/>
  <c r="T71" i="5"/>
  <c r="V77" i="42"/>
  <c r="U112" i="42"/>
  <c r="X48" i="11"/>
  <c r="X49" i="11"/>
  <c r="X28" i="11"/>
  <c r="X31" i="11" s="1"/>
  <c r="X50" i="11" s="1"/>
  <c r="M20" i="11"/>
  <c r="M45" i="11"/>
  <c r="AA26" i="5"/>
  <c r="Z28" i="11"/>
  <c r="Z31" i="11" s="1"/>
  <c r="Z50" i="11" s="1"/>
  <c r="Z48" i="11"/>
  <c r="Z49" i="11"/>
  <c r="EX58" i="11"/>
  <c r="G39" i="68"/>
  <c r="N59" i="11"/>
  <c r="F73" i="9"/>
  <c r="F77" i="9" s="1"/>
  <c r="F74" i="9"/>
  <c r="F78" i="9" s="1"/>
  <c r="ER14" i="11"/>
  <c r="ES56" i="11" s="1"/>
  <c r="E69" i="9"/>
  <c r="D25" i="5"/>
  <c r="E26" i="5" s="1"/>
  <c r="ER15" i="11"/>
  <c r="D38" i="5"/>
  <c r="AB72" i="9"/>
  <c r="AB76" i="9" s="1"/>
  <c r="AC62" i="10"/>
  <c r="M95" i="68"/>
  <c r="M54" i="68"/>
  <c r="M136" i="68"/>
  <c r="M133" i="68"/>
  <c r="M92" i="68"/>
  <c r="M51" i="68"/>
  <c r="J142" i="68"/>
  <c r="J144" i="68" s="1"/>
  <c r="J175" i="68" s="1"/>
  <c r="J162" i="68"/>
  <c r="FF58" i="11"/>
  <c r="FG58" i="11"/>
  <c r="X54" i="10"/>
  <c r="X56" i="10"/>
  <c r="EF49" i="11"/>
  <c r="EF28" i="11"/>
  <c r="EF48" i="11"/>
  <c r="O56" i="11"/>
  <c r="E8" i="5"/>
  <c r="E7" i="4"/>
  <c r="E20" i="4" s="1"/>
  <c r="E38" i="4"/>
  <c r="F39" i="4" s="1"/>
  <c r="ET68" i="11" s="1"/>
  <c r="E23" i="4"/>
  <c r="F43" i="4"/>
  <c r="AA13" i="5"/>
  <c r="EK57" i="11"/>
  <c r="EK24" i="11"/>
  <c r="EK47" i="11"/>
  <c r="U79" i="42"/>
  <c r="T114" i="42"/>
  <c r="M56" i="11"/>
  <c r="J21" i="68"/>
  <c r="J23" i="68" s="1"/>
  <c r="J39" i="68" s="1"/>
  <c r="J32" i="68"/>
  <c r="P86" i="42"/>
  <c r="G18" i="4"/>
  <c r="G45" i="4" s="1"/>
  <c r="G35" i="4"/>
  <c r="G23" i="4"/>
  <c r="G24" i="4" s="1"/>
  <c r="G20" i="4"/>
  <c r="I86" i="42"/>
  <c r="G88" i="42"/>
  <c r="X100" i="42"/>
  <c r="Y3" i="42"/>
  <c r="X64" i="42"/>
  <c r="X22" i="42"/>
  <c r="X136" i="42"/>
  <c r="X15" i="42"/>
  <c r="X35" i="42"/>
  <c r="AH30" i="4"/>
  <c r="FW64" i="11"/>
  <c r="AH35" i="4"/>
  <c r="AE40" i="3"/>
  <c r="AG40" i="3" s="1"/>
  <c r="AL40" i="3"/>
  <c r="AN40" i="3" s="1"/>
  <c r="B41" i="3"/>
  <c r="J40" i="3"/>
  <c r="L40" i="3" s="1"/>
  <c r="W204" i="3"/>
  <c r="AJ204" i="3"/>
  <c r="AL204" i="3" s="1"/>
  <c r="H117" i="42"/>
  <c r="I116" i="42"/>
  <c r="H83" i="42"/>
  <c r="O119" i="42"/>
  <c r="N86" i="42"/>
  <c r="J119" i="42"/>
  <c r="K118" i="42"/>
  <c r="J85" i="42"/>
  <c r="F88" i="42"/>
  <c r="H14" i="4"/>
  <c r="EU63" i="11"/>
  <c r="EU71" i="11" s="1"/>
  <c r="G43" i="4"/>
  <c r="K90" i="42"/>
  <c r="L124" i="42" s="1"/>
  <c r="L90" i="42"/>
  <c r="Y72" i="42"/>
  <c r="X107" i="42"/>
  <c r="Y106" i="42"/>
  <c r="L39" i="3"/>
  <c r="W71" i="11"/>
  <c r="AD10" i="4"/>
  <c r="C124" i="42"/>
  <c r="C90" i="42"/>
  <c r="E87" i="42"/>
  <c r="D376" i="35"/>
  <c r="E375" i="35"/>
  <c r="E140" i="42"/>
  <c r="N36" i="3"/>
  <c r="P36" i="3" s="1"/>
  <c r="W36" i="3"/>
  <c r="Y36" i="3" s="1"/>
  <c r="Y74" i="42"/>
  <c r="L123" i="42"/>
  <c r="D119" i="42"/>
  <c r="D85" i="42"/>
  <c r="E118" i="42"/>
  <c r="X108" i="42"/>
  <c r="Y73" i="42"/>
  <c r="C53" i="3"/>
  <c r="M119" i="42"/>
  <c r="N118" i="42"/>
  <c r="M85" i="42"/>
  <c r="J19" i="53" l="1"/>
  <c r="C23" i="53"/>
  <c r="H23" i="53" s="1"/>
  <c r="C35" i="53"/>
  <c r="H35" i="53" s="1"/>
  <c r="H19" i="53"/>
  <c r="I19" i="53"/>
  <c r="AG32" i="4"/>
  <c r="AG33" i="4" s="1"/>
  <c r="DK192" i="1"/>
  <c r="L21" i="53"/>
  <c r="J33" i="53"/>
  <c r="H33" i="53"/>
  <c r="I33" i="53"/>
  <c r="J34" i="53"/>
  <c r="I34" i="53"/>
  <c r="H34" i="53"/>
  <c r="AI29" i="4"/>
  <c r="AM29" i="4" s="1"/>
  <c r="EO48" i="11"/>
  <c r="EO28" i="11"/>
  <c r="EO31" i="11" s="1"/>
  <c r="EO50" i="11" s="1"/>
  <c r="EO49" i="11"/>
  <c r="EN48" i="11"/>
  <c r="EN28" i="11"/>
  <c r="EN31" i="11" s="1"/>
  <c r="EN50" i="11" s="1"/>
  <c r="EN49" i="11"/>
  <c r="DK201" i="1"/>
  <c r="DK202" i="1" s="1"/>
  <c r="EO38" i="11"/>
  <c r="EM28" i="11"/>
  <c r="EM31" i="11" s="1"/>
  <c r="EM50" i="11" s="1"/>
  <c r="EM48" i="11"/>
  <c r="EM49" i="11"/>
  <c r="AN204" i="3"/>
  <c r="Y204" i="3"/>
  <c r="AK73" i="5"/>
  <c r="AH26" i="4"/>
  <c r="AH27" i="4" s="1"/>
  <c r="AI26" i="4"/>
  <c r="AI17" i="4"/>
  <c r="AI18" i="4" s="1"/>
  <c r="AM16" i="4"/>
  <c r="FX63" i="11"/>
  <c r="FX71" i="11" s="1"/>
  <c r="EN36" i="11"/>
  <c r="DK171" i="1"/>
  <c r="DK175" i="1" s="1"/>
  <c r="DK181" i="1"/>
  <c r="EM33" i="11"/>
  <c r="EM34" i="11"/>
  <c r="D16" i="11"/>
  <c r="C16" i="11"/>
  <c r="AC34" i="5"/>
  <c r="J78" i="68"/>
  <c r="ET24" i="11"/>
  <c r="ET48" i="11" s="1"/>
  <c r="E13" i="11"/>
  <c r="E45" i="11" s="1"/>
  <c r="ET47" i="11"/>
  <c r="F13" i="11"/>
  <c r="F45" i="11" s="1"/>
  <c r="K111" i="68"/>
  <c r="E119" i="68"/>
  <c r="K96" i="68"/>
  <c r="K101" i="68" s="1"/>
  <c r="K103" i="68" s="1"/>
  <c r="K118" i="68"/>
  <c r="G119" i="68"/>
  <c r="AG36" i="4"/>
  <c r="FV66" i="11"/>
  <c r="FV65" i="11"/>
  <c r="FV72" i="11"/>
  <c r="L93" i="68"/>
  <c r="L106" i="68" s="1"/>
  <c r="L120" i="68" s="1"/>
  <c r="G175" i="68"/>
  <c r="E78" i="68"/>
  <c r="E43" i="4"/>
  <c r="M90" i="68"/>
  <c r="M109" i="68" s="1"/>
  <c r="M156" i="68" s="1"/>
  <c r="D175" i="68"/>
  <c r="F24" i="4"/>
  <c r="EF31" i="11"/>
  <c r="W9" i="9"/>
  <c r="Y52" i="10"/>
  <c r="Y54" i="10" s="1"/>
  <c r="R57" i="11"/>
  <c r="M47" i="11"/>
  <c r="M24" i="11"/>
  <c r="EJ28" i="11"/>
  <c r="EJ31" i="11" s="1"/>
  <c r="EJ50" i="11" s="1"/>
  <c r="EJ49" i="11"/>
  <c r="EJ48" i="11"/>
  <c r="D190" i="3"/>
  <c r="H190" i="3" s="1"/>
  <c r="DY50" i="11"/>
  <c r="M104" i="68"/>
  <c r="M148" i="68" s="1"/>
  <c r="M146" i="68"/>
  <c r="FP67" i="11"/>
  <c r="AA39" i="4"/>
  <c r="AA54" i="5"/>
  <c r="AA59" i="5"/>
  <c r="AA57" i="5"/>
  <c r="N92" i="68"/>
  <c r="N51" i="68"/>
  <c r="N133" i="68"/>
  <c r="C8" i="5"/>
  <c r="C44" i="5"/>
  <c r="EQ9" i="11"/>
  <c r="ER54" i="11" s="1"/>
  <c r="C11" i="4"/>
  <c r="D12" i="4" s="1"/>
  <c r="D45" i="4" s="1"/>
  <c r="EQ16" i="11"/>
  <c r="EQ26" i="11"/>
  <c r="M117" i="68"/>
  <c r="M110" i="68"/>
  <c r="M160" i="68" s="1"/>
  <c r="K142" i="68"/>
  <c r="K144" i="68" s="1"/>
  <c r="K175" i="68" s="1"/>
  <c r="K162" i="68"/>
  <c r="EE31" i="11"/>
  <c r="N88" i="68"/>
  <c r="N47" i="68"/>
  <c r="FN28" i="11"/>
  <c r="FN48" i="11"/>
  <c r="FN49" i="11"/>
  <c r="FO57" i="11"/>
  <c r="FO24" i="11"/>
  <c r="FO47" i="11"/>
  <c r="FO42" i="11"/>
  <c r="D45" i="5"/>
  <c r="D53" i="5"/>
  <c r="D49" i="4"/>
  <c r="D50" i="4" s="1"/>
  <c r="DV66" i="11"/>
  <c r="AA18" i="10"/>
  <c r="S116" i="42"/>
  <c r="T81" i="42"/>
  <c r="FR30" i="11"/>
  <c r="AC39" i="5"/>
  <c r="FR15" i="11"/>
  <c r="O12" i="68"/>
  <c r="AC38" i="5"/>
  <c r="O15" i="68"/>
  <c r="AC48" i="5"/>
  <c r="FR22" i="11"/>
  <c r="N37" i="68"/>
  <c r="N50" i="68"/>
  <c r="N91" i="68"/>
  <c r="N30" i="68"/>
  <c r="N159" i="68" s="1"/>
  <c r="N157" i="68" s="1"/>
  <c r="D13" i="11"/>
  <c r="D45" i="11" s="1"/>
  <c r="I54" i="11"/>
  <c r="C13" i="11"/>
  <c r="C45" i="11" s="1"/>
  <c r="H54" i="11"/>
  <c r="H56" i="11"/>
  <c r="C46" i="11"/>
  <c r="C56" i="11"/>
  <c r="K54" i="11"/>
  <c r="EK48" i="11"/>
  <c r="N86" i="68"/>
  <c r="N45" i="68"/>
  <c r="N35" i="68"/>
  <c r="N10" i="68"/>
  <c r="AC72" i="9"/>
  <c r="AC76" i="9" s="1"/>
  <c r="AD62" i="10"/>
  <c r="AB8" i="10"/>
  <c r="Z67" i="5"/>
  <c r="Z60" i="5"/>
  <c r="Z64" i="5"/>
  <c r="S57" i="11"/>
  <c r="N47" i="11"/>
  <c r="N24" i="11"/>
  <c r="H45" i="11"/>
  <c r="H20" i="11"/>
  <c r="J101" i="68"/>
  <c r="J103" i="68" s="1"/>
  <c r="J119" i="68" s="1"/>
  <c r="J112" i="68"/>
  <c r="EV34" i="11"/>
  <c r="E59" i="5"/>
  <c r="E54" i="5"/>
  <c r="E57" i="5"/>
  <c r="EC31" i="11"/>
  <c r="F60" i="5"/>
  <c r="F67" i="5"/>
  <c r="G68" i="5" s="1"/>
  <c r="H8" i="10"/>
  <c r="H18" i="10" s="1"/>
  <c r="F64" i="5"/>
  <c r="M29" i="68"/>
  <c r="M155" i="68" s="1"/>
  <c r="M153" i="68" s="1"/>
  <c r="M13" i="68"/>
  <c r="C12" i="5"/>
  <c r="C13" i="5" s="1"/>
  <c r="EQ11" i="11"/>
  <c r="EQ30" i="11"/>
  <c r="EK71" i="11"/>
  <c r="EK72" i="11"/>
  <c r="U48" i="11"/>
  <c r="U49" i="11"/>
  <c r="U28" i="11"/>
  <c r="U31" i="11" s="1"/>
  <c r="U50" i="11" s="1"/>
  <c r="FM34" i="11"/>
  <c r="X71" i="5"/>
  <c r="J45" i="11"/>
  <c r="J20" i="11"/>
  <c r="T57" i="11"/>
  <c r="O24" i="11"/>
  <c r="O47" i="11"/>
  <c r="L131" i="68"/>
  <c r="L132" i="68"/>
  <c r="L173" i="68" s="1"/>
  <c r="ES20" i="11"/>
  <c r="ES45" i="11"/>
  <c r="I35" i="10"/>
  <c r="I63" i="10" s="1"/>
  <c r="I53" i="10"/>
  <c r="I56" i="10" s="1"/>
  <c r="EU48" i="11"/>
  <c r="EU28" i="11"/>
  <c r="EU31" i="11" s="1"/>
  <c r="EU50" i="11" s="1"/>
  <c r="EU49" i="11"/>
  <c r="ER13" i="11"/>
  <c r="ER51" i="11"/>
  <c r="S83" i="42"/>
  <c r="R118" i="42"/>
  <c r="FN33" i="11"/>
  <c r="FN58" i="11" s="1"/>
  <c r="Y68" i="5"/>
  <c r="Y70" i="5"/>
  <c r="X75" i="42"/>
  <c r="Y109" i="42" s="1"/>
  <c r="W110" i="42"/>
  <c r="FR9" i="11"/>
  <c r="AC44" i="5"/>
  <c r="AC11" i="4"/>
  <c r="AK11" i="4" s="1"/>
  <c r="O6" i="68"/>
  <c r="AD67" i="9"/>
  <c r="AC8" i="5"/>
  <c r="O24" i="68"/>
  <c r="C59" i="11"/>
  <c r="C51" i="11"/>
  <c r="K56" i="11"/>
  <c r="F56" i="11"/>
  <c r="F46" i="11"/>
  <c r="D59" i="11"/>
  <c r="D51" i="11"/>
  <c r="E16" i="11"/>
  <c r="DX50" i="11"/>
  <c r="W77" i="42"/>
  <c r="V112" i="42"/>
  <c r="AB12" i="4"/>
  <c r="AB38" i="4"/>
  <c r="AB7" i="4"/>
  <c r="P24" i="11"/>
  <c r="P47" i="11"/>
  <c r="R85" i="42"/>
  <c r="Q120" i="42"/>
  <c r="O91" i="42"/>
  <c r="AC35" i="10"/>
  <c r="AC63" i="10" s="1"/>
  <c r="AC53" i="10"/>
  <c r="AC56" i="10" s="1"/>
  <c r="M80" i="68"/>
  <c r="M81" i="68" s="1"/>
  <c r="M179" i="68" s="1"/>
  <c r="M177" i="68"/>
  <c r="M121" i="68"/>
  <c r="C38" i="5"/>
  <c r="EQ15" i="11"/>
  <c r="C48" i="5"/>
  <c r="EQ22" i="11"/>
  <c r="U57" i="11"/>
  <c r="W76" i="42"/>
  <c r="V111" i="42"/>
  <c r="EH48" i="11"/>
  <c r="EI28" i="11"/>
  <c r="EI31" i="11" s="1"/>
  <c r="EI50" i="11" s="1"/>
  <c r="EI49" i="11"/>
  <c r="EI48" i="11"/>
  <c r="L26" i="68"/>
  <c r="L40" i="68" s="1"/>
  <c r="L16" i="68"/>
  <c r="L31" i="68"/>
  <c r="L38" i="68"/>
  <c r="U71" i="11"/>
  <c r="U72" i="11"/>
  <c r="H70" i="9"/>
  <c r="G65" i="5"/>
  <c r="D8" i="5"/>
  <c r="D7" i="4"/>
  <c r="D20" i="4" s="1"/>
  <c r="D23" i="4"/>
  <c r="D38" i="4"/>
  <c r="E39" i="4" s="1"/>
  <c r="ES68" i="11" s="1"/>
  <c r="Z53" i="10"/>
  <c r="Z56" i="10" s="1"/>
  <c r="Z35" i="10"/>
  <c r="Z63" i="10" s="1"/>
  <c r="N98" i="68"/>
  <c r="N57" i="68"/>
  <c r="O18" i="68"/>
  <c r="FR26" i="11"/>
  <c r="C72" i="11"/>
  <c r="D5" i="11"/>
  <c r="E59" i="11"/>
  <c r="J59" i="11"/>
  <c r="E51" i="11"/>
  <c r="F16" i="11"/>
  <c r="I45" i="11"/>
  <c r="I20" i="11"/>
  <c r="P121" i="42"/>
  <c r="Q86" i="42"/>
  <c r="U114" i="42"/>
  <c r="V79" i="42"/>
  <c r="ES67" i="11"/>
  <c r="ER46" i="11"/>
  <c r="L68" i="68"/>
  <c r="L154" i="68" s="1"/>
  <c r="L52" i="68"/>
  <c r="U80" i="42"/>
  <c r="T115" i="42"/>
  <c r="N63" i="68"/>
  <c r="N147" i="68"/>
  <c r="N145" i="68" s="1"/>
  <c r="FQ13" i="11"/>
  <c r="FQ54" i="11"/>
  <c r="AB53" i="5"/>
  <c r="AB45" i="5"/>
  <c r="AB49" i="4"/>
  <c r="AB50" i="4" s="1"/>
  <c r="R84" i="42"/>
  <c r="Q119" i="42"/>
  <c r="T82" i="42"/>
  <c r="S117" i="42"/>
  <c r="AA8" i="4"/>
  <c r="FP68" i="11"/>
  <c r="E73" i="9"/>
  <c r="E77" i="9" s="1"/>
  <c r="E74" i="9"/>
  <c r="E78" i="9" s="1"/>
  <c r="ED31" i="11"/>
  <c r="EA50" i="11"/>
  <c r="N54" i="68"/>
  <c r="N136" i="68"/>
  <c r="N95" i="68"/>
  <c r="DZ50" i="11"/>
  <c r="M49" i="68"/>
  <c r="M68" i="68" s="1"/>
  <c r="M154" i="68" s="1"/>
  <c r="K60" i="68"/>
  <c r="K62" i="68" s="1"/>
  <c r="K78" i="68" s="1"/>
  <c r="K71" i="68"/>
  <c r="S49" i="11"/>
  <c r="S48" i="11"/>
  <c r="S28" i="11"/>
  <c r="S31" i="11" s="1"/>
  <c r="S50" i="11" s="1"/>
  <c r="U113" i="42"/>
  <c r="V78" i="42"/>
  <c r="C25" i="5"/>
  <c r="C26" i="5" s="1"/>
  <c r="EQ14" i="11"/>
  <c r="ER56" i="11" s="1"/>
  <c r="D48" i="5"/>
  <c r="E13" i="5"/>
  <c r="M69" i="68"/>
  <c r="M158" i="68" s="1"/>
  <c r="M76" i="68"/>
  <c r="K21" i="68"/>
  <c r="K23" i="68" s="1"/>
  <c r="K39" i="68" s="1"/>
  <c r="K32" i="68"/>
  <c r="K120" i="68"/>
  <c r="AC74" i="9"/>
  <c r="AC78" i="9" s="1"/>
  <c r="AC73" i="9"/>
  <c r="AC77" i="9" s="1"/>
  <c r="P5" i="11"/>
  <c r="O71" i="11"/>
  <c r="O72" i="11"/>
  <c r="ES54" i="11"/>
  <c r="EU33" i="11"/>
  <c r="G70" i="5"/>
  <c r="H71" i="5" s="1"/>
  <c r="FP45" i="11"/>
  <c r="FP20" i="11"/>
  <c r="F62" i="10"/>
  <c r="E72" i="9"/>
  <c r="E76" i="9" s="1"/>
  <c r="Y65" i="5"/>
  <c r="Z70" i="9"/>
  <c r="AE5" i="5"/>
  <c r="AD47" i="5"/>
  <c r="AD7" i="5"/>
  <c r="AD37" i="5"/>
  <c r="AD24" i="5"/>
  <c r="AD34" i="5" s="1"/>
  <c r="AD11" i="5"/>
  <c r="AD73" i="5"/>
  <c r="O8" i="68"/>
  <c r="AD68" i="9"/>
  <c r="FR11" i="11"/>
  <c r="AC12" i="5"/>
  <c r="AC13" i="5" s="1"/>
  <c r="AD69" i="9"/>
  <c r="FR14" i="11"/>
  <c r="O11" i="68"/>
  <c r="AC25" i="5"/>
  <c r="AC26" i="5" s="1"/>
  <c r="FQ56" i="11"/>
  <c r="FQ46" i="11"/>
  <c r="I56" i="11"/>
  <c r="D46" i="11"/>
  <c r="D56" i="11"/>
  <c r="F59" i="11"/>
  <c r="F51" i="11"/>
  <c r="E56" i="11"/>
  <c r="E46" i="11"/>
  <c r="I71" i="11"/>
  <c r="J5" i="11"/>
  <c r="I72" i="11"/>
  <c r="K20" i="11"/>
  <c r="K45" i="11"/>
  <c r="P87" i="42"/>
  <c r="H16" i="4"/>
  <c r="H17" i="4" s="1"/>
  <c r="C54" i="3"/>
  <c r="D120" i="42"/>
  <c r="D86" i="42"/>
  <c r="E119" i="42"/>
  <c r="Z74" i="42"/>
  <c r="F140" i="42"/>
  <c r="E376" i="35"/>
  <c r="D377" i="35"/>
  <c r="AA41" i="3"/>
  <c r="AF9" i="4"/>
  <c r="K91" i="42"/>
  <c r="L125" i="42" s="1"/>
  <c r="F89" i="42"/>
  <c r="FW66" i="11"/>
  <c r="AH36" i="4"/>
  <c r="Z3" i="42"/>
  <c r="Y136" i="42"/>
  <c r="Y22" i="42"/>
  <c r="Y100" i="42"/>
  <c r="Y15" i="42"/>
  <c r="Y64" i="42"/>
  <c r="Y35" i="42"/>
  <c r="Z73" i="42"/>
  <c r="Z108" i="42" s="1"/>
  <c r="Y108" i="42"/>
  <c r="L91" i="42"/>
  <c r="X71" i="11"/>
  <c r="I87" i="42"/>
  <c r="W40" i="3"/>
  <c r="Y40" i="3" s="1"/>
  <c r="N40" i="3"/>
  <c r="P40" i="3" s="1"/>
  <c r="E88" i="42"/>
  <c r="F121" i="42"/>
  <c r="N39" i="3"/>
  <c r="P39" i="3" s="1"/>
  <c r="W39" i="3"/>
  <c r="Y39" i="3" s="1"/>
  <c r="Z72" i="42"/>
  <c r="Y107" i="42"/>
  <c r="Z106" i="42"/>
  <c r="J120" i="42"/>
  <c r="J86" i="42"/>
  <c r="K119" i="42"/>
  <c r="H118" i="42"/>
  <c r="H84" i="42"/>
  <c r="I117" i="42"/>
  <c r="B42" i="3"/>
  <c r="J41" i="3"/>
  <c r="FW65" i="11"/>
  <c r="FW72" i="11"/>
  <c r="G123" i="42"/>
  <c r="G89" i="42"/>
  <c r="M120" i="42"/>
  <c r="M86" i="42"/>
  <c r="N119" i="42"/>
  <c r="C125" i="42"/>
  <c r="C91" i="42"/>
  <c r="O120" i="42"/>
  <c r="N87" i="42"/>
  <c r="G122" i="42"/>
  <c r="EU66" i="11"/>
  <c r="G36" i="4"/>
  <c r="I23" i="53" l="1"/>
  <c r="L26" i="53"/>
  <c r="L27" i="53" s="1"/>
  <c r="J23" i="53"/>
  <c r="J35" i="53"/>
  <c r="C25" i="53"/>
  <c r="J25" i="53" s="1"/>
  <c r="I35" i="53"/>
  <c r="C36" i="53"/>
  <c r="H36" i="53" s="1"/>
  <c r="AH32" i="4"/>
  <c r="AI32" i="4" s="1"/>
  <c r="AI33" i="4" s="1"/>
  <c r="FX64" i="11"/>
  <c r="FX72" i="11" s="1"/>
  <c r="AI30" i="4"/>
  <c r="FT38" i="11"/>
  <c r="FU38" i="11" s="1"/>
  <c r="EP38" i="11"/>
  <c r="DK209" i="1"/>
  <c r="AE47" i="5"/>
  <c r="Q15" i="68" s="1"/>
  <c r="AE37" i="5"/>
  <c r="C14" i="86" s="1"/>
  <c r="AE62" i="5"/>
  <c r="FT30" i="11" s="1"/>
  <c r="AE24" i="5"/>
  <c r="E20" i="11"/>
  <c r="E24" i="11" s="1"/>
  <c r="AH33" i="4"/>
  <c r="AI27" i="4"/>
  <c r="AM26" i="4"/>
  <c r="AI35" i="4"/>
  <c r="FX65" i="11"/>
  <c r="DL171" i="1"/>
  <c r="EN33" i="11"/>
  <c r="EN58" i="11" s="1"/>
  <c r="DK185" i="1"/>
  <c r="DL181" i="1"/>
  <c r="EN34" i="11"/>
  <c r="DK193" i="1"/>
  <c r="EO36" i="11"/>
  <c r="DK182" i="1"/>
  <c r="DK172" i="1"/>
  <c r="D20" i="11"/>
  <c r="I57" i="11" s="1"/>
  <c r="F20" i="11"/>
  <c r="F24" i="11" s="1"/>
  <c r="F48" i="11" s="1"/>
  <c r="AC23" i="4"/>
  <c r="C20" i="11"/>
  <c r="C24" i="11" s="1"/>
  <c r="ET49" i="11"/>
  <c r="ET28" i="11"/>
  <c r="ET31" i="11" s="1"/>
  <c r="ET50" i="11" s="1"/>
  <c r="K112" i="68"/>
  <c r="L118" i="68"/>
  <c r="L111" i="68"/>
  <c r="L96" i="68"/>
  <c r="L112" i="68" s="1"/>
  <c r="L165" i="68" s="1"/>
  <c r="M93" i="68"/>
  <c r="M96" i="68" s="1"/>
  <c r="L134" i="68"/>
  <c r="L137" i="68" s="1"/>
  <c r="O91" i="68"/>
  <c r="O50" i="68"/>
  <c r="O37" i="68"/>
  <c r="O30" i="68"/>
  <c r="O159" i="68" s="1"/>
  <c r="O157" i="68" s="1"/>
  <c r="AD74" i="9"/>
  <c r="AD78" i="9" s="1"/>
  <c r="AE78" i="9" s="1"/>
  <c r="AD73" i="9"/>
  <c r="AD77" i="9" s="1"/>
  <c r="AE77" i="9" s="1"/>
  <c r="AF77" i="9" s="1"/>
  <c r="AG77" i="9" s="1"/>
  <c r="AH77" i="9" s="1"/>
  <c r="AI77" i="9" s="1"/>
  <c r="AJ77" i="9" s="1"/>
  <c r="AF10" i="10"/>
  <c r="FS15" i="11"/>
  <c r="P12" i="68"/>
  <c r="AD39" i="5"/>
  <c r="AD38" i="5"/>
  <c r="U82" i="42"/>
  <c r="T117" i="42"/>
  <c r="N104" i="68"/>
  <c r="N148" i="68" s="1"/>
  <c r="N146" i="68"/>
  <c r="N57" i="11"/>
  <c r="I47" i="11"/>
  <c r="I24" i="11"/>
  <c r="X76" i="42"/>
  <c r="W111" i="42"/>
  <c r="AD72" i="9"/>
  <c r="AD76" i="9" s="1"/>
  <c r="AE62" i="10"/>
  <c r="AC49" i="4"/>
  <c r="AK49" i="4" s="1"/>
  <c r="AC45" i="5"/>
  <c r="AC53" i="5"/>
  <c r="AK53" i="5" s="1"/>
  <c r="ES24" i="11"/>
  <c r="ES47" i="11"/>
  <c r="ET57" i="11"/>
  <c r="O57" i="11"/>
  <c r="J24" i="11"/>
  <c r="J47" i="11"/>
  <c r="G70" i="9"/>
  <c r="F65" i="5"/>
  <c r="E60" i="5"/>
  <c r="E67" i="5"/>
  <c r="G8" i="10"/>
  <c r="G18" i="10" s="1"/>
  <c r="E64" i="5"/>
  <c r="Z70" i="5"/>
  <c r="FO33" i="11"/>
  <c r="FO58" i="11" s="1"/>
  <c r="Z68" i="5"/>
  <c r="N13" i="68"/>
  <c r="N29" i="68"/>
  <c r="N155" i="68" s="1"/>
  <c r="N153" i="68" s="1"/>
  <c r="M52" i="68"/>
  <c r="N76" i="68"/>
  <c r="N69" i="68"/>
  <c r="N158" i="68" s="1"/>
  <c r="T116" i="42"/>
  <c r="U81" i="42"/>
  <c r="EV58" i="11"/>
  <c r="C53" i="5"/>
  <c r="C45" i="5"/>
  <c r="C49" i="4"/>
  <c r="C50" i="4" s="1"/>
  <c r="EF50" i="11"/>
  <c r="P57" i="11"/>
  <c r="K47" i="11"/>
  <c r="K24" i="11"/>
  <c r="FR56" i="11"/>
  <c r="FR46" i="11"/>
  <c r="P8" i="68"/>
  <c r="AE68" i="9"/>
  <c r="FS11" i="11"/>
  <c r="AD12" i="5"/>
  <c r="AD44" i="5"/>
  <c r="P6" i="68"/>
  <c r="AE67" i="9"/>
  <c r="AD11" i="4"/>
  <c r="FS9" i="11"/>
  <c r="AD8" i="5"/>
  <c r="P72" i="11"/>
  <c r="P71" i="11"/>
  <c r="V113" i="42"/>
  <c r="W78" i="42"/>
  <c r="ED50" i="11"/>
  <c r="FQ45" i="11"/>
  <c r="FQ20" i="11"/>
  <c r="Q121" i="42"/>
  <c r="R86" i="42"/>
  <c r="ER67" i="11"/>
  <c r="L32" i="68"/>
  <c r="L164" i="68" s="1"/>
  <c r="L162" i="68" s="1"/>
  <c r="L21" i="68"/>
  <c r="L23" i="68" s="1"/>
  <c r="L39" i="68" s="1"/>
  <c r="S85" i="42"/>
  <c r="R120" i="42"/>
  <c r="AB8" i="4"/>
  <c r="FQ68" i="11"/>
  <c r="W112" i="42"/>
  <c r="X77" i="42"/>
  <c r="FR13" i="11"/>
  <c r="FR54" i="11"/>
  <c r="L129" i="68"/>
  <c r="H35" i="10"/>
  <c r="H63" i="10" s="1"/>
  <c r="H53" i="10"/>
  <c r="H56" i="10" s="1"/>
  <c r="EC50" i="11"/>
  <c r="DX66" i="11"/>
  <c r="AB18" i="10"/>
  <c r="DW66" i="11"/>
  <c r="N80" i="68"/>
  <c r="N81" i="68" s="1"/>
  <c r="N179" i="68" s="1"/>
  <c r="N177" i="68"/>
  <c r="N121" i="68"/>
  <c r="O51" i="68"/>
  <c r="O92" i="68"/>
  <c r="O133" i="68"/>
  <c r="D54" i="5"/>
  <c r="D59" i="5"/>
  <c r="D57" i="5"/>
  <c r="FO28" i="11"/>
  <c r="FO31" i="11" s="1"/>
  <c r="FO50" i="11" s="1"/>
  <c r="FO48" i="11"/>
  <c r="FO49" i="11"/>
  <c r="FN31" i="11"/>
  <c r="FN50" i="11" s="1"/>
  <c r="EE50" i="11"/>
  <c r="O47" i="68"/>
  <c r="O88" i="68"/>
  <c r="FS22" i="11"/>
  <c r="AD48" i="5"/>
  <c r="P15" i="68"/>
  <c r="FP42" i="11"/>
  <c r="FP24" i="11"/>
  <c r="FP47" i="11"/>
  <c r="FP57" i="11"/>
  <c r="R119" i="42"/>
  <c r="S84" i="42"/>
  <c r="AB54" i="5"/>
  <c r="AB59" i="5"/>
  <c r="AB57" i="5"/>
  <c r="V80" i="42"/>
  <c r="U115" i="42"/>
  <c r="V114" i="42"/>
  <c r="W79" i="42"/>
  <c r="D72" i="11"/>
  <c r="E5" i="11"/>
  <c r="M180" i="68"/>
  <c r="M178" i="68" s="1"/>
  <c r="M168" i="68" s="1"/>
  <c r="M127" i="68" s="1"/>
  <c r="M122" i="68"/>
  <c r="M181" i="68" s="1"/>
  <c r="D13" i="5"/>
  <c r="FQ67" i="11"/>
  <c r="AB39" i="4"/>
  <c r="D197" i="3"/>
  <c r="H197" i="3" s="1"/>
  <c r="O10" i="68"/>
  <c r="O45" i="68"/>
  <c r="O86" i="68"/>
  <c r="O35" i="68"/>
  <c r="X110" i="42"/>
  <c r="Y75" i="42"/>
  <c r="Z109" i="42" s="1"/>
  <c r="ER45" i="11"/>
  <c r="ER20" i="11"/>
  <c r="O48" i="11"/>
  <c r="O28" i="11"/>
  <c r="O31" i="11" s="1"/>
  <c r="O50" i="11" s="1"/>
  <c r="O49" i="11"/>
  <c r="M38" i="68"/>
  <c r="M31" i="68"/>
  <c r="M26" i="68"/>
  <c r="M40" i="68" s="1"/>
  <c r="M16" i="68"/>
  <c r="ET33" i="11"/>
  <c r="EU58" i="11" s="1"/>
  <c r="F70" i="5"/>
  <c r="H24" i="11"/>
  <c r="M57" i="11"/>
  <c r="H47" i="11"/>
  <c r="AA70" i="9"/>
  <c r="Z65" i="5"/>
  <c r="N49" i="68"/>
  <c r="N74" i="68"/>
  <c r="AA53" i="10"/>
  <c r="AA56" i="10" s="1"/>
  <c r="AA35" i="10"/>
  <c r="AA63" i="10" s="1"/>
  <c r="C23" i="4"/>
  <c r="C24" i="4" s="1"/>
  <c r="C43" i="4"/>
  <c r="C38" i="4"/>
  <c r="EQ67" i="11" s="1"/>
  <c r="C12" i="4"/>
  <c r="C7" i="4"/>
  <c r="C20" i="4" s="1"/>
  <c r="AA67" i="5"/>
  <c r="AA60" i="5"/>
  <c r="AA64" i="5"/>
  <c r="Z52" i="10"/>
  <c r="Z54" i="10" s="1"/>
  <c r="X9" i="9"/>
  <c r="O92" i="42"/>
  <c r="P122" i="42"/>
  <c r="Q87" i="42"/>
  <c r="P88" i="42"/>
  <c r="K5" i="11"/>
  <c r="J72" i="11"/>
  <c r="J71" i="11"/>
  <c r="P24" i="68"/>
  <c r="P11" i="68"/>
  <c r="AD25" i="5"/>
  <c r="AE69" i="9"/>
  <c r="FS14" i="11"/>
  <c r="AF5" i="5"/>
  <c r="AE5" i="4"/>
  <c r="K119" i="68"/>
  <c r="EU34" i="11"/>
  <c r="EQ56" i="11"/>
  <c r="EQ46" i="11"/>
  <c r="L55" i="68"/>
  <c r="L65" i="68"/>
  <c r="L79" i="68" s="1"/>
  <c r="L70" i="68"/>
  <c r="L77" i="68"/>
  <c r="O98" i="68"/>
  <c r="O57" i="68"/>
  <c r="D43" i="4"/>
  <c r="P28" i="11"/>
  <c r="P31" i="11" s="1"/>
  <c r="P50" i="11" s="1"/>
  <c r="P48" i="11"/>
  <c r="P49" i="11"/>
  <c r="O63" i="68"/>
  <c r="O147" i="68"/>
  <c r="O145" i="68" s="1"/>
  <c r="AC12" i="4"/>
  <c r="AC38" i="4"/>
  <c r="AK38" i="4" s="1"/>
  <c r="AC43" i="4"/>
  <c r="AC7" i="4"/>
  <c r="AK7" i="4" s="1"/>
  <c r="Y71" i="5"/>
  <c r="FN34" i="11"/>
  <c r="S118" i="42"/>
  <c r="T83" i="42"/>
  <c r="N48" i="11"/>
  <c r="N28" i="11"/>
  <c r="N31" i="11" s="1"/>
  <c r="N50" i="11" s="1"/>
  <c r="N49" i="11"/>
  <c r="N90" i="68"/>
  <c r="N115" i="68"/>
  <c r="D26" i="5"/>
  <c r="N117" i="68"/>
  <c r="N110" i="68"/>
  <c r="N160" i="68" s="1"/>
  <c r="O54" i="68"/>
  <c r="O136" i="68"/>
  <c r="O95" i="68"/>
  <c r="FO51" i="11"/>
  <c r="FO59" i="11"/>
  <c r="EQ51" i="11"/>
  <c r="EQ13" i="11"/>
  <c r="AG190" i="3"/>
  <c r="P190" i="3"/>
  <c r="M28" i="11"/>
  <c r="M31" i="11" s="1"/>
  <c r="M50" i="11" s="1"/>
  <c r="M48" i="11"/>
  <c r="M49" i="11"/>
  <c r="W59" i="9"/>
  <c r="W64" i="9" s="1"/>
  <c r="W15" i="9"/>
  <c r="W23" i="9" s="1"/>
  <c r="W52" i="9" s="1"/>
  <c r="E24" i="4"/>
  <c r="O121" i="42"/>
  <c r="N88" i="42"/>
  <c r="Z107" i="42"/>
  <c r="E89" i="42"/>
  <c r="F122" i="42"/>
  <c r="AG9" i="4"/>
  <c r="H35" i="4"/>
  <c r="H18" i="4"/>
  <c r="H45" i="4" s="1"/>
  <c r="H23" i="4"/>
  <c r="H24" i="4" s="1"/>
  <c r="H20" i="4"/>
  <c r="I88" i="42"/>
  <c r="Z35" i="42"/>
  <c r="Z22" i="42"/>
  <c r="Z15" i="42"/>
  <c r="Z64" i="42"/>
  <c r="Z100" i="42"/>
  <c r="Z136" i="42"/>
  <c r="F90" i="42"/>
  <c r="G124" i="42" s="1"/>
  <c r="C55" i="3"/>
  <c r="EV63" i="11"/>
  <c r="EV71" i="11" s="1"/>
  <c r="I14" i="4"/>
  <c r="H43" i="4"/>
  <c r="C126" i="42"/>
  <c r="C92" i="42"/>
  <c r="M121" i="42"/>
  <c r="M87" i="42"/>
  <c r="N120" i="42"/>
  <c r="G90" i="42"/>
  <c r="Y71" i="11"/>
  <c r="H119" i="42"/>
  <c r="H85" i="42"/>
  <c r="I118" i="42"/>
  <c r="Y72" i="11"/>
  <c r="AC41" i="3"/>
  <c r="G140" i="42"/>
  <c r="J42" i="3"/>
  <c r="Z71" i="11" s="1"/>
  <c r="B46" i="3"/>
  <c r="J121" i="42"/>
  <c r="K120" i="42"/>
  <c r="J87" i="42"/>
  <c r="L41" i="3"/>
  <c r="L92" i="42"/>
  <c r="K92" i="42"/>
  <c r="L126" i="42" s="1"/>
  <c r="E377" i="35"/>
  <c r="D378" i="35"/>
  <c r="D121" i="42"/>
  <c r="D87" i="42"/>
  <c r="E120" i="42"/>
  <c r="I36" i="53" l="1"/>
  <c r="P25" i="53"/>
  <c r="I25" i="53"/>
  <c r="J36" i="53"/>
  <c r="H25" i="53"/>
  <c r="FT22" i="11"/>
  <c r="P47" i="68"/>
  <c r="P88" i="68"/>
  <c r="P50" i="68"/>
  <c r="P91" i="68"/>
  <c r="P54" i="68"/>
  <c r="P95" i="68"/>
  <c r="P86" i="68"/>
  <c r="P45" i="68"/>
  <c r="P92" i="68"/>
  <c r="P51" i="68"/>
  <c r="E47" i="11"/>
  <c r="J57" i="11"/>
  <c r="AE48" i="5"/>
  <c r="AF47" i="5"/>
  <c r="AF48" i="5" s="1"/>
  <c r="EP37" i="11"/>
  <c r="DK210" i="1"/>
  <c r="FT37" i="11" s="1"/>
  <c r="FU37" i="11"/>
  <c r="FV38" i="11"/>
  <c r="AI36" i="4"/>
  <c r="FX66" i="11"/>
  <c r="DL182" i="1"/>
  <c r="EO34" i="11"/>
  <c r="EP36" i="11"/>
  <c r="DK194" i="1"/>
  <c r="DL172" i="1"/>
  <c r="EO33" i="11"/>
  <c r="EO58" i="11" s="1"/>
  <c r="D47" i="11"/>
  <c r="D24" i="11"/>
  <c r="D49" i="11" s="1"/>
  <c r="K57" i="11"/>
  <c r="Q54" i="68"/>
  <c r="Q95" i="68"/>
  <c r="Q136" i="68"/>
  <c r="F49" i="11"/>
  <c r="F28" i="11"/>
  <c r="F31" i="11" s="1"/>
  <c r="F50" i="11" s="1"/>
  <c r="F47" i="11"/>
  <c r="H57" i="11"/>
  <c r="AF78" i="9"/>
  <c r="AG78" i="9" s="1"/>
  <c r="AH78" i="9" s="1"/>
  <c r="AI78" i="9" s="1"/>
  <c r="AJ78" i="9" s="1"/>
  <c r="C47" i="11"/>
  <c r="M111" i="68"/>
  <c r="L101" i="68"/>
  <c r="L103" i="68" s="1"/>
  <c r="L119" i="68" s="1"/>
  <c r="M106" i="68"/>
  <c r="M120" i="68" s="1"/>
  <c r="M118" i="68"/>
  <c r="L150" i="68"/>
  <c r="L176" i="68" s="1"/>
  <c r="L174" i="68"/>
  <c r="L161" i="68"/>
  <c r="D39" i="4"/>
  <c r="ER68" i="11" s="1"/>
  <c r="EQ20" i="11"/>
  <c r="ER57" i="11" s="1"/>
  <c r="EQ45" i="11"/>
  <c r="N93" i="68"/>
  <c r="N109" i="68"/>
  <c r="N156" i="68" s="1"/>
  <c r="U83" i="42"/>
  <c r="T118" i="42"/>
  <c r="AC39" i="4"/>
  <c r="FR67" i="11"/>
  <c r="AD26" i="5"/>
  <c r="FS74" i="11"/>
  <c r="AF50" i="10"/>
  <c r="Q88" i="42"/>
  <c r="P123" i="42"/>
  <c r="P89" i="42"/>
  <c r="P91" i="42" s="1"/>
  <c r="AA52" i="10"/>
  <c r="AA54" i="10" s="1"/>
  <c r="Y9" i="9"/>
  <c r="ET34" i="11"/>
  <c r="O13" i="68"/>
  <c r="O29" i="68"/>
  <c r="O155" i="68" s="1"/>
  <c r="O153" i="68" s="1"/>
  <c r="W114" i="42"/>
  <c r="X79" i="42"/>
  <c r="S119" i="42"/>
  <c r="T84" i="42"/>
  <c r="D60" i="5"/>
  <c r="F8" i="10"/>
  <c r="F18" i="10" s="1"/>
  <c r="D67" i="5"/>
  <c r="E68" i="5" s="1"/>
  <c r="D64" i="5"/>
  <c r="FS76" i="11"/>
  <c r="S120" i="42"/>
  <c r="T85" i="42"/>
  <c r="X78" i="42"/>
  <c r="W113" i="42"/>
  <c r="AD38" i="4"/>
  <c r="AD12" i="4"/>
  <c r="AD43" i="4"/>
  <c r="AD23" i="4"/>
  <c r="AD24" i="4" s="1"/>
  <c r="AD7" i="4"/>
  <c r="AD13" i="5"/>
  <c r="G35" i="10"/>
  <c r="G63" i="10" s="1"/>
  <c r="G53" i="10"/>
  <c r="G56" i="10" s="1"/>
  <c r="ES48" i="11"/>
  <c r="ES28" i="11"/>
  <c r="ES31" i="11" s="1"/>
  <c r="ES50" i="11" s="1"/>
  <c r="ES49" i="11"/>
  <c r="AC50" i="4"/>
  <c r="M101" i="68"/>
  <c r="M103" i="68" s="1"/>
  <c r="M112" i="68"/>
  <c r="M165" i="68" s="1"/>
  <c r="U117" i="42"/>
  <c r="V82" i="42"/>
  <c r="AF37" i="5"/>
  <c r="D14" i="86" s="1"/>
  <c r="AG10" i="10"/>
  <c r="AF17" i="9" s="1"/>
  <c r="Q12" i="68"/>
  <c r="FT15" i="11"/>
  <c r="AE39" i="5"/>
  <c r="FR68" i="11"/>
  <c r="AC8" i="4"/>
  <c r="AC20" i="4"/>
  <c r="E48" i="11"/>
  <c r="E28" i="11"/>
  <c r="E31" i="11" s="1"/>
  <c r="E50" i="11" s="1"/>
  <c r="E49" i="11"/>
  <c r="AG5" i="5"/>
  <c r="AF5" i="4"/>
  <c r="P37" i="68"/>
  <c r="P30" i="68"/>
  <c r="P90" i="42"/>
  <c r="AA65" i="5"/>
  <c r="AB70" i="9"/>
  <c r="H28" i="11"/>
  <c r="H31" i="11" s="1"/>
  <c r="H50" i="11" s="1"/>
  <c r="H48" i="11"/>
  <c r="H49" i="11"/>
  <c r="ER24" i="11"/>
  <c r="ER47" i="11"/>
  <c r="O121" i="68"/>
  <c r="O80" i="68"/>
  <c r="O81" i="68" s="1"/>
  <c r="O179" i="68" s="1"/>
  <c r="O177" i="68"/>
  <c r="F5" i="11"/>
  <c r="F72" i="11" s="1"/>
  <c r="E72" i="11"/>
  <c r="FP49" i="11"/>
  <c r="FP48" i="11"/>
  <c r="FP28" i="11"/>
  <c r="P136" i="68"/>
  <c r="N122" i="68"/>
  <c r="N181" i="68" s="1"/>
  <c r="N180" i="68"/>
  <c r="N178" i="68" s="1"/>
  <c r="N168" i="68" s="1"/>
  <c r="N127" i="68" s="1"/>
  <c r="AB53" i="10"/>
  <c r="AB56" i="10" s="1"/>
  <c r="AB35" i="10"/>
  <c r="AB63" i="10" s="1"/>
  <c r="FQ42" i="11"/>
  <c r="FQ47" i="11"/>
  <c r="FQ24" i="11"/>
  <c r="FQ57" i="11"/>
  <c r="D204" i="3"/>
  <c r="H204" i="3" s="1"/>
  <c r="AE72" i="9"/>
  <c r="AF62" i="10"/>
  <c r="V81" i="42"/>
  <c r="U116" i="42"/>
  <c r="M55" i="68"/>
  <c r="M70" i="68"/>
  <c r="M77" i="68"/>
  <c r="M65" i="68"/>
  <c r="M79" i="68" s="1"/>
  <c r="E70" i="5"/>
  <c r="ES33" i="11"/>
  <c r="ET58" i="11" s="1"/>
  <c r="AC59" i="5"/>
  <c r="AK59" i="5" s="1"/>
  <c r="AC54" i="5"/>
  <c r="AC57" i="5"/>
  <c r="Y76" i="42"/>
  <c r="X111" i="42"/>
  <c r="I28" i="11"/>
  <c r="I31" i="11" s="1"/>
  <c r="I50" i="11" s="1"/>
  <c r="I48" i="11"/>
  <c r="I49" i="11"/>
  <c r="G71" i="5"/>
  <c r="FS56" i="11"/>
  <c r="FS46" i="11"/>
  <c r="P63" i="68"/>
  <c r="P146" i="68" s="1"/>
  <c r="P104" i="68"/>
  <c r="P148" i="68" s="1"/>
  <c r="P147" i="68"/>
  <c r="P145" i="68" s="1"/>
  <c r="Q122" i="42"/>
  <c r="R87" i="42"/>
  <c r="M21" i="68"/>
  <c r="M23" i="68" s="1"/>
  <c r="M39" i="68" s="1"/>
  <c r="M32" i="68"/>
  <c r="M164" i="68" s="1"/>
  <c r="M162" i="68" s="1"/>
  <c r="O115" i="68"/>
  <c r="O90" i="68"/>
  <c r="AG197" i="3"/>
  <c r="P197" i="3"/>
  <c r="D24" i="4"/>
  <c r="AB60" i="5"/>
  <c r="AB67" i="5"/>
  <c r="AB64" i="5"/>
  <c r="FP51" i="11"/>
  <c r="FP59" i="11"/>
  <c r="FR45" i="11"/>
  <c r="FR20" i="11"/>
  <c r="P35" i="68"/>
  <c r="P121" i="68" s="1"/>
  <c r="P122" i="68" s="1"/>
  <c r="P10" i="68"/>
  <c r="H140" i="8"/>
  <c r="FO34" i="11"/>
  <c r="Z71" i="5"/>
  <c r="L139" i="68"/>
  <c r="L142" i="68" s="1"/>
  <c r="L144" i="68" s="1"/>
  <c r="L175" i="68" s="1"/>
  <c r="ES57" i="11"/>
  <c r="O76" i="68"/>
  <c r="O69" i="68"/>
  <c r="O158" i="68" s="1"/>
  <c r="O104" i="68"/>
  <c r="O148" i="68" s="1"/>
  <c r="O146" i="68"/>
  <c r="O93" i="42"/>
  <c r="O94" i="42" s="1"/>
  <c r="L60" i="68"/>
  <c r="L62" i="68" s="1"/>
  <c r="L78" i="68" s="1"/>
  <c r="L71" i="68"/>
  <c r="L163" i="68" s="1"/>
  <c r="K71" i="11"/>
  <c r="K72" i="11"/>
  <c r="X15" i="9"/>
  <c r="X23" i="9" s="1"/>
  <c r="X52" i="9" s="1"/>
  <c r="X59" i="9"/>
  <c r="X64" i="9" s="1"/>
  <c r="AA68" i="5"/>
  <c r="AA70" i="5"/>
  <c r="FP33" i="11"/>
  <c r="FP58" i="11" s="1"/>
  <c r="N52" i="68"/>
  <c r="N68" i="68"/>
  <c r="N154" i="68" s="1"/>
  <c r="F68" i="5"/>
  <c r="Z75" i="42"/>
  <c r="Z110" i="42" s="1"/>
  <c r="Y110" i="42"/>
  <c r="O74" i="68"/>
  <c r="O49" i="68"/>
  <c r="M132" i="68"/>
  <c r="M173" i="68" s="1"/>
  <c r="M131" i="68"/>
  <c r="V115" i="42"/>
  <c r="W80" i="42"/>
  <c r="Y77" i="42"/>
  <c r="X112" i="42"/>
  <c r="S86" i="42"/>
  <c r="R121" i="42"/>
  <c r="FS13" i="11"/>
  <c r="FS54" i="11"/>
  <c r="AD53" i="5"/>
  <c r="AD49" i="4"/>
  <c r="AD50" i="4" s="1"/>
  <c r="AD45" i="5"/>
  <c r="K28" i="11"/>
  <c r="K31" i="11" s="1"/>
  <c r="K50" i="11" s="1"/>
  <c r="K49" i="11"/>
  <c r="K48" i="11"/>
  <c r="C54" i="5"/>
  <c r="C59" i="5"/>
  <c r="C57" i="5"/>
  <c r="N26" i="68"/>
  <c r="N40" i="68" s="1"/>
  <c r="N31" i="68"/>
  <c r="N38" i="68"/>
  <c r="N16" i="68"/>
  <c r="E65" i="5"/>
  <c r="F70" i="9"/>
  <c r="J48" i="11"/>
  <c r="J28" i="11"/>
  <c r="J31" i="11" s="1"/>
  <c r="J50" i="11" s="1"/>
  <c r="J49" i="11"/>
  <c r="C49" i="11"/>
  <c r="C48" i="11"/>
  <c r="C28" i="11"/>
  <c r="C31" i="11" s="1"/>
  <c r="C50" i="11" s="1"/>
  <c r="P133" i="68"/>
  <c r="O117" i="68"/>
  <c r="O110" i="68"/>
  <c r="O160" i="68" s="1"/>
  <c r="L42" i="3"/>
  <c r="L43" i="3" s="1"/>
  <c r="AH9" i="4"/>
  <c r="AI9" i="4" s="1"/>
  <c r="O122" i="42"/>
  <c r="N89" i="42"/>
  <c r="H140" i="42"/>
  <c r="D122" i="42"/>
  <c r="D88" i="42"/>
  <c r="E121" i="42"/>
  <c r="K93" i="42"/>
  <c r="L127" i="42"/>
  <c r="L93" i="42"/>
  <c r="J122" i="42"/>
  <c r="J88" i="42"/>
  <c r="K121" i="42"/>
  <c r="B47" i="3"/>
  <c r="J46" i="3"/>
  <c r="H120" i="42"/>
  <c r="H86" i="42"/>
  <c r="I119" i="42"/>
  <c r="I16" i="4"/>
  <c r="I17" i="4"/>
  <c r="C56" i="3"/>
  <c r="E90" i="42"/>
  <c r="F123" i="42"/>
  <c r="AE41" i="3"/>
  <c r="AG41" i="3" s="1"/>
  <c r="AL41" i="3"/>
  <c r="AN41" i="3" s="1"/>
  <c r="M122" i="42"/>
  <c r="M88" i="42"/>
  <c r="N121" i="42"/>
  <c r="I89" i="42"/>
  <c r="D379" i="35"/>
  <c r="E378" i="35"/>
  <c r="W41" i="3"/>
  <c r="Y41" i="3" s="1"/>
  <c r="N41" i="3"/>
  <c r="P41" i="3" s="1"/>
  <c r="G91" i="42"/>
  <c r="C127" i="42"/>
  <c r="C93" i="42"/>
  <c r="F91" i="42"/>
  <c r="G125" i="42" s="1"/>
  <c r="H36" i="4"/>
  <c r="EV66" i="11"/>
  <c r="P49" i="68" l="1"/>
  <c r="P52" i="68" s="1"/>
  <c r="P110" i="68"/>
  <c r="P160" i="68" s="1"/>
  <c r="P117" i="68"/>
  <c r="P90" i="68"/>
  <c r="P115" i="68"/>
  <c r="P69" i="68"/>
  <c r="P158" i="68" s="1"/>
  <c r="FU22" i="11"/>
  <c r="R15" i="68"/>
  <c r="R95" i="68" s="1"/>
  <c r="AG47" i="5"/>
  <c r="FV22" i="11" s="1"/>
  <c r="FV37" i="11"/>
  <c r="FW38" i="11"/>
  <c r="AE73" i="5"/>
  <c r="Q24" i="68" s="1"/>
  <c r="FT36" i="11"/>
  <c r="D48" i="11"/>
  <c r="D28" i="11"/>
  <c r="D31" i="11" s="1"/>
  <c r="D50" i="11" s="1"/>
  <c r="M119" i="68"/>
  <c r="S121" i="42"/>
  <c r="T86" i="42"/>
  <c r="M129" i="68"/>
  <c r="M134" i="68"/>
  <c r="O52" i="68"/>
  <c r="O68" i="68"/>
  <c r="O154" i="68" s="1"/>
  <c r="FP34" i="11"/>
  <c r="AA71" i="5"/>
  <c r="AE73" i="9"/>
  <c r="AE61" i="9"/>
  <c r="BP11" i="6"/>
  <c r="H133" i="8"/>
  <c r="J133" i="8" s="1"/>
  <c r="R133" i="8" s="1"/>
  <c r="EF63" i="11" s="1"/>
  <c r="FR42" i="11"/>
  <c r="FR57" i="11"/>
  <c r="FR24" i="11"/>
  <c r="FR47" i="11"/>
  <c r="AB68" i="5"/>
  <c r="AB70" i="5"/>
  <c r="FQ33" i="11"/>
  <c r="FQ59" i="11"/>
  <c r="FQ51" i="11"/>
  <c r="O122" i="68"/>
  <c r="O181" i="68" s="1"/>
  <c r="O180" i="68"/>
  <c r="O178" i="68" s="1"/>
  <c r="O168" i="68" s="1"/>
  <c r="O127" i="68" s="1"/>
  <c r="E70" i="9"/>
  <c r="D65" i="5"/>
  <c r="Y79" i="42"/>
  <c r="X114" i="42"/>
  <c r="Q91" i="42"/>
  <c r="P126" i="42"/>
  <c r="N96" i="68"/>
  <c r="N111" i="68"/>
  <c r="N118" i="68"/>
  <c r="N106" i="68"/>
  <c r="N120" i="68" s="1"/>
  <c r="AE80" i="9"/>
  <c r="EF64" i="11" s="1"/>
  <c r="AE32" i="9"/>
  <c r="O109" i="68"/>
  <c r="O93" i="68"/>
  <c r="S87" i="42"/>
  <c r="R122" i="42"/>
  <c r="V116" i="42"/>
  <c r="W81" i="42"/>
  <c r="FU15" i="11"/>
  <c r="AF39" i="5"/>
  <c r="AH10" i="10"/>
  <c r="AG17" i="9" s="1"/>
  <c r="AG37" i="5"/>
  <c r="E14" i="86" s="1"/>
  <c r="R12" i="68"/>
  <c r="ER33" i="11"/>
  <c r="ES58" i="11" s="1"/>
  <c r="D70" i="5"/>
  <c r="Y15" i="9"/>
  <c r="Y23" i="9" s="1"/>
  <c r="Y52" i="9" s="1"/>
  <c r="Y59" i="9"/>
  <c r="Y64" i="9" s="1"/>
  <c r="N21" i="68"/>
  <c r="N23" i="68" s="1"/>
  <c r="N39" i="68" s="1"/>
  <c r="N32" i="68"/>
  <c r="N164" i="68" s="1"/>
  <c r="N162" i="68" s="1"/>
  <c r="W115" i="42"/>
  <c r="X80" i="42"/>
  <c r="N131" i="68"/>
  <c r="N132" i="68"/>
  <c r="N173" i="68" s="1"/>
  <c r="N65" i="68"/>
  <c r="N79" i="68" s="1"/>
  <c r="N55" i="68"/>
  <c r="N70" i="68"/>
  <c r="N77" i="68"/>
  <c r="P29" i="68"/>
  <c r="P13" i="68"/>
  <c r="FQ28" i="11"/>
  <c r="FQ48" i="11"/>
  <c r="FQ49" i="11"/>
  <c r="Q90" i="42"/>
  <c r="P125" i="42"/>
  <c r="AG5" i="4"/>
  <c r="AH5" i="5"/>
  <c r="V117" i="42"/>
  <c r="W82" i="42"/>
  <c r="Y78" i="42"/>
  <c r="X113" i="42"/>
  <c r="F35" i="10"/>
  <c r="F63" i="10" s="1"/>
  <c r="F53" i="10"/>
  <c r="F56" i="10" s="1"/>
  <c r="T119" i="42"/>
  <c r="U84" i="42"/>
  <c r="O38" i="68"/>
  <c r="O26" i="68"/>
  <c r="O40" i="68" s="1"/>
  <c r="O31" i="68"/>
  <c r="O16" i="68"/>
  <c r="AB52" i="10"/>
  <c r="AB54" i="10" s="1"/>
  <c r="Z9" i="9"/>
  <c r="R88" i="42"/>
  <c r="Q123" i="42"/>
  <c r="U118" i="42"/>
  <c r="V83" i="42"/>
  <c r="EQ47" i="11"/>
  <c r="EQ24" i="11"/>
  <c r="E8" i="10"/>
  <c r="E18" i="10" s="1"/>
  <c r="C67" i="5"/>
  <c r="C60" i="5"/>
  <c r="C64" i="5"/>
  <c r="C65" i="5" s="1"/>
  <c r="AD54" i="5"/>
  <c r="FS20" i="11"/>
  <c r="FS45" i="11"/>
  <c r="Z77" i="42"/>
  <c r="Z112" i="42" s="1"/>
  <c r="Y112" i="42"/>
  <c r="AE37" i="9"/>
  <c r="AE74" i="9"/>
  <c r="P80" i="68"/>
  <c r="P81" i="68" s="1"/>
  <c r="P177" i="68"/>
  <c r="AB65" i="5"/>
  <c r="AC70" i="9"/>
  <c r="Z76" i="42"/>
  <c r="Z111" i="42" s="1"/>
  <c r="Y111" i="42"/>
  <c r="AC60" i="5"/>
  <c r="AC67" i="5"/>
  <c r="AK67" i="5" s="1"/>
  <c r="AC64" i="5"/>
  <c r="AK64" i="5" s="1"/>
  <c r="ES34" i="11"/>
  <c r="M60" i="68"/>
  <c r="M62" i="68" s="1"/>
  <c r="M78" i="68" s="1"/>
  <c r="M71" i="68"/>
  <c r="M163" i="68" s="1"/>
  <c r="AG204" i="3"/>
  <c r="P204" i="3"/>
  <c r="FP31" i="11"/>
  <c r="FP50" i="11" s="1"/>
  <c r="ER48" i="11"/>
  <c r="ER28" i="11"/>
  <c r="ER31" i="11" s="1"/>
  <c r="ER50" i="11" s="1"/>
  <c r="ER49" i="11"/>
  <c r="P159" i="68"/>
  <c r="P157" i="68" s="1"/>
  <c r="Q133" i="68"/>
  <c r="Q51" i="68"/>
  <c r="Q92" i="68"/>
  <c r="FS68" i="11"/>
  <c r="AD20" i="4"/>
  <c r="AD21" i="4" s="1"/>
  <c r="AD8" i="4"/>
  <c r="AD39" i="4"/>
  <c r="FS67" i="11"/>
  <c r="U85" i="42"/>
  <c r="T120" i="42"/>
  <c r="F71" i="5"/>
  <c r="P124" i="42"/>
  <c r="Q89" i="42"/>
  <c r="P92" i="42"/>
  <c r="O95" i="42"/>
  <c r="O96" i="42" s="1"/>
  <c r="E91" i="42"/>
  <c r="F124" i="42"/>
  <c r="I140" i="42"/>
  <c r="N43" i="3"/>
  <c r="P43" i="3" s="1"/>
  <c r="W43" i="3"/>
  <c r="Y43" i="3" s="1"/>
  <c r="C128" i="42"/>
  <c r="C94" i="42"/>
  <c r="G92" i="42"/>
  <c r="I90" i="42"/>
  <c r="C60" i="3"/>
  <c r="H121" i="42"/>
  <c r="H87" i="42"/>
  <c r="I120" i="42"/>
  <c r="J123" i="42"/>
  <c r="J89" i="42"/>
  <c r="K122" i="42"/>
  <c r="K94" i="42"/>
  <c r="L128" i="42" s="1"/>
  <c r="I18" i="4"/>
  <c r="I45" i="4" s="1"/>
  <c r="I35" i="4"/>
  <c r="I23" i="4"/>
  <c r="I24" i="4" s="1"/>
  <c r="I20" i="4"/>
  <c r="L46" i="3"/>
  <c r="AB71" i="11"/>
  <c r="D123" i="42"/>
  <c r="D89" i="42"/>
  <c r="E122" i="42"/>
  <c r="W42" i="3"/>
  <c r="Y42" i="3" s="1"/>
  <c r="N42" i="3"/>
  <c r="P42" i="3" s="1"/>
  <c r="F92" i="42"/>
  <c r="G126" i="42" s="1"/>
  <c r="D381" i="35"/>
  <c r="E379" i="35"/>
  <c r="AA42" i="3"/>
  <c r="M123" i="42"/>
  <c r="M89" i="42"/>
  <c r="N122" i="42"/>
  <c r="EW63" i="11"/>
  <c r="J14" i="4"/>
  <c r="I43" i="4"/>
  <c r="B48" i="3"/>
  <c r="J47" i="3"/>
  <c r="L47" i="3" s="1"/>
  <c r="L94" i="42"/>
  <c r="O123" i="42"/>
  <c r="N90" i="42"/>
  <c r="P68" i="68" l="1"/>
  <c r="AG48" i="5"/>
  <c r="R136" i="68"/>
  <c r="P93" i="68"/>
  <c r="P109" i="68"/>
  <c r="Q109" i="68" s="1"/>
  <c r="R109" i="68" s="1"/>
  <c r="S109" i="68" s="1"/>
  <c r="P55" i="68"/>
  <c r="P70" i="68"/>
  <c r="AH47" i="5"/>
  <c r="AI47" i="5" s="1"/>
  <c r="AM47" i="5" s="1"/>
  <c r="S15" i="68"/>
  <c r="S54" i="68" s="1"/>
  <c r="R54" i="68"/>
  <c r="AG47" i="10"/>
  <c r="FT74" i="11" s="1"/>
  <c r="FU36" i="11"/>
  <c r="FX38" i="11"/>
  <c r="FX37" i="11" s="1"/>
  <c r="FW37" i="11"/>
  <c r="AH5" i="4"/>
  <c r="AI5" i="5"/>
  <c r="AI5" i="4" s="1"/>
  <c r="Q63" i="68"/>
  <c r="Q146" i="68" s="1"/>
  <c r="Q104" i="68"/>
  <c r="Q148" i="68" s="1"/>
  <c r="Q147" i="68"/>
  <c r="Q145" i="68" s="1"/>
  <c r="J140" i="8"/>
  <c r="AE39" i="9"/>
  <c r="AE62" i="9" s="1"/>
  <c r="Q124" i="42"/>
  <c r="R89" i="42"/>
  <c r="AE8" i="10"/>
  <c r="EE66" i="11" s="1"/>
  <c r="AC65" i="5"/>
  <c r="AD70" i="9"/>
  <c r="P180" i="68"/>
  <c r="P178" i="68" s="1"/>
  <c r="P168" i="68" s="1"/>
  <c r="P127" i="68" s="1"/>
  <c r="R123" i="42"/>
  <c r="S88" i="42"/>
  <c r="X82" i="42"/>
  <c r="W117" i="42"/>
  <c r="FQ31" i="11"/>
  <c r="P38" i="68"/>
  <c r="P16" i="68"/>
  <c r="P31" i="68"/>
  <c r="P26" i="68"/>
  <c r="P40" i="68" s="1"/>
  <c r="O131" i="68"/>
  <c r="O132" i="68"/>
  <c r="O173" i="68" s="1"/>
  <c r="ER34" i="11"/>
  <c r="R133" i="68"/>
  <c r="R51" i="68"/>
  <c r="R92" i="68"/>
  <c r="X81" i="42"/>
  <c r="W116" i="42"/>
  <c r="O118" i="68"/>
  <c r="O96" i="68"/>
  <c r="O111" i="68"/>
  <c r="O106" i="68"/>
  <c r="O120" i="68" s="1"/>
  <c r="AE34" i="5"/>
  <c r="FR51" i="11"/>
  <c r="FR59" i="11"/>
  <c r="V85" i="42"/>
  <c r="U120" i="42"/>
  <c r="AC70" i="5"/>
  <c r="AK70" i="5" s="1"/>
  <c r="FR33" i="11"/>
  <c r="AC68" i="5"/>
  <c r="P179" i="68"/>
  <c r="P74" i="68"/>
  <c r="EQ33" i="11"/>
  <c r="ER58" i="11" s="1"/>
  <c r="C68" i="5"/>
  <c r="C70" i="5"/>
  <c r="EQ34" i="11" s="1"/>
  <c r="V118" i="42"/>
  <c r="W83" i="42"/>
  <c r="Z59" i="9"/>
  <c r="Z64" i="9" s="1"/>
  <c r="Z11" i="7"/>
  <c r="Z35" i="7" s="1"/>
  <c r="Z15" i="9"/>
  <c r="Z23" i="9" s="1"/>
  <c r="Z52" i="9" s="1"/>
  <c r="V84" i="42"/>
  <c r="U119" i="42"/>
  <c r="Q125" i="42"/>
  <c r="R90" i="42"/>
  <c r="P155" i="68"/>
  <c r="P153" i="68" s="1"/>
  <c r="D68" i="5"/>
  <c r="FV15" i="11"/>
  <c r="AH37" i="5"/>
  <c r="F14" i="86" s="1"/>
  <c r="AI10" i="10"/>
  <c r="AH17" i="9" s="1"/>
  <c r="AG39" i="5"/>
  <c r="S12" i="68"/>
  <c r="O156" i="68"/>
  <c r="N101" i="68"/>
  <c r="N103" i="68" s="1"/>
  <c r="N119" i="68" s="1"/>
  <c r="N112" i="68"/>
  <c r="N165" i="68" s="1"/>
  <c r="FQ58" i="11"/>
  <c r="U86" i="42"/>
  <c r="T121" i="42"/>
  <c r="E71" i="5"/>
  <c r="E53" i="10"/>
  <c r="E35" i="10"/>
  <c r="E63" i="10" s="1"/>
  <c r="AC52" i="10"/>
  <c r="AC54" i="10" s="1"/>
  <c r="AA9" i="9"/>
  <c r="N60" i="68"/>
  <c r="N62" i="68" s="1"/>
  <c r="N78" i="68" s="1"/>
  <c r="N71" i="68"/>
  <c r="N163" i="68" s="1"/>
  <c r="N129" i="68"/>
  <c r="N134" i="68"/>
  <c r="FQ34" i="11"/>
  <c r="AB71" i="5"/>
  <c r="FR48" i="11"/>
  <c r="FR28" i="11"/>
  <c r="FR49" i="11"/>
  <c r="AF31" i="10"/>
  <c r="O77" i="68"/>
  <c r="O55" i="68"/>
  <c r="O70" i="68"/>
  <c r="O65" i="68"/>
  <c r="O79" i="68" s="1"/>
  <c r="Q92" i="42"/>
  <c r="P127" i="42"/>
  <c r="P93" i="42"/>
  <c r="FS57" i="11"/>
  <c r="FS47" i="11"/>
  <c r="FS42" i="11"/>
  <c r="FS24" i="11"/>
  <c r="EQ48" i="11"/>
  <c r="EQ28" i="11"/>
  <c r="EQ31" i="11" s="1"/>
  <c r="EQ50" i="11" s="1"/>
  <c r="EQ49" i="11"/>
  <c r="O21" i="68"/>
  <c r="O23" i="68" s="1"/>
  <c r="O39" i="68" s="1"/>
  <c r="O32" i="68"/>
  <c r="O164" i="68" s="1"/>
  <c r="O162" i="68" s="1"/>
  <c r="Y113" i="42"/>
  <c r="Z78" i="42"/>
  <c r="Z113" i="42" s="1"/>
  <c r="Y80" i="42"/>
  <c r="X115" i="42"/>
  <c r="S122" i="42"/>
  <c r="T87" i="42"/>
  <c r="Q126" i="42"/>
  <c r="R91" i="42"/>
  <c r="Z79" i="42"/>
  <c r="Y114" i="42"/>
  <c r="BQ11" i="6"/>
  <c r="H132" i="8"/>
  <c r="T132" i="8" s="1"/>
  <c r="M174" i="68"/>
  <c r="M161" i="68"/>
  <c r="M137" i="68"/>
  <c r="M139" i="68" s="1"/>
  <c r="M142" i="68" s="1"/>
  <c r="M144" i="68" s="1"/>
  <c r="M175" i="68" s="1"/>
  <c r="M150" i="68"/>
  <c r="M176" i="68" s="1"/>
  <c r="I36" i="4"/>
  <c r="EW66" i="11"/>
  <c r="J124" i="42"/>
  <c r="K123" i="42"/>
  <c r="J90" i="42"/>
  <c r="N91" i="42"/>
  <c r="O124" i="42"/>
  <c r="B49" i="3"/>
  <c r="J48" i="3"/>
  <c r="L48" i="3" s="1"/>
  <c r="L95" i="42"/>
  <c r="M124" i="42"/>
  <c r="M90" i="42"/>
  <c r="N123" i="42"/>
  <c r="Z72" i="11"/>
  <c r="AC42" i="3"/>
  <c r="K95" i="42"/>
  <c r="L129" i="42" s="1"/>
  <c r="H122" i="42"/>
  <c r="H88" i="42"/>
  <c r="I121" i="42"/>
  <c r="C61" i="3"/>
  <c r="C129" i="42"/>
  <c r="C95" i="42"/>
  <c r="J16" i="4"/>
  <c r="N47" i="3"/>
  <c r="P47" i="3" s="1"/>
  <c r="W47" i="3"/>
  <c r="Y47" i="3" s="1"/>
  <c r="I91" i="42"/>
  <c r="AC71" i="11"/>
  <c r="C42" i="42"/>
  <c r="C43" i="42" s="1"/>
  <c r="C45" i="42" s="1"/>
  <c r="EW71" i="11"/>
  <c r="E381" i="35"/>
  <c r="D382" i="35"/>
  <c r="F93" i="42"/>
  <c r="D124" i="42"/>
  <c r="D90" i="42"/>
  <c r="E123" i="42"/>
  <c r="N46" i="3"/>
  <c r="P46" i="3" s="1"/>
  <c r="W46" i="3"/>
  <c r="Y46" i="3" s="1"/>
  <c r="G127" i="42"/>
  <c r="G93" i="42"/>
  <c r="J140" i="42"/>
  <c r="E92" i="42"/>
  <c r="F125" i="42"/>
  <c r="P154" i="68" l="1"/>
  <c r="Q68" i="68"/>
  <c r="R68" i="68" s="1"/>
  <c r="S68" i="68" s="1"/>
  <c r="AG50" i="10"/>
  <c r="P96" i="68"/>
  <c r="P111" i="68"/>
  <c r="P118" i="68"/>
  <c r="S95" i="68"/>
  <c r="S136" i="68"/>
  <c r="T15" i="68"/>
  <c r="T54" i="68" s="1"/>
  <c r="U15" i="68"/>
  <c r="U95" i="68" s="1"/>
  <c r="FW22" i="11"/>
  <c r="AI48" i="5"/>
  <c r="AH48" i="5"/>
  <c r="FX22" i="11"/>
  <c r="AF73" i="5"/>
  <c r="FV36" i="11"/>
  <c r="AG73" i="5" s="1"/>
  <c r="AI37" i="5"/>
  <c r="G14" i="86" s="1"/>
  <c r="P136" i="8"/>
  <c r="AF33" i="10"/>
  <c r="Z80" i="42"/>
  <c r="Y115" i="42"/>
  <c r="E56" i="10"/>
  <c r="E54" i="10"/>
  <c r="F52" i="10" s="1"/>
  <c r="F54" i="10" s="1"/>
  <c r="Z47" i="7"/>
  <c r="Z53" i="7" s="1"/>
  <c r="DV65" i="11" s="1"/>
  <c r="FR34" i="11"/>
  <c r="AC71" i="5"/>
  <c r="AF69" i="9"/>
  <c r="FT14" i="11"/>
  <c r="Q11" i="68"/>
  <c r="X116" i="42"/>
  <c r="Y81" i="42"/>
  <c r="D71" i="5"/>
  <c r="FQ50" i="11"/>
  <c r="S123" i="42"/>
  <c r="T88" i="42"/>
  <c r="T122" i="42"/>
  <c r="U87" i="42"/>
  <c r="P128" i="42"/>
  <c r="Q93" i="42"/>
  <c r="P94" i="42"/>
  <c r="AA15" i="9"/>
  <c r="AA23" i="9" s="1"/>
  <c r="AA52" i="9" s="1"/>
  <c r="AA59" i="9"/>
  <c r="AA64" i="9" s="1"/>
  <c r="P156" i="68"/>
  <c r="O101" i="68"/>
  <c r="O103" i="68" s="1"/>
  <c r="O119" i="68" s="1"/>
  <c r="O112" i="68"/>
  <c r="O165" i="68" s="1"/>
  <c r="Z114" i="42"/>
  <c r="FS48" i="11"/>
  <c r="O60" i="68"/>
  <c r="O62" i="68" s="1"/>
  <c r="O78" i="68" s="1"/>
  <c r="O71" i="68"/>
  <c r="O163" i="68" s="1"/>
  <c r="FR31" i="11"/>
  <c r="N161" i="68"/>
  <c r="N137" i="68"/>
  <c r="N139" i="68" s="1"/>
  <c r="N142" i="68" s="1"/>
  <c r="N144" i="68" s="1"/>
  <c r="N175" i="68" s="1"/>
  <c r="N174" i="68"/>
  <c r="N150" i="68"/>
  <c r="N176" i="68" s="1"/>
  <c r="AB9" i="9"/>
  <c r="AD52" i="10"/>
  <c r="AD54" i="10" s="1"/>
  <c r="U121" i="42"/>
  <c r="V86" i="42"/>
  <c r="AH39" i="5"/>
  <c r="AJ10" i="10"/>
  <c r="AI17" i="9" s="1"/>
  <c r="T12" i="68"/>
  <c r="FW15" i="11"/>
  <c r="W84" i="42"/>
  <c r="V119" i="42"/>
  <c r="X83" i="42"/>
  <c r="W118" i="42"/>
  <c r="P131" i="68"/>
  <c r="P132" i="68"/>
  <c r="P173" i="68" s="1"/>
  <c r="R124" i="42"/>
  <c r="S89" i="42"/>
  <c r="AJ132" i="8"/>
  <c r="J132" i="8"/>
  <c r="N132" i="8"/>
  <c r="P132" i="8"/>
  <c r="AD132" i="8"/>
  <c r="X132" i="8"/>
  <c r="R126" i="42"/>
  <c r="S91" i="42"/>
  <c r="FS59" i="11"/>
  <c r="FS51" i="11"/>
  <c r="Q127" i="42"/>
  <c r="R92" i="42"/>
  <c r="S51" i="68"/>
  <c r="S92" i="68"/>
  <c r="S133" i="68"/>
  <c r="R125" i="42"/>
  <c r="S90" i="42"/>
  <c r="P64" i="68"/>
  <c r="FR58" i="11"/>
  <c r="W85" i="42"/>
  <c r="V120" i="42"/>
  <c r="O129" i="68"/>
  <c r="O134" i="68"/>
  <c r="X117" i="42"/>
  <c r="Y82" i="42"/>
  <c r="P181" i="68"/>
  <c r="AE18" i="10"/>
  <c r="C62" i="3"/>
  <c r="J49" i="3"/>
  <c r="AE71" i="11" s="1"/>
  <c r="B53" i="3"/>
  <c r="E382" i="35"/>
  <c r="D383" i="35"/>
  <c r="E93" i="42"/>
  <c r="F126" i="42"/>
  <c r="K140" i="42"/>
  <c r="G94" i="42"/>
  <c r="W48" i="3"/>
  <c r="Y48" i="3" s="1"/>
  <c r="N48" i="3"/>
  <c r="P48" i="3" s="1"/>
  <c r="K96" i="42"/>
  <c r="L130" i="42" s="1"/>
  <c r="L132" i="42" s="1"/>
  <c r="D125" i="42"/>
  <c r="D91" i="42"/>
  <c r="E124" i="42"/>
  <c r="F94" i="42"/>
  <c r="G128" i="42" s="1"/>
  <c r="I92" i="42"/>
  <c r="K14" i="4"/>
  <c r="EX63" i="11"/>
  <c r="J43" i="4"/>
  <c r="C130" i="42"/>
  <c r="C132" i="42" s="1"/>
  <c r="C50" i="42" s="1"/>
  <c r="C47" i="42" s="1"/>
  <c r="C96" i="42"/>
  <c r="AE42" i="3"/>
  <c r="AG42" i="3" s="1"/>
  <c r="AL42" i="3"/>
  <c r="AN42" i="3" s="1"/>
  <c r="AC43" i="3"/>
  <c r="N92" i="42"/>
  <c r="O125" i="42"/>
  <c r="J125" i="42"/>
  <c r="J91" i="42"/>
  <c r="K124" i="42"/>
  <c r="J17" i="4"/>
  <c r="H123" i="42"/>
  <c r="H89" i="42"/>
  <c r="I122" i="42"/>
  <c r="M125" i="42"/>
  <c r="M91" i="42"/>
  <c r="N124" i="42"/>
  <c r="L96" i="42"/>
  <c r="AD71" i="11"/>
  <c r="T95" i="68" l="1"/>
  <c r="T136" i="68"/>
  <c r="U54" i="68"/>
  <c r="FW36" i="11"/>
  <c r="AH73" i="5" s="1"/>
  <c r="S24" i="68"/>
  <c r="AI47" i="10"/>
  <c r="R24" i="68"/>
  <c r="AH47" i="10"/>
  <c r="U12" i="68"/>
  <c r="AK10" i="10"/>
  <c r="AJ17" i="9" s="1"/>
  <c r="FX15" i="11"/>
  <c r="AI39" i="5"/>
  <c r="AF132" i="8"/>
  <c r="Z132" i="8"/>
  <c r="L49" i="3"/>
  <c r="N49" i="3" s="1"/>
  <c r="P49" i="3" s="1"/>
  <c r="T92" i="68"/>
  <c r="T133" i="68"/>
  <c r="T51" i="68"/>
  <c r="Q156" i="68"/>
  <c r="P129" i="42"/>
  <c r="Q94" i="42"/>
  <c r="Z81" i="42"/>
  <c r="Z116" i="42" s="1"/>
  <c r="Y116" i="42"/>
  <c r="AE53" i="10"/>
  <c r="AE56" i="10" s="1"/>
  <c r="AE35" i="10"/>
  <c r="AE63" i="10" s="1"/>
  <c r="Y117" i="42"/>
  <c r="Z82" i="42"/>
  <c r="X85" i="42"/>
  <c r="W120" i="42"/>
  <c r="R132" i="8"/>
  <c r="AH132" i="8"/>
  <c r="P134" i="68"/>
  <c r="W119" i="42"/>
  <c r="X84" i="42"/>
  <c r="AC9" i="9"/>
  <c r="AE52" i="10"/>
  <c r="Q128" i="42"/>
  <c r="R93" i="42"/>
  <c r="T123" i="42"/>
  <c r="U88" i="42"/>
  <c r="G52" i="10"/>
  <c r="G54" i="10" s="1"/>
  <c r="E9" i="9"/>
  <c r="P76" i="68"/>
  <c r="S92" i="42"/>
  <c r="R127" i="42"/>
  <c r="AB15" i="9"/>
  <c r="AB23" i="9" s="1"/>
  <c r="AB59" i="9"/>
  <c r="AB64" i="9" s="1"/>
  <c r="Q37" i="68"/>
  <c r="O137" i="68"/>
  <c r="O139" i="68" s="1"/>
  <c r="O142" i="68" s="1"/>
  <c r="O144" i="68" s="1"/>
  <c r="O175" i="68" s="1"/>
  <c r="O174" i="68"/>
  <c r="O161" i="68"/>
  <c r="O150" i="68"/>
  <c r="O176" i="68" s="1"/>
  <c r="T90" i="42"/>
  <c r="S125" i="42"/>
  <c r="S126" i="42"/>
  <c r="T91" i="42"/>
  <c r="S124" i="42"/>
  <c r="T89" i="42"/>
  <c r="P129" i="68"/>
  <c r="Y83" i="42"/>
  <c r="X118" i="42"/>
  <c r="V121" i="42"/>
  <c r="W86" i="42"/>
  <c r="FR50" i="11"/>
  <c r="P95" i="42"/>
  <c r="V87" i="42"/>
  <c r="U122" i="42"/>
  <c r="FT56" i="11"/>
  <c r="Z59" i="7"/>
  <c r="Z115" i="42"/>
  <c r="M126" i="42"/>
  <c r="M92" i="42"/>
  <c r="N125" i="42"/>
  <c r="G95" i="42"/>
  <c r="K16" i="4"/>
  <c r="AL43" i="3"/>
  <c r="AN43" i="3" s="1"/>
  <c r="AE43" i="3"/>
  <c r="AG43" i="3" s="1"/>
  <c r="I93" i="42"/>
  <c r="D126" i="42"/>
  <c r="D92" i="42"/>
  <c r="E125" i="42"/>
  <c r="E94" i="42"/>
  <c r="F127" i="42"/>
  <c r="D384" i="35"/>
  <c r="E383" i="35"/>
  <c r="AA46" i="3"/>
  <c r="B54" i="3"/>
  <c r="J53" i="3"/>
  <c r="L50" i="42"/>
  <c r="L17" i="42"/>
  <c r="J18" i="4"/>
  <c r="J45" i="4" s="1"/>
  <c r="J35" i="4"/>
  <c r="J23" i="4"/>
  <c r="J24" i="4" s="1"/>
  <c r="J20" i="4"/>
  <c r="J126" i="42"/>
  <c r="J92" i="42"/>
  <c r="K125" i="42"/>
  <c r="F95" i="42"/>
  <c r="G129" i="42" s="1"/>
  <c r="H124" i="42"/>
  <c r="H90" i="42"/>
  <c r="I123" i="42"/>
  <c r="O126" i="42"/>
  <c r="N93" i="42"/>
  <c r="EX71" i="11"/>
  <c r="D42" i="42"/>
  <c r="D43" i="42" s="1"/>
  <c r="L140" i="42"/>
  <c r="C63" i="3"/>
  <c r="AE54" i="10" l="1"/>
  <c r="AD9" i="9" s="1"/>
  <c r="FX36" i="11"/>
  <c r="AI73" i="5" s="1"/>
  <c r="AK47" i="10" s="1"/>
  <c r="S147" i="68"/>
  <c r="S145" i="68" s="1"/>
  <c r="S104" i="68"/>
  <c r="S148" i="68" s="1"/>
  <c r="S63" i="68"/>
  <c r="S146" i="68" s="1"/>
  <c r="AH50" i="10"/>
  <c r="FU74" i="11"/>
  <c r="R104" i="68"/>
  <c r="R148" i="68" s="1"/>
  <c r="R147" i="68"/>
  <c r="R145" i="68" s="1"/>
  <c r="R63" i="68"/>
  <c r="R146" i="68" s="1"/>
  <c r="T24" i="68"/>
  <c r="AJ47" i="10"/>
  <c r="AI50" i="10"/>
  <c r="FV74" i="11"/>
  <c r="U92" i="68"/>
  <c r="U51" i="68"/>
  <c r="W49" i="3"/>
  <c r="Y49" i="3" s="1"/>
  <c r="L50" i="3"/>
  <c r="N50" i="3" s="1"/>
  <c r="P50" i="3" s="1"/>
  <c r="P106" i="68"/>
  <c r="P120" i="68" s="1"/>
  <c r="X86" i="42"/>
  <c r="W121" i="42"/>
  <c r="S127" i="42"/>
  <c r="T92" i="42"/>
  <c r="H52" i="10"/>
  <c r="H54" i="10" s="1"/>
  <c r="F9" i="9"/>
  <c r="P174" i="68"/>
  <c r="P161" i="68"/>
  <c r="P137" i="68"/>
  <c r="P150" i="68"/>
  <c r="P176" i="68" s="1"/>
  <c r="X120" i="42"/>
  <c r="Y85" i="42"/>
  <c r="Q95" i="42"/>
  <c r="P130" i="42"/>
  <c r="P132" i="42" s="1"/>
  <c r="U89" i="42"/>
  <c r="T124" i="42"/>
  <c r="U123" i="42"/>
  <c r="V88" i="42"/>
  <c r="R156" i="68"/>
  <c r="T125" i="42"/>
  <c r="U90" i="42"/>
  <c r="AC15" i="9"/>
  <c r="AC23" i="9" s="1"/>
  <c r="AC52" i="9" s="1"/>
  <c r="AC59" i="9"/>
  <c r="AC64" i="9" s="1"/>
  <c r="R94" i="42"/>
  <c r="Q129" i="42"/>
  <c r="W87" i="42"/>
  <c r="V122" i="42"/>
  <c r="Z83" i="42"/>
  <c r="Y118" i="42"/>
  <c r="T126" i="42"/>
  <c r="U91" i="42"/>
  <c r="P65" i="68"/>
  <c r="P79" i="68" s="1"/>
  <c r="P77" i="68"/>
  <c r="Q154" i="68"/>
  <c r="E59" i="9"/>
  <c r="E64" i="9" s="1"/>
  <c r="E15" i="9"/>
  <c r="E23" i="9" s="1"/>
  <c r="E52" i="9" s="1"/>
  <c r="R128" i="42"/>
  <c r="S93" i="42"/>
  <c r="Y84" i="42"/>
  <c r="X119" i="42"/>
  <c r="Z117" i="42"/>
  <c r="P96" i="42"/>
  <c r="Q96" i="42" s="1"/>
  <c r="R96" i="42" s="1"/>
  <c r="S96" i="42" s="1"/>
  <c r="T96" i="42" s="1"/>
  <c r="U96" i="42" s="1"/>
  <c r="V96" i="42" s="1"/>
  <c r="P105" i="68"/>
  <c r="N94" i="42"/>
  <c r="O127" i="42"/>
  <c r="B55" i="3"/>
  <c r="J54" i="3"/>
  <c r="L54" i="3" s="1"/>
  <c r="I94" i="42"/>
  <c r="L14" i="4"/>
  <c r="EY63" i="11"/>
  <c r="K43" i="4"/>
  <c r="D44" i="42"/>
  <c r="D45" i="42"/>
  <c r="C67" i="3"/>
  <c r="M140" i="42"/>
  <c r="L26" i="42"/>
  <c r="L149" i="42"/>
  <c r="L47" i="42"/>
  <c r="D385" i="35"/>
  <c r="E384" i="35"/>
  <c r="J127" i="42"/>
  <c r="J93" i="42"/>
  <c r="K126" i="42"/>
  <c r="EX66" i="11"/>
  <c r="J36" i="4"/>
  <c r="D127" i="42"/>
  <c r="D93" i="42"/>
  <c r="E126" i="42"/>
  <c r="M127" i="42"/>
  <c r="M93" i="42"/>
  <c r="N126" i="42"/>
  <c r="H125" i="42"/>
  <c r="H91" i="42"/>
  <c r="I124" i="42"/>
  <c r="F96" i="42"/>
  <c r="L53" i="3"/>
  <c r="AG71" i="11"/>
  <c r="AC46" i="3"/>
  <c r="AB72" i="11"/>
  <c r="E95" i="42"/>
  <c r="F128" i="42"/>
  <c r="K17" i="4"/>
  <c r="G130" i="42"/>
  <c r="G132" i="42" s="1"/>
  <c r="G96" i="42"/>
  <c r="AM73" i="5" l="1"/>
  <c r="U24" i="68"/>
  <c r="U63" i="68" s="1"/>
  <c r="W50" i="3"/>
  <c r="Y50" i="3" s="1"/>
  <c r="Z118" i="42"/>
  <c r="FX74" i="11"/>
  <c r="AK50" i="10"/>
  <c r="AJ50" i="10"/>
  <c r="FW74" i="11"/>
  <c r="T63" i="68"/>
  <c r="T146" i="68" s="1"/>
  <c r="T104" i="68"/>
  <c r="T148" i="68" s="1"/>
  <c r="T147" i="68"/>
  <c r="T145" i="68" s="1"/>
  <c r="AF52" i="10"/>
  <c r="S156" i="68"/>
  <c r="T109" i="68"/>
  <c r="U124" i="42"/>
  <c r="V89" i="42"/>
  <c r="T93" i="42"/>
  <c r="S128" i="42"/>
  <c r="R154" i="68"/>
  <c r="Z84" i="42"/>
  <c r="Z119" i="42" s="1"/>
  <c r="Y119" i="42"/>
  <c r="U126" i="42"/>
  <c r="V91" i="42"/>
  <c r="V123" i="42"/>
  <c r="W88" i="42"/>
  <c r="P50" i="42"/>
  <c r="P47" i="42" s="1"/>
  <c r="P17" i="42"/>
  <c r="X121" i="42"/>
  <c r="Y86" i="42"/>
  <c r="W122" i="42"/>
  <c r="X87" i="42"/>
  <c r="U125" i="42"/>
  <c r="V90" i="42"/>
  <c r="AD15" i="9"/>
  <c r="AD59" i="9"/>
  <c r="AD64" i="9" s="1"/>
  <c r="R95" i="42"/>
  <c r="Q130" i="42"/>
  <c r="Q132" i="42" s="1"/>
  <c r="F59" i="9"/>
  <c r="F64" i="9" s="1"/>
  <c r="F15" i="9"/>
  <c r="F23" i="9" s="1"/>
  <c r="F52" i="9" s="1"/>
  <c r="R129" i="42"/>
  <c r="S94" i="42"/>
  <c r="Y120" i="42"/>
  <c r="Z85" i="42"/>
  <c r="Z120" i="42" s="1"/>
  <c r="G9" i="9"/>
  <c r="I52" i="10"/>
  <c r="I54" i="10" s="1"/>
  <c r="T127" i="42"/>
  <c r="U92" i="42"/>
  <c r="N54" i="3"/>
  <c r="P54" i="3" s="1"/>
  <c r="W54" i="3"/>
  <c r="Y54" i="3" s="1"/>
  <c r="H126" i="42"/>
  <c r="H92" i="42"/>
  <c r="I125" i="42"/>
  <c r="W96" i="42"/>
  <c r="K18" i="4"/>
  <c r="K45" i="4" s="1"/>
  <c r="K35" i="4"/>
  <c r="K20" i="4"/>
  <c r="K23" i="4"/>
  <c r="K24" i="4" s="1"/>
  <c r="E96" i="42"/>
  <c r="F130" i="42" s="1"/>
  <c r="F129" i="42"/>
  <c r="AL46" i="3"/>
  <c r="AN46" i="3" s="1"/>
  <c r="AE46" i="3"/>
  <c r="AG46" i="3" s="1"/>
  <c r="J128" i="42"/>
  <c r="J94" i="42"/>
  <c r="K127" i="42"/>
  <c r="C68" i="3"/>
  <c r="E42" i="42"/>
  <c r="E43" i="42" s="1"/>
  <c r="EY71" i="11"/>
  <c r="I95" i="42"/>
  <c r="G17" i="42"/>
  <c r="G50" i="42"/>
  <c r="D128" i="42"/>
  <c r="D94" i="42"/>
  <c r="E127" i="42"/>
  <c r="E385" i="35"/>
  <c r="D386" i="35"/>
  <c r="L16" i="4"/>
  <c r="L17" i="4" s="1"/>
  <c r="AH71" i="11"/>
  <c r="N53" i="3"/>
  <c r="P53" i="3" s="1"/>
  <c r="W53" i="3"/>
  <c r="Y53" i="3" s="1"/>
  <c r="M128" i="42"/>
  <c r="M94" i="42"/>
  <c r="N127" i="42"/>
  <c r="M149" i="42"/>
  <c r="N140" i="42"/>
  <c r="B56" i="3"/>
  <c r="J55" i="3"/>
  <c r="N95" i="42"/>
  <c r="O128" i="42"/>
  <c r="U104" i="68" l="1"/>
  <c r="T156" i="68"/>
  <c r="U109" i="68"/>
  <c r="AD23" i="9"/>
  <c r="U127" i="42"/>
  <c r="V92" i="42"/>
  <c r="S95" i="42"/>
  <c r="R130" i="42"/>
  <c r="R132" i="42" s="1"/>
  <c r="W90" i="42"/>
  <c r="V125" i="42"/>
  <c r="X122" i="42"/>
  <c r="Y87" i="42"/>
  <c r="V124" i="42"/>
  <c r="W89" i="42"/>
  <c r="J52" i="10"/>
  <c r="J54" i="10" s="1"/>
  <c r="H9" i="9"/>
  <c r="S129" i="42"/>
  <c r="T94" i="42"/>
  <c r="W91" i="42"/>
  <c r="V126" i="42"/>
  <c r="T128" i="42"/>
  <c r="U93" i="42"/>
  <c r="G15" i="9"/>
  <c r="G23" i="9" s="1"/>
  <c r="G52" i="9" s="1"/>
  <c r="G59" i="9"/>
  <c r="G64" i="9" s="1"/>
  <c r="Q50" i="42"/>
  <c r="Q17" i="42"/>
  <c r="Y121" i="42"/>
  <c r="Z86" i="42"/>
  <c r="P26" i="42"/>
  <c r="P153" i="42"/>
  <c r="W123" i="42"/>
  <c r="X88" i="42"/>
  <c r="L18" i="4"/>
  <c r="L45" i="4" s="1"/>
  <c r="L35" i="4"/>
  <c r="L23" i="4"/>
  <c r="L24" i="4" s="1"/>
  <c r="L20" i="4"/>
  <c r="AI71" i="11"/>
  <c r="N149" i="42"/>
  <c r="L55" i="3"/>
  <c r="G47" i="42"/>
  <c r="E45" i="42"/>
  <c r="E44" i="42"/>
  <c r="X96" i="42"/>
  <c r="H127" i="42"/>
  <c r="H93" i="42"/>
  <c r="I126" i="42"/>
  <c r="J56" i="3"/>
  <c r="AJ71" i="11" s="1"/>
  <c r="B60" i="3"/>
  <c r="E386" i="35"/>
  <c r="D387" i="35"/>
  <c r="AA47" i="3"/>
  <c r="G144" i="42"/>
  <c r="G26" i="42"/>
  <c r="I96" i="42"/>
  <c r="O140" i="42"/>
  <c r="M129" i="42"/>
  <c r="M95" i="42"/>
  <c r="N128" i="42"/>
  <c r="EZ63" i="11"/>
  <c r="M14" i="4"/>
  <c r="L43" i="4"/>
  <c r="D129" i="42"/>
  <c r="D95" i="42"/>
  <c r="E128" i="42"/>
  <c r="N96" i="42"/>
  <c r="O130" i="42" s="1"/>
  <c r="O129" i="42"/>
  <c r="C69" i="3"/>
  <c r="J129" i="42"/>
  <c r="J95" i="42"/>
  <c r="K128" i="42"/>
  <c r="F132" i="42"/>
  <c r="K36" i="4"/>
  <c r="EY66" i="11"/>
  <c r="AD52" i="9" l="1"/>
  <c r="Q26" i="42"/>
  <c r="Q154" i="42"/>
  <c r="H59" i="9"/>
  <c r="H64" i="9" s="1"/>
  <c r="H15" i="9"/>
  <c r="H23" i="9" s="1"/>
  <c r="H52" i="9" s="1"/>
  <c r="W125" i="42"/>
  <c r="X90" i="42"/>
  <c r="Q153" i="42"/>
  <c r="R153" i="42" s="1"/>
  <c r="T95" i="42"/>
  <c r="S130" i="42"/>
  <c r="S132" i="42" s="1"/>
  <c r="I9" i="9"/>
  <c r="K52" i="10"/>
  <c r="K54" i="10" s="1"/>
  <c r="Z87" i="42"/>
  <c r="Y122" i="42"/>
  <c r="W92" i="42"/>
  <c r="V127" i="42"/>
  <c r="Y88" i="42"/>
  <c r="X123" i="42"/>
  <c r="Z121" i="42"/>
  <c r="Q51" i="42"/>
  <c r="Q47" i="42"/>
  <c r="Q48" i="42" s="1"/>
  <c r="X89" i="42"/>
  <c r="W124" i="42"/>
  <c r="V93" i="42"/>
  <c r="U128" i="42"/>
  <c r="X91" i="42"/>
  <c r="W126" i="42"/>
  <c r="T129" i="42"/>
  <c r="U94" i="42"/>
  <c r="R17" i="42"/>
  <c r="R50" i="42"/>
  <c r="O132" i="42"/>
  <c r="M130" i="42"/>
  <c r="M132" i="42" s="1"/>
  <c r="M96" i="42"/>
  <c r="N130" i="42" s="1"/>
  <c r="N129" i="42"/>
  <c r="P140" i="42"/>
  <c r="AC72" i="11"/>
  <c r="AC47" i="3"/>
  <c r="J60" i="3"/>
  <c r="B61" i="3"/>
  <c r="L56" i="3"/>
  <c r="L57" i="3" s="1"/>
  <c r="F50" i="42"/>
  <c r="F17" i="42"/>
  <c r="J130" i="42"/>
  <c r="J132" i="42" s="1"/>
  <c r="J96" i="42"/>
  <c r="K130" i="42" s="1"/>
  <c r="K129" i="42"/>
  <c r="M16" i="4"/>
  <c r="M17" i="4" s="1"/>
  <c r="E387" i="35"/>
  <c r="D388" i="35"/>
  <c r="O149" i="42"/>
  <c r="N55" i="3"/>
  <c r="P55" i="3" s="1"/>
  <c r="W55" i="3"/>
  <c r="Y55" i="3" s="1"/>
  <c r="L36" i="4"/>
  <c r="EZ66" i="11"/>
  <c r="C70" i="3"/>
  <c r="D130" i="42"/>
  <c r="D132" i="42" s="1"/>
  <c r="D96" i="42"/>
  <c r="E130" i="42" s="1"/>
  <c r="E129" i="42"/>
  <c r="EZ71" i="11"/>
  <c r="F42" i="42"/>
  <c r="F43" i="42" s="1"/>
  <c r="Y96" i="42"/>
  <c r="H144" i="42"/>
  <c r="H128" i="42"/>
  <c r="H94" i="42"/>
  <c r="I127" i="42"/>
  <c r="Z122" i="42" l="1"/>
  <c r="S50" i="42"/>
  <c r="S17" i="42"/>
  <c r="Y90" i="42"/>
  <c r="X125" i="42"/>
  <c r="E132" i="42"/>
  <c r="Y91" i="42"/>
  <c r="X126" i="42"/>
  <c r="X92" i="42"/>
  <c r="W127" i="42"/>
  <c r="T130" i="42"/>
  <c r="T132" i="42" s="1"/>
  <c r="U95" i="42"/>
  <c r="K132" i="42"/>
  <c r="R47" i="42"/>
  <c r="R48" i="42" s="1"/>
  <c r="R51" i="42"/>
  <c r="T58" i="42"/>
  <c r="X124" i="42"/>
  <c r="Y89" i="42"/>
  <c r="J9" i="9"/>
  <c r="L52" i="10"/>
  <c r="L54" i="10" s="1"/>
  <c r="S153" i="42"/>
  <c r="R155" i="42"/>
  <c r="R26" i="42"/>
  <c r="V94" i="42"/>
  <c r="U129" i="42"/>
  <c r="V128" i="42"/>
  <c r="W93" i="42"/>
  <c r="Z88" i="42"/>
  <c r="Z123" i="42" s="1"/>
  <c r="Y123" i="42"/>
  <c r="I15" i="9"/>
  <c r="I23" i="9" s="1"/>
  <c r="I52" i="9" s="1"/>
  <c r="I59" i="9"/>
  <c r="I64" i="9" s="1"/>
  <c r="R154" i="42"/>
  <c r="S154" i="42" s="1"/>
  <c r="M35" i="4"/>
  <c r="M18" i="4"/>
  <c r="M45" i="4" s="1"/>
  <c r="M23" i="4"/>
  <c r="M24" i="4" s="1"/>
  <c r="M20" i="4"/>
  <c r="C74" i="3"/>
  <c r="N57" i="3"/>
  <c r="P57" i="3" s="1"/>
  <c r="W57" i="3"/>
  <c r="Y57" i="3" s="1"/>
  <c r="D389" i="35"/>
  <c r="E388" i="35"/>
  <c r="J50" i="42"/>
  <c r="J17" i="42"/>
  <c r="F47" i="42"/>
  <c r="G51" i="42"/>
  <c r="AE47" i="3"/>
  <c r="AG47" i="3" s="1"/>
  <c r="AL47" i="3"/>
  <c r="AN47" i="3" s="1"/>
  <c r="Q140" i="42"/>
  <c r="M50" i="42"/>
  <c r="M17" i="42"/>
  <c r="W56" i="3"/>
  <c r="Y56" i="3" s="1"/>
  <c r="N56" i="3"/>
  <c r="P56" i="3" s="1"/>
  <c r="H129" i="42"/>
  <c r="H95" i="42"/>
  <c r="I128" i="42"/>
  <c r="I144" i="42"/>
  <c r="Z96" i="42"/>
  <c r="E17" i="42"/>
  <c r="E50" i="42"/>
  <c r="F51" i="42" s="1"/>
  <c r="B62" i="3"/>
  <c r="J61" i="3"/>
  <c r="L61" i="3" s="1"/>
  <c r="O50" i="42"/>
  <c r="O17" i="42"/>
  <c r="F45" i="42"/>
  <c r="F44" i="42"/>
  <c r="D50" i="42"/>
  <c r="D17" i="42"/>
  <c r="P149" i="42"/>
  <c r="Q149" i="42"/>
  <c r="R149" i="42" s="1"/>
  <c r="FA63" i="11"/>
  <c r="N14" i="4"/>
  <c r="M43" i="4"/>
  <c r="K17" i="42"/>
  <c r="K50" i="42"/>
  <c r="F143" i="42"/>
  <c r="F26" i="42"/>
  <c r="L60" i="3"/>
  <c r="AL71" i="11"/>
  <c r="N132" i="42"/>
  <c r="T154" i="42" l="1"/>
  <c r="U154" i="42"/>
  <c r="W154" i="42" s="1"/>
  <c r="X154" i="42" s="1"/>
  <c r="Y154" i="42" s="1"/>
  <c r="Z154" i="42" s="1"/>
  <c r="J59" i="9"/>
  <c r="J64" i="9" s="1"/>
  <c r="J15" i="9"/>
  <c r="J23" i="9" s="1"/>
  <c r="J52" i="9" s="1"/>
  <c r="T56" i="42"/>
  <c r="T57" i="42" s="1"/>
  <c r="U58" i="42"/>
  <c r="V95" i="42"/>
  <c r="U130" i="42"/>
  <c r="U132" i="42" s="1"/>
  <c r="S156" i="42"/>
  <c r="S26" i="42"/>
  <c r="S155" i="42"/>
  <c r="T50" i="42"/>
  <c r="T51" i="42" s="1"/>
  <c r="T17" i="42"/>
  <c r="S47" i="42"/>
  <c r="S48" i="42" s="1"/>
  <c r="S51" i="42"/>
  <c r="S149" i="42"/>
  <c r="V154" i="42"/>
  <c r="X93" i="42"/>
  <c r="W128" i="42"/>
  <c r="V129" i="42"/>
  <c r="W94" i="42"/>
  <c r="T153" i="42"/>
  <c r="U153" i="42" s="1"/>
  <c r="Z90" i="42"/>
  <c r="Z125" i="42" s="1"/>
  <c r="Y125" i="42"/>
  <c r="T149" i="42"/>
  <c r="M52" i="10"/>
  <c r="M54" i="10" s="1"/>
  <c r="K9" i="9"/>
  <c r="Z89" i="42"/>
  <c r="Z124" i="42" s="1"/>
  <c r="Y124" i="42"/>
  <c r="X127" i="42"/>
  <c r="Y92" i="42"/>
  <c r="Z91" i="42"/>
  <c r="Z126" i="42" s="1"/>
  <c r="Y126" i="42"/>
  <c r="N61" i="3"/>
  <c r="P61" i="3" s="1"/>
  <c r="W61" i="3"/>
  <c r="Y61" i="3" s="1"/>
  <c r="H130" i="42"/>
  <c r="H132" i="42" s="1"/>
  <c r="H96" i="42"/>
  <c r="I130" i="42" s="1"/>
  <c r="I129" i="42"/>
  <c r="N60" i="3"/>
  <c r="P60" i="3" s="1"/>
  <c r="W60" i="3"/>
  <c r="Y60" i="3" s="1"/>
  <c r="G143" i="42"/>
  <c r="D47" i="42"/>
  <c r="D48" i="42" s="1"/>
  <c r="D51" i="42"/>
  <c r="J62" i="3"/>
  <c r="B63" i="3"/>
  <c r="J144" i="42"/>
  <c r="R140" i="42"/>
  <c r="D390" i="35"/>
  <c r="E389" i="35"/>
  <c r="AA48" i="3"/>
  <c r="AM71" i="11"/>
  <c r="N50" i="42"/>
  <c r="O51" i="42" s="1"/>
  <c r="N17" i="42"/>
  <c r="K51" i="42"/>
  <c r="K47" i="42"/>
  <c r="L51" i="42"/>
  <c r="N16" i="4"/>
  <c r="O152" i="42"/>
  <c r="O26" i="42"/>
  <c r="E51" i="42"/>
  <c r="E47" i="42"/>
  <c r="E48" i="42" s="1"/>
  <c r="M150" i="42"/>
  <c r="M26" i="42"/>
  <c r="J26" i="42"/>
  <c r="J147" i="42"/>
  <c r="D141" i="42"/>
  <c r="D26" i="42"/>
  <c r="D24" i="42" s="1"/>
  <c r="K26" i="42"/>
  <c r="K148" i="42"/>
  <c r="FA71" i="11"/>
  <c r="G42" i="42"/>
  <c r="G43" i="42" s="1"/>
  <c r="O47" i="42"/>
  <c r="P51" i="42"/>
  <c r="E142" i="42"/>
  <c r="E26" i="42"/>
  <c r="M51" i="42"/>
  <c r="M47" i="42"/>
  <c r="M48" i="42" s="1"/>
  <c r="J47" i="42"/>
  <c r="C75" i="3"/>
  <c r="AA74" i="3"/>
  <c r="G48" i="42"/>
  <c r="M36" i="4"/>
  <c r="FA66" i="11"/>
  <c r="K144" i="42"/>
  <c r="U149" i="42" l="1"/>
  <c r="V149" i="42" s="1"/>
  <c r="W149" i="42" s="1"/>
  <c r="X149" i="42" s="1"/>
  <c r="Y149" i="42" s="1"/>
  <c r="Z149" i="42" s="1"/>
  <c r="T59" i="42"/>
  <c r="K59" i="9"/>
  <c r="K64" i="9" s="1"/>
  <c r="K15" i="9"/>
  <c r="K23" i="9" s="1"/>
  <c r="K52" i="9" s="1"/>
  <c r="T26" i="42"/>
  <c r="T157" i="42"/>
  <c r="I132" i="42"/>
  <c r="Z92" i="42"/>
  <c r="Y127" i="42"/>
  <c r="L9" i="9"/>
  <c r="N52" i="10"/>
  <c r="N54" i="10" s="1"/>
  <c r="T156" i="42"/>
  <c r="U156" i="42"/>
  <c r="V156" i="42" s="1"/>
  <c r="U50" i="42"/>
  <c r="U51" i="42" s="1"/>
  <c r="U17" i="42"/>
  <c r="V153" i="42"/>
  <c r="W153" i="42" s="1"/>
  <c r="X153" i="42" s="1"/>
  <c r="Y153" i="42" s="1"/>
  <c r="Z153" i="42" s="1"/>
  <c r="X128" i="42"/>
  <c r="Y93" i="42"/>
  <c r="W95" i="42"/>
  <c r="V58" i="42"/>
  <c r="V56" i="42" s="1"/>
  <c r="V130" i="42"/>
  <c r="V132" i="42" s="1"/>
  <c r="X94" i="42"/>
  <c r="W129" i="42"/>
  <c r="T155" i="42"/>
  <c r="U155" i="42" s="1"/>
  <c r="U56" i="42"/>
  <c r="U57" i="42" s="1"/>
  <c r="P48" i="42"/>
  <c r="L148" i="42"/>
  <c r="P152" i="42"/>
  <c r="O14" i="4"/>
  <c r="FB63" i="11"/>
  <c r="N43" i="4"/>
  <c r="N26" i="42"/>
  <c r="N151" i="42"/>
  <c r="B67" i="3"/>
  <c r="J63" i="3"/>
  <c r="AO71" i="11" s="1"/>
  <c r="F142" i="42"/>
  <c r="G142" i="42" s="1"/>
  <c r="D10" i="42"/>
  <c r="D13" i="42" s="1"/>
  <c r="D27" i="42"/>
  <c r="E23" i="42" s="1"/>
  <c r="N150" i="42"/>
  <c r="O150" i="42" s="1"/>
  <c r="N51" i="42"/>
  <c r="N47" i="42"/>
  <c r="N48" i="42" s="1"/>
  <c r="AD72" i="11"/>
  <c r="AC48" i="3"/>
  <c r="S140" i="42"/>
  <c r="L144" i="42"/>
  <c r="N144" i="42" s="1"/>
  <c r="O144" i="42" s="1"/>
  <c r="M144" i="42"/>
  <c r="AN71" i="11"/>
  <c r="I50" i="42"/>
  <c r="I17" i="42"/>
  <c r="AV72" i="11"/>
  <c r="G45" i="42"/>
  <c r="G44" i="42"/>
  <c r="E141" i="42"/>
  <c r="E173" i="42" s="1"/>
  <c r="E18" i="42" s="1"/>
  <c r="E7" i="42" s="1"/>
  <c r="E8" i="42" s="1"/>
  <c r="D173" i="42"/>
  <c r="D18" i="42" s="1"/>
  <c r="K147" i="42"/>
  <c r="L147" i="42" s="1"/>
  <c r="K48" i="42"/>
  <c r="L48" i="42"/>
  <c r="H50" i="42"/>
  <c r="H17" i="42"/>
  <c r="F48" i="42"/>
  <c r="AA75" i="3"/>
  <c r="C76" i="3"/>
  <c r="N17" i="4"/>
  <c r="L62" i="3"/>
  <c r="D391" i="35"/>
  <c r="E390" i="35"/>
  <c r="H143" i="42"/>
  <c r="U59" i="42" l="1"/>
  <c r="V59" i="42"/>
  <c r="Z127" i="42"/>
  <c r="V57" i="42"/>
  <c r="V155" i="42"/>
  <c r="L63" i="3"/>
  <c r="N63" i="3" s="1"/>
  <c r="P63" i="3" s="1"/>
  <c r="V50" i="42"/>
  <c r="V51" i="42" s="1"/>
  <c r="V17" i="42"/>
  <c r="X129" i="42"/>
  <c r="Y94" i="42"/>
  <c r="W156" i="42"/>
  <c r="X156" i="42" s="1"/>
  <c r="O52" i="10"/>
  <c r="O54" i="10" s="1"/>
  <c r="M9" i="9"/>
  <c r="P144" i="42"/>
  <c r="Q144" i="42" s="1"/>
  <c r="M148" i="42"/>
  <c r="N148" i="42" s="1"/>
  <c r="W58" i="42"/>
  <c r="W130" i="42"/>
  <c r="W132" i="42" s="1"/>
  <c r="X95" i="42"/>
  <c r="U158" i="42"/>
  <c r="U26" i="42"/>
  <c r="L15" i="9"/>
  <c r="L23" i="9" s="1"/>
  <c r="L52" i="9" s="1"/>
  <c r="L59" i="9"/>
  <c r="L64" i="9" s="1"/>
  <c r="W155" i="42"/>
  <c r="Z93" i="42"/>
  <c r="Y128" i="42"/>
  <c r="Y156" i="42"/>
  <c r="Z156" i="42" s="1"/>
  <c r="U157" i="42"/>
  <c r="C77" i="3"/>
  <c r="AA76" i="3"/>
  <c r="AL48" i="3"/>
  <c r="AN48" i="3" s="1"/>
  <c r="AE48" i="3"/>
  <c r="AG48" i="3" s="1"/>
  <c r="O48" i="42"/>
  <c r="D392" i="35"/>
  <c r="E391" i="35"/>
  <c r="N62" i="3"/>
  <c r="P62" i="3" s="1"/>
  <c r="W62" i="3"/>
  <c r="Y62" i="3" s="1"/>
  <c r="AW72" i="11"/>
  <c r="M147" i="42"/>
  <c r="I146" i="42"/>
  <c r="I26" i="42"/>
  <c r="P150" i="42"/>
  <c r="D37" i="42"/>
  <c r="H142" i="42"/>
  <c r="B68" i="3"/>
  <c r="J67" i="3"/>
  <c r="H42" i="42"/>
  <c r="H43" i="42" s="1"/>
  <c r="FB71" i="11"/>
  <c r="Q152" i="42"/>
  <c r="R152" i="42" s="1"/>
  <c r="N35" i="4"/>
  <c r="N18" i="4"/>
  <c r="N45" i="4" s="1"/>
  <c r="N20" i="4"/>
  <c r="N23" i="4"/>
  <c r="N24" i="4" s="1"/>
  <c r="H145" i="42"/>
  <c r="H26" i="42"/>
  <c r="D7" i="42"/>
  <c r="D8" i="42" s="1"/>
  <c r="D11" i="42" s="1"/>
  <c r="D19" i="42"/>
  <c r="I47" i="42"/>
  <c r="I51" i="42"/>
  <c r="J51" i="42"/>
  <c r="I142" i="42"/>
  <c r="O151" i="42"/>
  <c r="P151" i="42"/>
  <c r="Q151" i="42" s="1"/>
  <c r="O16" i="4"/>
  <c r="O17" i="4" s="1"/>
  <c r="H47" i="42"/>
  <c r="H48" i="42" s="1"/>
  <c r="H51" i="42"/>
  <c r="F141" i="42"/>
  <c r="AC75" i="3"/>
  <c r="T140" i="42"/>
  <c r="I143" i="42"/>
  <c r="J143" i="42" s="1"/>
  <c r="L64" i="3" l="1"/>
  <c r="W64" i="3" s="1"/>
  <c r="Y64" i="3" s="1"/>
  <c r="W63" i="3"/>
  <c r="Y63" i="3" s="1"/>
  <c r="K143" i="42"/>
  <c r="O148" i="42"/>
  <c r="X58" i="42"/>
  <c r="Y95" i="42"/>
  <c r="Y58" i="42" s="1"/>
  <c r="X130" i="42"/>
  <c r="X132" i="42" s="1"/>
  <c r="V157" i="42"/>
  <c r="W50" i="42"/>
  <c r="W51" i="42" s="1"/>
  <c r="W17" i="42"/>
  <c r="X155" i="42"/>
  <c r="Y155" i="42" s="1"/>
  <c r="Z155" i="42" s="1"/>
  <c r="W56" i="42"/>
  <c r="W57" i="42" s="1"/>
  <c r="M59" i="9"/>
  <c r="M64" i="9" s="1"/>
  <c r="M15" i="9"/>
  <c r="M23" i="9" s="1"/>
  <c r="M52" i="9" s="1"/>
  <c r="Z94" i="42"/>
  <c r="Y129" i="42"/>
  <c r="V159" i="42"/>
  <c r="V26" i="42"/>
  <c r="Z128" i="42"/>
  <c r="V158" i="42"/>
  <c r="W158" i="42" s="1"/>
  <c r="N9" i="9"/>
  <c r="P52" i="10"/>
  <c r="P54" i="10" s="1"/>
  <c r="I48" i="42"/>
  <c r="J48" i="42"/>
  <c r="E16" i="42"/>
  <c r="E19" i="42" s="1"/>
  <c r="D31" i="42"/>
  <c r="D32" i="42" s="1"/>
  <c r="D29" i="42"/>
  <c r="L67" i="3"/>
  <c r="AQ71" i="11"/>
  <c r="J142" i="42"/>
  <c r="S152" i="42"/>
  <c r="T152" i="42" s="1"/>
  <c r="O35" i="4"/>
  <c r="O18" i="4"/>
  <c r="O45" i="4" s="1"/>
  <c r="O23" i="4"/>
  <c r="O24" i="4" s="1"/>
  <c r="O20" i="4"/>
  <c r="J68" i="3"/>
  <c r="L68" i="3" s="1"/>
  <c r="B69" i="3"/>
  <c r="Q150" i="42"/>
  <c r="K142" i="42"/>
  <c r="AX72" i="11"/>
  <c r="P14" i="4"/>
  <c r="FC63" i="11"/>
  <c r="O43" i="4"/>
  <c r="G141" i="42"/>
  <c r="AC76" i="3"/>
  <c r="C81" i="3"/>
  <c r="AA77" i="3"/>
  <c r="AY72" i="11" s="1"/>
  <c r="U140" i="42"/>
  <c r="AL75" i="3"/>
  <c r="F173" i="42"/>
  <c r="F18" i="42" s="1"/>
  <c r="F7" i="42" s="1"/>
  <c r="F8" i="42" s="1"/>
  <c r="R151" i="42"/>
  <c r="I145" i="42"/>
  <c r="N36" i="4"/>
  <c r="FB66" i="11"/>
  <c r="H44" i="42"/>
  <c r="H45" i="42"/>
  <c r="J146" i="42"/>
  <c r="R144" i="42"/>
  <c r="D394" i="35"/>
  <c r="E392" i="35"/>
  <c r="AA49" i="3"/>
  <c r="E24" i="42"/>
  <c r="N147" i="42"/>
  <c r="N64" i="3" l="1"/>
  <c r="P64" i="3" s="1"/>
  <c r="Y56" i="42"/>
  <c r="Y59" i="42"/>
  <c r="AC77" i="3"/>
  <c r="AL77" i="3" s="1"/>
  <c r="W59" i="42"/>
  <c r="X56" i="42"/>
  <c r="X57" i="42" s="1"/>
  <c r="X59" i="42"/>
  <c r="P148" i="42"/>
  <c r="N15" i="9"/>
  <c r="N23" i="9" s="1"/>
  <c r="N52" i="9" s="1"/>
  <c r="N59" i="9"/>
  <c r="N64" i="9" s="1"/>
  <c r="Z95" i="42"/>
  <c r="Y130" i="42"/>
  <c r="Y132" i="42" s="1"/>
  <c r="X158" i="42"/>
  <c r="Z129" i="42"/>
  <c r="W26" i="42"/>
  <c r="W159" i="42"/>
  <c r="O9" i="9"/>
  <c r="Q52" i="10"/>
  <c r="Q54" i="10" s="1"/>
  <c r="X17" i="42"/>
  <c r="X50" i="42"/>
  <c r="X51" i="42" s="1"/>
  <c r="W157" i="42"/>
  <c r="L143" i="42"/>
  <c r="N68" i="3"/>
  <c r="P68" i="3" s="1"/>
  <c r="W68" i="3"/>
  <c r="Y68" i="3" s="1"/>
  <c r="J145" i="42"/>
  <c r="G173" i="42"/>
  <c r="G18" i="42" s="1"/>
  <c r="G7" i="42" s="1"/>
  <c r="G8" i="42" s="1"/>
  <c r="K146" i="42"/>
  <c r="L146" i="42" s="1"/>
  <c r="FC71" i="11"/>
  <c r="I42" i="42"/>
  <c r="I43" i="42" s="1"/>
  <c r="H141" i="42"/>
  <c r="R150" i="42"/>
  <c r="L142" i="42"/>
  <c r="N67" i="3"/>
  <c r="P67" i="3" s="1"/>
  <c r="W67" i="3"/>
  <c r="Y67" i="3" s="1"/>
  <c r="E10" i="42"/>
  <c r="E27" i="42"/>
  <c r="F23" i="42" s="1"/>
  <c r="S144" i="42"/>
  <c r="T144" i="42" s="1"/>
  <c r="U144" i="42" s="1"/>
  <c r="V144" i="42" s="1"/>
  <c r="W144" i="42" s="1"/>
  <c r="X144" i="42" s="1"/>
  <c r="Y144" i="42" s="1"/>
  <c r="Z144" i="42" s="1"/>
  <c r="P16" i="4"/>
  <c r="B70" i="3"/>
  <c r="J69" i="3"/>
  <c r="L69" i="3" s="1"/>
  <c r="F16" i="42"/>
  <c r="F19" i="42" s="1"/>
  <c r="U152" i="42"/>
  <c r="V152" i="42" s="1"/>
  <c r="E394" i="35"/>
  <c r="D395" i="35"/>
  <c r="O147" i="42"/>
  <c r="P147" i="42" s="1"/>
  <c r="K145" i="42"/>
  <c r="AA81" i="3"/>
  <c r="C82" i="3"/>
  <c r="AR71" i="11"/>
  <c r="O36" i="4"/>
  <c r="FC66" i="11"/>
  <c r="S151" i="42"/>
  <c r="T151" i="42" s="1"/>
  <c r="AE72" i="11"/>
  <c r="AC49" i="3"/>
  <c r="V140" i="42"/>
  <c r="AL76" i="3"/>
  <c r="E37" i="42" l="1"/>
  <c r="E29" i="42"/>
  <c r="M145" i="42"/>
  <c r="N145" i="42" s="1"/>
  <c r="E31" i="42"/>
  <c r="E32" i="42" s="1"/>
  <c r="M146" i="42"/>
  <c r="L145" i="42"/>
  <c r="P9" i="9"/>
  <c r="R52" i="10"/>
  <c r="R54" i="10" s="1"/>
  <c r="Q148" i="42"/>
  <c r="O59" i="9"/>
  <c r="O64" i="9" s="1"/>
  <c r="O15" i="9"/>
  <c r="O23" i="9" s="1"/>
  <c r="O52" i="9" s="1"/>
  <c r="Y17" i="42"/>
  <c r="Y50" i="42"/>
  <c r="Y51" i="42" s="1"/>
  <c r="Y158" i="42"/>
  <c r="Z158" i="42" s="1"/>
  <c r="M143" i="42"/>
  <c r="N143" i="42" s="1"/>
  <c r="O143" i="42" s="1"/>
  <c r="P143" i="42" s="1"/>
  <c r="Z58" i="42"/>
  <c r="Z56" i="42" s="1"/>
  <c r="Z57" i="42" s="1"/>
  <c r="Z130" i="42"/>
  <c r="Z132" i="42" s="1"/>
  <c r="X26" i="42"/>
  <c r="X159" i="42"/>
  <c r="X157" i="42"/>
  <c r="Y157" i="42" s="1"/>
  <c r="Z157" i="42" s="1"/>
  <c r="Y57" i="42"/>
  <c r="W69" i="3"/>
  <c r="Y69" i="3" s="1"/>
  <c r="N69" i="3"/>
  <c r="P69" i="3" s="1"/>
  <c r="E395" i="35"/>
  <c r="D396" i="35"/>
  <c r="Q147" i="42"/>
  <c r="R147" i="42" s="1"/>
  <c r="S147" i="42" s="1"/>
  <c r="F24" i="42"/>
  <c r="F10" i="42" s="1"/>
  <c r="F27" i="42"/>
  <c r="G23" i="42" s="1"/>
  <c r="AB10" i="8"/>
  <c r="AC81" i="3"/>
  <c r="BA72" i="11"/>
  <c r="I141" i="42"/>
  <c r="I173" i="42" s="1"/>
  <c r="I18" i="42" s="1"/>
  <c r="I7" i="42" s="1"/>
  <c r="I8" i="42" s="1"/>
  <c r="U151" i="42"/>
  <c r="FD63" i="11"/>
  <c r="Q14" i="4"/>
  <c r="P43" i="4"/>
  <c r="E13" i="42"/>
  <c r="E11" i="42"/>
  <c r="M142" i="42"/>
  <c r="T150" i="42"/>
  <c r="S150" i="42"/>
  <c r="I45" i="42"/>
  <c r="I44" i="42"/>
  <c r="J70" i="3"/>
  <c r="AT71" i="11" s="1"/>
  <c r="B74" i="3"/>
  <c r="W140" i="42"/>
  <c r="AA82" i="3"/>
  <c r="C83" i="3"/>
  <c r="G16" i="42"/>
  <c r="G19" i="42" s="1"/>
  <c r="F31" i="42"/>
  <c r="F32" i="42" s="1"/>
  <c r="AS71" i="11"/>
  <c r="P17" i="4"/>
  <c r="U150" i="42"/>
  <c r="N146" i="42"/>
  <c r="AE49" i="3"/>
  <c r="AG49" i="3" s="1"/>
  <c r="AL49" i="3"/>
  <c r="AN49" i="3" s="1"/>
  <c r="AC50" i="3"/>
  <c r="W152" i="42"/>
  <c r="X152" i="42" s="1"/>
  <c r="Y152" i="42" s="1"/>
  <c r="Z152" i="42" s="1"/>
  <c r="H173" i="42"/>
  <c r="H18" i="42" s="1"/>
  <c r="H7" i="42" s="1"/>
  <c r="H8" i="42" s="1"/>
  <c r="J141" i="42"/>
  <c r="J173" i="42" s="1"/>
  <c r="J18" i="42" s="1"/>
  <c r="J7" i="42" s="1"/>
  <c r="J8" i="42" s="1"/>
  <c r="V151" i="42"/>
  <c r="P59" i="9" l="1"/>
  <c r="P64" i="9" s="1"/>
  <c r="P15" i="9"/>
  <c r="P23" i="9" s="1"/>
  <c r="P52" i="9" s="1"/>
  <c r="Z17" i="42"/>
  <c r="Z50" i="42"/>
  <c r="Z51" i="42" s="1"/>
  <c r="Z59" i="42"/>
  <c r="Y26" i="42"/>
  <c r="Y159" i="42"/>
  <c r="Q9" i="9"/>
  <c r="S52" i="10"/>
  <c r="S54" i="10" s="1"/>
  <c r="R148" i="42"/>
  <c r="AB11" i="8"/>
  <c r="BB72" i="11"/>
  <c r="F13" i="42"/>
  <c r="F11" i="42"/>
  <c r="T147" i="42"/>
  <c r="V150" i="42"/>
  <c r="W150" i="42" s="1"/>
  <c r="X150" i="42" s="1"/>
  <c r="Y150" i="42" s="1"/>
  <c r="Z150" i="42" s="1"/>
  <c r="L70" i="3"/>
  <c r="O146" i="42"/>
  <c r="P146" i="42"/>
  <c r="Q146" i="42" s="1"/>
  <c r="AE50" i="3"/>
  <c r="AG50" i="3" s="1"/>
  <c r="AL50" i="3"/>
  <c r="AN50" i="3" s="1"/>
  <c r="P18" i="4"/>
  <c r="P45" i="4" s="1"/>
  <c r="P35" i="4"/>
  <c r="P23" i="4"/>
  <c r="P24" i="4" s="1"/>
  <c r="P20" i="4"/>
  <c r="H16" i="42"/>
  <c r="H19" i="42" s="1"/>
  <c r="AL81" i="3"/>
  <c r="O145" i="42"/>
  <c r="P145" i="42" s="1"/>
  <c r="F29" i="42"/>
  <c r="C84" i="3"/>
  <c r="AA83" i="3"/>
  <c r="X140" i="42"/>
  <c r="J74" i="3"/>
  <c r="B75" i="3"/>
  <c r="Q16" i="4"/>
  <c r="Q17" i="4"/>
  <c r="F37" i="42"/>
  <c r="Q143" i="42"/>
  <c r="R143" i="42" s="1"/>
  <c r="S143" i="42" s="1"/>
  <c r="T143" i="42" s="1"/>
  <c r="U143" i="42" s="1"/>
  <c r="V143" i="42" s="1"/>
  <c r="W143" i="42" s="1"/>
  <c r="X143" i="42" s="1"/>
  <c r="Y143" i="42" s="1"/>
  <c r="Z143" i="42" s="1"/>
  <c r="AC82" i="3"/>
  <c r="W151" i="42"/>
  <c r="X151" i="42" s="1"/>
  <c r="Y151" i="42" s="1"/>
  <c r="Z151" i="42" s="1"/>
  <c r="N142" i="42"/>
  <c r="J42" i="42"/>
  <c r="J43" i="42" s="1"/>
  <c r="FD71" i="11"/>
  <c r="D397" i="35"/>
  <c r="E396" i="35"/>
  <c r="AA53" i="3"/>
  <c r="K141" i="42"/>
  <c r="L141" i="42" s="1"/>
  <c r="L173" i="42" s="1"/>
  <c r="L18" i="42" s="1"/>
  <c r="L7" i="42" s="1"/>
  <c r="L8" i="42" s="1"/>
  <c r="S148" i="42" l="1"/>
  <c r="T52" i="10"/>
  <c r="T54" i="10" s="1"/>
  <c r="R9" i="9"/>
  <c r="Z159" i="42"/>
  <c r="Z26" i="42"/>
  <c r="Q59" i="9"/>
  <c r="Q64" i="9" s="1"/>
  <c r="Q15" i="9"/>
  <c r="Q23" i="9" s="1"/>
  <c r="Q52" i="9" s="1"/>
  <c r="Q145" i="42"/>
  <c r="R145" i="42" s="1"/>
  <c r="S145" i="42" s="1"/>
  <c r="T145" i="42" s="1"/>
  <c r="U145" i="42" s="1"/>
  <c r="V145" i="42" s="1"/>
  <c r="W145" i="42" s="1"/>
  <c r="X145" i="42" s="1"/>
  <c r="Y145" i="42" s="1"/>
  <c r="Z145" i="42" s="1"/>
  <c r="E397" i="35"/>
  <c r="D398" i="35"/>
  <c r="J75" i="3"/>
  <c r="L75" i="3" s="1"/>
  <c r="B76" i="3"/>
  <c r="AB12" i="8"/>
  <c r="BC72" i="11"/>
  <c r="K173" i="42"/>
  <c r="K18" i="42" s="1"/>
  <c r="K7" i="42" s="1"/>
  <c r="K8" i="42" s="1"/>
  <c r="M141" i="42"/>
  <c r="Q35" i="4"/>
  <c r="Q18" i="4"/>
  <c r="Q45" i="4" s="1"/>
  <c r="Q23" i="4"/>
  <c r="Q24" i="4" s="1"/>
  <c r="Q20" i="4"/>
  <c r="L74" i="3"/>
  <c r="AV71" i="11"/>
  <c r="C88" i="3"/>
  <c r="AA84" i="3"/>
  <c r="U147" i="42"/>
  <c r="J44" i="42"/>
  <c r="J45" i="42"/>
  <c r="AC53" i="3"/>
  <c r="AG72" i="11"/>
  <c r="G24" i="42"/>
  <c r="AE82" i="3"/>
  <c r="AG82" i="3" s="1"/>
  <c r="AL82" i="3"/>
  <c r="AN82" i="3" s="1"/>
  <c r="FE63" i="11"/>
  <c r="R14" i="4"/>
  <c r="Q43" i="4"/>
  <c r="Y140" i="42"/>
  <c r="O142" i="42"/>
  <c r="I16" i="42"/>
  <c r="I19" i="42" s="1"/>
  <c r="FD66" i="11"/>
  <c r="P36" i="4"/>
  <c r="R146" i="42"/>
  <c r="N70" i="3"/>
  <c r="P70" i="3" s="1"/>
  <c r="W70" i="3"/>
  <c r="Y70" i="3" s="1"/>
  <c r="L71" i="3"/>
  <c r="AC83" i="3"/>
  <c r="S9" i="9" l="1"/>
  <c r="U52" i="10"/>
  <c r="U54" i="10" s="1"/>
  <c r="V147" i="42"/>
  <c r="W147" i="42" s="1"/>
  <c r="X147" i="42" s="1"/>
  <c r="T148" i="42"/>
  <c r="U148" i="42" s="1"/>
  <c r="V148" i="42" s="1"/>
  <c r="W148" i="42" s="1"/>
  <c r="X148" i="42" s="1"/>
  <c r="Y148" i="42" s="1"/>
  <c r="Z148" i="42" s="1"/>
  <c r="R59" i="9"/>
  <c r="R64" i="9" s="1"/>
  <c r="R15" i="9"/>
  <c r="R23" i="9" s="1"/>
  <c r="R52" i="9" s="1"/>
  <c r="W71" i="3"/>
  <c r="Y71" i="3" s="1"/>
  <c r="N71" i="3"/>
  <c r="P71" i="3" s="1"/>
  <c r="S146" i="42"/>
  <c r="T146" i="42" s="1"/>
  <c r="U146" i="42" s="1"/>
  <c r="R16" i="4"/>
  <c r="G10" i="42"/>
  <c r="G27" i="42"/>
  <c r="G37" i="42" s="1"/>
  <c r="M173" i="42"/>
  <c r="M18" i="42" s="1"/>
  <c r="M7" i="42" s="1"/>
  <c r="M8" i="42" s="1"/>
  <c r="N141" i="42"/>
  <c r="B77" i="3"/>
  <c r="J76" i="3"/>
  <c r="J16" i="42"/>
  <c r="J19" i="42" s="1"/>
  <c r="Z140" i="42"/>
  <c r="K42" i="42"/>
  <c r="K43" i="42" s="1"/>
  <c r="FE71" i="11"/>
  <c r="W75" i="3"/>
  <c r="Y75" i="3" s="1"/>
  <c r="N75" i="3"/>
  <c r="P75" i="3" s="1"/>
  <c r="AW71" i="11"/>
  <c r="E398" i="35"/>
  <c r="D399" i="35"/>
  <c r="AL83" i="3"/>
  <c r="AN83" i="3" s="1"/>
  <c r="AE83" i="3"/>
  <c r="AG83" i="3" s="1"/>
  <c r="P142" i="42"/>
  <c r="Q142" i="42" s="1"/>
  <c r="R142" i="42" s="1"/>
  <c r="S142" i="42" s="1"/>
  <c r="T142" i="42" s="1"/>
  <c r="U142" i="42" s="1"/>
  <c r="V142" i="42" s="1"/>
  <c r="W142" i="42" s="1"/>
  <c r="X142" i="42" s="1"/>
  <c r="Y142" i="42" s="1"/>
  <c r="Z142" i="42" s="1"/>
  <c r="AB13" i="8"/>
  <c r="BD72" i="11"/>
  <c r="W74" i="3"/>
  <c r="Y74" i="3" s="1"/>
  <c r="N74" i="3"/>
  <c r="P74" i="3" s="1"/>
  <c r="Q36" i="4"/>
  <c r="FE66" i="11"/>
  <c r="AC84" i="3"/>
  <c r="AE53" i="3"/>
  <c r="AG53" i="3" s="1"/>
  <c r="AL53" i="3"/>
  <c r="AN53" i="3" s="1"/>
  <c r="AA88" i="3"/>
  <c r="C89" i="3"/>
  <c r="V52" i="10" l="1"/>
  <c r="V54" i="10" s="1"/>
  <c r="T9" i="9"/>
  <c r="S15" i="9"/>
  <c r="S23" i="9" s="1"/>
  <c r="S52" i="9" s="1"/>
  <c r="S59" i="9"/>
  <c r="S64" i="9" s="1"/>
  <c r="Y147" i="42"/>
  <c r="Z147" i="42" s="1"/>
  <c r="V146" i="42"/>
  <c r="W146" i="42" s="1"/>
  <c r="AX71" i="11"/>
  <c r="H23" i="42"/>
  <c r="G31" i="42"/>
  <c r="G32" i="42" s="1"/>
  <c r="G29" i="42"/>
  <c r="AE84" i="3"/>
  <c r="AG84" i="3" s="1"/>
  <c r="AL84" i="3"/>
  <c r="AN84" i="3" s="1"/>
  <c r="L76" i="3"/>
  <c r="B81" i="3"/>
  <c r="J77" i="3"/>
  <c r="AY71" i="11" s="1"/>
  <c r="G13" i="42"/>
  <c r="G11" i="42"/>
  <c r="C90" i="3"/>
  <c r="AA89" i="3"/>
  <c r="E399" i="35"/>
  <c r="D400" i="35"/>
  <c r="AA54" i="3"/>
  <c r="K45" i="42"/>
  <c r="K44" i="42"/>
  <c r="N173" i="42"/>
  <c r="N18" i="42" s="1"/>
  <c r="N7" i="42" s="1"/>
  <c r="N8" i="42" s="1"/>
  <c r="O141" i="42"/>
  <c r="S14" i="4"/>
  <c r="FF63" i="11"/>
  <c r="R43" i="4"/>
  <c r="AB17" i="8"/>
  <c r="AC88" i="3"/>
  <c r="BF72" i="11"/>
  <c r="AC85" i="3"/>
  <c r="K16" i="42"/>
  <c r="K19" i="42" s="1"/>
  <c r="R17" i="4"/>
  <c r="T15" i="9" l="1"/>
  <c r="T23" i="9" s="1"/>
  <c r="T52" i="9" s="1"/>
  <c r="T59" i="9"/>
  <c r="T64" i="9" s="1"/>
  <c r="X146" i="42"/>
  <c r="Y146" i="42" s="1"/>
  <c r="Z146" i="42" s="1"/>
  <c r="U9" i="9"/>
  <c r="W52" i="10"/>
  <c r="W54" i="10" s="1"/>
  <c r="V9" i="9" s="1"/>
  <c r="AH72" i="11"/>
  <c r="AC54" i="3"/>
  <c r="H24" i="42"/>
  <c r="H27" i="42" s="1"/>
  <c r="L77" i="3"/>
  <c r="L78" i="3" s="1"/>
  <c r="AB18" i="8"/>
  <c r="BG72" i="11"/>
  <c r="E400" i="35"/>
  <c r="D401" i="35"/>
  <c r="L16" i="42"/>
  <c r="L19" i="42" s="1"/>
  <c r="AC89" i="3"/>
  <c r="L42" i="42"/>
  <c r="L43" i="42" s="1"/>
  <c r="FF71" i="11"/>
  <c r="C91" i="3"/>
  <c r="AA90" i="3"/>
  <c r="AC90" i="3" s="1"/>
  <c r="B82" i="3"/>
  <c r="J81" i="3"/>
  <c r="R35" i="4"/>
  <c r="R18" i="4"/>
  <c r="R45" i="4" s="1"/>
  <c r="R23" i="4"/>
  <c r="R24" i="4" s="1"/>
  <c r="R20" i="4"/>
  <c r="O173" i="42"/>
  <c r="O18" i="42" s="1"/>
  <c r="O7" i="42" s="1"/>
  <c r="O8" i="42" s="1"/>
  <c r="P141" i="42"/>
  <c r="AL85" i="3"/>
  <c r="AE88" i="3"/>
  <c r="AG88" i="3" s="1"/>
  <c r="AL88" i="3"/>
  <c r="S16" i="4"/>
  <c r="S17" i="4" s="1"/>
  <c r="W76" i="3"/>
  <c r="Y76" i="3" s="1"/>
  <c r="N76" i="3"/>
  <c r="P76" i="3" s="1"/>
  <c r="V15" i="9" l="1"/>
  <c r="V23" i="9" s="1"/>
  <c r="V52" i="9" s="1"/>
  <c r="V59" i="9"/>
  <c r="V64" i="9" s="1"/>
  <c r="U59" i="9"/>
  <c r="U64" i="9" s="1"/>
  <c r="U15" i="9"/>
  <c r="U23" i="9" s="1"/>
  <c r="U52" i="9" s="1"/>
  <c r="AE90" i="3"/>
  <c r="AG90" i="3" s="1"/>
  <c r="AL90" i="3"/>
  <c r="AN90" i="3" s="1"/>
  <c r="T14" i="4"/>
  <c r="FG63" i="11"/>
  <c r="S43" i="4"/>
  <c r="L81" i="3"/>
  <c r="BA71" i="11"/>
  <c r="H10" i="42"/>
  <c r="H37" i="42"/>
  <c r="R36" i="4"/>
  <c r="FF66" i="11"/>
  <c r="N78" i="3"/>
  <c r="P78" i="3" s="1"/>
  <c r="W78" i="3"/>
  <c r="Y78" i="3" s="1"/>
  <c r="B83" i="3"/>
  <c r="J82" i="3"/>
  <c r="L82" i="3" s="1"/>
  <c r="L45" i="42"/>
  <c r="L44" i="42"/>
  <c r="M16" i="42"/>
  <c r="M19" i="42" s="1"/>
  <c r="AE54" i="3"/>
  <c r="AG54" i="3" s="1"/>
  <c r="AL54" i="3"/>
  <c r="AN54" i="3" s="1"/>
  <c r="P173" i="42"/>
  <c r="P18" i="42" s="1"/>
  <c r="P7" i="42" s="1"/>
  <c r="P8" i="42" s="1"/>
  <c r="Q141" i="42"/>
  <c r="AB19" i="8"/>
  <c r="BH72" i="11"/>
  <c r="AE89" i="3"/>
  <c r="AG89" i="3" s="1"/>
  <c r="AL89" i="3"/>
  <c r="AN89" i="3" s="1"/>
  <c r="E401" i="35"/>
  <c r="D402" i="35"/>
  <c r="W77" i="3"/>
  <c r="Y77" i="3" s="1"/>
  <c r="N77" i="3"/>
  <c r="P77" i="3" s="1"/>
  <c r="S35" i="4"/>
  <c r="S18" i="4"/>
  <c r="S45" i="4" s="1"/>
  <c r="S23" i="4"/>
  <c r="S24" i="4" s="1"/>
  <c r="S20" i="4"/>
  <c r="C95" i="3"/>
  <c r="AA91" i="3"/>
  <c r="I23" i="42"/>
  <c r="H31" i="42"/>
  <c r="H32" i="42" s="1"/>
  <c r="H29" i="42"/>
  <c r="I24" i="42" l="1"/>
  <c r="I10" i="42" s="1"/>
  <c r="Q173" i="42"/>
  <c r="Q18" i="42" s="1"/>
  <c r="Q7" i="42" s="1"/>
  <c r="Q8" i="42" s="1"/>
  <c r="R141" i="42"/>
  <c r="N16" i="42"/>
  <c r="N19" i="42" s="1"/>
  <c r="BB71" i="11"/>
  <c r="N81" i="3"/>
  <c r="P81" i="3" s="1"/>
  <c r="W81" i="3"/>
  <c r="Y81" i="3" s="1"/>
  <c r="AB20" i="8"/>
  <c r="AD20" i="8" s="1"/>
  <c r="BI72" i="11"/>
  <c r="E402" i="35"/>
  <c r="D403" i="35"/>
  <c r="AA55" i="3"/>
  <c r="B84" i="3"/>
  <c r="J83" i="3"/>
  <c r="H13" i="42"/>
  <c r="H11" i="42"/>
  <c r="AA95" i="3"/>
  <c r="C96" i="3"/>
  <c r="S36" i="4"/>
  <c r="FG66" i="11"/>
  <c r="AC91" i="3"/>
  <c r="M42" i="42"/>
  <c r="M43" i="42" s="1"/>
  <c r="FG71" i="11"/>
  <c r="W82" i="3"/>
  <c r="Y82" i="3" s="1"/>
  <c r="N82" i="3"/>
  <c r="P82" i="3" s="1"/>
  <c r="T16" i="4"/>
  <c r="T17" i="4" s="1"/>
  <c r="I27" i="42" l="1"/>
  <c r="I37" i="42" s="1"/>
  <c r="T35" i="4"/>
  <c r="T18" i="4"/>
  <c r="T45" i="4" s="1"/>
  <c r="T23" i="4"/>
  <c r="T24" i="4" s="1"/>
  <c r="T20" i="4"/>
  <c r="AI72" i="11"/>
  <c r="AC55" i="3"/>
  <c r="O16" i="42"/>
  <c r="O19" i="42" s="1"/>
  <c r="M44" i="42"/>
  <c r="M45" i="42"/>
  <c r="C97" i="3"/>
  <c r="AA96" i="3"/>
  <c r="AC96" i="3" s="1"/>
  <c r="BC71" i="11"/>
  <c r="E403" i="35"/>
  <c r="D404" i="35"/>
  <c r="FH63" i="11"/>
  <c r="U14" i="4"/>
  <c r="T43" i="4"/>
  <c r="AE91" i="3"/>
  <c r="AG91" i="3" s="1"/>
  <c r="AL91" i="3"/>
  <c r="AN91" i="3" s="1"/>
  <c r="AC92" i="3"/>
  <c r="AC95" i="3"/>
  <c r="AB24" i="8"/>
  <c r="BK72" i="11"/>
  <c r="J84" i="3"/>
  <c r="BD71" i="11" s="1"/>
  <c r="B88" i="3"/>
  <c r="L83" i="3"/>
  <c r="R173" i="42"/>
  <c r="R18" i="42" s="1"/>
  <c r="R7" i="42" s="1"/>
  <c r="R8" i="42" s="1"/>
  <c r="S141" i="42"/>
  <c r="I13" i="42"/>
  <c r="I11" i="42"/>
  <c r="I31" i="42"/>
  <c r="I32" i="42" s="1"/>
  <c r="I29" i="42" l="1"/>
  <c r="J23" i="42"/>
  <c r="AL96" i="3"/>
  <c r="AN96" i="3" s="1"/>
  <c r="AE96" i="3"/>
  <c r="AG96" i="3" s="1"/>
  <c r="AE92" i="3"/>
  <c r="AG92" i="3" s="1"/>
  <c r="AL92" i="3"/>
  <c r="U16" i="4"/>
  <c r="E404" i="35"/>
  <c r="D405" i="35"/>
  <c r="T36" i="4"/>
  <c r="FH66" i="11"/>
  <c r="J24" i="42"/>
  <c r="J27" i="42" s="1"/>
  <c r="S173" i="42"/>
  <c r="S18" i="42" s="1"/>
  <c r="S7" i="42" s="1"/>
  <c r="S8" i="42" s="1"/>
  <c r="T141" i="42"/>
  <c r="FH71" i="11"/>
  <c r="N42" i="42"/>
  <c r="N43" i="42" s="1"/>
  <c r="AA97" i="3"/>
  <c r="AC97" i="3" s="1"/>
  <c r="C98" i="3"/>
  <c r="AE55" i="3"/>
  <c r="AG55" i="3" s="1"/>
  <c r="AL55" i="3"/>
  <c r="AN55" i="3" s="1"/>
  <c r="B89" i="3"/>
  <c r="J88" i="3"/>
  <c r="AE95" i="3"/>
  <c r="AG95" i="3" s="1"/>
  <c r="AL95" i="3"/>
  <c r="AN95" i="3" s="1"/>
  <c r="W83" i="3"/>
  <c r="Y83" i="3" s="1"/>
  <c r="N83" i="3"/>
  <c r="P83" i="3" s="1"/>
  <c r="L84" i="3"/>
  <c r="L85" i="3" s="1"/>
  <c r="P16" i="42"/>
  <c r="P19" i="42" s="1"/>
  <c r="AB25" i="8"/>
  <c r="BL72" i="11"/>
  <c r="AE97" i="3" l="1"/>
  <c r="AG97" i="3" s="1"/>
  <c r="AL97" i="3"/>
  <c r="AN97" i="3" s="1"/>
  <c r="N85" i="3"/>
  <c r="P85" i="3" s="1"/>
  <c r="W85" i="3"/>
  <c r="Y85" i="3" s="1"/>
  <c r="V14" i="4"/>
  <c r="FI63" i="11"/>
  <c r="U43" i="4"/>
  <c r="N44" i="42"/>
  <c r="N45" i="42"/>
  <c r="K23" i="42"/>
  <c r="J29" i="42"/>
  <c r="J31" i="42"/>
  <c r="J32" i="42" s="1"/>
  <c r="AB26" i="8"/>
  <c r="BM72" i="11"/>
  <c r="J10" i="42"/>
  <c r="J37" i="42"/>
  <c r="Q16" i="42"/>
  <c r="Q19" i="42" s="1"/>
  <c r="V17" i="8"/>
  <c r="L88" i="3"/>
  <c r="BF71" i="11"/>
  <c r="C102" i="3"/>
  <c r="AA98" i="3"/>
  <c r="AC98" i="3" s="1"/>
  <c r="T173" i="42"/>
  <c r="T18" i="42" s="1"/>
  <c r="T7" i="42" s="1"/>
  <c r="T8" i="42" s="1"/>
  <c r="U141" i="42"/>
  <c r="E405" i="35"/>
  <c r="D407" i="35"/>
  <c r="AA56" i="3"/>
  <c r="U17" i="4"/>
  <c r="W84" i="3"/>
  <c r="Y84" i="3" s="1"/>
  <c r="N84" i="3"/>
  <c r="P84" i="3" s="1"/>
  <c r="B90" i="3"/>
  <c r="J89" i="3"/>
  <c r="AE98" i="3" l="1"/>
  <c r="AG98" i="3" s="1"/>
  <c r="AL98" i="3"/>
  <c r="AN98" i="3" s="1"/>
  <c r="AC99" i="3"/>
  <c r="U173" i="42"/>
  <c r="U18" i="42" s="1"/>
  <c r="U7" i="42" s="1"/>
  <c r="U8" i="42" s="1"/>
  <c r="V141" i="42"/>
  <c r="N88" i="3"/>
  <c r="P88" i="3" s="1"/>
  <c r="W88" i="3"/>
  <c r="Y88" i="3" s="1"/>
  <c r="AJ72" i="11"/>
  <c r="AC56" i="3"/>
  <c r="U35" i="4"/>
  <c r="U18" i="4"/>
  <c r="U45" i="4" s="1"/>
  <c r="U23" i="4"/>
  <c r="U24" i="4" s="1"/>
  <c r="U20" i="4"/>
  <c r="U21" i="4" s="1"/>
  <c r="B91" i="3"/>
  <c r="J90" i="3"/>
  <c r="L90" i="3" s="1"/>
  <c r="E407" i="35"/>
  <c r="D408" i="35"/>
  <c r="K24" i="42"/>
  <c r="K10" i="42" s="1"/>
  <c r="FI71" i="11"/>
  <c r="O42" i="42"/>
  <c r="O43" i="42" s="1"/>
  <c r="V18" i="8"/>
  <c r="BG71" i="11"/>
  <c r="AB27" i="8"/>
  <c r="AD27" i="8" s="1"/>
  <c r="AF27" i="8" s="1"/>
  <c r="BN72" i="11"/>
  <c r="C103" i="3"/>
  <c r="AA102" i="3"/>
  <c r="L89" i="3"/>
  <c r="R16" i="42"/>
  <c r="R19" i="42" s="1"/>
  <c r="J13" i="42"/>
  <c r="J11" i="42"/>
  <c r="V16" i="4"/>
  <c r="V17" i="4" s="1"/>
  <c r="K27" i="42" l="1"/>
  <c r="L23" i="42" s="1"/>
  <c r="W14" i="4"/>
  <c r="FJ63" i="11"/>
  <c r="V43" i="4"/>
  <c r="S16" i="42"/>
  <c r="S19" i="42" s="1"/>
  <c r="AA103" i="3"/>
  <c r="AC103" i="3" s="1"/>
  <c r="C104" i="3"/>
  <c r="K13" i="42"/>
  <c r="K11" i="42"/>
  <c r="U36" i="4"/>
  <c r="FI66" i="11"/>
  <c r="AC102" i="3"/>
  <c r="AB31" i="8"/>
  <c r="AD31" i="8" s="1"/>
  <c r="BP72" i="11"/>
  <c r="W90" i="3"/>
  <c r="Y90" i="3" s="1"/>
  <c r="N90" i="3"/>
  <c r="P90" i="3" s="1"/>
  <c r="K29" i="42"/>
  <c r="V19" i="8"/>
  <c r="BH71" i="11"/>
  <c r="AE99" i="3"/>
  <c r="AG99" i="3" s="1"/>
  <c r="AL99" i="3"/>
  <c r="AN99" i="3" s="1"/>
  <c r="V18" i="4"/>
  <c r="V45" i="4" s="1"/>
  <c r="V35" i="4"/>
  <c r="V23" i="4"/>
  <c r="V24" i="4" s="1"/>
  <c r="V20" i="4"/>
  <c r="V21" i="4" s="1"/>
  <c r="D409" i="35"/>
  <c r="E408" i="35"/>
  <c r="W89" i="3"/>
  <c r="Y89" i="3" s="1"/>
  <c r="N89" i="3"/>
  <c r="P89" i="3" s="1"/>
  <c r="O45" i="42"/>
  <c r="O44" i="42"/>
  <c r="B95" i="3"/>
  <c r="J91" i="3"/>
  <c r="AE56" i="3"/>
  <c r="AG56" i="3" s="1"/>
  <c r="AL56" i="3"/>
  <c r="AN56" i="3" s="1"/>
  <c r="AC57" i="3"/>
  <c r="V173" i="42"/>
  <c r="V18" i="42" s="1"/>
  <c r="V7" i="42" s="1"/>
  <c r="W141" i="42"/>
  <c r="K37" i="42" l="1"/>
  <c r="K31" i="42"/>
  <c r="K32" i="42" s="1"/>
  <c r="X141" i="42"/>
  <c r="W173" i="42"/>
  <c r="W18" i="42" s="1"/>
  <c r="W7" i="42" s="1"/>
  <c r="V20" i="8"/>
  <c r="BI71" i="11"/>
  <c r="E409" i="35"/>
  <c r="D410" i="35"/>
  <c r="AA60" i="3"/>
  <c r="L91" i="3"/>
  <c r="L24" i="42"/>
  <c r="L10" i="42" s="1"/>
  <c r="C105" i="3"/>
  <c r="AA104" i="3"/>
  <c r="T16" i="42"/>
  <c r="T19" i="42" s="1"/>
  <c r="AB32" i="8"/>
  <c r="AD32" i="8" s="1"/>
  <c r="BQ72" i="11"/>
  <c r="B96" i="3"/>
  <c r="J95" i="3"/>
  <c r="AL103" i="3"/>
  <c r="AN103" i="3" s="1"/>
  <c r="AE103" i="3"/>
  <c r="AG103" i="3" s="1"/>
  <c r="AL102" i="3"/>
  <c r="AN102" i="3" s="1"/>
  <c r="AE102" i="3"/>
  <c r="AG102" i="3" s="1"/>
  <c r="FJ71" i="11"/>
  <c r="P42" i="42"/>
  <c r="P43" i="42" s="1"/>
  <c r="V8" i="42"/>
  <c r="AE57" i="3"/>
  <c r="AG57" i="3" s="1"/>
  <c r="AL57" i="3"/>
  <c r="AN57" i="3" s="1"/>
  <c r="V36" i="4"/>
  <c r="FJ66" i="11"/>
  <c r="W16" i="4"/>
  <c r="W17" i="4" s="1"/>
  <c r="L27" i="42" l="1"/>
  <c r="L37" i="42" s="1"/>
  <c r="P44" i="42"/>
  <c r="P45" i="42"/>
  <c r="AB33" i="8"/>
  <c r="AD33" i="8" s="1"/>
  <c r="BR72" i="11"/>
  <c r="N91" i="3"/>
  <c r="P91" i="3" s="1"/>
  <c r="W91" i="3"/>
  <c r="Y91" i="3" s="1"/>
  <c r="L92" i="3"/>
  <c r="W18" i="4"/>
  <c r="W45" i="4" s="1"/>
  <c r="W35" i="4"/>
  <c r="W23" i="4"/>
  <c r="W24" i="4" s="1"/>
  <c r="W20" i="4"/>
  <c r="W21" i="4" s="1"/>
  <c r="AA105" i="3"/>
  <c r="C109" i="3"/>
  <c r="AC60" i="3"/>
  <c r="AL72" i="11"/>
  <c r="V21" i="8"/>
  <c r="X20" i="8"/>
  <c r="X14" i="4"/>
  <c r="FL63" i="11"/>
  <c r="W43" i="4"/>
  <c r="V24" i="8"/>
  <c r="L95" i="3"/>
  <c r="BK71" i="11"/>
  <c r="AC104" i="3"/>
  <c r="U16" i="42"/>
  <c r="U19" i="42" s="1"/>
  <c r="L13" i="42"/>
  <c r="L11" i="42"/>
  <c r="D411" i="35"/>
  <c r="E410" i="35"/>
  <c r="W8" i="42"/>
  <c r="B97" i="3"/>
  <c r="J96" i="3"/>
  <c r="L96" i="3" s="1"/>
  <c r="L29" i="42"/>
  <c r="Y141" i="42"/>
  <c r="X173" i="42"/>
  <c r="X18" i="42" s="1"/>
  <c r="X7" i="42" s="1"/>
  <c r="L31" i="42" l="1"/>
  <c r="L32" i="42" s="1"/>
  <c r="M23" i="42"/>
  <c r="W96" i="3"/>
  <c r="Y96" i="3" s="1"/>
  <c r="N96" i="3"/>
  <c r="P96" i="3" s="1"/>
  <c r="Z141" i="42"/>
  <c r="Z173" i="42" s="1"/>
  <c r="Z18" i="42" s="1"/>
  <c r="Z7" i="42" s="1"/>
  <c r="Z8" i="42" s="1"/>
  <c r="Y173" i="42"/>
  <c r="Y18" i="42" s="1"/>
  <c r="Y7" i="42" s="1"/>
  <c r="N95" i="3"/>
  <c r="P95" i="3" s="1"/>
  <c r="W95" i="3"/>
  <c r="Y95" i="3" s="1"/>
  <c r="X16" i="4"/>
  <c r="AK16" i="4" s="1"/>
  <c r="V16" i="42"/>
  <c r="V19" i="42" s="1"/>
  <c r="AE60" i="3"/>
  <c r="AG60" i="3" s="1"/>
  <c r="AL60" i="3"/>
  <c r="AN60" i="3" s="1"/>
  <c r="X8" i="42"/>
  <c r="M24" i="42"/>
  <c r="M10" i="42" s="1"/>
  <c r="V25" i="8"/>
  <c r="BL71" i="11"/>
  <c r="AE104" i="3"/>
  <c r="AG104" i="3" s="1"/>
  <c r="AL104" i="3"/>
  <c r="AN104" i="3" s="1"/>
  <c r="C110" i="3"/>
  <c r="AA109" i="3"/>
  <c r="FL66" i="11"/>
  <c r="W36" i="4"/>
  <c r="B98" i="3"/>
  <c r="J97" i="3"/>
  <c r="L97" i="3" s="1"/>
  <c r="Q42" i="42"/>
  <c r="Q43" i="42" s="1"/>
  <c r="FL71" i="11"/>
  <c r="AB34" i="8"/>
  <c r="AD34" i="8" s="1"/>
  <c r="AF34" i="8" s="1"/>
  <c r="BS72" i="11"/>
  <c r="E411" i="35"/>
  <c r="D412" i="35"/>
  <c r="W92" i="3"/>
  <c r="Y92" i="3" s="1"/>
  <c r="N92" i="3"/>
  <c r="P92" i="3" s="1"/>
  <c r="AC105" i="3"/>
  <c r="AC106" i="3" s="1"/>
  <c r="X17" i="4" l="1"/>
  <c r="D413" i="35"/>
  <c r="E412" i="35"/>
  <c r="AA61" i="3"/>
  <c r="AE106" i="3"/>
  <c r="AG106" i="3" s="1"/>
  <c r="AL106" i="3"/>
  <c r="AN106" i="3" s="1"/>
  <c r="Q44" i="42"/>
  <c r="Q45" i="42"/>
  <c r="M27" i="42"/>
  <c r="FM63" i="11"/>
  <c r="Y14" i="4"/>
  <c r="X43" i="4"/>
  <c r="Y8" i="42"/>
  <c r="AC109" i="3"/>
  <c r="AB38" i="8"/>
  <c r="AD38" i="8" s="1"/>
  <c r="BU72" i="11"/>
  <c r="M13" i="42"/>
  <c r="M11" i="42"/>
  <c r="V26" i="8"/>
  <c r="BM71" i="11"/>
  <c r="AE105" i="3"/>
  <c r="AG105" i="3" s="1"/>
  <c r="AL105" i="3"/>
  <c r="AN105" i="3" s="1"/>
  <c r="B102" i="3"/>
  <c r="J98" i="3"/>
  <c r="L98" i="3" s="1"/>
  <c r="AA110" i="3"/>
  <c r="AC110" i="3" s="1"/>
  <c r="C111" i="3"/>
  <c r="W16" i="42"/>
  <c r="W19" i="42" s="1"/>
  <c r="N97" i="3"/>
  <c r="P97" i="3" s="1"/>
  <c r="W97" i="3"/>
  <c r="Y97" i="3" s="1"/>
  <c r="X18" i="4"/>
  <c r="X45" i="4" s="1"/>
  <c r="X35" i="4"/>
  <c r="X23" i="4"/>
  <c r="X24" i="4" s="1"/>
  <c r="X20" i="4"/>
  <c r="X21" i="4" s="1"/>
  <c r="AL110" i="3" l="1"/>
  <c r="AN110" i="3" s="1"/>
  <c r="AE110" i="3"/>
  <c r="AG110" i="3" s="1"/>
  <c r="N98" i="3"/>
  <c r="P98" i="3" s="1"/>
  <c r="W98" i="3"/>
  <c r="Y98" i="3" s="1"/>
  <c r="R42" i="42"/>
  <c r="R43" i="42" s="1"/>
  <c r="FM71" i="11"/>
  <c r="L99" i="3"/>
  <c r="FM66" i="11"/>
  <c r="X36" i="4"/>
  <c r="AL109" i="3"/>
  <c r="AN109" i="3" s="1"/>
  <c r="AE109" i="3"/>
  <c r="AG109" i="3" s="1"/>
  <c r="V27" i="8"/>
  <c r="BN71" i="11"/>
  <c r="J102" i="3"/>
  <c r="B103" i="3"/>
  <c r="AM72" i="11"/>
  <c r="AC61" i="3"/>
  <c r="X16" i="42"/>
  <c r="X19" i="42" s="1"/>
  <c r="AA111" i="3"/>
  <c r="AC111" i="3" s="1"/>
  <c r="C112" i="3"/>
  <c r="Y16" i="4"/>
  <c r="Y17" i="4" s="1"/>
  <c r="N23" i="42"/>
  <c r="M29" i="42"/>
  <c r="M31" i="42"/>
  <c r="M32" i="42" s="1"/>
  <c r="M37" i="42"/>
  <c r="AB39" i="8"/>
  <c r="AD39" i="8" s="1"/>
  <c r="BV72" i="11"/>
  <c r="D414" i="35"/>
  <c r="E413" i="35"/>
  <c r="AB40" i="8" l="1"/>
  <c r="AD40" i="8" s="1"/>
  <c r="BW72" i="11"/>
  <c r="Y16" i="42"/>
  <c r="Y19" i="42" s="1"/>
  <c r="V28" i="8"/>
  <c r="X27" i="8"/>
  <c r="Z27" i="8" s="1"/>
  <c r="W99" i="3"/>
  <c r="Y99" i="3" s="1"/>
  <c r="N99" i="3"/>
  <c r="P99" i="3" s="1"/>
  <c r="C116" i="3"/>
  <c r="AA112" i="3"/>
  <c r="N24" i="42"/>
  <c r="N10" i="42" s="1"/>
  <c r="D415" i="35"/>
  <c r="E414" i="35"/>
  <c r="FN63" i="11"/>
  <c r="Z14" i="4"/>
  <c r="Y43" i="4"/>
  <c r="B104" i="3"/>
  <c r="J103" i="3"/>
  <c r="AL111" i="3"/>
  <c r="AN111" i="3" s="1"/>
  <c r="AE111" i="3"/>
  <c r="AG111" i="3" s="1"/>
  <c r="Y18" i="4"/>
  <c r="Y45" i="4" s="1"/>
  <c r="Y23" i="4"/>
  <c r="Y24" i="4" s="1"/>
  <c r="Y20" i="4"/>
  <c r="Y21" i="4" s="1"/>
  <c r="Y35" i="4"/>
  <c r="AE61" i="3"/>
  <c r="AG61" i="3" s="1"/>
  <c r="AL61" i="3"/>
  <c r="AN61" i="3" s="1"/>
  <c r="V31" i="8"/>
  <c r="X31" i="8" s="1"/>
  <c r="L102" i="3"/>
  <c r="K102" i="3"/>
  <c r="BP71" i="11"/>
  <c r="R45" i="42"/>
  <c r="R44" i="42"/>
  <c r="N27" i="42" l="1"/>
  <c r="N37" i="42" s="1"/>
  <c r="FN66" i="11"/>
  <c r="Y36" i="4"/>
  <c r="J104" i="3"/>
  <c r="L104" i="3" s="1"/>
  <c r="B105" i="3"/>
  <c r="Z16" i="4"/>
  <c r="Z17" i="4" s="1"/>
  <c r="D416" i="35"/>
  <c r="E415" i="35"/>
  <c r="AA62" i="3"/>
  <c r="N13" i="42"/>
  <c r="N11" i="42"/>
  <c r="V32" i="8"/>
  <c r="X32" i="8" s="1"/>
  <c r="K103" i="3"/>
  <c r="BQ71" i="11"/>
  <c r="L103" i="3"/>
  <c r="S42" i="42"/>
  <c r="FN71" i="11"/>
  <c r="W102" i="3"/>
  <c r="Y102" i="3" s="1"/>
  <c r="N102" i="3"/>
  <c r="P102" i="3" s="1"/>
  <c r="AB41" i="8"/>
  <c r="AD41" i="8" s="1"/>
  <c r="BX72" i="11"/>
  <c r="AC112" i="3"/>
  <c r="AA116" i="3"/>
  <c r="C117" i="3"/>
  <c r="Z16" i="42"/>
  <c r="Z19" i="42" s="1"/>
  <c r="N31" i="42" l="1"/>
  <c r="N32" i="42" s="1"/>
  <c r="O23" i="42"/>
  <c r="N29" i="42"/>
  <c r="AN72" i="11"/>
  <c r="AC62" i="3"/>
  <c r="AA14" i="4"/>
  <c r="FO63" i="11"/>
  <c r="FO71" i="11" s="1"/>
  <c r="Z43" i="4"/>
  <c r="Z18" i="4"/>
  <c r="Z45" i="4" s="1"/>
  <c r="Z35" i="4"/>
  <c r="Z23" i="4"/>
  <c r="Z24" i="4" s="1"/>
  <c r="Z20" i="4"/>
  <c r="Z21" i="4" s="1"/>
  <c r="C118" i="3"/>
  <c r="AA117" i="3"/>
  <c r="AC116" i="3"/>
  <c r="AB45" i="8"/>
  <c r="AD45" i="8" s="1"/>
  <c r="AF45" i="8" s="1"/>
  <c r="BZ72" i="11"/>
  <c r="AE112" i="3"/>
  <c r="AG112" i="3" s="1"/>
  <c r="AL112" i="3"/>
  <c r="AN112" i="3" s="1"/>
  <c r="AC113" i="3"/>
  <c r="N103" i="3"/>
  <c r="P103" i="3" s="1"/>
  <c r="W103" i="3"/>
  <c r="Y103" i="3" s="1"/>
  <c r="J105" i="3"/>
  <c r="L105" i="3" s="1"/>
  <c r="B109" i="3"/>
  <c r="O24" i="42"/>
  <c r="O10" i="42" s="1"/>
  <c r="O27" i="42"/>
  <c r="O37" i="42" s="1"/>
  <c r="T42" i="42"/>
  <c r="S43" i="42"/>
  <c r="W104" i="3"/>
  <c r="Y104" i="3" s="1"/>
  <c r="N104" i="3"/>
  <c r="P104" i="3" s="1"/>
  <c r="E416" i="35"/>
  <c r="D417" i="35"/>
  <c r="V33" i="8"/>
  <c r="X33" i="8" s="1"/>
  <c r="K104" i="3"/>
  <c r="BR71" i="11"/>
  <c r="D418" i="35" l="1"/>
  <c r="E417" i="35"/>
  <c r="AB46" i="8"/>
  <c r="AD46" i="8" s="1"/>
  <c r="AF46" i="8" s="1"/>
  <c r="CA72" i="11"/>
  <c r="FO66" i="11"/>
  <c r="Z36" i="4"/>
  <c r="S45" i="42"/>
  <c r="T45" i="42" s="1"/>
  <c r="S44" i="42"/>
  <c r="J109" i="3"/>
  <c r="B110" i="3"/>
  <c r="AE113" i="3"/>
  <c r="AG113" i="3" s="1"/>
  <c r="AL113" i="3"/>
  <c r="AN113" i="3" s="1"/>
  <c r="AC117" i="3"/>
  <c r="C119" i="3"/>
  <c r="AA118" i="3"/>
  <c r="P23" i="42"/>
  <c r="O31" i="42"/>
  <c r="O32" i="42" s="1"/>
  <c r="O29" i="42"/>
  <c r="O13" i="42"/>
  <c r="O11" i="42"/>
  <c r="N105" i="3"/>
  <c r="P105" i="3" s="1"/>
  <c r="W105" i="3"/>
  <c r="Y105" i="3" s="1"/>
  <c r="L106" i="3"/>
  <c r="U42" i="42"/>
  <c r="T40" i="42"/>
  <c r="V34" i="8"/>
  <c r="K105" i="3"/>
  <c r="BS71" i="11"/>
  <c r="AA16" i="4"/>
  <c r="AA17" i="4" s="1"/>
  <c r="AE116" i="3"/>
  <c r="AG116" i="3" s="1"/>
  <c r="AL116" i="3"/>
  <c r="AN116" i="3" s="1"/>
  <c r="AL62" i="3"/>
  <c r="AN62" i="3" s="1"/>
  <c r="AE62" i="3"/>
  <c r="AG62" i="3" s="1"/>
  <c r="AA18" i="4" l="1"/>
  <c r="AA35" i="4"/>
  <c r="AA23" i="4"/>
  <c r="AA24" i="4" s="1"/>
  <c r="AA20" i="4"/>
  <c r="AA21" i="4" s="1"/>
  <c r="K109" i="3"/>
  <c r="L109" i="3"/>
  <c r="V38" i="8"/>
  <c r="X38" i="8" s="1"/>
  <c r="Z38" i="8" s="1"/>
  <c r="BU71" i="11"/>
  <c r="V35" i="8"/>
  <c r="X34" i="8"/>
  <c r="Z34" i="8" s="1"/>
  <c r="P24" i="42"/>
  <c r="N106" i="3"/>
  <c r="P106" i="3" s="1"/>
  <c r="W106" i="3"/>
  <c r="Y106" i="3" s="1"/>
  <c r="T41" i="42"/>
  <c r="T47" i="42"/>
  <c r="T48" i="42" s="1"/>
  <c r="AB47" i="8"/>
  <c r="AD47" i="8" s="1"/>
  <c r="AF47" i="8" s="1"/>
  <c r="CB72" i="11"/>
  <c r="U45" i="42"/>
  <c r="T43" i="42"/>
  <c r="T44" i="42" s="1"/>
  <c r="FP63" i="11"/>
  <c r="FP71" i="11" s="1"/>
  <c r="AB14" i="4"/>
  <c r="AA43" i="4"/>
  <c r="AB43" i="4"/>
  <c r="V42" i="42"/>
  <c r="C123" i="3"/>
  <c r="AA119" i="3"/>
  <c r="B111" i="3"/>
  <c r="J110" i="3"/>
  <c r="E418" i="35"/>
  <c r="D420" i="35"/>
  <c r="AA63" i="3"/>
  <c r="AE117" i="3"/>
  <c r="AG117" i="3" s="1"/>
  <c r="AL117" i="3"/>
  <c r="AN117" i="3" s="1"/>
  <c r="AC118" i="3"/>
  <c r="U40" i="42" l="1"/>
  <c r="U41" i="42" s="1"/>
  <c r="E420" i="35"/>
  <c r="E433" i="35"/>
  <c r="D421" i="35"/>
  <c r="B112" i="3"/>
  <c r="J111" i="3"/>
  <c r="L111" i="3" s="1"/>
  <c r="V40" i="42"/>
  <c r="W42" i="42"/>
  <c r="V45" i="42"/>
  <c r="U43" i="42"/>
  <c r="U44" i="42" s="1"/>
  <c r="P10" i="42"/>
  <c r="AB48" i="8"/>
  <c r="AD48" i="8" s="1"/>
  <c r="AF48" i="8" s="1"/>
  <c r="CC72" i="11"/>
  <c r="AB17" i="4"/>
  <c r="AB15" i="4"/>
  <c r="P27" i="42"/>
  <c r="P37" i="42" s="1"/>
  <c r="N109" i="3"/>
  <c r="P109" i="3" s="1"/>
  <c r="W109" i="3"/>
  <c r="Y109" i="3" s="1"/>
  <c r="V39" i="8"/>
  <c r="X39" i="8" s="1"/>
  <c r="Z39" i="8" s="1"/>
  <c r="K110" i="3"/>
  <c r="BV71" i="11"/>
  <c r="AO72" i="11"/>
  <c r="AC63" i="3"/>
  <c r="C124" i="3"/>
  <c r="AA123" i="3"/>
  <c r="AC119" i="3"/>
  <c r="FP66" i="11"/>
  <c r="AA36" i="4"/>
  <c r="AE118" i="3"/>
  <c r="AG118" i="3" s="1"/>
  <c r="AL118" i="3"/>
  <c r="AN118" i="3" s="1"/>
  <c r="L110" i="3"/>
  <c r="AA45" i="4"/>
  <c r="U47" i="42" l="1"/>
  <c r="U48" i="42" s="1"/>
  <c r="N111" i="3"/>
  <c r="P111" i="3" s="1"/>
  <c r="W111" i="3"/>
  <c r="Y111" i="3" s="1"/>
  <c r="AE119" i="3"/>
  <c r="AG119" i="3" s="1"/>
  <c r="AL119" i="3"/>
  <c r="AN119" i="3" s="1"/>
  <c r="AB18" i="4"/>
  <c r="AB45" i="4" s="1"/>
  <c r="AB35" i="4"/>
  <c r="AB23" i="4"/>
  <c r="AC18" i="4"/>
  <c r="AC45" i="4" s="1"/>
  <c r="AB20" i="4"/>
  <c r="W45" i="42"/>
  <c r="V43" i="42"/>
  <c r="V44" i="42" s="1"/>
  <c r="J112" i="3"/>
  <c r="L112" i="3" s="1"/>
  <c r="L113" i="3" s="1"/>
  <c r="B116" i="3"/>
  <c r="AB52" i="8"/>
  <c r="AD52" i="8" s="1"/>
  <c r="AF52" i="8" s="1"/>
  <c r="AC123" i="3"/>
  <c r="CE72" i="11"/>
  <c r="X42" i="42"/>
  <c r="W40" i="42"/>
  <c r="E434" i="35"/>
  <c r="E421" i="35"/>
  <c r="D422" i="35"/>
  <c r="AL63" i="3"/>
  <c r="AN63" i="3" s="1"/>
  <c r="AE63" i="3"/>
  <c r="AG63" i="3" s="1"/>
  <c r="AC64" i="3"/>
  <c r="AC120" i="3"/>
  <c r="C125" i="3"/>
  <c r="AA124" i="3"/>
  <c r="Q23" i="42"/>
  <c r="P29" i="42"/>
  <c r="P31" i="42"/>
  <c r="P32" i="42" s="1"/>
  <c r="P13" i="42"/>
  <c r="P11" i="42"/>
  <c r="V41" i="42"/>
  <c r="V47" i="42"/>
  <c r="N110" i="3"/>
  <c r="P110" i="3" s="1"/>
  <c r="W110" i="3"/>
  <c r="Y110" i="3" s="1"/>
  <c r="V40" i="8"/>
  <c r="X40" i="8" s="1"/>
  <c r="Z40" i="8" s="1"/>
  <c r="K111" i="3"/>
  <c r="BW71" i="11"/>
  <c r="V48" i="42" l="1"/>
  <c r="N113" i="3"/>
  <c r="P113" i="3" s="1"/>
  <c r="W113" i="3"/>
  <c r="Y113" i="3" s="1"/>
  <c r="W41" i="42"/>
  <c r="W47" i="42"/>
  <c r="W48" i="42" s="1"/>
  <c r="AE120" i="3"/>
  <c r="AG120" i="3" s="1"/>
  <c r="AL120" i="3"/>
  <c r="AN120" i="3" s="1"/>
  <c r="E435" i="35"/>
  <c r="E422" i="35"/>
  <c r="D423" i="35"/>
  <c r="AA67" i="3"/>
  <c r="Y42" i="42"/>
  <c r="X40" i="42"/>
  <c r="AE123" i="3"/>
  <c r="AG123" i="3" s="1"/>
  <c r="AL123" i="3"/>
  <c r="AN123" i="3" s="1"/>
  <c r="V41" i="8"/>
  <c r="K112" i="3"/>
  <c r="BX71" i="11"/>
  <c r="C126" i="3"/>
  <c r="AA125" i="3"/>
  <c r="AC125" i="3" s="1"/>
  <c r="W112" i="3"/>
  <c r="Y112" i="3" s="1"/>
  <c r="N112" i="3"/>
  <c r="P112" i="3" s="1"/>
  <c r="Q24" i="42"/>
  <c r="Q10" i="42" s="1"/>
  <c r="AE64" i="3"/>
  <c r="AG64" i="3" s="1"/>
  <c r="AL64" i="3"/>
  <c r="AN64" i="3" s="1"/>
  <c r="AB24" i="4"/>
  <c r="AC24" i="4"/>
  <c r="AB53" i="8"/>
  <c r="AD53" i="8" s="1"/>
  <c r="AF53" i="8" s="1"/>
  <c r="CF72" i="11"/>
  <c r="AC124" i="3"/>
  <c r="X45" i="42"/>
  <c r="W43" i="42"/>
  <c r="W44" i="42" s="1"/>
  <c r="FQ66" i="11"/>
  <c r="AB36" i="4"/>
  <c r="AC36" i="4"/>
  <c r="B117" i="3"/>
  <c r="J116" i="3"/>
  <c r="AB21" i="4"/>
  <c r="AC21" i="4"/>
  <c r="Q13" i="42" l="1"/>
  <c r="Q11" i="42"/>
  <c r="AC67" i="3"/>
  <c r="AQ72" i="11"/>
  <c r="L116" i="3"/>
  <c r="V45" i="8"/>
  <c r="X45" i="8" s="1"/>
  <c r="Z45" i="8" s="1"/>
  <c r="K116" i="3"/>
  <c r="BZ71" i="11"/>
  <c r="B118" i="3"/>
  <c r="J117" i="3"/>
  <c r="Y45" i="42"/>
  <c r="X43" i="42"/>
  <c r="X44" i="42" s="1"/>
  <c r="Q27" i="42"/>
  <c r="E436" i="35"/>
  <c r="D424" i="35"/>
  <c r="E423" i="35"/>
  <c r="AE124" i="3"/>
  <c r="AG124" i="3" s="1"/>
  <c r="AL124" i="3"/>
  <c r="AN124" i="3" s="1"/>
  <c r="AE125" i="3"/>
  <c r="AG125" i="3" s="1"/>
  <c r="AL125" i="3"/>
  <c r="AN125" i="3" s="1"/>
  <c r="AB54" i="8"/>
  <c r="AD54" i="8" s="1"/>
  <c r="AF54" i="8" s="1"/>
  <c r="CG72" i="11"/>
  <c r="V42" i="8"/>
  <c r="X41" i="8"/>
  <c r="Z41" i="8" s="1"/>
  <c r="X41" i="42"/>
  <c r="X47" i="42"/>
  <c r="X48" i="42" s="1"/>
  <c r="AA126" i="3"/>
  <c r="AC126" i="3" s="1"/>
  <c r="C130" i="3"/>
  <c r="Z42" i="42"/>
  <c r="Z40" i="42" s="1"/>
  <c r="Y40" i="42"/>
  <c r="AE126" i="3" l="1"/>
  <c r="AG126" i="3" s="1"/>
  <c r="AL126" i="3"/>
  <c r="AN126" i="3" s="1"/>
  <c r="AC127" i="3"/>
  <c r="C131" i="3"/>
  <c r="AA130" i="3"/>
  <c r="E424" i="35"/>
  <c r="E437" i="35"/>
  <c r="D425" i="35"/>
  <c r="Z45" i="42"/>
  <c r="Z43" i="42" s="1"/>
  <c r="Y43" i="42"/>
  <c r="Y44" i="42" s="1"/>
  <c r="AB55" i="8"/>
  <c r="AD55" i="8" s="1"/>
  <c r="AF55" i="8" s="1"/>
  <c r="CH72" i="11"/>
  <c r="V46" i="8"/>
  <c r="X46" i="8" s="1"/>
  <c r="Z46" i="8" s="1"/>
  <c r="K117" i="3"/>
  <c r="CA71" i="11"/>
  <c r="AE67" i="3"/>
  <c r="AG67" i="3" s="1"/>
  <c r="AL67" i="3"/>
  <c r="AN67" i="3" s="1"/>
  <c r="Z41" i="42"/>
  <c r="Z47" i="42"/>
  <c r="Y41" i="42"/>
  <c r="Y47" i="42"/>
  <c r="Y48" i="42" s="1"/>
  <c r="R23" i="42"/>
  <c r="Q29" i="42"/>
  <c r="Q31" i="42"/>
  <c r="Q32" i="42" s="1"/>
  <c r="Q37" i="42"/>
  <c r="B119" i="3"/>
  <c r="J118" i="3"/>
  <c r="L118" i="3" s="1"/>
  <c r="L117" i="3"/>
  <c r="N116" i="3"/>
  <c r="P116" i="3" s="1"/>
  <c r="W116" i="3"/>
  <c r="Y116" i="3" s="1"/>
  <c r="Z44" i="42" l="1"/>
  <c r="W117" i="3"/>
  <c r="Y117" i="3" s="1"/>
  <c r="N117" i="3"/>
  <c r="P117" i="3" s="1"/>
  <c r="D426" i="35"/>
  <c r="E438" i="35"/>
  <c r="E425" i="35"/>
  <c r="AA68" i="3"/>
  <c r="C132" i="3"/>
  <c r="AA131" i="3"/>
  <c r="AC131" i="3" s="1"/>
  <c r="V47" i="8"/>
  <c r="X47" i="8" s="1"/>
  <c r="Z47" i="8" s="1"/>
  <c r="K118" i="3"/>
  <c r="CB71" i="11"/>
  <c r="AE127" i="3"/>
  <c r="AG127" i="3" s="1"/>
  <c r="AL127" i="3"/>
  <c r="AN127" i="3" s="1"/>
  <c r="Z48" i="42"/>
  <c r="N118" i="3"/>
  <c r="P118" i="3" s="1"/>
  <c r="W118" i="3"/>
  <c r="Y118" i="3" s="1"/>
  <c r="J119" i="3"/>
  <c r="L119" i="3" s="1"/>
  <c r="L120" i="3" s="1"/>
  <c r="B123" i="3"/>
  <c r="R24" i="42"/>
  <c r="R10" i="42" s="1"/>
  <c r="AC130" i="3"/>
  <c r="AB59" i="8"/>
  <c r="AD59" i="8" s="1"/>
  <c r="AF59" i="8" s="1"/>
  <c r="CJ72" i="11"/>
  <c r="R27" i="42" l="1"/>
  <c r="R31" i="42" s="1"/>
  <c r="R32" i="42" s="1"/>
  <c r="AE131" i="3"/>
  <c r="AG131" i="3" s="1"/>
  <c r="AL131" i="3"/>
  <c r="AN131" i="3" s="1"/>
  <c r="J123" i="3"/>
  <c r="B124" i="3"/>
  <c r="V48" i="8"/>
  <c r="K119" i="3"/>
  <c r="CC71" i="11"/>
  <c r="AA132" i="3"/>
  <c r="C133" i="3"/>
  <c r="D427" i="35"/>
  <c r="E439" i="35"/>
  <c r="E426" i="35"/>
  <c r="N120" i="3"/>
  <c r="P120" i="3" s="1"/>
  <c r="W120" i="3"/>
  <c r="Y120" i="3" s="1"/>
  <c r="N119" i="3"/>
  <c r="P119" i="3" s="1"/>
  <c r="W119" i="3"/>
  <c r="Y119" i="3" s="1"/>
  <c r="AR72" i="11"/>
  <c r="AC68" i="3"/>
  <c r="AE130" i="3"/>
  <c r="AG130" i="3" s="1"/>
  <c r="AL130" i="3"/>
  <c r="AN130" i="3" s="1"/>
  <c r="S23" i="42"/>
  <c r="R29" i="42"/>
  <c r="R13" i="42"/>
  <c r="R11" i="42"/>
  <c r="AB60" i="8"/>
  <c r="AD60" i="8" s="1"/>
  <c r="AF60" i="8" s="1"/>
  <c r="CK72" i="11"/>
  <c r="R37" i="42"/>
  <c r="C137" i="3" l="1"/>
  <c r="AA133" i="3"/>
  <c r="AC133" i="3" s="1"/>
  <c r="L123" i="3"/>
  <c r="K123" i="3"/>
  <c r="V52" i="8"/>
  <c r="X52" i="8" s="1"/>
  <c r="Z52" i="8" s="1"/>
  <c r="CE71" i="11"/>
  <c r="S24" i="42"/>
  <c r="S10" i="42" s="1"/>
  <c r="AB61" i="8"/>
  <c r="AD61" i="8" s="1"/>
  <c r="AF61" i="8" s="1"/>
  <c r="CL72" i="11"/>
  <c r="AC132" i="3"/>
  <c r="V49" i="8"/>
  <c r="X48" i="8"/>
  <c r="Z48" i="8" s="1"/>
  <c r="AE68" i="3"/>
  <c r="AG68" i="3" s="1"/>
  <c r="AL68" i="3"/>
  <c r="AE75" i="3"/>
  <c r="AG75" i="3" s="1"/>
  <c r="E427" i="35"/>
  <c r="D428" i="35"/>
  <c r="E440" i="35"/>
  <c r="J124" i="3"/>
  <c r="L124" i="3" s="1"/>
  <c r="B125" i="3"/>
  <c r="AE133" i="3" l="1"/>
  <c r="AG133" i="3" s="1"/>
  <c r="AL133" i="3"/>
  <c r="AN133" i="3" s="1"/>
  <c r="W124" i="3"/>
  <c r="Y124" i="3" s="1"/>
  <c r="N124" i="3"/>
  <c r="P124" i="3" s="1"/>
  <c r="AN68" i="3"/>
  <c r="AN75" i="3"/>
  <c r="W123" i="3"/>
  <c r="Y123" i="3" s="1"/>
  <c r="N123" i="3"/>
  <c r="P123" i="3" s="1"/>
  <c r="AA137" i="3"/>
  <c r="C138" i="3"/>
  <c r="AB62" i="8"/>
  <c r="AD62" i="8" s="1"/>
  <c r="AF62" i="8" s="1"/>
  <c r="CM72" i="11"/>
  <c r="E441" i="35"/>
  <c r="D429" i="35"/>
  <c r="E428" i="35"/>
  <c r="AA69" i="3"/>
  <c r="B126" i="3"/>
  <c r="J125" i="3"/>
  <c r="K124" i="3"/>
  <c r="V53" i="8"/>
  <c r="X53" i="8" s="1"/>
  <c r="Z53" i="8" s="1"/>
  <c r="CF71" i="11"/>
  <c r="AE132" i="3"/>
  <c r="AG132" i="3" s="1"/>
  <c r="AL132" i="3"/>
  <c r="AN132" i="3" s="1"/>
  <c r="AC134" i="3"/>
  <c r="S27" i="42"/>
  <c r="S37" i="42" s="1"/>
  <c r="S13" i="42"/>
  <c r="S11" i="42"/>
  <c r="AC137" i="3" l="1"/>
  <c r="AB66" i="8"/>
  <c r="AD66" i="8" s="1"/>
  <c r="AF66" i="8" s="1"/>
  <c r="CO72" i="11"/>
  <c r="AS72" i="11"/>
  <c r="AC69" i="3"/>
  <c r="T23" i="42"/>
  <c r="S31" i="42"/>
  <c r="S32" i="42" s="1"/>
  <c r="S29" i="42"/>
  <c r="V54" i="8"/>
  <c r="X54" i="8" s="1"/>
  <c r="Z54" i="8" s="1"/>
  <c r="K125" i="3"/>
  <c r="CG71" i="11"/>
  <c r="AE134" i="3"/>
  <c r="AG134" i="3" s="1"/>
  <c r="AL134" i="3"/>
  <c r="AN134" i="3" s="1"/>
  <c r="L125" i="3"/>
  <c r="B130" i="3"/>
  <c r="J126" i="3"/>
  <c r="L126" i="3" s="1"/>
  <c r="E442" i="35"/>
  <c r="E429" i="35"/>
  <c r="D430" i="35"/>
  <c r="C139" i="3"/>
  <c r="AA138" i="3"/>
  <c r="AC138" i="3" s="1"/>
  <c r="AE138" i="3" l="1"/>
  <c r="AG138" i="3" s="1"/>
  <c r="AL138" i="3"/>
  <c r="AN138" i="3" s="1"/>
  <c r="N125" i="3"/>
  <c r="P125" i="3" s="1"/>
  <c r="W125" i="3"/>
  <c r="Y125" i="3" s="1"/>
  <c r="L127" i="3"/>
  <c r="T24" i="42"/>
  <c r="T10" i="42" s="1"/>
  <c r="T27" i="42"/>
  <c r="N126" i="3"/>
  <c r="P126" i="3" s="1"/>
  <c r="W126" i="3"/>
  <c r="Y126" i="3" s="1"/>
  <c r="AE69" i="3"/>
  <c r="AG69" i="3" s="1"/>
  <c r="AL69" i="3"/>
  <c r="AE76" i="3"/>
  <c r="AG76" i="3" s="1"/>
  <c r="K126" i="3"/>
  <c r="V55" i="8"/>
  <c r="CH71" i="11"/>
  <c r="AB67" i="8"/>
  <c r="AD67" i="8" s="1"/>
  <c r="AF67" i="8" s="1"/>
  <c r="CP72" i="11"/>
  <c r="C140" i="3"/>
  <c r="AA139" i="3"/>
  <c r="AC139" i="3" s="1"/>
  <c r="E443" i="35"/>
  <c r="D431" i="35"/>
  <c r="E430" i="35"/>
  <c r="B131" i="3"/>
  <c r="J130" i="3"/>
  <c r="T37" i="42"/>
  <c r="AE137" i="3"/>
  <c r="AG137" i="3" s="1"/>
  <c r="AL137" i="3"/>
  <c r="AN137" i="3" s="1"/>
  <c r="AE139" i="3" l="1"/>
  <c r="AG139" i="3" s="1"/>
  <c r="AL139" i="3"/>
  <c r="AN139" i="3" s="1"/>
  <c r="E444" i="35"/>
  <c r="E431" i="35"/>
  <c r="AA70" i="3"/>
  <c r="L130" i="3"/>
  <c r="K130" i="3"/>
  <c r="V59" i="8"/>
  <c r="X59" i="8" s="1"/>
  <c r="Z59" i="8" s="1"/>
  <c r="CJ71" i="11"/>
  <c r="X55" i="8"/>
  <c r="Z55" i="8" s="1"/>
  <c r="V56" i="8"/>
  <c r="AN69" i="3"/>
  <c r="AN76" i="3"/>
  <c r="U23" i="42"/>
  <c r="T31" i="42"/>
  <c r="T32" i="42" s="1"/>
  <c r="T29" i="42"/>
  <c r="AB68" i="8"/>
  <c r="AD68" i="8" s="1"/>
  <c r="AF68" i="8" s="1"/>
  <c r="CQ72" i="11"/>
  <c r="T13" i="42"/>
  <c r="T11" i="42"/>
  <c r="J131" i="3"/>
  <c r="B132" i="3"/>
  <c r="AA140" i="3"/>
  <c r="C144" i="3"/>
  <c r="N127" i="3"/>
  <c r="P127" i="3" s="1"/>
  <c r="W127" i="3"/>
  <c r="Y127" i="3" s="1"/>
  <c r="AB69" i="8" l="1"/>
  <c r="AD69" i="8" s="1"/>
  <c r="AF69" i="8" s="1"/>
  <c r="CR72" i="11"/>
  <c r="C145" i="3"/>
  <c r="AA144" i="3"/>
  <c r="J132" i="3"/>
  <c r="L132" i="3" s="1"/>
  <c r="B133" i="3"/>
  <c r="U27" i="42"/>
  <c r="U24" i="42"/>
  <c r="W130" i="3"/>
  <c r="Y130" i="3" s="1"/>
  <c r="N130" i="3"/>
  <c r="P130" i="3" s="1"/>
  <c r="V60" i="8"/>
  <c r="X60" i="8" s="1"/>
  <c r="Z60" i="8" s="1"/>
  <c r="K131" i="3"/>
  <c r="CK71" i="11"/>
  <c r="L131" i="3"/>
  <c r="AC140" i="3"/>
  <c r="AT72" i="11"/>
  <c r="AC74" i="3"/>
  <c r="AC70" i="3"/>
  <c r="N132" i="3" l="1"/>
  <c r="P132" i="3" s="1"/>
  <c r="W132" i="3"/>
  <c r="Y132" i="3" s="1"/>
  <c r="AC144" i="3"/>
  <c r="AB73" i="8"/>
  <c r="AD73" i="8" s="1"/>
  <c r="AF73" i="8" s="1"/>
  <c r="CT72" i="11"/>
  <c r="AE74" i="3"/>
  <c r="AG74" i="3" s="1"/>
  <c r="AC78" i="3"/>
  <c r="AL74" i="3"/>
  <c r="AE81" i="3"/>
  <c r="AG81" i="3" s="1"/>
  <c r="N131" i="3"/>
  <c r="P131" i="3" s="1"/>
  <c r="W131" i="3"/>
  <c r="Y131" i="3" s="1"/>
  <c r="C146" i="3"/>
  <c r="AA145" i="3"/>
  <c r="AE70" i="3"/>
  <c r="AG70" i="3" s="1"/>
  <c r="AL70" i="3"/>
  <c r="AE77" i="3"/>
  <c r="AG77" i="3" s="1"/>
  <c r="AC71" i="3"/>
  <c r="U10" i="42"/>
  <c r="U37" i="42"/>
  <c r="B137" i="3"/>
  <c r="J133" i="3"/>
  <c r="L133" i="3" s="1"/>
  <c r="AE140" i="3"/>
  <c r="AG140" i="3" s="1"/>
  <c r="AL140" i="3"/>
  <c r="AN140" i="3" s="1"/>
  <c r="AC141" i="3"/>
  <c r="V23" i="42"/>
  <c r="U29" i="42"/>
  <c r="U31" i="42"/>
  <c r="U32" i="42" s="1"/>
  <c r="V61" i="8"/>
  <c r="X61" i="8" s="1"/>
  <c r="Z61" i="8" s="1"/>
  <c r="K132" i="3"/>
  <c r="CL71" i="11"/>
  <c r="N133" i="3" l="1"/>
  <c r="P133" i="3" s="1"/>
  <c r="W133" i="3"/>
  <c r="Y133" i="3" s="1"/>
  <c r="L134" i="3"/>
  <c r="AN70" i="3"/>
  <c r="AN77" i="3"/>
  <c r="AE78" i="3"/>
  <c r="AG78" i="3" s="1"/>
  <c r="AL78" i="3"/>
  <c r="AE85" i="3"/>
  <c r="AG85" i="3" s="1"/>
  <c r="B138" i="3"/>
  <c r="J137" i="3"/>
  <c r="C147" i="3"/>
  <c r="AA146" i="3"/>
  <c r="AC146" i="3" s="1"/>
  <c r="V27" i="42"/>
  <c r="V24" i="42"/>
  <c r="V10" i="42" s="1"/>
  <c r="AL141" i="3"/>
  <c r="AN141" i="3" s="1"/>
  <c r="AE141" i="3"/>
  <c r="AG141" i="3" s="1"/>
  <c r="U13" i="42"/>
  <c r="U11" i="42"/>
  <c r="AE144" i="3"/>
  <c r="AG144" i="3" s="1"/>
  <c r="AL144" i="3"/>
  <c r="AN144" i="3" s="1"/>
  <c r="K133" i="3"/>
  <c r="V62" i="8"/>
  <c r="CM71" i="11"/>
  <c r="AE71" i="3"/>
  <c r="AG71" i="3" s="1"/>
  <c r="AL71" i="3"/>
  <c r="AN71" i="3" s="1"/>
  <c r="AB74" i="8"/>
  <c r="AD74" i="8" s="1"/>
  <c r="AF74" i="8" s="1"/>
  <c r="CU72" i="11"/>
  <c r="AN74" i="3"/>
  <c r="AN81" i="3"/>
  <c r="AN88" i="3"/>
  <c r="AC145" i="3"/>
  <c r="AE146" i="3" l="1"/>
  <c r="AG146" i="3" s="1"/>
  <c r="AL146" i="3"/>
  <c r="AN146" i="3" s="1"/>
  <c r="V13" i="42"/>
  <c r="V11" i="42"/>
  <c r="B139" i="3"/>
  <c r="J138" i="3"/>
  <c r="L138" i="3" s="1"/>
  <c r="AN78" i="3"/>
  <c r="AN85" i="3"/>
  <c r="AN92" i="3"/>
  <c r="W23" i="42"/>
  <c r="V31" i="42"/>
  <c r="V32" i="42" s="1"/>
  <c r="V29" i="42"/>
  <c r="AB75" i="8"/>
  <c r="AD75" i="8" s="1"/>
  <c r="AF75" i="8" s="1"/>
  <c r="CV72" i="11"/>
  <c r="N134" i="3"/>
  <c r="P134" i="3" s="1"/>
  <c r="W134" i="3"/>
  <c r="Y134" i="3" s="1"/>
  <c r="AE145" i="3"/>
  <c r="AG145" i="3" s="1"/>
  <c r="AL145" i="3"/>
  <c r="AN145" i="3" s="1"/>
  <c r="V63" i="8"/>
  <c r="X62" i="8"/>
  <c r="Z62" i="8" s="1"/>
  <c r="C151" i="3"/>
  <c r="AA147" i="3"/>
  <c r="V37" i="42"/>
  <c r="L137" i="3"/>
  <c r="K137" i="3"/>
  <c r="V66" i="8"/>
  <c r="X66" i="8" s="1"/>
  <c r="Z66" i="8" s="1"/>
  <c r="CO71" i="11"/>
  <c r="AB76" i="8" l="1"/>
  <c r="AD76" i="8" s="1"/>
  <c r="AF76" i="8" s="1"/>
  <c r="CW72" i="11"/>
  <c r="W27" i="42"/>
  <c r="W37" i="42" s="1"/>
  <c r="W24" i="42"/>
  <c r="W10" i="42" s="1"/>
  <c r="N137" i="3"/>
  <c r="P137" i="3" s="1"/>
  <c r="W137" i="3"/>
  <c r="Y137" i="3" s="1"/>
  <c r="AC147" i="3"/>
  <c r="W138" i="3"/>
  <c r="Y138" i="3" s="1"/>
  <c r="N138" i="3"/>
  <c r="P138" i="3" s="1"/>
  <c r="C152" i="3"/>
  <c r="AA151" i="3"/>
  <c r="V67" i="8"/>
  <c r="X67" i="8" s="1"/>
  <c r="Z67" i="8" s="1"/>
  <c r="K138" i="3"/>
  <c r="CP71" i="11"/>
  <c r="B140" i="3"/>
  <c r="J139" i="3"/>
  <c r="L139" i="3" s="1"/>
  <c r="W139" i="3" l="1"/>
  <c r="Y139" i="3" s="1"/>
  <c r="N139" i="3"/>
  <c r="P139" i="3" s="1"/>
  <c r="B144" i="3"/>
  <c r="J140" i="3"/>
  <c r="L140" i="3" s="1"/>
  <c r="L141" i="3" s="1"/>
  <c r="C153" i="3"/>
  <c r="AA152" i="3"/>
  <c r="AC152" i="3" s="1"/>
  <c r="AE147" i="3"/>
  <c r="AG147" i="3" s="1"/>
  <c r="AL147" i="3"/>
  <c r="AN147" i="3" s="1"/>
  <c r="AC148" i="3"/>
  <c r="W13" i="42"/>
  <c r="W11" i="42"/>
  <c r="V68" i="8"/>
  <c r="X68" i="8" s="1"/>
  <c r="Z68" i="8" s="1"/>
  <c r="K139" i="3"/>
  <c r="CQ71" i="11"/>
  <c r="X23" i="42"/>
  <c r="W31" i="42"/>
  <c r="W32" i="42" s="1"/>
  <c r="W29" i="42"/>
  <c r="AB80" i="8"/>
  <c r="AD80" i="8" s="1"/>
  <c r="AF80" i="8" s="1"/>
  <c r="AC151" i="3"/>
  <c r="CY72" i="11"/>
  <c r="N141" i="3" l="1"/>
  <c r="P141" i="3" s="1"/>
  <c r="W141" i="3"/>
  <c r="Y141" i="3" s="1"/>
  <c r="AE152" i="3"/>
  <c r="AG152" i="3" s="1"/>
  <c r="AL152" i="3"/>
  <c r="AN152" i="3" s="1"/>
  <c r="K140" i="3"/>
  <c r="V69" i="8"/>
  <c r="CR71" i="11"/>
  <c r="AL151" i="3"/>
  <c r="AN151" i="3" s="1"/>
  <c r="AE151" i="3"/>
  <c r="AG151" i="3" s="1"/>
  <c r="X24" i="42"/>
  <c r="X27" i="42" s="1"/>
  <c r="N140" i="3"/>
  <c r="P140" i="3" s="1"/>
  <c r="W140" i="3"/>
  <c r="Y140" i="3" s="1"/>
  <c r="J144" i="3"/>
  <c r="B145" i="3"/>
  <c r="AB81" i="8"/>
  <c r="AD81" i="8" s="1"/>
  <c r="AF81" i="8" s="1"/>
  <c r="CZ72" i="11"/>
  <c r="AE148" i="3"/>
  <c r="AG148" i="3" s="1"/>
  <c r="AL148" i="3"/>
  <c r="AN148" i="3" s="1"/>
  <c r="C154" i="3"/>
  <c r="AA153" i="3"/>
  <c r="Y23" i="42" l="1"/>
  <c r="X29" i="42"/>
  <c r="X31" i="42"/>
  <c r="X32" i="42" s="1"/>
  <c r="B146" i="3"/>
  <c r="J145" i="3"/>
  <c r="L145" i="3" s="1"/>
  <c r="V70" i="8"/>
  <c r="X69" i="8"/>
  <c r="Z69" i="8" s="1"/>
  <c r="AB82" i="8"/>
  <c r="AD82" i="8" s="1"/>
  <c r="AF82" i="8" s="1"/>
  <c r="DA72" i="11"/>
  <c r="AC153" i="3"/>
  <c r="L144" i="3"/>
  <c r="K144" i="3"/>
  <c r="V73" i="8"/>
  <c r="X73" i="8" s="1"/>
  <c r="Z73" i="8" s="1"/>
  <c r="CT71" i="11"/>
  <c r="C158" i="3"/>
  <c r="AA154" i="3"/>
  <c r="X10" i="42"/>
  <c r="X37" i="42"/>
  <c r="N145" i="3" l="1"/>
  <c r="P145" i="3" s="1"/>
  <c r="W145" i="3"/>
  <c r="Y145" i="3" s="1"/>
  <c r="X13" i="42"/>
  <c r="X11" i="42"/>
  <c r="AA158" i="3"/>
  <c r="C159" i="3"/>
  <c r="AB83" i="8"/>
  <c r="AD83" i="8" s="1"/>
  <c r="AF83" i="8" s="1"/>
  <c r="DB72" i="11"/>
  <c r="AE153" i="3"/>
  <c r="AG153" i="3" s="1"/>
  <c r="AL153" i="3"/>
  <c r="AN153" i="3" s="1"/>
  <c r="V74" i="8"/>
  <c r="X74" i="8" s="1"/>
  <c r="Z74" i="8" s="1"/>
  <c r="K145" i="3"/>
  <c r="CU71" i="11"/>
  <c r="N144" i="3"/>
  <c r="P144" i="3" s="1"/>
  <c r="W144" i="3"/>
  <c r="Y144" i="3" s="1"/>
  <c r="AC154" i="3"/>
  <c r="AC155" i="3" s="1"/>
  <c r="B147" i="3"/>
  <c r="J146" i="3"/>
  <c r="L146" i="3" s="1"/>
  <c r="Y24" i="42"/>
  <c r="Y10" i="42" s="1"/>
  <c r="Y27" i="42" l="1"/>
  <c r="Y31" i="42" s="1"/>
  <c r="Y32" i="42" s="1"/>
  <c r="AE155" i="3"/>
  <c r="AG155" i="3" s="1"/>
  <c r="AL155" i="3"/>
  <c r="AN155" i="3" s="1"/>
  <c r="AB87" i="8"/>
  <c r="AD87" i="8" s="1"/>
  <c r="AF87" i="8" s="1"/>
  <c r="AC158" i="3"/>
  <c r="DD72" i="11"/>
  <c r="V75" i="8"/>
  <c r="X75" i="8" s="1"/>
  <c r="Z75" i="8" s="1"/>
  <c r="K146" i="3"/>
  <c r="CV71" i="11"/>
  <c r="Z23" i="42"/>
  <c r="N146" i="3"/>
  <c r="P146" i="3" s="1"/>
  <c r="W146" i="3"/>
  <c r="Y146" i="3" s="1"/>
  <c r="B151" i="3"/>
  <c r="J147" i="3"/>
  <c r="Y13" i="42"/>
  <c r="Y11" i="42"/>
  <c r="AE154" i="3"/>
  <c r="AG154" i="3" s="1"/>
  <c r="AL154" i="3"/>
  <c r="AN154" i="3" s="1"/>
  <c r="AA159" i="3"/>
  <c r="C160" i="3"/>
  <c r="Y29" i="42" l="1"/>
  <c r="Y37" i="42"/>
  <c r="AA160" i="3"/>
  <c r="AC160" i="3" s="1"/>
  <c r="C161" i="3"/>
  <c r="Z24" i="42"/>
  <c r="Z10" i="42" s="1"/>
  <c r="K147" i="3"/>
  <c r="V76" i="8"/>
  <c r="CW71" i="11"/>
  <c r="AB88" i="8"/>
  <c r="AD88" i="8" s="1"/>
  <c r="AF88" i="8" s="1"/>
  <c r="DE72" i="11"/>
  <c r="B152" i="3"/>
  <c r="J151" i="3"/>
  <c r="AE158" i="3"/>
  <c r="AG158" i="3" s="1"/>
  <c r="AL158" i="3"/>
  <c r="AN158" i="3" s="1"/>
  <c r="L147" i="3"/>
  <c r="AC159" i="3"/>
  <c r="Z27" i="42" l="1"/>
  <c r="Z37" i="42" s="1"/>
  <c r="AE160" i="3"/>
  <c r="AG160" i="3" s="1"/>
  <c r="AL160" i="3"/>
  <c r="AN160" i="3" s="1"/>
  <c r="V77" i="8"/>
  <c r="X76" i="8"/>
  <c r="Z76" i="8" s="1"/>
  <c r="Z29" i="42"/>
  <c r="Z31" i="42"/>
  <c r="Z32" i="42" s="1"/>
  <c r="K151" i="3"/>
  <c r="L151" i="3"/>
  <c r="V80" i="8"/>
  <c r="X80" i="8" s="1"/>
  <c r="Z80" i="8" s="1"/>
  <c r="CY71" i="11"/>
  <c r="N147" i="3"/>
  <c r="P147" i="3" s="1"/>
  <c r="W147" i="3"/>
  <c r="Y147" i="3" s="1"/>
  <c r="L148" i="3"/>
  <c r="B153" i="3"/>
  <c r="J152" i="3"/>
  <c r="Z13" i="42"/>
  <c r="Z11" i="42"/>
  <c r="AA161" i="3"/>
  <c r="AC161" i="3" s="1"/>
  <c r="C165" i="3"/>
  <c r="AB89" i="8"/>
  <c r="AD89" i="8" s="1"/>
  <c r="AF89" i="8" s="1"/>
  <c r="DF72" i="11"/>
  <c r="AE159" i="3"/>
  <c r="AG159" i="3" s="1"/>
  <c r="AL159" i="3"/>
  <c r="AN159" i="3" s="1"/>
  <c r="N148" i="3" l="1"/>
  <c r="P148" i="3" s="1"/>
  <c r="W148" i="3"/>
  <c r="Y148" i="3" s="1"/>
  <c r="N151" i="3"/>
  <c r="W151" i="3"/>
  <c r="Y151" i="3" s="1"/>
  <c r="AE161" i="3"/>
  <c r="AG161" i="3" s="1"/>
  <c r="AL161" i="3"/>
  <c r="AN161" i="3" s="1"/>
  <c r="AC162" i="3"/>
  <c r="C166" i="3"/>
  <c r="AA165" i="3"/>
  <c r="V81" i="8"/>
  <c r="X81" i="8" s="1"/>
  <c r="Z81" i="8" s="1"/>
  <c r="K152" i="3"/>
  <c r="CZ71" i="11"/>
  <c r="AB90" i="8"/>
  <c r="AD90" i="8" s="1"/>
  <c r="AF90" i="8" s="1"/>
  <c r="DG72" i="11"/>
  <c r="B154" i="3"/>
  <c r="J153" i="3"/>
  <c r="L152" i="3"/>
  <c r="V82" i="8" l="1"/>
  <c r="X82" i="8" s="1"/>
  <c r="Z82" i="8" s="1"/>
  <c r="K153" i="3"/>
  <c r="DA71" i="11"/>
  <c r="B158" i="3"/>
  <c r="J154" i="3"/>
  <c r="AB94" i="8"/>
  <c r="AD94" i="8" s="1"/>
  <c r="AC165" i="3"/>
  <c r="DI72" i="11"/>
  <c r="AE162" i="3"/>
  <c r="AG162" i="3" s="1"/>
  <c r="AL162" i="3"/>
  <c r="AN162" i="3" s="1"/>
  <c r="L153" i="3"/>
  <c r="AA166" i="3"/>
  <c r="AC166" i="3" s="1"/>
  <c r="C167" i="3"/>
  <c r="P151" i="3"/>
  <c r="W152" i="3"/>
  <c r="Y152" i="3" s="1"/>
  <c r="N152" i="3"/>
  <c r="P152" i="3" s="1"/>
  <c r="AL166" i="3" l="1"/>
  <c r="AE166" i="3"/>
  <c r="AG166" i="3" s="1"/>
  <c r="AE173" i="3"/>
  <c r="AG173" i="3" s="1"/>
  <c r="N153" i="3"/>
  <c r="P153" i="3" s="1"/>
  <c r="W153" i="3"/>
  <c r="Y153" i="3" s="1"/>
  <c r="V83" i="8"/>
  <c r="K154" i="3"/>
  <c r="DB71" i="11"/>
  <c r="L154" i="3"/>
  <c r="L155" i="3" s="1"/>
  <c r="AF101" i="8"/>
  <c r="AF94" i="8"/>
  <c r="B159" i="3"/>
  <c r="J158" i="3"/>
  <c r="AB95" i="8"/>
  <c r="AD95" i="8" s="1"/>
  <c r="DJ72" i="11"/>
  <c r="C168" i="3"/>
  <c r="AA167" i="3"/>
  <c r="AC167" i="3" s="1"/>
  <c r="AE165" i="3"/>
  <c r="AG165" i="3" s="1"/>
  <c r="AL165" i="3"/>
  <c r="AN165" i="3" s="1"/>
  <c r="AL167" i="3" l="1"/>
  <c r="AE174" i="3"/>
  <c r="AG174" i="3" s="1"/>
  <c r="AE167" i="3"/>
  <c r="AG167" i="3" s="1"/>
  <c r="W155" i="3"/>
  <c r="Y155" i="3" s="1"/>
  <c r="N155" i="3"/>
  <c r="AF95" i="8"/>
  <c r="AF102" i="8"/>
  <c r="J159" i="3"/>
  <c r="L159" i="3" s="1"/>
  <c r="B160" i="3"/>
  <c r="N154" i="3"/>
  <c r="W154" i="3"/>
  <c r="Y154" i="3" s="1"/>
  <c r="AB96" i="8"/>
  <c r="AD96" i="8" s="1"/>
  <c r="DK72" i="11"/>
  <c r="C172" i="3"/>
  <c r="C173" i="3" s="1"/>
  <c r="C174" i="3" s="1"/>
  <c r="C175" i="3" s="1"/>
  <c r="C179" i="3" s="1"/>
  <c r="C180" i="3" s="1"/>
  <c r="C181" i="3" s="1"/>
  <c r="C182" i="3" s="1"/>
  <c r="C186" i="3" s="1"/>
  <c r="C187" i="3" s="1"/>
  <c r="C188" i="3" s="1"/>
  <c r="C189" i="3" s="1"/>
  <c r="C193" i="3" s="1"/>
  <c r="C194" i="3" s="1"/>
  <c r="C195" i="3" s="1"/>
  <c r="C196" i="3" s="1"/>
  <c r="C200" i="3" s="1"/>
  <c r="C201" i="3" s="1"/>
  <c r="C202" i="3" s="1"/>
  <c r="C203" i="3" s="1"/>
  <c r="C207" i="3" s="1"/>
  <c r="C208" i="3" s="1"/>
  <c r="C209" i="3" s="1"/>
  <c r="C210" i="3" s="1"/>
  <c r="AA168" i="3"/>
  <c r="V87" i="8"/>
  <c r="X87" i="8" s="1"/>
  <c r="Z87" i="8" s="1"/>
  <c r="K158" i="3"/>
  <c r="L158" i="3"/>
  <c r="DD71" i="11"/>
  <c r="X83" i="8"/>
  <c r="Z83" i="8" s="1"/>
  <c r="V84" i="8"/>
  <c r="AN166" i="3"/>
  <c r="AN173" i="3"/>
  <c r="B161" i="3" l="1"/>
  <c r="J160" i="3"/>
  <c r="P155" i="3"/>
  <c r="AF96" i="8"/>
  <c r="AF103" i="8"/>
  <c r="AC176" i="3"/>
  <c r="AC172" i="3"/>
  <c r="AB97" i="8"/>
  <c r="AD97" i="8" s="1"/>
  <c r="DL72" i="11"/>
  <c r="AC168" i="3"/>
  <c r="V88" i="8"/>
  <c r="X88" i="8" s="1"/>
  <c r="Z88" i="8" s="1"/>
  <c r="K159" i="3"/>
  <c r="DE71" i="11"/>
  <c r="N158" i="3"/>
  <c r="W158" i="3"/>
  <c r="Y158" i="3" s="1"/>
  <c r="P154" i="3"/>
  <c r="N159" i="3"/>
  <c r="P159" i="3" s="1"/>
  <c r="W159" i="3"/>
  <c r="Y159" i="3" s="1"/>
  <c r="AN167" i="3"/>
  <c r="AN174" i="3"/>
  <c r="AE175" i="3" l="1"/>
  <c r="AG175" i="3" s="1"/>
  <c r="AE168" i="3"/>
  <c r="AG168" i="3" s="1"/>
  <c r="AL168" i="3"/>
  <c r="AC169" i="3"/>
  <c r="AE183" i="3"/>
  <c r="AG183" i="3" s="1"/>
  <c r="AL176" i="3"/>
  <c r="K160" i="3"/>
  <c r="V89" i="8"/>
  <c r="X89" i="8" s="1"/>
  <c r="Z89" i="8" s="1"/>
  <c r="DF71" i="11"/>
  <c r="P158" i="3"/>
  <c r="L160" i="3"/>
  <c r="AF104" i="8"/>
  <c r="AF97" i="8"/>
  <c r="B165" i="3"/>
  <c r="J161" i="3"/>
  <c r="AE179" i="3"/>
  <c r="AG179" i="3" s="1"/>
  <c r="AL172" i="3"/>
  <c r="AE172" i="3"/>
  <c r="AG172" i="3" s="1"/>
  <c r="AN183" i="3" l="1"/>
  <c r="AN168" i="3"/>
  <c r="AN175" i="3"/>
  <c r="K162" i="3"/>
  <c r="L162" i="3"/>
  <c r="K161" i="3"/>
  <c r="V90" i="8"/>
  <c r="DG71" i="11"/>
  <c r="J165" i="3"/>
  <c r="B166" i="3"/>
  <c r="W160" i="3"/>
  <c r="Y160" i="3" s="1"/>
  <c r="N160" i="3"/>
  <c r="L161" i="3"/>
  <c r="AN172" i="3"/>
  <c r="AN179" i="3"/>
  <c r="AE169" i="3"/>
  <c r="AG169" i="3" s="1"/>
  <c r="AL169" i="3"/>
  <c r="AN169" i="3" s="1"/>
  <c r="AE176" i="3"/>
  <c r="AG176" i="3" s="1"/>
  <c r="N161" i="3" l="1"/>
  <c r="P161" i="3" s="1"/>
  <c r="W161" i="3"/>
  <c r="Y161" i="3" s="1"/>
  <c r="V94" i="8"/>
  <c r="X94" i="8" s="1"/>
  <c r="K165" i="3"/>
  <c r="L165" i="3"/>
  <c r="DI71" i="11"/>
  <c r="N162" i="3"/>
  <c r="P162" i="3" s="1"/>
  <c r="W162" i="3"/>
  <c r="Y162" i="3" s="1"/>
  <c r="AN176" i="3"/>
  <c r="X90" i="8"/>
  <c r="Z90" i="8" s="1"/>
  <c r="V91" i="8"/>
  <c r="P160" i="3"/>
  <c r="B167" i="3"/>
  <c r="J166" i="3"/>
  <c r="V95" i="8" l="1"/>
  <c r="X95" i="8" s="1"/>
  <c r="K166" i="3"/>
  <c r="DJ71" i="11"/>
  <c r="W165" i="3"/>
  <c r="Y165" i="3" s="1"/>
  <c r="N165" i="3"/>
  <c r="Z101" i="8"/>
  <c r="Z94" i="8"/>
  <c r="B168" i="3"/>
  <c r="J167" i="3"/>
  <c r="L166" i="3"/>
  <c r="V96" i="8" l="1"/>
  <c r="X96" i="8" s="1"/>
  <c r="K167" i="3"/>
  <c r="DK71" i="11"/>
  <c r="N166" i="3"/>
  <c r="P166" i="3" s="1"/>
  <c r="W166" i="3"/>
  <c r="N173" i="3"/>
  <c r="P173" i="3" s="1"/>
  <c r="B172" i="3"/>
  <c r="B173" i="3" s="1"/>
  <c r="B174" i="3" s="1"/>
  <c r="B175" i="3" s="1"/>
  <c r="B179" i="3" s="1"/>
  <c r="B180" i="3" s="1"/>
  <c r="B181" i="3" s="1"/>
  <c r="B182" i="3" s="1"/>
  <c r="B186" i="3" s="1"/>
  <c r="B187" i="3" s="1"/>
  <c r="B188" i="3" s="1"/>
  <c r="B189" i="3" s="1"/>
  <c r="B193" i="3" s="1"/>
  <c r="B194" i="3" s="1"/>
  <c r="B195" i="3" s="1"/>
  <c r="B196" i="3" s="1"/>
  <c r="B200" i="3" s="1"/>
  <c r="B201" i="3" s="1"/>
  <c r="B202" i="3" s="1"/>
  <c r="B203" i="3" s="1"/>
  <c r="B207" i="3" s="1"/>
  <c r="B208" i="3" s="1"/>
  <c r="B209" i="3" s="1"/>
  <c r="B210" i="3" s="1"/>
  <c r="J168" i="3"/>
  <c r="L167" i="3"/>
  <c r="P165" i="3"/>
  <c r="Z95" i="8"/>
  <c r="Z102" i="8"/>
  <c r="K176" i="3" l="1"/>
  <c r="K168" i="3"/>
  <c r="V97" i="8"/>
  <c r="L169" i="3"/>
  <c r="L176" i="3"/>
  <c r="K172" i="3"/>
  <c r="K169" i="3"/>
  <c r="L172" i="3"/>
  <c r="DL71" i="11"/>
  <c r="N167" i="3"/>
  <c r="W167" i="3"/>
  <c r="N174" i="3"/>
  <c r="P174" i="3" s="1"/>
  <c r="L168" i="3"/>
  <c r="Y173" i="3"/>
  <c r="Y166" i="3"/>
  <c r="Z96" i="8"/>
  <c r="Z103" i="8"/>
  <c r="Y174" i="3" l="1"/>
  <c r="Y167" i="3"/>
  <c r="N172" i="3"/>
  <c r="W172" i="3"/>
  <c r="N179" i="3"/>
  <c r="P179" i="3" s="1"/>
  <c r="N169" i="3"/>
  <c r="W169" i="3"/>
  <c r="Y169" i="3" s="1"/>
  <c r="P167" i="3"/>
  <c r="V98" i="8"/>
  <c r="X97" i="8"/>
  <c r="N175" i="3"/>
  <c r="P175" i="3" s="1"/>
  <c r="N168" i="3"/>
  <c r="P168" i="3" s="1"/>
  <c r="W168" i="3"/>
  <c r="N183" i="3"/>
  <c r="P183" i="3" s="1"/>
  <c r="N176" i="3"/>
  <c r="W176" i="3"/>
  <c r="Y179" i="3" l="1"/>
  <c r="Y172" i="3"/>
  <c r="Y176" i="3"/>
  <c r="Y183" i="3"/>
  <c r="Y168" i="3"/>
  <c r="Y175" i="3"/>
  <c r="P172" i="3"/>
  <c r="P176" i="3"/>
  <c r="Z104" i="8"/>
  <c r="Z97" i="8"/>
  <c r="P169" i="3"/>
  <c r="DI130" i="1" l="1"/>
  <c r="DG135" i="1"/>
  <c r="DG140" i="1"/>
  <c r="EH26" i="11"/>
  <c r="DH135" i="1" l="1"/>
  <c r="DM135" i="1"/>
  <c r="DG145" i="1"/>
  <c r="DM145" i="1" s="1"/>
  <c r="DM140" i="1"/>
  <c r="DG160" i="1"/>
  <c r="DH160" i="1" s="1"/>
  <c r="DI135" i="1"/>
  <c r="DI140" i="1"/>
  <c r="EH28" i="11"/>
  <c r="EH31" i="11" s="1"/>
  <c r="EH50" i="11" s="1"/>
  <c r="DH140" i="1"/>
  <c r="EH49" i="11"/>
  <c r="DH145" i="1" l="1"/>
  <c r="DI145" i="1"/>
  <c r="DI160" i="1"/>
  <c r="DM160" i="1"/>
  <c r="DG170" i="1"/>
  <c r="DG165" i="1"/>
  <c r="DG180" i="1"/>
  <c r="DL180" i="1" s="1"/>
  <c r="DH165" i="1" l="1"/>
  <c r="DM165" i="1"/>
  <c r="DH170" i="1"/>
  <c r="DL170" i="1"/>
  <c r="DI165" i="1"/>
  <c r="EH33" i="11"/>
  <c r="DG175" i="1"/>
  <c r="EH34" i="11"/>
  <c r="DG185" i="1"/>
  <c r="DH180" i="1"/>
  <c r="DH130" i="1"/>
  <c r="DH185" i="1" l="1"/>
  <c r="DL185" i="1"/>
  <c r="DH175" i="1"/>
  <c r="DL175" i="1"/>
  <c r="EH58" i="11"/>
  <c r="EM58" i="11"/>
  <c r="H202" i="3" l="1"/>
  <c r="P202" i="3" s="1"/>
  <c r="AG202" i="3" l="1"/>
  <c r="S210" i="3" l="1"/>
  <c r="H203" i="3"/>
  <c r="DI133" i="1"/>
  <c r="DH133" i="1"/>
  <c r="DG136" i="1"/>
  <c r="DG143" i="1"/>
  <c r="DG173" i="1" s="1"/>
  <c r="EK26" i="11"/>
  <c r="EK49" i="11" s="1"/>
  <c r="DG134" i="1"/>
  <c r="DI134" i="1" s="1"/>
  <c r="AD56" i="5"/>
  <c r="AD57" i="5" s="1"/>
  <c r="DK13" i="1" l="1"/>
  <c r="D139" i="8"/>
  <c r="L139" i="8" s="1"/>
  <c r="S211" i="3"/>
  <c r="U210" i="3"/>
  <c r="EK28" i="11"/>
  <c r="EK31" i="11" s="1"/>
  <c r="EK50" i="11" s="1"/>
  <c r="DG144" i="1"/>
  <c r="DH136" i="1"/>
  <c r="EK33" i="11"/>
  <c r="DH173" i="1"/>
  <c r="DG176" i="1"/>
  <c r="DH143" i="1"/>
  <c r="DI136" i="1"/>
  <c r="DI144" i="1"/>
  <c r="DH134" i="1"/>
  <c r="DI143" i="1"/>
  <c r="DG174" i="1"/>
  <c r="FS26" i="11"/>
  <c r="P18" i="68"/>
  <c r="DG146" i="1"/>
  <c r="AD59" i="5"/>
  <c r="DG163" i="1"/>
  <c r="D140" i="8" l="1"/>
  <c r="L140" i="8" s="1"/>
  <c r="U211" i="3"/>
  <c r="AJ210" i="3"/>
  <c r="AL210" i="3" s="1"/>
  <c r="AN210" i="3" s="1"/>
  <c r="W210" i="3"/>
  <c r="Y210" i="3" s="1"/>
  <c r="F211" i="3"/>
  <c r="DM14" i="1" s="1"/>
  <c r="DL43" i="1"/>
  <c r="DL53" i="1"/>
  <c r="DK14" i="1"/>
  <c r="DL13" i="1"/>
  <c r="DL103" i="1"/>
  <c r="DK16" i="1"/>
  <c r="DM16" i="1" s="1"/>
  <c r="DL33" i="1"/>
  <c r="DK23" i="1"/>
  <c r="EP9" i="11"/>
  <c r="H211" i="3"/>
  <c r="DH144" i="1"/>
  <c r="AD60" i="5"/>
  <c r="AD67" i="5"/>
  <c r="AD64" i="5"/>
  <c r="AF8" i="10" s="1"/>
  <c r="DH176" i="1"/>
  <c r="P98" i="68"/>
  <c r="P57" i="68"/>
  <c r="P32" i="68"/>
  <c r="P164" i="68" s="1"/>
  <c r="P162" i="68" s="1"/>
  <c r="P139" i="68" s="1"/>
  <c r="P142" i="68" s="1"/>
  <c r="P144" i="68" s="1"/>
  <c r="P21" i="68"/>
  <c r="P23" i="68" s="1"/>
  <c r="FS49" i="11"/>
  <c r="FS28" i="11"/>
  <c r="EK58" i="11"/>
  <c r="DH163" i="1"/>
  <c r="DG166" i="1"/>
  <c r="DG183" i="1"/>
  <c r="DI163" i="1"/>
  <c r="DH146" i="1"/>
  <c r="DI146" i="1"/>
  <c r="DH174" i="1"/>
  <c r="EP54" i="11" l="1"/>
  <c r="EP46" i="11"/>
  <c r="P211" i="3"/>
  <c r="AG211" i="3"/>
  <c r="DL34" i="1"/>
  <c r="DN34" i="1" s="1"/>
  <c r="DL44" i="1"/>
  <c r="DL14" i="1"/>
  <c r="DL54" i="1"/>
  <c r="DL104" i="1"/>
  <c r="AE7" i="5"/>
  <c r="AJ211" i="3"/>
  <c r="AL211" i="3" s="1"/>
  <c r="AN211" i="3" s="1"/>
  <c r="W211" i="3"/>
  <c r="Y211" i="3" s="1"/>
  <c r="DL36" i="1"/>
  <c r="DL46" i="1"/>
  <c r="DL56" i="1"/>
  <c r="DL106" i="1"/>
  <c r="DK83" i="1"/>
  <c r="DK24" i="1"/>
  <c r="DK84" i="1" s="1"/>
  <c r="DK26" i="1"/>
  <c r="DL26" i="1" s="1"/>
  <c r="DM26" i="1" s="1"/>
  <c r="F139" i="8"/>
  <c r="EP11" i="11"/>
  <c r="EP13" i="11" s="1"/>
  <c r="BV11" i="6"/>
  <c r="BV17" i="6" s="1"/>
  <c r="BV23" i="6" s="1"/>
  <c r="BV29" i="6" s="1"/>
  <c r="BV35" i="6" s="1"/>
  <c r="DL16" i="1"/>
  <c r="AE41" i="4"/>
  <c r="DO14" i="1"/>
  <c r="DG184" i="1"/>
  <c r="DH164" i="1"/>
  <c r="DI164" i="1"/>
  <c r="FS31" i="11"/>
  <c r="EK34" i="11"/>
  <c r="DG186" i="1"/>
  <c r="DH183" i="1"/>
  <c r="P60" i="68"/>
  <c r="P62" i="68" s="1"/>
  <c r="P71" i="68"/>
  <c r="P163" i="68" s="1"/>
  <c r="FS33" i="11"/>
  <c r="AD68" i="5"/>
  <c r="AD70" i="5"/>
  <c r="P101" i="68"/>
  <c r="P103" i="68" s="1"/>
  <c r="P112" i="68"/>
  <c r="P165" i="68" s="1"/>
  <c r="DH166" i="1"/>
  <c r="DI166" i="1"/>
  <c r="P39" i="68"/>
  <c r="AF18" i="10"/>
  <c r="P175" i="68"/>
  <c r="AD65" i="5"/>
  <c r="AE70" i="9"/>
  <c r="EP45" i="11" l="1"/>
  <c r="EP20" i="11"/>
  <c r="AL140" i="8"/>
  <c r="DK124" i="1"/>
  <c r="DM84" i="1"/>
  <c r="DK94" i="1"/>
  <c r="DL84" i="1"/>
  <c r="Q36" i="68"/>
  <c r="Q171" i="68" s="1"/>
  <c r="Q169" i="68" s="1"/>
  <c r="AE9" i="5"/>
  <c r="FT55" i="11" s="1"/>
  <c r="DK86" i="1"/>
  <c r="C5" i="86"/>
  <c r="C15" i="86" s="1"/>
  <c r="AE25" i="5"/>
  <c r="AE11" i="4"/>
  <c r="FT9" i="11"/>
  <c r="AF67" i="9"/>
  <c r="AG12" i="10"/>
  <c r="Q6" i="68"/>
  <c r="AE8" i="5"/>
  <c r="AE38" i="5"/>
  <c r="DL24" i="1"/>
  <c r="DM24" i="1" s="1"/>
  <c r="F140" i="8"/>
  <c r="R140" i="8" s="1"/>
  <c r="AE11" i="5"/>
  <c r="AE44" i="5" s="1"/>
  <c r="AJ138" i="8"/>
  <c r="T138" i="8"/>
  <c r="T139" i="8" s="1"/>
  <c r="DK123" i="1"/>
  <c r="DM83" i="1"/>
  <c r="AL139" i="8"/>
  <c r="DK93" i="1"/>
  <c r="EP42" i="11" s="1"/>
  <c r="DL83" i="1"/>
  <c r="DH184" i="1"/>
  <c r="FS34" i="11"/>
  <c r="AD71" i="5"/>
  <c r="AF35" i="10"/>
  <c r="AF63" i="10" s="1"/>
  <c r="AF53" i="10"/>
  <c r="P78" i="68"/>
  <c r="V70" i="68"/>
  <c r="W109" i="68"/>
  <c r="P119" i="68"/>
  <c r="FS58" i="11"/>
  <c r="DH186" i="1"/>
  <c r="FS50" i="11"/>
  <c r="DO24" i="1" l="1"/>
  <c r="DP24" i="1"/>
  <c r="AF11" i="4"/>
  <c r="AE7" i="4"/>
  <c r="AE38" i="4"/>
  <c r="AE23" i="4"/>
  <c r="AE24" i="4" s="1"/>
  <c r="AE12" i="4"/>
  <c r="C7" i="86"/>
  <c r="AE49" i="4"/>
  <c r="AE50" i="4" s="1"/>
  <c r="AE45" i="5"/>
  <c r="AE53" i="5"/>
  <c r="AF46" i="9"/>
  <c r="FT76" i="11"/>
  <c r="AF26" i="5"/>
  <c r="AE26" i="5"/>
  <c r="DL123" i="1"/>
  <c r="DK133" i="1"/>
  <c r="DK143" i="1" s="1"/>
  <c r="DK126" i="1"/>
  <c r="DM123" i="1"/>
  <c r="Q35" i="68"/>
  <c r="Q30" i="68"/>
  <c r="Q69" i="68" s="1"/>
  <c r="Q158" i="68" s="1"/>
  <c r="DM124" i="1"/>
  <c r="DL124" i="1"/>
  <c r="AE12" i="5"/>
  <c r="AF12" i="5" s="1"/>
  <c r="AG12" i="5" s="1"/>
  <c r="AH12" i="5" s="1"/>
  <c r="AI12" i="5" s="1"/>
  <c r="AF68" i="9"/>
  <c r="Q8" i="68"/>
  <c r="Q10" i="68" s="1"/>
  <c r="FT11" i="11"/>
  <c r="FT13" i="11" s="1"/>
  <c r="AG62" i="10"/>
  <c r="AF27" i="9"/>
  <c r="AF22" i="9"/>
  <c r="AF72" i="9"/>
  <c r="AF35" i="9"/>
  <c r="AF14" i="9"/>
  <c r="AF28" i="9"/>
  <c r="EP51" i="11"/>
  <c r="EP59" i="11"/>
  <c r="C6" i="86"/>
  <c r="D211" i="3"/>
  <c r="D6" i="86"/>
  <c r="FT54" i="11"/>
  <c r="FT46" i="11"/>
  <c r="DL86" i="1"/>
  <c r="DK96" i="1"/>
  <c r="DM86" i="1"/>
  <c r="EP57" i="11"/>
  <c r="EP24" i="11"/>
  <c r="EP47" i="11"/>
  <c r="AF56" i="10"/>
  <c r="AF54" i="10"/>
  <c r="AE50" i="9"/>
  <c r="AE60" i="9"/>
  <c r="AE63" i="9" s="1"/>
  <c r="EF66" i="11"/>
  <c r="AG30" i="10" l="1"/>
  <c r="AG16" i="10"/>
  <c r="Q29" i="68"/>
  <c r="Q155" i="68" s="1"/>
  <c r="Q153" i="68" s="1"/>
  <c r="Q13" i="68"/>
  <c r="Q159" i="68"/>
  <c r="Q157" i="68" s="1"/>
  <c r="Q110" i="68"/>
  <c r="Q160" i="68" s="1"/>
  <c r="DL126" i="1"/>
  <c r="DM126" i="1"/>
  <c r="AE54" i="5"/>
  <c r="AE8" i="4"/>
  <c r="FT68" i="11"/>
  <c r="AE20" i="4"/>
  <c r="AE21" i="4" s="1"/>
  <c r="AE13" i="5"/>
  <c r="AG26" i="10"/>
  <c r="AG29" i="10"/>
  <c r="AF26" i="9"/>
  <c r="AF13" i="9"/>
  <c r="Q80" i="68"/>
  <c r="Q81" i="68" s="1"/>
  <c r="Q177" i="68"/>
  <c r="Q121" i="68"/>
  <c r="DK134" i="1"/>
  <c r="DK136" i="1"/>
  <c r="EP26" i="11"/>
  <c r="EP49" i="11" s="1"/>
  <c r="DM133" i="1"/>
  <c r="AF38" i="4"/>
  <c r="AF7" i="4"/>
  <c r="AF7" i="5"/>
  <c r="AF23" i="4"/>
  <c r="AF24" i="4" s="1"/>
  <c r="AG11" i="4"/>
  <c r="AF12" i="4"/>
  <c r="FT20" i="11"/>
  <c r="FT45" i="11"/>
  <c r="AG15" i="10"/>
  <c r="AF37" i="9"/>
  <c r="DL143" i="1"/>
  <c r="DK146" i="1"/>
  <c r="DK163" i="1"/>
  <c r="DM143" i="1"/>
  <c r="EP48" i="11"/>
  <c r="C8" i="86"/>
  <c r="AE39" i="4"/>
  <c r="FT67" i="11"/>
  <c r="AE9" i="9"/>
  <c r="AG52" i="10"/>
  <c r="AF13" i="5" l="1"/>
  <c r="AG13" i="5"/>
  <c r="EP28" i="11"/>
  <c r="EP31" i="11" s="1"/>
  <c r="EP50" i="11" s="1"/>
  <c r="FU68" i="11"/>
  <c r="AF20" i="4"/>
  <c r="AF21" i="4" s="1"/>
  <c r="AF8" i="4"/>
  <c r="DK166" i="1"/>
  <c r="DL163" i="1"/>
  <c r="DK173" i="1"/>
  <c r="DK183" i="1"/>
  <c r="DM163" i="1"/>
  <c r="R6" i="68"/>
  <c r="R35" i="68" s="1"/>
  <c r="AF11" i="5"/>
  <c r="D5" i="86"/>
  <c r="D15" i="86" s="1"/>
  <c r="AF24" i="5"/>
  <c r="AF38" i="5"/>
  <c r="FU9" i="11"/>
  <c r="AF8" i="5"/>
  <c r="E6" i="86" s="1"/>
  <c r="AG67" i="9"/>
  <c r="AH12" i="10"/>
  <c r="AG25" i="10"/>
  <c r="BT11" i="6"/>
  <c r="AF61" i="9"/>
  <c r="DL136" i="1"/>
  <c r="DM136" i="1"/>
  <c r="AF80" i="9"/>
  <c r="AG28" i="10"/>
  <c r="AF32" i="9"/>
  <c r="AF39" i="9" s="1"/>
  <c r="AF62" i="9" s="1"/>
  <c r="AG23" i="4"/>
  <c r="AG24" i="4" s="1"/>
  <c r="AG7" i="5"/>
  <c r="AH11" i="4"/>
  <c r="AG12" i="4"/>
  <c r="AG7" i="4"/>
  <c r="AG38" i="4"/>
  <c r="FU67" i="11"/>
  <c r="AF39" i="4"/>
  <c r="DL134" i="1"/>
  <c r="AE56" i="5"/>
  <c r="DM134" i="1"/>
  <c r="DK144" i="1"/>
  <c r="AF74" i="9"/>
  <c r="DL146" i="1"/>
  <c r="DM146" i="1"/>
  <c r="Q179" i="68"/>
  <c r="Q74" i="68"/>
  <c r="Q45" i="68" s="1"/>
  <c r="FT24" i="11"/>
  <c r="FT47" i="11"/>
  <c r="FT57" i="11"/>
  <c r="FT42" i="11"/>
  <c r="Q180" i="68"/>
  <c r="Q178" i="68" s="1"/>
  <c r="Q168" i="68" s="1"/>
  <c r="Q127" i="68" s="1"/>
  <c r="Q132" i="68" s="1"/>
  <c r="Q173" i="68" s="1"/>
  <c r="Q122" i="68"/>
  <c r="AF73" i="9"/>
  <c r="Q26" i="68"/>
  <c r="Q40" i="68" s="1"/>
  <c r="Q31" i="68"/>
  <c r="Q16" i="68"/>
  <c r="Q38" i="68"/>
  <c r="AE15" i="9"/>
  <c r="AE23" i="9" s="1"/>
  <c r="AE52" i="9" s="1"/>
  <c r="AE59" i="9"/>
  <c r="AE64" i="9" s="1"/>
  <c r="AH13" i="5" l="1"/>
  <c r="Q50" i="68"/>
  <c r="Q49" i="68"/>
  <c r="FU11" i="11"/>
  <c r="R8" i="68"/>
  <c r="R10" i="68" s="1"/>
  <c r="AG68" i="9"/>
  <c r="FT51" i="11"/>
  <c r="FT59" i="11"/>
  <c r="FT48" i="11"/>
  <c r="DK164" i="1"/>
  <c r="DL144" i="1"/>
  <c r="DM144" i="1"/>
  <c r="Q131" i="68"/>
  <c r="Q134" i="68" s="1"/>
  <c r="AG31" i="10"/>
  <c r="DK186" i="1"/>
  <c r="DL186" i="1" s="1"/>
  <c r="EP34" i="11"/>
  <c r="DL183" i="1"/>
  <c r="EP33" i="11"/>
  <c r="EP58" i="11" s="1"/>
  <c r="DK176" i="1"/>
  <c r="DL176" i="1" s="1"/>
  <c r="DL173" i="1"/>
  <c r="Q181" i="68"/>
  <c r="Q115" i="68"/>
  <c r="Q86" i="68" s="1"/>
  <c r="Q18" i="68"/>
  <c r="Q32" i="68" s="1"/>
  <c r="FT26" i="11"/>
  <c r="FT28" i="11" s="1"/>
  <c r="AE57" i="5"/>
  <c r="AE59" i="5"/>
  <c r="FV67" i="11"/>
  <c r="AG39" i="4"/>
  <c r="FV9" i="11"/>
  <c r="FV54" i="11" s="1"/>
  <c r="AG24" i="5"/>
  <c r="AG38" i="5"/>
  <c r="S6" i="68"/>
  <c r="S35" i="68" s="1"/>
  <c r="E5" i="86"/>
  <c r="E15" i="86" s="1"/>
  <c r="AH67" i="9"/>
  <c r="AG8" i="5"/>
  <c r="F6" i="86" s="1"/>
  <c r="AG11" i="5"/>
  <c r="AF44" i="5"/>
  <c r="R177" i="68"/>
  <c r="R121" i="68"/>
  <c r="R80" i="68"/>
  <c r="R81" i="68" s="1"/>
  <c r="AI11" i="4"/>
  <c r="AH38" i="4"/>
  <c r="AH12" i="4"/>
  <c r="AH7" i="4"/>
  <c r="AH7" i="5"/>
  <c r="AH23" i="4"/>
  <c r="AH24" i="4" s="1"/>
  <c r="FU76" i="11"/>
  <c r="AI12" i="10"/>
  <c r="AG46" i="9"/>
  <c r="FU54" i="11"/>
  <c r="FV68" i="11"/>
  <c r="AG20" i="4"/>
  <c r="AG21" i="4" s="1"/>
  <c r="AG8" i="4"/>
  <c r="H139" i="8"/>
  <c r="BU11" i="6"/>
  <c r="AG72" i="9"/>
  <c r="AH62" i="10"/>
  <c r="AG35" i="9"/>
  <c r="AG28" i="9"/>
  <c r="AG22" i="9"/>
  <c r="AG27" i="9"/>
  <c r="AG14" i="9"/>
  <c r="AF34" i="5"/>
  <c r="FU14" i="11"/>
  <c r="R11" i="68"/>
  <c r="AG69" i="9"/>
  <c r="DL166" i="1"/>
  <c r="DM166" i="1"/>
  <c r="Q52" i="68" l="1"/>
  <c r="Q77" i="68" s="1"/>
  <c r="Q47" i="68"/>
  <c r="Q129" i="68"/>
  <c r="FT31" i="11"/>
  <c r="AH8" i="4"/>
  <c r="FW68" i="11"/>
  <c r="AH20" i="4"/>
  <c r="AH21" i="4" s="1"/>
  <c r="D7" i="86"/>
  <c r="D8" i="86" s="1"/>
  <c r="AF49" i="4"/>
  <c r="AF50" i="4" s="1"/>
  <c r="AF45" i="5"/>
  <c r="AF53" i="5"/>
  <c r="AH72" i="9"/>
  <c r="AI62" i="10"/>
  <c r="AG34" i="5"/>
  <c r="S11" i="68"/>
  <c r="AH69" i="9"/>
  <c r="FV14" i="11"/>
  <c r="AG8" i="10"/>
  <c r="AE60" i="5"/>
  <c r="AE64" i="5"/>
  <c r="AE67" i="5"/>
  <c r="AH14" i="9"/>
  <c r="AH26" i="10"/>
  <c r="AH35" i="9"/>
  <c r="AH15" i="10"/>
  <c r="AG37" i="9"/>
  <c r="P139" i="8"/>
  <c r="J139" i="8"/>
  <c r="X139" i="8"/>
  <c r="Z139" i="8" s="1"/>
  <c r="AJ139" i="8"/>
  <c r="N139" i="8"/>
  <c r="AD139" i="8"/>
  <c r="AF139" i="8" s="1"/>
  <c r="AH46" i="9"/>
  <c r="F5" i="86"/>
  <c r="F15" i="86" s="1"/>
  <c r="AH24" i="5"/>
  <c r="T6" i="68"/>
  <c r="T35" i="68" s="1"/>
  <c r="AH11" i="5"/>
  <c r="AH38" i="5"/>
  <c r="FW9" i="11"/>
  <c r="FW54" i="11" s="1"/>
  <c r="AH8" i="5"/>
  <c r="G6" i="86" s="1"/>
  <c r="H6" i="86" s="1"/>
  <c r="AI67" i="9"/>
  <c r="AM11" i="4"/>
  <c r="AI12" i="4"/>
  <c r="AI23" i="4"/>
  <c r="AI24" i="4" s="1"/>
  <c r="AI38" i="4"/>
  <c r="AI7" i="5"/>
  <c r="AI7" i="4"/>
  <c r="Q164" i="68"/>
  <c r="Q162" i="68" s="1"/>
  <c r="Q112" i="68"/>
  <c r="Q165" i="68" s="1"/>
  <c r="Q71" i="68"/>
  <c r="Q163" i="68" s="1"/>
  <c r="Q150" i="68"/>
  <c r="Q176" i="68" s="1"/>
  <c r="Q161" i="68"/>
  <c r="Q174" i="68"/>
  <c r="Q137" i="68"/>
  <c r="FU13" i="11"/>
  <c r="R37" i="68"/>
  <c r="R30" i="68"/>
  <c r="R69" i="68" s="1"/>
  <c r="R158" i="68" s="1"/>
  <c r="AH27" i="9"/>
  <c r="AH29" i="10"/>
  <c r="AJ12" i="10"/>
  <c r="FV76" i="11"/>
  <c r="Q90" i="68"/>
  <c r="Q91" i="68"/>
  <c r="FU46" i="11"/>
  <c r="FU56" i="11"/>
  <c r="AH22" i="9"/>
  <c r="AH16" i="10"/>
  <c r="R179" i="68"/>
  <c r="R74" i="68"/>
  <c r="R45" i="68" s="1"/>
  <c r="AG44" i="5"/>
  <c r="C9" i="86"/>
  <c r="C10" i="86" s="1"/>
  <c r="C11" i="86" s="1"/>
  <c r="D9" i="86"/>
  <c r="AF57" i="5"/>
  <c r="AG26" i="9"/>
  <c r="AG13" i="9"/>
  <c r="AH28" i="9"/>
  <c r="AH30" i="10"/>
  <c r="AH39" i="4"/>
  <c r="FW67" i="11"/>
  <c r="R122" i="68"/>
  <c r="R180" i="68"/>
  <c r="R178" i="68" s="1"/>
  <c r="R168" i="68" s="1"/>
  <c r="R127" i="68" s="1"/>
  <c r="AH68" i="9"/>
  <c r="FV11" i="11"/>
  <c r="FV13" i="11" s="1"/>
  <c r="S8" i="68"/>
  <c r="S10" i="68" s="1"/>
  <c r="S177" i="68"/>
  <c r="S121" i="68"/>
  <c r="S80" i="68"/>
  <c r="S81" i="68" s="1"/>
  <c r="FT49" i="11"/>
  <c r="Q21" i="68"/>
  <c r="Q23" i="68" s="1"/>
  <c r="Q39" i="68" s="1"/>
  <c r="C18" i="86"/>
  <c r="C19" i="86" s="1"/>
  <c r="AG33" i="10"/>
  <c r="DL164" i="1"/>
  <c r="DK174" i="1"/>
  <c r="DL174" i="1" s="1"/>
  <c r="DK184" i="1"/>
  <c r="DL184" i="1" s="1"/>
  <c r="DM164" i="1"/>
  <c r="R13" i="68"/>
  <c r="R29" i="68"/>
  <c r="R155" i="68" s="1"/>
  <c r="R153" i="68" s="1"/>
  <c r="Q76" i="68"/>
  <c r="Q64" i="68"/>
  <c r="Q55" i="68" l="1"/>
  <c r="Q57" i="68" s="1"/>
  <c r="Q60" i="68" s="1"/>
  <c r="Q62" i="68" s="1"/>
  <c r="Q78" i="68" s="1"/>
  <c r="Q70" i="68"/>
  <c r="Q65" i="68"/>
  <c r="Q79" i="68" s="1"/>
  <c r="AH44" i="5"/>
  <c r="AH53" i="5" s="1"/>
  <c r="AH54" i="5" s="1"/>
  <c r="D10" i="86"/>
  <c r="D11" i="86" s="1"/>
  <c r="D12" i="86" s="1"/>
  <c r="AI46" i="9"/>
  <c r="E7" i="86"/>
  <c r="E8" i="86" s="1"/>
  <c r="AG53" i="5"/>
  <c r="AG45" i="5"/>
  <c r="AG49" i="4"/>
  <c r="AG50" i="4" s="1"/>
  <c r="Q105" i="68"/>
  <c r="Q117" i="68"/>
  <c r="S74" i="68"/>
  <c r="S45" i="68" s="1"/>
  <c r="S179" i="68"/>
  <c r="FV45" i="11"/>
  <c r="FV20" i="11"/>
  <c r="R38" i="68"/>
  <c r="R31" i="68"/>
  <c r="R16" i="68"/>
  <c r="R26" i="68"/>
  <c r="R40" i="68" s="1"/>
  <c r="S180" i="68"/>
  <c r="S178" i="68" s="1"/>
  <c r="S168" i="68" s="1"/>
  <c r="S127" i="68" s="1"/>
  <c r="S122" i="68"/>
  <c r="AH13" i="9"/>
  <c r="AH26" i="9"/>
  <c r="AG73" i="9"/>
  <c r="AH25" i="10"/>
  <c r="AG61" i="9"/>
  <c r="C12" i="86"/>
  <c r="C22" i="86"/>
  <c r="C26" i="86" s="1"/>
  <c r="AK12" i="10"/>
  <c r="FX76" i="11" s="1"/>
  <c r="FW76" i="11"/>
  <c r="FX67" i="11"/>
  <c r="AI39" i="4"/>
  <c r="AM38" i="4"/>
  <c r="AI26" i="10"/>
  <c r="AI14" i="9"/>
  <c r="AG18" i="10"/>
  <c r="AF44" i="9"/>
  <c r="AI72" i="9"/>
  <c r="AJ62" i="10"/>
  <c r="T8" i="68"/>
  <c r="T10" i="68" s="1"/>
  <c r="FW11" i="11"/>
  <c r="FW13" i="11" s="1"/>
  <c r="AI68" i="9"/>
  <c r="FT33" i="11"/>
  <c r="AE70" i="5"/>
  <c r="AE68" i="5"/>
  <c r="FV56" i="11"/>
  <c r="FV46" i="11"/>
  <c r="S29" i="68"/>
  <c r="S13" i="68"/>
  <c r="R115" i="68"/>
  <c r="R86" i="68" s="1"/>
  <c r="R181" i="68"/>
  <c r="AI30" i="10"/>
  <c r="AI28" i="9"/>
  <c r="AG57" i="5"/>
  <c r="E9" i="86"/>
  <c r="AF56" i="5"/>
  <c r="AF59" i="5" s="1"/>
  <c r="R50" i="68"/>
  <c r="R49" i="68"/>
  <c r="AI16" i="10"/>
  <c r="AI22" i="9"/>
  <c r="AJ16" i="10" s="1"/>
  <c r="Q88" i="68"/>
  <c r="Q93" i="68"/>
  <c r="AI29" i="10"/>
  <c r="AI27" i="9"/>
  <c r="FU20" i="11"/>
  <c r="FU45" i="11"/>
  <c r="AM7" i="4"/>
  <c r="AI8" i="4"/>
  <c r="AI20" i="4"/>
  <c r="AI21" i="4" s="1"/>
  <c r="FX68" i="11"/>
  <c r="H16" i="86"/>
  <c r="I6" i="86"/>
  <c r="J6" i="86" s="1"/>
  <c r="K6" i="86" s="1"/>
  <c r="T177" i="68"/>
  <c r="T80" i="68"/>
  <c r="T81" i="68" s="1"/>
  <c r="T121" i="68"/>
  <c r="AH139" i="8"/>
  <c r="R139" i="8"/>
  <c r="AI15" i="10"/>
  <c r="AH37" i="9"/>
  <c r="AI35" i="9"/>
  <c r="AF70" i="9"/>
  <c r="AE65" i="5"/>
  <c r="FT50" i="11"/>
  <c r="AG74" i="9"/>
  <c r="AG80" i="9"/>
  <c r="AH28" i="10"/>
  <c r="AG32" i="9"/>
  <c r="AG39" i="9" s="1"/>
  <c r="AG62" i="9" s="1"/>
  <c r="R131" i="68"/>
  <c r="R129" i="68" s="1"/>
  <c r="R110" i="68"/>
  <c r="R160" i="68" s="1"/>
  <c r="R159" i="68"/>
  <c r="R157" i="68" s="1"/>
  <c r="R132" i="68" s="1"/>
  <c r="R173" i="68" s="1"/>
  <c r="Q139" i="68"/>
  <c r="Q142" i="68" s="1"/>
  <c r="Q144" i="68" s="1"/>
  <c r="Q175" i="68" s="1"/>
  <c r="AM7" i="5"/>
  <c r="AI38" i="5"/>
  <c r="U6" i="68"/>
  <c r="U35" i="68" s="1"/>
  <c r="G5" i="86"/>
  <c r="AI24" i="5"/>
  <c r="FX9" i="11"/>
  <c r="AI11" i="5"/>
  <c r="AI8" i="5"/>
  <c r="AJ67" i="9"/>
  <c r="AH34" i="5"/>
  <c r="T11" i="68"/>
  <c r="AI69" i="9"/>
  <c r="FW14" i="11"/>
  <c r="S30" i="68"/>
  <c r="S69" i="68" s="1"/>
  <c r="S158" i="68" s="1"/>
  <c r="S37" i="68"/>
  <c r="AF54" i="5"/>
  <c r="E10" i="86" l="1"/>
  <c r="E11" i="86" s="1"/>
  <c r="E12" i="86" s="1"/>
  <c r="AJ46" i="9"/>
  <c r="AI44" i="5"/>
  <c r="AI49" i="4" s="1"/>
  <c r="AH45" i="5"/>
  <c r="F7" i="86"/>
  <c r="F8" i="86" s="1"/>
  <c r="AH49" i="4"/>
  <c r="AH50" i="4" s="1"/>
  <c r="AJ27" i="9"/>
  <c r="AK29" i="10" s="1"/>
  <c r="AJ29" i="10"/>
  <c r="S110" i="68"/>
  <c r="S160" i="68" s="1"/>
  <c r="S159" i="68"/>
  <c r="S157" i="68" s="1"/>
  <c r="S132" i="68" s="1"/>
  <c r="S173" i="68" s="1"/>
  <c r="AM11" i="5"/>
  <c r="AJ68" i="9"/>
  <c r="U8" i="68"/>
  <c r="U10" i="68" s="1"/>
  <c r="FX11" i="11"/>
  <c r="FX13" i="11" s="1"/>
  <c r="U80" i="68"/>
  <c r="U81" i="68" s="1"/>
  <c r="U74" i="68" s="1"/>
  <c r="U121" i="68"/>
  <c r="U122" i="68" s="1"/>
  <c r="U115" i="68" s="1"/>
  <c r="FU47" i="11"/>
  <c r="FU24" i="11"/>
  <c r="FU42" i="11"/>
  <c r="FU57" i="11"/>
  <c r="R47" i="68"/>
  <c r="R52" i="68"/>
  <c r="F9" i="86"/>
  <c r="AH57" i="5"/>
  <c r="AG56" i="5"/>
  <c r="AG59" i="5" s="1"/>
  <c r="AJ30" i="10"/>
  <c r="AJ28" i="9"/>
  <c r="AK30" i="10" s="1"/>
  <c r="S31" i="68"/>
  <c r="S38" i="68"/>
  <c r="S26" i="68"/>
  <c r="S40" i="68" s="1"/>
  <c r="S16" i="68"/>
  <c r="FW45" i="11"/>
  <c r="FW20" i="11"/>
  <c r="AF48" i="9"/>
  <c r="S50" i="68"/>
  <c r="AF60" i="5"/>
  <c r="AF67" i="5"/>
  <c r="AH8" i="10"/>
  <c r="AH18" i="10" s="1"/>
  <c r="AF64" i="5"/>
  <c r="FX50" i="11"/>
  <c r="FX54" i="11"/>
  <c r="S154" i="68"/>
  <c r="S155" i="68"/>
  <c r="S153" i="68" s="1"/>
  <c r="S131" i="68" s="1"/>
  <c r="T13" i="68"/>
  <c r="T29" i="68"/>
  <c r="AH74" i="9"/>
  <c r="AH32" i="9"/>
  <c r="AH39" i="9" s="1"/>
  <c r="AH62" i="9" s="1"/>
  <c r="AH80" i="9"/>
  <c r="AI28" i="10"/>
  <c r="R134" i="68"/>
  <c r="T122" i="68"/>
  <c r="T180" i="68"/>
  <c r="T178" i="68" s="1"/>
  <c r="T168" i="68" s="1"/>
  <c r="T127" i="68" s="1"/>
  <c r="I16" i="86"/>
  <c r="AJ22" i="9"/>
  <c r="AK16" i="10" s="1"/>
  <c r="R18" i="68"/>
  <c r="R32" i="68" s="1"/>
  <c r="FU26" i="11"/>
  <c r="FT58" i="11"/>
  <c r="AJ26" i="10"/>
  <c r="AJ14" i="9"/>
  <c r="AK26" i="10" s="1"/>
  <c r="AH73" i="9"/>
  <c r="AI25" i="10"/>
  <c r="AH61" i="9"/>
  <c r="FW46" i="11"/>
  <c r="FW56" i="11"/>
  <c r="AJ35" i="9"/>
  <c r="AJ15" i="10"/>
  <c r="AI37" i="9"/>
  <c r="R76" i="68"/>
  <c r="R64" i="68"/>
  <c r="FT34" i="11"/>
  <c r="AE71" i="5"/>
  <c r="AG53" i="10"/>
  <c r="AG35" i="10"/>
  <c r="AG63" i="10" s="1"/>
  <c r="AH31" i="10"/>
  <c r="FV24" i="11"/>
  <c r="FV48" i="11" s="1"/>
  <c r="FV47" i="11"/>
  <c r="FV42" i="11"/>
  <c r="FV57" i="11"/>
  <c r="AG54" i="5"/>
  <c r="AK62" i="10"/>
  <c r="AJ72" i="9"/>
  <c r="AM24" i="5"/>
  <c r="FX14" i="11"/>
  <c r="U11" i="68"/>
  <c r="AJ69" i="9"/>
  <c r="AI34" i="5"/>
  <c r="T30" i="68"/>
  <c r="T37" i="68"/>
  <c r="G15" i="86"/>
  <c r="H15" i="86" s="1"/>
  <c r="I15" i="86" s="1"/>
  <c r="J15" i="86" s="1"/>
  <c r="K15" i="86" s="1"/>
  <c r="H5" i="86"/>
  <c r="T74" i="68"/>
  <c r="T45" i="68" s="1"/>
  <c r="T179" i="68"/>
  <c r="Q111" i="68"/>
  <c r="Q106" i="68"/>
  <c r="Q120" i="68" s="1"/>
  <c r="Q96" i="68"/>
  <c r="Q98" i="68" s="1"/>
  <c r="Q101" i="68" s="1"/>
  <c r="Q103" i="68" s="1"/>
  <c r="Q119" i="68" s="1"/>
  <c r="Q118" i="68"/>
  <c r="R91" i="68"/>
  <c r="R90" i="68"/>
  <c r="AI13" i="9"/>
  <c r="AI73" i="9" s="1"/>
  <c r="AI26" i="9"/>
  <c r="AI74" i="9" s="1"/>
  <c r="S181" i="68"/>
  <c r="S115" i="68"/>
  <c r="S86" i="68" s="1"/>
  <c r="F10" i="86" l="1"/>
  <c r="F11" i="86" s="1"/>
  <c r="F12" i="86" s="1"/>
  <c r="AI53" i="5"/>
  <c r="AI54" i="5" s="1"/>
  <c r="R21" i="68"/>
  <c r="R23" i="68" s="1"/>
  <c r="R39" i="68" s="1"/>
  <c r="AI45" i="5"/>
  <c r="G7" i="86"/>
  <c r="G8" i="86" s="1"/>
  <c r="H8" i="86" s="1"/>
  <c r="I8" i="86" s="1"/>
  <c r="J8" i="86" s="1"/>
  <c r="K8" i="86" s="1"/>
  <c r="AI31" i="10"/>
  <c r="AI33" i="10" s="1"/>
  <c r="R93" i="68"/>
  <c r="R118" i="68" s="1"/>
  <c r="S49" i="68"/>
  <c r="S52" i="68" s="1"/>
  <c r="S55" i="68" s="1"/>
  <c r="R88" i="68"/>
  <c r="U45" i="68"/>
  <c r="S134" i="68"/>
  <c r="S129" i="68"/>
  <c r="T69" i="68"/>
  <c r="T158" i="68" s="1"/>
  <c r="T110" i="68"/>
  <c r="T160" i="68" s="1"/>
  <c r="T159" i="68"/>
  <c r="T157" i="68" s="1"/>
  <c r="T132" i="68" s="1"/>
  <c r="T173" i="68" s="1"/>
  <c r="D18" i="86"/>
  <c r="D19" i="86" s="1"/>
  <c r="D22" i="86" s="1"/>
  <c r="D26" i="86" s="1"/>
  <c r="AH33" i="10"/>
  <c r="AH53" i="10" s="1"/>
  <c r="AH56" i="10" s="1"/>
  <c r="T115" i="68"/>
  <c r="T86" i="68" s="1"/>
  <c r="T181" i="68"/>
  <c r="R137" i="68"/>
  <c r="R161" i="68"/>
  <c r="R174" i="68"/>
  <c r="R150" i="68"/>
  <c r="R176" i="68" s="1"/>
  <c r="AG70" i="9"/>
  <c r="AF65" i="5"/>
  <c r="S64" i="68"/>
  <c r="S76" i="68"/>
  <c r="FU51" i="11"/>
  <c r="FU59" i="11"/>
  <c r="I5" i="86"/>
  <c r="FV59" i="11"/>
  <c r="FV51" i="11"/>
  <c r="AK15" i="10"/>
  <c r="AJ37" i="9"/>
  <c r="FU49" i="11"/>
  <c r="T68" i="68"/>
  <c r="T154" i="68" s="1"/>
  <c r="T155" i="68"/>
  <c r="T153" i="68" s="1"/>
  <c r="T131" i="68" s="1"/>
  <c r="AH35" i="10"/>
  <c r="AH63" i="10" s="1"/>
  <c r="AF60" i="9"/>
  <c r="AF63" i="9" s="1"/>
  <c r="AF50" i="9"/>
  <c r="R65" i="68"/>
  <c r="R79" i="68" s="1"/>
  <c r="R70" i="68"/>
  <c r="R55" i="68"/>
  <c r="R77" i="68"/>
  <c r="FU48" i="11"/>
  <c r="FU28" i="11"/>
  <c r="FU31" i="11" s="1"/>
  <c r="FU50" i="11" s="1"/>
  <c r="FX45" i="11"/>
  <c r="FX20" i="11"/>
  <c r="AJ28" i="10"/>
  <c r="AI32" i="9"/>
  <c r="AI39" i="9" s="1"/>
  <c r="AI62" i="9" s="1"/>
  <c r="AI80" i="9"/>
  <c r="R117" i="68"/>
  <c r="R105" i="68"/>
  <c r="U30" i="68"/>
  <c r="U37" i="68"/>
  <c r="AG67" i="5"/>
  <c r="AG64" i="5"/>
  <c r="AG60" i="5"/>
  <c r="AI8" i="10"/>
  <c r="AI18" i="10" s="1"/>
  <c r="AG56" i="10"/>
  <c r="AG54" i="10"/>
  <c r="R112" i="68"/>
  <c r="R165" i="68" s="1"/>
  <c r="R164" i="68"/>
  <c r="R162" i="68" s="1"/>
  <c r="R71" i="68"/>
  <c r="R163" i="68" s="1"/>
  <c r="J16" i="86"/>
  <c r="T31" i="68"/>
  <c r="T38" i="68"/>
  <c r="T26" i="68"/>
  <c r="T40" i="68" s="1"/>
  <c r="T16" i="68"/>
  <c r="AF68" i="5"/>
  <c r="FU33" i="11"/>
  <c r="AF70" i="5"/>
  <c r="AG44" i="9"/>
  <c r="S18" i="68"/>
  <c r="S32" i="68" s="1"/>
  <c r="FV26" i="11"/>
  <c r="U13" i="68"/>
  <c r="U29" i="68"/>
  <c r="U68" i="68" s="1"/>
  <c r="S90" i="68"/>
  <c r="S91" i="68"/>
  <c r="AJ25" i="10"/>
  <c r="AI61" i="9"/>
  <c r="FX46" i="11"/>
  <c r="FX56" i="11"/>
  <c r="FW57" i="11"/>
  <c r="FW42" i="11"/>
  <c r="FW47" i="11"/>
  <c r="FW24" i="11"/>
  <c r="AI57" i="5"/>
  <c r="G9" i="86"/>
  <c r="H9" i="86" s="1"/>
  <c r="I9" i="86" s="1"/>
  <c r="J9" i="86" s="1"/>
  <c r="K9" i="86" s="1"/>
  <c r="AH56" i="5"/>
  <c r="AJ13" i="9"/>
  <c r="AK25" i="10" s="1"/>
  <c r="AJ26" i="9"/>
  <c r="AJ74" i="9" s="1"/>
  <c r="AM49" i="4"/>
  <c r="AI50" i="4"/>
  <c r="S70" i="68" l="1"/>
  <c r="AM53" i="5"/>
  <c r="S47" i="68"/>
  <c r="S77" i="68"/>
  <c r="S65" i="68"/>
  <c r="S79" i="68" s="1"/>
  <c r="X17" i="68"/>
  <c r="Y17" i="68" s="1"/>
  <c r="AI56" i="5"/>
  <c r="AM56" i="5" s="1"/>
  <c r="E18" i="86"/>
  <c r="E19" i="86" s="1"/>
  <c r="E22" i="86" s="1"/>
  <c r="E26" i="86" s="1"/>
  <c r="R106" i="68"/>
  <c r="R120" i="68" s="1"/>
  <c r="R96" i="68"/>
  <c r="R98" i="68" s="1"/>
  <c r="R101" i="68" s="1"/>
  <c r="R103" i="68" s="1"/>
  <c r="R111" i="68"/>
  <c r="AJ31" i="10"/>
  <c r="F18" i="86" s="1"/>
  <c r="F19" i="86" s="1"/>
  <c r="F22" i="86" s="1"/>
  <c r="F26" i="86" s="1"/>
  <c r="S93" i="68"/>
  <c r="S111" i="68" s="1"/>
  <c r="S21" i="68"/>
  <c r="S23" i="68" s="1"/>
  <c r="S39" i="68" s="1"/>
  <c r="S88" i="68"/>
  <c r="T49" i="68"/>
  <c r="T47" i="68" s="1"/>
  <c r="T90" i="68"/>
  <c r="T88" i="68" s="1"/>
  <c r="T91" i="68"/>
  <c r="U86" i="68"/>
  <c r="U16" i="68"/>
  <c r="U31" i="68"/>
  <c r="U38" i="68"/>
  <c r="U26" i="68"/>
  <c r="U40" i="68" s="1"/>
  <c r="FU58" i="11"/>
  <c r="AH52" i="10"/>
  <c r="AH54" i="10" s="1"/>
  <c r="AF9" i="9"/>
  <c r="U69" i="68"/>
  <c r="U50" i="68" s="1"/>
  <c r="U110" i="68"/>
  <c r="R139" i="68"/>
  <c r="R142" i="68" s="1"/>
  <c r="R144" i="68" s="1"/>
  <c r="R175" i="68" s="1"/>
  <c r="AJ80" i="9"/>
  <c r="AJ32" i="9"/>
  <c r="AJ39" i="9" s="1"/>
  <c r="AJ62" i="9" s="1"/>
  <c r="AK28" i="10"/>
  <c r="AK31" i="10" s="1"/>
  <c r="AH59" i="5"/>
  <c r="T18" i="68"/>
  <c r="FW26" i="11"/>
  <c r="FW49" i="11" s="1"/>
  <c r="T129" i="68"/>
  <c r="T134" i="68"/>
  <c r="S117" i="68"/>
  <c r="S105" i="68"/>
  <c r="FV28" i="11"/>
  <c r="FV31" i="11" s="1"/>
  <c r="FV50" i="11" s="1"/>
  <c r="FV49" i="11"/>
  <c r="FV33" i="11"/>
  <c r="FV58" i="11" s="1"/>
  <c r="AG70" i="5"/>
  <c r="AG68" i="5"/>
  <c r="G10" i="86"/>
  <c r="G11" i="86" s="1"/>
  <c r="G12" i="86" s="1"/>
  <c r="H7" i="86"/>
  <c r="H10" i="86" s="1"/>
  <c r="H11" i="86" s="1"/>
  <c r="H12" i="86" s="1"/>
  <c r="T50" i="68"/>
  <c r="FW48" i="11"/>
  <c r="AH44" i="9"/>
  <c r="AG48" i="9"/>
  <c r="AG65" i="5"/>
  <c r="AH70" i="9"/>
  <c r="AJ73" i="9"/>
  <c r="AJ61" i="9"/>
  <c r="FW51" i="11"/>
  <c r="FW59" i="11"/>
  <c r="S71" i="68"/>
  <c r="S163" i="68" s="1"/>
  <c r="S112" i="68"/>
  <c r="S165" i="68" s="1"/>
  <c r="S164" i="68"/>
  <c r="S162" i="68" s="1"/>
  <c r="AF71" i="5"/>
  <c r="FU34" i="11"/>
  <c r="K16" i="86"/>
  <c r="AI35" i="10"/>
  <c r="AI63" i="10" s="1"/>
  <c r="AI53" i="10"/>
  <c r="AI56" i="10" s="1"/>
  <c r="FX24" i="11"/>
  <c r="FX42" i="11"/>
  <c r="FX47" i="11"/>
  <c r="FX57" i="11"/>
  <c r="R57" i="68"/>
  <c r="R60" i="68" s="1"/>
  <c r="R62" i="68" s="1"/>
  <c r="J5" i="86"/>
  <c r="I7" i="86"/>
  <c r="I10" i="86" s="1"/>
  <c r="I11" i="86" s="1"/>
  <c r="I12" i="86" s="1"/>
  <c r="S174" i="68"/>
  <c r="S161" i="68"/>
  <c r="S150" i="68"/>
  <c r="S176" i="68" s="1"/>
  <c r="S137" i="68"/>
  <c r="U49" i="68"/>
  <c r="U47" i="68" s="1"/>
  <c r="FX26" i="11" l="1"/>
  <c r="FX28" i="11" s="1"/>
  <c r="AI59" i="5"/>
  <c r="AI67" i="5" s="1"/>
  <c r="U18" i="68"/>
  <c r="U21" i="68" s="1"/>
  <c r="U23" i="68" s="1"/>
  <c r="AJ33" i="10"/>
  <c r="S96" i="68"/>
  <c r="S98" i="68" s="1"/>
  <c r="S101" i="68" s="1"/>
  <c r="S103" i="68" s="1"/>
  <c r="S119" i="68" s="1"/>
  <c r="S106" i="68"/>
  <c r="S120" i="68" s="1"/>
  <c r="X18" i="68"/>
  <c r="Y18" i="68" s="1"/>
  <c r="R119" i="68"/>
  <c r="S118" i="68"/>
  <c r="FW28" i="11"/>
  <c r="FW31" i="11" s="1"/>
  <c r="FW50" i="11" s="1"/>
  <c r="S57" i="68"/>
  <c r="S60" i="68" s="1"/>
  <c r="S62" i="68" s="1"/>
  <c r="S78" i="68" s="1"/>
  <c r="AK33" i="10"/>
  <c r="G18" i="86"/>
  <c r="U90" i="68"/>
  <c r="U91" i="68"/>
  <c r="AG60" i="9"/>
  <c r="AG63" i="9" s="1"/>
  <c r="AG50" i="9"/>
  <c r="T76" i="68"/>
  <c r="T64" i="68"/>
  <c r="T52" i="68"/>
  <c r="S139" i="68"/>
  <c r="S142" i="68" s="1"/>
  <c r="S144" i="68" s="1"/>
  <c r="S175" i="68" s="1"/>
  <c r="R78" i="68"/>
  <c r="X16" i="68"/>
  <c r="Y16" i="68" s="1"/>
  <c r="FX51" i="11"/>
  <c r="FX59" i="11"/>
  <c r="AH48" i="9"/>
  <c r="AF59" i="9"/>
  <c r="AF64" i="9" s="1"/>
  <c r="C33" i="86"/>
  <c r="AF15" i="9"/>
  <c r="AF23" i="9" s="1"/>
  <c r="AF52" i="9" s="1"/>
  <c r="T117" i="68"/>
  <c r="T105" i="68"/>
  <c r="FX48" i="11"/>
  <c r="AG71" i="5"/>
  <c r="FV34" i="11"/>
  <c r="AG9" i="9"/>
  <c r="AI52" i="10"/>
  <c r="AI54" i="10" s="1"/>
  <c r="T93" i="68"/>
  <c r="U76" i="68"/>
  <c r="U64" i="68"/>
  <c r="AJ8" i="10"/>
  <c r="AJ18" i="10" s="1"/>
  <c r="AJ35" i="10" s="1"/>
  <c r="AJ63" i="10" s="1"/>
  <c r="AH64" i="5"/>
  <c r="AH67" i="5"/>
  <c r="AH60" i="5"/>
  <c r="K5" i="86"/>
  <c r="J7" i="86"/>
  <c r="J10" i="86" s="1"/>
  <c r="J11" i="86" s="1"/>
  <c r="J12" i="86" s="1"/>
  <c r="U52" i="68"/>
  <c r="T137" i="68"/>
  <c r="T161" i="68"/>
  <c r="T150" i="68"/>
  <c r="T176" i="68" s="1"/>
  <c r="T174" i="68"/>
  <c r="T21" i="68"/>
  <c r="T23" i="68" s="1"/>
  <c r="T39" i="68" s="1"/>
  <c r="T32" i="68"/>
  <c r="FX49" i="11" l="1"/>
  <c r="U32" i="68"/>
  <c r="U71" i="68" s="1"/>
  <c r="AI60" i="5"/>
  <c r="AK8" i="10"/>
  <c r="AK18" i="10" s="1"/>
  <c r="AK53" i="10" s="1"/>
  <c r="AK56" i="10" s="1"/>
  <c r="AI64" i="5"/>
  <c r="AM64" i="5" s="1"/>
  <c r="AM59" i="5"/>
  <c r="AJ53" i="10"/>
  <c r="AJ56" i="10" s="1"/>
  <c r="U39" i="68"/>
  <c r="U77" i="68"/>
  <c r="U65" i="68"/>
  <c r="U55" i="68"/>
  <c r="U70" i="68"/>
  <c r="AJ70" i="9"/>
  <c r="T106" i="68"/>
  <c r="T120" i="68" s="1"/>
  <c r="T96" i="68"/>
  <c r="T118" i="68"/>
  <c r="T111" i="68"/>
  <c r="AI44" i="9"/>
  <c r="U105" i="68"/>
  <c r="U117" i="68"/>
  <c r="AH68" i="5"/>
  <c r="FW33" i="11"/>
  <c r="FW58" i="11" s="1"/>
  <c r="AH70" i="5"/>
  <c r="U88" i="68"/>
  <c r="U93" i="68"/>
  <c r="T71" i="68"/>
  <c r="T163" i="68" s="1"/>
  <c r="T112" i="68"/>
  <c r="T165" i="68" s="1"/>
  <c r="T164" i="68"/>
  <c r="T162" i="68" s="1"/>
  <c r="T139" i="68" s="1"/>
  <c r="T142" i="68" s="1"/>
  <c r="T144" i="68" s="1"/>
  <c r="T175" i="68" s="1"/>
  <c r="AI70" i="9"/>
  <c r="AH65" i="5"/>
  <c r="AJ52" i="10"/>
  <c r="AH9" i="9"/>
  <c r="C47" i="86"/>
  <c r="C34" i="86"/>
  <c r="C41" i="86" s="1"/>
  <c r="T65" i="68"/>
  <c r="T79" i="68" s="1"/>
  <c r="T55" i="68"/>
  <c r="T77" i="68"/>
  <c r="T70" i="68"/>
  <c r="H18" i="86"/>
  <c r="G19" i="86"/>
  <c r="G22" i="86" s="1"/>
  <c r="G26" i="86" s="1"/>
  <c r="FX33" i="11"/>
  <c r="AI70" i="5"/>
  <c r="AI68" i="5"/>
  <c r="AM67" i="5"/>
  <c r="AH50" i="9"/>
  <c r="AH60" i="9"/>
  <c r="AH63" i="9" s="1"/>
  <c r="K14" i="86"/>
  <c r="K7" i="86"/>
  <c r="K10" i="86" s="1"/>
  <c r="K11" i="86" s="1"/>
  <c r="K12" i="86" s="1"/>
  <c r="AG15" i="9"/>
  <c r="AG23" i="9" s="1"/>
  <c r="AG52" i="9" s="1"/>
  <c r="AG59" i="9"/>
  <c r="AG64" i="9" s="1"/>
  <c r="U112" i="68" l="1"/>
  <c r="AK35" i="10"/>
  <c r="AK63" i="10" s="1"/>
  <c r="AI65" i="5"/>
  <c r="AJ54" i="10"/>
  <c r="AI9" i="9" s="1"/>
  <c r="FX58" i="11"/>
  <c r="T57" i="68"/>
  <c r="T60" i="68" s="1"/>
  <c r="T62" i="68" s="1"/>
  <c r="T78" i="68" s="1"/>
  <c r="FX34" i="11"/>
  <c r="AM70" i="5"/>
  <c r="AI71" i="5"/>
  <c r="AH15" i="9"/>
  <c r="AH23" i="9" s="1"/>
  <c r="AH52" i="9" s="1"/>
  <c r="AH59" i="9"/>
  <c r="AH64" i="9" s="1"/>
  <c r="AI48" i="9"/>
  <c r="AJ44" i="9"/>
  <c r="AJ48" i="9" s="1"/>
  <c r="U57" i="68"/>
  <c r="U60" i="68" s="1"/>
  <c r="U62" i="68" s="1"/>
  <c r="FW34" i="11"/>
  <c r="AH71" i="5"/>
  <c r="U79" i="68"/>
  <c r="T98" i="68"/>
  <c r="T101" i="68" s="1"/>
  <c r="T103" i="68" s="1"/>
  <c r="T119" i="68" s="1"/>
  <c r="I18" i="86"/>
  <c r="H19" i="86"/>
  <c r="H22" i="86" s="1"/>
  <c r="H26" i="86" s="1"/>
  <c r="U111" i="68"/>
  <c r="U96" i="68"/>
  <c r="U98" i="68" s="1"/>
  <c r="U101" i="68" s="1"/>
  <c r="U103" i="68" s="1"/>
  <c r="U118" i="68"/>
  <c r="U106" i="68"/>
  <c r="U120" i="68" s="1"/>
  <c r="AK52" i="10" l="1"/>
  <c r="AK54" i="10" s="1"/>
  <c r="AJ9" i="9" s="1"/>
  <c r="AJ59" i="9" s="1"/>
  <c r="U78" i="68"/>
  <c r="U119" i="68"/>
  <c r="J18" i="86"/>
  <c r="I19" i="86"/>
  <c r="I22" i="86" s="1"/>
  <c r="I26" i="86" s="1"/>
  <c r="AI15" i="9"/>
  <c r="AI23" i="9" s="1"/>
  <c r="AI59" i="9"/>
  <c r="AJ50" i="9"/>
  <c r="AJ60" i="9"/>
  <c r="AJ63" i="9" s="1"/>
  <c r="AI60" i="9"/>
  <c r="AI63" i="9" s="1"/>
  <c r="AI50" i="9"/>
  <c r="AJ15" i="9" l="1"/>
  <c r="AJ23" i="9" s="1"/>
  <c r="AJ52" i="9" s="1"/>
  <c r="AJ64" i="9"/>
  <c r="AI52" i="9"/>
  <c r="AI64" i="9"/>
  <c r="K18" i="86"/>
  <c r="K19" i="86" s="1"/>
  <c r="K22" i="86" s="1"/>
  <c r="J19" i="86"/>
  <c r="J22" i="86" s="1"/>
  <c r="J27" i="86" l="1"/>
  <c r="J26" i="86"/>
  <c r="C43" i="86" s="1"/>
  <c r="K26" i="86"/>
  <c r="K27" i="86"/>
  <c r="J28" i="86" l="1"/>
  <c r="C44" i="86"/>
  <c r="C45" i="86" s="1"/>
  <c r="C50" i="86" s="1"/>
  <c r="C51" i="86" s="1"/>
  <c r="C53" i="86" s="1"/>
</calcChain>
</file>

<file path=xl/comments1.xml><?xml version="1.0" encoding="utf-8"?>
<comments xmlns="http://schemas.openxmlformats.org/spreadsheetml/2006/main">
  <authors>
    <author>Baglione, Gregory  (Research)</author>
    <author>Greenberger, Kimberly (Research)</author>
  </authors>
  <commentList>
    <comment ref="FR33" authorId="0">
      <text>
        <r>
          <rPr>
            <b/>
            <sz val="9"/>
            <color indexed="81"/>
            <rFont val="Tahoma"/>
            <family val="2"/>
          </rPr>
          <t>Baglione, Gregory  (Research):</t>
        </r>
        <r>
          <rPr>
            <sz val="9"/>
            <color indexed="81"/>
            <rFont val="Tahoma"/>
            <family val="2"/>
          </rPr>
          <t xml:space="preserve">
1/4/17
Earnings Guidance
The Company now expects its fiscal 2016 diluted earnings per share to be $2.92 to
$2.97 versus its previous guidance of $3.12 to $3.32 per diluted share. Excluding
impairments, store closing and other costs, fiscal 2016 diluted earnings per share is
expected to be $3.60 to $3.65, down from the Company’s previously stated guidance of
$3.80 to $4.00 per diluted share.
11/10/16
The company reaffirmed its prior fiscal 2016 diluted earnings per share guidance of $3.12 to $3.32
per diluted share. Excluding impairments, store closing and other costs, fiscal 2016 diluted
earnings per share is expected to be $3.80 to $4.00.
8/11/16
Updated guidance $3.80-$4.00
</t>
        </r>
        <r>
          <rPr>
            <b/>
            <sz val="9"/>
            <color indexed="81"/>
            <rFont val="Tahoma"/>
            <family val="2"/>
          </rPr>
          <t>Assumptions for Fall season</t>
        </r>
        <r>
          <rPr>
            <sz val="9"/>
            <color indexed="81"/>
            <rFont val="Tahoma"/>
            <family val="2"/>
          </rPr>
          <t xml:space="preserve">
Fall sales -2.6% to -.6%
Comps -2% to flat
GM improvement +20-40 bps y/y
SG&amp;A dollar growth 0.5% to 2.0% over last year
5/11/16
FY16 $4.05-$4.25- no change post 1Q</t>
        </r>
      </text>
    </comment>
    <comment ref="FU38" authorId="1">
      <text>
        <r>
          <rPr>
            <b/>
            <sz val="9"/>
            <color indexed="81"/>
            <rFont val="Tahoma"/>
            <family val="2"/>
          </rPr>
          <t>Greenberger, Kimberly (Research):</t>
        </r>
        <r>
          <rPr>
            <sz val="9"/>
            <color indexed="81"/>
            <rFont val="Tahoma"/>
            <family val="2"/>
          </rPr>
          <t xml:space="preserve">
8/13/15 assumes they issue 2-3M shares annually</t>
        </r>
      </text>
    </comment>
    <comment ref="FV38" authorId="1">
      <text>
        <r>
          <rPr>
            <b/>
            <sz val="9"/>
            <color indexed="81"/>
            <rFont val="Tahoma"/>
            <family val="2"/>
          </rPr>
          <t>Greenberger, Kimberly (Research):</t>
        </r>
        <r>
          <rPr>
            <sz val="9"/>
            <color indexed="81"/>
            <rFont val="Tahoma"/>
            <family val="2"/>
          </rPr>
          <t xml:space="preserve">
8/13/15 assumes they issue 2-3M shares annually</t>
        </r>
      </text>
    </comment>
    <comment ref="FW38" authorId="1">
      <text>
        <r>
          <rPr>
            <b/>
            <sz val="9"/>
            <color indexed="81"/>
            <rFont val="Tahoma"/>
            <family val="2"/>
          </rPr>
          <t>Greenberger, Kimberly (Research):</t>
        </r>
        <r>
          <rPr>
            <sz val="9"/>
            <color indexed="81"/>
            <rFont val="Tahoma"/>
            <family val="2"/>
          </rPr>
          <t xml:space="preserve">
8/13/15 assumes they issue 2-3M shares annually</t>
        </r>
      </text>
    </comment>
  </commentList>
</comments>
</file>

<file path=xl/comments2.xml><?xml version="1.0" encoding="utf-8"?>
<comments xmlns="http://schemas.openxmlformats.org/spreadsheetml/2006/main">
  <authors>
    <author>balskyh</author>
    <author>kimberlg</author>
    <author>duol</author>
    <author>Baglione, Gregory  (Research)</author>
    <author>Baglione, Gregory (Research)</author>
    <author>Cassel, Lauren (Research)</author>
    <author>De Courreges, Edouard (Research)</author>
    <author>Roberts, Cynthia (Research)</author>
  </authors>
  <commentList>
    <comment ref="S168" authorId="0">
      <text>
        <r>
          <rPr>
            <b/>
            <sz val="8"/>
            <color indexed="81"/>
            <rFont val="Tahoma"/>
            <family val="2"/>
          </rPr>
          <t xml:space="preserve">2/7/2013 prn: </t>
        </r>
        <r>
          <rPr>
            <sz val="8"/>
            <color indexed="81"/>
            <rFont val="Tahoma"/>
            <family val="2"/>
          </rPr>
          <t>$169M from extra week</t>
        </r>
      </text>
    </comment>
    <comment ref="F169" authorId="0">
      <text>
        <r>
          <rPr>
            <b/>
            <sz val="8"/>
            <color indexed="81"/>
            <rFont val="Tahoma"/>
            <family val="2"/>
          </rPr>
          <t xml:space="preserve">10k: </t>
        </r>
        <r>
          <rPr>
            <sz val="8"/>
            <color indexed="81"/>
            <rFont val="Tahoma"/>
            <family val="2"/>
          </rPr>
          <t>-2% ex ecomm</t>
        </r>
      </text>
    </comment>
    <comment ref="D172" authorId="0">
      <text>
        <r>
          <rPr>
            <b/>
            <sz val="8"/>
            <color indexed="81"/>
            <rFont val="Tahoma"/>
            <family val="2"/>
          </rPr>
          <t xml:space="preserve">2/28/2013 guidance: </t>
        </r>
        <r>
          <rPr>
            <sz val="8"/>
            <color indexed="81"/>
            <rFont val="Tahoma"/>
            <family val="2"/>
          </rPr>
          <t>+0.5%-2.5%</t>
        </r>
      </text>
    </comment>
    <comment ref="F172" authorId="0">
      <text>
        <r>
          <rPr>
            <b/>
            <sz val="8"/>
            <color indexed="81"/>
            <rFont val="Tahoma"/>
            <family val="2"/>
          </rPr>
          <t xml:space="preserve">5/16/2013 comment: </t>
        </r>
        <r>
          <rPr>
            <sz val="8"/>
            <color indexed="81"/>
            <rFont val="Tahoma"/>
            <family val="2"/>
          </rPr>
          <t>seasonal apparel was down 8% y/y, 320 bps neg comp impact</t>
        </r>
        <r>
          <rPr>
            <b/>
            <sz val="8"/>
            <color indexed="81"/>
            <rFont val="Tahoma"/>
            <family val="2"/>
          </rPr>
          <t xml:space="preserve">
2/28/2013 guidance: </t>
        </r>
        <r>
          <rPr>
            <sz val="8"/>
            <color indexed="81"/>
            <rFont val="Tahoma"/>
            <family val="2"/>
          </rPr>
          <t>0-2%; note: guidance assumes traffic improvement not a ticket increase</t>
        </r>
      </text>
    </comment>
    <comment ref="H172" authorId="0">
      <text>
        <r>
          <rPr>
            <b/>
            <sz val="8"/>
            <color indexed="81"/>
            <rFont val="Tahoma"/>
            <family val="2"/>
          </rPr>
          <t xml:space="preserve">2/28/2013 guidance: </t>
        </r>
        <r>
          <rPr>
            <sz val="8"/>
            <color indexed="81"/>
            <rFont val="Tahoma"/>
            <family val="2"/>
          </rPr>
          <t xml:space="preserve">
0.5%-2.5% sales on 0-2% comp</t>
        </r>
      </text>
    </comment>
    <comment ref="D173" authorId="0">
      <text>
        <r>
          <rPr>
            <b/>
            <sz val="8"/>
            <color indexed="81"/>
            <rFont val="Tahoma"/>
            <family val="2"/>
          </rPr>
          <t xml:space="preserve">5/16/2013 guidance: </t>
        </r>
        <r>
          <rPr>
            <sz val="8"/>
            <color indexed="81"/>
            <rFont val="Tahoma"/>
            <family val="2"/>
          </rPr>
          <t>1-3%</t>
        </r>
      </text>
    </comment>
    <comment ref="F173" authorId="0">
      <text>
        <r>
          <rPr>
            <b/>
            <sz val="8"/>
            <color indexed="81"/>
            <rFont val="Tahoma"/>
            <family val="2"/>
          </rPr>
          <t xml:space="preserve">5/16/2013 guidance: </t>
        </r>
        <r>
          <rPr>
            <sz val="8"/>
            <color indexed="81"/>
            <rFont val="Tahoma"/>
            <family val="2"/>
          </rPr>
          <t>0-2%</t>
        </r>
      </text>
    </comment>
    <comment ref="F174" authorId="1">
      <text>
        <r>
          <rPr>
            <b/>
            <sz val="8"/>
            <color indexed="81"/>
            <rFont val="Tahoma"/>
            <family val="2"/>
          </rPr>
          <t>kimberlg:</t>
        </r>
        <r>
          <rPr>
            <sz val="8"/>
            <color indexed="81"/>
            <rFont val="Tahoma"/>
            <family val="2"/>
          </rPr>
          <t xml:space="preserve">
they will see a benefit to 3Q13 comp from anniversary of hurricane Sandy LY (that week is now in 3Q instead of 4Q LY)</t>
        </r>
      </text>
    </comment>
    <comment ref="AQ175" authorId="2">
      <text>
        <r>
          <rPr>
            <b/>
            <sz val="8"/>
            <color indexed="81"/>
            <rFont val="Tahoma"/>
            <family val="2"/>
          </rPr>
          <t xml:space="preserve">11/14/13: </t>
        </r>
        <r>
          <rPr>
            <sz val="8"/>
            <color indexed="81"/>
            <rFont val="Tahoma"/>
            <family val="2"/>
          </rPr>
          <t>Expects re-acceleration in 4Q to prior 30% level</t>
        </r>
        <r>
          <rPr>
            <sz val="8"/>
            <color indexed="81"/>
            <rFont val="Tahoma"/>
            <family val="2"/>
          </rPr>
          <t xml:space="preserve">
</t>
        </r>
        <r>
          <rPr>
            <b/>
            <sz val="8"/>
            <color indexed="81"/>
            <rFont val="Tahoma"/>
            <family val="2"/>
          </rPr>
          <t>2/27/14 EPS:</t>
        </r>
        <r>
          <rPr>
            <sz val="8"/>
            <color indexed="81"/>
            <rFont val="Tahoma"/>
            <family val="2"/>
          </rPr>
          <t xml:space="preserve"> 16%</t>
        </r>
      </text>
    </comment>
    <comment ref="F176" authorId="0">
      <text>
        <r>
          <rPr>
            <b/>
            <sz val="8"/>
            <color indexed="81"/>
            <rFont val="Tahoma"/>
            <family val="2"/>
          </rPr>
          <t xml:space="preserve">2/28/2013 guidance: </t>
        </r>
        <r>
          <rPr>
            <sz val="8"/>
            <color indexed="81"/>
            <rFont val="Tahoma"/>
            <family val="2"/>
          </rPr>
          <t>0-2%; guidance assumes traffic improvement not a ticket increase</t>
        </r>
      </text>
    </comment>
    <comment ref="D179" authorId="0">
      <text>
        <r>
          <rPr>
            <b/>
            <sz val="8"/>
            <color indexed="81"/>
            <rFont val="Tahoma"/>
            <family val="2"/>
          </rPr>
          <t xml:space="preserve">2/28/2013 guidance: </t>
        </r>
        <r>
          <rPr>
            <sz val="8"/>
            <color indexed="81"/>
            <rFont val="Tahoma"/>
            <family val="2"/>
          </rPr>
          <t>+0.5%-2.5%</t>
        </r>
      </text>
    </comment>
    <comment ref="F188" authorId="3">
      <text>
        <r>
          <rPr>
            <b/>
            <sz val="9"/>
            <color indexed="81"/>
            <rFont val="Tahoma"/>
            <family val="2"/>
          </rPr>
          <t>Baglione, Gregory  (Research):</t>
        </r>
        <r>
          <rPr>
            <sz val="9"/>
            <color indexed="81"/>
            <rFont val="Tahoma"/>
            <family val="2"/>
          </rPr>
          <t xml:space="preserve">
11/12/15
Active, premium electronics, entertainment licensing, cosmetics. Performed well 
AUR +0.5%, UPT +1.3%, -0.8% transactions
Southeast was strongest, South Central was most challenging
Footwear and women's performed better than the company, men's in-line, children, accessories, home below the company
11/5/15
Reducing comp forecast to 1.2% from 1.5% to reflect softer sales environment
</t>
        </r>
      </text>
    </comment>
    <comment ref="F189" authorId="3">
      <text>
        <r>
          <rPr>
            <b/>
            <sz val="9"/>
            <color indexed="81"/>
            <rFont val="Tahoma"/>
            <family val="2"/>
          </rPr>
          <t>Baglione, Gregory  (Research):</t>
        </r>
        <r>
          <rPr>
            <sz val="9"/>
            <color indexed="81"/>
            <rFont val="Tahoma"/>
            <family val="2"/>
          </rPr>
          <t xml:space="preserve">
2/25/16
As we announced earlier this month, comp sales increased 40 basis points for the quarter. Though we were pleased to report our fifth consecutive
quarter of positive comps, sales were volatile during the quarter and were below our expectations.
Holiday sales which include the weeks between Thanksgiving and Christmas increased 4% and store traffic was 400 basis points better than industry
average. This strength, however, was substantially offset by softness in early November and in January when demand for cold weather goods was
especially low.
2/4/16
4Q comps expected 0.4%
vs. Mse prior -1.0%
11/12/15
2-3% comp guidance
</t>
        </r>
        <r>
          <rPr>
            <b/>
            <sz val="9"/>
            <color indexed="81"/>
            <rFont val="Tahoma"/>
            <family val="2"/>
          </rPr>
          <t xml:space="preserve">
</t>
        </r>
      </text>
    </comment>
    <comment ref="F193" authorId="4">
      <text>
        <r>
          <rPr>
            <b/>
            <sz val="9"/>
            <color indexed="81"/>
            <rFont val="Tahoma"/>
            <family val="2"/>
          </rPr>
          <t>Baglione, Gregory (Research):</t>
        </r>
        <r>
          <rPr>
            <sz val="9"/>
            <color indexed="81"/>
            <rFont val="Tahoma"/>
            <family val="2"/>
          </rPr>
          <t xml:space="preserve">
5/12/16
Comp sales decreased 3.9% for the quarter. Transactions per store were down 4.8% for the quarter. Average transaction value increased 90 basis
points, comprised of 190 basis point increase in units per transaction and 100 basis points decrease in average unit retail.
From a line of business perspective, men's and women's were the strongest categories. Home was the weakest.
On a regional basis the Northeast, Mid-Atlantic, Southeast and Midwest were the strongest. The West and South Central were the most difficult
regions.</t>
        </r>
      </text>
    </comment>
    <comment ref="AQ193" authorId="3">
      <text>
        <r>
          <rPr>
            <b/>
            <sz val="9"/>
            <color indexed="81"/>
            <rFont val="Tahoma"/>
            <family val="2"/>
          </rPr>
          <t>Baglione, Gregory  (Research):</t>
        </r>
        <r>
          <rPr>
            <sz val="9"/>
            <color indexed="81"/>
            <rFont val="Tahoma"/>
            <family val="2"/>
          </rPr>
          <t xml:space="preserve">
Digital demand grew mid-teens</t>
        </r>
      </text>
    </comment>
    <comment ref="F194" authorId="3">
      <text>
        <r>
          <rPr>
            <b/>
            <sz val="9"/>
            <color indexed="81"/>
            <rFont val="Tahoma"/>
            <family val="2"/>
          </rPr>
          <t>Baglione, Gregory  (Research):</t>
        </r>
        <r>
          <rPr>
            <sz val="9"/>
            <color indexed="81"/>
            <rFont val="Tahoma"/>
            <family val="2"/>
          </rPr>
          <t xml:space="preserve">
8/11/16
Transactions per store we don't 4.8% for the quarter. Average transaction value increased 300 basis points comprised of a 310 basis point increase in units per transaction and 10 basis point decrease in average unit retail. 
By Month:
May worst month
June stronger
July finished strong
Men's better than company
Footwear-inline
Weakness in women's
5/12/16
Previous Flat
Updated:
</t>
        </r>
      </text>
    </comment>
    <comment ref="H194" authorId="3">
      <text>
        <r>
          <rPr>
            <b/>
            <sz val="9"/>
            <color indexed="81"/>
            <rFont val="Tahoma"/>
            <family val="2"/>
          </rPr>
          <t>Baglione, Gregory  (Research):</t>
        </r>
        <r>
          <rPr>
            <sz val="9"/>
            <color indexed="81"/>
            <rFont val="Tahoma"/>
            <family val="2"/>
          </rPr>
          <t xml:space="preserve">
Store closures expected to come in June total $140M, expect to retain some sales
only half the impact in 2Q~0.5%
3Q/4Q ~1% of sales
</t>
        </r>
      </text>
    </comment>
    <comment ref="J194" authorId="3">
      <text>
        <r>
          <rPr>
            <b/>
            <sz val="9"/>
            <color indexed="81"/>
            <rFont val="Tahoma"/>
            <family val="2"/>
          </rPr>
          <t>Baglione, Gregory  (Research):</t>
        </r>
        <r>
          <rPr>
            <sz val="9"/>
            <color indexed="81"/>
            <rFont val="Tahoma"/>
            <family val="2"/>
          </rPr>
          <t xml:space="preserve">
8/11/16
On a store update basis, we opened 12 FILA stores in May and two additional off/aisle stores in March. In both cases were met generally pleased with the results in implementing operational changes as we learn from the results. We will be opening six smaller format stores in the third quarter adding to the two 35,000 square foot smaller stores we opened in the first quarter. </t>
        </r>
      </text>
    </comment>
    <comment ref="K194" authorId="3">
      <text>
        <r>
          <rPr>
            <b/>
            <sz val="9"/>
            <color indexed="81"/>
            <rFont val="Tahoma"/>
            <family val="2"/>
          </rPr>
          <t>Baglione, Gregory  (Research):</t>
        </r>
        <r>
          <rPr>
            <sz val="9"/>
            <color indexed="81"/>
            <rFont val="Tahoma"/>
            <family val="2"/>
          </rPr>
          <t xml:space="preserve">
18 Store closures expected for June</t>
        </r>
      </text>
    </comment>
    <comment ref="AQ194" authorId="3">
      <text>
        <r>
          <rPr>
            <b/>
            <sz val="9"/>
            <color indexed="81"/>
            <rFont val="Tahoma"/>
            <family val="2"/>
          </rPr>
          <t>Baglione, Gregory  (Research):</t>
        </r>
        <r>
          <rPr>
            <sz val="9"/>
            <color indexed="81"/>
            <rFont val="Tahoma"/>
            <family val="2"/>
          </rPr>
          <t xml:space="preserve">
Digital demand grew mid-teens</t>
        </r>
      </text>
    </comment>
    <comment ref="F195" authorId="3">
      <text>
        <r>
          <rPr>
            <b/>
            <sz val="9"/>
            <color indexed="81"/>
            <rFont val="Tahoma"/>
            <family val="2"/>
          </rPr>
          <t>Baglione, Gregory  (Research):</t>
        </r>
        <r>
          <rPr>
            <sz val="9"/>
            <color indexed="81"/>
            <rFont val="Tahoma"/>
            <family val="2"/>
          </rPr>
          <t xml:space="preserve">
Comp sales decreased 1.7% for the quarter, slightly better than the second quarter. Transactions per store were down 5.7% for the quarter. Average
transaction value increased 400 basis points, comprised of a 210 basis point increase in units per transaction and a 190 basis point increase in
average unit retail.
From a line of business perspective men's was the strongest category for the third consecutive quarter. Footwear also outperformed the Company
average. Children's and accessories were the weakest.
On a regional basis, the West was the strongest region with a low single-digit increase in comp store sales. The South Central outperformed the
Company this quarter, as well. The Mid-Atlantic and Northeast were the most challenging. Kevin will provide additional details on sales in his
prepared remarks.</t>
        </r>
      </text>
    </comment>
    <comment ref="H195" authorId="3">
      <text>
        <r>
          <rPr>
            <b/>
            <sz val="9"/>
            <color indexed="81"/>
            <rFont val="Tahoma"/>
            <family val="2"/>
          </rPr>
          <t>Baglione, Gregory  (Research):</t>
        </r>
        <r>
          <rPr>
            <sz val="9"/>
            <color indexed="81"/>
            <rFont val="Tahoma"/>
            <family val="2"/>
          </rPr>
          <t xml:space="preserve">
Store closures expected to come in June total $140M, expect to retain some sales
only half the impact in 2Q~0.5%
3Q/4Q ~1% of sales
</t>
        </r>
      </text>
    </comment>
    <comment ref="AQ195" authorId="3">
      <text>
        <r>
          <rPr>
            <b/>
            <sz val="9"/>
            <color indexed="81"/>
            <rFont val="Tahoma"/>
            <family val="2"/>
          </rPr>
          <t>Baglione, Gregory  (Research):</t>
        </r>
        <r>
          <rPr>
            <sz val="9"/>
            <color indexed="81"/>
            <rFont val="Tahoma"/>
            <family val="2"/>
          </rPr>
          <t xml:space="preserve">
Digital demand grew mid-teens</t>
        </r>
      </text>
    </comment>
    <comment ref="D196" authorId="4">
      <text>
        <r>
          <rPr>
            <b/>
            <sz val="9"/>
            <color indexed="81"/>
            <rFont val="Tahoma"/>
            <family val="2"/>
          </rPr>
          <t>Baglione, Gregory (Research):</t>
        </r>
        <r>
          <rPr>
            <sz val="9"/>
            <color indexed="81"/>
            <rFont val="Tahoma"/>
            <family val="2"/>
          </rPr>
          <t xml:space="preserve">
1/4/17
Kohl’s Corporation (NYSE:KSS) today reported that its comparable sales
decreased 2.1 percent in the fiscal months of November and December 2016
combined, compared with the prior year period. Total sales for the combined
fiscal November and December period decreased 2.7 percent.
</t>
        </r>
      </text>
    </comment>
    <comment ref="F196" authorId="3">
      <text>
        <r>
          <rPr>
            <b/>
            <sz val="9"/>
            <color indexed="81"/>
            <rFont val="Tahoma"/>
            <family val="2"/>
          </rPr>
          <t>Baglione, Gregory  (Research):</t>
        </r>
        <r>
          <rPr>
            <sz val="9"/>
            <color indexed="81"/>
            <rFont val="Tahoma"/>
            <family val="2"/>
          </rPr>
          <t xml:space="preserve">
2/23/17: ATV+3.8%, AUR +3.7%, UPT +0.1%, Transactions -6%
1/4/17
Kohl’s Corporation
(NYSE:KSS) today reported that its comparable sales decreased 2.1 percent in the
fiscal months of November and December 2016 combined, compared with the prior
year period. Total sales for the combined fiscal November and December period
decreased 2.7 percent.
“Sales were volatile throughout the holiday season. Strong sales on Black Friday and
during the week before Christmas were offset by softness in early November and
December,” said Kevin Mansell, Kohl's chairman, chief executive officer and president.
From a line of business perspective, Men’s, Home and Footwear were the strongest
categories while Accessories was the most challenging. On a regional basis, the
Southeast, Mid-Atlantic and Northeast were the best performing regions. 
</t>
        </r>
      </text>
    </comment>
    <comment ref="H196" authorId="3">
      <text>
        <r>
          <rPr>
            <b/>
            <sz val="9"/>
            <color indexed="81"/>
            <rFont val="Tahoma"/>
            <family val="2"/>
          </rPr>
          <t>Baglione, Gregory  (Research):</t>
        </r>
        <r>
          <rPr>
            <sz val="9"/>
            <color indexed="81"/>
            <rFont val="Tahoma"/>
            <family val="2"/>
          </rPr>
          <t xml:space="preserve">
1/4/17
Kohl’s Corporation
(NYSE:KSS) today reported that its comparable sales decreased 2.1 percent in the
fiscal months of November and December 2016 combined, compared with the prior
year period. Total sales for the combined fiscal November and December period
decreased 2.7 percent.
“Sales were volatile throughout the holiday season. Strong sales on Black Friday and
during the week before Christmas were offset by softness in early November and
December,” said Kevin Mansell, Kohl's chairman, chief executive officer and president.
From a line of business perspective, Men’s, Home and Footwear were the strongest
categories while Accessories was the most challenging. On a regional basis, the
Southeast, Mid-Atlantic and Northeast were the best performing regions. 
</t>
        </r>
      </text>
    </comment>
    <comment ref="AQ196" authorId="4">
      <text>
        <r>
          <rPr>
            <b/>
            <sz val="9"/>
            <color indexed="81"/>
            <rFont val="Tahoma"/>
            <family val="2"/>
          </rPr>
          <t>Baglione, Gregory (Research):</t>
        </r>
        <r>
          <rPr>
            <sz val="9"/>
            <color indexed="81"/>
            <rFont val="Tahoma"/>
            <family val="2"/>
          </rPr>
          <t xml:space="preserve">
Digital demand grrew 10-15% per management</t>
        </r>
      </text>
    </comment>
    <comment ref="D197" authorId="3">
      <text>
        <r>
          <rPr>
            <b/>
            <sz val="9"/>
            <color indexed="81"/>
            <rFont val="Tahoma"/>
            <family val="2"/>
          </rPr>
          <t>Baglione, Gregory  (Research):</t>
        </r>
        <r>
          <rPr>
            <sz val="9"/>
            <color indexed="81"/>
            <rFont val="Tahoma"/>
            <family val="2"/>
          </rPr>
          <t xml:space="preserve">
8/11/16
Guidance for fall season implies -2% to flat comp for back half  and -2.6% to +0.6% total sales
2/25/16 Guide 
Total sales range of (0.5)% to 0.5%
In 2016, Kohl’s will close 18 underperforming stores, representing less than one percent of total sales. 
The specific locations will be announced by the end of March. The closures are expected to generate annual SG&amp;A savings of approximately $45 million and annual depreciation savings of
approximately $10 million. </t>
        </r>
      </text>
    </comment>
    <comment ref="F197" authorId="3">
      <text>
        <r>
          <rPr>
            <b/>
            <sz val="9"/>
            <color indexed="81"/>
            <rFont val="Tahoma"/>
            <family val="2"/>
          </rPr>
          <t>Baglione, Gregory  (Research):</t>
        </r>
        <r>
          <rPr>
            <sz val="9"/>
            <color indexed="81"/>
            <rFont val="Tahoma"/>
            <family val="2"/>
          </rPr>
          <t xml:space="preserve">
2/23/17: ATV +3.1%, AUR +1.5%, UPT +1.6%, transactions -5.5%
8/11/16
Guidance for fall season implies -2% to flat comp for back half  and -2.6% to +0.6% total sales
2/25/16 Guide
Comps 0-1%</t>
        </r>
      </text>
    </comment>
    <comment ref="J200" authorId="5">
      <text>
        <r>
          <rPr>
            <b/>
            <sz val="9"/>
            <color indexed="81"/>
            <rFont val="Tahoma"/>
            <family val="2"/>
          </rPr>
          <t>Cassel, Lauren (Research):</t>
        </r>
        <r>
          <rPr>
            <sz val="9"/>
            <color indexed="81"/>
            <rFont val="Tahoma"/>
            <family val="2"/>
          </rPr>
          <t xml:space="preserve">
Kohl’s ended the quarter with 1,154 Kohl's stores, 12 FILA Outlet stores, and three Off/Aisle clearance centers in 49 states, compared with 1,167 Kohl's stores at the same time last year</t>
        </r>
      </text>
    </comment>
    <comment ref="AQ200" authorId="5">
      <text>
        <r>
          <rPr>
            <b/>
            <sz val="9"/>
            <color indexed="81"/>
            <rFont val="Tahoma"/>
            <family val="2"/>
          </rPr>
          <t>Cassel, Lauren (Research):</t>
        </r>
        <r>
          <rPr>
            <sz val="9"/>
            <color indexed="81"/>
            <rFont val="Tahoma"/>
            <family val="2"/>
          </rPr>
          <t xml:space="preserve">
mid-teens growth</t>
        </r>
      </text>
    </comment>
    <comment ref="H203" authorId="4">
      <text>
        <r>
          <rPr>
            <b/>
            <sz val="9"/>
            <color indexed="81"/>
            <rFont val="Tahoma"/>
            <family val="2"/>
          </rPr>
          <t>3/1/18:  During this 53(rd)
week, total sales were approximately $170 million
2/23/17: 53rd week = $160M = 2.6% growth
Baglione, Gregory (Research):</t>
        </r>
        <r>
          <rPr>
            <sz val="9"/>
            <color indexed="81"/>
            <rFont val="Tahoma"/>
            <family val="2"/>
          </rPr>
          <t xml:space="preserve">
2/28/18:53rd week sales $170M
53rd week worth ~2.5-3% sales benefit+ 0.2-0.3% contribution from select smaller format opennings.</t>
        </r>
      </text>
    </comment>
    <comment ref="AQ203" authorId="6">
      <text>
        <r>
          <rPr>
            <b/>
            <sz val="9"/>
            <color indexed="81"/>
            <rFont val="Tahoma"/>
            <family val="2"/>
          </rPr>
          <t>De Courreges, Edouard (Research):</t>
        </r>
        <r>
          <rPr>
            <sz val="9"/>
            <color indexed="81"/>
            <rFont val="Tahoma"/>
            <family val="2"/>
          </rPr>
          <t xml:space="preserve">
Online sales grew 26% for the fourth quarter, driven primarily by traffic, but also improved conversion</t>
        </r>
      </text>
    </comment>
    <comment ref="F204" authorId="7">
      <text>
        <r>
          <rPr>
            <b/>
            <sz val="9"/>
            <color indexed="81"/>
            <rFont val="Tahoma"/>
            <family val="2"/>
          </rPr>
          <t>Roberts, Cynthia (Research):</t>
        </r>
        <r>
          <rPr>
            <sz val="9"/>
            <color indexed="81"/>
            <rFont val="Tahoma"/>
            <family val="2"/>
          </rPr>
          <t xml:space="preserve">
2/23/17: Guidance: -2% to flat
There is a </t>
        </r>
        <r>
          <rPr>
            <b/>
            <sz val="9"/>
            <color indexed="81"/>
            <rFont val="Tahoma"/>
            <family val="2"/>
          </rPr>
          <t>60 basis point delta in the first and second quarter</t>
        </r>
        <r>
          <rPr>
            <sz val="9"/>
            <color indexed="81"/>
            <rFont val="Tahoma"/>
            <family val="2"/>
          </rPr>
          <t xml:space="preserve"> due to the closed stores from last year cycling through.</t>
        </r>
        <r>
          <rPr>
            <b/>
            <sz val="9"/>
            <color indexed="81"/>
            <rFont val="Tahoma"/>
            <family val="2"/>
          </rPr>
          <t xml:space="preserve"> Very minimal sales growth in the third and fourth quarter</t>
        </r>
        <r>
          <rPr>
            <sz val="9"/>
            <color indexed="81"/>
            <rFont val="Tahoma"/>
            <family val="2"/>
          </rPr>
          <t xml:space="preserve"> </t>
        </r>
        <r>
          <rPr>
            <b/>
            <sz val="9"/>
            <color indexed="81"/>
            <rFont val="Tahoma"/>
            <family val="2"/>
          </rPr>
          <t xml:space="preserve">from new stores </t>
        </r>
        <r>
          <rPr>
            <sz val="9"/>
            <color indexed="81"/>
            <rFont val="Tahoma"/>
            <family val="2"/>
          </rPr>
          <t xml:space="preserve">that are just going to be a few new stores opening in the 35K variety in the fall, 4Q includes $160M from 53rd week </t>
        </r>
      </text>
    </comment>
    <comment ref="F207" authorId="6">
      <text>
        <r>
          <rPr>
            <b/>
            <sz val="9"/>
            <color indexed="81"/>
            <rFont val="Tahoma"/>
            <family val="2"/>
          </rPr>
          <t>De Courreges, Edouard (Research):</t>
        </r>
        <r>
          <rPr>
            <sz val="9"/>
            <color indexed="81"/>
            <rFont val="Tahoma"/>
            <family val="2"/>
          </rPr>
          <t xml:space="preserve">
2/28/18: we expect first quarter comp sales to exceed the high end of our annual guidance</t>
        </r>
      </text>
    </comment>
    <comment ref="H207" authorId="6">
      <text>
        <r>
          <rPr>
            <b/>
            <sz val="9"/>
            <color indexed="81"/>
            <rFont val="Tahoma"/>
            <family val="2"/>
          </rPr>
          <t>De Courreges, Edouard (Research):</t>
        </r>
        <r>
          <rPr>
            <sz val="9"/>
            <color indexed="81"/>
            <rFont val="Tahoma"/>
            <family val="2"/>
          </rPr>
          <t xml:space="preserve">
+1 spread from 53rd week calendar shift</t>
        </r>
      </text>
    </comment>
    <comment ref="H208" authorId="6">
      <text>
        <r>
          <rPr>
            <b/>
            <sz val="9"/>
            <color indexed="81"/>
            <rFont val="Tahoma"/>
            <family val="2"/>
          </rPr>
          <t>De Courreges, Edouard (Research):</t>
        </r>
        <r>
          <rPr>
            <sz val="9"/>
            <color indexed="81"/>
            <rFont val="Tahoma"/>
            <family val="2"/>
          </rPr>
          <t xml:space="preserve">
+0.3 spread from 53rd week calendar shift</t>
        </r>
      </text>
    </comment>
    <comment ref="H209" authorId="6">
      <text>
        <r>
          <rPr>
            <b/>
            <sz val="9"/>
            <color indexed="81"/>
            <rFont val="Tahoma"/>
            <family val="2"/>
          </rPr>
          <t xml:space="preserve">De Courreges, Edouard (Research):
</t>
        </r>
        <r>
          <rPr>
            <sz val="9"/>
            <color indexed="81"/>
            <rFont val="Tahoma"/>
            <family val="2"/>
          </rPr>
          <t>-0.2 spread from 53rd week calendar shift</t>
        </r>
      </text>
    </comment>
    <comment ref="H210" authorId="6">
      <text>
        <r>
          <rPr>
            <b/>
            <sz val="9"/>
            <color indexed="81"/>
            <rFont val="Tahoma"/>
            <family val="2"/>
          </rPr>
          <t>De Courreges, Edouard (Research):</t>
        </r>
        <r>
          <rPr>
            <sz val="9"/>
            <color indexed="81"/>
            <rFont val="Tahoma"/>
            <family val="2"/>
          </rPr>
          <t xml:space="preserve">
$170M 53rd week sales, so add
Base spread - impact of 53rd week calendar shift of -6.1</t>
        </r>
      </text>
    </comment>
    <comment ref="F211" authorId="6">
      <text>
        <r>
          <rPr>
            <b/>
            <sz val="9"/>
            <color indexed="81"/>
            <rFont val="Tahoma"/>
            <family val="2"/>
          </rPr>
          <t>De Courreges, Edouard (Research):</t>
        </r>
        <r>
          <rPr>
            <sz val="9"/>
            <color indexed="81"/>
            <rFont val="Tahoma"/>
            <family val="2"/>
          </rPr>
          <t xml:space="preserve">
2/28/18: Guide 0% to +2%</t>
        </r>
      </text>
    </comment>
    <comment ref="H211" authorId="6">
      <text>
        <r>
          <rPr>
            <b/>
            <sz val="9"/>
            <color indexed="81"/>
            <rFont val="Tahoma"/>
            <family val="2"/>
          </rPr>
          <t>De Courreges, Edouard (Research):</t>
        </r>
        <r>
          <rPr>
            <sz val="9"/>
            <color indexed="81"/>
            <rFont val="Tahoma"/>
            <family val="2"/>
          </rPr>
          <t xml:space="preserve">
2/28/18: Guide -1% to +1% </t>
        </r>
      </text>
    </comment>
  </commentList>
</comments>
</file>

<file path=xl/comments3.xml><?xml version="1.0" encoding="utf-8"?>
<comments xmlns="http://schemas.openxmlformats.org/spreadsheetml/2006/main">
  <authors>
    <author>mmcclell</author>
    <author>Michelle Clark</author>
    <author>cuomochr</author>
    <author>leechi</author>
    <author>Scott Feiler</author>
    <author>balskyh</author>
    <author>casselau</author>
    <author>Cassel, Lauren (Research)</author>
    <author>De Courreges, Edouard (Research)</author>
    <author>Mains, Spencer (Research)</author>
    <author>Baglione, Gregory  (Research)</author>
    <author>Roberts, Cynthia (Research)</author>
    <author>Duol</author>
    <author>duol</author>
    <author>DL</author>
    <author>afloam</author>
    <author>Baglione, Gregory (Research)</author>
    <author>gfowlkes</author>
    <author>Denise Frazer</author>
    <author>Petra Barron</author>
    <author>Note</author>
  </authors>
  <commentList>
    <comment ref="BO5" authorId="0">
      <text>
        <r>
          <rPr>
            <sz val="10"/>
            <rFont val="Arial"/>
            <family val="2"/>
          </rPr>
          <t>Credit Deal closed 4/21/06</t>
        </r>
        <r>
          <rPr>
            <sz val="10"/>
            <rFont val="Arial"/>
            <family val="2"/>
          </rPr>
          <t xml:space="preserve">
</t>
        </r>
      </text>
    </comment>
    <comment ref="CA5" authorId="1">
      <text>
        <r>
          <rPr>
            <sz val="10"/>
            <rFont val="Arial"/>
            <family val="2"/>
          </rPr>
          <t>Note: 9/15/2011</t>
        </r>
        <r>
          <rPr>
            <sz val="10"/>
            <rFont val="Arial"/>
            <family val="2"/>
          </rPr>
          <t xml:space="preserve">
The most significant of the corrections resulted from improper application of the sale-leaseback provisions of ASC 840, Leases. We are often involved extensively in the construction of leased stores. In many cases, we are responsible for construction cost over runs or construct non-standard tenant improvements (e.g. roof or HVAC systems). As a result of this involvement, we are deemed the "owner" for accounting purposes during the construction period, so are required to capitalize the construction costs on our Balance Sheets. Upon completion of the project, we must perform a sale-leaseback analysis pursuant to ASC 840 to determine if we can remove the assets from our Balance Sheet. In many of our leases, we are reimbursed a portion of the construction costs via adjusted rental and/or cash payments or have terms which fix the rental payments for a significant percentage of the leased asset's economic life. These items are generally considered "continuing involvement" which preclude us from derecognizing the constructed assets from our Balance Sheet when construction is complete.
Additionally, certain store and equipment leases were improperly recorded as operating leases, rather than capital leases.
</t>
        </r>
      </text>
    </comment>
    <comment ref="CE5" authorId="1">
      <text>
        <r>
          <rPr>
            <sz val="10"/>
            <rFont val="Arial"/>
            <family val="2"/>
          </rPr>
          <t>Note: 9/15/2011</t>
        </r>
        <r>
          <rPr>
            <sz val="10"/>
            <rFont val="Arial"/>
            <family val="2"/>
          </rPr>
          <t xml:space="preserve">
The most significant of the corrections resulted from improper application of the sale-leaseback provisions of ASC 840, Leases. We are often involved extensively in the construction of leased stores. In many cases, we are responsible for construction cost over runs or construct non-standard tenant improvements (e.g. roof or HVAC systems). As a result of this involvement, we are deemed the "owner" for accounting purposes during the construction period, so are required to capitalize the construction costs on our Balance Sheets. Upon completion of the project, we must perform a sale-leaseback analysis pursuant to ASC 840 to determine if we can remove the assets from our Balance Sheet. In many of our leases, we are reimbursed a portion of the construction costs via adjusted rental and/or cash payments or have terms which fix the rental payments for a significant percentage of the leased asset's economic life. These items are generally considered "continuing involvement" which preclude us from derecognizing the constructed assets from our Balance Sheet when construction is complete.
Additionally, certain store and equipment leases were improperly recorded as operating leases, rather than capital leases.
</t>
        </r>
      </text>
    </comment>
    <comment ref="BI10" authorId="2">
      <text>
        <r>
          <rPr>
            <sz val="10"/>
            <rFont val="Arial"/>
            <family val="2"/>
          </rPr>
          <t xml:space="preserve">Guidance 2/26/04:
</t>
        </r>
        <r>
          <rPr>
            <sz val="10"/>
            <rFont val="Arial"/>
            <family val="2"/>
          </rPr>
          <t xml:space="preserve">+2-4%
</t>
        </r>
      </text>
    </comment>
    <comment ref="BM10" authorId="2">
      <text>
        <r>
          <rPr>
            <sz val="10"/>
            <rFont val="Arial"/>
            <family val="2"/>
          </rPr>
          <t xml:space="preserve">2/24/05:
</t>
        </r>
        <r>
          <rPr>
            <sz val="10"/>
            <rFont val="Arial"/>
            <family val="2"/>
          </rPr>
          <t>Comp guidance: +3-4%</t>
        </r>
        <r>
          <rPr>
            <sz val="10"/>
            <rFont val="Arial"/>
            <family val="2"/>
          </rPr>
          <t xml:space="preserve">
</t>
        </r>
        <r>
          <rPr>
            <sz val="10"/>
            <rFont val="Arial"/>
            <family val="2"/>
          </rPr>
          <t xml:space="preserve">
</t>
        </r>
      </text>
    </comment>
    <comment ref="BQ10" authorId="0">
      <text>
        <r>
          <rPr>
            <sz val="10"/>
            <rFont val="Arial"/>
            <family val="2"/>
          </rPr>
          <t>mmcclell:</t>
        </r>
        <r>
          <rPr>
            <sz val="10"/>
            <rFont val="Arial"/>
            <family val="2"/>
          </rPr>
          <t xml:space="preserve">
mgmt guidance of 2-4%</t>
        </r>
      </text>
    </comment>
    <comment ref="BS10" authorId="3">
      <text>
        <r>
          <rPr>
            <sz val="10"/>
            <rFont val="Arial"/>
            <family val="2"/>
          </rPr>
          <t xml:space="preserve">Guidance: 3/1/2007
$3.5-$3.57Bn
</t>
        </r>
      </text>
    </comment>
    <comment ref="BT10" authorId="0">
      <text>
        <r>
          <rPr>
            <sz val="10"/>
            <rFont val="Arial"/>
            <family val="2"/>
          </rPr>
          <t>Guidance: 3/1/07
+10-12%</t>
        </r>
        <r>
          <rPr>
            <sz val="10"/>
            <rFont val="Arial"/>
            <family val="2"/>
          </rPr>
          <t xml:space="preserve">
</t>
        </r>
      </text>
    </comment>
    <comment ref="BU10" authorId="0">
      <text>
        <r>
          <rPr>
            <sz val="10"/>
            <rFont val="Arial"/>
            <family val="2"/>
          </rPr>
          <t>Guidance: 4/12/07
+5% comp vs. previous guidance of +2-4%</t>
        </r>
      </text>
    </comment>
    <comment ref="BX10" authorId="0">
      <text>
        <r>
          <rPr>
            <sz val="10"/>
            <rFont val="Arial"/>
            <family val="2"/>
          </rPr>
          <t>Guidance: 2/28/2008
+4-6%</t>
        </r>
      </text>
    </comment>
    <comment ref="BY10" authorId="0">
      <text>
        <r>
          <rPr>
            <sz val="10"/>
            <rFont val="Arial"/>
            <family val="2"/>
          </rPr>
          <t>5/15/2008
ATV (2.1)% 
AUR (1.5)%
UPT (0.6)%
Trans/Ave Store (4.6)%
Guidance: 2/28/2008
(3-5)%</t>
        </r>
        <r>
          <rPr>
            <sz val="10"/>
            <rFont val="Arial"/>
            <family val="2"/>
          </rPr>
          <t xml:space="preserve">
</t>
        </r>
      </text>
    </comment>
    <comment ref="CB10" authorId="4">
      <text>
        <r>
          <rPr>
            <sz val="10"/>
            <rFont val="Arial"/>
            <family val="2"/>
          </rPr>
          <t xml:space="preserve">Guidance: 2/26/09
</t>
        </r>
        <r>
          <rPr>
            <sz val="10"/>
            <rFont val="Arial"/>
            <family val="2"/>
          </rPr>
          <t>(1-3)%</t>
        </r>
      </text>
    </comment>
    <comment ref="CC10" authorId="4">
      <text>
        <r>
          <rPr>
            <sz val="10"/>
            <rFont val="Arial"/>
            <family val="2"/>
          </rPr>
          <t xml:space="preserve">Comment: 5/14/09
</t>
        </r>
        <r>
          <rPr>
            <sz val="10"/>
            <rFont val="Arial"/>
            <family val="2"/>
          </rPr>
          <t xml:space="preserve">ATV (1.6)% 
AUR 5.8%
UPT (7.4)%
Trans/Ave Store (2.6)%
</t>
        </r>
        <r>
          <rPr>
            <sz val="10"/>
            <rFont val="Arial"/>
            <family val="2"/>
          </rPr>
          <t xml:space="preserve">
Guidance: 2/26/09
</t>
        </r>
        <r>
          <rPr>
            <sz val="10"/>
            <rFont val="Arial"/>
            <family val="2"/>
          </rPr>
          <t>(5-8)%</t>
        </r>
      </text>
    </comment>
    <comment ref="CF10" authorId="2">
      <text>
        <r>
          <rPr>
            <sz val="10"/>
            <rFont val="Arial"/>
            <family val="2"/>
          </rPr>
          <t>Guidance 2/25/10:</t>
        </r>
        <r>
          <rPr>
            <sz val="10"/>
            <rFont val="Arial"/>
            <family val="2"/>
          </rPr>
          <t xml:space="preserve">
1Q Total Sales: +4-6%
</t>
        </r>
      </text>
    </comment>
    <comment ref="CG10" authorId="2">
      <text>
        <r>
          <rPr>
            <sz val="10"/>
            <rFont val="Arial"/>
            <family val="2"/>
          </rPr>
          <t>Guidance 2/25/10:</t>
        </r>
        <r>
          <rPr>
            <sz val="10"/>
            <rFont val="Arial"/>
            <family val="2"/>
          </rPr>
          <t xml:space="preserve">
1Q Comps: +1-3%
</t>
        </r>
      </text>
    </comment>
    <comment ref="CJ10" authorId="2">
      <text>
        <r>
          <rPr>
            <sz val="10"/>
            <rFont val="Arial"/>
            <family val="2"/>
          </rPr>
          <t xml:space="preserve">Guidance 2/24/11:
</t>
        </r>
        <r>
          <rPr>
            <sz val="10"/>
            <rFont val="Arial"/>
            <family val="2"/>
          </rPr>
          <t xml:space="preserve">Total sales +4-6%
</t>
        </r>
      </text>
    </comment>
    <comment ref="CK10" authorId="2">
      <text>
        <r>
          <rPr>
            <sz val="10"/>
            <rFont val="Arial"/>
            <family val="2"/>
          </rPr>
          <t xml:space="preserve">Guidance 2/24/11:
</t>
        </r>
        <r>
          <rPr>
            <sz val="10"/>
            <rFont val="Arial"/>
            <family val="2"/>
          </rPr>
          <t>Comp +2-4%
Online benefited comp 150 bps in 1Q</t>
        </r>
      </text>
    </comment>
    <comment ref="CN10" authorId="5">
      <text>
        <r>
          <rPr>
            <sz val="10"/>
            <rFont val="Arial"/>
            <family val="2"/>
          </rPr>
          <t xml:space="preserve">Guidance: 2/23/2012
</t>
        </r>
        <r>
          <rPr>
            <sz val="10"/>
            <rFont val="Arial"/>
            <family val="2"/>
          </rPr>
          <t xml:space="preserve">3% sales growth
</t>
        </r>
      </text>
    </comment>
    <comment ref="CO10" authorId="5">
      <text>
        <r>
          <rPr>
            <sz val="10"/>
            <rFont val="Arial"/>
            <family val="2"/>
          </rPr>
          <t xml:space="preserve">5/10/2012 Commentary
</t>
        </r>
        <r>
          <rPr>
            <sz val="10"/>
            <rFont val="Arial"/>
            <family val="2"/>
          </rPr>
          <t>1)</t>
        </r>
        <r>
          <rPr>
            <sz val="10"/>
            <rFont val="Arial"/>
            <family val="2"/>
          </rPr>
          <t xml:space="preserve"> AUR +4.9%; UPT-3.3%; Avg Trans Value +1.6%; Trans/Store -1.4%
</t>
        </r>
        <r>
          <rPr>
            <sz val="10"/>
            <rFont val="Arial"/>
            <family val="2"/>
          </rPr>
          <t xml:space="preserve">2) Credit share 56%, +270 bps y/y
3) Categories: Men's, children's and accessories outperformed; women's ~flat; footwear slightly
negative; home LSD decrease 
4) Regions: Mid-Atlantic, Midwest and Northeast signif. outperformed warmer South Central, South East and West regions
- Midwest/Northeast +LSD
- Southeast / South Central regions -LSD 
- West -MSD 
5) E-comm sales +34% y/y to ~$250M of sales </t>
        </r>
        <r>
          <rPr>
            <sz val="10"/>
            <rFont val="Arial"/>
            <family val="2"/>
          </rPr>
          <t xml:space="preserve">
5/3/2012 Commentary 
</t>
        </r>
        <r>
          <rPr>
            <sz val="10"/>
            <rFont val="Arial"/>
            <family val="2"/>
          </rPr>
          <t>- Regions = West, Mid Atlantic, Midwest and Northeast Outperformed South Central, Southeast and Northwest 
- Categories:
1) Men’s, children’s and accessories outperformed
2) Women’s flat
3) Footwear negative
4) Home -LSD 
5) Trans - 1%; AUR mostly drive comp</t>
        </r>
        <r>
          <rPr>
            <sz val="10"/>
            <rFont val="Arial"/>
            <family val="2"/>
          </rPr>
          <t xml:space="preserve">
Guidance: 2/23/2012
+</t>
        </r>
        <r>
          <rPr>
            <sz val="10"/>
            <rFont val="Arial"/>
            <family val="2"/>
          </rPr>
          <t xml:space="preserve">1% comp 
- Guidance assumes AUR up slightly (+LSD)
</t>
        </r>
      </text>
    </comment>
    <comment ref="CR10" authorId="5">
      <text>
        <r>
          <rPr>
            <b/>
            <sz val="8"/>
            <color indexed="81"/>
            <rFont val="Tahoma"/>
            <family val="2"/>
          </rPr>
          <t xml:space="preserve">2/28/2013 guidance: </t>
        </r>
        <r>
          <rPr>
            <sz val="8"/>
            <color indexed="81"/>
            <rFont val="Tahoma"/>
            <family val="2"/>
          </rPr>
          <t xml:space="preserve">
+0.5-2.5%</t>
        </r>
      </text>
    </comment>
    <comment ref="CS10" authorId="5">
      <text>
        <r>
          <rPr>
            <b/>
            <sz val="8"/>
            <color indexed="81"/>
            <rFont val="Tahoma"/>
            <family val="2"/>
          </rPr>
          <t xml:space="preserve">2/28/2013 guidance: </t>
        </r>
        <r>
          <rPr>
            <sz val="8"/>
            <color indexed="81"/>
            <rFont val="Tahoma"/>
            <family val="2"/>
          </rPr>
          <t>0-2%; note: guidance assumes traffic improvement not a ticket increase</t>
        </r>
      </text>
    </comment>
    <comment ref="DA10" authorId="6">
      <text>
        <r>
          <rPr>
            <b/>
            <sz val="9"/>
            <color indexed="81"/>
            <rFont val="Tahoma"/>
            <family val="2"/>
          </rPr>
          <t>casselau:</t>
        </r>
        <r>
          <rPr>
            <sz val="9"/>
            <color indexed="81"/>
            <rFont val="Tahoma"/>
            <family val="2"/>
          </rPr>
          <t xml:space="preserve">
5/14/15: Feb weakest month of the quarter; March/April accelerated 200 bps; Feb slightly negative, March/April +2%</t>
        </r>
      </text>
    </comment>
    <comment ref="DI10" authorId="7">
      <text>
        <r>
          <rPr>
            <b/>
            <sz val="9"/>
            <color indexed="81"/>
            <rFont val="Tahoma"/>
            <family val="2"/>
          </rPr>
          <t>Cassel, Lauren (Research):</t>
        </r>
        <r>
          <rPr>
            <sz val="9"/>
            <color indexed="81"/>
            <rFont val="Tahoma"/>
            <family val="2"/>
          </rPr>
          <t xml:space="preserve">
5/11/17:  "dramatic improvement" in March/April -1%; April +MSD comp; February -HSD (we estimate -8%) improved to -1% in March/April combined period (almost 900 bps improvement); UA exceeded expectations - accelerated growth in active category; national brands 55% of sales; overall active sales +mid-teens growth rate (NKE +HSD) vs. +MSD last year; private brands -MSD; 
13% BOPUS vs. 5% last year; saw a 900 bps improvement in March/April from February in non-Kohls Charge business
Average transaction value increased for the quarter. The increase was driven by a continued increase in average unit retail, which was partially offset by a decrease in units per transaction. Transactions were down, but improved significantly throughout the quarter, with March and April improving almost 600 basis points from February.
[But where] home and men's outperformed the company (positive), while our women's and accessories businesses continued to be challenging. as well as children's
By region, the warm weather regions, the Southeast, South Central and West, outperformed the cold weather regions, with California being relatively strong.</t>
        </r>
      </text>
    </comment>
    <comment ref="DM10" authorId="8">
      <text>
        <r>
          <rPr>
            <b/>
            <sz val="9"/>
            <color indexed="81"/>
            <rFont val="Tahoma"/>
            <family val="2"/>
          </rPr>
          <t>De Courreges, Edouard (Research):</t>
        </r>
        <r>
          <rPr>
            <sz val="9"/>
            <color indexed="81"/>
            <rFont val="Tahoma"/>
            <family val="2"/>
          </rPr>
          <t xml:space="preserve">
2/28/18: we expect first quarter comp sales to exceed the high end of our annual guidance</t>
        </r>
      </text>
    </comment>
    <comment ref="BI11" authorId="2">
      <text>
        <r>
          <rPr>
            <sz val="10"/>
            <rFont val="Arial"/>
            <family val="2"/>
          </rPr>
          <t xml:space="preserve">Guidance 5/13/04:
</t>
        </r>
        <r>
          <rPr>
            <sz val="10"/>
            <rFont val="Arial"/>
            <family val="2"/>
          </rPr>
          <t xml:space="preserve">Flat
</t>
        </r>
      </text>
    </comment>
    <comment ref="BM11" authorId="0">
      <text>
        <r>
          <rPr>
            <sz val="10"/>
            <rFont val="Arial"/>
            <family val="2"/>
          </rPr>
          <t xml:space="preserve">5/12/05:
</t>
        </r>
        <r>
          <rPr>
            <sz val="10"/>
            <rFont val="Arial"/>
            <family val="2"/>
          </rPr>
          <t xml:space="preserve">Comp guidance: +4-5%
</t>
        </r>
      </text>
    </comment>
    <comment ref="BP11" authorId="0">
      <text>
        <r>
          <rPr>
            <sz val="10"/>
            <rFont val="Arial"/>
            <family val="2"/>
          </rPr>
          <t>mmcclell:</t>
        </r>
        <r>
          <rPr>
            <sz val="10"/>
            <rFont val="Arial"/>
            <family val="2"/>
          </rPr>
          <t xml:space="preserve">
guidance of 11-13%</t>
        </r>
      </text>
    </comment>
    <comment ref="BQ11" authorId="0">
      <text>
        <r>
          <rPr>
            <sz val="10"/>
            <rFont val="Arial"/>
            <family val="2"/>
          </rPr>
          <t>mmcclell:</t>
        </r>
        <r>
          <rPr>
            <sz val="10"/>
            <rFont val="Arial"/>
            <family val="2"/>
          </rPr>
          <t xml:space="preserve">
mgmt guidance of +2-4%</t>
        </r>
      </text>
    </comment>
    <comment ref="BS11" authorId="3">
      <text>
        <r>
          <rPr>
            <sz val="10"/>
            <rFont val="Arial"/>
            <family val="2"/>
          </rPr>
          <t>Consensus 2/3/2007
$3,694</t>
        </r>
      </text>
    </comment>
    <comment ref="BT11" authorId="0">
      <text>
        <r>
          <rPr>
            <sz val="10"/>
            <rFont val="Arial"/>
            <family val="2"/>
          </rPr>
          <t>Guidance: 3/1/07
+10-12%</t>
        </r>
        <r>
          <rPr>
            <sz val="10"/>
            <rFont val="Arial"/>
            <family val="2"/>
          </rPr>
          <t xml:space="preserve">
</t>
        </r>
      </text>
    </comment>
    <comment ref="BU11" authorId="0">
      <text>
        <r>
          <rPr>
            <sz val="10"/>
            <rFont val="Arial"/>
            <family val="2"/>
          </rPr>
          <t>Guidance: 3/1/07
+2-4%
1.3% comp:
- avg transaxn value +2.5%
- transaxn/store -1.2%</t>
        </r>
      </text>
    </comment>
    <comment ref="BX11" authorId="0">
      <text>
        <r>
          <rPr>
            <sz val="10"/>
            <rFont val="Arial"/>
            <family val="2"/>
          </rPr>
          <t>Guidance: 5/15/2008
+4-6%</t>
        </r>
      </text>
    </comment>
    <comment ref="BY11" authorId="3">
      <text>
        <r>
          <rPr>
            <sz val="10"/>
            <rFont val="Arial"/>
            <family val="2"/>
          </rPr>
          <t xml:space="preserve">Comment: 11/13/09
</t>
        </r>
        <r>
          <rPr>
            <sz val="10"/>
            <rFont val="Arial"/>
            <family val="2"/>
          </rPr>
          <t xml:space="preserve">ATV (0.2)% 
AUR 1.5%
UPT (1.7)%
Trans/Ave Store (4.4)%
</t>
        </r>
        <r>
          <rPr>
            <sz val="10"/>
            <rFont val="Arial"/>
            <family val="2"/>
          </rPr>
          <t xml:space="preserve">
5/15/2008
(3-5)%</t>
        </r>
      </text>
    </comment>
    <comment ref="CB11" authorId="4">
      <text>
        <r>
          <rPr>
            <sz val="10"/>
            <rFont val="Arial"/>
            <family val="2"/>
          </rPr>
          <t xml:space="preserve">Guidance: 5/14/09
</t>
        </r>
        <r>
          <rPr>
            <sz val="10"/>
            <rFont val="Arial"/>
            <family val="2"/>
          </rPr>
          <t>(1-4)%</t>
        </r>
      </text>
    </comment>
    <comment ref="CC11" authorId="1">
      <text>
        <r>
          <rPr>
            <sz val="10"/>
            <rFont val="Arial"/>
            <family val="2"/>
          </rPr>
          <t>Comment: 8/13/09</t>
        </r>
        <r>
          <rPr>
            <sz val="10"/>
            <rFont val="Arial"/>
            <family val="2"/>
          </rPr>
          <t xml:space="preserve">
ATV (2.6)% 
AUR 1.9%
UPT (4.5)%
Trans/Ave Store 0.3%</t>
        </r>
        <r>
          <rPr>
            <sz val="10"/>
            <rFont val="Arial"/>
            <family val="2"/>
          </rPr>
          <t xml:space="preserve">
Guidance: 5/14/2009
</t>
        </r>
        <r>
          <rPr>
            <sz val="10"/>
            <rFont val="Arial"/>
            <family val="2"/>
          </rPr>
          <t xml:space="preserve">(5-8)%
</t>
        </r>
      </text>
    </comment>
    <comment ref="CF11" authorId="2">
      <text>
        <r>
          <rPr>
            <sz val="10"/>
            <rFont val="Arial"/>
            <family val="2"/>
          </rPr>
          <t>Guidance 5/13/2010:
+</t>
        </r>
        <r>
          <rPr>
            <sz val="10"/>
            <rFont val="Arial"/>
            <family val="2"/>
          </rPr>
          <t xml:space="preserve">5-7%
</t>
        </r>
      </text>
    </comment>
    <comment ref="CG11" authorId="2">
      <text>
        <r>
          <rPr>
            <sz val="10"/>
            <rFont val="Arial"/>
            <family val="2"/>
          </rPr>
          <t>Guidance 5/13/2010:
+</t>
        </r>
        <r>
          <rPr>
            <sz val="10"/>
            <rFont val="Arial"/>
            <family val="2"/>
          </rPr>
          <t xml:space="preserve">2-4%
</t>
        </r>
      </text>
    </comment>
    <comment ref="CJ11" authorId="2">
      <text>
        <r>
          <rPr>
            <sz val="10"/>
            <rFont val="Arial"/>
            <family val="2"/>
          </rPr>
          <t xml:space="preserve">Guidance 5/12/11:
</t>
        </r>
        <r>
          <rPr>
            <sz val="10"/>
            <rFont val="Arial"/>
            <family val="2"/>
          </rPr>
          <t xml:space="preserve">Sales +4-6%
</t>
        </r>
      </text>
    </comment>
    <comment ref="CK11" authorId="2">
      <text>
        <r>
          <rPr>
            <sz val="10"/>
            <rFont val="Arial"/>
            <family val="2"/>
          </rPr>
          <t xml:space="preserve">Guidance 5/12/11:
</t>
        </r>
        <r>
          <rPr>
            <sz val="10"/>
            <rFont val="Arial"/>
            <family val="2"/>
          </rPr>
          <t xml:space="preserve">Comp +2-4%
</t>
        </r>
      </text>
    </comment>
    <comment ref="CN11" authorId="5">
      <text>
        <r>
          <rPr>
            <sz val="10"/>
            <rFont val="Arial"/>
            <family val="2"/>
          </rPr>
          <t xml:space="preserve">5/10/2012 Guidance
</t>
        </r>
        <r>
          <rPr>
            <sz val="10"/>
            <rFont val="Arial"/>
            <family val="2"/>
          </rPr>
          <t>2-3% sales growth</t>
        </r>
      </text>
    </comment>
    <comment ref="CO11" authorId="5">
      <text>
        <r>
          <rPr>
            <sz val="10"/>
            <rFont val="Arial"/>
            <family val="2"/>
          </rPr>
          <t xml:space="preserve">8/9/2012 Comment
</t>
        </r>
        <r>
          <rPr>
            <sz val="10"/>
            <rFont val="Arial"/>
            <family val="2"/>
          </rPr>
          <t xml:space="preserve">1) ATV +1.8% w/ +6.2% AUR &amp; -4.4% UPT; Trans -4.5%
2) Credit penetration: 57%, +160 bps; YTD 56%, +215 bps
3) 55% of sales priv/exclusive, +200 bps driven by new new exclusive brands JLo, Marc Anthony, Rock &amp; Republic
4) Saw notable sales improvement in many entry level price pts in July as inventory normalized (+3% in July) more similar to 1Q results in these brands after reporting declines earlier in the qtr,
5) Exclusive brands comped LDD, strong performers incldued Lauren Conrad, Fila Sport, Food Network and Simple Vera Wang
</t>
        </r>
        <r>
          <rPr>
            <sz val="10"/>
            <rFont val="Arial"/>
            <family val="2"/>
          </rPr>
          <t xml:space="preserve">
7/5/2012 Guidance
</t>
        </r>
        <r>
          <rPr>
            <sz val="10"/>
            <rFont val="Arial"/>
            <family val="2"/>
          </rPr>
          <t>-3% range</t>
        </r>
        <r>
          <rPr>
            <sz val="10"/>
            <rFont val="Arial"/>
            <family val="2"/>
          </rPr>
          <t xml:space="preserve">
5/31/2012 Comment
</t>
        </r>
        <r>
          <rPr>
            <sz val="10"/>
            <rFont val="Arial"/>
            <family val="2"/>
          </rPr>
          <t xml:space="preserve">2Q comp guidance lowered to modestly negative (from flat to +1%)
</t>
        </r>
        <r>
          <rPr>
            <sz val="10"/>
            <rFont val="Arial"/>
            <family val="2"/>
          </rPr>
          <t xml:space="preserve">
5/10/2012 Comment
</t>
        </r>
        <r>
          <rPr>
            <sz val="10"/>
            <rFont val="Arial"/>
            <family val="2"/>
          </rPr>
          <t>- Flat to 1%
- Expect low inventory levels to weigh on sales in 2Q (similar to 1Q)</t>
        </r>
        <r>
          <rPr>
            <sz val="10"/>
            <rFont val="Arial"/>
            <family val="2"/>
          </rPr>
          <t xml:space="preserve">
</t>
        </r>
        <r>
          <rPr>
            <sz val="10"/>
            <rFont val="Arial"/>
            <family val="2"/>
          </rPr>
          <t>- Comp in 2nd 1/2 of 2Q reflects right-sized inventories
- Plan to announce new product intros in mid-2Q (for Fall)</t>
        </r>
        <r>
          <rPr>
            <sz val="10"/>
            <rFont val="Arial"/>
            <family val="2"/>
          </rPr>
          <t xml:space="preserve">
5/3/2012 Comment:
</t>
        </r>
        <r>
          <rPr>
            <sz val="10"/>
            <rFont val="Arial"/>
            <family val="2"/>
          </rPr>
          <t>- Some benefit in June/July from rights sized inventories vs. 1Q12</t>
        </r>
      </text>
    </comment>
    <comment ref="CR11" authorId="5">
      <text>
        <r>
          <rPr>
            <b/>
            <sz val="8"/>
            <color indexed="81"/>
            <rFont val="Tahoma"/>
            <family val="2"/>
          </rPr>
          <t xml:space="preserve">5/16/2013 guidance: </t>
        </r>
        <r>
          <rPr>
            <sz val="8"/>
            <color indexed="81"/>
            <rFont val="Tahoma"/>
            <family val="2"/>
          </rPr>
          <t>+1-3%</t>
        </r>
      </text>
    </comment>
    <comment ref="CS11" authorId="5">
      <text>
        <r>
          <rPr>
            <b/>
            <sz val="8"/>
            <color indexed="81"/>
            <rFont val="Tahoma"/>
            <family val="2"/>
          </rPr>
          <t xml:space="preserve">5/16/2013 guidance: </t>
        </r>
        <r>
          <rPr>
            <sz val="8"/>
            <color indexed="81"/>
            <rFont val="Tahoma"/>
            <family val="2"/>
          </rPr>
          <t>+0-2%</t>
        </r>
      </text>
    </comment>
    <comment ref="CZ11" authorId="9">
      <text>
        <r>
          <rPr>
            <b/>
            <sz val="9"/>
            <color indexed="81"/>
            <rFont val="Tahoma"/>
            <family val="2"/>
          </rPr>
          <t>Mains, Spencer (Research):</t>
        </r>
        <r>
          <rPr>
            <sz val="9"/>
            <color indexed="81"/>
            <rFont val="Tahoma"/>
            <family val="2"/>
          </rPr>
          <t xml:space="preserve">
8/13/15: National brands +6% and penetration up 250 bps for 2Q and 1H.</t>
        </r>
      </text>
    </comment>
    <comment ref="DA11" authorId="9">
      <text>
        <r>
          <rPr>
            <b/>
            <sz val="9"/>
            <color indexed="81"/>
            <rFont val="Tahoma"/>
            <family val="2"/>
          </rPr>
          <t>Mains, Spencer (Research):</t>
        </r>
        <r>
          <rPr>
            <sz val="9"/>
            <color indexed="81"/>
            <rFont val="Tahoma"/>
            <family val="2"/>
          </rPr>
          <t xml:space="preserve">
8/13/15: AUR +2.3%, UPT -1%, transactions -1.2% partially due to shift of tax-free events from July into August.  Two days of tax-free shift and Labor Day a week later probably impacted comp by 50 bps.
Footwear performed better than the co with strength in athletic and men's dress and casual shoes.  Home had strength in premium electronics, luggage, and outdoor recreation online.  
M's business continues to see strength in active.
Accessories continued strength in beauty and fine jewelry.
Childrens performed below co.
Juniors still negative but improved in 2Q.
Strongest regions were West and Midwest. South Central trailed.</t>
        </r>
      </text>
    </comment>
    <comment ref="DE11" authorId="10">
      <text>
        <r>
          <rPr>
            <b/>
            <sz val="9"/>
            <color indexed="81"/>
            <rFont val="Tahoma"/>
            <family val="2"/>
          </rPr>
          <t>Baglione, Gregory  (Research):</t>
        </r>
        <r>
          <rPr>
            <sz val="9"/>
            <color indexed="81"/>
            <rFont val="Tahoma"/>
            <family val="2"/>
          </rPr>
          <t xml:space="preserve">
8/11/16
Transactions per store were down 4.8% for the quarter. Average transaction value increased 300 basis points comprised of a 310 basis point increase in units per transaction and 10 basis point decrease in average unit retail. 
5/12/16
Previous Flat
Updated:
</t>
        </r>
      </text>
    </comment>
    <comment ref="DI11" authorId="11">
      <text>
        <r>
          <rPr>
            <b/>
            <sz val="9"/>
            <color indexed="81"/>
            <rFont val="Tahoma"/>
            <family val="2"/>
          </rPr>
          <t>Roberts, Cynthia (Research):</t>
        </r>
        <r>
          <rPr>
            <sz val="9"/>
            <color indexed="81"/>
            <rFont val="Tahoma"/>
            <family val="2"/>
          </rPr>
          <t xml:space="preserve">
8/10/17: traffic momentum from March/April accelerated in 2Q. Transactions declined y/y, but improved significantly over previous quarters and were positive in July.
ATV +, AUR +, UPT -
July comps flat</t>
        </r>
      </text>
    </comment>
    <comment ref="BI12" authorId="2">
      <text>
        <r>
          <rPr>
            <sz val="10"/>
            <rFont val="Arial"/>
            <family val="2"/>
          </rPr>
          <t xml:space="preserve">8/12/04:
</t>
        </r>
        <r>
          <rPr>
            <sz val="10"/>
            <rFont val="Arial"/>
            <family val="2"/>
          </rPr>
          <t>+LSD</t>
        </r>
        <r>
          <rPr>
            <sz val="10"/>
            <rFont val="Arial"/>
            <family val="2"/>
          </rPr>
          <t xml:space="preserve">
</t>
        </r>
        <r>
          <rPr>
            <sz val="10"/>
            <rFont val="Arial"/>
            <family val="2"/>
          </rPr>
          <t xml:space="preserve">
</t>
        </r>
      </text>
    </comment>
    <comment ref="BM12" authorId="0">
      <text>
        <r>
          <rPr>
            <sz val="10"/>
            <rFont val="Arial"/>
            <family val="2"/>
          </rPr>
          <t xml:space="preserve">8/11/05:
</t>
        </r>
        <r>
          <rPr>
            <sz val="10"/>
            <rFont val="Arial"/>
            <family val="2"/>
          </rPr>
          <t xml:space="preserve">Comp guidance: +4-6%
</t>
        </r>
      </text>
    </comment>
    <comment ref="BP12" authorId="0">
      <text>
        <r>
          <rPr>
            <sz val="10"/>
            <rFont val="Arial"/>
            <family val="2"/>
          </rPr>
          <t>+10-12% (8/10/06)</t>
        </r>
        <r>
          <rPr>
            <sz val="10"/>
            <rFont val="Arial"/>
            <family val="2"/>
          </rPr>
          <t xml:space="preserve">
</t>
        </r>
      </text>
    </comment>
    <comment ref="BQ12" authorId="0">
      <text>
        <r>
          <rPr>
            <sz val="10"/>
            <rFont val="Arial"/>
            <family val="2"/>
          </rPr>
          <t>mgmt guidance of +2-4% (8/10/06)</t>
        </r>
      </text>
    </comment>
    <comment ref="BS12" authorId="3">
      <text>
        <r>
          <rPr>
            <sz val="10"/>
            <rFont val="Arial"/>
            <family val="2"/>
          </rPr>
          <t>Consensus 2/3/2007
$4,103</t>
        </r>
      </text>
    </comment>
    <comment ref="BT12" authorId="0">
      <text>
        <r>
          <rPr>
            <sz val="10"/>
            <rFont val="Arial"/>
            <family val="2"/>
          </rPr>
          <t>Guidance: 8/16/07
+10-12%</t>
        </r>
        <r>
          <rPr>
            <sz val="10"/>
            <rFont val="Arial"/>
            <family val="2"/>
          </rPr>
          <t xml:space="preserve">
</t>
        </r>
      </text>
    </comment>
    <comment ref="BU12" authorId="0">
      <text>
        <r>
          <rPr>
            <sz val="10"/>
            <rFont val="Arial"/>
            <family val="2"/>
          </rPr>
          <t>Guidance: 9/5/07
+2-4% (reiterated)</t>
        </r>
      </text>
    </comment>
    <comment ref="BX12" authorId="0">
      <text>
        <r>
          <rPr>
            <sz val="10"/>
            <rFont val="Arial"/>
            <family val="2"/>
          </rPr>
          <t>Guidance: 8/14/2008
+3-5%</t>
        </r>
      </text>
    </comment>
    <comment ref="BY12" authorId="3">
      <text>
        <r>
          <rPr>
            <sz val="10"/>
            <rFont val="Arial"/>
            <family val="2"/>
          </rPr>
          <t xml:space="preserve">Comment: 11/13/09
</t>
        </r>
        <r>
          <rPr>
            <sz val="10"/>
            <rFont val="Arial"/>
            <family val="2"/>
          </rPr>
          <t xml:space="preserve">ATV (0.6)% 
AUR 3.2%
UPT (3.8)%
Trans/Ave Store (6.1)%
</t>
        </r>
        <r>
          <rPr>
            <sz val="10"/>
            <rFont val="Arial"/>
            <family val="2"/>
          </rPr>
          <t xml:space="preserve">
8/14/08 Guidance:
</t>
        </r>
        <r>
          <rPr>
            <sz val="10"/>
            <rFont val="Arial"/>
            <family val="2"/>
          </rPr>
          <t xml:space="preserve">(2-4)%
</t>
        </r>
        <r>
          <rPr>
            <sz val="10"/>
            <rFont val="Arial"/>
            <family val="2"/>
          </rPr>
          <t xml:space="preserve">
5/15/2008 Guidance:
</t>
        </r>
        <r>
          <rPr>
            <sz val="10"/>
            <rFont val="Arial"/>
            <family val="2"/>
          </rPr>
          <t>Per call with Wes, FY comp guidance would imply a (2-4)% growth for 2H.  Assumes no benefit from easier comparisons.</t>
        </r>
      </text>
    </comment>
    <comment ref="CB12" authorId="4">
      <text>
        <r>
          <rPr>
            <sz val="10"/>
            <rFont val="Arial"/>
            <family val="2"/>
          </rPr>
          <t xml:space="preserve">Guidance: 8/13/09
</t>
        </r>
        <r>
          <rPr>
            <sz val="10"/>
            <rFont val="Arial"/>
            <family val="2"/>
          </rPr>
          <t>(1)% to +1%</t>
        </r>
        <r>
          <rPr>
            <sz val="10"/>
            <rFont val="Arial"/>
            <family val="2"/>
          </rPr>
          <t xml:space="preserve">
</t>
        </r>
      </text>
    </comment>
    <comment ref="CC12" authorId="4">
      <text>
        <r>
          <rPr>
            <sz val="10"/>
            <rFont val="Arial"/>
            <family val="2"/>
          </rPr>
          <t xml:space="preserve">Comment: 11/12/09
Q3 Breakdown:
</t>
        </r>
        <r>
          <rPr>
            <sz val="10"/>
            <rFont val="Arial"/>
            <family val="2"/>
          </rPr>
          <t>Comp Sales +2.4%</t>
        </r>
        <r>
          <rPr>
            <sz val="10"/>
            <rFont val="Arial"/>
            <family val="2"/>
          </rPr>
          <t xml:space="preserve"> = </t>
        </r>
        <r>
          <rPr>
            <sz val="10"/>
            <rFont val="Arial"/>
            <family val="2"/>
          </rPr>
          <t>+3.6% Transactions/store - 1.2% Avg Transaction Value</t>
        </r>
        <r>
          <rPr>
            <sz val="10"/>
            <rFont val="Arial"/>
            <family val="2"/>
          </rPr>
          <t xml:space="preserve">
</t>
        </r>
        <r>
          <rPr>
            <sz val="10"/>
            <rFont val="Arial"/>
            <family val="2"/>
          </rPr>
          <t>-1.2% Avg Transaction Value</t>
        </r>
        <r>
          <rPr>
            <sz val="10"/>
            <rFont val="Arial"/>
            <family val="2"/>
          </rPr>
          <t xml:space="preserve"> = </t>
        </r>
        <r>
          <rPr>
            <sz val="10"/>
            <rFont val="Arial"/>
            <family val="2"/>
          </rPr>
          <t>+2.0% Avg Unit Retail - 3.2% Units/transaction</t>
        </r>
        <r>
          <rPr>
            <sz val="10"/>
            <rFont val="Arial"/>
            <family val="2"/>
          </rPr>
          <t xml:space="preserve">
Bottom line: </t>
        </r>
        <r>
          <rPr>
            <sz val="10"/>
            <rFont val="Arial"/>
            <family val="2"/>
          </rPr>
          <t>KSS comp is driven by traffic gains/taking share due to +3.6% Transactions/store</t>
        </r>
        <r>
          <rPr>
            <sz val="10"/>
            <rFont val="Arial"/>
            <family val="2"/>
          </rPr>
          <t xml:space="preserve">
YTD Breakdown:
</t>
        </r>
        <r>
          <rPr>
            <sz val="10"/>
            <rFont val="Arial"/>
            <family val="2"/>
          </rPr>
          <t xml:space="preserve">Comp Sales -1.3% = +0.5% Transactions/store - 1.8% Avg Transaction Value
-1.8% Avg Transaction Value = +3.2% Avg Unit Retail - 5.0% Units/transaction
</t>
        </r>
        <r>
          <rPr>
            <sz val="10"/>
            <rFont val="Arial"/>
            <family val="2"/>
          </rPr>
          <t>Bottom line:</t>
        </r>
        <r>
          <rPr>
            <sz val="10"/>
            <rFont val="Arial"/>
            <family val="2"/>
          </rPr>
          <t xml:space="preserve"> KSS comp is driven by traffic gains/taking share due to +0.5% Transactions/store
</t>
        </r>
        <r>
          <rPr>
            <sz val="10"/>
            <rFont val="Arial"/>
            <family val="2"/>
          </rPr>
          <t xml:space="preserve">
Guidance: 8/13/09
</t>
        </r>
        <r>
          <rPr>
            <sz val="10"/>
            <rFont val="Arial"/>
            <family val="2"/>
          </rPr>
          <t>(3-5)%</t>
        </r>
        <r>
          <rPr>
            <sz val="10"/>
            <rFont val="Arial"/>
            <family val="2"/>
          </rPr>
          <t xml:space="preserve">
</t>
        </r>
      </text>
    </comment>
    <comment ref="CF12" authorId="2">
      <text>
        <r>
          <rPr>
            <sz val="10"/>
            <rFont val="Arial"/>
            <family val="2"/>
          </rPr>
          <t xml:space="preserve">Guidance 8/12/10:
</t>
        </r>
        <r>
          <rPr>
            <sz val="10"/>
            <rFont val="Arial"/>
            <family val="2"/>
          </rPr>
          <t xml:space="preserve">+4.5-6.5%
</t>
        </r>
      </text>
    </comment>
    <comment ref="CG12" authorId="2">
      <text>
        <r>
          <rPr>
            <sz val="10"/>
            <rFont val="Arial"/>
            <family val="2"/>
          </rPr>
          <t xml:space="preserve">Earnings Call 11/11/10:
</t>
        </r>
        <r>
          <rPr>
            <sz val="10"/>
            <rFont val="Arial"/>
            <family val="2"/>
          </rPr>
          <t>Txn per store: +8.3%
UPT: -3.4%
AUR: -3.1%
ATV: -6.5%</t>
        </r>
        <r>
          <rPr>
            <sz val="10"/>
            <rFont val="Arial"/>
            <family val="2"/>
          </rPr>
          <t xml:space="preserve">
Guidance 8/12/10:
</t>
        </r>
        <r>
          <rPr>
            <sz val="10"/>
            <rFont val="Arial"/>
            <family val="2"/>
          </rPr>
          <t xml:space="preserve">+2-4%
</t>
        </r>
      </text>
    </comment>
    <comment ref="CI12" authorId="5">
      <text>
        <r>
          <rPr>
            <sz val="10"/>
            <rFont val="Arial"/>
            <family val="2"/>
          </rPr>
          <t xml:space="preserve">12/2/11 10Q 3Q11
</t>
        </r>
        <r>
          <rPr>
            <sz val="10"/>
            <rFont val="Arial"/>
            <family val="2"/>
          </rPr>
          <t>1) Sales increase components:
$42M comp store sales increase (1.1%)
$44M ecommerce increase (28.4%)
$72M new store sales 
2) Private &amp; exclusive brands sales penetration +270bps to ~51% of total sales 
- private brand portfolio: Apt 9, So and Urban Pipeline all reported dbl digit sales increases
- exclusive brands: FILA, Food Network, Lauren Conrad, MUDD and Simple Vera reported dbl digit sales increases</t>
        </r>
      </text>
    </comment>
    <comment ref="CJ12" authorId="2">
      <text>
        <r>
          <rPr>
            <sz val="10"/>
            <rFont val="Arial"/>
            <family val="2"/>
          </rPr>
          <t xml:space="preserve">Guidance 8/11/11:
</t>
        </r>
        <r>
          <rPr>
            <sz val="10"/>
            <rFont val="Arial"/>
            <family val="2"/>
          </rPr>
          <t xml:space="preserve">+4-6%
</t>
        </r>
      </text>
    </comment>
    <comment ref="CK12" authorId="2">
      <text>
        <r>
          <rPr>
            <sz val="10"/>
            <rFont val="Arial"/>
            <family val="2"/>
          </rPr>
          <t xml:space="preserve">3Q11 10Q
</t>
        </r>
        <r>
          <rPr>
            <sz val="10"/>
            <rFont val="Arial"/>
            <family val="2"/>
          </rPr>
          <t xml:space="preserve">Comp store sales: +$42M 
E-commerce sales: +$44M
</t>
        </r>
        <r>
          <rPr>
            <sz val="10"/>
            <rFont val="Arial"/>
            <family val="2"/>
          </rPr>
          <t xml:space="preserve">
11/10/11 Commentary:
</t>
        </r>
        <r>
          <rPr>
            <sz val="10"/>
            <rFont val="Arial"/>
            <family val="2"/>
          </rPr>
          <t xml:space="preserve">1) 3Q: Avg transaction value +5.2% w/9.5% increase in AUR and -4.3% in units/trans; trans -3.1% (10Q)
2) YTD: Avg transaction value +2.3% w/6.2% increase in AUR and -3.9% in units/trans; trans -0.6% (10Q)
3) Credit share 57%, +430 bps for 3Q (55% ytd, +540 bps)
4) Children’s reported the highest comp on strength in both Boys and Girls; Men’s also out-performed the co avg led by dress shirts and basics; Home, Accessories and Women’s were inline; notable strong performers were small electrics in Home, watches and fashion jewelry in Accessories, and active and updated sportswear in Women’s; Footwear only category to report a decline in comp sales 
5) Private and exclusive brands ~51% of sales, +270bps y/y  (Apt. 9, SO, Urban Pipeline, Fila Sport, Food Network, Lauren Conrad, Mudd and Simply Vera Vera Wang all reported double-digit increases)
6) Southeast reported strongest comp; Midwest and South Central inline; NE &amp; Mid-Atlantic regions slightly under-performed avg but were positive; West was the only region to report a decline
</t>
        </r>
        <r>
          <rPr>
            <sz val="10"/>
            <rFont val="Arial"/>
            <family val="2"/>
          </rPr>
          <t xml:space="preserve">
Guidance 8/11/11:
</t>
        </r>
        <r>
          <rPr>
            <sz val="10"/>
            <rFont val="Arial"/>
            <family val="2"/>
          </rPr>
          <t xml:space="preserve">+2-4%
</t>
        </r>
      </text>
    </comment>
    <comment ref="CN12" authorId="5">
      <text>
        <r>
          <rPr>
            <sz val="10"/>
            <rFont val="Arial"/>
            <family val="2"/>
          </rPr>
          <t xml:space="preserve">8/9/2012 Guidance
</t>
        </r>
        <r>
          <rPr>
            <sz val="10"/>
            <rFont val="Arial"/>
            <family val="2"/>
          </rPr>
          <t>+1-3%</t>
        </r>
      </text>
    </comment>
    <comment ref="CO12" authorId="5">
      <text>
        <r>
          <rPr>
            <sz val="10"/>
            <rFont val="Arial"/>
            <family val="2"/>
          </rPr>
          <t xml:space="preserve">10/4/2012 Guidance: </t>
        </r>
        <r>
          <rPr>
            <sz val="10"/>
            <rFont val="Arial"/>
            <family val="2"/>
          </rPr>
          <t xml:space="preserve">Maintain flat to +2%
</t>
        </r>
        <r>
          <rPr>
            <sz val="10"/>
            <rFont val="Arial"/>
            <family val="2"/>
          </rPr>
          <t xml:space="preserve">
8/9/2012 Guidance
</t>
        </r>
        <r>
          <rPr>
            <sz val="10"/>
            <rFont val="Arial"/>
            <family val="2"/>
          </rPr>
          <t>Flat to +2% w/ Sales +1-3%</t>
        </r>
        <r>
          <rPr>
            <sz val="10"/>
            <rFont val="Arial"/>
            <family val="2"/>
          </rPr>
          <t xml:space="preserve">
7/5/2012 Guidance
- </t>
        </r>
        <r>
          <rPr>
            <sz val="10"/>
            <rFont val="Arial"/>
            <family val="2"/>
          </rPr>
          <t>Mgmt expects +3-4% comp in the fall w/ AUR flat to up slightly 2H12; units less negative vs. 1H to positive; trans. less negative and could turn positive
- Mgmt expects apparel prices +LSD-MSD in 2H12 due to mix shift from higher priced exclusive products (i.e. JLo/Marc Anthony, Rock and Republic) and prices up MSD in home (big in 4Q), accessories, and footwear (big in 3Q)
- Expect ecomm +40% in 3Q</t>
        </r>
      </text>
    </comment>
    <comment ref="CR12" authorId="12">
      <text>
        <r>
          <rPr>
            <b/>
            <sz val="8"/>
            <color indexed="81"/>
            <rFont val="Tahoma"/>
            <family val="2"/>
          </rPr>
          <t xml:space="preserve">8/15/13 guidance: </t>
        </r>
        <r>
          <rPr>
            <sz val="8"/>
            <color indexed="81"/>
            <rFont val="Tahoma"/>
            <family val="2"/>
          </rPr>
          <t>1-3%</t>
        </r>
        <r>
          <rPr>
            <sz val="8"/>
            <color indexed="81"/>
            <rFont val="Tahoma"/>
            <family val="2"/>
          </rPr>
          <t xml:space="preserve">
</t>
        </r>
      </text>
    </comment>
    <comment ref="CS12" authorId="12">
      <text>
        <r>
          <rPr>
            <b/>
            <sz val="8"/>
            <color indexed="81"/>
            <rFont val="Tahoma"/>
            <family val="2"/>
          </rPr>
          <t xml:space="preserve">8/15/13 guidance: </t>
        </r>
        <r>
          <rPr>
            <sz val="8"/>
            <color indexed="81"/>
            <rFont val="Tahoma"/>
            <family val="2"/>
          </rPr>
          <t>0-2%</t>
        </r>
        <r>
          <rPr>
            <sz val="8"/>
            <color indexed="81"/>
            <rFont val="Tahoma"/>
            <family val="2"/>
          </rPr>
          <t xml:space="preserve">
benefit to 3Q13 comp from anniversary of hurricane Sandy LY (that week is now in 3Q TY vs. 4Q LY)
</t>
        </r>
        <r>
          <rPr>
            <b/>
            <sz val="8"/>
            <color indexed="81"/>
            <rFont val="Tahoma"/>
            <family val="2"/>
          </rPr>
          <t>11/14/13 CC</t>
        </r>
        <r>
          <rPr>
            <sz val="8"/>
            <color indexed="81"/>
            <rFont val="Tahoma"/>
            <family val="2"/>
          </rPr>
          <t>: Avg transaction value down 80bps
UPT +1.1%
AUR -1.9%
Transaction per store down 80 bps</t>
        </r>
      </text>
    </comment>
    <comment ref="DA12" authorId="9">
      <text>
        <r>
          <rPr>
            <b/>
            <sz val="9"/>
            <color indexed="81"/>
            <rFont val="Tahoma"/>
            <family val="2"/>
          </rPr>
          <t>Mains, Spencer (Research):</t>
        </r>
        <r>
          <rPr>
            <sz val="9"/>
            <color indexed="81"/>
            <rFont val="Tahoma"/>
            <family val="2"/>
          </rPr>
          <t xml:space="preserve">
11/12/15: AUR +50 bps, UPT +130 bps, transactions -80 bps.
11/5/15
Reducing comp forecast to 1.2% from 1.5% to reflect softer sales environment
8/13/15: Should benefit from tax-free holiday shift per the 2Q call  aprox. 50 bps
</t>
        </r>
      </text>
    </comment>
    <comment ref="DH12" authorId="11">
      <text>
        <r>
          <rPr>
            <b/>
            <sz val="9"/>
            <color indexed="81"/>
            <rFont val="Tahoma"/>
            <family val="2"/>
          </rPr>
          <t>Roberts, Cynthia (Research):</t>
        </r>
        <r>
          <rPr>
            <sz val="9"/>
            <color indexed="81"/>
            <rFont val="Tahoma"/>
            <family val="2"/>
          </rPr>
          <t xml:space="preserve">
11/9/17: Hurricane est. -35 bps to comp ($15M)</t>
        </r>
      </text>
    </comment>
    <comment ref="DI12" authorId="11">
      <text>
        <r>
          <rPr>
            <b/>
            <sz val="9"/>
            <color indexed="81"/>
            <rFont val="Tahoma"/>
            <family val="2"/>
          </rPr>
          <t>Roberts, Cynthia (Research):</t>
        </r>
        <r>
          <rPr>
            <sz val="9"/>
            <color indexed="81"/>
            <rFont val="Tahoma"/>
            <family val="2"/>
          </rPr>
          <t xml:space="preserve">
11/9/17: Back to School running +LSD, middle of the quarter was soft with disruptions from hurricane and unseasonal weather. Qtr closed with strong sales in 2H October
Comp drive by improved traffic (still negative), +ATV (strong increase in AUR offset by UPT)
Hurricane est. -35 bps to comp ($15M)</t>
        </r>
      </text>
    </comment>
    <comment ref="BE13" authorId="2">
      <text>
        <r>
          <rPr>
            <sz val="10"/>
            <rFont val="Arial"/>
            <family val="2"/>
          </rPr>
          <t xml:space="preserve">Guidance 11/13/03:
</t>
        </r>
        <r>
          <rPr>
            <sz val="10"/>
            <rFont val="Arial"/>
            <family val="2"/>
          </rPr>
          <t xml:space="preserve">+LSD-MSD 
</t>
        </r>
      </text>
    </comment>
    <comment ref="BI13" authorId="2">
      <text>
        <r>
          <rPr>
            <sz val="10"/>
            <rFont val="Arial"/>
            <family val="2"/>
          </rPr>
          <t xml:space="preserve">11/11/04:
</t>
        </r>
        <r>
          <rPr>
            <sz val="10"/>
            <rFont val="Arial"/>
            <family val="2"/>
          </rPr>
          <t>Comp guidance: +1-3%</t>
        </r>
        <r>
          <rPr>
            <sz val="10"/>
            <rFont val="Arial"/>
            <family val="2"/>
          </rPr>
          <t xml:space="preserve">
</t>
        </r>
        <r>
          <rPr>
            <sz val="10"/>
            <rFont val="Arial"/>
            <family val="2"/>
          </rPr>
          <t xml:space="preserve">
</t>
        </r>
      </text>
    </comment>
    <comment ref="BM13" authorId="0">
      <text>
        <r>
          <rPr>
            <sz val="10"/>
            <rFont val="Arial"/>
            <family val="2"/>
          </rPr>
          <t xml:space="preserve">11/10/05:
</t>
        </r>
        <r>
          <rPr>
            <sz val="10"/>
            <rFont val="Arial"/>
            <family val="2"/>
          </rPr>
          <t>Comp guidance: +4-6%
traffic up 1.7%, ticket up 1%</t>
        </r>
      </text>
    </comment>
    <comment ref="BO13" authorId="0">
      <text>
        <r>
          <rPr>
            <sz val="10"/>
            <rFont val="Arial"/>
            <family val="2"/>
          </rPr>
          <t>includes impact of 53rd week</t>
        </r>
        <r>
          <rPr>
            <sz val="10"/>
            <rFont val="Arial"/>
            <family val="2"/>
          </rPr>
          <t xml:space="preserve">
</t>
        </r>
      </text>
    </comment>
    <comment ref="BP13" authorId="0">
      <text>
        <r>
          <rPr>
            <sz val="10"/>
            <rFont val="Arial"/>
            <family val="2"/>
          </rPr>
          <t>+15-18% (8/10/06)</t>
        </r>
        <r>
          <rPr>
            <sz val="10"/>
            <rFont val="Arial"/>
            <family val="2"/>
          </rPr>
          <t xml:space="preserve">
</t>
        </r>
      </text>
    </comment>
    <comment ref="BQ13" authorId="0">
      <text>
        <r>
          <rPr>
            <sz val="10"/>
            <rFont val="Arial"/>
            <family val="2"/>
          </rPr>
          <t>Mgmt Guidance: 11/9/06: re-affirmed +2-4% comp growth
mgmt guidance of +2-4% (8/10/06)</t>
        </r>
        <r>
          <rPr>
            <sz val="10"/>
            <rFont val="Arial"/>
            <family val="2"/>
          </rPr>
          <t xml:space="preserve">
KSS can leverage expenses on a 2% comp.  Above 2%, each additional 1% comp growth results in 5-8 bps of expense leverage</t>
        </r>
      </text>
    </comment>
    <comment ref="BS13" authorId="3">
      <text>
        <r>
          <rPr>
            <sz val="10"/>
            <rFont val="Arial"/>
            <family val="2"/>
          </rPr>
          <t>Consensus 2/3/2007
$6,061</t>
        </r>
      </text>
    </comment>
    <comment ref="BT13" authorId="0">
      <text>
        <r>
          <rPr>
            <sz val="10"/>
            <rFont val="Arial"/>
            <family val="2"/>
          </rPr>
          <t>Guidance 11/15/07:
3-5%
Guidance: 8/16/07
+7-9%</t>
        </r>
        <r>
          <rPr>
            <sz val="10"/>
            <rFont val="Arial"/>
            <family val="2"/>
          </rPr>
          <t xml:space="preserve">
</t>
        </r>
      </text>
    </comment>
    <comment ref="BU13" authorId="0">
      <text>
        <r>
          <rPr>
            <sz val="10"/>
            <rFont val="Arial"/>
            <family val="2"/>
          </rPr>
          <t xml:space="preserve">Guidance: 12/6/07
</t>
        </r>
        <r>
          <rPr>
            <sz val="10"/>
            <rFont val="Arial"/>
            <family val="2"/>
          </rPr>
          <t>flat to down (2%)</t>
        </r>
        <r>
          <rPr>
            <sz val="10"/>
            <rFont val="Arial"/>
            <family val="2"/>
          </rPr>
          <t xml:space="preserve">
Guidance: 11/15/07
</t>
        </r>
        <r>
          <rPr>
            <sz val="10"/>
            <rFont val="Arial"/>
            <family val="2"/>
          </rPr>
          <t>flat to down (2%)</t>
        </r>
        <r>
          <rPr>
            <sz val="10"/>
            <rFont val="Arial"/>
            <family val="2"/>
          </rPr>
          <t xml:space="preserve">
Guidance: 8/16/07
</t>
        </r>
        <r>
          <rPr>
            <sz val="10"/>
            <rFont val="Arial"/>
            <family val="2"/>
          </rPr>
          <t>+1-3%</t>
        </r>
      </text>
    </comment>
    <comment ref="BX13" authorId="0">
      <text>
        <r>
          <rPr>
            <sz val="10"/>
            <rFont val="Arial"/>
            <family val="2"/>
          </rPr>
          <t xml:space="preserve">Guidance: 11/13/2008
</t>
        </r>
        <r>
          <rPr>
            <sz val="10"/>
            <rFont val="Arial"/>
            <family val="2"/>
          </rPr>
          <t>(4)%-(8)%</t>
        </r>
        <r>
          <rPr>
            <sz val="10"/>
            <rFont val="Arial"/>
            <family val="2"/>
          </rPr>
          <t xml:space="preserve">
Guidance: 8/14/2008
</t>
        </r>
        <r>
          <rPr>
            <sz val="10"/>
            <rFont val="Arial"/>
            <family val="2"/>
          </rPr>
          <t>+1.5-3.5%</t>
        </r>
      </text>
    </comment>
    <comment ref="BY13" authorId="3">
      <text>
        <r>
          <rPr>
            <sz val="10"/>
            <rFont val="Arial"/>
            <family val="2"/>
          </rPr>
          <t xml:space="preserve">Comment: 2/26/09
</t>
        </r>
        <r>
          <rPr>
            <sz val="10"/>
            <rFont val="Arial"/>
            <family val="2"/>
          </rPr>
          <t>ATV (1.2)% 
AUR 3.2%
UPT (4.4)%
Trans/Ave Store (7.9)%</t>
        </r>
        <r>
          <rPr>
            <sz val="10"/>
            <rFont val="Arial"/>
            <family val="2"/>
          </rPr>
          <t xml:space="preserve">
11/16/08
</t>
        </r>
        <r>
          <rPr>
            <sz val="10"/>
            <rFont val="Arial"/>
            <family val="2"/>
          </rPr>
          <t>(8)-(12)%</t>
        </r>
        <r>
          <rPr>
            <sz val="10"/>
            <rFont val="Arial"/>
            <family val="2"/>
          </rPr>
          <t xml:space="preserve">
8/14/08
</t>
        </r>
        <r>
          <rPr>
            <sz val="10"/>
            <rFont val="Arial"/>
            <family val="2"/>
          </rPr>
          <t xml:space="preserve">(2-4)%
</t>
        </r>
        <r>
          <rPr>
            <sz val="10"/>
            <rFont val="Arial"/>
            <family val="2"/>
          </rPr>
          <t xml:space="preserve">
5/15/2008
</t>
        </r>
        <r>
          <rPr>
            <sz val="10"/>
            <rFont val="Arial"/>
            <family val="2"/>
          </rPr>
          <t>Per call with Wes, FY comp guidance would imply a (2-4)% growth for 2H.  Assumes no benefit from easier comparisons.</t>
        </r>
      </text>
    </comment>
    <comment ref="CB13" authorId="4">
      <text>
        <r>
          <rPr>
            <sz val="10"/>
            <rFont val="Arial"/>
            <family val="2"/>
          </rPr>
          <t xml:space="preserve">Guidance: 11/12/2009
</t>
        </r>
        <r>
          <rPr>
            <sz val="10"/>
            <rFont val="Arial"/>
            <family val="2"/>
          </rPr>
          <t>+3-6%</t>
        </r>
        <r>
          <rPr>
            <sz val="10"/>
            <rFont val="Arial"/>
            <family val="2"/>
          </rPr>
          <t xml:space="preserve">
Guidance: 8/13/09
</t>
        </r>
        <r>
          <rPr>
            <sz val="10"/>
            <rFont val="Arial"/>
            <family val="2"/>
          </rPr>
          <t>(1)% to +1%</t>
        </r>
        <r>
          <rPr>
            <sz val="10"/>
            <rFont val="Arial"/>
            <family val="2"/>
          </rPr>
          <t xml:space="preserve">
</t>
        </r>
      </text>
    </comment>
    <comment ref="CC13" authorId="4">
      <text>
        <r>
          <rPr>
            <sz val="10"/>
            <rFont val="Arial"/>
            <family val="2"/>
          </rPr>
          <t xml:space="preserve">Guidance: 11/12/09
</t>
        </r>
        <r>
          <rPr>
            <sz val="10"/>
            <rFont val="Arial"/>
            <family val="2"/>
          </rPr>
          <t xml:space="preserve">-1% to +2%
Nov: Toward lower end of Q; dismisses DD% increase by Street; Nov 2008 comp understated due to Thsgving shift
Dec: Toward higher end of Q; helped by extra day; worth approx 2% 
Jan: Somewhere in middle
</t>
        </r>
        <r>
          <rPr>
            <sz val="10"/>
            <rFont val="Arial"/>
            <family val="2"/>
          </rPr>
          <t xml:space="preserve">
Guidance: 8/13/09
</t>
        </r>
        <r>
          <rPr>
            <sz val="10"/>
            <rFont val="Arial"/>
            <family val="2"/>
          </rPr>
          <t>(3-5)%</t>
        </r>
        <r>
          <rPr>
            <sz val="10"/>
            <rFont val="Arial"/>
            <family val="2"/>
          </rPr>
          <t xml:space="preserve">
</t>
        </r>
      </text>
    </comment>
    <comment ref="CF13" authorId="2">
      <text>
        <r>
          <rPr>
            <sz val="10"/>
            <rFont val="Arial"/>
            <family val="2"/>
          </rPr>
          <t xml:space="preserve">Guidance 11/11/10:
</t>
        </r>
        <r>
          <rPr>
            <sz val="10"/>
            <rFont val="Arial"/>
            <family val="2"/>
          </rPr>
          <t xml:space="preserve">+4.5-6.5%
</t>
        </r>
        <r>
          <rPr>
            <sz val="10"/>
            <rFont val="Arial"/>
            <family val="2"/>
          </rPr>
          <t xml:space="preserve">
Guidance 8/12/10:
</t>
        </r>
        <r>
          <rPr>
            <sz val="10"/>
            <rFont val="Arial"/>
            <family val="2"/>
          </rPr>
          <t>+4.5-6.5%</t>
        </r>
      </text>
    </comment>
    <comment ref="CG13" authorId="2">
      <text>
        <r>
          <rPr>
            <sz val="10"/>
            <rFont val="Arial"/>
            <family val="2"/>
          </rPr>
          <t xml:space="preserve">Guidance 11/11/10:
</t>
        </r>
        <r>
          <rPr>
            <sz val="10"/>
            <rFont val="Arial"/>
            <family val="2"/>
          </rPr>
          <t xml:space="preserve">+2-4%
Nov: low end
Dec: high end (extra selling day)
Jan: inline
</t>
        </r>
        <r>
          <rPr>
            <sz val="10"/>
            <rFont val="Arial"/>
            <family val="2"/>
          </rPr>
          <t xml:space="preserve">
Guidance 8/12/10:
</t>
        </r>
        <r>
          <rPr>
            <sz val="10"/>
            <rFont val="Arial"/>
            <family val="2"/>
          </rPr>
          <t xml:space="preserve">+2-4%
</t>
        </r>
      </text>
    </comment>
    <comment ref="CJ13" authorId="1">
      <text>
        <r>
          <rPr>
            <sz val="10"/>
            <rFont val="Arial"/>
            <family val="2"/>
          </rPr>
          <t>Guidance: 11/10/2011</t>
        </r>
        <r>
          <rPr>
            <sz val="10"/>
            <rFont val="Arial"/>
            <family val="2"/>
          </rPr>
          <t xml:space="preserve">
+4-6%</t>
        </r>
      </text>
    </comment>
    <comment ref="CK13" authorId="5">
      <text>
        <r>
          <rPr>
            <sz val="10"/>
            <rFont val="Arial"/>
            <family val="2"/>
          </rPr>
          <t xml:space="preserve">2/23/12 comment
</t>
        </r>
        <r>
          <rPr>
            <sz val="10"/>
            <rFont val="Arial"/>
            <family val="2"/>
          </rPr>
          <t>Avg transaction value:+0.4%
AUR: +7.4% 
Units per trans:  -7%
# of transactions / store: -2.5%
Credit penetration: 53%, +320 bps
Categories: 
- Accessories positive comp  w/ strength in watches &amp; accessories
- Home and children's &gt; co. avg; Home led by electrics, children's by toys 
- Men's consistent w/ co avg led by men's furnishings
- Footwear and women's &lt; co. avg
* Women's apparel was modestly positive on strength in active and updated sportswear 
* Footwear -LSD w/ women's athletic shoes as a drag
- Pentration of priv/exclusive brands ~50%, +200 bps y/y</t>
        </r>
        <r>
          <rPr>
            <sz val="10"/>
            <rFont val="Arial"/>
            <family val="2"/>
          </rPr>
          <t xml:space="preserve">
11/10/11 Guidance:
</t>
        </r>
        <r>
          <rPr>
            <sz val="10"/>
            <rFont val="Arial"/>
            <family val="2"/>
          </rPr>
          <t xml:space="preserve">1) +2-4% w/ 200bps from online
2) Nov toward low-end
3) Dec toward high-end - ~100bps benefit from extra day
4) January mid of range
5) Expect AUR +HSD (not as high as 3Q; cost of pdts sold +10-15%)
6) Units down in qtr, but &lt; retail is up
</t>
        </r>
        <r>
          <rPr>
            <sz val="10"/>
            <rFont val="Arial"/>
            <family val="2"/>
          </rPr>
          <t xml:space="preserve">
11/2/11 Guidance: 
</t>
        </r>
        <r>
          <rPr>
            <sz val="10"/>
            <rFont val="Arial"/>
            <family val="2"/>
          </rPr>
          <t>+2-4% w/ 200bp benefit from on-line (vs. 100-120bps in 1Q-3Q)</t>
        </r>
      </text>
    </comment>
    <comment ref="CN13" authorId="5">
      <text>
        <r>
          <rPr>
            <b/>
            <sz val="8"/>
            <color indexed="81"/>
            <rFont val="Tahoma"/>
            <family val="2"/>
          </rPr>
          <t xml:space="preserve">2/7/2013 prn: </t>
        </r>
        <r>
          <rPr>
            <sz val="8"/>
            <color indexed="81"/>
            <rFont val="Tahoma"/>
            <family val="2"/>
          </rPr>
          <t>+2.5% ex the extra wk</t>
        </r>
        <r>
          <rPr>
            <b/>
            <sz val="8"/>
            <color indexed="81"/>
            <rFont val="Tahoma"/>
            <family val="2"/>
          </rPr>
          <t xml:space="preserve">
11/8/2012: </t>
        </r>
        <r>
          <rPr>
            <sz val="8"/>
            <color indexed="81"/>
            <rFont val="Tahoma"/>
            <family val="2"/>
          </rPr>
          <t>+7-8% on +3-4% SSS</t>
        </r>
      </text>
    </comment>
    <comment ref="CO13" authorId="5">
      <text>
        <r>
          <rPr>
            <sz val="10"/>
            <rFont val="Arial"/>
            <family val="2"/>
          </rPr>
          <t>11/8/2012</t>
        </r>
        <r>
          <rPr>
            <sz val="10"/>
            <rFont val="Arial"/>
            <family val="2"/>
          </rPr>
          <t xml:space="preserve"> 4Q +3-4%</t>
        </r>
        <r>
          <rPr>
            <sz val="10"/>
            <rFont val="Arial"/>
            <family val="2"/>
          </rPr>
          <t xml:space="preserve">
8/9/2012 Guidance </t>
        </r>
        <r>
          <rPr>
            <sz val="10"/>
            <rFont val="Arial"/>
            <family val="2"/>
          </rPr>
          <t>4Q +3-4%</t>
        </r>
        <r>
          <rPr>
            <sz val="10"/>
            <rFont val="Arial"/>
            <family val="2"/>
          </rPr>
          <t xml:space="preserve">
7/5/2012 Guidance
- </t>
        </r>
        <r>
          <rPr>
            <sz val="10"/>
            <rFont val="Arial"/>
            <family val="2"/>
          </rPr>
          <t>Mgmt expects +3-4% comp in the fall w/ AUR flat to up slightly 2H12; units less negative vs. 1H to positive; trans. less negative and could turn positive
- Mgmt expects apparel prices +LSD-MSD in 2H12 due to mix shift from higher priced exclusive products (i.e. JLo/Marc Anthony, Rock and Republic) and prices up MSD in home (big in 4Q), accessories, and footwear (big in 3Q)
- Expect ecomm ~+30% in 4Q</t>
        </r>
      </text>
    </comment>
    <comment ref="CR13" authorId="13">
      <text>
        <r>
          <rPr>
            <b/>
            <sz val="8"/>
            <color indexed="81"/>
            <rFont val="Tahoma"/>
            <family val="2"/>
          </rPr>
          <t xml:space="preserve">11/14/13 PR: </t>
        </r>
        <r>
          <rPr>
            <sz val="8"/>
            <color indexed="81"/>
            <rFont val="Tahoma"/>
            <family val="2"/>
          </rPr>
          <t>-4% to -2%</t>
        </r>
        <r>
          <rPr>
            <sz val="8"/>
            <color indexed="81"/>
            <rFont val="Tahoma"/>
            <family val="2"/>
          </rPr>
          <t xml:space="preserve">
</t>
        </r>
      </text>
    </comment>
    <comment ref="CS13" authorId="12">
      <text>
        <r>
          <rPr>
            <b/>
            <sz val="8"/>
            <color indexed="81"/>
            <rFont val="Tahoma"/>
            <family val="2"/>
          </rPr>
          <t xml:space="preserve">2/6/14 PR: </t>
        </r>
        <r>
          <rPr>
            <sz val="8"/>
            <color indexed="81"/>
            <rFont val="Tahoma"/>
            <family val="2"/>
          </rPr>
          <t>-2%</t>
        </r>
        <r>
          <rPr>
            <b/>
            <sz val="8"/>
            <color indexed="81"/>
            <rFont val="Tahoma"/>
            <family val="2"/>
          </rPr>
          <t xml:space="preserve">
8/15/13 conf call: </t>
        </r>
        <r>
          <rPr>
            <sz val="8"/>
            <color indexed="81"/>
            <rFont val="Tahoma"/>
            <family val="2"/>
          </rPr>
          <t>implied comp -2% to 0%</t>
        </r>
        <r>
          <rPr>
            <sz val="8"/>
            <color indexed="81"/>
            <rFont val="Tahoma"/>
            <family val="2"/>
          </rPr>
          <t xml:space="preserve">
</t>
        </r>
        <r>
          <rPr>
            <b/>
            <sz val="8"/>
            <color indexed="81"/>
            <rFont val="Tahoma"/>
            <family val="2"/>
          </rPr>
          <t>11/14/13</t>
        </r>
        <r>
          <rPr>
            <sz val="8"/>
            <color indexed="81"/>
            <rFont val="Tahoma"/>
            <family val="2"/>
          </rPr>
          <t>: -2% to 0%. Calendar shift will affect the reported fiscal comp by 160 bps</t>
        </r>
      </text>
    </comment>
    <comment ref="CW13" authorId="14">
      <text>
        <r>
          <rPr>
            <b/>
            <sz val="9"/>
            <color indexed="81"/>
            <rFont val="Tahoma"/>
            <family val="2"/>
          </rPr>
          <t xml:space="preserve">2/26/15: </t>
        </r>
        <r>
          <rPr>
            <sz val="9"/>
            <color indexed="81"/>
            <rFont val="Tahoma"/>
            <family val="2"/>
          </rPr>
          <t>AUR +2.8%, UPT -1.1%, transactions +2%; January +HSD; all lines of business and regions positive (+3-5%); children's, footwear, and men's +M-HSD; non-credit card customers +LSD</t>
        </r>
        <r>
          <rPr>
            <b/>
            <sz val="9"/>
            <color indexed="81"/>
            <rFont val="Tahoma"/>
            <family val="2"/>
          </rPr>
          <t xml:space="preserve">
2/4/15: </t>
        </r>
        <r>
          <rPr>
            <sz val="9"/>
            <color indexed="81"/>
            <rFont val="Tahoma"/>
            <family val="2"/>
          </rPr>
          <t>preannounced +3.7%</t>
        </r>
        <r>
          <rPr>
            <b/>
            <sz val="9"/>
            <color indexed="81"/>
            <rFont val="Tahoma"/>
            <family val="2"/>
          </rPr>
          <t xml:space="preserve"> 
11/12/14: </t>
        </r>
        <r>
          <rPr>
            <sz val="9"/>
            <color indexed="81"/>
            <rFont val="Tahoma"/>
            <family val="2"/>
          </rPr>
          <t xml:space="preserve">guidance 2-3%
</t>
        </r>
      </text>
    </comment>
    <comment ref="DE13" authorId="10">
      <text>
        <r>
          <rPr>
            <b/>
            <sz val="9"/>
            <color indexed="81"/>
            <rFont val="Tahoma"/>
            <family val="2"/>
          </rPr>
          <t>Baglione, Gregory  (Research):</t>
        </r>
        <r>
          <rPr>
            <sz val="9"/>
            <color indexed="81"/>
            <rFont val="Tahoma"/>
            <family val="2"/>
          </rPr>
          <t xml:space="preserve">
2/23/17: Men's strongest, accesories weakest
1/4/17
Kohl’s Corporation (NYSE:KSS) today reported that its comparable sales
decreased 2.1 percent in the fiscal months of November and December 2016
combined, compared with the prior year period. Total sales for the combined
fiscal November and December period decreased 2.7 percent.
</t>
        </r>
      </text>
    </comment>
    <comment ref="DG13" authorId="7">
      <text>
        <r>
          <rPr>
            <b/>
            <sz val="9"/>
            <color indexed="81"/>
            <rFont val="Tahoma"/>
            <family val="2"/>
          </rPr>
          <t>Cassel, Lauren (Research):</t>
        </r>
        <r>
          <rPr>
            <sz val="9"/>
            <color indexed="81"/>
            <rFont val="Tahoma"/>
            <family val="2"/>
          </rPr>
          <t xml:space="preserve">
3/1/18:  During this 53(rd) week, total sales were approximately $170 million
2/23/17: 53rd week sales $160M</t>
        </r>
      </text>
    </comment>
    <comment ref="DI13" authorId="11">
      <text>
        <r>
          <rPr>
            <b/>
            <sz val="9"/>
            <color indexed="81"/>
            <rFont val="Tahoma"/>
            <family val="2"/>
          </rPr>
          <t>Roberts, Cynthia (Research):</t>
        </r>
        <r>
          <rPr>
            <sz val="9"/>
            <color indexed="81"/>
            <rFont val="Tahoma"/>
            <family val="2"/>
          </rPr>
          <t xml:space="preserve">
1/8/18:  Holiday comps +6.9%, 6.0% estimate assumes some January slowdown on a tougher monthly compare. Store sales positive on "stronger" (still negative) traffic. All regions and all lines of business comped positvely</t>
        </r>
      </text>
    </comment>
    <comment ref="BM14" authorId="0">
      <text>
        <r>
          <rPr>
            <sz val="10"/>
            <rFont val="Arial"/>
            <family val="2"/>
          </rPr>
          <t>ticket up 2.2%, traffic up 1.2%</t>
        </r>
      </text>
    </comment>
    <comment ref="BP14" authorId="15">
      <text>
        <r>
          <rPr>
            <sz val="10"/>
            <rFont val="Arial"/>
            <family val="2"/>
          </rPr>
          <t>Guidance: 11/9/06
+15-18% growth y/y</t>
        </r>
        <r>
          <rPr>
            <sz val="10"/>
            <rFont val="Arial"/>
            <family val="2"/>
          </rPr>
          <t xml:space="preserve">
</t>
        </r>
      </text>
    </comment>
    <comment ref="BQ14" authorId="15">
      <text>
        <r>
          <rPr>
            <sz val="10"/>
            <rFont val="Arial"/>
            <family val="2"/>
          </rPr>
          <t>afloam:</t>
        </r>
        <r>
          <rPr>
            <sz val="10"/>
            <rFont val="Arial"/>
            <family val="2"/>
          </rPr>
          <t xml:space="preserve">
comp guidance of +2-4% given on 4Q call</t>
        </r>
      </text>
    </comment>
    <comment ref="BS14" authorId="3">
      <text>
        <r>
          <rPr>
            <sz val="10"/>
            <rFont val="Arial"/>
            <family val="2"/>
          </rPr>
          <t>Consensus 2/3/2007
$17,442</t>
        </r>
      </text>
    </comment>
    <comment ref="BT14" authorId="0">
      <text>
        <r>
          <rPr>
            <sz val="10"/>
            <rFont val="Arial"/>
            <family val="2"/>
          </rPr>
          <t>Guidance: 3/1/07
+9-11%</t>
        </r>
        <r>
          <rPr>
            <sz val="10"/>
            <rFont val="Arial"/>
            <family val="2"/>
          </rPr>
          <t xml:space="preserve">
</t>
        </r>
      </text>
    </comment>
    <comment ref="BU14" authorId="0">
      <text>
        <r>
          <rPr>
            <sz val="10"/>
            <rFont val="Arial"/>
            <family val="2"/>
          </rPr>
          <t>Guidance: 3/1/07
+2-4%</t>
        </r>
      </text>
    </comment>
    <comment ref="BX14" authorId="0">
      <text>
        <r>
          <rPr>
            <sz val="10"/>
            <rFont val="Arial"/>
            <family val="2"/>
          </rPr>
          <t>Guidance: 5/15/2008
Down to +2-4%
2/28/2008 +5-8%</t>
        </r>
      </text>
    </comment>
    <comment ref="BY14" authorId="0">
      <text>
        <r>
          <rPr>
            <sz val="10"/>
            <rFont val="Arial"/>
            <family val="2"/>
          </rPr>
          <t>Guidance: 5/15/2008
Down to (3-5)%
2/28/2008: (3)-0%</t>
        </r>
        <r>
          <rPr>
            <sz val="10"/>
            <rFont val="Arial"/>
            <family val="2"/>
          </rPr>
          <t xml:space="preserve">
</t>
        </r>
      </text>
    </comment>
    <comment ref="CB14" authorId="4">
      <text>
        <r>
          <rPr>
            <sz val="10"/>
            <rFont val="Arial"/>
            <family val="2"/>
          </rPr>
          <t xml:space="preserve">Guidance: 2/26/09
</t>
        </r>
        <r>
          <rPr>
            <sz val="10"/>
            <rFont val="Arial"/>
            <family val="2"/>
          </rPr>
          <t>(1-3)%</t>
        </r>
      </text>
    </comment>
    <comment ref="CC14" authorId="4">
      <text>
        <r>
          <rPr>
            <sz val="10"/>
            <rFont val="Arial"/>
            <family val="2"/>
          </rPr>
          <t xml:space="preserve">Guidance: 2/26/09
</t>
        </r>
        <r>
          <rPr>
            <sz val="10"/>
            <rFont val="Arial"/>
            <family val="2"/>
          </rPr>
          <t>(5-8)%</t>
        </r>
      </text>
    </comment>
    <comment ref="CI14" authorId="5">
      <text>
        <r>
          <rPr>
            <sz val="10"/>
            <rFont val="Arial"/>
            <family val="2"/>
          </rPr>
          <t xml:space="preserve">2011 10K
</t>
        </r>
        <r>
          <rPr>
            <sz val="10"/>
            <rFont val="Arial"/>
            <family val="2"/>
          </rPr>
          <t>Sales by category:</t>
        </r>
        <r>
          <rPr>
            <sz val="10"/>
            <rFont val="Arial"/>
            <family val="2"/>
          </rPr>
          <t xml:space="preserve">
Women's 31%
Men's 19%
Home 19%
Children's 13%
Accessories 10%
Footwear 8%
</t>
        </r>
        <r>
          <rPr>
            <sz val="10"/>
            <rFont val="Arial"/>
            <family val="2"/>
          </rPr>
          <t xml:space="preserve">Penetration of Exclusive &amp; Private Brands:
</t>
        </r>
        <r>
          <rPr>
            <sz val="10"/>
            <rFont val="Arial"/>
            <family val="2"/>
          </rPr>
          <t xml:space="preserve">50.3%, +240 bps y/y
Net Sales/SF $220M (ex ecomm) vs $222 in 2011
</t>
        </r>
        <r>
          <rPr>
            <sz val="10"/>
            <rFont val="Arial"/>
            <family val="2"/>
          </rPr>
          <t xml:space="preserve">Regional:
</t>
        </r>
        <r>
          <rPr>
            <sz val="10"/>
            <rFont val="Arial"/>
            <family val="2"/>
          </rPr>
          <t>NE +LSD
All other regions reported decrease of 1-3%</t>
        </r>
      </text>
    </comment>
    <comment ref="CJ14" authorId="2">
      <text>
        <r>
          <rPr>
            <sz val="10"/>
            <rFont val="Arial"/>
            <family val="2"/>
          </rPr>
          <t xml:space="preserve">Guidance 2/24/11:
</t>
        </r>
        <r>
          <rPr>
            <sz val="10"/>
            <rFont val="Arial"/>
            <family val="2"/>
          </rPr>
          <t>Total sales +4-6%
Comp Sales Breakdown:
Stores -$175M, -1%
E-comm $267M, +37.2%
Total $92M, 0.5%
Sales from new stores $321M</t>
        </r>
      </text>
    </comment>
    <comment ref="CK14" authorId="2">
      <text>
        <r>
          <rPr>
            <sz val="10"/>
            <rFont val="Arial"/>
            <family val="2"/>
          </rPr>
          <t xml:space="preserve">2/23/12 comment / 2011 10k
Store comp in FY11 was (1)%
</t>
        </r>
        <r>
          <rPr>
            <sz val="10"/>
            <rFont val="Arial"/>
            <family val="2"/>
          </rPr>
          <t xml:space="preserve">Avg transaction value:+1.7%
AUR: +6.6% 
Units per trans:  -4.9%
# of transactions / store: -1.2%
Credit penetration: 54%, +470 bps
Comp benefit from direct added 150bps
</t>
        </r>
        <r>
          <rPr>
            <sz val="10"/>
            <rFont val="Arial"/>
            <family val="2"/>
          </rPr>
          <t xml:space="preserve">
Guidance 2/24/11:
</t>
        </r>
        <r>
          <rPr>
            <sz val="10"/>
            <rFont val="Arial"/>
            <family val="2"/>
          </rPr>
          <t xml:space="preserve">Comp +2-4%
</t>
        </r>
      </text>
    </comment>
    <comment ref="CN14" authorId="5">
      <text>
        <r>
          <rPr>
            <sz val="10"/>
            <rFont val="Arial"/>
            <family val="2"/>
          </rPr>
          <t xml:space="preserve">2/28/2013: </t>
        </r>
        <r>
          <rPr>
            <sz val="10"/>
            <rFont val="Arial"/>
            <family val="2"/>
          </rPr>
          <t xml:space="preserve">charge penetration 54%, +80bps; 48% private/exclusive +30 bps
</t>
        </r>
        <r>
          <rPr>
            <sz val="10"/>
            <rFont val="Arial"/>
            <family val="2"/>
          </rPr>
          <t xml:space="preserve">
2/7/2013 prn: </t>
        </r>
        <r>
          <rPr>
            <sz val="10"/>
            <rFont val="Arial"/>
            <family val="2"/>
          </rPr>
          <t>+1.6% ex the extra week</t>
        </r>
        <r>
          <rPr>
            <sz val="10"/>
            <rFont val="Arial"/>
            <family val="2"/>
          </rPr>
          <t xml:space="preserve">
Guidance: 2/23/2012
</t>
        </r>
        <r>
          <rPr>
            <sz val="10"/>
            <rFont val="Arial"/>
            <family val="2"/>
          </rPr>
          <t xml:space="preserve">+4.5% total sales growth (or 3.5% sales growth ex extra week)
+$200M in sales from extra week
</t>
        </r>
        <r>
          <rPr>
            <sz val="10"/>
            <rFont val="Arial"/>
            <family val="2"/>
          </rPr>
          <t xml:space="preserve">
</t>
        </r>
      </text>
    </comment>
    <comment ref="CO14" authorId="5">
      <text>
        <r>
          <rPr>
            <sz val="10"/>
            <rFont val="Arial"/>
            <family val="2"/>
          </rPr>
          <t xml:space="preserve">7/5/2012 Guidance
</t>
        </r>
        <r>
          <rPr>
            <sz val="10"/>
            <rFont val="Arial"/>
            <family val="2"/>
          </rPr>
          <t xml:space="preserve">- Mgmt expects +3-4% comp in the fall w/ AUR flat to up slightly 2H12; units less negative vs. 1H to positive; trans. less negative and could turn positive
- Extra week excluded from comp
</t>
        </r>
        <r>
          <rPr>
            <sz val="10"/>
            <rFont val="Arial"/>
            <family val="2"/>
          </rPr>
          <t xml:space="preserve">
Guidance: 2/23/2012
+</t>
        </r>
        <r>
          <rPr>
            <sz val="10"/>
            <rFont val="Arial"/>
            <family val="2"/>
          </rPr>
          <t xml:space="preserve">2% comp in 2012 
- Guidance assumes AUR flat to down slightly (units up)
</t>
        </r>
        <r>
          <rPr>
            <sz val="10"/>
            <rFont val="Arial"/>
            <family val="2"/>
          </rPr>
          <t xml:space="preserve">
</t>
        </r>
      </text>
    </comment>
    <comment ref="CS14" authorId="5">
      <text>
        <r>
          <rPr>
            <b/>
            <sz val="8"/>
            <color indexed="81"/>
            <rFont val="Tahoma"/>
            <family val="2"/>
          </rPr>
          <t xml:space="preserve">2/28/2013 guidance: </t>
        </r>
        <r>
          <rPr>
            <sz val="8"/>
            <color indexed="81"/>
            <rFont val="Tahoma"/>
            <family val="2"/>
          </rPr>
          <t>0-2%; guidance assumes traffic improvement not a ticket increase</t>
        </r>
      </text>
    </comment>
    <comment ref="CV14" authorId="13">
      <text>
        <r>
          <rPr>
            <b/>
            <sz val="8"/>
            <color indexed="81"/>
            <rFont val="Tahoma"/>
            <family val="2"/>
          </rPr>
          <t>2/27/14 guidance: 0.5-2.5%</t>
        </r>
        <r>
          <rPr>
            <sz val="8"/>
            <color indexed="81"/>
            <rFont val="Tahoma"/>
            <family val="2"/>
          </rPr>
          <t xml:space="preserve">
</t>
        </r>
      </text>
    </comment>
    <comment ref="CW14" authorId="13">
      <text>
        <r>
          <rPr>
            <b/>
            <sz val="8"/>
            <color indexed="81"/>
            <rFont val="Tahoma"/>
            <family val="2"/>
          </rPr>
          <t>2/27/14 guidance: 0-2%</t>
        </r>
        <r>
          <rPr>
            <sz val="8"/>
            <color indexed="81"/>
            <rFont val="Tahoma"/>
            <family val="2"/>
          </rPr>
          <t xml:space="preserve">
</t>
        </r>
      </text>
    </comment>
    <comment ref="CZ14" authorId="9">
      <text>
        <r>
          <rPr>
            <b/>
            <sz val="9"/>
            <color indexed="81"/>
            <rFont val="Tahoma"/>
            <family val="2"/>
          </rPr>
          <t>Mains, Spencer (Research):</t>
        </r>
        <r>
          <rPr>
            <sz val="9"/>
            <color indexed="81"/>
            <rFont val="Tahoma"/>
            <family val="2"/>
          </rPr>
          <t xml:space="preserve">
</t>
        </r>
        <r>
          <rPr>
            <b/>
            <sz val="9"/>
            <color indexed="81"/>
            <rFont val="Tahoma"/>
            <family val="2"/>
          </rPr>
          <t>2/26/15</t>
        </r>
        <r>
          <rPr>
            <sz val="9"/>
            <color indexed="81"/>
            <rFont val="Tahoma"/>
            <family val="2"/>
          </rPr>
          <t xml:space="preserve"> guidance: +1.8-2.8%</t>
        </r>
      </text>
    </comment>
    <comment ref="DA14" authorId="9">
      <text>
        <r>
          <rPr>
            <b/>
            <sz val="9"/>
            <color indexed="81"/>
            <rFont val="Tahoma"/>
            <family val="2"/>
          </rPr>
          <t>Mains, Spencer (Research):</t>
        </r>
        <r>
          <rPr>
            <sz val="9"/>
            <color indexed="81"/>
            <rFont val="Tahoma"/>
            <family val="2"/>
          </rPr>
          <t xml:space="preserve">
</t>
        </r>
        <r>
          <rPr>
            <b/>
            <sz val="9"/>
            <color indexed="81"/>
            <rFont val="Tahoma"/>
            <family val="2"/>
          </rPr>
          <t>2/26/15</t>
        </r>
        <r>
          <rPr>
            <sz val="9"/>
            <color indexed="81"/>
            <rFont val="Tahoma"/>
            <family val="2"/>
          </rPr>
          <t xml:space="preserve"> </t>
        </r>
        <r>
          <rPr>
            <b/>
            <sz val="9"/>
            <color indexed="81"/>
            <rFont val="Tahoma"/>
            <family val="2"/>
          </rPr>
          <t>guidance</t>
        </r>
        <r>
          <rPr>
            <sz val="9"/>
            <color indexed="81"/>
            <rFont val="Tahoma"/>
            <family val="2"/>
          </rPr>
          <t xml:space="preserve">: 1.5% to 2.5% increase (assumes flat traffic; +2% transaction value)
</t>
        </r>
      </text>
    </comment>
    <comment ref="DD14" authorId="10">
      <text>
        <r>
          <rPr>
            <b/>
            <sz val="9"/>
            <color indexed="81"/>
            <rFont val="Tahoma"/>
            <family val="2"/>
          </rPr>
          <t>Baglione, Gregory  (Research):</t>
        </r>
        <r>
          <rPr>
            <sz val="9"/>
            <color indexed="81"/>
            <rFont val="Tahoma"/>
            <family val="2"/>
          </rPr>
          <t xml:space="preserve">
2/25/16 Guide
Total sales range of (0.5)% to 0.5%
</t>
        </r>
      </text>
    </comment>
    <comment ref="DE14" authorId="10">
      <text>
        <r>
          <rPr>
            <b/>
            <sz val="9"/>
            <color indexed="81"/>
            <rFont val="Tahoma"/>
            <family val="2"/>
          </rPr>
          <t>Baglione, Gregory  (Research):</t>
        </r>
        <r>
          <rPr>
            <sz val="9"/>
            <color indexed="81"/>
            <rFont val="Tahoma"/>
            <family val="2"/>
          </rPr>
          <t xml:space="preserve">
8/11/16
Guidance for fall season implies -2% to flat comp for back half 
 -2.6% to -0.6% total sales
5/12/16
No change to guidance. 
2/25/16 Guide 
Comparable sales increase of 0% to 1.0%
</t>
        </r>
      </text>
    </comment>
    <comment ref="DG14" authorId="8">
      <text>
        <r>
          <rPr>
            <b/>
            <sz val="9"/>
            <color indexed="81"/>
            <rFont val="Tahoma"/>
            <family val="2"/>
          </rPr>
          <t>De Courreges, Edouard (Research):</t>
        </r>
        <r>
          <rPr>
            <sz val="9"/>
            <color indexed="81"/>
            <rFont val="Tahoma"/>
            <family val="2"/>
          </rPr>
          <t xml:space="preserve">
Home and Footwear were the strongest categories. Men’s also outperformed the Company average. Accessories and Kids also reported higher comparable sales. Comparable sales trends in the Women’s business improved each quarter, but sales decreased for the year.
All regions reported higher sales in 2017.</t>
        </r>
      </text>
    </comment>
    <comment ref="DH14" authorId="11">
      <text>
        <r>
          <rPr>
            <b/>
            <sz val="9"/>
            <color indexed="81"/>
            <rFont val="Tahoma"/>
            <family val="2"/>
          </rPr>
          <t>Roberts, Cynthia (Research):</t>
        </r>
        <r>
          <rPr>
            <sz val="9"/>
            <color indexed="81"/>
            <rFont val="Tahoma"/>
            <family val="2"/>
          </rPr>
          <t xml:space="preserve">
2/23/17: Guidance: -1.3% to +0.7%, including $160M from the 53rd week.
Management noted to get from 2016's -2.2% comp to -1% or flat in 2017, traffic would need to improve to -3% (vs. -5-6% LY)</t>
        </r>
      </text>
    </comment>
    <comment ref="DI14" authorId="7">
      <text>
        <r>
          <rPr>
            <b/>
            <sz val="9"/>
            <color indexed="81"/>
            <rFont val="Tahoma"/>
            <family val="2"/>
          </rPr>
          <t>Cassel, Lauren (Research):</t>
        </r>
        <r>
          <rPr>
            <sz val="9"/>
            <color indexed="81"/>
            <rFont val="Tahoma"/>
            <family val="2"/>
          </rPr>
          <t xml:space="preserve">
2/23/17: guidance flat to -2% (management expects UA to add 75-100 bps to comp)</t>
        </r>
      </text>
    </comment>
    <comment ref="DL14" authorId="8">
      <text>
        <r>
          <rPr>
            <b/>
            <sz val="9"/>
            <color indexed="81"/>
            <rFont val="Tahoma"/>
            <family val="2"/>
          </rPr>
          <t>De Courreges, Edouard (Research):</t>
        </r>
        <r>
          <rPr>
            <sz val="9"/>
            <color indexed="81"/>
            <rFont val="Tahoma"/>
            <family val="2"/>
          </rPr>
          <t xml:space="preserve">
3/1/18: -1% to +1% guide</t>
        </r>
      </text>
    </comment>
    <comment ref="DM14" authorId="8">
      <text>
        <r>
          <rPr>
            <b/>
            <sz val="9"/>
            <color indexed="81"/>
            <rFont val="Tahoma"/>
            <family val="2"/>
          </rPr>
          <t>De Courreges, Edouard (Research):</t>
        </r>
        <r>
          <rPr>
            <sz val="9"/>
            <color indexed="81"/>
            <rFont val="Tahoma"/>
            <family val="2"/>
          </rPr>
          <t xml:space="preserve">
3/1/18: 0% to +2% guide</t>
        </r>
      </text>
    </comment>
    <comment ref="BT20" authorId="0">
      <text>
        <r>
          <rPr>
            <sz val="10"/>
            <rFont val="Arial"/>
            <family val="2"/>
          </rPr>
          <t>Guidance: 3/1/2007
+20-30bps</t>
        </r>
        <r>
          <rPr>
            <sz val="10"/>
            <rFont val="Arial"/>
            <family val="2"/>
          </rPr>
          <t xml:space="preserve">
</t>
        </r>
        <r>
          <rPr>
            <sz val="10"/>
            <rFont val="Arial"/>
            <family val="2"/>
          </rPr>
          <t>Lower vs. 2Q and FY due to adoption of markdown optimization (which will be rolled out to remaining ~432 stores in February).  Causes a slight deterioration in margin as permanent markdowns are taken earlier.</t>
        </r>
      </text>
    </comment>
    <comment ref="BY20" authorId="0">
      <text>
        <r>
          <rPr>
            <sz val="10"/>
            <rFont val="Arial"/>
            <family val="2"/>
          </rPr>
          <t>5/15/2008
Better inventory position and higher PL/exclusive mix helping.  42% of sales (up over 400 bps in quarter, primarily due to exclusive)
Guidance: 2/28/2008
(20-30) bps</t>
        </r>
        <r>
          <rPr>
            <sz val="10"/>
            <rFont val="Arial"/>
            <family val="2"/>
          </rPr>
          <t xml:space="preserve">
</t>
        </r>
      </text>
    </comment>
    <comment ref="CC20" authorId="4">
      <text>
        <r>
          <rPr>
            <sz val="10"/>
            <rFont val="Arial"/>
            <family val="2"/>
          </rPr>
          <t xml:space="preserve">Guidance: 2/26/09
</t>
        </r>
        <r>
          <rPr>
            <sz val="10"/>
            <rFont val="Arial"/>
            <family val="2"/>
          </rPr>
          <t>flat to +10 bps</t>
        </r>
      </text>
    </comment>
    <comment ref="CG20" authorId="4">
      <text>
        <r>
          <rPr>
            <sz val="10"/>
            <rFont val="Arial"/>
            <family val="2"/>
          </rPr>
          <t xml:space="preserve">Guidance: 2/25/10
</t>
        </r>
        <r>
          <rPr>
            <sz val="10"/>
            <rFont val="Arial"/>
            <family val="2"/>
          </rPr>
          <t xml:space="preserve">1Q10: </t>
        </r>
        <r>
          <rPr>
            <sz val="10"/>
            <rFont val="Arial"/>
            <family val="2"/>
          </rPr>
          <t>+</t>
        </r>
        <r>
          <rPr>
            <sz val="10"/>
            <rFont val="Arial"/>
            <family val="2"/>
          </rPr>
          <t>20-30 bps</t>
        </r>
      </text>
    </comment>
    <comment ref="CK20" authorId="2">
      <text>
        <r>
          <rPr>
            <sz val="10"/>
            <rFont val="Arial"/>
            <family val="2"/>
          </rPr>
          <t xml:space="preserve">Guidance 2/24/11:
</t>
        </r>
        <r>
          <rPr>
            <sz val="10"/>
            <rFont val="Arial"/>
            <family val="2"/>
          </rPr>
          <t xml:space="preserve">+10-30 bps
</t>
        </r>
      </text>
    </comment>
    <comment ref="CO20" authorId="5">
      <text>
        <r>
          <rPr>
            <sz val="10"/>
            <rFont val="Arial"/>
            <family val="2"/>
          </rPr>
          <t xml:space="preserve">6/4/2012 10Q
</t>
        </r>
        <r>
          <rPr>
            <sz val="10"/>
            <rFont val="Arial"/>
            <family val="2"/>
          </rPr>
          <t xml:space="preserve">
- negative 60 bps impact from growth of online business due to product mix and free shipping</t>
        </r>
        <r>
          <rPr>
            <sz val="10"/>
            <rFont val="Arial"/>
            <family val="2"/>
          </rPr>
          <t xml:space="preserve">
5/10/2012 Comment
- </t>
        </r>
        <r>
          <rPr>
            <sz val="10"/>
            <rFont val="Arial"/>
            <family val="2"/>
          </rPr>
          <t xml:space="preserve">Delta vs. company view -&gt; depth of promotional markdowns esp. around opening price pt of private brands
- majority of  gross margin pressure was in the private brands b/c that is where KSS took the biggest price reduction and also where KSS had the biggest cost increases
- Clearance levels were similar to expectations
 </t>
        </r>
        <r>
          <rPr>
            <sz val="10"/>
            <rFont val="Arial"/>
            <family val="2"/>
          </rPr>
          <t xml:space="preserve">
Guidance: 2/23/2012 &amp; 10K
- </t>
        </r>
        <r>
          <rPr>
            <sz val="10"/>
            <rFont val="Arial"/>
            <family val="2"/>
          </rPr>
          <t>Gross mgn</t>
        </r>
        <r>
          <rPr>
            <sz val="10"/>
            <rFont val="Arial"/>
            <family val="2"/>
          </rPr>
          <t xml:space="preserve"> -160 bp</t>
        </r>
        <r>
          <rPr>
            <sz val="10"/>
            <rFont val="Arial"/>
            <family val="2"/>
          </rPr>
          <t>s in 1Q12
- Merch mgns down y/y w/ new strategy
- Clearance merch down dbl digits y/y in Feb
- Expect modest cost increases in 1H12 but expect cost decreases in 2H12
- Plan to be less aggressive about passing higher costs to customers in '12 (a pos. for sales but negative to gross margin rate)</t>
        </r>
        <r>
          <rPr>
            <sz val="10"/>
            <rFont val="Arial"/>
            <family val="2"/>
          </rPr>
          <t xml:space="preserve">
Note: 1/5/2012
</t>
        </r>
        <r>
          <rPr>
            <sz val="10"/>
            <rFont val="Arial"/>
            <family val="2"/>
          </rPr>
          <t>Based on convos w/ mgmt, it sounds like KSS is going to get more aggressive on price and it will be hard for GMs to be up in 2012.
1</t>
        </r>
        <r>
          <rPr>
            <sz val="10"/>
            <rFont val="Arial"/>
            <family val="2"/>
          </rPr>
          <t xml:space="preserve">1/10/11 Commentary:
</t>
        </r>
        <r>
          <rPr>
            <sz val="10"/>
            <rFont val="Arial"/>
            <family val="2"/>
          </rPr>
          <t>- Experienced cost increases LSD to MSD in 1H11 and +10-15% in 2H11; expect more modest increase in 1H12</t>
        </r>
      </text>
    </comment>
    <comment ref="CS20" authorId="5">
      <text>
        <r>
          <rPr>
            <b/>
            <sz val="8"/>
            <color indexed="81"/>
            <rFont val="Tahoma"/>
            <family val="2"/>
          </rPr>
          <t xml:space="preserve">5/16/2013 comment: </t>
        </r>
        <r>
          <rPr>
            <sz val="8"/>
            <color indexed="81"/>
            <rFont val="Tahoma"/>
            <family val="2"/>
          </rPr>
          <t xml:space="preserve">shipping had -10 bps impact to merch margin
</t>
        </r>
        <r>
          <rPr>
            <b/>
            <sz val="8"/>
            <color indexed="81"/>
            <rFont val="Tahoma"/>
            <family val="2"/>
          </rPr>
          <t xml:space="preserve">2/28/2013 Guidance: </t>
        </r>
        <r>
          <rPr>
            <sz val="8"/>
            <color indexed="81"/>
            <rFont val="Tahoma"/>
            <family val="2"/>
          </rPr>
          <t>Flat to +20 bps</t>
        </r>
      </text>
    </comment>
    <comment ref="DA20" authorId="6">
      <text>
        <r>
          <rPr>
            <b/>
            <sz val="9"/>
            <color indexed="81"/>
            <rFont val="Tahoma"/>
            <family val="2"/>
          </rPr>
          <t>casselau:
5/13/15:</t>
        </r>
        <r>
          <rPr>
            <sz val="9"/>
            <color indexed="81"/>
            <rFont val="Tahoma"/>
            <family val="2"/>
          </rPr>
          <t xml:space="preserve"> lower promotional markdowns and lower clearance markdowns  offset by lower IMU due to increase in national brand (16 bps, penetration increased 227 bps)
2/26/15: expect gross margin pressure as they liquidate old beauty product</t>
        </r>
      </text>
    </comment>
    <comment ref="DE20" authorId="10">
      <text>
        <r>
          <rPr>
            <b/>
            <sz val="9"/>
            <color indexed="81"/>
            <rFont val="Tahoma"/>
            <family val="2"/>
          </rPr>
          <t>Baglione, Gregory  (Research):</t>
        </r>
        <r>
          <rPr>
            <sz val="9"/>
            <color indexed="81"/>
            <rFont val="Tahoma"/>
            <family val="2"/>
          </rPr>
          <t xml:space="preserve">
5/12/16
Gross margin decreased approximately 140 basis points for the quarter, about 10 basis points better than we guided to last quarter. Most of the
margin decrease was due to clearance markdowns taken to clear excess merchandise.
2/25/16 Guide
Company expects 1Q GM down ~150 bps due to liquidation from inventory overhang.
Expect to have improvement in each of remaining quarters as inventory levels drop below last year. Expect GM to sequentially improve as the year progresses, biggest improvement in 4Q
</t>
        </r>
      </text>
    </comment>
    <comment ref="DH20" authorId="16">
      <text>
        <r>
          <rPr>
            <b/>
            <sz val="9"/>
            <color indexed="81"/>
            <rFont val="Tahoma"/>
            <family val="2"/>
          </rPr>
          <t>Baglione, Gregory (Research):</t>
        </r>
        <r>
          <rPr>
            <sz val="9"/>
            <color indexed="81"/>
            <rFont val="Tahoma"/>
            <family val="2"/>
          </rPr>
          <t xml:space="preserve">
1/18/16
KSS CFO But that's going to be offset by </t>
        </r>
        <r>
          <rPr>
            <b/>
            <sz val="9"/>
            <color indexed="81"/>
            <rFont val="Tahoma"/>
            <family val="2"/>
          </rPr>
          <t xml:space="preserve">about 30 basis points of pressure from e-commerce assuming that it continues to grow at the rate that we think it
is in that mid-teens range. </t>
        </r>
        <r>
          <rPr>
            <sz val="9"/>
            <color indexed="81"/>
            <rFont val="Tahoma"/>
            <family val="2"/>
          </rPr>
          <t>So from a modeling perspective if you are looking at a multiyear modeler thinking about how we're going to do 20 basis
points a year improvement is probably the best I think that we will be able to accomplish, absent improvement in comps from where we are running
today. If we can improve incomes then that could provide us some margin upside over and above that."</t>
        </r>
      </text>
    </comment>
    <comment ref="DI20" authorId="11">
      <text>
        <r>
          <rPr>
            <b/>
            <sz val="9"/>
            <color indexed="81"/>
            <rFont val="Tahoma"/>
            <family val="2"/>
          </rPr>
          <t xml:space="preserve">5/11/17: driven by improved inventory management,  much lower levels of seasonal carryover, and improved promotional markdown levels over last year (seasonal carryover benefit does not repeat - we estimate this was ~60 bps of the ~83 bps)
</t>
        </r>
        <r>
          <rPr>
            <sz val="9"/>
            <color indexed="81"/>
            <rFont val="Tahoma"/>
            <family val="2"/>
          </rPr>
          <t xml:space="preserve">
2/23/17: Expect majority of GM improvement to come in 1Q, with rest of quarters flat to up slightly</t>
        </r>
      </text>
    </comment>
    <comment ref="DL20" authorId="8">
      <text>
        <r>
          <rPr>
            <b/>
            <sz val="9"/>
            <color indexed="81"/>
            <rFont val="Tahoma"/>
            <family val="2"/>
          </rPr>
          <t>De Courreges, Edouard (Research):</t>
        </r>
        <r>
          <rPr>
            <sz val="9"/>
            <color indexed="81"/>
            <rFont val="Tahoma"/>
            <family val="2"/>
          </rPr>
          <t xml:space="preserve">
We expect first quarter gross margin to be at the low end of our annual guidance as we anniversary 80-basis-point improvement in last years first quarter margin rate</t>
        </r>
      </text>
    </comment>
    <comment ref="BP21" authorId="0">
      <text>
        <r>
          <rPr>
            <sz val="10"/>
            <rFont val="Arial"/>
            <family val="2"/>
          </rPr>
          <t>mmcclell:</t>
        </r>
        <r>
          <rPr>
            <sz val="10"/>
            <rFont val="Arial"/>
            <family val="2"/>
          </rPr>
          <t xml:space="preserve">
mgmt guidance of 20-30 bps</t>
        </r>
      </text>
    </comment>
    <comment ref="BT21" authorId="0">
      <text>
        <r>
          <rPr>
            <sz val="10"/>
            <rFont val="Arial"/>
            <family val="2"/>
          </rPr>
          <t>Guidance: 5/17/2007
+50-60bps</t>
        </r>
        <r>
          <rPr>
            <sz val="10"/>
            <rFont val="Arial"/>
            <family val="2"/>
          </rPr>
          <t xml:space="preserve">
</t>
        </r>
      </text>
    </comment>
    <comment ref="BY21" authorId="3">
      <text>
        <r>
          <rPr>
            <sz val="10"/>
            <rFont val="Arial"/>
            <family val="2"/>
          </rPr>
          <t>8/14/2008: The increases reflect strong
inventory management, lower clearance levels, and higher penetration of both private and
exclusive brands
Guidance: 5/15/2008
+10-20 bps</t>
        </r>
      </text>
    </comment>
    <comment ref="CC21" authorId="1">
      <text>
        <r>
          <rPr>
            <sz val="10"/>
            <rFont val="Arial"/>
            <family val="2"/>
          </rPr>
          <t>Comment: 8/6/09
"</t>
        </r>
        <r>
          <rPr>
            <sz val="10"/>
            <rFont val="Arial"/>
            <family val="2"/>
          </rPr>
          <t>As a result of our sales results and inventory management initiatives, our gross margin for the quarter was strong and our expenses remained well controlled"</t>
        </r>
        <r>
          <rPr>
            <sz val="10"/>
            <rFont val="Arial"/>
            <family val="2"/>
          </rPr>
          <t xml:space="preserve"> 
Guidance: 5/14/2009
</t>
        </r>
        <r>
          <rPr>
            <sz val="10"/>
            <rFont val="Arial"/>
            <family val="2"/>
          </rPr>
          <t>+20-30 bps</t>
        </r>
      </text>
    </comment>
    <comment ref="CG21" authorId="2">
      <text>
        <r>
          <rPr>
            <sz val="10"/>
            <rFont val="Arial"/>
            <family val="2"/>
          </rPr>
          <t xml:space="preserve">Guidance 5/13/2010:
</t>
        </r>
        <r>
          <rPr>
            <sz val="10"/>
            <rFont val="Arial"/>
            <family val="2"/>
          </rPr>
          <t xml:space="preserve">+20-40bps
</t>
        </r>
      </text>
    </comment>
    <comment ref="CK21" authorId="2">
      <text>
        <r>
          <rPr>
            <sz val="10"/>
            <rFont val="Arial"/>
            <family val="2"/>
          </rPr>
          <t xml:space="preserve">Comment 8/4/11:
</t>
        </r>
        <r>
          <rPr>
            <sz val="10"/>
            <rFont val="Arial"/>
            <family val="2"/>
          </rPr>
          <t>Clearance units -25% in July; less clearance helping margin.
Wes indicated 2Q GM up &gt; 30-40 bps</t>
        </r>
        <r>
          <rPr>
            <sz val="10"/>
            <rFont val="Arial"/>
            <family val="2"/>
          </rPr>
          <t xml:space="preserve">
Guidance 5/12/11:
</t>
        </r>
        <r>
          <rPr>
            <sz val="10"/>
            <rFont val="Arial"/>
            <family val="2"/>
          </rPr>
          <t xml:space="preserve">0 to +20 bps
</t>
        </r>
        <r>
          <rPr>
            <sz val="10"/>
            <rFont val="Arial"/>
            <family val="2"/>
          </rPr>
          <t>Comment 5/12/11:</t>
        </r>
        <r>
          <rPr>
            <sz val="10"/>
            <rFont val="Arial"/>
            <family val="2"/>
          </rPr>
          <t xml:space="preserve">
</t>
        </r>
        <r>
          <rPr>
            <sz val="10"/>
            <rFont val="Arial"/>
            <family val="2"/>
          </rPr>
          <t>Inflation update :
Test (Denim, Men's basics, Children's)</t>
        </r>
        <r>
          <rPr>
            <sz val="10"/>
            <rFont val="Arial"/>
            <family val="2"/>
          </rPr>
          <t xml:space="preserve">
Price: +HSD
</t>
        </r>
        <r>
          <rPr>
            <sz val="10"/>
            <rFont val="Arial"/>
            <family val="2"/>
          </rPr>
          <t>Units: -LSD</t>
        </r>
        <r>
          <rPr>
            <sz val="10"/>
            <rFont val="Arial"/>
            <family val="2"/>
          </rPr>
          <t xml:space="preserve">
Sales: + MSD</t>
        </r>
      </text>
    </comment>
    <comment ref="CO21" authorId="5">
      <text>
        <r>
          <rPr>
            <sz val="10"/>
            <rFont val="Arial"/>
            <family val="2"/>
          </rPr>
          <t xml:space="preserve">10Q: </t>
        </r>
        <r>
          <rPr>
            <sz val="10"/>
            <rFont val="Arial"/>
            <family val="2"/>
          </rPr>
          <t xml:space="preserve">negative 50 bps impact from e-comm </t>
        </r>
        <r>
          <rPr>
            <sz val="10"/>
            <rFont val="Arial"/>
            <family val="2"/>
          </rPr>
          <t xml:space="preserve">
8/9/2012 Comment
</t>
        </r>
        <r>
          <rPr>
            <sz val="10"/>
            <rFont val="Arial"/>
            <family val="2"/>
          </rPr>
          <t>1) mgmt had guided very conservative for 2Q GM, July drove GM beat</t>
        </r>
        <r>
          <rPr>
            <sz val="10"/>
            <rFont val="Arial"/>
            <family val="2"/>
          </rPr>
          <t xml:space="preserve">
Guidance 5/10/2012
</t>
        </r>
        <r>
          <rPr>
            <sz val="10"/>
            <rFont val="Arial"/>
            <family val="2"/>
          </rPr>
          <t xml:space="preserve">1) -200 to -250 bps
2) Right-sized inventories should be a tailwind in 2H12 and late 2Q
</t>
        </r>
        <r>
          <rPr>
            <sz val="10"/>
            <rFont val="Arial"/>
            <family val="2"/>
          </rPr>
          <t xml:space="preserve">
Guidance 2/23/12 &amp; 10k
</t>
        </r>
        <r>
          <rPr>
            <sz val="10"/>
            <rFont val="Arial"/>
            <family val="2"/>
          </rPr>
          <t>- Merch mgns down y/y w/ new strategy
- Expect modest cost increases in 1H12 but expect cost decreases in 2H12
- Plan to be less aggressive about passing higher costs to customers in '12 (a pos. for sales but negative to gross margin rate)</t>
        </r>
        <r>
          <rPr>
            <sz val="10"/>
            <rFont val="Arial"/>
            <family val="2"/>
          </rPr>
          <t xml:space="preserve">
Note: 1/5/2012
</t>
        </r>
        <r>
          <rPr>
            <sz val="10"/>
            <rFont val="Arial"/>
            <family val="2"/>
          </rPr>
          <t xml:space="preserve">Note: 1/5/2012
Based on convos w/ mgmt, it sounds like KSS is going to get more aggressive on price and it will be hard for GMs to be up in 2012.
</t>
        </r>
        <r>
          <rPr>
            <sz val="10"/>
            <rFont val="Arial"/>
            <family val="2"/>
          </rPr>
          <t xml:space="preserve">11/10/11 Commentary:
</t>
        </r>
        <r>
          <rPr>
            <sz val="10"/>
            <rFont val="Arial"/>
            <family val="2"/>
          </rPr>
          <t>- Experienced cost increases LSD to MSD in 1H11 and +10-15% in 2H11; expect more modest increase in 1H12</t>
        </r>
      </text>
    </comment>
    <comment ref="CS21" authorId="5">
      <text>
        <r>
          <rPr>
            <sz val="8"/>
            <color indexed="81"/>
            <rFont val="Tahoma"/>
            <family val="2"/>
          </rPr>
          <t xml:space="preserve">Notes: Expect neg. impact from markdowns on excess inv &amp; e-comm growth modestly offset by lower product costs
</t>
        </r>
        <r>
          <rPr>
            <b/>
            <sz val="8"/>
            <color indexed="81"/>
            <rFont val="Tahoma"/>
            <family val="2"/>
          </rPr>
          <t>Q2 10-Q</t>
        </r>
        <r>
          <rPr>
            <sz val="8"/>
            <color indexed="81"/>
            <rFont val="Tahoma"/>
            <family val="2"/>
          </rPr>
          <t xml:space="preserve">: E-Commerce impact: -80 bps
</t>
        </r>
        <r>
          <rPr>
            <b/>
            <sz val="8"/>
            <color indexed="81"/>
            <rFont val="Tahoma"/>
            <family val="2"/>
          </rPr>
          <t xml:space="preserve">5/16/2013 guidance: </t>
        </r>
        <r>
          <rPr>
            <sz val="8"/>
            <color indexed="81"/>
            <rFont val="Tahoma"/>
            <family val="2"/>
          </rPr>
          <t>+10-20 bps</t>
        </r>
      </text>
    </comment>
    <comment ref="CV21" authorId="14">
      <text>
        <r>
          <rPr>
            <b/>
            <sz val="9"/>
            <color indexed="81"/>
            <rFont val="Tahoma"/>
            <family val="2"/>
          </rPr>
          <t xml:space="preserve">5/15/14: </t>
        </r>
        <r>
          <rPr>
            <sz val="9"/>
            <color indexed="81"/>
            <rFont val="Tahoma"/>
            <family val="2"/>
          </rPr>
          <t xml:space="preserve">Wes: "If we get normal seasonal sell-through, GM should be in good shape for 2Q"
</t>
        </r>
      </text>
    </comment>
    <comment ref="CW21" authorId="14">
      <text>
        <r>
          <rPr>
            <b/>
            <sz val="9"/>
            <color indexed="81"/>
            <rFont val="Tahoma"/>
            <family val="2"/>
          </rPr>
          <t xml:space="preserve">8/14/14: </t>
        </r>
        <r>
          <rPr>
            <sz val="9"/>
            <color indexed="81"/>
            <rFont val="Tahoma"/>
            <family val="2"/>
          </rPr>
          <t xml:space="preserve">All of our decrease can be attributed to a higher mix of lower margin sales
</t>
        </r>
      </text>
    </comment>
    <comment ref="DE21" authorId="10">
      <text>
        <r>
          <rPr>
            <b/>
            <sz val="9"/>
            <color indexed="81"/>
            <rFont val="Tahoma"/>
            <family val="2"/>
          </rPr>
          <t>Baglione, Gregory  (Research):</t>
        </r>
        <r>
          <rPr>
            <sz val="9"/>
            <color indexed="81"/>
            <rFont val="Tahoma"/>
            <family val="2"/>
          </rPr>
          <t xml:space="preserve">
8/11/16
Gross margins increased 53 basis points for the quarter , a significant improvement over the 140 basis point decrease we saw in the first quarter. The increase was driven by savings in both promotional markdown and permanent clearance markdowns. 
2/25/16 Guide
Company expects 1Q GM down ~150 bps due to liquidation from inventory overhang.
Expect to have improvement in each of remaining quarters as inventory levels drop below last year. Expect GM to become sequentially better as the year progresses, biggest improvement in 4Q
</t>
        </r>
      </text>
    </comment>
    <comment ref="DH21" authorId="11">
      <text>
        <r>
          <rPr>
            <b/>
            <sz val="9"/>
            <color indexed="81"/>
            <rFont val="Tahoma"/>
            <family val="2"/>
          </rPr>
          <t>Roberts, Cynthia (Research):</t>
        </r>
        <r>
          <rPr>
            <sz val="9"/>
            <color indexed="81"/>
            <rFont val="Tahoma"/>
            <family val="2"/>
          </rPr>
          <t xml:space="preserve">
8/10/17: improved inventory management and improved markdown level more than offset by shipping costs. Merchandise margin improved</t>
        </r>
      </text>
    </comment>
    <comment ref="DI21" authorId="7">
      <text>
        <r>
          <rPr>
            <b/>
            <sz val="9"/>
            <color indexed="81"/>
            <rFont val="Tahoma"/>
            <family val="2"/>
          </rPr>
          <t>Cassel, Lauren (Research):</t>
        </r>
        <r>
          <rPr>
            <sz val="9"/>
            <color indexed="81"/>
            <rFont val="Tahoma"/>
            <family val="2"/>
          </rPr>
          <t xml:space="preserve">
5/11/17: expect to see some improvement over the rest of the year (1Q the best); inventory reduction and promotional markdown strategy improvement the major drivers</t>
        </r>
      </text>
    </comment>
    <comment ref="BG22" authorId="17">
      <text>
        <r>
          <rPr>
            <sz val="10"/>
            <rFont val="Arial"/>
            <family val="2"/>
          </rPr>
          <t>gfowlkes:</t>
        </r>
        <r>
          <rPr>
            <sz val="10"/>
            <rFont val="Arial"/>
            <family val="2"/>
          </rPr>
          <t xml:space="preserve">
+50bps of EITF</t>
        </r>
      </text>
    </comment>
    <comment ref="BP22" authorId="0">
      <text>
        <r>
          <rPr>
            <sz val="10"/>
            <rFont val="Arial"/>
            <family val="2"/>
          </rPr>
          <t>Note: Gross margin benefited from $15M in gift card breakage revenue (ex. impact, gross margin was up over 50 bps)
mgmt guidance of +10-20 bps (8/10/06)</t>
        </r>
        <r>
          <rPr>
            <sz val="10"/>
            <rFont val="Arial"/>
            <family val="2"/>
          </rPr>
          <t xml:space="preserve">
</t>
        </r>
        <r>
          <rPr>
            <sz val="10"/>
            <rFont val="Arial"/>
            <family val="2"/>
          </rPr>
          <t>Lower in 3Q relative to 4Q.  Adding stores to mark down optimization will result in an acceleration in the timing of some clearance markdowns for 4Q into 3Q.</t>
        </r>
      </text>
    </comment>
    <comment ref="BT22" authorId="0">
      <text>
        <r>
          <rPr>
            <sz val="10"/>
            <rFont val="Arial"/>
            <family val="2"/>
          </rPr>
          <t>Guidance: 8/16/07
+10-20 bps (excluding LY's $15 in gift card breakage revenue, GM +50-60 bps)
Last year's 3Q gross margin benefited $15M from gift card breakage revenue</t>
        </r>
        <r>
          <rPr>
            <sz val="10"/>
            <rFont val="Arial"/>
            <family val="2"/>
          </rPr>
          <t xml:space="preserve">
</t>
        </r>
      </text>
    </comment>
    <comment ref="BY22" authorId="3">
      <text>
        <r>
          <rPr>
            <sz val="10"/>
            <rFont val="Arial"/>
            <family val="2"/>
          </rPr>
          <t>Guidance: 8/14/2008
+10-20 bps</t>
        </r>
      </text>
    </comment>
    <comment ref="CC22" authorId="4">
      <text>
        <r>
          <rPr>
            <sz val="10"/>
            <rFont val="Arial"/>
            <family val="2"/>
          </rPr>
          <t xml:space="preserve">Comment: 11/12/09
</t>
        </r>
        <r>
          <rPr>
            <sz val="10"/>
            <rFont val="Arial"/>
            <family val="2"/>
          </rPr>
          <t xml:space="preserve">Reflects continued improvement in inventory management, lower clearance levels, and higher penetration of private and exclusive brands
</t>
        </r>
        <r>
          <rPr>
            <sz val="10"/>
            <rFont val="Arial"/>
            <family val="2"/>
          </rPr>
          <t xml:space="preserve">
Guidance: 8/13/09
</t>
        </r>
        <r>
          <rPr>
            <sz val="10"/>
            <rFont val="Arial"/>
            <family val="2"/>
          </rPr>
          <t>+10-20 bps</t>
        </r>
        <r>
          <rPr>
            <sz val="10"/>
            <rFont val="Arial"/>
            <family val="2"/>
          </rPr>
          <t xml:space="preserve">
</t>
        </r>
      </text>
    </comment>
    <comment ref="CG22" authorId="2">
      <text>
        <r>
          <rPr>
            <sz val="10"/>
            <rFont val="Arial"/>
            <family val="2"/>
          </rPr>
          <t xml:space="preserve">
Guidance 8/12/10:
</t>
        </r>
        <r>
          <rPr>
            <sz val="10"/>
            <rFont val="Arial"/>
            <family val="2"/>
          </rPr>
          <t xml:space="preserve">+20-40bps
</t>
        </r>
      </text>
    </comment>
    <comment ref="CI22" authorId="5">
      <text>
        <r>
          <rPr>
            <sz val="10"/>
            <rFont val="Arial"/>
            <family val="2"/>
          </rPr>
          <t xml:space="preserve">12/2/11 Commentary (from 3Q11 10Q)
</t>
        </r>
        <r>
          <rPr>
            <sz val="10"/>
            <rFont val="Arial"/>
            <family val="2"/>
          </rPr>
          <t>1) We intend to continue to be flexible in our sales and inventory planning and in our expense management in order to react to changes in consumer demand
2)  Overall merchandise costs in all apparel categories are ~10-15% higher for Fall 2011 than Fall 2010 due to inflation in the cost of raw materials, labor and fuel</t>
        </r>
        <r>
          <rPr>
            <sz val="10"/>
            <rFont val="Arial"/>
            <family val="2"/>
          </rPr>
          <t xml:space="preserve">
</t>
        </r>
        <r>
          <rPr>
            <sz val="10"/>
            <rFont val="Arial"/>
            <family val="2"/>
          </rPr>
          <t xml:space="preserve">3) Inventory management, increased penetration of private and exclusive brands, and ongoing markdown and size optimization initiatives contributed to the increase in gross margin as a percent of net sales partially offset by our E-Commerce business which currently has a lower gross margin than our stores due to the mix of products sold on-line and free or reduced cost shipping 
</t>
        </r>
        <r>
          <rPr>
            <sz val="10"/>
            <rFont val="Arial"/>
            <family val="2"/>
          </rPr>
          <t xml:space="preserve">
11/10/11 Commentary:</t>
        </r>
        <r>
          <rPr>
            <sz val="10"/>
            <rFont val="Arial"/>
            <family val="2"/>
          </rPr>
          <t xml:space="preserve">
1) Key driver growth in Private and Exclusive brands (51% of sales in 3Q) &amp; inventory mgmt
2) Apparel costs have increased ~10% to 15% for the fall season
3) 3Q11 elasticity better than 1:1
</t>
        </r>
      </text>
    </comment>
    <comment ref="CK22" authorId="2">
      <text>
        <r>
          <rPr>
            <sz val="10"/>
            <rFont val="Arial"/>
            <family val="2"/>
          </rPr>
          <t>12/2/11 Commentary (from 3Q11 10Q)</t>
        </r>
        <r>
          <rPr>
            <sz val="10"/>
            <rFont val="Arial"/>
            <family val="2"/>
          </rPr>
          <t xml:space="preserve">
1) We intend to continue to be flexible in our sales and inventory planning and in our expense management in order to react to changes in consumer demand
2)  Overall merchandise costs in all apparel categories are ~10-15% higher for Fall 2011 than Fall 2010 due to inflation in the cost of raw materials, labor and fuel</t>
        </r>
        <r>
          <rPr>
            <sz val="10"/>
            <rFont val="Arial"/>
            <family val="2"/>
          </rPr>
          <t xml:space="preserve">
</t>
        </r>
        <r>
          <rPr>
            <sz val="10"/>
            <rFont val="Arial"/>
            <family val="2"/>
          </rPr>
          <t xml:space="preserve">3) Inventory management, increased penetration of private and exclusive brands, and ongoing markdown and size optimization initiatives contributed to the increase in gross margin as a percent of net sales partially offset by E-Commerce business which currently has a lower gross margin than our stores due to the mix of products sold on-line and free or reduced cost shipping </t>
        </r>
        <r>
          <rPr>
            <sz val="10"/>
            <rFont val="Arial"/>
            <family val="2"/>
          </rPr>
          <t xml:space="preserve">
11/10/11 Commentary:
</t>
        </r>
        <r>
          <rPr>
            <sz val="10"/>
            <rFont val="Arial"/>
            <family val="2"/>
          </rPr>
          <t xml:space="preserve">1) Key driver growth in Private and Exclusive brands (51% of sales in 3Q) &amp; inventory mgmt &amp; 
2) Apparel costs have increased ~10% to 15% for the fall season
3) 3Q11 elasticity better than 1:1
</t>
        </r>
        <r>
          <rPr>
            <sz val="10"/>
            <rFont val="Arial"/>
            <family val="2"/>
          </rPr>
          <t xml:space="preserve">
Comment 9/1/11:
</t>
        </r>
        <r>
          <rPr>
            <sz val="10"/>
            <rFont val="Arial"/>
            <family val="2"/>
          </rPr>
          <t>Margin within -10 bps to +10 bps</t>
        </r>
        <r>
          <rPr>
            <sz val="10"/>
            <rFont val="Arial"/>
            <family val="2"/>
          </rPr>
          <t xml:space="preserve">
Guidance 8/11/11:
</t>
        </r>
        <r>
          <rPr>
            <sz val="10"/>
            <rFont val="Arial"/>
            <family val="2"/>
          </rPr>
          <t>-10 bps to +10 bps
a) Consistent w/expectation in Feb
b) Tight inv mgmt and penetration of Priv/excl
-- Expect inv $/store +LSD at 3Q end</t>
        </r>
      </text>
    </comment>
    <comment ref="CO22" authorId="5">
      <text>
        <r>
          <rPr>
            <sz val="10"/>
            <rFont val="Arial"/>
            <family val="2"/>
          </rPr>
          <t xml:space="preserve">8/9/2012 Guidance
</t>
        </r>
        <r>
          <rPr>
            <sz val="10"/>
            <rFont val="Arial"/>
            <family val="2"/>
          </rPr>
          <t>1) Seeing MSD apparel cost decreases for fall; expect unit and cost increases per store will be similar as we gain benefit from lower cost fall receipts
2) -60/-80 bps (note: they guided VERY conservatively last qtr and beat guidance)</t>
        </r>
        <r>
          <rPr>
            <sz val="10"/>
            <rFont val="Arial"/>
            <family val="2"/>
          </rPr>
          <t xml:space="preserve">
7/5/2012 Guidance
</t>
        </r>
        <r>
          <rPr>
            <sz val="10"/>
            <rFont val="Arial"/>
            <family val="2"/>
          </rPr>
          <t>- Mgmt expects apparel prices +LSD-MSD in 2H12 due to mix shift from higher priced exclusive products (i.e. JLo/Marc Anthony, Rock and Republic) and prices up MSD in home (big in 4Q), accessories, and footwear (big in 3Q)</t>
        </r>
        <r>
          <rPr>
            <sz val="10"/>
            <rFont val="Arial"/>
            <family val="2"/>
          </rPr>
          <t xml:space="preserve">
5/10/2012 Guidance
</t>
        </r>
        <r>
          <rPr>
            <sz val="10"/>
            <rFont val="Arial"/>
            <family val="2"/>
          </rPr>
          <t>- Expect Fall gross mgns down from LY but not as much as 1H12
- Right-sized inventories should be a tailwind in 2H12 and late 2Q
- Seeing apparel cost decreases in MSD range for Fall (help gross mgns)</t>
        </r>
        <r>
          <rPr>
            <sz val="10"/>
            <rFont val="Arial"/>
            <family val="2"/>
          </rPr>
          <t xml:space="preserve">
Guidance 2/23/12 &amp; 10k
</t>
        </r>
        <r>
          <rPr>
            <sz val="10"/>
            <rFont val="Arial"/>
            <family val="2"/>
          </rPr>
          <t xml:space="preserve">- Merch mgns down y/y w/ new strategy
- 2H12 show some GM improvement w/ lower product costs vs. 1H12
- Expect modest cost increases in 1H12 but expect cost decreases in 2H12
- Plan to be less aggressive about passing higher costs to customers in '12 (a pos. for sales but negative to gross margin rate)
</t>
        </r>
        <r>
          <rPr>
            <sz val="10"/>
            <rFont val="Arial"/>
            <family val="2"/>
          </rPr>
          <t xml:space="preserve">
Note: 1/5/2012
</t>
        </r>
        <r>
          <rPr>
            <sz val="10"/>
            <rFont val="Arial"/>
            <family val="2"/>
          </rPr>
          <t xml:space="preserve">Based on convos w/ mgmt, it sounds like KSS is going to get more aggressive on price and it will be hard for GMs to be up in 2012.
</t>
        </r>
      </text>
    </comment>
    <comment ref="CS22" authorId="5">
      <text>
        <r>
          <rPr>
            <sz val="8"/>
            <color indexed="81"/>
            <rFont val="Tahoma"/>
            <family val="2"/>
          </rPr>
          <t xml:space="preserve">Notes: Lapping lower prdt costs, expect neg. impact from e-comm growth, assume inventory under control by 2H13
</t>
        </r>
        <r>
          <rPr>
            <b/>
            <sz val="8"/>
            <color indexed="81"/>
            <rFont val="Tahoma"/>
            <family val="2"/>
          </rPr>
          <t>8/15/13</t>
        </r>
        <r>
          <rPr>
            <sz val="8"/>
            <color indexed="81"/>
            <rFont val="Tahoma"/>
            <family val="2"/>
          </rPr>
          <t>: guidance -60 to -40 bps</t>
        </r>
      </text>
    </comment>
    <comment ref="CW22" authorId="14">
      <text>
        <r>
          <rPr>
            <b/>
            <sz val="9"/>
            <color indexed="81"/>
            <rFont val="Tahoma"/>
            <family val="2"/>
          </rPr>
          <t xml:space="preserve">11/12/14: </t>
        </r>
        <r>
          <rPr>
            <sz val="9"/>
            <color indexed="81"/>
            <rFont val="Tahoma"/>
            <family val="2"/>
          </rPr>
          <t xml:space="preserve">National brand sales penetration increased 230 basis points during the quarter . As expected this reduced gross margin by approximately 12 basis points. The remaining decrease was due to lower margin rates across our brands. Year to date margin was consistent with last year.
</t>
        </r>
      </text>
    </comment>
    <comment ref="CZ22" authorId="10">
      <text>
        <r>
          <rPr>
            <b/>
            <sz val="9"/>
            <color indexed="81"/>
            <rFont val="Tahoma"/>
            <family val="2"/>
          </rPr>
          <t>Baglione, Gregory  (Research):</t>
        </r>
        <r>
          <rPr>
            <sz val="9"/>
            <color indexed="81"/>
            <rFont val="Tahoma"/>
            <family val="2"/>
          </rPr>
          <t xml:space="preserve">
11/12/15: Merch margins increased but was offset by an increase in shipping costs as we continue to grow the online business.
11/5/15
Reducing GM by 15 bps from prior forecast37.48</t>
        </r>
      </text>
    </comment>
    <comment ref="DE22" authorId="10">
      <text>
        <r>
          <rPr>
            <b/>
            <sz val="9"/>
            <color indexed="81"/>
            <rFont val="Tahoma"/>
            <family val="2"/>
          </rPr>
          <t xml:space="preserve">Baglione, Gregory  (Research):
</t>
        </r>
        <r>
          <rPr>
            <sz val="9"/>
            <color indexed="81"/>
            <rFont val="Tahoma"/>
            <family val="2"/>
          </rPr>
          <t xml:space="preserve">
11/10/16: 
Gross margin was up 2 basis points to last year. Merchandise margin increased 30 basis points but was offset primarily by shipping costs.
Longer-term Shipping costs continue to be in that 20 to 30 basis point range on a per quarter basis due to mix of business and then the actual shipping cost themselves.If our digital business continues to accelerate in the fourth quarter as it did last year that will put some pressure on shipping cost and we might not be able to achieve the gross margins that you guys might expect off of and 80 basis point dropped last year but I still think we will be able to be in that range of </t>
        </r>
        <r>
          <rPr>
            <b/>
            <sz val="9"/>
            <color indexed="81"/>
            <rFont val="Tahoma"/>
            <family val="2"/>
          </rPr>
          <t>20 to 40 basis points for the season</t>
        </r>
        <r>
          <rPr>
            <sz val="9"/>
            <color indexed="81"/>
            <rFont val="Tahoma"/>
            <family val="2"/>
          </rPr>
          <t xml:space="preserve">. 
"From a gross margin perspective very simply </t>
        </r>
        <r>
          <rPr>
            <b/>
            <sz val="9"/>
            <color indexed="81"/>
            <rFont val="Tahoma"/>
            <family val="2"/>
          </rPr>
          <t xml:space="preserve">we are trying to get back 50 basis points of merchandise margin improvement through inventory initiatives and I'm especially excited about the speed initiative because that should be incremental to the 50 basis points </t>
        </r>
        <r>
          <rPr>
            <sz val="9"/>
            <color indexed="81"/>
            <rFont val="Tahoma"/>
            <family val="2"/>
          </rPr>
          <t>which should just be able to occur from getting our inventories to the right level. And that's going to be offset by about</t>
        </r>
        <r>
          <rPr>
            <b/>
            <sz val="9"/>
            <color indexed="81"/>
            <rFont val="Tahoma"/>
            <family val="2"/>
          </rPr>
          <t xml:space="preserve"> 30 basis points up pressure from e-commerce</t>
        </r>
        <r>
          <rPr>
            <sz val="9"/>
            <color indexed="81"/>
            <rFont val="Tahoma"/>
            <family val="2"/>
          </rPr>
          <t xml:space="preserve"> assuming that it continues to grow at the rate that we think it is</t>
        </r>
        <r>
          <rPr>
            <b/>
            <sz val="9"/>
            <color indexed="81"/>
            <rFont val="Tahoma"/>
            <family val="2"/>
          </rPr>
          <t xml:space="preserve"> in that mid-teens range.</t>
        </r>
        <r>
          <rPr>
            <sz val="9"/>
            <color indexed="81"/>
            <rFont val="Tahoma"/>
            <family val="2"/>
          </rPr>
          <t xml:space="preserve"> So from a modeling perspective if you are looking at a multiyear modeler thinking about how we're going to do 20 basis points your improvement probably the best I think we will be able to accomplish absent improvement in comps more run today if we can improve incomes and that can provide us a margin upside over and above that." 
8/11/16
The guidance includes the following assumptions for the fall season: total sales decrease of 2.6%, up 0.6% to last year, a comp sales decrease of 2% to flat to last year, gross margin rate improvement of approximately 20 to 40 basis points over last year, and SG&amp;A dollar growth of 0.5% to 2% over last you.
2/25/16 Guide
Company expects 1Q GM down ~150 bps due to liquidation from inventory overhang.
Expect to have improvement in each of remaining quarters as inventory levels drop below last year. Expect GM to become sequentially better as the year progresses, biggest improvement in 4Q
</t>
        </r>
      </text>
    </comment>
    <comment ref="DH22" authorId="11">
      <text>
        <r>
          <rPr>
            <b/>
            <sz val="9"/>
            <color indexed="81"/>
            <rFont val="Tahoma"/>
            <family val="2"/>
          </rPr>
          <t>Roberts, Cynthia (Research):</t>
        </r>
        <r>
          <rPr>
            <sz val="9"/>
            <color indexed="81"/>
            <rFont val="Tahoma"/>
            <family val="2"/>
          </rPr>
          <t xml:space="preserve">
11/9/17: merchandise margin positive;
positive of less markdown clearance levels more than offset by higher shipping from growth in eCommerce and higher reserves (loyalty rewards and return adjustments) driven by sales later in the qtr.</t>
        </r>
      </text>
    </comment>
    <comment ref="BG23" authorId="17">
      <text>
        <r>
          <rPr>
            <sz val="10"/>
            <rFont val="Arial"/>
            <family val="2"/>
          </rPr>
          <t>gfowlkes:</t>
        </r>
        <r>
          <rPr>
            <sz val="10"/>
            <rFont val="Arial"/>
            <family val="2"/>
          </rPr>
          <t xml:space="preserve">
+30 bps of EITF</t>
        </r>
      </text>
    </comment>
    <comment ref="BO23" authorId="1">
      <text>
        <r>
          <rPr>
            <sz val="10"/>
            <rFont val="Arial"/>
            <family val="2"/>
          </rPr>
          <t>Positives for margins:
- fashion jewelry
- electronics mix (iPod accessories)
Negative for margins:
- cold weather apparel
- temps should still be warm in Jan.</t>
        </r>
        <r>
          <rPr>
            <sz val="10"/>
            <rFont val="Arial"/>
            <family val="2"/>
          </rPr>
          <t xml:space="preserve">
</t>
        </r>
      </text>
    </comment>
    <comment ref="BP23" authorId="0">
      <text>
        <r>
          <rPr>
            <sz val="10"/>
            <rFont val="Arial"/>
            <family val="2"/>
          </rPr>
          <t>Gross margin rate benefited 30 bps from shift in co-op ad dollars
mgmt guidance of +30-40 bps (8/10/06)</t>
        </r>
        <r>
          <rPr>
            <sz val="10"/>
            <rFont val="Arial"/>
            <family val="2"/>
          </rPr>
          <t xml:space="preserve">
</t>
        </r>
        <r>
          <rPr>
            <sz val="10"/>
            <rFont val="Arial"/>
            <family val="2"/>
          </rPr>
          <t>re-iterated on 11/9/06</t>
        </r>
      </text>
    </comment>
    <comment ref="BT23" authorId="0">
      <text>
        <r>
          <rPr>
            <sz val="10"/>
            <rFont val="Arial"/>
            <family val="2"/>
          </rPr>
          <t>Guidance 11/15/07:
Gross Margin Flat to LY
Guidance: 8/16/07
+30-40 bps</t>
        </r>
        <r>
          <rPr>
            <sz val="10"/>
            <rFont val="Arial"/>
            <family val="2"/>
          </rPr>
          <t xml:space="preserve">
</t>
        </r>
      </text>
    </comment>
    <comment ref="BU23" authorId="0">
      <text>
        <r>
          <rPr>
            <sz val="10"/>
            <rFont val="Arial"/>
            <family val="2"/>
          </rPr>
          <t>Comment: 2/28/2008</t>
        </r>
        <r>
          <rPr>
            <sz val="10"/>
            <rFont val="Arial"/>
            <family val="2"/>
          </rPr>
          <t xml:space="preserve">
Driven by aggressive discounting.</t>
        </r>
      </text>
    </comment>
    <comment ref="BY23" authorId="3">
      <text>
        <r>
          <rPr>
            <sz val="10"/>
            <rFont val="Arial"/>
            <family val="2"/>
          </rPr>
          <t xml:space="preserve">Note: 2/26/2009
</t>
        </r>
        <r>
          <rPr>
            <sz val="10"/>
            <rFont val="Arial"/>
            <family val="2"/>
          </rPr>
          <t>Improvement reflects the following:
-inventory mgmt
-lower clearance levels
-higher penetration of private and exclusive brands</t>
        </r>
        <r>
          <rPr>
            <sz val="10"/>
            <rFont val="Arial"/>
            <family val="2"/>
          </rPr>
          <t xml:space="preserve">
Guidance: 11/13/2008</t>
        </r>
        <r>
          <rPr>
            <sz val="10"/>
            <rFont val="Arial"/>
            <family val="2"/>
          </rPr>
          <t xml:space="preserve">
+20-40bps
</t>
        </r>
        <r>
          <rPr>
            <sz val="10"/>
            <rFont val="Arial"/>
            <family val="2"/>
          </rPr>
          <t>Guidance: 8/14/2008</t>
        </r>
        <r>
          <rPr>
            <sz val="10"/>
            <rFont val="Arial"/>
            <family val="2"/>
          </rPr>
          <t xml:space="preserve">
+20-40 bps</t>
        </r>
      </text>
    </comment>
    <comment ref="CC23" authorId="4">
      <text>
        <r>
          <rPr>
            <sz val="10"/>
            <rFont val="Arial"/>
            <family val="2"/>
          </rPr>
          <t xml:space="preserve">Guidance: 11/12/09
</t>
        </r>
        <r>
          <rPr>
            <sz val="10"/>
            <rFont val="Arial"/>
            <family val="2"/>
          </rPr>
          <t>+50-60 bps</t>
        </r>
        <r>
          <rPr>
            <sz val="10"/>
            <rFont val="Arial"/>
            <family val="2"/>
          </rPr>
          <t xml:space="preserve">
Guidance: 8/13/09
</t>
        </r>
        <r>
          <rPr>
            <sz val="10"/>
            <rFont val="Arial"/>
            <family val="2"/>
          </rPr>
          <t>+20-30 bps</t>
        </r>
        <r>
          <rPr>
            <sz val="10"/>
            <rFont val="Arial"/>
            <family val="2"/>
          </rPr>
          <t xml:space="preserve">
</t>
        </r>
      </text>
    </comment>
    <comment ref="CE23" authorId="1">
      <text>
        <r>
          <rPr>
            <sz val="10"/>
            <rFont val="Arial"/>
            <family val="2"/>
          </rPr>
          <t xml:space="preserve">Note: 9/26/2011
</t>
        </r>
        <r>
          <rPr>
            <sz val="10"/>
            <rFont val="Arial"/>
            <family val="2"/>
          </rPr>
          <t xml:space="preserve">To match annual FY10 to the reported restated numbers, we used 4Q10 Income statement as balancing (for example refer cell FV12 and FV15 in "Income" tab). 
</t>
        </r>
      </text>
    </comment>
    <comment ref="CG23" authorId="2">
      <text>
        <r>
          <rPr>
            <sz val="10"/>
            <rFont val="Arial"/>
            <family val="2"/>
          </rPr>
          <t xml:space="preserve">Guidance 11/11/10:
</t>
        </r>
        <r>
          <rPr>
            <sz val="10"/>
            <rFont val="Arial"/>
            <family val="2"/>
          </rPr>
          <t>+20-40bps</t>
        </r>
        <r>
          <rPr>
            <sz val="10"/>
            <rFont val="Arial"/>
            <family val="2"/>
          </rPr>
          <t xml:space="preserve">
Guidance 8/12/10:
</t>
        </r>
        <r>
          <rPr>
            <sz val="10"/>
            <rFont val="Arial"/>
            <family val="2"/>
          </rPr>
          <t xml:space="preserve">+20-40bps
</t>
        </r>
      </text>
    </comment>
    <comment ref="CI23" authorId="5">
      <text>
        <r>
          <rPr>
            <sz val="10"/>
            <rFont val="Arial"/>
            <family val="2"/>
          </rPr>
          <t xml:space="preserve">12/2/11 Commentary (from 3Q11 10Q)
</t>
        </r>
        <r>
          <rPr>
            <sz val="10"/>
            <rFont val="Arial"/>
            <family val="2"/>
          </rPr>
          <t xml:space="preserve">1) We intend to continue to be flexible in our sales and inventory planning and in our expense management in order to react to changes in consumer demand
2)  Overall merchandise costs in all apparel categories are ~10-15% higher for Fall 2011 than Fall 2010 due to inflation in the cost of raw materials, labor and fuel
</t>
        </r>
        <r>
          <rPr>
            <sz val="10"/>
            <rFont val="Arial"/>
            <family val="2"/>
          </rPr>
          <t xml:space="preserve">
11/10/11 Guidance
</t>
        </r>
        <r>
          <rPr>
            <sz val="10"/>
            <rFont val="Arial"/>
            <family val="2"/>
          </rPr>
          <t xml:space="preserve">1) (-10) to +10bps 
2) Apparel costs have increased ~10% to 15% for the fall season
3) 3Q11 elasticity better than 1:1
</t>
        </r>
      </text>
    </comment>
    <comment ref="CK23" authorId="5">
      <text>
        <r>
          <rPr>
            <sz val="10"/>
            <rFont val="Arial"/>
            <family val="2"/>
          </rPr>
          <t xml:space="preserve">Comment: 2/23/2012
</t>
        </r>
        <r>
          <rPr>
            <sz val="10"/>
            <rFont val="Arial"/>
            <family val="2"/>
          </rPr>
          <t>Contraction due primarily to lower sales and markdowns necessary to clear through inventories.</t>
        </r>
        <r>
          <rPr>
            <sz val="10"/>
            <rFont val="Arial"/>
            <family val="2"/>
          </rPr>
          <t xml:space="preserve">
2/2/12 Guidance 
</t>
        </r>
        <r>
          <rPr>
            <sz val="10"/>
            <rFont val="Arial"/>
            <family val="2"/>
          </rPr>
          <t xml:space="preserve">- Down ~50 bps is reasonable </t>
        </r>
        <r>
          <rPr>
            <sz val="10"/>
            <rFont val="Arial"/>
            <family val="2"/>
          </rPr>
          <t xml:space="preserve">
12/2/11 Commentary (from 3Q11 10Q)
</t>
        </r>
        <r>
          <rPr>
            <sz val="10"/>
            <rFont val="Arial"/>
            <family val="2"/>
          </rPr>
          <t xml:space="preserve">1) We intend to continue to be flexible in our sales and inventory planning and in our expense management in order to react to changes in consumer demand
2)  Overall merchandise costs in all apparel categories are ~10-15% higher for Fall 2011 than Fall 2010 due to inflation in the cost of raw materials, labor and fuel
</t>
        </r>
        <r>
          <rPr>
            <sz val="10"/>
            <rFont val="Arial"/>
            <family val="2"/>
          </rPr>
          <t>11/10/11 Commentary:</t>
        </r>
        <r>
          <rPr>
            <sz val="10"/>
            <rFont val="Arial"/>
            <family val="2"/>
          </rPr>
          <t xml:space="preserve">
1) Key driver growth in Private and Exclusive brands (51% of sales in 3Q)
2) Apparel costs have increased ~10% to 15% for the fall season
3) 3Q11 elasticity better than 1:1
</t>
        </r>
        <r>
          <rPr>
            <sz val="10"/>
            <rFont val="Arial"/>
            <family val="2"/>
          </rPr>
          <t xml:space="preserve">11/10/11 Guidance:
</t>
        </r>
        <r>
          <rPr>
            <sz val="10"/>
            <rFont val="Arial"/>
            <family val="2"/>
          </rPr>
          <t xml:space="preserve">1) (-10) to +10bps 
2) Apparel costs have increased ~10% to 15% for the fall season
3) 3Q11 elasticity better than 1:1
</t>
        </r>
      </text>
    </comment>
    <comment ref="CO23" authorId="5">
      <text>
        <r>
          <rPr>
            <sz val="10"/>
            <rFont val="Arial"/>
            <family val="2"/>
          </rPr>
          <t xml:space="preserve">2/7/2013 Guidance: </t>
        </r>
        <r>
          <rPr>
            <sz val="10"/>
            <rFont val="Arial"/>
            <family val="2"/>
          </rPr>
          <t>confirmed GM -250 to -300 bps</t>
        </r>
        <r>
          <rPr>
            <sz val="10"/>
            <rFont val="Arial"/>
            <family val="2"/>
          </rPr>
          <t xml:space="preserve">
1/3/2013 Guidance: </t>
        </r>
        <r>
          <rPr>
            <sz val="10"/>
            <rFont val="Arial"/>
            <family val="2"/>
          </rPr>
          <t xml:space="preserve">-250 to -300 bps due to significant increase in clearance (mgmt indicated significant markdown risk on jewelry, accessories, seasonal apparel)
</t>
        </r>
        <r>
          <rPr>
            <sz val="10"/>
            <rFont val="Arial"/>
            <family val="2"/>
          </rPr>
          <t xml:space="preserve">
11/8/2012 Guidance </t>
        </r>
        <r>
          <rPr>
            <sz val="10"/>
            <rFont val="Arial"/>
            <family val="2"/>
          </rPr>
          <t>-80/-110 bps</t>
        </r>
        <r>
          <rPr>
            <sz val="10"/>
            <rFont val="Arial"/>
            <family val="2"/>
          </rPr>
          <t xml:space="preserve">
8/9/2012 Guidance</t>
        </r>
        <r>
          <rPr>
            <sz val="10"/>
            <rFont val="Arial"/>
            <family val="2"/>
          </rPr>
          <t xml:space="preserve">
1) Seeing MSD apparel cost decreases for fall; expect unit and cost increases per store will be similar as we gain benefit from lower cost fall receipts
2) Might have more oppty to make up gross  mgn loss LY but take conservative position in early plans
</t>
        </r>
        <r>
          <rPr>
            <sz val="10"/>
            <rFont val="Arial"/>
            <family val="2"/>
          </rPr>
          <t xml:space="preserve">
7/5/2012 Guidance
</t>
        </r>
        <r>
          <rPr>
            <sz val="10"/>
            <rFont val="Arial"/>
            <family val="2"/>
          </rPr>
          <t xml:space="preserve">- Mgmt expects apparel prices +LSD-MSD in 2H12 due to mix shift from higher priced exclusive products (i.e. JLo/Marc Anthony, Rock and Republic) and prices up MSD in home (big in 4Q), accessories, and footwear (big in 3Q)
</t>
        </r>
        <r>
          <rPr>
            <sz val="10"/>
            <rFont val="Arial"/>
            <family val="2"/>
          </rPr>
          <t xml:space="preserve">
5/10/2012 Guidance
</t>
        </r>
        <r>
          <rPr>
            <sz val="10"/>
            <rFont val="Arial"/>
            <family val="2"/>
          </rPr>
          <t>- Expect Fall gross mgns down from LY but not as much as 1H12
- Right-sized inventories should be a tailwind in 2H12 and late 2Q
- Seeing apparel cost decreases in MSD range for Fall (help gross mgns)</t>
        </r>
        <r>
          <rPr>
            <sz val="10"/>
            <rFont val="Arial"/>
            <family val="2"/>
          </rPr>
          <t xml:space="preserve">
Guidance 2/23/12 &amp; 10k
</t>
        </r>
        <r>
          <rPr>
            <sz val="10"/>
            <rFont val="Arial"/>
            <family val="2"/>
          </rPr>
          <t xml:space="preserve">- Merch mgns down y/y w/ new strategy
- 2H12 show some GM improvement w/ lower product costs vs. 1H12
- Expect modest cost increases in 1H12 but expect cost decreases in 2H12
- Plan to be less aggressive about passing higher costs to customers in '12 (a pos. for sales but negative to gross margin rate)
</t>
        </r>
        <r>
          <rPr>
            <sz val="10"/>
            <rFont val="Arial"/>
            <family val="2"/>
          </rPr>
          <t xml:space="preserve">
Note: 1/5/2012
</t>
        </r>
        <r>
          <rPr>
            <sz val="10"/>
            <rFont val="Arial"/>
            <family val="2"/>
          </rPr>
          <t xml:space="preserve">Based on convos w/ mgmt, it sounds like KSS is going to get more aggressive on price and it will be hard for GMs to be up in 2012.
</t>
        </r>
      </text>
    </comment>
    <comment ref="CS23" authorId="5">
      <text>
        <r>
          <rPr>
            <sz val="8"/>
            <color indexed="81"/>
            <rFont val="Tahoma"/>
            <family val="2"/>
          </rPr>
          <t xml:space="preserve">Notes: Lapping lower prdt costs, expect neg. impact from e-comm growth, assume inventory under control by 2H13
</t>
        </r>
        <r>
          <rPr>
            <b/>
            <sz val="8"/>
            <color indexed="81"/>
            <rFont val="Tahoma"/>
            <family val="2"/>
          </rPr>
          <t>11/13/13:</t>
        </r>
        <r>
          <rPr>
            <sz val="8"/>
            <color indexed="81"/>
            <rFont val="Tahoma"/>
            <family val="2"/>
          </rPr>
          <t xml:space="preserve"> guidance +70-90 bps</t>
        </r>
      </text>
    </comment>
    <comment ref="CW23" authorId="6">
      <text>
        <r>
          <rPr>
            <b/>
            <sz val="9"/>
            <color indexed="81"/>
            <rFont val="Tahoma"/>
            <family val="2"/>
          </rPr>
          <t>casselau:</t>
        </r>
        <r>
          <rPr>
            <sz val="9"/>
            <color indexed="81"/>
            <rFont val="Tahoma"/>
            <family val="2"/>
          </rPr>
          <t xml:space="preserve">
2/26/15: merchandise margin increased but was more than offset by S&amp;H costs</t>
        </r>
      </text>
    </comment>
    <comment ref="CZ23" authorId="10">
      <text>
        <r>
          <rPr>
            <b/>
            <sz val="9"/>
            <color indexed="81"/>
            <rFont val="Tahoma"/>
            <family val="2"/>
          </rPr>
          <t>Baglione, Gregory  (Research):</t>
        </r>
        <r>
          <rPr>
            <sz val="9"/>
            <color indexed="81"/>
            <rFont val="Tahoma"/>
            <family val="2"/>
          </rPr>
          <t xml:space="preserve">
11/12/15
"If they hit comp gudiance they can drive GM increase."
</t>
        </r>
        <r>
          <rPr>
            <b/>
            <sz val="9"/>
            <color indexed="81"/>
            <rFont val="Tahoma"/>
            <family val="2"/>
          </rPr>
          <t>2/4/16</t>
        </r>
        <r>
          <rPr>
            <sz val="9"/>
            <color indexed="81"/>
            <rFont val="Tahoma"/>
            <family val="2"/>
          </rPr>
          <t xml:space="preserve">
The change in guidance is a result of lower than planned sales for the quarter
and significantly lower than planned gross margin. Gross margin was affected by
the origin and timing of the sales in addition to the competitive promotional
environment which resulted in higher than expected markdowns on both year-round
and seasonal merchandise. 
Previous
Per conversation with Wes, GM down ~100 bps</t>
        </r>
      </text>
    </comment>
    <comment ref="DD23" authorId="11">
      <text>
        <r>
          <rPr>
            <b/>
            <sz val="9"/>
            <color indexed="81"/>
            <rFont val="Tahoma"/>
            <family val="2"/>
          </rPr>
          <t>Roberts, Cynthia (Research):</t>
        </r>
        <r>
          <rPr>
            <sz val="9"/>
            <color indexed="81"/>
            <rFont val="Tahoma"/>
            <family val="2"/>
          </rPr>
          <t xml:space="preserve">
2/23/17: GM increase driven by improvement in both permanent and promotional markdown
1/4/17
Per management GM was up slightly but less than expected
1/4/17
The Company now expects its fiscal 2016 diluted earnings per share to be $2.92
to $2.97 versus its previous guidance of $3.12 to $3.32 per diluted share.
Excluding impairments, store closing and other costs, fiscal 2016 diluted
earnings per share is expected to be $3.60 to $3.65, down from the Company’s
previously stated guidance of $3.80 to $4.00 per diluted share.
The change in guidance is primarily a result of lower than planned sales for
the quarter. Gross margin is projected to be lower than plan due to the mix
and timing of the sales and the competitive promotional environment. SG&amp;amp;A
expenses are projected to be as planned. Inventories per store at the end of
the fourth quarter are projected to decrease from prior year levels in the
mid-to-high single digit range.
11/10/16:
previous: 33.3%
updated: 33.5 %
We model gross margin to increase +40 bps, in-line with previous guidance </t>
        </r>
      </text>
    </comment>
    <comment ref="DE23" authorId="10">
      <text>
        <r>
          <rPr>
            <b/>
            <sz val="9"/>
            <color indexed="81"/>
            <rFont val="Tahoma"/>
            <family val="2"/>
          </rPr>
          <t xml:space="preserve">Baglione, Gregory  (Research):
</t>
        </r>
        <r>
          <rPr>
            <sz val="9"/>
            <color indexed="81"/>
            <rFont val="Tahoma"/>
            <family val="2"/>
          </rPr>
          <t>2/23/17: GM increase driven by improvement in both permanent and promotional markdown</t>
        </r>
        <r>
          <rPr>
            <b/>
            <sz val="9"/>
            <color indexed="81"/>
            <rFont val="Tahoma"/>
            <family val="2"/>
          </rPr>
          <t xml:space="preserve">
</t>
        </r>
        <r>
          <rPr>
            <sz val="9"/>
            <color indexed="81"/>
            <rFont val="Tahoma"/>
            <family val="2"/>
          </rPr>
          <t xml:space="preserve">
8/11/16
The guidance includes the following assumptions for the fall season: total sales decrease of 2.6%, up 0.6% to last year, a comp sales decrease of 2% to flat to last year, gross margin rate improvement of approximately 20 to 40 basis points over last year, and SG&amp;A dollar growth of 0.5% to 2% over last you.
2/25/16 Guide
Company expects 1Q GM down ~150 bps due to liquidation from inventory overhang.
Expect to have improvement in each of remaining quarters as inventory levels drop below last year. Expect GM to become sequentially better as the year progresses, biggest improvement in 4Q
</t>
        </r>
      </text>
    </comment>
    <comment ref="DH23" authorId="11">
      <text>
        <r>
          <rPr>
            <b/>
            <sz val="9"/>
            <color indexed="81"/>
            <rFont val="Tahoma"/>
            <family val="2"/>
          </rPr>
          <t>Roberts, Cynthia (Research):</t>
        </r>
        <r>
          <rPr>
            <sz val="9"/>
            <color indexed="81"/>
            <rFont val="Tahoma"/>
            <family val="2"/>
          </rPr>
          <t xml:space="preserve">
3/1/18: Our increasing gross margin was primarily a result of more effective inventory management through our speed, localization and store standard to small initiatives. also aided by markdown optimization and use of data and analytics
1/8/18: Holiday announcement, expects gross margin higher than LY
11/9/17: mgmt expects increase in merchandise margin</t>
        </r>
      </text>
    </comment>
    <comment ref="BP24" authorId="15">
      <text>
        <r>
          <rPr>
            <sz val="10"/>
            <rFont val="Arial"/>
            <family val="2"/>
          </rPr>
          <t>gross margin improvement of 
20-30bps y/y given on 4Q call</t>
        </r>
      </text>
    </comment>
    <comment ref="BT24" authorId="0">
      <text>
        <r>
          <rPr>
            <sz val="10"/>
            <rFont val="Arial"/>
            <family val="2"/>
          </rPr>
          <t>Guidance: 3/1/2007
+30-40bps</t>
        </r>
        <r>
          <rPr>
            <sz val="10"/>
            <rFont val="Arial"/>
            <family val="2"/>
          </rPr>
          <t xml:space="preserve">
</t>
        </r>
      </text>
    </comment>
    <comment ref="BY24" authorId="0">
      <text>
        <r>
          <rPr>
            <sz val="10"/>
            <rFont val="Arial"/>
            <family val="2"/>
          </rPr>
          <t>5/15/2008
Flat to +20 bps y/y.  Inv management and PL penetration.
Most of margin improvement from inv mgt.  PL likely to go to 40-41%, up from 39% LY.
Guidance: 2/28/2008
Flat to +20 bps y/y</t>
        </r>
      </text>
    </comment>
    <comment ref="CC24" authorId="4">
      <text>
        <r>
          <rPr>
            <sz val="10"/>
            <rFont val="Arial"/>
            <family val="2"/>
          </rPr>
          <t xml:space="preserve">Guidance: 2/26/09
</t>
        </r>
        <r>
          <rPr>
            <sz val="10"/>
            <rFont val="Arial"/>
            <family val="2"/>
          </rPr>
          <t>flat to +10 bps</t>
        </r>
      </text>
    </comment>
    <comment ref="CG24" authorId="4">
      <text>
        <r>
          <rPr>
            <sz val="10"/>
            <rFont val="Arial"/>
            <family val="2"/>
          </rPr>
          <t xml:space="preserve">Guidance: 5/13/10
</t>
        </r>
        <r>
          <rPr>
            <sz val="10"/>
            <rFont val="Arial"/>
            <family val="2"/>
          </rPr>
          <t>FY10: +20-40 bps</t>
        </r>
        <r>
          <rPr>
            <sz val="10"/>
            <rFont val="Arial"/>
            <family val="2"/>
          </rPr>
          <t xml:space="preserve">
Guidance: 2/25/10
</t>
        </r>
        <r>
          <rPr>
            <sz val="10"/>
            <rFont val="Arial"/>
            <family val="2"/>
          </rPr>
          <t xml:space="preserve">FY10: </t>
        </r>
        <r>
          <rPr>
            <sz val="10"/>
            <rFont val="Arial"/>
            <family val="2"/>
          </rPr>
          <t>+</t>
        </r>
        <r>
          <rPr>
            <sz val="10"/>
            <rFont val="Arial"/>
            <family val="2"/>
          </rPr>
          <t>20-30 bps</t>
        </r>
      </text>
    </comment>
    <comment ref="CK24" authorId="1">
      <text>
        <r>
          <rPr>
            <sz val="10"/>
            <rFont val="Arial"/>
            <family val="2"/>
          </rPr>
          <t xml:space="preserve">Comment 2/23/12 &amp; 10K
- </t>
        </r>
        <r>
          <rPr>
            <sz val="10"/>
            <rFont val="Arial"/>
            <family val="2"/>
          </rPr>
          <t>Passed on higher apparel prdt costs to customers in 2011 contributing to ~7% incrs in AUR
- But saw resistance from customers in both units/trans and trans/store</t>
        </r>
        <r>
          <rPr>
            <sz val="10"/>
            <rFont val="Arial"/>
            <family val="2"/>
          </rPr>
          <t xml:space="preserve">
- Ecomm business decreased gross mgn by ~70bps</t>
        </r>
        <r>
          <rPr>
            <sz val="10"/>
            <rFont val="Arial"/>
            <family val="2"/>
          </rPr>
          <t>; online business has lower GM vs. stores due to mix of pdts sold online and reduced cost shipping promos</t>
        </r>
        <r>
          <rPr>
            <sz val="10"/>
            <rFont val="Arial"/>
            <family val="2"/>
          </rPr>
          <t xml:space="preserve">
Guidance 2/24/11:
</t>
        </r>
        <r>
          <rPr>
            <sz val="10"/>
            <rFont val="Arial"/>
            <family val="2"/>
          </rPr>
          <t>+0-20 bps</t>
        </r>
        <r>
          <rPr>
            <sz val="10"/>
            <rFont val="Arial"/>
            <family val="2"/>
          </rPr>
          <t xml:space="preserve">
Note:
See cost inflation model.</t>
        </r>
        <r>
          <rPr>
            <sz val="10"/>
            <rFont val="Arial"/>
            <family val="2"/>
          </rPr>
          <t xml:space="preserve">
</t>
        </r>
      </text>
    </comment>
    <comment ref="CM24" authorId="5">
      <text>
        <r>
          <rPr>
            <sz val="10"/>
            <rFont val="Arial"/>
            <family val="2"/>
          </rPr>
          <t>12/2/11  Commentary (10Q)</t>
        </r>
        <r>
          <rPr>
            <sz val="10"/>
            <rFont val="Arial"/>
            <family val="2"/>
          </rPr>
          <t xml:space="preserve">
1) experienced cost increase LSD to MSD in 1H11 and +10-15% in 2H11
2) expect more modest increases in 1H12</t>
        </r>
      </text>
    </comment>
    <comment ref="CO24" authorId="5">
      <text>
        <r>
          <rPr>
            <sz val="10"/>
            <rFont val="Arial"/>
            <family val="2"/>
          </rPr>
          <t xml:space="preserve">8/9/2012 Guidance
</t>
        </r>
        <r>
          <rPr>
            <sz val="10"/>
            <rFont val="Arial"/>
            <family val="2"/>
          </rPr>
          <t xml:space="preserve">1) Seeing MSD apparel cost decreases for fall; expect unit and cost increases per store will be similar as we gain benefit from lower cost fall receipts
</t>
        </r>
        <r>
          <rPr>
            <sz val="10"/>
            <rFont val="Arial"/>
            <family val="2"/>
          </rPr>
          <t xml:space="preserve">
5/10/2012 Guidance
</t>
        </r>
        <r>
          <rPr>
            <sz val="10"/>
            <rFont val="Arial"/>
            <family val="2"/>
          </rPr>
          <t xml:space="preserve">- Expect Fall gross mgns down from LY but not as much as 1H12
- Seeing apparel cost decreases in MSD range for Fall (help gross mgns)
- Right-sized inventories should be a tailwind in 2H12 and late 2Q
</t>
        </r>
        <r>
          <rPr>
            <sz val="10"/>
            <rFont val="Arial"/>
            <family val="2"/>
          </rPr>
          <t xml:space="preserve">
2/23/12 Guidance
-70 bps</t>
        </r>
        <r>
          <rPr>
            <sz val="10"/>
            <rFont val="Arial"/>
            <family val="2"/>
          </rPr>
          <t xml:space="preserve"> w/ improvement in 3Q and 4Q vs. 1H11 given 1) lower expected product costs and 2) roll-out of improved pricing/mktg strategy
- Merch margins down y/y w/ new strategy
- Expect modest cost increases in 1H12 but expect cost decreases in 2H12
- Plan to be less aggressive about passing higher costs to customers in '12 (a pos. for sales but negative to gross margin rate)</t>
        </r>
        <r>
          <rPr>
            <sz val="10"/>
            <rFont val="Arial"/>
            <family val="2"/>
          </rPr>
          <t xml:space="preserve">
11/10/11 Commentary:
</t>
        </r>
        <r>
          <rPr>
            <sz val="10"/>
            <rFont val="Arial"/>
            <family val="2"/>
          </rPr>
          <t>- Experienced cost increases LSD to MSD in 1H11 and +10-15% in 2H11; expect more modest increase in 1H12</t>
        </r>
      </text>
    </comment>
    <comment ref="CS24" authorId="5">
      <text>
        <r>
          <rPr>
            <b/>
            <sz val="8"/>
            <color indexed="81"/>
            <rFont val="Tahoma"/>
            <family val="2"/>
          </rPr>
          <t xml:space="preserve">2/28/2013 guidance: </t>
        </r>
        <r>
          <rPr>
            <sz val="8"/>
            <color indexed="81"/>
            <rFont val="Tahoma"/>
            <family val="2"/>
          </rPr>
          <t>+15-30 bps
Notes: Lapping lower prdt costs, expect neg. impact from e-comm growth, assume inventory under control by 2H13</t>
        </r>
      </text>
    </comment>
    <comment ref="CW24" authorId="13">
      <text>
        <r>
          <rPr>
            <b/>
            <sz val="8"/>
            <color indexed="81"/>
            <rFont val="Tahoma"/>
            <family val="2"/>
          </rPr>
          <t xml:space="preserve">2/26/14 Guidance: </t>
        </r>
        <r>
          <rPr>
            <sz val="8"/>
            <color indexed="81"/>
            <rFont val="Tahoma"/>
            <family val="2"/>
          </rPr>
          <t>+10 to 30 bps</t>
        </r>
        <r>
          <rPr>
            <sz val="8"/>
            <color indexed="81"/>
            <rFont val="Tahoma"/>
            <family val="2"/>
          </rPr>
          <t xml:space="preserve">
</t>
        </r>
      </text>
    </comment>
    <comment ref="DA24" authorId="9">
      <text>
        <r>
          <rPr>
            <b/>
            <sz val="9"/>
            <color indexed="81"/>
            <rFont val="Tahoma"/>
            <family val="2"/>
          </rPr>
          <t>Mains, Spencer (Research):</t>
        </r>
        <r>
          <rPr>
            <sz val="9"/>
            <color indexed="81"/>
            <rFont val="Tahoma"/>
            <family val="2"/>
          </rPr>
          <t xml:space="preserve">
</t>
        </r>
        <r>
          <rPr>
            <b/>
            <sz val="9"/>
            <color indexed="81"/>
            <rFont val="Tahoma"/>
            <family val="2"/>
          </rPr>
          <t>8/13/15:</t>
        </r>
        <r>
          <rPr>
            <sz val="9"/>
            <color indexed="81"/>
            <rFont val="Tahoma"/>
            <family val="2"/>
          </rPr>
          <t xml:space="preserve"> "Remain on track to achieve GM guidance for year of flat to up 20 bps"
</t>
        </r>
        <r>
          <rPr>
            <b/>
            <sz val="9"/>
            <color indexed="81"/>
            <rFont val="Tahoma"/>
            <family val="2"/>
          </rPr>
          <t>2/26/15 guidance</t>
        </r>
        <r>
          <rPr>
            <sz val="9"/>
            <color indexed="81"/>
            <rFont val="Tahoma"/>
            <family val="2"/>
          </rPr>
          <t>: 0 to 20 bps increase over 2014 (includes 10-15 bps hit from eComm mix (home, national brands), and 20-25 bps from S&amp;H charges)</t>
        </r>
      </text>
    </comment>
    <comment ref="DD24" authorId="10">
      <text>
        <r>
          <rPr>
            <b/>
            <sz val="9"/>
            <color indexed="81"/>
            <rFont val="Tahoma"/>
            <family val="2"/>
          </rPr>
          <t>Baglione, Gregory  (Research):</t>
        </r>
        <r>
          <rPr>
            <sz val="9"/>
            <color indexed="81"/>
            <rFont val="Tahoma"/>
            <family val="2"/>
          </rPr>
          <t xml:space="preserve">
8/11/16
The guidance includes the following assumptions for the fall season: total sales decrease of 2.6%, up 0.6% to last year, a comp sales decrease of 2% to flat to last year, gross margin rate improvement of approximately 20 to 40 basis points over last year, and SG&amp;A dollar growth of 0.5% to 2% over last you.
2/25/16
Gross margin as a percentage of sales to increase 0 to 20 basis points over 2015
</t>
        </r>
        <r>
          <rPr>
            <b/>
            <sz val="9"/>
            <color indexed="81"/>
            <rFont val="Tahoma"/>
            <family val="2"/>
          </rPr>
          <t>2/4/16</t>
        </r>
        <r>
          <rPr>
            <sz val="9"/>
            <color indexed="81"/>
            <rFont val="Tahoma"/>
            <family val="2"/>
          </rPr>
          <t xml:space="preserve">
Lowering GM to 36.0% from 36.4%
</t>
        </r>
      </text>
    </comment>
    <comment ref="DE24" authorId="16">
      <text>
        <r>
          <rPr>
            <b/>
            <sz val="9"/>
            <color indexed="81"/>
            <rFont val="Tahoma"/>
            <family val="2"/>
          </rPr>
          <t>Baglione, Gregory (Research):</t>
        </r>
        <r>
          <rPr>
            <sz val="9"/>
            <color indexed="81"/>
            <rFont val="Tahoma"/>
            <family val="2"/>
          </rPr>
          <t xml:space="preserve">
8/11/16
The guidance includes the following assumptions for the fall season: total sales decrease of 2.6%, up 0.6% to last year, a comp sales decrease of 2% to flat to last year, gross margin rate improvement of approximately 20 to 40 basis points over last year, and SG&amp;A dollar growth of 0.5% to 2% over last you.</t>
        </r>
      </text>
    </comment>
    <comment ref="DG24" authorId="8">
      <text>
        <r>
          <rPr>
            <b/>
            <sz val="9"/>
            <color indexed="81"/>
            <rFont val="Tahoma"/>
            <family val="2"/>
          </rPr>
          <t>De Courreges, Edouard (Research):</t>
        </r>
        <r>
          <rPr>
            <sz val="9"/>
            <color indexed="81"/>
            <rFont val="Tahoma"/>
            <family val="2"/>
          </rPr>
          <t xml:space="preserve">
The increase was driven by inventory
management and less promotional and permanent markdowns, slightly offset by higher shipping costs.</t>
        </r>
      </text>
    </comment>
    <comment ref="DI24" authorId="11">
      <text>
        <r>
          <rPr>
            <b/>
            <sz val="9"/>
            <color indexed="81"/>
            <rFont val="Tahoma"/>
            <family val="2"/>
          </rPr>
          <t>Roberts, Cynthia (Research):</t>
        </r>
        <r>
          <rPr>
            <sz val="9"/>
            <color indexed="81"/>
            <rFont val="Tahoma"/>
            <family val="2"/>
          </rPr>
          <t xml:space="preserve">
1/8/18: Guidance gross margin "higher" y/y
8/10/17: Modest increase with most coming from 1Q
2/23/17: Guidance: increase 10-15 bps over 2016
Expect majority of GM improvement to come in 1Q, with rest of quarters flat to up slightly</t>
        </r>
      </text>
    </comment>
    <comment ref="DL24" authorId="8">
      <text>
        <r>
          <rPr>
            <b/>
            <sz val="9"/>
            <color indexed="81"/>
            <rFont val="Tahoma"/>
            <family val="2"/>
          </rPr>
          <t>De Courreges, Edouard (Research):</t>
        </r>
        <r>
          <rPr>
            <sz val="9"/>
            <color indexed="81"/>
            <rFont val="Tahoma"/>
            <family val="2"/>
          </rPr>
          <t xml:space="preserve">
2/28/18: Guide to +5 to +10 bps GM expansion</t>
        </r>
      </text>
    </comment>
    <comment ref="BS30" authorId="0">
      <text>
        <r>
          <rPr>
            <sz val="10"/>
            <rFont val="Arial"/>
            <family val="2"/>
          </rPr>
          <t>Guidance: 2/29/07
SG&amp;A increase should be ~in-line with sales</t>
        </r>
        <r>
          <rPr>
            <sz val="10"/>
            <rFont val="Arial"/>
            <family val="2"/>
          </rPr>
          <t xml:space="preserve">
</t>
        </r>
      </text>
    </comment>
    <comment ref="BT30" authorId="0">
      <text>
        <r>
          <rPr>
            <sz val="10"/>
            <rFont val="Arial"/>
            <family val="2"/>
          </rPr>
          <t>Guidance: 3/1/07
SG&amp;A expense should increase in-line with sales due to incremental expense associated with new store remodels</t>
        </r>
        <r>
          <rPr>
            <sz val="10"/>
            <rFont val="Arial"/>
            <family val="2"/>
          </rPr>
          <t xml:space="preserve">
</t>
        </r>
      </text>
    </comment>
    <comment ref="BW30" authorId="0">
      <text>
        <r>
          <rPr>
            <sz val="10"/>
            <rFont val="Arial"/>
            <family val="2"/>
          </rPr>
          <t>Guidance: 2/28/2008
+9-10% y/y</t>
        </r>
        <r>
          <rPr>
            <sz val="10"/>
            <rFont val="Arial"/>
            <family val="2"/>
          </rPr>
          <t xml:space="preserve">
</t>
        </r>
      </text>
    </comment>
    <comment ref="CA30" authorId="4">
      <text>
        <r>
          <rPr>
            <sz val="10"/>
            <rFont val="Arial"/>
            <family val="2"/>
          </rPr>
          <t xml:space="preserve">Guidance: 2/26/2009 </t>
        </r>
        <r>
          <rPr>
            <sz val="10"/>
            <rFont val="Arial"/>
            <family val="2"/>
          </rPr>
          <t>SG&amp;A$ +3-4%</t>
        </r>
      </text>
    </comment>
    <comment ref="CB30" authorId="4">
      <text>
        <r>
          <rPr>
            <sz val="10"/>
            <rFont val="Arial"/>
            <family val="2"/>
          </rPr>
          <t xml:space="preserve">Guidance: 2/26/2009 </t>
        </r>
        <r>
          <rPr>
            <sz val="10"/>
            <rFont val="Arial"/>
            <family val="2"/>
          </rPr>
          <t>SG&amp;A$ +3-4%</t>
        </r>
      </text>
    </comment>
    <comment ref="CE30" authorId="4">
      <text>
        <r>
          <rPr>
            <sz val="10"/>
            <rFont val="Arial"/>
            <family val="2"/>
          </rPr>
          <t xml:space="preserve">Guidance: 2/25/10
</t>
        </r>
        <r>
          <rPr>
            <sz val="10"/>
            <rFont val="Arial"/>
            <family val="2"/>
          </rPr>
          <t>1Q: $ up 4-5%</t>
        </r>
      </text>
    </comment>
    <comment ref="CI30" authorId="2">
      <text>
        <r>
          <rPr>
            <sz val="10"/>
            <rFont val="Arial"/>
            <family val="2"/>
          </rPr>
          <t xml:space="preserve">Comment 5/12/11:
</t>
        </r>
        <r>
          <rPr>
            <sz val="10"/>
            <rFont val="Arial"/>
            <family val="2"/>
          </rPr>
          <t xml:space="preserve">Credit/ store payroll better than expected
</t>
        </r>
        <r>
          <rPr>
            <sz val="10"/>
            <rFont val="Arial"/>
            <family val="2"/>
          </rPr>
          <t xml:space="preserve">
Guidance 2/24/11:
</t>
        </r>
        <r>
          <rPr>
            <sz val="10"/>
            <rFont val="Arial"/>
            <family val="2"/>
          </rPr>
          <t>+5-6.5% in 1Q
Drivers:
1) Additional remodels (100 vs. 85 in 2010)
**Pre-opening expense is now in SG&amp;A**
$4.5M for 1Q</t>
        </r>
      </text>
    </comment>
    <comment ref="CM30" authorId="5">
      <text>
        <r>
          <rPr>
            <sz val="10"/>
            <rFont val="Arial"/>
            <family val="2"/>
          </rPr>
          <t xml:space="preserve">5/3/2012 Comment 
</t>
        </r>
        <r>
          <rPr>
            <sz val="10"/>
            <rFont val="Arial"/>
            <family val="2"/>
          </rPr>
          <t>1) Mtn EPS guidance w/ SG&amp;A savings across items (ex marketing up y/y)</t>
        </r>
        <r>
          <rPr>
            <sz val="10"/>
            <rFont val="Arial"/>
            <family val="2"/>
          </rPr>
          <t xml:space="preserve">
Guidance: 2/23/2012
</t>
        </r>
        <r>
          <rPr>
            <sz val="10"/>
            <rFont val="Arial"/>
            <family val="2"/>
          </rPr>
          <t>$ +3.5% y/y</t>
        </r>
        <r>
          <rPr>
            <sz val="10"/>
            <rFont val="Arial"/>
            <family val="2"/>
          </rPr>
          <t xml:space="preserve">
Note: 1/5/2012
</t>
        </r>
        <r>
          <rPr>
            <sz val="10"/>
            <rFont val="Arial"/>
            <family val="2"/>
          </rPr>
          <t>Based on convos w/ mgmt, it sounds like KSS is going to get more aggressive on price and it will be hard for GMs to be up in 2012.
1</t>
        </r>
        <r>
          <rPr>
            <sz val="10"/>
            <rFont val="Arial"/>
            <family val="2"/>
          </rPr>
          <t xml:space="preserve">1/10/11 Commentary:
</t>
        </r>
        <r>
          <rPr>
            <sz val="10"/>
            <rFont val="Arial"/>
            <family val="2"/>
          </rPr>
          <t>- Experienced cost increases LSD to MSD in 1H11 and +10-15% in 2H11; expect more modest increase in 1H12</t>
        </r>
      </text>
    </comment>
    <comment ref="CO30" authorId="5">
      <text>
        <r>
          <rPr>
            <sz val="10"/>
            <rFont val="Arial"/>
            <family val="2"/>
          </rPr>
          <t xml:space="preserve">5/10/2012 Comment &amp; 10Q
</t>
        </r>
        <r>
          <rPr>
            <sz val="10"/>
            <rFont val="Arial"/>
            <family val="2"/>
          </rPr>
          <t>1) Credit provide most leverage ($23M benefit)
2) Also saw positive results from store payroll &amp; other store expenses
3) Technology investments continue to drive sustainable efficiencies
4) Adv costs not leverage due to incremental support for new brand launches during qtr and incremental spend on TV mktg campaign; distribution centers and IT also did not leverage</t>
        </r>
        <r>
          <rPr>
            <sz val="10"/>
            <rFont val="Arial"/>
            <family val="2"/>
          </rPr>
          <t xml:space="preserve">
5/3/2012 Comment 
</t>
        </r>
        <r>
          <rPr>
            <sz val="10"/>
            <rFont val="Arial"/>
            <family val="2"/>
          </rPr>
          <t>1) Mtn EPS guidance w/ SG&amp;A savings across items (ex marketing up y/y)</t>
        </r>
        <r>
          <rPr>
            <sz val="10"/>
            <rFont val="Arial"/>
            <family val="2"/>
          </rPr>
          <t xml:space="preserve">
Guidance: 2/23/2012
</t>
        </r>
        <r>
          <rPr>
            <sz val="10"/>
            <rFont val="Arial"/>
            <family val="2"/>
          </rPr>
          <t>$ +3.5% y/y</t>
        </r>
        <r>
          <rPr>
            <sz val="10"/>
            <rFont val="Arial"/>
            <family val="2"/>
          </rPr>
          <t xml:space="preserve">
Note: 1/5/2012
</t>
        </r>
        <r>
          <rPr>
            <sz val="10"/>
            <rFont val="Arial"/>
            <family val="2"/>
          </rPr>
          <t>Based on convos w/ mgmt, it sounds like KSS is going to get more aggressive on price and it will be hard for GMs to be up in 2012.
1</t>
        </r>
        <r>
          <rPr>
            <sz val="10"/>
            <rFont val="Arial"/>
            <family val="2"/>
          </rPr>
          <t xml:space="preserve">1/10/11 Commentary:
</t>
        </r>
        <r>
          <rPr>
            <sz val="10"/>
            <rFont val="Arial"/>
            <family val="2"/>
          </rPr>
          <t>- Experienced cost increases LSD to MSD in 1H11 and +10-15% in 2H11; expect more modest increase in 1H12</t>
        </r>
      </text>
    </comment>
    <comment ref="CS30" authorId="5">
      <text>
        <r>
          <rPr>
            <b/>
            <sz val="8"/>
            <color indexed="81"/>
            <rFont val="Tahoma"/>
            <family val="2"/>
          </rPr>
          <t xml:space="preserve">5/16/2013 comment: </t>
        </r>
        <r>
          <rPr>
            <sz val="8"/>
            <color indexed="81"/>
            <rFont val="Tahoma"/>
            <family val="2"/>
          </rPr>
          <t>Store payroll well managed; store controllable leveraged (all remodel related costs are in 2H); Ad expense leveraged, credit ops leveraged (+$10M in 1Q), DCs did not leverage given ecomm investmen</t>
        </r>
        <r>
          <rPr>
            <b/>
            <sz val="8"/>
            <color indexed="81"/>
            <rFont val="Tahoma"/>
            <family val="2"/>
          </rPr>
          <t xml:space="preserve">
2/28/2013 guidance: </t>
        </r>
        <r>
          <rPr>
            <sz val="8"/>
            <color indexed="81"/>
            <rFont val="Tahoma"/>
            <family val="2"/>
          </rPr>
          <t>2.5-3.5%</t>
        </r>
        <r>
          <rPr>
            <sz val="8"/>
            <color indexed="81"/>
            <rFont val="Tahoma"/>
            <family val="2"/>
          </rPr>
          <t xml:space="preserve">
</t>
        </r>
      </text>
    </comment>
    <comment ref="DA30" authorId="9">
      <text>
        <r>
          <rPr>
            <b/>
            <sz val="9"/>
            <color indexed="81"/>
            <rFont val="Tahoma"/>
            <family val="2"/>
          </rPr>
          <t>Mains, Spencer (Research):</t>
        </r>
        <r>
          <rPr>
            <sz val="9"/>
            <color indexed="81"/>
            <rFont val="Tahoma"/>
            <family val="2"/>
          </rPr>
          <t xml:space="preserve">
</t>
        </r>
        <r>
          <rPr>
            <b/>
            <sz val="9"/>
            <color indexed="81"/>
            <rFont val="Tahoma"/>
            <family val="2"/>
          </rPr>
          <t>2/26/15 guidance:</t>
        </r>
        <r>
          <rPr>
            <sz val="9"/>
            <color indexed="81"/>
            <rFont val="Tahoma"/>
            <family val="2"/>
          </rPr>
          <t xml:space="preserve"> expect SG&amp;A to increase more (+4-5%) in 1Q vs. 0.5-1.75% for rest of year due to beauty roll out to 450 stores and higher store expenses from BOPIS and Ship from Store rollout</t>
        </r>
      </text>
    </comment>
    <comment ref="DC30" authorId="10">
      <text>
        <r>
          <rPr>
            <b/>
            <sz val="9"/>
            <color indexed="81"/>
            <rFont val="Tahoma"/>
            <family val="2"/>
          </rPr>
          <t>Baglione, Gregory  (Research):</t>
        </r>
        <r>
          <rPr>
            <sz val="9"/>
            <color indexed="81"/>
            <rFont val="Tahoma"/>
            <family val="2"/>
          </rPr>
          <t xml:space="preserve">
$64M Impairment, $41M impact tax adjusted</t>
        </r>
      </text>
    </comment>
    <comment ref="DE30" authorId="10">
      <text>
        <r>
          <rPr>
            <b/>
            <sz val="9"/>
            <color indexed="81"/>
            <rFont val="Tahoma"/>
            <family val="2"/>
          </rPr>
          <t>Baglione, Gregory  (Research):</t>
        </r>
        <r>
          <rPr>
            <sz val="9"/>
            <color indexed="81"/>
            <rFont val="Tahoma"/>
            <family val="2"/>
          </rPr>
          <t xml:space="preserve">
5/12/16
Our SG&amp;A expenses decreased $8 million to $1 billion for the quarter. We effectively managed discretionary spending but were not able to leverage
expenses on the sales decrease. As a percentage of sales SG&amp;A delevered 75 basis points.
Store payroll dollars were slightly higher than last year as we pulled back on staffing to align with sales but did not leverage. Marketing deleveraged
on higher spending associated with our Academy Award sponsorship and higher digital spending. IT expenses also deleveraged.
Partially offsetting these increases were higher credit income and lower corporate expenses. Our credit share of sales was 58.8%, up 81 basis points
from last year. Logistics expenses were also less than last year.
1% core SG&amp;A growth +40-50 bps from wage pressure
2/25/16 Guide
SG&amp;A dollar increase of 1% to 2%. Our expectations for first quarter SG&amp;A dollar growth would be 3% to 4% as we shifted the timing of our advertising expenses and is more weighted to the first quarter this year.</t>
        </r>
      </text>
    </comment>
    <comment ref="DI30" authorId="7">
      <text>
        <r>
          <rPr>
            <b/>
            <sz val="9"/>
            <color indexed="81"/>
            <rFont val="Tahoma"/>
            <family val="2"/>
          </rPr>
          <t>Cassel, Lauren (Research):</t>
        </r>
        <r>
          <rPr>
            <sz val="9"/>
            <color indexed="81"/>
            <rFont val="Tahoma"/>
            <family val="2"/>
          </rPr>
          <t xml:space="preserve">
5/11/17: The largest contributor to the expense reduction were marketing and store expenses. Marketing spend was positively impacted by not repeating an unproductive event in Feb and through efficiencies gained in our noncustomer facing spend. Stores did an excellent job on productivity and managed all through the quarter very well.</t>
        </r>
      </text>
    </comment>
    <comment ref="DM30" authorId="8">
      <text>
        <r>
          <rPr>
            <b/>
            <sz val="9"/>
            <color indexed="81"/>
            <rFont val="Tahoma"/>
            <family val="2"/>
          </rPr>
          <t>De Courreges, Edouard (Research):</t>
        </r>
        <r>
          <rPr>
            <sz val="9"/>
            <color indexed="81"/>
            <rFont val="Tahoma"/>
            <family val="2"/>
          </rPr>
          <t xml:space="preserve">
SG&amp;A is expected to increase mid-single digits for due to a cost associated with our cloud migration strategy, leadership change is announced in the fall and investments in stores and omni-channel fulfillment. </t>
        </r>
      </text>
    </comment>
    <comment ref="BT31" authorId="0">
      <text>
        <r>
          <rPr>
            <sz val="10"/>
            <rFont val="Arial"/>
            <family val="2"/>
          </rPr>
          <t>Guidance: 3/1/07
Leverage on &lt; 2% comp</t>
        </r>
        <r>
          <rPr>
            <sz val="10"/>
            <rFont val="Arial"/>
            <family val="2"/>
          </rPr>
          <t xml:space="preserve">
</t>
        </r>
        <r>
          <rPr>
            <sz val="10"/>
            <rFont val="Arial"/>
            <family val="2"/>
          </rPr>
          <t>Less in incentive comp expense</t>
        </r>
      </text>
    </comment>
    <comment ref="BW31" authorId="3">
      <text>
        <r>
          <rPr>
            <sz val="10"/>
            <rFont val="Arial"/>
            <family val="2"/>
          </rPr>
          <t>5/15/2008
+12-13%, less than store growth
Due to increased marketing investment to gain mkt share, incremental stores opened this spring (28 stores this spring vs 17 LY), and 8 remodels in 2Q vs 0 LY. 
To gain share, invest in vehicles that worked well in 1Q</t>
        </r>
      </text>
    </comment>
    <comment ref="CA31" authorId="4">
      <text>
        <r>
          <rPr>
            <sz val="10"/>
            <rFont val="Arial"/>
            <family val="2"/>
          </rPr>
          <t xml:space="preserve">Guidance: 5/14/2009 </t>
        </r>
        <r>
          <rPr>
            <sz val="10"/>
            <rFont val="Arial"/>
            <family val="2"/>
          </rPr>
          <t>SG&amp;A$ +3-4%</t>
        </r>
      </text>
    </comment>
    <comment ref="CE31" authorId="2">
      <text>
        <r>
          <rPr>
            <sz val="10"/>
            <rFont val="Arial"/>
            <family val="2"/>
          </rPr>
          <t xml:space="preserve">Comment 8/12/10:
</t>
        </r>
        <r>
          <rPr>
            <sz val="10"/>
            <rFont val="Arial"/>
            <family val="2"/>
          </rPr>
          <t>2 cents of beat ($10M) relates to shift of mailing costs re credit card legislation and shift of e-commerce investment out of 2Q into 3Q</t>
        </r>
        <r>
          <rPr>
            <sz val="10"/>
            <rFont val="Arial"/>
            <family val="2"/>
          </rPr>
          <t xml:space="preserve">
Guidance 5/13/10:
+</t>
        </r>
        <r>
          <rPr>
            <sz val="10"/>
            <rFont val="Arial"/>
            <family val="2"/>
          </rPr>
          <t xml:space="preserve">10-11% growth y/y on $ basis. 
Increase driven by 3 factors discussed below and timing shift of e-commerce spend (which has always been in plan).
Drivers </t>
        </r>
        <r>
          <rPr>
            <sz val="10"/>
            <rFont val="Arial"/>
            <family val="2"/>
          </rPr>
          <t>above plan</t>
        </r>
        <r>
          <rPr>
            <sz val="10"/>
            <rFont val="Arial"/>
            <family val="2"/>
          </rPr>
          <t xml:space="preserve"> are as follows (for the </t>
        </r>
        <r>
          <rPr>
            <sz val="10"/>
            <rFont val="Arial"/>
            <family val="2"/>
          </rPr>
          <t>full year</t>
        </r>
        <r>
          <rPr>
            <sz val="10"/>
            <rFont val="Arial"/>
            <family val="2"/>
          </rPr>
          <t xml:space="preserve">):
1) Incremental advertising investment 
2) Administrative costs re notification of late fees on credit cards (~$7-10M for the FY)
3) Declines in late fee revenue as more people pay on time
The incremental impact to FY SG&amp;A of these 3 drivers is ~$45M, a portion of which is hitting 2Q:
Original FY SG&amp;A guidance = +4-5% vs.New FY SG&amp;A guidance = +6-7%
The increase is in part driven by raised comp guidance (SG&amp;A would have been +5-6% on raised sales outlook)
</t>
        </r>
        <r>
          <rPr>
            <sz val="10"/>
            <rFont val="Arial"/>
            <family val="2"/>
          </rPr>
          <t xml:space="preserve">Therefore 1 point (6.5%-5.5%) is attributable to incremental SG&amp;A spend: 
= 1% x FY SG&amp;A of $4.4bn = $44M for FY10
Note that 3Q and 4Q SG&amp;A could see impact from reduced writeoffs as delinquencies are now trending down and KSS sees benefit 180 days later
</t>
        </r>
        <r>
          <rPr>
            <sz val="10"/>
            <rFont val="Arial"/>
            <family val="2"/>
          </rPr>
          <t xml:space="preserve">
</t>
        </r>
      </text>
    </comment>
    <comment ref="CI31" authorId="1">
      <text>
        <r>
          <rPr>
            <sz val="10"/>
            <rFont val="Arial"/>
            <family val="2"/>
          </rPr>
          <t xml:space="preserve">Comment 8/11/11:
</t>
        </r>
        <r>
          <rPr>
            <sz val="10"/>
            <rFont val="Arial"/>
            <family val="2"/>
          </rPr>
          <t>1) Credit provided sig leverage; bad debt dropping towards pre-recession levels</t>
        </r>
        <r>
          <rPr>
            <sz val="10"/>
            <rFont val="Arial"/>
            <family val="2"/>
          </rPr>
          <t xml:space="preserve">
Guidance 5/12/11:
</t>
        </r>
        <r>
          <rPr>
            <sz val="10"/>
            <rFont val="Arial"/>
            <family val="2"/>
          </rPr>
          <t>+3-4.5% in 2Q</t>
        </r>
        <r>
          <rPr>
            <sz val="10"/>
            <rFont val="Arial"/>
            <family val="2"/>
          </rPr>
          <t xml:space="preserve">
</t>
        </r>
        <r>
          <rPr>
            <sz val="10"/>
            <rFont val="Arial"/>
            <family val="2"/>
          </rPr>
          <t>Higher SG&amp;A vs. initial guidance due to stepped up mktg expense
Offsets:
1) Expect lower bad debt expense y/y (towards pre-recession levels)
2) Store payroll (Elec signs)</t>
        </r>
        <r>
          <rPr>
            <sz val="10"/>
            <rFont val="Arial"/>
            <family val="2"/>
          </rPr>
          <t xml:space="preserve">
Guidance 2/24/11:
+</t>
        </r>
        <r>
          <rPr>
            <sz val="10"/>
            <rFont val="Arial"/>
            <family val="2"/>
          </rPr>
          <t>2-3.5% in 2Q and 3Q</t>
        </r>
        <r>
          <rPr>
            <sz val="10"/>
            <rFont val="Arial"/>
            <family val="2"/>
          </rPr>
          <t xml:space="preserve">
</t>
        </r>
      </text>
    </comment>
    <comment ref="CM31" authorId="1">
      <text>
        <r>
          <rPr>
            <sz val="10"/>
            <rFont val="Arial"/>
            <family val="2"/>
          </rPr>
          <t xml:space="preserve">5/31/2012 Guidance
</t>
        </r>
        <r>
          <rPr>
            <sz val="10"/>
            <rFont val="Arial"/>
            <family val="2"/>
          </rPr>
          <t xml:space="preserve">Maintain 2Q EPS guidance for $0.96-$1.02
Mgmt suggested looking at SG&amp;A to offset sales miss
</t>
        </r>
        <r>
          <rPr>
            <sz val="10"/>
            <rFont val="Arial"/>
            <family val="2"/>
          </rPr>
          <t xml:space="preserve">
5/10/2012: Guidance
Flat to +1.5% in $s
</t>
        </r>
        <r>
          <rPr>
            <sz val="10"/>
            <rFont val="Arial"/>
            <family val="2"/>
          </rPr>
          <t xml:space="preserve">1) Expect credit benefit to moderate in 2Q-4Q vs. 1Q -- lapped new relationship with Capital One in April 2012
2) will continue to loo kfor ways to be more 
efficient across the company
</t>
        </r>
        <r>
          <rPr>
            <sz val="10"/>
            <rFont val="Arial"/>
            <family val="2"/>
          </rPr>
          <t xml:space="preserve">
Note: 1/5/2012
</t>
        </r>
        <r>
          <rPr>
            <sz val="10"/>
            <rFont val="Arial"/>
            <family val="2"/>
          </rPr>
          <t xml:space="preserve">Credit was a big tailwind in 2011.  We expect it to be less of a tailwind in 2012.
</t>
        </r>
      </text>
    </comment>
    <comment ref="CO31" authorId="1">
      <text>
        <r>
          <rPr>
            <sz val="10"/>
            <rFont val="Arial"/>
            <family val="2"/>
          </rPr>
          <t xml:space="preserve">5/31/2012 Guidance
</t>
        </r>
        <r>
          <rPr>
            <sz val="10"/>
            <rFont val="Arial"/>
            <family val="2"/>
          </rPr>
          <t xml:space="preserve">Maintain 2Q EPS guidance for $0.96-$1.02
Mgmt suggested looking at SG&amp;A to offset sales miss
</t>
        </r>
        <r>
          <rPr>
            <sz val="10"/>
            <rFont val="Arial"/>
            <family val="2"/>
          </rPr>
          <t xml:space="preserve">
5/10/2012: Guidance
Flat to +1.5% in $s
</t>
        </r>
        <r>
          <rPr>
            <sz val="10"/>
            <rFont val="Arial"/>
            <family val="2"/>
          </rPr>
          <t xml:space="preserve">1) Expect credit benefit to moderate in 2Q-4Q vs. 1Q -- lapped new relationship with Capital One in April 2012
2) will continue to loo kfor ways to be more 
efficient across the company
</t>
        </r>
        <r>
          <rPr>
            <sz val="10"/>
            <rFont val="Arial"/>
            <family val="2"/>
          </rPr>
          <t xml:space="preserve">
Note: 1/5/2012
</t>
        </r>
        <r>
          <rPr>
            <sz val="10"/>
            <rFont val="Arial"/>
            <family val="2"/>
          </rPr>
          <t xml:space="preserve">Credit was a big tailwind in 2011.  We expect it to be less of a tailwind in 2012.
</t>
        </r>
      </text>
    </comment>
    <comment ref="CS31" authorId="5">
      <text>
        <r>
          <rPr>
            <b/>
            <sz val="8"/>
            <color indexed="81"/>
            <rFont val="Tahoma"/>
            <family val="2"/>
          </rPr>
          <t xml:space="preserve">5/16/2013 guidance: </t>
        </r>
        <r>
          <rPr>
            <sz val="8"/>
            <color indexed="81"/>
            <rFont val="Tahoma"/>
            <family val="2"/>
          </rPr>
          <t>+2.5-3.5%; increasing marketing in 2Q to drive sales</t>
        </r>
      </text>
    </comment>
    <comment ref="CV31" authorId="14">
      <text>
        <r>
          <rPr>
            <b/>
            <sz val="9"/>
            <color indexed="81"/>
            <rFont val="Tahoma"/>
            <family val="2"/>
          </rPr>
          <t xml:space="preserve">5/15/14: </t>
        </r>
        <r>
          <rPr>
            <sz val="9"/>
            <color indexed="81"/>
            <rFont val="Tahoma"/>
            <family val="2"/>
          </rPr>
          <t xml:space="preserve">Long term: targeting SG&amp;A leverage @ 2% comps
</t>
        </r>
      </text>
    </comment>
    <comment ref="CW31" authorId="14">
      <text>
        <r>
          <rPr>
            <b/>
            <sz val="9"/>
            <color indexed="81"/>
            <rFont val="Tahoma"/>
            <family val="2"/>
          </rPr>
          <t xml:space="preserve">8/14/14: </t>
        </r>
        <r>
          <rPr>
            <sz val="9"/>
            <color indexed="81"/>
            <rFont val="Tahoma"/>
            <family val="2"/>
          </rPr>
          <t xml:space="preserve">Our SG&amp;A expenses decreased 2% and leveraged 20 basis points compared to the second quarter of last year. Our credit card business reported a $13 million increase in revenues this quarter ($2M above plan). In our stores bookstore payroll and controllable costs decreased as did our overall corporate expenses. Our retail distribution centers reported lower-cost but our E-Commerce Fulfillment Centers reported higher costs. Advertising expenses were also higher as we continue our efforts to drive traffic to the stores and online. Year to date SG&amp;A decreased 1% and deleveraged 30 basis points
</t>
        </r>
      </text>
    </comment>
    <comment ref="DA31" authorId="6">
      <text>
        <r>
          <rPr>
            <b/>
            <sz val="9"/>
            <color indexed="81"/>
            <rFont val="Tahoma"/>
            <family val="2"/>
          </rPr>
          <t>casselau:</t>
        </r>
        <r>
          <rPr>
            <sz val="9"/>
            <color indexed="81"/>
            <rFont val="Tahoma"/>
            <family val="2"/>
          </rPr>
          <t xml:space="preserve">
8/13/15: Slightly less than 3-4% guidance, were able to leverage logistics and credit operations. Marketing expenses slightly deleveraged.  Store and corp relatively fixed.
Reamin on track to grow SG&amp;A 1.5%-2.5%
5/14/15: per Wes: SG&amp;A up slightly - closer to 3-4% range </t>
        </r>
      </text>
    </comment>
    <comment ref="DC31" authorId="10">
      <text>
        <r>
          <rPr>
            <b/>
            <sz val="9"/>
            <color indexed="81"/>
            <rFont val="Tahoma"/>
            <family val="2"/>
          </rPr>
          <t>Baglione, Gregory  (Research):</t>
        </r>
        <r>
          <rPr>
            <sz val="9"/>
            <color indexed="81"/>
            <rFont val="Tahoma"/>
            <family val="2"/>
          </rPr>
          <t xml:space="preserve">
$128M impairments store closing and other costs</t>
        </r>
      </text>
    </comment>
    <comment ref="DE31" authorId="10">
      <text>
        <r>
          <rPr>
            <b/>
            <sz val="9"/>
            <color indexed="81"/>
            <rFont val="Tahoma"/>
            <family val="2"/>
          </rPr>
          <t>Baglione, Gregory  (Research):</t>
        </r>
        <r>
          <rPr>
            <sz val="9"/>
            <color indexed="81"/>
            <rFont val="Tahoma"/>
            <family val="2"/>
          </rPr>
          <t xml:space="preserve">
8/11/16
Our SG&amp;A decreased $19 million to, $986 million for the quarter and deleveraged only 3 basis points on a 2% decline in sales. Our teams continue to aggressively and effectively manage store payroll as sales trends change versus our plan but we were unable to leverage those expenses versus last year. IT in corporate expenses also deleveraged . Partially offsetting these increases were slightly higher credit income and lower variable store cost and marketing expenses.
5/12/16
Previous: +2.3%
Updated: flat
2/25/16
Expect 2Q SG&amp;A to increase above 3Q-4Q.
1% core SG&amp;A growth +40-50 bps from wage pressure
</t>
        </r>
      </text>
    </comment>
    <comment ref="DI31" authorId="11">
      <text>
        <r>
          <rPr>
            <b/>
            <sz val="9"/>
            <color indexed="81"/>
            <rFont val="Tahoma"/>
            <family val="2"/>
          </rPr>
          <t>Roberts, Cynthia (Research):</t>
        </r>
        <r>
          <rPr>
            <sz val="9"/>
            <color indexed="81"/>
            <rFont val="Tahoma"/>
            <family val="2"/>
          </rPr>
          <t xml:space="preserve">
8/10/17: Marketing and credit businesses leveraged. Continued efficiency in noncustomer-facing spend. Credit business had higher revenues on receiveables portfolio and lower operating expenses. 
Store expenses managed in line with decrease in sales. Distribution, IT, and corporate cost well-managed but didn't leverage on lower sales</t>
        </r>
      </text>
    </comment>
    <comment ref="BP32" authorId="0">
      <text>
        <r>
          <rPr>
            <sz val="10"/>
            <rFont val="Arial"/>
            <family val="2"/>
          </rPr>
          <t xml:space="preserve">leverage on a 2% comp (8/10/06)
</t>
        </r>
        <r>
          <rPr>
            <sz val="10"/>
            <rFont val="Arial"/>
            <family val="2"/>
          </rPr>
          <t xml:space="preserve">
KSS can leverage expenses on a 2% comp.  Above 2%, each additional 1% comp growth results in 5-8 bps of expense leverage</t>
        </r>
      </text>
    </comment>
    <comment ref="BS32" authorId="0">
      <text>
        <r>
          <rPr>
            <sz val="10"/>
            <rFont val="Arial"/>
            <family val="2"/>
          </rPr>
          <t>Guidance: 8/16/07</t>
        </r>
        <r>
          <rPr>
            <sz val="10"/>
            <rFont val="Arial"/>
            <family val="2"/>
          </rPr>
          <t xml:space="preserve">
</t>
        </r>
        <r>
          <rPr>
            <sz val="10"/>
            <rFont val="Arial"/>
            <family val="2"/>
          </rPr>
          <t>+12-13%</t>
        </r>
      </text>
    </comment>
    <comment ref="BW32" authorId="3">
      <text>
        <r>
          <rPr>
            <sz val="10"/>
            <rFont val="Arial"/>
            <family val="2"/>
          </rPr>
          <t>8/14/08</t>
        </r>
        <r>
          <rPr>
            <sz val="10"/>
            <rFont val="Arial"/>
            <family val="2"/>
          </rPr>
          <t xml:space="preserve">
+9-10% (differrence b/t SG&amp;A in 3Q and 4Q is primarily due to having 95 Fall 2007 stores open for the entire 3Q versus one month last year)
5/15/2008
Growth rate likely to fall more in-line with 1Q levels</t>
        </r>
      </text>
    </comment>
    <comment ref="BX32" authorId="3">
      <text>
        <r>
          <rPr>
            <sz val="10"/>
            <rFont val="Arial"/>
            <family val="2"/>
          </rPr>
          <t>8/14/08</t>
        </r>
        <r>
          <rPr>
            <sz val="10"/>
            <rFont val="Arial"/>
            <family val="2"/>
          </rPr>
          <t xml:space="preserve">
+9-10% (differrence b/t SG&amp;A in 3Q and 4Q is primarily due to having 95 Fall 2007 stores open for the entire 3Q versus one month last year)
5/15/2008
Growth rate likely to fall more in-line with 1Q levels</t>
        </r>
      </text>
    </comment>
    <comment ref="CA32" authorId="4">
      <text>
        <r>
          <rPr>
            <sz val="10"/>
            <rFont val="Arial"/>
            <family val="2"/>
          </rPr>
          <t xml:space="preserve">Guidance: 8/13/2009 
</t>
        </r>
        <r>
          <rPr>
            <sz val="10"/>
            <rFont val="Arial"/>
            <family val="2"/>
          </rPr>
          <t>+3-4%</t>
        </r>
        <r>
          <rPr>
            <sz val="10"/>
            <rFont val="Arial"/>
            <family val="2"/>
          </rPr>
          <t xml:space="preserve">
Guidance: 5/14/2009 
- </t>
        </r>
        <r>
          <rPr>
            <sz val="10"/>
            <rFont val="Arial"/>
            <family val="2"/>
          </rPr>
          <t>SG&amp;A assumptions similar in the Fall to that of 2Q</t>
        </r>
      </text>
    </comment>
    <comment ref="CE32" authorId="2">
      <text>
        <r>
          <rPr>
            <sz val="10"/>
            <rFont val="Arial"/>
            <family val="2"/>
          </rPr>
          <t xml:space="preserve">Guidance 8/12/10:
+10-11%
</t>
        </r>
        <r>
          <rPr>
            <sz val="10"/>
            <rFont val="Arial"/>
            <family val="2"/>
          </rPr>
          <t>1)</t>
        </r>
        <r>
          <rPr>
            <sz val="10"/>
            <rFont val="Arial"/>
            <family val="2"/>
          </rPr>
          <t xml:space="preserve"> </t>
        </r>
        <r>
          <rPr>
            <sz val="10"/>
            <rFont val="Arial"/>
            <family val="2"/>
          </rPr>
          <t>Incremental vs plan post 1Q is $60 M in total:
- 3Q/4Q breakdown is $25M/$15M re reduced income owing to legislative changes on credit cards (this is 1x in nature)</t>
        </r>
        <r>
          <rPr>
            <sz val="10"/>
            <rFont val="Arial"/>
            <family val="2"/>
          </rPr>
          <t xml:space="preserve">
</t>
        </r>
        <r>
          <rPr>
            <sz val="10"/>
            <rFont val="Arial"/>
            <family val="2"/>
          </rPr>
          <t>- 3Q/4Q breakdown is $15M/$5M re incremental advertising expense (this is discretionary)
2) In addition, $10M from 2Q will flow into 3Q (timing shift) re mailing costs and e-commerce investment
3) Note company is also embedding some + impact from reduced bad debt expense on portfolio; however, reduction in late fees is more than offsetting at this point</t>
        </r>
        <r>
          <rPr>
            <sz val="10"/>
            <rFont val="Arial"/>
            <family val="2"/>
          </rPr>
          <t xml:space="preserve">
Guidance 5/13/10:
</t>
        </r>
        <r>
          <rPr>
            <sz val="10"/>
            <rFont val="Arial"/>
            <family val="2"/>
          </rPr>
          <t xml:space="preserve">Note that 3Q and 4Q SG&amp;A could see impact from reduced writeoffs as delinquencies are now trending down and KSS sees benefit 180 days later
</t>
        </r>
        <r>
          <rPr>
            <sz val="10"/>
            <rFont val="Arial"/>
            <family val="2"/>
          </rPr>
          <t xml:space="preserve">
</t>
        </r>
        <r>
          <rPr>
            <sz val="10"/>
            <rFont val="Arial"/>
            <family val="2"/>
          </rPr>
          <t xml:space="preserve">
</t>
        </r>
      </text>
    </comment>
    <comment ref="CI32" authorId="1">
      <text>
        <r>
          <rPr>
            <sz val="10"/>
            <rFont val="Arial"/>
            <family val="2"/>
          </rPr>
          <t xml:space="preserve">Guidance 8/11/11:
</t>
        </r>
        <r>
          <rPr>
            <sz val="10"/>
            <rFont val="Arial"/>
            <family val="2"/>
          </rPr>
          <t>+1.5-3.0% in 3Q</t>
        </r>
        <r>
          <rPr>
            <sz val="10"/>
            <rFont val="Arial"/>
            <family val="2"/>
          </rPr>
          <t xml:space="preserve">
Several new marketing initiatives to drive sales in 3Q:
</t>
        </r>
        <r>
          <rPr>
            <sz val="10"/>
            <rFont val="Arial"/>
            <family val="2"/>
          </rPr>
          <t>a) inv in new brand launches (Jlo, Mk Anthony)
b) increase in direct mail
c) increase in digital media
d) expansion Hot/Mild strategy to include South Central region</t>
        </r>
        <r>
          <rPr>
            <sz val="10"/>
            <rFont val="Arial"/>
            <family val="2"/>
          </rPr>
          <t xml:space="preserve">
Guidance 2/24/11:
+</t>
        </r>
        <r>
          <rPr>
            <sz val="10"/>
            <rFont val="Arial"/>
            <family val="2"/>
          </rPr>
          <t>2-3.5% in 2Q and 3Q
3Q SG&amp;A lower than 4Q b/c lapping credit event headwind</t>
        </r>
        <r>
          <rPr>
            <sz val="10"/>
            <rFont val="Arial"/>
            <family val="2"/>
          </rPr>
          <t xml:space="preserve">
</t>
        </r>
      </text>
    </comment>
    <comment ref="CM32" authorId="1">
      <text>
        <r>
          <rPr>
            <sz val="10"/>
            <rFont val="Arial"/>
            <family val="2"/>
          </rPr>
          <t xml:space="preserve">5/10/2012
</t>
        </r>
        <r>
          <rPr>
            <sz val="10"/>
            <rFont val="Arial"/>
            <family val="2"/>
          </rPr>
          <t xml:space="preserve">1) Expect credit benefit to moderate in 2Q-4Q vs. 1Q -- lapped new relationship with Capital One in April 2012
2) will continue to look for ways to be more efficient across the company
</t>
        </r>
        <r>
          <rPr>
            <sz val="10"/>
            <rFont val="Arial"/>
            <family val="2"/>
          </rPr>
          <t xml:space="preserve">3) Lap $20M of JLo/MA advertising expense LY </t>
        </r>
        <r>
          <rPr>
            <sz val="10"/>
            <rFont val="Arial"/>
            <family val="2"/>
          </rPr>
          <t>(may spend $15M in 3Q12 but not full $20M)</t>
        </r>
        <r>
          <rPr>
            <sz val="10"/>
            <rFont val="Arial"/>
            <family val="2"/>
          </rPr>
          <t xml:space="preserve">
Note: 1/5/2012
</t>
        </r>
        <r>
          <rPr>
            <sz val="10"/>
            <rFont val="Arial"/>
            <family val="2"/>
          </rPr>
          <t xml:space="preserve">Credit was a big tailwind in 2011.  We expect it to be less of a tailwind in 2012.
</t>
        </r>
      </text>
    </comment>
    <comment ref="CN32" authorId="1">
      <text>
        <r>
          <rPr>
            <sz val="10"/>
            <rFont val="Arial"/>
            <family val="2"/>
          </rPr>
          <t xml:space="preserve">11/8/2012 Comment: </t>
        </r>
        <r>
          <rPr>
            <sz val="10"/>
            <rFont val="Arial"/>
            <family val="2"/>
          </rPr>
          <t>payroll efficiencies; fixed costs flat as % of sales; leverage corp ops due to lower incetive costs; marketing costs leveraged in 3Q; credit deleveraged slightly; DC did not leverage</t>
        </r>
        <r>
          <rPr>
            <sz val="10"/>
            <rFont val="Arial"/>
            <family val="2"/>
          </rPr>
          <t xml:space="preserve">
8/9/2012 Guidance
</t>
        </r>
        <r>
          <rPr>
            <sz val="10"/>
            <rFont val="Arial"/>
            <family val="2"/>
          </rPr>
          <t>-1%/+1%</t>
        </r>
        <r>
          <rPr>
            <sz val="10"/>
            <rFont val="Arial"/>
            <family val="2"/>
          </rPr>
          <t xml:space="preserve">
5/10/2012
</t>
        </r>
        <r>
          <rPr>
            <sz val="10"/>
            <rFont val="Arial"/>
            <family val="2"/>
          </rPr>
          <t xml:space="preserve">1) Expect credit benefit to moderate in 2Q-4Q vs. 1Q -- lapped new relationship with Capital One in April 2012
2) will continue to loo kfor ways to be more efficient across the company
</t>
        </r>
        <r>
          <rPr>
            <sz val="10"/>
            <rFont val="Arial"/>
            <family val="2"/>
          </rPr>
          <t xml:space="preserve">3) Lap $20M of JLo/MA advertising expense LY </t>
        </r>
        <r>
          <rPr>
            <sz val="10"/>
            <rFont val="Arial"/>
            <family val="2"/>
          </rPr>
          <t>(may spend $15M in 3Q12 but not full $20M)</t>
        </r>
        <r>
          <rPr>
            <sz val="10"/>
            <rFont val="Arial"/>
            <family val="2"/>
          </rPr>
          <t xml:space="preserve">
Note: 1/5/2012
</t>
        </r>
        <r>
          <rPr>
            <sz val="10"/>
            <rFont val="Arial"/>
            <family val="2"/>
          </rPr>
          <t xml:space="preserve">Credit was a big tailwind in 2011.  We expect it to be less of a tailwind in 2012.
</t>
        </r>
      </text>
    </comment>
    <comment ref="CS32" authorId="12">
      <text>
        <r>
          <rPr>
            <b/>
            <sz val="8"/>
            <color indexed="81"/>
            <rFont val="Tahoma"/>
            <family val="2"/>
          </rPr>
          <t>8/15/13:</t>
        </r>
        <r>
          <rPr>
            <sz val="8"/>
            <color indexed="81"/>
            <rFont val="Tahoma"/>
            <family val="2"/>
          </rPr>
          <t xml:space="preserve"> guidance +2% to +3%
</t>
        </r>
        <r>
          <rPr>
            <b/>
            <sz val="8"/>
            <color indexed="81"/>
            <rFont val="Tahoma"/>
            <family val="2"/>
          </rPr>
          <t>11/14/13 CC</t>
        </r>
        <r>
          <rPr>
            <sz val="8"/>
            <color indexed="81"/>
            <rFont val="Tahoma"/>
            <family val="2"/>
          </rPr>
          <t>: Higher late fees drove a $12 million increase in net revenues from our credit operation. Corporate expenses which include IT expenses decreased $11 million and leverage for the quarter. The decrease was primarily due to lower incentive costs. Both store expenses and distribution costs increased $8 million for the quarter. Despite strong expense control and operational efficiencies, these businesses did not leverage for the quarter. Our marketing costs were $3 million higher in the third quarter of 2012. We continue to focus our marketing efforts away from print and into the more effective direct mail and broadcast media.</t>
        </r>
      </text>
    </comment>
    <comment ref="CW32" authorId="14">
      <text>
        <r>
          <rPr>
            <b/>
            <sz val="9"/>
            <color indexed="81"/>
            <rFont val="Tahoma"/>
            <family val="2"/>
          </rPr>
          <t xml:space="preserve">8/14/14: </t>
        </r>
        <r>
          <rPr>
            <sz val="9"/>
            <color indexed="81"/>
            <rFont val="Tahoma"/>
            <family val="2"/>
          </rPr>
          <t xml:space="preserve">Wes: "So going forward for the fall we are not going to spend less money than last year that is for sure that we also have to rollout beauty which requires additional payroll . That wasn't in there last year as well is loyalty which is also going to require SG&amp;A. I would look at the SG&amp;A guidance we gave for the year and bank our good performance for the spring but kind of go back and look at what we guided for the year and I would say for the year we should be closer to the low end of our guidance than the high-end but it did it is definitely going to be higher than what we experienced this spring."
</t>
        </r>
        <r>
          <rPr>
            <b/>
            <sz val="9"/>
            <color indexed="81"/>
            <rFont val="Tahoma"/>
            <family val="2"/>
          </rPr>
          <t xml:space="preserve">11/12/14: </t>
        </r>
        <r>
          <rPr>
            <sz val="9"/>
            <color indexed="81"/>
            <rFont val="Tahoma"/>
            <family val="2"/>
          </rPr>
          <t>the increase in SG&amp;A dollars versus last year was related to a change in our incentive compensation accrual. Last year we lowered our expected payout during the third quarter resulting in favorability of bonus expense. Our credit card business reported a $7 million increase in revenues this quarter. In our stores both store payroll and store controllable costs decreased versus last year . Our retail distribution centers reported lower-cost but our E-Commerce Fulfillment Centers reported higher cost with the revenue growth. Advertising costs were also higher as we launched our loyalty program nationwide in the third quarter. And we continue to invest in technology. Year to date SG&amp;A was relatively flat to last year and deleveraged 50 basis points as a percent of sales.</t>
        </r>
      </text>
    </comment>
    <comment ref="DE32" authorId="10">
      <text>
        <r>
          <rPr>
            <b/>
            <sz val="9"/>
            <color indexed="81"/>
            <rFont val="Tahoma"/>
            <family val="2"/>
          </rPr>
          <t>Baglione, Gregory  (Research):</t>
        </r>
        <r>
          <rPr>
            <sz val="9"/>
            <color indexed="81"/>
            <rFont val="Tahoma"/>
            <family val="2"/>
          </rPr>
          <t xml:space="preserve">
11/10/16: "We continue to believe that our fall season SG&amp;A will be up 50 basis points to 200 basis points higher than last year"
SG&amp;A decreased $19 million to $1.1 billion for the quarter and deleveraged by about 12 basis points. About half the favorability to SG&amp;A is related
to timing of expenses and will hit the fourth quarter. Though our teams did a fantastic job of managing their expenses against their internal plans,
most were unable to leverage on the lower sales.
Our credit distribution center and IT teams were able to leverage. But our store fixed payroll and payroll expenses, corporate and e-commerce
fulfillment center expenses did not leverage during the quarter.
Headwinds in the fourth quarter continue to be as expected around store payroll due to wage inflation and continued use of store associates to
fill digital demand as well as the timing difference in incentive compensation versus last year. We continue to believe that our fall season SG&amp;A
will be up 50 basis points to 200 basis points higher than last year.
8/11/16
The guidance includes the following assumptions for the fall season: total sales decrease of 2.6%, up 0.6% to last year, a comp sales decrease of 2% to flat to last year, gross margin rate improvement of approximately 20 to 40 basis points over last year, and SG&amp;A dollar growth of 0.5% to 2% over last you.
2/25/16
Expect 2Q SG&amp;A to increase above 3Q-4Q.
1% core SG&amp;A growth +40-50 bps from wage pressure
</t>
        </r>
      </text>
    </comment>
    <comment ref="DI32" authorId="11">
      <text>
        <r>
          <rPr>
            <b/>
            <sz val="9"/>
            <color indexed="81"/>
            <rFont val="Tahoma"/>
            <family val="2"/>
          </rPr>
          <t>Roberts, Cynthia (Research):</t>
        </r>
        <r>
          <rPr>
            <sz val="9"/>
            <color indexed="81"/>
            <rFont val="Tahoma"/>
            <family val="2"/>
          </rPr>
          <t xml:space="preserve">
11/9/17: $8M in Hurricane related expenses; payroll in line w sales trends, marketing expense leverage, offset by logistics costs from 5th DC. Credit deleverage from hurricane customers</t>
        </r>
      </text>
    </comment>
    <comment ref="DM32" authorId="11">
      <text>
        <r>
          <rPr>
            <b/>
            <sz val="9"/>
            <color indexed="81"/>
            <rFont val="Tahoma"/>
            <family val="2"/>
          </rPr>
          <t>Roberts, Cynthia (Research):</t>
        </r>
        <r>
          <rPr>
            <sz val="9"/>
            <color indexed="81"/>
            <rFont val="Tahoma"/>
            <family val="2"/>
          </rPr>
          <t xml:space="preserve">
1/81/18: Assumes underlying -1% decline and reverses $8M in hurricane related expenses from 3Q17</t>
        </r>
      </text>
    </comment>
    <comment ref="BP33" authorId="0">
      <text>
        <r>
          <rPr>
            <sz val="10"/>
            <rFont val="Arial"/>
            <family val="2"/>
          </rPr>
          <t xml:space="preserve">leverage on a 2% comp (8/10/06)
</t>
        </r>
        <r>
          <rPr>
            <sz val="10"/>
            <rFont val="Arial"/>
            <family val="2"/>
          </rPr>
          <t xml:space="preserve">
KSS can leverage expenses on a 2% comp.  Above 2%, each additional 1% comp growth results in 5-8 bps of expense leverage</t>
        </r>
      </text>
    </comment>
    <comment ref="BS33" authorId="0">
      <text>
        <r>
          <rPr>
            <sz val="10"/>
            <rFont val="Arial"/>
            <family val="2"/>
          </rPr>
          <t xml:space="preserve">Guidance 11/15/07:
</t>
        </r>
        <r>
          <rPr>
            <sz val="10"/>
            <rFont val="Arial"/>
            <family val="2"/>
          </rPr>
          <t>5% (as per conversation with Wes on 1/10/2008, should come in slightly below 5%)</t>
        </r>
        <r>
          <rPr>
            <sz val="10"/>
            <rFont val="Arial"/>
            <family val="2"/>
          </rPr>
          <t xml:space="preserve">
Guidance: 8/16/07</t>
        </r>
        <r>
          <rPr>
            <sz val="10"/>
            <rFont val="Arial"/>
            <family val="2"/>
          </rPr>
          <t xml:space="preserve">
</t>
        </r>
        <r>
          <rPr>
            <sz val="10"/>
            <rFont val="Arial"/>
            <family val="2"/>
          </rPr>
          <t>+5-6%</t>
        </r>
      </text>
    </comment>
    <comment ref="BT33" authorId="3">
      <text>
        <r>
          <rPr>
            <sz val="10"/>
            <rFont val="Arial"/>
            <family val="2"/>
          </rPr>
          <t>11/15/2007:</t>
        </r>
        <r>
          <rPr>
            <sz val="10"/>
            <rFont val="Arial"/>
            <family val="2"/>
          </rPr>
          <t xml:space="preserve"> Expect to leverage on flat comp in 4Q</t>
        </r>
      </text>
    </comment>
    <comment ref="BW33" authorId="4">
      <text>
        <r>
          <rPr>
            <sz val="10"/>
            <rFont val="Arial"/>
            <family val="2"/>
          </rPr>
          <t xml:space="preserve">Guidance: 11/13/2008 </t>
        </r>
        <r>
          <rPr>
            <sz val="10"/>
            <rFont val="Arial"/>
            <family val="2"/>
          </rPr>
          <t>SG&amp;A $ +5-6%</t>
        </r>
      </text>
    </comment>
    <comment ref="BX33" authorId="4">
      <text>
        <r>
          <rPr>
            <sz val="10"/>
            <rFont val="Arial"/>
            <family val="2"/>
          </rPr>
          <t xml:space="preserve">Guidance: 11/13/2008 </t>
        </r>
        <r>
          <rPr>
            <sz val="10"/>
            <rFont val="Arial"/>
            <family val="2"/>
          </rPr>
          <t>SG&amp;A $ +5-6%</t>
        </r>
      </text>
    </comment>
    <comment ref="CA33" authorId="4">
      <text>
        <r>
          <rPr>
            <sz val="10"/>
            <rFont val="Arial"/>
            <family val="2"/>
          </rPr>
          <t xml:space="preserve">Guidance: 11/12/2009 
</t>
        </r>
        <r>
          <rPr>
            <sz val="10"/>
            <rFont val="Arial"/>
            <family val="2"/>
          </rPr>
          <t>+4-5%</t>
        </r>
        <r>
          <rPr>
            <sz val="10"/>
            <rFont val="Arial"/>
            <family val="2"/>
          </rPr>
          <t xml:space="preserve">
Guidance: 8/13/2009 
</t>
        </r>
        <r>
          <rPr>
            <sz val="10"/>
            <rFont val="Arial"/>
            <family val="2"/>
          </rPr>
          <t>+3-4%</t>
        </r>
        <r>
          <rPr>
            <sz val="10"/>
            <rFont val="Arial"/>
            <family val="2"/>
          </rPr>
          <t xml:space="preserve">
Guidance: 5/14/2009 
- </t>
        </r>
        <r>
          <rPr>
            <sz val="10"/>
            <rFont val="Arial"/>
            <family val="2"/>
          </rPr>
          <t>SG&amp;A assumptions similar in the Fall to that of 2Q</t>
        </r>
      </text>
    </comment>
    <comment ref="CE33" authorId="2">
      <text>
        <r>
          <rPr>
            <sz val="10"/>
            <rFont val="Arial"/>
            <family val="2"/>
          </rPr>
          <t xml:space="preserve">Guidance 11/11/10:
</t>
        </r>
        <r>
          <rPr>
            <sz val="10"/>
            <rFont val="Arial"/>
            <family val="2"/>
          </rPr>
          <t xml:space="preserve">+3-4% $$s growth
</t>
        </r>
        <r>
          <rPr>
            <sz val="10"/>
            <rFont val="Arial"/>
            <family val="2"/>
          </rPr>
          <t xml:space="preserve">
Guidance 8/12/10:
+3-4%
</t>
        </r>
        <r>
          <rPr>
            <sz val="10"/>
            <rFont val="Arial"/>
            <family val="2"/>
          </rPr>
          <t>1)</t>
        </r>
        <r>
          <rPr>
            <sz val="10"/>
            <rFont val="Arial"/>
            <family val="2"/>
          </rPr>
          <t xml:space="preserve"> </t>
        </r>
        <r>
          <rPr>
            <sz val="10"/>
            <rFont val="Arial"/>
            <family val="2"/>
          </rPr>
          <t>Incremental vs plan post 1Q is $60 M in total:
- 3Q/4Q breakdown is $25M/$15M re reduced income owing to legislative changes on credit cards (this is 1x in nature)</t>
        </r>
        <r>
          <rPr>
            <sz val="10"/>
            <rFont val="Arial"/>
            <family val="2"/>
          </rPr>
          <t xml:space="preserve">
</t>
        </r>
        <r>
          <rPr>
            <sz val="10"/>
            <rFont val="Arial"/>
            <family val="2"/>
          </rPr>
          <t>- 3Q/4Q breakdown is $15M/$5M re incremental advertising expense (this is discretionary)
2) In addition, $10M from 2Q will flow into 3Q (timing shift) re mailing costs and e-commerce investment
3) Note company is also embedding some + impact from reduced bad debt expense on portfolio; however, reduction in late fees is more than offsetting at this point</t>
        </r>
        <r>
          <rPr>
            <sz val="10"/>
            <rFont val="Arial"/>
            <family val="2"/>
          </rPr>
          <t xml:space="preserve">
Guidance 5/13/10:
</t>
        </r>
        <r>
          <rPr>
            <sz val="10"/>
            <rFont val="Arial"/>
            <family val="2"/>
          </rPr>
          <t xml:space="preserve">Note that 3Q and 4Q SG&amp;A could see impact from reduced writeoffs as delinquencies are now trending down and KSS sees benefit 180 days later
</t>
        </r>
        <r>
          <rPr>
            <sz val="10"/>
            <rFont val="Arial"/>
            <family val="2"/>
          </rPr>
          <t xml:space="preserve">
</t>
        </r>
        <r>
          <rPr>
            <sz val="10"/>
            <rFont val="Arial"/>
            <family val="2"/>
          </rPr>
          <t xml:space="preserve">
</t>
        </r>
      </text>
    </comment>
    <comment ref="CI33" authorId="1">
      <text>
        <r>
          <rPr>
            <sz val="10"/>
            <rFont val="Arial"/>
            <family val="2"/>
          </rPr>
          <t xml:space="preserve">Note: 1/5/2012
</t>
        </r>
        <r>
          <rPr>
            <sz val="10"/>
            <rFont val="Arial"/>
            <family val="2"/>
          </rPr>
          <t>Based on conversations w/ co, it sounds like SG&amp;A dollar growth will be below 3% in 4Q.</t>
        </r>
        <r>
          <rPr>
            <sz val="10"/>
            <rFont val="Arial"/>
            <family val="2"/>
          </rPr>
          <t xml:space="preserve">
Note: 12/1/2011
</t>
        </r>
        <r>
          <rPr>
            <sz val="10"/>
            <rFont val="Arial"/>
            <family val="2"/>
          </rPr>
          <t>+3.5% is possible if sales do not materialize in Dec.</t>
        </r>
        <r>
          <rPr>
            <sz val="10"/>
            <rFont val="Arial"/>
            <family val="2"/>
          </rPr>
          <t xml:space="preserve">
11/10/11 Guidance:
</t>
        </r>
        <r>
          <rPr>
            <sz val="10"/>
            <rFont val="Arial"/>
            <family val="2"/>
          </rPr>
          <t xml:space="preserve">1) +5-6% growth due to increase adv. spend for Holiday
2) +$30MM of incremental marketing spend in 4Q
3) Growth ex extra G&amp;A expected to be 2.5-3.5%
4) some benefit from improving credit but not as much as 3Q (more in-line with Spring)
</t>
        </r>
        <r>
          <rPr>
            <sz val="10"/>
            <rFont val="Arial"/>
            <family val="2"/>
          </rPr>
          <t xml:space="preserve">
Guidance 2/24/11:
</t>
        </r>
        <r>
          <rPr>
            <sz val="10"/>
            <rFont val="Arial"/>
            <family val="2"/>
          </rPr>
          <t>+3.0-4.5% in 4Q</t>
        </r>
        <r>
          <rPr>
            <sz val="10"/>
            <rFont val="Arial"/>
            <family val="2"/>
          </rPr>
          <t xml:space="preserve">
</t>
        </r>
      </text>
    </comment>
    <comment ref="CM33" authorId="1">
      <text>
        <r>
          <rPr>
            <sz val="10"/>
            <rFont val="Arial"/>
            <family val="2"/>
          </rPr>
          <t>2/28/2013:</t>
        </r>
        <r>
          <rPr>
            <sz val="10"/>
            <rFont val="Arial"/>
            <family val="2"/>
          </rPr>
          <t xml:space="preserve"> $30M impact from extra week</t>
        </r>
        <r>
          <rPr>
            <sz val="10"/>
            <rFont val="Arial"/>
            <family val="2"/>
          </rPr>
          <t xml:space="preserve">
Note: 1/5/2012
</t>
        </r>
        <r>
          <rPr>
            <sz val="10"/>
            <rFont val="Arial"/>
            <family val="2"/>
          </rPr>
          <t xml:space="preserve">Credit was a big tailwind in 2011.  We expect it to be less of a tailwind in 2012.
</t>
        </r>
      </text>
    </comment>
    <comment ref="CN33" authorId="1">
      <text>
        <r>
          <rPr>
            <sz val="10"/>
            <rFont val="Arial"/>
            <family val="2"/>
          </rPr>
          <t xml:space="preserve">2/28/2013
1) </t>
        </r>
        <r>
          <rPr>
            <sz val="10"/>
            <rFont val="Arial"/>
            <family val="2"/>
          </rPr>
          <t xml:space="preserve">Fixed costs flat as % of sales
</t>
        </r>
        <r>
          <rPr>
            <sz val="10"/>
            <rFont val="Arial"/>
            <family val="2"/>
          </rPr>
          <t xml:space="preserve">2) </t>
        </r>
        <r>
          <rPr>
            <sz val="10"/>
            <rFont val="Arial"/>
            <family val="2"/>
          </rPr>
          <t xml:space="preserve">significant leverage on corp operations due to lower incentive costs
</t>
        </r>
        <r>
          <rPr>
            <sz val="10"/>
            <rFont val="Arial"/>
            <family val="2"/>
          </rPr>
          <t xml:space="preserve">3) </t>
        </r>
        <r>
          <rPr>
            <sz val="10"/>
            <rFont val="Arial"/>
            <family val="2"/>
          </rPr>
          <t xml:space="preserve">Marketing costs as a % of sales were flat for the year
</t>
        </r>
        <r>
          <rPr>
            <sz val="10"/>
            <rFont val="Arial"/>
            <family val="2"/>
          </rPr>
          <t xml:space="preserve">4) </t>
        </r>
        <r>
          <rPr>
            <sz val="10"/>
            <rFont val="Arial"/>
            <family val="2"/>
          </rPr>
          <t xml:space="preserve">Credit slightly levered
</t>
        </r>
        <r>
          <rPr>
            <sz val="10"/>
            <rFont val="Arial"/>
            <family val="2"/>
          </rPr>
          <t xml:space="preserve">5) </t>
        </r>
        <r>
          <rPr>
            <sz val="10"/>
            <rFont val="Arial"/>
            <family val="2"/>
          </rPr>
          <t xml:space="preserve">Distribution costs did not leverage given ecomm growth - but saw improvement in shipping costs &amp; ecomm fulfillment expenses
</t>
        </r>
        <r>
          <rPr>
            <sz val="10"/>
            <rFont val="Arial"/>
            <family val="2"/>
          </rPr>
          <t xml:space="preserve">
5/10/2012
</t>
        </r>
        <r>
          <rPr>
            <sz val="10"/>
            <rFont val="Arial"/>
            <family val="2"/>
          </rPr>
          <t xml:space="preserve">1) Expect credit benefit to moderate in 2Q-4Q vs. 1Q -- lapped new relationship with Capital One in April 2012
2) will continue to loo kfor ways to be more efficient across the company
</t>
        </r>
        <r>
          <rPr>
            <sz val="10"/>
            <rFont val="Arial"/>
            <family val="2"/>
          </rPr>
          <t xml:space="preserve">
Note: 1/5/2012
</t>
        </r>
        <r>
          <rPr>
            <sz val="10"/>
            <rFont val="Arial"/>
            <family val="2"/>
          </rPr>
          <t xml:space="preserve">Credit was a big tailwind in 2011.  We expect it to be less of a tailwind in 2012.
</t>
        </r>
      </text>
    </comment>
    <comment ref="CO33" authorId="1">
      <text>
        <r>
          <rPr>
            <sz val="10"/>
            <rFont val="Arial"/>
            <family val="2"/>
          </rPr>
          <t>2/7/2013 Guidance:</t>
        </r>
        <r>
          <rPr>
            <sz val="10"/>
            <rFont val="Arial"/>
            <family val="2"/>
          </rPr>
          <t xml:space="preserve"> SG&amp;A guidance was conservative; fair to expect low end of range (would not confirm if lower)
</t>
        </r>
        <r>
          <rPr>
            <sz val="10"/>
            <rFont val="Arial"/>
            <family val="2"/>
          </rPr>
          <t xml:space="preserve">11/8/2012 
</t>
        </r>
        <r>
          <rPr>
            <sz val="10"/>
            <rFont val="Arial"/>
            <family val="2"/>
          </rPr>
          <t>- +3.5-4.5% incl. extra wk; +1-2% ex extra week</t>
        </r>
        <r>
          <rPr>
            <sz val="10"/>
            <rFont val="Arial"/>
            <family val="2"/>
          </rPr>
          <t xml:space="preserve">
- </t>
        </r>
        <r>
          <rPr>
            <sz val="10"/>
            <rFont val="Arial"/>
            <family val="2"/>
          </rPr>
          <t>$30M SG&amp;A impact from extra week
- Expect leverage on marketing exp in 4Q
- Expect profitability to grow in 4Q but not as fast as sales
- Plan to significantly increase digital mktg and broadcast spend in 4Q</t>
        </r>
        <r>
          <rPr>
            <sz val="10"/>
            <rFont val="Arial"/>
            <family val="2"/>
          </rPr>
          <t xml:space="preserve">
5/10/2012
</t>
        </r>
        <r>
          <rPr>
            <sz val="10"/>
            <rFont val="Arial"/>
            <family val="2"/>
          </rPr>
          <t xml:space="preserve">1) Expect credit benefit to moderate in 2Q-4Q vs. 1Q -- lapped new relationship with Capital One in April 2012
2) will continue to loo kfor ways to be more efficient across the company
</t>
        </r>
        <r>
          <rPr>
            <sz val="10"/>
            <rFont val="Arial"/>
            <family val="2"/>
          </rPr>
          <t xml:space="preserve">
Note: 1/5/2012
</t>
        </r>
        <r>
          <rPr>
            <sz val="10"/>
            <rFont val="Arial"/>
            <family val="2"/>
          </rPr>
          <t xml:space="preserve">Credit was a big tailwind in 2011.  We expect it to be less of a tailwind in 2012.
</t>
        </r>
      </text>
    </comment>
    <comment ref="CQ33" authorId="5">
      <text>
        <r>
          <rPr>
            <b/>
            <sz val="8"/>
            <color indexed="81"/>
            <rFont val="Tahoma"/>
            <family val="2"/>
          </rPr>
          <t xml:space="preserve">2/28/2013 comment: </t>
        </r>
        <r>
          <rPr>
            <sz val="8"/>
            <color indexed="81"/>
            <rFont val="Tahoma"/>
            <family val="2"/>
          </rPr>
          <t xml:space="preserve">lap $30M impact from extra week (note: mgn still 19.1% adj for extra week)
</t>
        </r>
        <r>
          <rPr>
            <b/>
            <sz val="8"/>
            <color indexed="81"/>
            <rFont val="Tahoma"/>
            <family val="2"/>
          </rPr>
          <t>2/6/14 PR:</t>
        </r>
        <r>
          <rPr>
            <sz val="8"/>
            <color indexed="81"/>
            <rFont val="Tahoma"/>
            <family val="2"/>
          </rPr>
          <t xml:space="preserve"> Unanticipated expenses in servicing its E-Commerce business led to higher than expected costs for the quarter.</t>
        </r>
      </text>
    </comment>
    <comment ref="CS33" authorId="13">
      <text>
        <r>
          <rPr>
            <b/>
            <sz val="8"/>
            <color indexed="81"/>
            <rFont val="Tahoma"/>
            <family val="2"/>
          </rPr>
          <t>11/13/13:</t>
        </r>
        <r>
          <rPr>
            <sz val="8"/>
            <color indexed="81"/>
            <rFont val="Tahoma"/>
            <family val="2"/>
          </rPr>
          <t xml:space="preserve"> SG&amp;A expenses are expected to increase 0.75% to 1.25%
</t>
        </r>
      </text>
    </comment>
    <comment ref="CV33" authorId="6">
      <text>
        <r>
          <rPr>
            <b/>
            <sz val="9"/>
            <color indexed="81"/>
            <rFont val="Tahoma"/>
            <family val="2"/>
          </rPr>
          <t>casselau:</t>
        </r>
        <r>
          <rPr>
            <sz val="9"/>
            <color indexed="81"/>
            <rFont val="Tahoma"/>
            <family val="2"/>
          </rPr>
          <t xml:space="preserve">
2/26/15: store expenses leveraged 30 bps, offset by higher marketing spend</t>
        </r>
      </text>
    </comment>
    <comment ref="DA33" authorId="9">
      <text>
        <r>
          <rPr>
            <b/>
            <sz val="9"/>
            <color indexed="81"/>
            <rFont val="Tahoma"/>
            <family val="2"/>
          </rPr>
          <t>Mains, Spencer (Research):</t>
        </r>
        <r>
          <rPr>
            <sz val="9"/>
            <color indexed="81"/>
            <rFont val="Tahoma"/>
            <family val="2"/>
          </rPr>
          <t xml:space="preserve">
11/12/15
SG&amp;A for the fourth order will be up somewhere between 4% and 5%.
2/4/16
Per wes, SG&amp;A ~4-5% Growth
8/13/15: 4Q marketing spend will be up significantly to last year
</t>
        </r>
      </text>
    </comment>
    <comment ref="DE33" authorId="10">
      <text>
        <r>
          <rPr>
            <b/>
            <sz val="9"/>
            <color indexed="81"/>
            <rFont val="Tahoma"/>
            <family val="2"/>
          </rPr>
          <t>Baglione, Gregory  (Research):</t>
        </r>
        <r>
          <rPr>
            <sz val="9"/>
            <color indexed="81"/>
            <rFont val="Tahoma"/>
            <family val="2"/>
          </rPr>
          <t xml:space="preserve">
2/23/17: credit area was the only to leverage expenses vs. LY
1/4/17
The Company now expects its fiscal 2016 diluted earnings per share to be $2.92
to $2.97 versus its previous guidance of $3.12 to $3.32 per diluted share.
Excluding impairments, store closing and other costs, fiscal 2016 diluted
earnings per share is expected to be $3.60 to $3.65, down from the Company’s
previously stated guidance of $3.80 to $4.00 per diluted share.
The change in guidance is primarily a result of lower than planned sales for
the quarter. Gross margin is projected to be lower than plan due to the mix
and timing of the sales and the competitive promotional environment. SG&amp;amp;A
expenses are projected to be as planned. Inventories per store at the end of
the fourth quarter are projected to decrease from prior year levels in the
mid-to-high single digit range.
</t>
        </r>
        <r>
          <rPr>
            <b/>
            <sz val="9"/>
            <color indexed="81"/>
            <rFont val="Tahoma"/>
            <family val="2"/>
          </rPr>
          <t xml:space="preserve">
*Per management, 3.5% 4Q SG&amp;A rate is a solid estimate. SG&amp;&amp;A dollars esentially flat for  the year.*</t>
        </r>
        <r>
          <rPr>
            <sz val="9"/>
            <color indexed="81"/>
            <rFont val="Tahoma"/>
            <family val="2"/>
          </rPr>
          <t xml:space="preserve">
11/10/16: "We continue to believe that our fall season SG&amp;A will be up 50 basis points to 200 basis points higher than last year"
8/11/16
The guidance includes the following assumptions for the fall season: total sales decrease of 2.6%, up 0.6% to last year, a comp sales decrease of 2% to flat to last year, gross margin rate improvement of approximately 20 to 40 basis points over last year, and SG&amp;A dollar growth of 0.5% to 2% over last you.
5/12/16
Previous: +1.0%
Updated: flat
2/25/16
Expect 2Q SG&amp;A to increase above 3Q-4Q.
1% core SG&amp;A growth +40-50 bps from wage pressure
</t>
        </r>
      </text>
    </comment>
    <comment ref="DG33" authorId="8">
      <text>
        <r>
          <rPr>
            <b/>
            <sz val="9"/>
            <color indexed="81"/>
            <rFont val="Tahoma"/>
            <family val="2"/>
          </rPr>
          <t>De Courreges, Edouard (Research):</t>
        </r>
        <r>
          <rPr>
            <sz val="9"/>
            <color indexed="81"/>
            <rFont val="Tahoma"/>
            <family val="2"/>
          </rPr>
          <t xml:space="preserve">
3/1/18:selling, general and administrative expenses were approximately $30 million from the 53rd week
</t>
        </r>
      </text>
    </comment>
    <comment ref="DI33" authorId="16">
      <text>
        <r>
          <rPr>
            <b/>
            <sz val="9"/>
            <color indexed="81"/>
            <rFont val="Tahoma"/>
            <family val="2"/>
          </rPr>
          <t>Baglione, Gregory (Research):</t>
        </r>
        <r>
          <rPr>
            <sz val="9"/>
            <color indexed="81"/>
            <rFont val="Tahoma"/>
            <family val="2"/>
          </rPr>
          <t xml:space="preserve">
2/28/18: 53rd week = +$30M to SG&amp;A
Marketing expense also contributed to $ growth
2/23/17: Guidance: SG&amp;A dollars in the 53rd week are expected to be approximately $25 million
1/18/16
follow-up discussions with management suggest the holiday season has become much more labor intensive, particularly given the increased number of associates needed to fulfill online orders at DC's and in store as eCommerce takes an increasing share of 4Q sales. 
Slightly less SG&amp;A deleverage (10-15 bps)y/y given 53rd week benefit.
</t>
        </r>
      </text>
    </comment>
    <comment ref="BT34" authorId="0">
      <text>
        <r>
          <rPr>
            <sz val="10"/>
            <rFont val="Arial"/>
            <family val="2"/>
          </rPr>
          <t>Guidance: 3/1/07
Leverage on 2% comp</t>
        </r>
        <r>
          <rPr>
            <sz val="10"/>
            <rFont val="Arial"/>
            <family val="2"/>
          </rPr>
          <t xml:space="preserve">
</t>
        </r>
      </text>
    </comment>
    <comment ref="BW34" authorId="0">
      <text>
        <r>
          <rPr>
            <sz val="10"/>
            <rFont val="Arial"/>
            <family val="2"/>
          </rPr>
          <t>Guidance: 5/15/2008
+8-9% y/y
2/28/2008: +9-10% y/y</t>
        </r>
        <r>
          <rPr>
            <sz val="10"/>
            <rFont val="Arial"/>
            <family val="2"/>
          </rPr>
          <t xml:space="preserve">
</t>
        </r>
      </text>
    </comment>
    <comment ref="CA34" authorId="4">
      <text>
        <r>
          <rPr>
            <sz val="10"/>
            <rFont val="Arial"/>
            <family val="2"/>
          </rPr>
          <t xml:space="preserve">Guidance: 2/26/2009 </t>
        </r>
        <r>
          <rPr>
            <sz val="10"/>
            <rFont val="Arial"/>
            <family val="2"/>
          </rPr>
          <t>SG&amp;A$ +3-4%</t>
        </r>
      </text>
    </comment>
    <comment ref="CB34" authorId="4">
      <text>
        <r>
          <rPr>
            <sz val="10"/>
            <rFont val="Arial"/>
            <family val="2"/>
          </rPr>
          <t xml:space="preserve">Guidance: 2/26/2009 </t>
        </r>
        <r>
          <rPr>
            <sz val="10"/>
            <rFont val="Arial"/>
            <family val="2"/>
          </rPr>
          <t>SG&amp;A$ +3-4%</t>
        </r>
      </text>
    </comment>
    <comment ref="CI34" authorId="1">
      <text>
        <r>
          <rPr>
            <sz val="10"/>
            <rFont val="Arial"/>
            <family val="2"/>
          </rPr>
          <t xml:space="preserve">Guidance: 5/12/2011
+3.0-4.5% in FY11
Guidance 2/24/11:
</t>
        </r>
        <r>
          <rPr>
            <sz val="10"/>
            <rFont val="Arial"/>
            <family val="2"/>
          </rPr>
          <t>+3.0-4.5% in FY11</t>
        </r>
        <r>
          <rPr>
            <sz val="10"/>
            <rFont val="Arial"/>
            <family val="2"/>
          </rPr>
          <t xml:space="preserve">
Note: We assume KSS can grow sales faster than SG&amp;A expense in 2011.</t>
        </r>
        <r>
          <rPr>
            <sz val="10"/>
            <rFont val="Arial"/>
            <family val="2"/>
          </rPr>
          <t xml:space="preserve">
</t>
        </r>
      </text>
    </comment>
    <comment ref="CM34" authorId="5">
      <text>
        <r>
          <rPr>
            <sz val="10"/>
            <rFont val="Arial"/>
            <family val="2"/>
          </rPr>
          <t xml:space="preserve">Guidance: 2/23/2012
</t>
        </r>
        <r>
          <rPr>
            <sz val="10"/>
            <rFont val="Arial"/>
            <family val="2"/>
          </rPr>
          <t>$ up 3% (or +2% ex 53rd week)</t>
        </r>
        <r>
          <rPr>
            <sz val="10"/>
            <rFont val="Arial"/>
            <family val="2"/>
          </rPr>
          <t xml:space="preserve">
11/10/11 Commentary:
</t>
        </r>
        <r>
          <rPr>
            <sz val="10"/>
            <rFont val="Arial"/>
            <family val="2"/>
          </rPr>
          <t xml:space="preserve">Some improvement in credit in 2012, but at lower rate vs 2011
 </t>
        </r>
      </text>
    </comment>
    <comment ref="CN34" authorId="5">
      <text>
        <r>
          <rPr>
            <sz val="10"/>
            <rFont val="Arial"/>
            <family val="2"/>
          </rPr>
          <t xml:space="preserve">5/10/2012
</t>
        </r>
        <r>
          <rPr>
            <sz val="10"/>
            <rFont val="Arial"/>
            <family val="2"/>
          </rPr>
          <t xml:space="preserve">1) Expect credit benefit to moderate in 2Q-4Q vs. 1Q -- lapped new relationship with Capital One in April 2012
2) will continue to loo kfor ways to be more efficient across the company
</t>
        </r>
        <r>
          <rPr>
            <sz val="10"/>
            <rFont val="Arial"/>
            <family val="2"/>
          </rPr>
          <t xml:space="preserve">
Guidance: 2/23/2012
- </t>
        </r>
        <r>
          <rPr>
            <sz val="10"/>
            <rFont val="Arial"/>
            <family val="2"/>
          </rPr>
          <t>SG&amp;A dollars +3% in 2012 (+2% ex extra week)
- 2012 credit benefit in 10's of millions (vs hundreds of millions in 2011)</t>
        </r>
        <r>
          <rPr>
            <sz val="10"/>
            <rFont val="Arial"/>
            <family val="2"/>
          </rPr>
          <t xml:space="preserve">
11/10/11 Commentary:
</t>
        </r>
        <r>
          <rPr>
            <sz val="10"/>
            <rFont val="Arial"/>
            <family val="2"/>
          </rPr>
          <t xml:space="preserve">
Some improvement in credit in 2012, but at lower rate vs 2011
 </t>
        </r>
      </text>
    </comment>
    <comment ref="CO34" authorId="5">
      <text>
        <r>
          <rPr>
            <sz val="10"/>
            <rFont val="Arial"/>
            <family val="2"/>
          </rPr>
          <t xml:space="preserve">5/10/2012
</t>
        </r>
        <r>
          <rPr>
            <sz val="10"/>
            <rFont val="Arial"/>
            <family val="2"/>
          </rPr>
          <t xml:space="preserve">1) Expect credit benefit to moderate in 2Q-4Q vs. 1Q -- lapped new relationship with Capital One in April 2012
2) will continue to loo kfor ways to be more efficient across the company
</t>
        </r>
        <r>
          <rPr>
            <sz val="10"/>
            <rFont val="Arial"/>
            <family val="2"/>
          </rPr>
          <t xml:space="preserve">
Guidance: 2/23/2012
- </t>
        </r>
        <r>
          <rPr>
            <sz val="10"/>
            <rFont val="Arial"/>
            <family val="2"/>
          </rPr>
          <t>SG&amp;A dollars +3% in 2012 (+2% ex extra week)
- 2012 credit benefit in 10's of millions (vs hundreds of millions in 2011)</t>
        </r>
        <r>
          <rPr>
            <sz val="10"/>
            <rFont val="Arial"/>
            <family val="2"/>
          </rPr>
          <t xml:space="preserve">
11/10/11 Commentary:
</t>
        </r>
        <r>
          <rPr>
            <sz val="10"/>
            <rFont val="Arial"/>
            <family val="2"/>
          </rPr>
          <t xml:space="preserve">
Some improvement in credit in 2012, but at lower rate vs 2011
 </t>
        </r>
      </text>
    </comment>
    <comment ref="CR34" authorId="5">
      <text>
        <r>
          <rPr>
            <b/>
            <sz val="8"/>
            <color indexed="81"/>
            <rFont val="Tahoma"/>
            <family val="2"/>
          </rPr>
          <t xml:space="preserve">2/28/2013 guidance: </t>
        </r>
        <r>
          <rPr>
            <sz val="8"/>
            <color indexed="81"/>
            <rFont val="Tahoma"/>
            <family val="2"/>
          </rPr>
          <t>expect more modest contribution from credit in FY13 vs. FY12</t>
        </r>
      </text>
    </comment>
    <comment ref="CS34" authorId="5">
      <text>
        <r>
          <rPr>
            <b/>
            <sz val="8"/>
            <color indexed="81"/>
            <rFont val="Tahoma"/>
            <family val="2"/>
          </rPr>
          <t xml:space="preserve">2/28/2013 guidance: </t>
        </r>
        <r>
          <rPr>
            <sz val="8"/>
            <color indexed="81"/>
            <rFont val="Tahoma"/>
            <family val="2"/>
          </rPr>
          <t>+1.5-3%</t>
        </r>
      </text>
    </comment>
    <comment ref="CV34" authorId="6">
      <text>
        <r>
          <rPr>
            <b/>
            <sz val="9"/>
            <color indexed="81"/>
            <rFont val="Tahoma"/>
            <family val="2"/>
          </rPr>
          <t>casselau:</t>
        </r>
        <r>
          <rPr>
            <sz val="9"/>
            <color indexed="81"/>
            <rFont val="Tahoma"/>
            <family val="2"/>
          </rPr>
          <t xml:space="preserve">
2/26/15: store expense leverage was more than offset by deleverage in other operations</t>
        </r>
      </text>
    </comment>
    <comment ref="CW34" authorId="13">
      <text>
        <r>
          <rPr>
            <b/>
            <sz val="8"/>
            <color indexed="81"/>
            <rFont val="Tahoma"/>
            <family val="2"/>
          </rPr>
          <t xml:space="preserve">2/26/14 Guidance: </t>
        </r>
        <r>
          <rPr>
            <sz val="8"/>
            <color indexed="81"/>
            <rFont val="Tahoma"/>
            <family val="2"/>
          </rPr>
          <t>+1.5% to 2.5%</t>
        </r>
        <r>
          <rPr>
            <sz val="8"/>
            <color indexed="81"/>
            <rFont val="Tahoma"/>
            <family val="2"/>
          </rPr>
          <t xml:space="preserve">
</t>
        </r>
      </text>
    </comment>
    <comment ref="DA34" authorId="9">
      <text>
        <r>
          <rPr>
            <b/>
            <sz val="9"/>
            <color indexed="81"/>
            <rFont val="Tahoma"/>
            <family val="2"/>
          </rPr>
          <t>Mains, Spencer (Research):</t>
        </r>
        <r>
          <rPr>
            <sz val="9"/>
            <color indexed="81"/>
            <rFont val="Tahoma"/>
            <family val="2"/>
          </rPr>
          <t xml:space="preserve">
</t>
        </r>
        <r>
          <rPr>
            <b/>
            <sz val="9"/>
            <color indexed="81"/>
            <rFont val="Tahoma"/>
            <family val="2"/>
          </rPr>
          <t>8/13/15:</t>
        </r>
        <r>
          <rPr>
            <sz val="9"/>
            <color indexed="81"/>
            <rFont val="Tahoma"/>
            <family val="2"/>
          </rPr>
          <t xml:space="preserve"> Remain on track to see SG&amp;A expenses grow 1.5-2.5% for the year (probably closer to the higher end - lower in the third quarter and higher in the fourth quarter)
</t>
        </r>
        <r>
          <rPr>
            <b/>
            <sz val="9"/>
            <color indexed="81"/>
            <rFont val="Tahoma"/>
            <family val="2"/>
          </rPr>
          <t>2/26/15</t>
        </r>
        <r>
          <rPr>
            <sz val="9"/>
            <color indexed="81"/>
            <rFont val="Tahoma"/>
            <family val="2"/>
          </rPr>
          <t xml:space="preserve"> </t>
        </r>
        <r>
          <rPr>
            <b/>
            <sz val="9"/>
            <color indexed="81"/>
            <rFont val="Tahoma"/>
            <family val="2"/>
          </rPr>
          <t>guidance</t>
        </r>
        <r>
          <rPr>
            <sz val="9"/>
            <color indexed="81"/>
            <rFont val="Tahoma"/>
            <family val="2"/>
          </rPr>
          <t xml:space="preserve">: +1.5% to 2.5%
</t>
        </r>
      </text>
    </comment>
    <comment ref="DC34" authorId="10">
      <text>
        <r>
          <rPr>
            <b/>
            <sz val="9"/>
            <color indexed="81"/>
            <rFont val="Tahoma"/>
            <family val="2"/>
          </rPr>
          <t>Baglione, Gregory  (Research):</t>
        </r>
        <r>
          <rPr>
            <sz val="9"/>
            <color indexed="81"/>
            <rFont val="Tahoma"/>
            <family val="2"/>
          </rPr>
          <t xml:space="preserve">
2/25/16 Guide
SG&amp;A expense to increase 1.0% to 2.0% over 2015
 In 2016, Kohl’s will close 18 underperforming stores, representing less than one percent of total sales. The specific locations will be announced by the end of March. 
The closures are expected to
generate annual SG&amp;A savings of approximately $45 million and annual depreciation savings of
approximately $10 million. </t>
        </r>
      </text>
    </comment>
    <comment ref="DE34" authorId="10">
      <text>
        <r>
          <rPr>
            <b/>
            <sz val="9"/>
            <color indexed="81"/>
            <rFont val="Tahoma"/>
            <family val="2"/>
          </rPr>
          <t>Baglione, Gregory  (Research):</t>
        </r>
        <r>
          <rPr>
            <sz val="9"/>
            <color indexed="81"/>
            <rFont val="Tahoma"/>
            <family val="2"/>
          </rPr>
          <t xml:space="preserve">
2/23/17: tight expense managament, but not enough to leverage on lower sales 
8/11/16
Updated FY EPS guidance implies +0.5% to +2% SG&amp;A dollar growth for back half
Likely more SG&amp;A growth in 4Q if sales are better than expected
5/12/16
expect SG&amp;A flat to -1%
2/25/16 Guide
SG&amp;A expense to increase 1.0% to 2.0% over 2015
In 2016, Kohl’s will close 18 underperforming stores, representing less than one percent of total sales. 
The specific locations will be announced by the end of March. The closures are expected to generate annual SG&amp;A savings of approximately $45 million and annual depreciation savings of approximately $10 million. 
Management beleives they can get leverage point down to 1.5% from historical 2%
</t>
        </r>
      </text>
    </comment>
    <comment ref="DG34" authorId="8">
      <text>
        <r>
          <rPr>
            <b/>
            <sz val="9"/>
            <color indexed="81"/>
            <rFont val="Tahoma"/>
            <family val="2"/>
          </rPr>
          <t>De Courreges, Edouard (Research):</t>
        </r>
        <r>
          <rPr>
            <sz val="9"/>
            <color indexed="81"/>
            <rFont val="Tahoma"/>
            <family val="2"/>
          </rPr>
          <t xml:space="preserve">
+$93M Corporate (migrating to cloud, incentive comp)
+$23M Distribution ( growth in digital sales, eComm DC)
-$2M Stores (decrease controllable expense substantially offset by higher store payroll/wage pressure, omnichannel support)
-$12M Credit (lower marketing and operating costs)
-$25M Marketing (efficencies)</t>
        </r>
      </text>
    </comment>
    <comment ref="DI34" authorId="11">
      <text>
        <r>
          <rPr>
            <b/>
            <sz val="9"/>
            <color indexed="81"/>
            <rFont val="Tahoma"/>
            <family val="2"/>
          </rPr>
          <t>Roberts, Cynthia (Research):</t>
        </r>
        <r>
          <rPr>
            <sz val="9"/>
            <color indexed="81"/>
            <rFont val="Tahoma"/>
            <family val="2"/>
          </rPr>
          <t xml:space="preserve">
1/8/18: Guidance high end of +0.5-2.0% range
2/23/17: Guidance: dollars +0.5%-2% (ex. 53rd week flat to +1.5% - $25M for 53rd week). Wage pressure $50-60M.</t>
        </r>
      </text>
    </comment>
    <comment ref="DL34" authorId="8">
      <text>
        <r>
          <rPr>
            <b/>
            <sz val="9"/>
            <color indexed="81"/>
            <rFont val="Tahoma"/>
            <family val="2"/>
          </rPr>
          <t>De Courreges, Edouard (Research):</t>
        </r>
        <r>
          <rPr>
            <sz val="9"/>
            <color indexed="81"/>
            <rFont val="Tahoma"/>
            <family val="2"/>
          </rPr>
          <t xml:space="preserve">
2/28/18: Guide +1% to +2% guide SG&amp;A increase </t>
        </r>
      </text>
    </comment>
    <comment ref="DE36" authorId="16">
      <text>
        <r>
          <rPr>
            <b/>
            <sz val="9"/>
            <color indexed="81"/>
            <rFont val="Tahoma"/>
            <family val="2"/>
          </rPr>
          <t>Baglione, Gregory (Research):</t>
        </r>
        <r>
          <rPr>
            <sz val="9"/>
            <color indexed="81"/>
            <rFont val="Tahoma"/>
            <family val="2"/>
          </rPr>
          <t xml:space="preserve">
11/10/16
"We continue to believe that our fall season SG&amp;A will be up 50 basis points to 200 basis points higher than last year."</t>
        </r>
      </text>
    </comment>
    <comment ref="BC40" authorId="0">
      <text>
        <r>
          <rPr>
            <sz val="10"/>
            <rFont val="Arial"/>
            <family val="2"/>
          </rPr>
          <t>mmcclell:</t>
        </r>
        <r>
          <rPr>
            <sz val="10"/>
            <rFont val="Arial"/>
            <family val="2"/>
          </rPr>
          <t xml:space="preserve">
restated to reflect impact of accounting change for leases and related depreciation</t>
        </r>
      </text>
    </comment>
    <comment ref="BG40" authorId="0">
      <text>
        <r>
          <rPr>
            <sz val="10"/>
            <rFont val="Arial"/>
            <family val="2"/>
          </rPr>
          <t>mmcclell:</t>
        </r>
        <r>
          <rPr>
            <sz val="10"/>
            <rFont val="Arial"/>
            <family val="2"/>
          </rPr>
          <t xml:space="preserve">
restated to reflect impact of accounting change for leases and related depreciation</t>
        </r>
      </text>
    </comment>
    <comment ref="BO40" authorId="15">
      <text>
        <r>
          <rPr>
            <sz val="10"/>
            <rFont val="Arial"/>
            <family val="2"/>
          </rPr>
          <t>afloam:</t>
        </r>
        <r>
          <rPr>
            <sz val="10"/>
            <rFont val="Arial"/>
            <family val="2"/>
          </rPr>
          <t xml:space="preserve">
in 1Q06 change way account for rental costs--recognizes as rental expense rather than capitalize.  Average pre-opening expense of $700K per store, an average increase of approx. $200K or 40%
(since fewer store openings this year, factor added in)</t>
        </r>
      </text>
    </comment>
    <comment ref="BS40" authorId="0">
      <text>
        <r>
          <rPr>
            <sz val="10"/>
            <rFont val="Arial"/>
            <family val="2"/>
          </rPr>
          <t>Guidance: 3/1/07
$10M 
($580K/store)</t>
        </r>
        <r>
          <rPr>
            <sz val="10"/>
            <rFont val="Arial"/>
            <family val="2"/>
          </rPr>
          <t xml:space="preserve">
</t>
        </r>
      </text>
    </comment>
    <comment ref="BW40" authorId="0">
      <text>
        <r>
          <rPr>
            <sz val="10"/>
            <rFont val="Arial"/>
            <family val="2"/>
          </rPr>
          <t>5/15/2008
Spent $536K per store for 1Q openings
Guidance: 2/28/2008
$13M
Assume $600K/store in '08 (up from $497K in '07 due to increased # of ground leases)</t>
        </r>
        <r>
          <rPr>
            <sz val="10"/>
            <rFont val="Arial"/>
            <family val="2"/>
          </rPr>
          <t xml:space="preserve">
</t>
        </r>
      </text>
    </comment>
    <comment ref="CA40" authorId="4">
      <text>
        <r>
          <rPr>
            <sz val="10"/>
            <rFont val="Arial"/>
            <family val="2"/>
          </rPr>
          <t xml:space="preserve">Guidance: 2/26/09
</t>
        </r>
        <r>
          <rPr>
            <sz val="10"/>
            <rFont val="Arial"/>
            <family val="2"/>
          </rPr>
          <t>$15M</t>
        </r>
      </text>
    </comment>
    <comment ref="CE40" authorId="2">
      <text>
        <r>
          <rPr>
            <sz val="10"/>
            <rFont val="Arial"/>
            <family val="2"/>
          </rPr>
          <t xml:space="preserve">Guidance 2/25/10:
</t>
        </r>
        <r>
          <rPr>
            <sz val="10"/>
            <rFont val="Arial"/>
            <family val="2"/>
          </rPr>
          <t xml:space="preserve">$5M
</t>
        </r>
      </text>
    </comment>
    <comment ref="CI40" authorId="2">
      <text>
        <r>
          <rPr>
            <sz val="10"/>
            <rFont val="Arial"/>
            <family val="2"/>
          </rPr>
          <t xml:space="preserve">Guidance 2/24/11:
</t>
        </r>
        <r>
          <rPr>
            <sz val="10"/>
            <rFont val="Arial"/>
            <family val="2"/>
          </rPr>
          <t xml:space="preserve">$4.5M
</t>
        </r>
      </text>
    </comment>
    <comment ref="BC41" authorId="18">
      <text>
        <r>
          <rPr>
            <sz val="10"/>
            <rFont val="Arial"/>
            <family val="2"/>
          </rPr>
          <t>Denise Frazer:</t>
        </r>
        <r>
          <rPr>
            <sz val="10"/>
            <rFont val="Arial"/>
            <family val="2"/>
          </rPr>
          <t xml:space="preserve">
10% ot total costs related to 50 stores opening in 3Q</t>
        </r>
      </text>
    </comment>
    <comment ref="BW41" authorId="0">
      <text>
        <r>
          <rPr>
            <sz val="10"/>
            <rFont val="Arial"/>
            <family val="2"/>
          </rPr>
          <t>5/15/2008
$9M
Guidance: 2/28/2008
Assume $600K/store in '08 (up from $497K in '07 due to increased # of ground leases)</t>
        </r>
        <r>
          <rPr>
            <sz val="10"/>
            <rFont val="Arial"/>
            <family val="2"/>
          </rPr>
          <t xml:space="preserve">
</t>
        </r>
      </text>
    </comment>
    <comment ref="CA41" authorId="4">
      <text>
        <r>
          <rPr>
            <sz val="10"/>
            <rFont val="Arial"/>
            <family val="2"/>
          </rPr>
          <t xml:space="preserve">Guidance: 5/14/09
</t>
        </r>
        <r>
          <rPr>
            <sz val="10"/>
            <rFont val="Arial"/>
            <family val="2"/>
          </rPr>
          <t>$14M; pre-opening expenses higher due to stores openings in the fall being primarily ground-opening lease expenses accounted for earlier for these</t>
        </r>
      </text>
    </comment>
    <comment ref="CE41" authorId="2">
      <text>
        <r>
          <rPr>
            <sz val="10"/>
            <rFont val="Arial"/>
            <family val="2"/>
          </rPr>
          <t xml:space="preserve">Guidance 5/13/2010:
</t>
        </r>
        <r>
          <rPr>
            <sz val="10"/>
            <rFont val="Arial"/>
            <family val="2"/>
          </rPr>
          <t xml:space="preserve">$3mn
</t>
        </r>
      </text>
    </comment>
    <comment ref="BC42" authorId="18">
      <text>
        <r>
          <rPr>
            <sz val="10"/>
            <rFont val="Arial"/>
            <family val="2"/>
          </rPr>
          <t>Denise Frazer:</t>
        </r>
        <r>
          <rPr>
            <sz val="10"/>
            <rFont val="Arial"/>
            <family val="2"/>
          </rPr>
          <t xml:space="preserve">
Remaining 90% of total cost of 50 stores opening in 3Q (total cost of $25M for 50 stores).</t>
        </r>
      </text>
    </comment>
    <comment ref="BG42" authorId="0">
      <text>
        <r>
          <rPr>
            <sz val="10"/>
            <rFont val="Arial"/>
            <family val="2"/>
          </rPr>
          <t>mmcclell:</t>
        </r>
        <r>
          <rPr>
            <sz val="10"/>
            <rFont val="Arial"/>
            <family val="2"/>
          </rPr>
          <t xml:space="preserve">
restated to reflect impact of accounting change for leases and related depreciation</t>
        </r>
      </text>
    </comment>
    <comment ref="BS42" authorId="0">
      <text>
        <r>
          <rPr>
            <sz val="10"/>
            <rFont val="Arial"/>
            <family val="2"/>
          </rPr>
          <t>Guidance: 8/16/07
$43M</t>
        </r>
        <r>
          <rPr>
            <sz val="10"/>
            <rFont val="Arial"/>
            <family val="2"/>
          </rPr>
          <t xml:space="preserve">
</t>
        </r>
        <r>
          <rPr>
            <sz val="10"/>
            <rFont val="Arial"/>
            <family val="2"/>
          </rPr>
          <t>$520K/store (vs. $580K/store LY)</t>
        </r>
      </text>
    </comment>
    <comment ref="BW42" authorId="0">
      <text>
        <r>
          <rPr>
            <sz val="10"/>
            <rFont val="Arial"/>
            <family val="2"/>
          </rPr>
          <t xml:space="preserve">8/14/08
</t>
        </r>
        <r>
          <rPr>
            <sz val="10"/>
            <rFont val="Arial"/>
            <family val="2"/>
          </rPr>
          <t>$23M</t>
        </r>
        <r>
          <rPr>
            <sz val="10"/>
            <rFont val="Arial"/>
            <family val="2"/>
          </rPr>
          <t xml:space="preserve">
5/15/2008
</t>
        </r>
        <r>
          <rPr>
            <sz val="10"/>
            <rFont val="Arial"/>
            <family val="2"/>
          </rPr>
          <t>Expect to spend $579K per store for fall openings</t>
        </r>
        <r>
          <rPr>
            <sz val="10"/>
            <rFont val="Arial"/>
            <family val="2"/>
          </rPr>
          <t xml:space="preserve">
Guidance: 2/28/2008
</t>
        </r>
        <r>
          <rPr>
            <sz val="10"/>
            <rFont val="Arial"/>
            <family val="2"/>
          </rPr>
          <t xml:space="preserve">Assume $600K/store in '08 (up from $497K in '07 due to increased # of ground leases)
</t>
        </r>
      </text>
    </comment>
    <comment ref="CA42" authorId="4">
      <text>
        <r>
          <rPr>
            <sz val="10"/>
            <rFont val="Arial"/>
            <family val="2"/>
          </rPr>
          <t xml:space="preserve">Guidance: 8/13/09
</t>
        </r>
        <r>
          <rPr>
            <sz val="10"/>
            <rFont val="Arial"/>
            <family val="2"/>
          </rPr>
          <t>$23M</t>
        </r>
      </text>
    </comment>
    <comment ref="CE42" authorId="2">
      <text>
        <r>
          <rPr>
            <sz val="10"/>
            <rFont val="Arial"/>
            <family val="2"/>
          </rPr>
          <t xml:space="preserve">Guidance 8/12/10:
</t>
        </r>
        <r>
          <rPr>
            <sz val="10"/>
            <rFont val="Arial"/>
            <family val="2"/>
          </rPr>
          <t xml:space="preserve">$10M
</t>
        </r>
      </text>
    </comment>
    <comment ref="BC43" authorId="18">
      <text>
        <r>
          <rPr>
            <sz val="10"/>
            <rFont val="Arial"/>
            <family val="2"/>
          </rPr>
          <t>Denise Frazer:</t>
        </r>
        <r>
          <rPr>
            <sz val="10"/>
            <rFont val="Arial"/>
            <family val="2"/>
          </rPr>
          <t xml:space="preserve">
$550K per store 25% of cost for 1Q stores will hit in 4Q</t>
        </r>
      </text>
    </comment>
    <comment ref="BK43" authorId="0">
      <text>
        <r>
          <rPr>
            <sz val="10"/>
            <rFont val="Arial"/>
            <family val="2"/>
          </rPr>
          <t>mmcclell:</t>
        </r>
        <r>
          <rPr>
            <sz val="10"/>
            <rFont val="Arial"/>
            <family val="2"/>
          </rPr>
          <t xml:space="preserve">
mgmt guidance at end of 3Q</t>
        </r>
      </text>
    </comment>
    <comment ref="BO43" authorId="0">
      <text>
        <r>
          <rPr>
            <sz val="10"/>
            <rFont val="Arial"/>
            <family val="2"/>
          </rPr>
          <t>Mgmt guidance: 11/9/06
+$5M guidance</t>
        </r>
        <r>
          <rPr>
            <sz val="10"/>
            <rFont val="Arial"/>
            <family val="2"/>
          </rPr>
          <t xml:space="preserve">
</t>
        </r>
      </text>
    </comment>
    <comment ref="BS43" authorId="0">
      <text>
        <r>
          <rPr>
            <sz val="10"/>
            <rFont val="Arial"/>
            <family val="2"/>
          </rPr>
          <t>Guidance: 11/15/07
$8M
Guidance: 8/16/07
$9M</t>
        </r>
        <r>
          <rPr>
            <sz val="10"/>
            <rFont val="Arial"/>
            <family val="2"/>
          </rPr>
          <t xml:space="preserve">
</t>
        </r>
      </text>
    </comment>
    <comment ref="BW43" authorId="0">
      <text>
        <r>
          <rPr>
            <sz val="10"/>
            <rFont val="Arial"/>
            <family val="2"/>
          </rPr>
          <t xml:space="preserve">11/13/08
</t>
        </r>
        <r>
          <rPr>
            <sz val="10"/>
            <rFont val="Arial"/>
            <family val="2"/>
          </rPr>
          <t>$5mm</t>
        </r>
        <r>
          <rPr>
            <sz val="10"/>
            <rFont val="Arial"/>
            <family val="2"/>
          </rPr>
          <t xml:space="preserve">
8/14/08
</t>
        </r>
        <r>
          <rPr>
            <sz val="10"/>
            <rFont val="Arial"/>
            <family val="2"/>
          </rPr>
          <t>$8M</t>
        </r>
        <r>
          <rPr>
            <sz val="10"/>
            <rFont val="Arial"/>
            <family val="2"/>
          </rPr>
          <t xml:space="preserve">
5/15/2008
</t>
        </r>
        <r>
          <rPr>
            <sz val="10"/>
            <rFont val="Arial"/>
            <family val="2"/>
          </rPr>
          <t>Expect to spend $579K per store for fall openings</t>
        </r>
        <r>
          <rPr>
            <sz val="10"/>
            <rFont val="Arial"/>
            <family val="2"/>
          </rPr>
          <t xml:space="preserve">
Guidance: 2/28/2008
</t>
        </r>
        <r>
          <rPr>
            <sz val="10"/>
            <rFont val="Arial"/>
            <family val="2"/>
          </rPr>
          <t xml:space="preserve">Assume $600K/store in '08 (up from $497K in '07 due to increased # of ground leases)
</t>
        </r>
      </text>
    </comment>
    <comment ref="CA43" authorId="4">
      <text>
        <r>
          <rPr>
            <sz val="10"/>
            <rFont val="Arial"/>
            <family val="2"/>
          </rPr>
          <t xml:space="preserve">Guidance: 11/12/09
</t>
        </r>
        <r>
          <rPr>
            <sz val="10"/>
            <rFont val="Arial"/>
            <family val="2"/>
          </rPr>
          <t>$5M</t>
        </r>
        <r>
          <rPr>
            <sz val="10"/>
            <rFont val="Arial"/>
            <family val="2"/>
          </rPr>
          <t xml:space="preserve">
Guidance: 8/13/09
</t>
        </r>
        <r>
          <rPr>
            <sz val="10"/>
            <rFont val="Arial"/>
            <family val="2"/>
          </rPr>
          <t>$5M</t>
        </r>
      </text>
    </comment>
    <comment ref="CE43" authorId="2">
      <text>
        <r>
          <rPr>
            <sz val="10"/>
            <rFont val="Arial"/>
            <family val="2"/>
          </rPr>
          <t xml:space="preserve">Guidance 11/11/10:
</t>
        </r>
        <r>
          <rPr>
            <sz val="10"/>
            <rFont val="Arial"/>
            <family val="2"/>
          </rPr>
          <t xml:space="preserve">$2M
</t>
        </r>
      </text>
    </comment>
    <comment ref="BC44" authorId="0">
      <text>
        <r>
          <rPr>
            <sz val="10"/>
            <rFont val="Arial"/>
            <family val="2"/>
          </rPr>
          <t>mmcclell:</t>
        </r>
        <r>
          <rPr>
            <sz val="10"/>
            <rFont val="Arial"/>
            <family val="2"/>
          </rPr>
          <t xml:space="preserve">
restated</t>
        </r>
      </text>
    </comment>
    <comment ref="BO44" authorId="0">
      <text>
        <r>
          <rPr>
            <sz val="10"/>
            <rFont val="Arial"/>
            <family val="2"/>
          </rPr>
          <t>change in accounting for real estate costs will result in preopening expenses of $700K/store (up $200K); 3 cent impact</t>
        </r>
        <r>
          <rPr>
            <sz val="10"/>
            <rFont val="Arial"/>
            <family val="2"/>
          </rPr>
          <t xml:space="preserve">
</t>
        </r>
      </text>
    </comment>
    <comment ref="BS44" authorId="0">
      <text>
        <r>
          <rPr>
            <sz val="10"/>
            <rFont val="Arial"/>
            <family val="2"/>
          </rPr>
          <t>Guidance: 3/1/07
$580K/store ~ $67M</t>
        </r>
        <r>
          <rPr>
            <sz val="10"/>
            <rFont val="Arial"/>
            <family val="2"/>
          </rPr>
          <t xml:space="preserve">
</t>
        </r>
      </text>
    </comment>
    <comment ref="BW44" authorId="0">
      <text>
        <r>
          <rPr>
            <sz val="10"/>
            <rFont val="Arial"/>
            <family val="2"/>
          </rPr>
          <t>5/15/2008
$48M
Guidance: 2/28/2008
$50M</t>
        </r>
        <r>
          <rPr>
            <sz val="10"/>
            <rFont val="Arial"/>
            <family val="2"/>
          </rPr>
          <t xml:space="preserve">
</t>
        </r>
      </text>
    </comment>
    <comment ref="CA44" authorId="4">
      <text>
        <r>
          <rPr>
            <sz val="10"/>
            <rFont val="Arial"/>
            <family val="2"/>
          </rPr>
          <t xml:space="preserve">Guidance: 2/26/09
</t>
        </r>
        <r>
          <rPr>
            <sz val="10"/>
            <rFont val="Arial"/>
            <family val="2"/>
          </rPr>
          <t>$51M
Note:The increase over last year is primarily due to the requirement to expense 7 months prior to the opening of a new store for ground leases.  The mix of 2009 new stores is much more heavily skewed towards ground leases than normal with the opening of teh acquired Mervyn's locations.</t>
        </r>
      </text>
    </comment>
    <comment ref="CI44" authorId="2">
      <text>
        <r>
          <rPr>
            <sz val="10"/>
            <rFont val="Arial"/>
            <family val="2"/>
          </rPr>
          <t xml:space="preserve">Guidance 2/24/11:
</t>
        </r>
        <r>
          <rPr>
            <sz val="10"/>
            <rFont val="Arial"/>
            <family val="2"/>
          </rPr>
          <t xml:space="preserve">$28M
</t>
        </r>
      </text>
    </comment>
    <comment ref="BC50" authorId="0">
      <text>
        <r>
          <rPr>
            <sz val="10"/>
            <rFont val="Arial"/>
            <family val="2"/>
          </rPr>
          <t>mmcclell:</t>
        </r>
        <r>
          <rPr>
            <sz val="10"/>
            <rFont val="Arial"/>
            <family val="2"/>
          </rPr>
          <t xml:space="preserve">
restated to reflect impact of accounting change for leases and related depreciation </t>
        </r>
      </text>
    </comment>
    <comment ref="BG50" authorId="0">
      <text>
        <r>
          <rPr>
            <sz val="10"/>
            <rFont val="Arial"/>
            <family val="2"/>
          </rPr>
          <t>mmcclell:</t>
        </r>
        <r>
          <rPr>
            <sz val="10"/>
            <rFont val="Arial"/>
            <family val="2"/>
          </rPr>
          <t xml:space="preserve">
restated to reflect impact of accounting change for leases and related depreciation</t>
        </r>
      </text>
    </comment>
    <comment ref="CA50" authorId="4">
      <text>
        <r>
          <rPr>
            <sz val="10"/>
            <rFont val="Arial"/>
            <family val="2"/>
          </rPr>
          <t xml:space="preserve">Guidance: 2/26/09
</t>
        </r>
        <r>
          <rPr>
            <sz val="10"/>
            <rFont val="Arial"/>
            <family val="2"/>
          </rPr>
          <t>$146M</t>
        </r>
      </text>
    </comment>
    <comment ref="CE50" authorId="2">
      <text>
        <r>
          <rPr>
            <sz val="10"/>
            <rFont val="Arial"/>
            <family val="2"/>
          </rPr>
          <t xml:space="preserve">Guidance 2/25/10:
</t>
        </r>
        <r>
          <rPr>
            <sz val="10"/>
            <rFont val="Arial"/>
            <family val="2"/>
          </rPr>
          <t xml:space="preserve">$155M
</t>
        </r>
      </text>
    </comment>
    <comment ref="CI50" authorId="2">
      <text>
        <r>
          <rPr>
            <sz val="10"/>
            <rFont val="Arial"/>
            <family val="2"/>
          </rPr>
          <t xml:space="preserve">Guidance 2/24/11:
</t>
        </r>
        <r>
          <rPr>
            <sz val="10"/>
            <rFont val="Arial"/>
            <family val="2"/>
          </rPr>
          <t xml:space="preserve">Depreciation $164M
</t>
        </r>
      </text>
    </comment>
    <comment ref="CM50" authorId="5">
      <text>
        <r>
          <rPr>
            <sz val="10"/>
            <rFont val="Arial"/>
            <family val="2"/>
          </rPr>
          <t xml:space="preserve">Guidance: 2/23/2012
</t>
        </r>
        <r>
          <rPr>
            <sz val="10"/>
            <rFont val="Arial"/>
            <family val="2"/>
          </rPr>
          <t>$205M in D&amp;A</t>
        </r>
      </text>
    </comment>
    <comment ref="CQ50" authorId="5">
      <text>
        <r>
          <rPr>
            <b/>
            <sz val="8"/>
            <color indexed="81"/>
            <rFont val="Tahoma"/>
            <family val="2"/>
          </rPr>
          <t xml:space="preserve">2/28/2013 guidance: </t>
        </r>
        <r>
          <rPr>
            <sz val="8"/>
            <color indexed="81"/>
            <rFont val="Tahoma"/>
            <family val="2"/>
          </rPr>
          <t>$221M</t>
        </r>
      </text>
    </comment>
    <comment ref="DC50" authorId="10">
      <text>
        <r>
          <rPr>
            <b/>
            <sz val="9"/>
            <color indexed="81"/>
            <rFont val="Tahoma"/>
            <family val="2"/>
          </rPr>
          <t>Baglione, Gregory  (Research):</t>
        </r>
        <r>
          <rPr>
            <sz val="9"/>
            <color indexed="81"/>
            <rFont val="Tahoma"/>
            <family val="2"/>
          </rPr>
          <t xml:space="preserve">
2/25/16 Guide 
Depreciation expense to be $940 million</t>
        </r>
      </text>
    </comment>
    <comment ref="DG50" authorId="7">
      <text>
        <r>
          <rPr>
            <b/>
            <sz val="9"/>
            <color indexed="81"/>
            <rFont val="Tahoma"/>
            <family val="2"/>
          </rPr>
          <t>Cassel, Lauren (Research):</t>
        </r>
        <r>
          <rPr>
            <sz val="9"/>
            <color indexed="81"/>
            <rFont val="Tahoma"/>
            <family val="2"/>
          </rPr>
          <t xml:space="preserve">
5/11/17: The increase is driven by higher IT amortization, which was only partially offset by lower store-related depreciation due to store closures.</t>
        </r>
      </text>
    </comment>
    <comment ref="BC51" authorId="0">
      <text>
        <r>
          <rPr>
            <sz val="10"/>
            <rFont val="Arial"/>
            <family val="2"/>
          </rPr>
          <t>mmcclell:</t>
        </r>
        <r>
          <rPr>
            <sz val="10"/>
            <rFont val="Arial"/>
            <family val="2"/>
          </rPr>
          <t xml:space="preserve">
restated to reflect impact of accounting change for leases and related depreciation </t>
        </r>
      </text>
    </comment>
    <comment ref="BG51" authorId="0">
      <text>
        <r>
          <rPr>
            <sz val="10"/>
            <rFont val="Arial"/>
            <family val="2"/>
          </rPr>
          <t>mmcclell:</t>
        </r>
        <r>
          <rPr>
            <sz val="10"/>
            <rFont val="Arial"/>
            <family val="2"/>
          </rPr>
          <t xml:space="preserve">
restated to reflect impact of accounting change for leases and related depreciation</t>
        </r>
      </text>
    </comment>
    <comment ref="BW51" authorId="3">
      <text>
        <r>
          <rPr>
            <sz val="10"/>
            <rFont val="Arial"/>
            <family val="2"/>
          </rPr>
          <t>5/15/2008
$133M</t>
        </r>
      </text>
    </comment>
    <comment ref="CA51" authorId="4">
      <text>
        <r>
          <rPr>
            <sz val="10"/>
            <rFont val="Arial"/>
            <family val="2"/>
          </rPr>
          <t xml:space="preserve">Guidance: 5/14/09
</t>
        </r>
        <r>
          <rPr>
            <sz val="10"/>
            <rFont val="Arial"/>
            <family val="2"/>
          </rPr>
          <t>$147M</t>
        </r>
      </text>
    </comment>
    <comment ref="CE51" authorId="2">
      <text>
        <r>
          <rPr>
            <sz val="10"/>
            <rFont val="Arial"/>
            <family val="2"/>
          </rPr>
          <t xml:space="preserve">Note: 9/15/2011
</t>
        </r>
        <r>
          <rPr>
            <sz val="10"/>
            <rFont val="Arial"/>
            <family val="2"/>
          </rPr>
          <t>Restated due to changes in lease accounting.</t>
        </r>
        <r>
          <rPr>
            <sz val="10"/>
            <rFont val="Arial"/>
            <family val="2"/>
          </rPr>
          <t xml:space="preserve">
Guidance 5/13/2010:
</t>
        </r>
        <r>
          <rPr>
            <sz val="10"/>
            <rFont val="Arial"/>
            <family val="2"/>
          </rPr>
          <t xml:space="preserve">$160mn
</t>
        </r>
      </text>
    </comment>
    <comment ref="CI51" authorId="2">
      <text>
        <r>
          <rPr>
            <sz val="10"/>
            <rFont val="Arial"/>
            <family val="2"/>
          </rPr>
          <t xml:space="preserve">Guidance 5/12/11:
</t>
        </r>
        <r>
          <rPr>
            <sz val="10"/>
            <rFont val="Arial"/>
            <family val="2"/>
          </rPr>
          <t>Depreciation $167M</t>
        </r>
        <r>
          <rPr>
            <sz val="10"/>
            <rFont val="Arial"/>
            <family val="2"/>
          </rPr>
          <t xml:space="preserve">
Guidance 2/24/11:
</t>
        </r>
        <r>
          <rPr>
            <sz val="10"/>
            <rFont val="Arial"/>
            <family val="2"/>
          </rPr>
          <t xml:space="preserve">Depreciation $171M
</t>
        </r>
      </text>
    </comment>
    <comment ref="CM51" authorId="5">
      <text>
        <r>
          <rPr>
            <sz val="10"/>
            <rFont val="Arial"/>
            <family val="2"/>
          </rPr>
          <t xml:space="preserve">5/10/2012 Guidance 
</t>
        </r>
        <r>
          <rPr>
            <sz val="10"/>
            <rFont val="Arial"/>
            <family val="2"/>
          </rPr>
          <t>$206M</t>
        </r>
      </text>
    </comment>
    <comment ref="CQ51" authorId="5">
      <text>
        <r>
          <rPr>
            <b/>
            <sz val="8"/>
            <color indexed="81"/>
            <rFont val="Tahoma"/>
            <family val="2"/>
          </rPr>
          <t>5/16/2013 guidance: $</t>
        </r>
        <r>
          <rPr>
            <sz val="8"/>
            <color indexed="81"/>
            <rFont val="Tahoma"/>
            <family val="2"/>
          </rPr>
          <t>228M</t>
        </r>
      </text>
    </comment>
    <comment ref="CY51" authorId="9">
      <text>
        <r>
          <rPr>
            <b/>
            <sz val="9"/>
            <color indexed="81"/>
            <rFont val="Tahoma"/>
            <family val="2"/>
          </rPr>
          <t>Mains, Spencer (Research):</t>
        </r>
        <r>
          <rPr>
            <sz val="9"/>
            <color indexed="81"/>
            <rFont val="Tahoma"/>
            <family val="2"/>
          </rPr>
          <t xml:space="preserve">
8/13/15: 
Higher IT amortization was primary reason for $11M increase in depreciation for the quarter.</t>
        </r>
      </text>
    </comment>
    <comment ref="DC51" authorId="10">
      <text>
        <r>
          <rPr>
            <b/>
            <sz val="9"/>
            <color indexed="81"/>
            <rFont val="Tahoma"/>
            <family val="2"/>
          </rPr>
          <t>Baglione, Gregory  (Research):</t>
        </r>
        <r>
          <rPr>
            <sz val="9"/>
            <color indexed="81"/>
            <rFont val="Tahoma"/>
            <family val="2"/>
          </rPr>
          <t xml:space="preserve">
2/25/16 Guide 
Depreciation expense to be $940 million</t>
        </r>
      </text>
    </comment>
    <comment ref="DG51" authorId="11">
      <text>
        <r>
          <rPr>
            <b/>
            <sz val="9"/>
            <color indexed="81"/>
            <rFont val="Tahoma"/>
            <family val="2"/>
          </rPr>
          <t>Roberts, Cynthia (Research):</t>
        </r>
        <r>
          <rPr>
            <sz val="9"/>
            <color indexed="81"/>
            <rFont val="Tahoma"/>
            <family val="2"/>
          </rPr>
          <t xml:space="preserve">
8/10/17: increase driven by higher IT depreciation</t>
        </r>
      </text>
    </comment>
    <comment ref="BC52" authorId="0">
      <text>
        <r>
          <rPr>
            <sz val="10"/>
            <rFont val="Arial"/>
            <family val="2"/>
          </rPr>
          <t>mmcclell:</t>
        </r>
        <r>
          <rPr>
            <sz val="10"/>
            <rFont val="Arial"/>
            <family val="2"/>
          </rPr>
          <t xml:space="preserve">
restated to reflect impact of accounting change for leases and related depreciation </t>
        </r>
      </text>
    </comment>
    <comment ref="BG52" authorId="0">
      <text>
        <r>
          <rPr>
            <sz val="10"/>
            <rFont val="Arial"/>
            <family val="2"/>
          </rPr>
          <t>mmcclell:</t>
        </r>
        <r>
          <rPr>
            <sz val="10"/>
            <rFont val="Arial"/>
            <family val="2"/>
          </rPr>
          <t xml:space="preserve">
restated to reflect impact of accounting change for leases and related depreciation</t>
        </r>
      </text>
    </comment>
    <comment ref="BS52" authorId="0">
      <text>
        <r>
          <rPr>
            <sz val="10"/>
            <rFont val="Arial"/>
            <family val="2"/>
          </rPr>
          <t>Guidance: 8/16/07
$120M</t>
        </r>
        <r>
          <rPr>
            <sz val="10"/>
            <rFont val="Arial"/>
            <family val="2"/>
          </rPr>
          <t xml:space="preserve">
</t>
        </r>
      </text>
    </comment>
    <comment ref="BW52" authorId="3">
      <text>
        <r>
          <rPr>
            <sz val="10"/>
            <rFont val="Arial"/>
            <family val="2"/>
          </rPr>
          <t>8/14/2008
$135M</t>
        </r>
      </text>
    </comment>
    <comment ref="CA52" authorId="4">
      <text>
        <r>
          <rPr>
            <sz val="10"/>
            <rFont val="Arial"/>
            <family val="2"/>
          </rPr>
          <t xml:space="preserve">Guidance: 8/13/09
</t>
        </r>
        <r>
          <rPr>
            <sz val="10"/>
            <rFont val="Arial"/>
            <family val="2"/>
          </rPr>
          <t>$152M</t>
        </r>
      </text>
    </comment>
    <comment ref="CE52" authorId="2">
      <text>
        <r>
          <rPr>
            <sz val="10"/>
            <rFont val="Arial"/>
            <family val="2"/>
          </rPr>
          <t xml:space="preserve">Comment 12/9/10:
</t>
        </r>
        <r>
          <rPr>
            <sz val="10"/>
            <rFont val="Arial"/>
            <family val="2"/>
          </rPr>
          <t>10Q reports $190M, of which $25M are due to accounting correction on lease accounting</t>
        </r>
        <r>
          <rPr>
            <sz val="10"/>
            <rFont val="Arial"/>
            <family val="2"/>
          </rPr>
          <t xml:space="preserve">
Guidance 11/4/10:</t>
        </r>
        <r>
          <rPr>
            <sz val="10"/>
            <rFont val="Arial"/>
            <family val="2"/>
          </rPr>
          <t xml:space="preserve">
1) Company announces 5 cent hit to EPS re acctin error on leases
2) Will result in higher depr and interest expense in quarter
3) Depreciation overstated vs. $165M guidance to reflect accting error
</t>
        </r>
        <r>
          <rPr>
            <sz val="10"/>
            <rFont val="Arial"/>
            <family val="2"/>
          </rPr>
          <t xml:space="preserve">
Guidance 8/12/10:
</t>
        </r>
        <r>
          <rPr>
            <sz val="10"/>
            <rFont val="Arial"/>
            <family val="2"/>
          </rPr>
          <t xml:space="preserve">$165M
</t>
        </r>
      </text>
    </comment>
    <comment ref="CI52" authorId="2">
      <text>
        <r>
          <rPr>
            <sz val="10"/>
            <rFont val="Arial"/>
            <family val="2"/>
          </rPr>
          <t xml:space="preserve">October 10/6/11 Guidance:
</t>
        </r>
        <r>
          <rPr>
            <sz val="10"/>
            <rFont val="Arial"/>
            <family val="2"/>
          </rPr>
          <t xml:space="preserve">Lease accounting impact: SG&amp;A down $65MM; D&amp;A up $30MM and Interst Exp. Up $50MM
</t>
        </r>
        <r>
          <rPr>
            <sz val="10"/>
            <rFont val="Arial"/>
            <family val="2"/>
          </rPr>
          <t xml:space="preserve">
Note: 9/15/2011
See "Restatements" sheet for detail.
Guidance 8/11/11:
</t>
        </r>
        <r>
          <rPr>
            <sz val="10"/>
            <rFont val="Arial"/>
            <family val="2"/>
          </rPr>
          <t>Depreciation $171M</t>
        </r>
        <r>
          <rPr>
            <sz val="10"/>
            <rFont val="Arial"/>
            <family val="2"/>
          </rPr>
          <t xml:space="preserve">
Guidance 2/24/11:
</t>
        </r>
        <r>
          <rPr>
            <sz val="10"/>
            <rFont val="Arial"/>
            <family val="2"/>
          </rPr>
          <t xml:space="preserve">Depreciation $174M
</t>
        </r>
      </text>
    </comment>
    <comment ref="CM52" authorId="5">
      <text>
        <r>
          <rPr>
            <sz val="10"/>
            <rFont val="Arial"/>
            <family val="2"/>
          </rPr>
          <t xml:space="preserve">8/9/2012 Guidance
</t>
        </r>
        <r>
          <rPr>
            <sz val="10"/>
            <rFont val="Arial"/>
            <family val="2"/>
          </rPr>
          <t>$216M</t>
        </r>
      </text>
    </comment>
    <comment ref="CQ52" authorId="12">
      <text>
        <r>
          <rPr>
            <b/>
            <sz val="8"/>
            <color indexed="81"/>
            <rFont val="Tahoma"/>
            <family val="2"/>
          </rPr>
          <t xml:space="preserve">8/15/13: </t>
        </r>
        <r>
          <rPr>
            <sz val="8"/>
            <color indexed="81"/>
            <rFont val="Tahoma"/>
            <family val="2"/>
          </rPr>
          <t>guidance $229M</t>
        </r>
        <r>
          <rPr>
            <sz val="8"/>
            <color indexed="81"/>
            <rFont val="Tahoma"/>
            <family val="2"/>
          </rPr>
          <t xml:space="preserve">
</t>
        </r>
        <r>
          <rPr>
            <b/>
            <sz val="8"/>
            <color indexed="81"/>
            <rFont val="Tahoma"/>
            <family val="2"/>
          </rPr>
          <t>11/14/13:</t>
        </r>
        <r>
          <rPr>
            <sz val="8"/>
            <color indexed="81"/>
            <rFont val="Tahoma"/>
            <family val="2"/>
          </rPr>
          <t xml:space="preserve"> The increases are primarily due to technology investments and other non-store capital projects.</t>
        </r>
      </text>
    </comment>
    <comment ref="DC52" authorId="10">
      <text>
        <r>
          <rPr>
            <b/>
            <sz val="9"/>
            <color indexed="81"/>
            <rFont val="Tahoma"/>
            <family val="2"/>
          </rPr>
          <t>Baglione, Gregory  (Research):</t>
        </r>
        <r>
          <rPr>
            <sz val="9"/>
            <color indexed="81"/>
            <rFont val="Tahoma"/>
            <family val="2"/>
          </rPr>
          <t xml:space="preserve">
2/25/16 Guide 
Depreciation expense to be $940 million</t>
        </r>
      </text>
    </comment>
    <comment ref="DG52" authorId="11">
      <text>
        <r>
          <rPr>
            <b/>
            <sz val="9"/>
            <color indexed="81"/>
            <rFont val="Tahoma"/>
            <family val="2"/>
          </rPr>
          <t>Roberts, Cynthia (Research):</t>
        </r>
        <r>
          <rPr>
            <sz val="9"/>
            <color indexed="81"/>
            <rFont val="Tahoma"/>
            <family val="2"/>
          </rPr>
          <t xml:space="preserve">
11//17: increase driven by higher IT depreciation</t>
        </r>
      </text>
    </comment>
    <comment ref="BC53" authorId="0">
      <text>
        <r>
          <rPr>
            <sz val="10"/>
            <rFont val="Arial"/>
            <family val="2"/>
          </rPr>
          <t>mmcclell:</t>
        </r>
        <r>
          <rPr>
            <sz val="10"/>
            <rFont val="Arial"/>
            <family val="2"/>
          </rPr>
          <t xml:space="preserve">
restated to reflect impact of accounting change for leases and related depreciation </t>
        </r>
      </text>
    </comment>
    <comment ref="BK53" authorId="0">
      <text>
        <r>
          <rPr>
            <sz val="10"/>
            <rFont val="Arial"/>
            <family val="2"/>
          </rPr>
          <t>mmcclell:</t>
        </r>
        <r>
          <rPr>
            <sz val="10"/>
            <rFont val="Arial"/>
            <family val="2"/>
          </rPr>
          <t xml:space="preserve">
mgmt guidance at end of 3Q</t>
        </r>
      </text>
    </comment>
    <comment ref="BS53" authorId="0">
      <text>
        <r>
          <rPr>
            <sz val="10"/>
            <rFont val="Arial"/>
            <family val="2"/>
          </rPr>
          <t>Guidance:11/15/2007
$125M
Guidance: 8/16/07
$125M</t>
        </r>
        <r>
          <rPr>
            <sz val="10"/>
            <rFont val="Arial"/>
            <family val="2"/>
          </rPr>
          <t xml:space="preserve">
</t>
        </r>
      </text>
    </comment>
    <comment ref="BW53" authorId="3">
      <text>
        <r>
          <rPr>
            <sz val="10"/>
            <rFont val="Arial"/>
            <family val="2"/>
          </rPr>
          <t>8/14/2008
$140M</t>
        </r>
      </text>
    </comment>
    <comment ref="CA53" authorId="4">
      <text>
        <r>
          <rPr>
            <sz val="10"/>
            <rFont val="Arial"/>
            <family val="2"/>
          </rPr>
          <t xml:space="preserve">Guidance: 11/12/09
</t>
        </r>
        <r>
          <rPr>
            <sz val="10"/>
            <rFont val="Arial"/>
            <family val="2"/>
          </rPr>
          <t>$155M</t>
        </r>
        <r>
          <rPr>
            <sz val="10"/>
            <rFont val="Arial"/>
            <family val="2"/>
          </rPr>
          <t xml:space="preserve">
Guidance: 8/13/09
</t>
        </r>
        <r>
          <rPr>
            <sz val="10"/>
            <rFont val="Arial"/>
            <family val="2"/>
          </rPr>
          <t>$155M</t>
        </r>
      </text>
    </comment>
    <comment ref="CE53" authorId="2">
      <text>
        <r>
          <rPr>
            <sz val="10"/>
            <rFont val="Arial"/>
            <family val="2"/>
          </rPr>
          <t xml:space="preserve">Note: 11/10/2011
$189M provided on 3Q11 earnings call
Guidance 11/11/10:
</t>
        </r>
        <r>
          <rPr>
            <sz val="10"/>
            <rFont val="Arial"/>
            <family val="2"/>
          </rPr>
          <t xml:space="preserve">$165M
</t>
        </r>
        <r>
          <rPr>
            <sz val="10"/>
            <rFont val="Arial"/>
            <family val="2"/>
          </rPr>
          <t xml:space="preserve">
Guidance 8/12/10:
</t>
        </r>
        <r>
          <rPr>
            <sz val="10"/>
            <rFont val="Arial"/>
            <family val="2"/>
          </rPr>
          <t xml:space="preserve">$165M
</t>
        </r>
      </text>
    </comment>
    <comment ref="CI53" authorId="2">
      <text>
        <r>
          <rPr>
            <sz val="10"/>
            <rFont val="Arial"/>
            <family val="2"/>
          </rPr>
          <t xml:space="preserve">Guidance 2/2/12:
</t>
        </r>
        <r>
          <rPr>
            <sz val="10"/>
            <rFont val="Arial"/>
            <family val="2"/>
          </rPr>
          <t>- Better than expected in 4Q</t>
        </r>
        <r>
          <rPr>
            <sz val="10"/>
            <rFont val="Arial"/>
            <family val="2"/>
          </rPr>
          <t xml:space="preserve">
Guidance 11/10/2011
</t>
        </r>
        <r>
          <rPr>
            <sz val="10"/>
            <rFont val="Arial"/>
            <family val="2"/>
          </rPr>
          <t>$202M</t>
        </r>
        <r>
          <rPr>
            <sz val="10"/>
            <rFont val="Arial"/>
            <family val="2"/>
          </rPr>
          <t xml:space="preserve">
October 10/6/11 Guidance:
</t>
        </r>
        <r>
          <rPr>
            <sz val="10"/>
            <rFont val="Arial"/>
            <family val="2"/>
          </rPr>
          <t>Lease accounting impact: SG&amp;A down $65MM; D&amp;A up $30MM and Interest Exp. Up $50MM</t>
        </r>
        <r>
          <rPr>
            <sz val="10"/>
            <rFont val="Arial"/>
            <family val="2"/>
          </rPr>
          <t xml:space="preserve">
Guidance 2/24/11:
</t>
        </r>
        <r>
          <rPr>
            <sz val="10"/>
            <rFont val="Arial"/>
            <family val="2"/>
          </rPr>
          <t xml:space="preserve">Depreciation $181M
</t>
        </r>
        <r>
          <rPr>
            <sz val="10"/>
            <rFont val="Arial"/>
            <family val="2"/>
          </rPr>
          <t>Note: 9/15/2011
See "Restatements" sheet for detail.</t>
        </r>
      </text>
    </comment>
    <comment ref="CM53" authorId="5">
      <text>
        <r>
          <rPr>
            <b/>
            <sz val="8"/>
            <color indexed="81"/>
            <rFont val="Tahoma"/>
            <family val="2"/>
          </rPr>
          <t xml:space="preserve">11/8/2012 Guidance </t>
        </r>
        <r>
          <rPr>
            <sz val="8"/>
            <color indexed="81"/>
            <rFont val="Tahoma"/>
            <family val="2"/>
          </rPr>
          <t>$212M</t>
        </r>
      </text>
    </comment>
    <comment ref="CQ53" authorId="13">
      <text>
        <r>
          <rPr>
            <b/>
            <sz val="8"/>
            <color indexed="81"/>
            <rFont val="Tahoma"/>
            <family val="2"/>
          </rPr>
          <t>11/14/13: Guidance: 227M</t>
        </r>
        <r>
          <rPr>
            <sz val="8"/>
            <color indexed="81"/>
            <rFont val="Tahoma"/>
            <family val="2"/>
          </rPr>
          <t xml:space="preserve">
</t>
        </r>
      </text>
    </comment>
    <comment ref="DC53" authorId="10">
      <text>
        <r>
          <rPr>
            <b/>
            <sz val="9"/>
            <color indexed="81"/>
            <rFont val="Tahoma"/>
            <family val="2"/>
          </rPr>
          <t>Baglione, Gregory  (Research):</t>
        </r>
        <r>
          <rPr>
            <sz val="9"/>
            <color indexed="81"/>
            <rFont val="Tahoma"/>
            <family val="2"/>
          </rPr>
          <t xml:space="preserve">
11/10/16:
previous: 236
updated: 240
2/25/16 Guide 
Depreciation expense to be $940 million</t>
        </r>
      </text>
    </comment>
    <comment ref="BC54" authorId="0">
      <text>
        <r>
          <rPr>
            <sz val="10"/>
            <rFont val="Arial"/>
            <family val="2"/>
          </rPr>
          <t>mmcclell:</t>
        </r>
        <r>
          <rPr>
            <sz val="10"/>
            <rFont val="Arial"/>
            <family val="2"/>
          </rPr>
          <t xml:space="preserve">
restated</t>
        </r>
      </text>
    </comment>
    <comment ref="BW54" authorId="0">
      <text>
        <r>
          <rPr>
            <sz val="10"/>
            <rFont val="Arial"/>
            <family val="2"/>
          </rPr>
          <t>5/15/2008
$540M
Guidance: 2/28/2008
$540M</t>
        </r>
        <r>
          <rPr>
            <sz val="10"/>
            <rFont val="Arial"/>
            <family val="2"/>
          </rPr>
          <t xml:space="preserve">
</t>
        </r>
      </text>
    </comment>
    <comment ref="CA54" authorId="4">
      <text>
        <r>
          <rPr>
            <sz val="10"/>
            <rFont val="Arial"/>
            <family val="2"/>
          </rPr>
          <t xml:space="preserve">Guidance: 2/26/09
</t>
        </r>
        <r>
          <rPr>
            <sz val="10"/>
            <rFont val="Arial"/>
            <family val="2"/>
          </rPr>
          <t>$595M</t>
        </r>
      </text>
    </comment>
    <comment ref="CI54" authorId="2">
      <text>
        <r>
          <rPr>
            <sz val="10"/>
            <rFont val="Arial"/>
            <family val="2"/>
          </rPr>
          <t xml:space="preserve">Guidance 2/24/11:
</t>
        </r>
        <r>
          <rPr>
            <sz val="10"/>
            <rFont val="Arial"/>
            <family val="2"/>
          </rPr>
          <t xml:space="preserve">Depreciation $690M
</t>
        </r>
      </text>
    </comment>
    <comment ref="CM54" authorId="5">
      <text>
        <r>
          <rPr>
            <sz val="10"/>
            <rFont val="Arial"/>
            <family val="2"/>
          </rPr>
          <t xml:space="preserve">Guidance: 2/23/2012
</t>
        </r>
        <r>
          <rPr>
            <sz val="10"/>
            <rFont val="Arial"/>
            <family val="2"/>
          </rPr>
          <t>$840M</t>
        </r>
      </text>
    </comment>
    <comment ref="CQ54" authorId="5">
      <text>
        <r>
          <rPr>
            <b/>
            <sz val="8"/>
            <color indexed="81"/>
            <rFont val="Tahoma"/>
            <family val="2"/>
          </rPr>
          <t xml:space="preserve">5/16/2013 guidance: </t>
        </r>
        <r>
          <rPr>
            <sz val="8"/>
            <color indexed="81"/>
            <rFont val="Tahoma"/>
            <family val="2"/>
          </rPr>
          <t>$903M</t>
        </r>
        <r>
          <rPr>
            <b/>
            <sz val="8"/>
            <color indexed="81"/>
            <rFont val="Tahoma"/>
            <family val="2"/>
          </rPr>
          <t xml:space="preserve">
2/28/2013 guidance: </t>
        </r>
        <r>
          <rPr>
            <sz val="8"/>
            <color indexed="81"/>
            <rFont val="Tahoma"/>
            <family val="2"/>
          </rPr>
          <t>$910M</t>
        </r>
      </text>
    </comment>
    <comment ref="CU54" authorId="13">
      <text>
        <r>
          <rPr>
            <b/>
            <sz val="8"/>
            <color indexed="81"/>
            <rFont val="Tahoma"/>
            <family val="2"/>
          </rPr>
          <t xml:space="preserve">2/26/15: </t>
        </r>
        <r>
          <rPr>
            <sz val="8"/>
            <color indexed="81"/>
            <rFont val="Tahoma"/>
            <family val="2"/>
          </rPr>
          <t>decrease reflects lower depreciation on out stores as they mature which is largely offset by higher IR amortization</t>
        </r>
        <r>
          <rPr>
            <b/>
            <sz val="8"/>
            <color indexed="81"/>
            <rFont val="Tahoma"/>
            <family val="2"/>
          </rPr>
          <t xml:space="preserve">
2/26/14 Guidance: </t>
        </r>
        <r>
          <rPr>
            <sz val="8"/>
            <color indexed="81"/>
            <rFont val="Tahoma"/>
            <family val="2"/>
          </rPr>
          <t>$950M</t>
        </r>
        <r>
          <rPr>
            <sz val="8"/>
            <color indexed="81"/>
            <rFont val="Tahoma"/>
            <family val="2"/>
          </rPr>
          <t xml:space="preserve">
</t>
        </r>
        <r>
          <rPr>
            <b/>
            <sz val="8"/>
            <color indexed="81"/>
            <rFont val="Tahoma"/>
            <family val="2"/>
          </rPr>
          <t>5/15/14 Guidance:</t>
        </r>
        <r>
          <rPr>
            <sz val="8"/>
            <color indexed="81"/>
            <rFont val="Tahoma"/>
            <family val="2"/>
          </rPr>
          <t xml:space="preserve"> lowering to $900M</t>
        </r>
      </text>
    </comment>
    <comment ref="CY54" authorId="9">
      <text>
        <r>
          <rPr>
            <b/>
            <sz val="9"/>
            <color indexed="81"/>
            <rFont val="Tahoma"/>
            <family val="2"/>
          </rPr>
          <t>8/13/15:</t>
        </r>
        <r>
          <rPr>
            <sz val="9"/>
            <color indexed="81"/>
            <rFont val="Tahoma"/>
            <family val="2"/>
          </rPr>
          <t xml:space="preserve"> Around $930 for the year</t>
        </r>
        <r>
          <rPr>
            <b/>
            <sz val="9"/>
            <color indexed="81"/>
            <rFont val="Tahoma"/>
            <family val="2"/>
          </rPr>
          <t xml:space="preserve">
per Wes: </t>
        </r>
        <r>
          <rPr>
            <sz val="9"/>
            <color indexed="81"/>
            <rFont val="Tahoma"/>
            <family val="2"/>
          </rPr>
          <t>$940M could be "conservative"</t>
        </r>
        <r>
          <rPr>
            <b/>
            <sz val="9"/>
            <color indexed="81"/>
            <rFont val="Tahoma"/>
            <family val="2"/>
          </rPr>
          <t xml:space="preserve">
Mains, Spencer (Research):</t>
        </r>
        <r>
          <rPr>
            <sz val="9"/>
            <color indexed="81"/>
            <rFont val="Tahoma"/>
            <family val="2"/>
          </rPr>
          <t xml:space="preserve">
</t>
        </r>
        <r>
          <rPr>
            <b/>
            <sz val="9"/>
            <color indexed="81"/>
            <rFont val="Tahoma"/>
            <family val="2"/>
          </rPr>
          <t>2/26/15 guidance:</t>
        </r>
        <r>
          <rPr>
            <sz val="9"/>
            <color indexed="81"/>
            <rFont val="Tahoma"/>
            <family val="2"/>
          </rPr>
          <t xml:space="preserve"> $940mm</t>
        </r>
      </text>
    </comment>
    <comment ref="DC54" authorId="10">
      <text>
        <r>
          <rPr>
            <b/>
            <sz val="9"/>
            <color indexed="81"/>
            <rFont val="Tahoma"/>
            <family val="2"/>
          </rPr>
          <t>Baglione, Gregory  (Research):</t>
        </r>
        <r>
          <rPr>
            <sz val="9"/>
            <color indexed="81"/>
            <rFont val="Tahoma"/>
            <family val="2"/>
          </rPr>
          <t xml:space="preserve">
2/25/16 Guide 
Depreciation expense to be $940 million</t>
        </r>
      </text>
    </comment>
    <comment ref="DG54" authorId="11">
      <text>
        <r>
          <rPr>
            <b/>
            <sz val="9"/>
            <color indexed="81"/>
            <rFont val="Tahoma"/>
            <family val="2"/>
          </rPr>
          <t>Roberts, Cynthia (Research):</t>
        </r>
        <r>
          <rPr>
            <sz val="9"/>
            <color indexed="81"/>
            <rFont val="Tahoma"/>
            <family val="2"/>
          </rPr>
          <t xml:space="preserve">
2/23/17: guidance: $960M</t>
        </r>
      </text>
    </comment>
    <comment ref="DK54" authorId="8">
      <text>
        <r>
          <rPr>
            <b/>
            <sz val="9"/>
            <color indexed="81"/>
            <rFont val="Tahoma"/>
            <family val="2"/>
          </rPr>
          <t>De Courreges, Edouard (Research):</t>
        </r>
        <r>
          <rPr>
            <sz val="9"/>
            <color indexed="81"/>
            <rFont val="Tahoma"/>
            <family val="2"/>
          </rPr>
          <t xml:space="preserve">
2/28/18: Guide $960M depreciation</t>
        </r>
      </text>
    </comment>
    <comment ref="BW100" authorId="0">
      <text>
        <r>
          <rPr>
            <sz val="10"/>
            <rFont val="Arial"/>
            <family val="2"/>
          </rPr>
          <t>Guidance: 2/28/2008
$28M</t>
        </r>
        <r>
          <rPr>
            <sz val="10"/>
            <rFont val="Arial"/>
            <family val="2"/>
          </rPr>
          <t xml:space="preserve">
</t>
        </r>
      </text>
    </comment>
    <comment ref="CA100" authorId="1">
      <text>
        <r>
          <rPr>
            <sz val="10"/>
            <rFont val="Arial"/>
            <family val="2"/>
          </rPr>
          <t>Guidance: 2/26/2009
$33M</t>
        </r>
        <r>
          <rPr>
            <sz val="10"/>
            <rFont val="Arial"/>
            <family val="2"/>
          </rPr>
          <t xml:space="preserve">
</t>
        </r>
      </text>
    </comment>
    <comment ref="CE100" authorId="2">
      <text>
        <r>
          <rPr>
            <sz val="10"/>
            <rFont val="Arial"/>
            <family val="2"/>
          </rPr>
          <t xml:space="preserve">Guidance 2/25/10:
</t>
        </r>
        <r>
          <rPr>
            <sz val="10"/>
            <rFont val="Arial"/>
            <family val="2"/>
          </rPr>
          <t xml:space="preserve">$33M
</t>
        </r>
      </text>
    </comment>
    <comment ref="CI100" authorId="2">
      <text>
        <r>
          <rPr>
            <sz val="10"/>
            <rFont val="Arial"/>
            <family val="2"/>
          </rPr>
          <t xml:space="preserve">Guidance 2/24/11:
</t>
        </r>
        <r>
          <rPr>
            <sz val="10"/>
            <rFont val="Arial"/>
            <family val="2"/>
          </rPr>
          <t xml:space="preserve">Net interest $30M
</t>
        </r>
      </text>
    </comment>
    <comment ref="CM100" authorId="5">
      <text>
        <r>
          <rPr>
            <sz val="10"/>
            <rFont val="Arial"/>
            <family val="2"/>
          </rPr>
          <t xml:space="preserve">Guidance: 2/23/2012
</t>
        </r>
        <r>
          <rPr>
            <sz val="10"/>
            <rFont val="Arial"/>
            <family val="2"/>
          </rPr>
          <t>$81M</t>
        </r>
      </text>
    </comment>
    <comment ref="CQ100" authorId="5">
      <text>
        <r>
          <rPr>
            <b/>
            <sz val="8"/>
            <color indexed="81"/>
            <rFont val="Tahoma"/>
            <family val="2"/>
          </rPr>
          <t xml:space="preserve">2/28/2013 guidance: </t>
        </r>
        <r>
          <rPr>
            <sz val="8"/>
            <color indexed="81"/>
            <rFont val="Tahoma"/>
            <family val="2"/>
          </rPr>
          <t>$84M</t>
        </r>
      </text>
    </comment>
    <comment ref="DC100" authorId="10">
      <text>
        <r>
          <rPr>
            <sz val="9"/>
            <color indexed="81"/>
            <rFont val="Tahoma"/>
            <family val="2"/>
          </rPr>
          <t xml:space="preserve">2/25/16 Guide 
Interest expense to be $310 million
</t>
        </r>
        <r>
          <rPr>
            <b/>
            <sz val="9"/>
            <color indexed="81"/>
            <rFont val="Tahoma"/>
            <family val="2"/>
          </rPr>
          <t xml:space="preserve">
Baglione, Gregory  (Research):</t>
        </r>
        <r>
          <rPr>
            <sz val="9"/>
            <color indexed="81"/>
            <rFont val="Tahoma"/>
            <family val="2"/>
          </rPr>
          <t xml:space="preserve">
Guidance from $80M/ quarter interest expense.
</t>
        </r>
      </text>
    </comment>
    <comment ref="DG100" authorId="7">
      <text>
        <r>
          <rPr>
            <b/>
            <sz val="9"/>
            <color indexed="81"/>
            <rFont val="Tahoma"/>
            <family val="2"/>
          </rPr>
          <t>Cassel, Lauren (Research):</t>
        </r>
        <r>
          <rPr>
            <sz val="9"/>
            <color indexed="81"/>
            <rFont val="Tahoma"/>
            <family val="2"/>
          </rPr>
          <t xml:space="preserve">
5/11/17: Interest expense decreased $3 million for the quarter. Most of the decrease was due to lower interest on capitalized leases as the portfolio matures.</t>
        </r>
      </text>
    </comment>
    <comment ref="BG101" authorId="18">
      <text>
        <r>
          <rPr>
            <sz val="10"/>
            <rFont val="Arial"/>
            <family val="2"/>
          </rPr>
          <t>Denise Frazer:</t>
        </r>
        <r>
          <rPr>
            <sz val="10"/>
            <rFont val="Arial"/>
            <family val="2"/>
          </rPr>
          <t xml:space="preserve">
Includes $6M deferred financing charge from redeemed convertible bond issue</t>
        </r>
      </text>
    </comment>
    <comment ref="BO101" authorId="0">
      <text>
        <r>
          <rPr>
            <sz val="10"/>
            <rFont val="Arial"/>
            <family val="2"/>
          </rPr>
          <t>reflects lower interest expense from not having to fund growth in receivables (of $250-300M/yr) as well as interest income on cash proceeds from sale of credit (total proceeds equal approx. $1.5Bn)</t>
        </r>
        <r>
          <rPr>
            <sz val="10"/>
            <rFont val="Arial"/>
            <family val="2"/>
          </rPr>
          <t xml:space="preserve">
</t>
        </r>
      </text>
    </comment>
    <comment ref="BW101" authorId="3">
      <text>
        <r>
          <rPr>
            <sz val="10"/>
            <rFont val="Arial"/>
            <family val="2"/>
          </rPr>
          <t>5/15/2008
$28M</t>
        </r>
        <r>
          <rPr>
            <sz val="10"/>
            <rFont val="Arial"/>
            <family val="2"/>
          </rPr>
          <t xml:space="preserve">
</t>
        </r>
      </text>
    </comment>
    <comment ref="CA101" authorId="4">
      <text>
        <r>
          <rPr>
            <sz val="10"/>
            <rFont val="Arial"/>
            <family val="2"/>
          </rPr>
          <t xml:space="preserve">Guidance: 5/14/09
</t>
        </r>
        <r>
          <rPr>
            <sz val="10"/>
            <rFont val="Arial"/>
            <family val="2"/>
          </rPr>
          <t>$30M</t>
        </r>
      </text>
    </comment>
    <comment ref="CE101" authorId="2">
      <text>
        <r>
          <rPr>
            <sz val="10"/>
            <rFont val="Arial"/>
            <family val="2"/>
          </rPr>
          <t xml:space="preserve">Note: 9/15/2011
</t>
        </r>
        <r>
          <rPr>
            <sz val="10"/>
            <rFont val="Arial"/>
            <family val="2"/>
          </rPr>
          <t>Restated due to changes in lease accounting.</t>
        </r>
        <r>
          <rPr>
            <sz val="10"/>
            <rFont val="Arial"/>
            <family val="2"/>
          </rPr>
          <t xml:space="preserve">
Guidance 5/13/10:
</t>
        </r>
        <r>
          <rPr>
            <sz val="10"/>
            <rFont val="Arial"/>
            <family val="2"/>
          </rPr>
          <t xml:space="preserve">$32M
</t>
        </r>
      </text>
    </comment>
    <comment ref="CI101" authorId="2">
      <text>
        <r>
          <rPr>
            <sz val="10"/>
            <rFont val="Arial"/>
            <family val="2"/>
          </rPr>
          <t xml:space="preserve">Guidance 5/12/11:
</t>
        </r>
        <r>
          <rPr>
            <sz val="10"/>
            <rFont val="Arial"/>
            <family val="2"/>
          </rPr>
          <t>Net interest $28M</t>
        </r>
        <r>
          <rPr>
            <sz val="10"/>
            <rFont val="Arial"/>
            <family val="2"/>
          </rPr>
          <t xml:space="preserve">
Guidance 2/24/11:
</t>
        </r>
        <r>
          <rPr>
            <sz val="10"/>
            <rFont val="Arial"/>
            <family val="2"/>
          </rPr>
          <t xml:space="preserve">Net interest $28M
</t>
        </r>
      </text>
    </comment>
    <comment ref="CM101" authorId="5">
      <text>
        <r>
          <rPr>
            <sz val="10"/>
            <rFont val="Arial"/>
            <family val="2"/>
          </rPr>
          <t xml:space="preserve">5/10/2012 Guidance 
</t>
        </r>
        <r>
          <rPr>
            <sz val="10"/>
            <rFont val="Arial"/>
            <family val="2"/>
          </rPr>
          <t>$80M</t>
        </r>
      </text>
    </comment>
    <comment ref="CQ101" authorId="5">
      <text>
        <r>
          <rPr>
            <b/>
            <sz val="8"/>
            <color indexed="81"/>
            <rFont val="Tahoma"/>
            <family val="2"/>
          </rPr>
          <t>5/16/2013 guidance: $</t>
        </r>
        <r>
          <rPr>
            <sz val="8"/>
            <color indexed="81"/>
            <rFont val="Tahoma"/>
            <family val="2"/>
          </rPr>
          <t>83M</t>
        </r>
      </text>
    </comment>
    <comment ref="CY101" authorId="10">
      <text>
        <r>
          <rPr>
            <b/>
            <sz val="9"/>
            <color indexed="81"/>
            <rFont val="Tahoma"/>
            <family val="2"/>
          </rPr>
          <t>Baglione, Gregory  (Research):</t>
        </r>
        <r>
          <rPr>
            <sz val="9"/>
            <color indexed="81"/>
            <rFont val="Tahoma"/>
            <family val="2"/>
          </rPr>
          <t xml:space="preserve">
Excludes $131mn impact from loss on extinguishment of debt. </t>
        </r>
      </text>
    </comment>
    <comment ref="DC101" authorId="10">
      <text>
        <r>
          <rPr>
            <sz val="9"/>
            <color indexed="81"/>
            <rFont val="Tahoma"/>
            <family val="2"/>
          </rPr>
          <t xml:space="preserve">2/25/16 Guide 
Interest expense to be $310 million
</t>
        </r>
        <r>
          <rPr>
            <b/>
            <sz val="9"/>
            <color indexed="81"/>
            <rFont val="Tahoma"/>
            <family val="2"/>
          </rPr>
          <t>Baglione, Gregory  (Research):</t>
        </r>
        <r>
          <rPr>
            <sz val="9"/>
            <color indexed="81"/>
            <rFont val="Tahoma"/>
            <family val="2"/>
          </rPr>
          <t xml:space="preserve">
Guidance from $80M/ quarter interest expense.
</t>
        </r>
      </text>
    </comment>
    <comment ref="BK102" authorId="17">
      <text>
        <r>
          <rPr>
            <sz val="10"/>
            <rFont val="Arial"/>
            <family val="2"/>
          </rPr>
          <t>gfowlkes:</t>
        </r>
        <r>
          <rPr>
            <sz val="10"/>
            <rFont val="Arial"/>
            <family val="2"/>
          </rPr>
          <t xml:space="preserve">
company guidance</t>
        </r>
      </text>
    </comment>
    <comment ref="BO102" authorId="0">
      <text>
        <r>
          <rPr>
            <sz val="10"/>
            <rFont val="Arial"/>
            <family val="2"/>
          </rPr>
          <t>reflects lower interest expense from not having to fund growth in receivables (of $250-300M/yr) as well as interest income on cash proceeds from sale of credit (total proceeds equal approx. $1.5Bn)</t>
        </r>
        <r>
          <rPr>
            <sz val="10"/>
            <rFont val="Arial"/>
            <family val="2"/>
          </rPr>
          <t xml:space="preserve">
</t>
        </r>
      </text>
    </comment>
    <comment ref="BW102" authorId="3">
      <text>
        <r>
          <rPr>
            <sz val="10"/>
            <rFont val="Arial"/>
            <family val="2"/>
          </rPr>
          <t>8/14/2008
$32M</t>
        </r>
        <r>
          <rPr>
            <sz val="10"/>
            <rFont val="Arial"/>
            <family val="2"/>
          </rPr>
          <t xml:space="preserve">
</t>
        </r>
      </text>
    </comment>
    <comment ref="CA102" authorId="4">
      <text>
        <r>
          <rPr>
            <sz val="10"/>
            <rFont val="Arial"/>
            <family val="2"/>
          </rPr>
          <t xml:space="preserve">Guidance: 8/13/09
</t>
        </r>
        <r>
          <rPr>
            <sz val="10"/>
            <rFont val="Arial"/>
            <family val="2"/>
          </rPr>
          <t>$32M</t>
        </r>
      </text>
    </comment>
    <comment ref="CE102" authorId="2">
      <text>
        <r>
          <rPr>
            <sz val="10"/>
            <rFont val="Arial"/>
            <family val="2"/>
          </rPr>
          <t xml:space="preserve">Guidance 11/4/10:
</t>
        </r>
        <r>
          <rPr>
            <sz val="10"/>
            <rFont val="Arial"/>
            <family val="2"/>
          </rPr>
          <t xml:space="preserve">1) Company announces 5 cent hit to EPS re acctin error on leases
2) Will result in higher depr and interest expense in quarter
3) Interest overstated vs. $30M guidance to reflect accting error
</t>
        </r>
        <r>
          <rPr>
            <sz val="10"/>
            <rFont val="Arial"/>
            <family val="2"/>
          </rPr>
          <t xml:space="preserve">
Guidance 8/12/10:
</t>
        </r>
        <r>
          <rPr>
            <sz val="10"/>
            <rFont val="Arial"/>
            <family val="2"/>
          </rPr>
          <t xml:space="preserve">$30M
</t>
        </r>
      </text>
    </comment>
    <comment ref="CI102" authorId="2">
      <text>
        <r>
          <rPr>
            <sz val="10"/>
            <rFont val="Arial"/>
            <family val="2"/>
          </rPr>
          <t xml:space="preserve">12/2/11 Commentary (10Q)
</t>
        </r>
        <r>
          <rPr>
            <sz val="10"/>
            <rFont val="Arial"/>
            <family val="2"/>
          </rPr>
          <t>Decrease primarily related to $300M of debt repaid March 2011</t>
        </r>
        <r>
          <rPr>
            <sz val="10"/>
            <rFont val="Arial"/>
            <family val="2"/>
          </rPr>
          <t xml:space="preserve">
October 10/6/11 Guidance:
</t>
        </r>
        <r>
          <rPr>
            <sz val="10"/>
            <rFont val="Arial"/>
            <family val="2"/>
          </rPr>
          <t xml:space="preserve">Lease accounting impact: SG&amp;A down $65MM; D&amp;A up $30MM and Interst Exp. Up $50MM
</t>
        </r>
        <r>
          <rPr>
            <sz val="10"/>
            <rFont val="Arial"/>
            <family val="2"/>
          </rPr>
          <t xml:space="preserve">
Note: 9/15/2011
See "Restatements" sheet for detail.
Guidance 2/24/11:
</t>
        </r>
        <r>
          <rPr>
            <sz val="10"/>
            <rFont val="Arial"/>
            <family val="2"/>
          </rPr>
          <t xml:space="preserve">Net interest $30M
</t>
        </r>
      </text>
    </comment>
    <comment ref="CM102" authorId="5">
      <text>
        <r>
          <rPr>
            <sz val="10"/>
            <rFont val="Arial"/>
            <family val="2"/>
          </rPr>
          <t xml:space="preserve">8/9/2012 Guidance
</t>
        </r>
        <r>
          <rPr>
            <sz val="10"/>
            <rFont val="Arial"/>
            <family val="2"/>
          </rPr>
          <t>$82M (excludes any potential debt deal)</t>
        </r>
      </text>
    </comment>
    <comment ref="CQ102" authorId="12">
      <text>
        <r>
          <rPr>
            <b/>
            <sz val="8"/>
            <color indexed="81"/>
            <rFont val="Tahoma"/>
            <family val="2"/>
          </rPr>
          <t xml:space="preserve">8/15/13: </t>
        </r>
        <r>
          <rPr>
            <sz val="8"/>
            <color indexed="81"/>
            <rFont val="Tahoma"/>
            <family val="2"/>
          </rPr>
          <t xml:space="preserve">guidance $85M
</t>
        </r>
      </text>
    </comment>
    <comment ref="CY102" authorId="9">
      <text>
        <r>
          <rPr>
            <b/>
            <sz val="9"/>
            <color indexed="81"/>
            <rFont val="Tahoma"/>
            <family val="2"/>
          </rPr>
          <t>Mains, Spencer (Research):</t>
        </r>
        <r>
          <rPr>
            <sz val="9"/>
            <color indexed="81"/>
            <rFont val="Tahoma"/>
            <family val="2"/>
          </rPr>
          <t xml:space="preserve">
11/12/15: excludes $38M debt extinguishment loss
Company expects an additional $39M loss on debt extinguishment to be recognized when the remaining 2017 notes are settled.</t>
        </r>
      </text>
    </comment>
    <comment ref="DC102" authorId="10">
      <text>
        <r>
          <rPr>
            <sz val="9"/>
            <color indexed="81"/>
            <rFont val="Tahoma"/>
            <family val="2"/>
          </rPr>
          <t>11/10/16
Interest expense decreased $5 million to $76 million for the quarter. The decrease is primarily to lower interest on cap leases as the portfolio matures
as well as the store closures.</t>
        </r>
      </text>
    </comment>
    <comment ref="DG102" authorId="11">
      <text>
        <r>
          <rPr>
            <b/>
            <sz val="9"/>
            <color indexed="81"/>
            <rFont val="Tahoma"/>
            <family val="2"/>
          </rPr>
          <t>Roberts, Cynthia (Research):</t>
        </r>
        <r>
          <rPr>
            <sz val="9"/>
            <color indexed="81"/>
            <rFont val="Tahoma"/>
            <family val="2"/>
          </rPr>
          <t xml:space="preserve">
11/9/17: lower interest on capitalized leases</t>
        </r>
      </text>
    </comment>
    <comment ref="BK103" authorId="0">
      <text>
        <r>
          <rPr>
            <sz val="10"/>
            <rFont val="Arial"/>
            <family val="2"/>
          </rPr>
          <t>mgmt guidance of 19M</t>
        </r>
        <r>
          <rPr>
            <sz val="10"/>
            <rFont val="Arial"/>
            <family val="2"/>
          </rPr>
          <t xml:space="preserve">
</t>
        </r>
      </text>
    </comment>
    <comment ref="BO103" authorId="0">
      <text>
        <r>
          <rPr>
            <sz val="10"/>
            <rFont val="Arial"/>
            <family val="2"/>
          </rPr>
          <t>reflects lower interest expense from not having to fund growth in receivables (of $250-300M/yr) as well as interest income on cash proceeds from sale of credit (total proceeds equal approx. $1.5Bn)</t>
        </r>
        <r>
          <rPr>
            <sz val="10"/>
            <rFont val="Arial"/>
            <family val="2"/>
          </rPr>
          <t xml:space="preserve">
</t>
        </r>
      </text>
    </comment>
    <comment ref="BS103" authorId="19">
      <text>
        <r>
          <rPr>
            <sz val="10"/>
            <rFont val="Arial"/>
            <family val="2"/>
          </rPr>
          <t xml:space="preserve">Guidance: 11/15/07
</t>
        </r>
        <r>
          <rPr>
            <sz val="10"/>
            <rFont val="Arial"/>
            <family val="2"/>
          </rPr>
          <t xml:space="preserve">$28M
</t>
        </r>
      </text>
    </comment>
    <comment ref="BW103" authorId="3">
      <text>
        <r>
          <rPr>
            <sz val="10"/>
            <rFont val="Arial"/>
            <family val="2"/>
          </rPr>
          <t xml:space="preserve">11/13/2008
</t>
        </r>
        <r>
          <rPr>
            <sz val="10"/>
            <rFont val="Arial"/>
            <family val="2"/>
          </rPr>
          <t>$30M</t>
        </r>
        <r>
          <rPr>
            <sz val="10"/>
            <rFont val="Arial"/>
            <family val="2"/>
          </rPr>
          <t xml:space="preserve">
8/14/2008
</t>
        </r>
        <r>
          <rPr>
            <sz val="10"/>
            <rFont val="Arial"/>
            <family val="2"/>
          </rPr>
          <t xml:space="preserve">$40M
</t>
        </r>
      </text>
    </comment>
    <comment ref="CA103" authorId="4">
      <text>
        <r>
          <rPr>
            <sz val="10"/>
            <rFont val="Arial"/>
            <family val="2"/>
          </rPr>
          <t xml:space="preserve">Guidance: 11/12/09
</t>
        </r>
        <r>
          <rPr>
            <sz val="10"/>
            <rFont val="Arial"/>
            <family val="2"/>
          </rPr>
          <t>$33M</t>
        </r>
        <r>
          <rPr>
            <sz val="10"/>
            <rFont val="Arial"/>
            <family val="2"/>
          </rPr>
          <t xml:space="preserve">
Guidance: 8/13/09
</t>
        </r>
        <r>
          <rPr>
            <sz val="10"/>
            <rFont val="Arial"/>
            <family val="2"/>
          </rPr>
          <t>$31M</t>
        </r>
      </text>
    </comment>
    <comment ref="CE103" authorId="2">
      <text>
        <r>
          <rPr>
            <sz val="10"/>
            <rFont val="Arial"/>
            <family val="2"/>
          </rPr>
          <t xml:space="preserve">Note: 11/10/2011
$71M provided on 3Q11 earnings call
Guidance 11/11/10:
</t>
        </r>
        <r>
          <rPr>
            <sz val="10"/>
            <rFont val="Arial"/>
            <family val="2"/>
          </rPr>
          <t xml:space="preserve">$31M
</t>
        </r>
        <r>
          <rPr>
            <sz val="10"/>
            <rFont val="Arial"/>
            <family val="2"/>
          </rPr>
          <t xml:space="preserve">
Guidance 8/12/10:
</t>
        </r>
        <r>
          <rPr>
            <sz val="10"/>
            <rFont val="Arial"/>
            <family val="2"/>
          </rPr>
          <t xml:space="preserve">$30M
</t>
        </r>
      </text>
    </comment>
    <comment ref="CI103" authorId="2">
      <text>
        <r>
          <rPr>
            <sz val="10"/>
            <rFont val="Arial"/>
            <family val="2"/>
          </rPr>
          <t xml:space="preserve">Guidance 2/2/12
- </t>
        </r>
        <r>
          <rPr>
            <sz val="10"/>
            <rFont val="Arial"/>
            <family val="2"/>
          </rPr>
          <t>interest expense favorable in 4Q</t>
        </r>
        <r>
          <rPr>
            <sz val="10"/>
            <rFont val="Arial"/>
            <family val="2"/>
          </rPr>
          <t xml:space="preserve">
Guidance: 11/10/2011</t>
        </r>
        <r>
          <rPr>
            <sz val="10"/>
            <rFont val="Arial"/>
            <family val="2"/>
          </rPr>
          <t xml:space="preserve">
1) +$82MM
</t>
        </r>
        <r>
          <rPr>
            <sz val="10"/>
            <rFont val="Arial"/>
            <family val="2"/>
          </rPr>
          <t xml:space="preserve">
October 10/6/11 Guidance:
Lease accounting impact: SG&amp;A down $65MM; D&amp;A up $30MM and Interest Exp. Up $50MM
Note: 9/15/2011
See "Restatements" sheet for detail.
Guidance 2/24/11:
</t>
        </r>
        <r>
          <rPr>
            <sz val="10"/>
            <rFont val="Arial"/>
            <family val="2"/>
          </rPr>
          <t xml:space="preserve">Net interest $30M
</t>
        </r>
      </text>
    </comment>
    <comment ref="CM103" authorId="5">
      <text>
        <r>
          <rPr>
            <b/>
            <sz val="8"/>
            <color indexed="81"/>
            <rFont val="Tahoma"/>
            <family val="2"/>
          </rPr>
          <t xml:space="preserve">2/28/2013 Guidance: </t>
        </r>
        <r>
          <rPr>
            <sz val="8"/>
            <color indexed="81"/>
            <rFont val="Tahoma"/>
            <family val="2"/>
          </rPr>
          <t>$2M impact from extra week</t>
        </r>
        <r>
          <rPr>
            <b/>
            <sz val="8"/>
            <color indexed="81"/>
            <rFont val="Tahoma"/>
            <family val="2"/>
          </rPr>
          <t xml:space="preserve">
11/8/2012:</t>
        </r>
        <r>
          <rPr>
            <sz val="8"/>
            <color indexed="81"/>
            <rFont val="Tahoma"/>
            <family val="2"/>
          </rPr>
          <t xml:space="preserve"> Guidance $86M</t>
        </r>
      </text>
    </comment>
    <comment ref="CQ103" authorId="5">
      <text>
        <r>
          <rPr>
            <b/>
            <sz val="8"/>
            <color indexed="81"/>
            <rFont val="Tahoma"/>
            <family val="2"/>
          </rPr>
          <t xml:space="preserve">2/28/2013 Guidance: </t>
        </r>
        <r>
          <rPr>
            <sz val="8"/>
            <color indexed="81"/>
            <rFont val="Tahoma"/>
            <family val="2"/>
          </rPr>
          <t>$2M impact from extra week LY</t>
        </r>
        <r>
          <rPr>
            <b/>
            <sz val="8"/>
            <color indexed="81"/>
            <rFont val="Tahoma"/>
            <family val="2"/>
          </rPr>
          <t xml:space="preserve">
11/14/13 guidance: 85M</t>
        </r>
      </text>
    </comment>
    <comment ref="DC103" authorId="10">
      <text>
        <r>
          <rPr>
            <sz val="9"/>
            <color indexed="81"/>
            <rFont val="Tahoma"/>
            <family val="2"/>
          </rPr>
          <t xml:space="preserve">2/23/17: lower interest on capital leases as th portfolio matures and store closures contributed to decreases in the quarter and for the year
2/25/16 Guide 
Interest expense to be $310 million
</t>
        </r>
      </text>
    </comment>
    <comment ref="DG103" authorId="8">
      <text>
        <r>
          <rPr>
            <b/>
            <sz val="9"/>
            <color indexed="81"/>
            <rFont val="Tahoma"/>
            <family val="2"/>
          </rPr>
          <t>De Courreges, Edouard (Research):</t>
        </r>
        <r>
          <rPr>
            <sz val="9"/>
            <color indexed="81"/>
            <rFont val="Tahoma"/>
            <family val="2"/>
          </rPr>
          <t xml:space="preserve">
3/1/18: 53rd week  interest was approximately $3 million
</t>
        </r>
      </text>
    </comment>
    <comment ref="BG104" authorId="18">
      <text>
        <r>
          <rPr>
            <sz val="10"/>
            <rFont val="Arial"/>
            <family val="2"/>
          </rPr>
          <t>Denise Frazer:</t>
        </r>
        <r>
          <rPr>
            <sz val="10"/>
            <rFont val="Arial"/>
            <family val="2"/>
          </rPr>
          <t xml:space="preserve">
Higher interest from $300M sr. notes issued Nov-02
</t>
        </r>
      </text>
    </comment>
    <comment ref="BO104" authorId="0">
      <text>
        <r>
          <rPr>
            <sz val="10"/>
            <rFont val="Arial"/>
            <family val="2"/>
          </rPr>
          <t>KSS will save approx. $10M in interest expense annually due to sale of credit ops</t>
        </r>
        <r>
          <rPr>
            <sz val="10"/>
            <rFont val="Arial"/>
            <family val="2"/>
          </rPr>
          <t xml:space="preserve">
</t>
        </r>
      </text>
    </comment>
    <comment ref="BS104" authorId="0">
      <text>
        <r>
          <rPr>
            <sz val="10"/>
            <rFont val="Arial"/>
            <family val="2"/>
          </rPr>
          <t>Guidance: 3/1/07
$40-$45M</t>
        </r>
      </text>
    </comment>
    <comment ref="BW104" authorId="0">
      <text>
        <r>
          <rPr>
            <sz val="10"/>
            <rFont val="Arial"/>
            <family val="2"/>
          </rPr>
          <t>5/15/2008
$100M
Guidance: 2/28/2008
$100M</t>
        </r>
        <r>
          <rPr>
            <sz val="10"/>
            <rFont val="Arial"/>
            <family val="2"/>
          </rPr>
          <t xml:space="preserve">
</t>
        </r>
      </text>
    </comment>
    <comment ref="CA104" authorId="4">
      <text>
        <r>
          <rPr>
            <sz val="10"/>
            <rFont val="Arial"/>
            <family val="2"/>
          </rPr>
          <t xml:space="preserve">Guidance: 2/26/09
</t>
        </r>
        <r>
          <rPr>
            <sz val="10"/>
            <rFont val="Arial"/>
            <family val="2"/>
          </rPr>
          <t>$125M</t>
        </r>
      </text>
    </comment>
    <comment ref="CI104" authorId="2">
      <text>
        <r>
          <rPr>
            <sz val="10"/>
            <rFont val="Arial"/>
            <family val="2"/>
          </rPr>
          <t xml:space="preserve">2011 10K
</t>
        </r>
        <r>
          <rPr>
            <sz val="10"/>
            <rFont val="Arial"/>
            <family val="2"/>
          </rPr>
          <t>Avg yield on investments was 0.3% in 2011</t>
        </r>
        <r>
          <rPr>
            <sz val="10"/>
            <rFont val="Arial"/>
            <family val="2"/>
          </rPr>
          <t xml:space="preserve">
Guidance 2/24/11:
</t>
        </r>
        <r>
          <rPr>
            <sz val="10"/>
            <rFont val="Arial"/>
            <family val="2"/>
          </rPr>
          <t xml:space="preserve">Net interest $115M in 2011
</t>
        </r>
      </text>
    </comment>
    <comment ref="CM104" authorId="5">
      <text>
        <r>
          <rPr>
            <sz val="10"/>
            <rFont val="Arial"/>
            <family val="2"/>
          </rPr>
          <t xml:space="preserve">8/9/2012 Guidance
</t>
        </r>
        <r>
          <rPr>
            <sz val="10"/>
            <rFont val="Arial"/>
            <family val="2"/>
          </rPr>
          <t>Confirm $323M (excludes any possible debt deal in 3Q)</t>
        </r>
        <r>
          <rPr>
            <sz val="10"/>
            <rFont val="Arial"/>
            <family val="2"/>
          </rPr>
          <t xml:space="preserve">
Guidance: 2/23/2012
</t>
        </r>
        <r>
          <rPr>
            <sz val="10"/>
            <rFont val="Arial"/>
            <family val="2"/>
          </rPr>
          <t>~$323M</t>
        </r>
      </text>
    </comment>
    <comment ref="CQ104" authorId="5">
      <text>
        <r>
          <rPr>
            <b/>
            <sz val="8"/>
            <color indexed="81"/>
            <rFont val="Tahoma"/>
            <family val="2"/>
          </rPr>
          <t xml:space="preserve">2/28/2013 guidance: </t>
        </r>
        <r>
          <rPr>
            <sz val="8"/>
            <color indexed="81"/>
            <rFont val="Tahoma"/>
            <family val="2"/>
          </rPr>
          <t>$330M</t>
        </r>
        <r>
          <rPr>
            <sz val="8"/>
            <color indexed="81"/>
            <rFont val="Tahoma"/>
            <family val="2"/>
          </rPr>
          <t xml:space="preserve">
</t>
        </r>
      </text>
    </comment>
    <comment ref="CU104" authorId="13">
      <text>
        <r>
          <rPr>
            <b/>
            <sz val="8"/>
            <color indexed="81"/>
            <rFont val="Tahoma"/>
            <family val="2"/>
          </rPr>
          <t xml:space="preserve">2/26/14 Guidance: </t>
        </r>
        <r>
          <rPr>
            <sz val="8"/>
            <color indexed="81"/>
            <rFont val="Tahoma"/>
            <family val="2"/>
          </rPr>
          <t xml:space="preserve">$342M
</t>
        </r>
      </text>
    </comment>
    <comment ref="CY104" authorId="9">
      <text>
        <r>
          <rPr>
            <b/>
            <sz val="9"/>
            <color indexed="81"/>
            <rFont val="Tahoma"/>
            <family val="2"/>
          </rPr>
          <t>Mains, Spencer (Research):</t>
        </r>
        <r>
          <rPr>
            <sz val="9"/>
            <color indexed="81"/>
            <rFont val="Tahoma"/>
            <family val="2"/>
          </rPr>
          <t xml:space="preserve">
</t>
        </r>
        <r>
          <rPr>
            <b/>
            <sz val="9"/>
            <color indexed="81"/>
            <rFont val="Tahoma"/>
            <family val="2"/>
          </rPr>
          <t>8/13/15:</t>
        </r>
        <r>
          <rPr>
            <sz val="9"/>
            <color indexed="81"/>
            <rFont val="Tahoma"/>
            <family val="2"/>
          </rPr>
          <t xml:space="preserve"> Tender and redemption will reduce annual interest expense by ~$17M annually.  
Weighted avg cost of debt is 4.88%.
</t>
        </r>
        <r>
          <rPr>
            <b/>
            <sz val="9"/>
            <color indexed="81"/>
            <rFont val="Tahoma"/>
            <family val="2"/>
          </rPr>
          <t xml:space="preserve">2/26/15 guidance: </t>
        </r>
        <r>
          <rPr>
            <sz val="9"/>
            <color indexed="81"/>
            <rFont val="Tahoma"/>
            <family val="2"/>
          </rPr>
          <t>$335mm</t>
        </r>
      </text>
    </comment>
    <comment ref="DC104" authorId="10">
      <text>
        <r>
          <rPr>
            <b/>
            <sz val="9"/>
            <color indexed="81"/>
            <rFont val="Tahoma"/>
            <family val="2"/>
          </rPr>
          <t>Baglione, Gregory  (Research):</t>
        </r>
        <r>
          <rPr>
            <sz val="9"/>
            <color indexed="81"/>
            <rFont val="Tahoma"/>
            <family val="2"/>
          </rPr>
          <t xml:space="preserve">
2/23/17: lower interest on capital leases as th portfolio matures and store closures contributed to decreases in the quarter and for the year
2/25/16 guide
Interest expense to be $310 million</t>
        </r>
      </text>
    </comment>
    <comment ref="DG104" authorId="11">
      <text>
        <r>
          <rPr>
            <b/>
            <sz val="9"/>
            <color indexed="81"/>
            <rFont val="Tahoma"/>
            <family val="2"/>
          </rPr>
          <t>Roberts, Cynthia (Research):</t>
        </r>
        <r>
          <rPr>
            <sz val="9"/>
            <color indexed="81"/>
            <rFont val="Tahoma"/>
            <family val="2"/>
          </rPr>
          <t xml:space="preserve">
2/23/17: Guidance: $300M</t>
        </r>
      </text>
    </comment>
    <comment ref="DK104" authorId="8">
      <text>
        <r>
          <rPr>
            <b/>
            <sz val="9"/>
            <color indexed="81"/>
            <rFont val="Tahoma"/>
            <family val="2"/>
          </rPr>
          <t>De Courreges, Edouard (Research):</t>
        </r>
        <r>
          <rPr>
            <sz val="9"/>
            <color indexed="81"/>
            <rFont val="Tahoma"/>
            <family val="2"/>
          </rPr>
          <t xml:space="preserve">
2/28/18: $280M Guide</t>
        </r>
      </text>
    </comment>
    <comment ref="CI130" authorId="2">
      <text>
        <r>
          <rPr>
            <sz val="10"/>
            <rFont val="Arial"/>
            <family val="2"/>
          </rPr>
          <t xml:space="preserve">Guidance 2/24/11:
</t>
        </r>
        <r>
          <rPr>
            <sz val="10"/>
            <rFont val="Arial"/>
            <family val="2"/>
          </rPr>
          <t xml:space="preserve">38% 
</t>
        </r>
      </text>
    </comment>
    <comment ref="CM130" authorId="5">
      <text>
        <r>
          <rPr>
            <sz val="10"/>
            <rFont val="Arial"/>
            <family val="2"/>
          </rPr>
          <t xml:space="preserve">Guidance: 2/23/2012
</t>
        </r>
        <r>
          <rPr>
            <sz val="10"/>
            <rFont val="Arial"/>
            <family val="2"/>
          </rPr>
          <t>38%</t>
        </r>
      </text>
    </comment>
    <comment ref="CR130" authorId="5">
      <text>
        <r>
          <rPr>
            <b/>
            <sz val="8"/>
            <color indexed="81"/>
            <rFont val="Tahoma"/>
            <family val="2"/>
          </rPr>
          <t xml:space="preserve">2/28/2013 guidance: </t>
        </r>
        <r>
          <rPr>
            <sz val="8"/>
            <color indexed="81"/>
            <rFont val="Tahoma"/>
            <family val="2"/>
          </rPr>
          <t>38%</t>
        </r>
      </text>
    </comment>
    <comment ref="DC130" authorId="10">
      <text>
        <r>
          <rPr>
            <b/>
            <sz val="9"/>
            <color indexed="81"/>
            <rFont val="Tahoma"/>
            <family val="2"/>
          </rPr>
          <t>Baglione, Gregory  (Research):</t>
        </r>
        <r>
          <rPr>
            <sz val="9"/>
            <color indexed="81"/>
            <rFont val="Tahoma"/>
            <family val="2"/>
          </rPr>
          <t xml:space="preserve">
37% tax rate on impairment adjustment</t>
        </r>
      </text>
    </comment>
    <comment ref="DH130" authorId="16">
      <text>
        <r>
          <rPr>
            <b/>
            <sz val="9"/>
            <color indexed="81"/>
            <rFont val="Tahoma"/>
            <family val="2"/>
          </rPr>
          <t>5/11/17: During the quarter, we adapted the new share-based compensation rules as required. These rules require us to recognize income tax benefits and tax deficiencies related to share-based awards as income tax expense, rather than as equity in our balance sheet. Given our stock price, the new rules resulted in a higher tax expense. This increase was partially offset by an increase in favorable tax settlement this quarter.
2/22/17: 39.5% guidance 
Baglione, Gregory (Research):</t>
        </r>
        <r>
          <rPr>
            <sz val="9"/>
            <color indexed="81"/>
            <rFont val="Tahoma"/>
            <family val="2"/>
          </rPr>
          <t xml:space="preserve">
Flat lining a 37% tax rate for now given q/q volatility </t>
        </r>
      </text>
    </comment>
    <comment ref="DL130" authorId="8">
      <text>
        <r>
          <rPr>
            <b/>
            <sz val="9"/>
            <color indexed="81"/>
            <rFont val="Tahoma"/>
            <family val="2"/>
          </rPr>
          <t>De Courreges, Edouard (Research):</t>
        </r>
        <r>
          <rPr>
            <sz val="9"/>
            <color indexed="81"/>
            <rFont val="Tahoma"/>
            <family val="2"/>
          </rPr>
          <t xml:space="preserve">
2/28/17: 24-25% guidance
Assume 14% reduction from tax reform (35-21); but +4% from loss of deductions</t>
        </r>
      </text>
    </comment>
    <comment ref="CE131" authorId="2">
      <text>
        <r>
          <rPr>
            <sz val="10"/>
            <rFont val="Arial"/>
            <family val="2"/>
          </rPr>
          <t xml:space="preserve">Note: 9/15/2011
</t>
        </r>
        <r>
          <rPr>
            <sz val="10"/>
            <rFont val="Arial"/>
            <family val="2"/>
          </rPr>
          <t>Restated due to changes in lease accounting.</t>
        </r>
        <r>
          <rPr>
            <sz val="10"/>
            <rFont val="Arial"/>
            <family val="2"/>
          </rPr>
          <t xml:space="preserve">
Guidance 5/13/2010:
</t>
        </r>
        <r>
          <rPr>
            <sz val="10"/>
            <rFont val="Arial"/>
            <family val="2"/>
          </rPr>
          <t xml:space="preserve">37.9% for 2Q and FY
</t>
        </r>
      </text>
    </comment>
    <comment ref="CI131" authorId="2">
      <text>
        <r>
          <rPr>
            <sz val="10"/>
            <rFont val="Arial"/>
            <family val="2"/>
          </rPr>
          <t xml:space="preserve">Guidance 5/12/11:
</t>
        </r>
        <r>
          <rPr>
            <sz val="10"/>
            <rFont val="Arial"/>
            <family val="2"/>
          </rPr>
          <t xml:space="preserve">38%
</t>
        </r>
      </text>
    </comment>
    <comment ref="CM131" authorId="5">
      <text>
        <r>
          <rPr>
            <sz val="10"/>
            <rFont val="Arial"/>
            <family val="2"/>
          </rPr>
          <t xml:space="preserve">8/9/2012 Comment
</t>
        </r>
        <r>
          <rPr>
            <sz val="10"/>
            <rFont val="Arial"/>
            <family val="2"/>
          </rPr>
          <t>Favorable tax settlements contributed 2c to EPS</t>
        </r>
      </text>
    </comment>
    <comment ref="CR131" authorId="5">
      <text>
        <r>
          <rPr>
            <b/>
            <sz val="8"/>
            <color indexed="81"/>
            <rFont val="Tahoma"/>
            <family val="2"/>
          </rPr>
          <t xml:space="preserve">5/16/2013 guidance: </t>
        </r>
        <r>
          <rPr>
            <sz val="8"/>
            <color indexed="81"/>
            <rFont val="Tahoma"/>
            <family val="2"/>
          </rPr>
          <t>37.5%</t>
        </r>
      </text>
    </comment>
    <comment ref="CV131" authorId="14">
      <text>
        <r>
          <rPr>
            <b/>
            <sz val="9"/>
            <color indexed="81"/>
            <rFont val="Tahoma"/>
            <family val="2"/>
          </rPr>
          <t xml:space="preserve">8/14/14: </t>
        </r>
        <r>
          <rPr>
            <sz val="9"/>
            <color indexed="81"/>
            <rFont val="Tahoma"/>
            <family val="2"/>
          </rPr>
          <t xml:space="preserve">Our income tax rate was 36.6% for the quarter. This is lower than we expected as we had a favorable state audit tax settlement during the quarter.
</t>
        </r>
      </text>
    </comment>
    <comment ref="CY131" authorId="10">
      <text>
        <r>
          <rPr>
            <b/>
            <sz val="9"/>
            <color indexed="81"/>
            <rFont val="Tahoma"/>
            <family val="2"/>
          </rPr>
          <t>Baglione, Gregory  (Research):</t>
        </r>
        <r>
          <rPr>
            <sz val="9"/>
            <color indexed="81"/>
            <rFont val="Tahoma"/>
            <family val="2"/>
          </rPr>
          <t xml:space="preserve">
Tax adjusted for exclusion of extinguishment of debt.</t>
        </r>
      </text>
    </comment>
    <comment ref="CZ131" authorId="9">
      <text>
        <r>
          <rPr>
            <b/>
            <sz val="9"/>
            <color indexed="81"/>
            <rFont val="Tahoma"/>
            <family val="2"/>
          </rPr>
          <t>Mains, Spencer (Research):</t>
        </r>
        <r>
          <rPr>
            <sz val="9"/>
            <color indexed="81"/>
            <rFont val="Tahoma"/>
            <family val="2"/>
          </rPr>
          <t xml:space="preserve">
8/13/15: Up because LY's results included some favorable state audit tax settlements.</t>
        </r>
      </text>
    </comment>
    <comment ref="DC131" authorId="10">
      <text>
        <r>
          <rPr>
            <b/>
            <sz val="9"/>
            <color indexed="81"/>
            <rFont val="Tahoma"/>
            <family val="2"/>
          </rPr>
          <t>Baglione, Gregory  (Research):</t>
        </r>
        <r>
          <rPr>
            <sz val="9"/>
            <color indexed="81"/>
            <rFont val="Tahoma"/>
            <family val="2"/>
          </rPr>
          <t xml:space="preserve">
37% tax rate on impairment adjustment</t>
        </r>
      </text>
    </comment>
    <comment ref="DH131" authorId="7">
      <text>
        <r>
          <rPr>
            <b/>
            <sz val="9"/>
            <color indexed="81"/>
            <rFont val="Tahoma"/>
            <family val="2"/>
          </rPr>
          <t>Cassel, Lauren (Research):</t>
        </r>
        <r>
          <rPr>
            <sz val="9"/>
            <color indexed="81"/>
            <rFont val="Tahoma"/>
            <family val="2"/>
          </rPr>
          <t xml:space="preserve">
2/23/17: Per Jill 37.5%</t>
        </r>
      </text>
    </comment>
    <comment ref="BO132" authorId="0">
      <text>
        <r>
          <rPr>
            <sz val="10"/>
            <rFont val="Arial"/>
            <family val="2"/>
          </rPr>
          <t>37.6% (8/10/06)</t>
        </r>
        <r>
          <rPr>
            <sz val="10"/>
            <rFont val="Arial"/>
            <family val="2"/>
          </rPr>
          <t xml:space="preserve">
</t>
        </r>
      </text>
    </comment>
    <comment ref="CI132" authorId="2">
      <text>
        <r>
          <rPr>
            <sz val="10"/>
            <rFont val="Arial"/>
            <family val="2"/>
          </rPr>
          <t xml:space="preserve">11/10/11 Commentary:
</t>
        </r>
        <r>
          <rPr>
            <sz val="10"/>
            <rFont val="Arial"/>
            <family val="2"/>
          </rPr>
          <t xml:space="preserve">1) y/y Increase is partially due to lower trust and municipal income in 2011
2) also favorable resolved some state tax audits in 3Q10, which lowered the 2010 effective tax rate
</t>
        </r>
        <r>
          <rPr>
            <sz val="10"/>
            <rFont val="Arial"/>
            <family val="2"/>
          </rPr>
          <t xml:space="preserve">Guidance 8/11/11:
</t>
        </r>
        <r>
          <rPr>
            <sz val="10"/>
            <rFont val="Arial"/>
            <family val="2"/>
          </rPr>
          <t xml:space="preserve">38% </t>
        </r>
        <r>
          <rPr>
            <sz val="10"/>
            <rFont val="Arial"/>
            <family val="2"/>
          </rPr>
          <t xml:space="preserve">
Guidance 2/24/11:
</t>
        </r>
        <r>
          <rPr>
            <sz val="10"/>
            <rFont val="Arial"/>
            <family val="2"/>
          </rPr>
          <t xml:space="preserve">38% 
</t>
        </r>
      </text>
    </comment>
    <comment ref="CR132" authorId="12">
      <text>
        <r>
          <rPr>
            <b/>
            <sz val="8"/>
            <color indexed="81"/>
            <rFont val="Tahoma"/>
            <family val="2"/>
          </rPr>
          <t>8/15/13:</t>
        </r>
        <r>
          <rPr>
            <sz val="8"/>
            <color indexed="81"/>
            <rFont val="Tahoma"/>
            <family val="2"/>
          </rPr>
          <t xml:space="preserve"> guidance 37.5%</t>
        </r>
        <r>
          <rPr>
            <sz val="8"/>
            <color indexed="81"/>
            <rFont val="Tahoma"/>
            <family val="2"/>
          </rPr>
          <t xml:space="preserve">
</t>
        </r>
        <r>
          <rPr>
            <b/>
            <sz val="8"/>
            <color indexed="81"/>
            <rFont val="Tahoma"/>
            <family val="2"/>
          </rPr>
          <t>11/13/13:</t>
        </r>
        <r>
          <rPr>
            <sz val="8"/>
            <color indexed="81"/>
            <rFont val="Tahoma"/>
            <family val="2"/>
          </rPr>
          <t xml:space="preserve"> The increases are primarily due to technology investments and other non-store capital projects.</t>
        </r>
      </text>
    </comment>
    <comment ref="CV132" authorId="14">
      <text>
        <r>
          <rPr>
            <b/>
            <sz val="9"/>
            <color indexed="81"/>
            <rFont val="Tahoma"/>
            <family val="2"/>
          </rPr>
          <t xml:space="preserve">11/12/14: </t>
        </r>
        <r>
          <rPr>
            <sz val="9"/>
            <color indexed="81"/>
            <rFont val="Tahoma"/>
            <family val="2"/>
          </rPr>
          <t xml:space="preserve">This is a most 200 basis points better than last year as we had favorable state tax audit settlements during the quarter.
</t>
        </r>
      </text>
    </comment>
    <comment ref="DC132" authorId="10">
      <text>
        <r>
          <rPr>
            <b/>
            <sz val="9"/>
            <color indexed="81"/>
            <rFont val="Tahoma"/>
            <family val="2"/>
          </rPr>
          <t>Baglione, Gregory  (Research):</t>
        </r>
        <r>
          <rPr>
            <sz val="9"/>
            <color indexed="81"/>
            <rFont val="Tahoma"/>
            <family val="2"/>
          </rPr>
          <t xml:space="preserve">
37% tax rate on impairment adjustment
11/10/16
Our income tax rate was 35%, approximately 150 basis points lower than last year. Most of the decrease is due to changes in nontaxable trust income.</t>
        </r>
      </text>
    </comment>
    <comment ref="DH132" authorId="7">
      <text>
        <r>
          <rPr>
            <b/>
            <sz val="9"/>
            <color indexed="81"/>
            <rFont val="Tahoma"/>
            <family val="2"/>
          </rPr>
          <t>Cassel, Lauren (Research):</t>
        </r>
        <r>
          <rPr>
            <sz val="9"/>
            <color indexed="81"/>
            <rFont val="Tahoma"/>
            <family val="2"/>
          </rPr>
          <t xml:space="preserve">
2/23/17: Per Jill slightly above 37.5%</t>
        </r>
      </text>
    </comment>
    <comment ref="CA133" authorId="2">
      <text>
        <r>
          <rPr>
            <sz val="10"/>
            <rFont val="Arial"/>
            <family val="2"/>
          </rPr>
          <t xml:space="preserve">Guidance 11/12/09:
</t>
        </r>
        <r>
          <rPr>
            <sz val="10"/>
            <rFont val="Arial"/>
            <family val="2"/>
          </rPr>
          <t xml:space="preserve">37.7%
</t>
        </r>
      </text>
    </comment>
    <comment ref="CI133" authorId="5">
      <text>
        <r>
          <rPr>
            <sz val="10"/>
            <rFont val="Arial"/>
            <family val="2"/>
          </rPr>
          <t xml:space="preserve">11/10/11 Guidance:
</t>
        </r>
        <r>
          <rPr>
            <sz val="10"/>
            <rFont val="Arial"/>
            <family val="2"/>
          </rPr>
          <t xml:space="preserve">~37.75% </t>
        </r>
        <r>
          <rPr>
            <sz val="10"/>
            <rFont val="Arial"/>
            <family val="2"/>
          </rPr>
          <t xml:space="preserve">
</t>
        </r>
      </text>
    </comment>
    <comment ref="CN133" authorId="5">
      <text>
        <r>
          <rPr>
            <b/>
            <sz val="8"/>
            <color indexed="81"/>
            <rFont val="Tahoma"/>
            <family val="2"/>
          </rPr>
          <t xml:space="preserve">2/28/2013: </t>
        </r>
        <r>
          <rPr>
            <sz val="8"/>
            <color indexed="81"/>
            <rFont val="Tahoma"/>
            <family val="2"/>
          </rPr>
          <t>benefited from extended tax credits when the fiscal cliff deal was finalized</t>
        </r>
        <r>
          <rPr>
            <b/>
            <sz val="8"/>
            <color indexed="81"/>
            <rFont val="Tahoma"/>
            <family val="2"/>
          </rPr>
          <t xml:space="preserve">
11/8/2012: </t>
        </r>
        <r>
          <rPr>
            <sz val="8"/>
            <color indexed="81"/>
            <rFont val="Tahoma"/>
            <family val="2"/>
          </rPr>
          <t>37.8% guidance</t>
        </r>
      </text>
    </comment>
    <comment ref="CR133" authorId="13">
      <text>
        <r>
          <rPr>
            <b/>
            <sz val="8"/>
            <color indexed="81"/>
            <rFont val="Tahoma"/>
            <family val="2"/>
          </rPr>
          <t>11/14/13: guidance 37%</t>
        </r>
        <r>
          <rPr>
            <sz val="8"/>
            <color indexed="81"/>
            <rFont val="Tahoma"/>
            <family val="2"/>
          </rPr>
          <t xml:space="preserve">
</t>
        </r>
      </text>
    </comment>
    <comment ref="CV133" authorId="9">
      <text>
        <r>
          <rPr>
            <b/>
            <sz val="9"/>
            <color indexed="81"/>
            <rFont val="Tahoma"/>
            <family val="2"/>
          </rPr>
          <t>Mains, Spencer (Research):</t>
        </r>
        <r>
          <rPr>
            <sz val="9"/>
            <color indexed="81"/>
            <rFont val="Tahoma"/>
            <family val="2"/>
          </rPr>
          <t xml:space="preserve">
</t>
        </r>
        <r>
          <rPr>
            <b/>
            <sz val="9"/>
            <color indexed="81"/>
            <rFont val="Tahoma"/>
            <family val="2"/>
          </rPr>
          <t>2/26/15</t>
        </r>
        <r>
          <rPr>
            <sz val="9"/>
            <color indexed="81"/>
            <rFont val="Tahoma"/>
            <family val="2"/>
          </rPr>
          <t>: benefitted from favorable state tax audit settlements</t>
        </r>
      </text>
    </comment>
    <comment ref="CY133" authorId="10">
      <text>
        <r>
          <rPr>
            <b/>
            <sz val="9"/>
            <color indexed="81"/>
            <rFont val="Tahoma"/>
            <family val="2"/>
          </rPr>
          <t>Baglione, Gregory  (Research):</t>
        </r>
        <r>
          <rPr>
            <sz val="9"/>
            <color indexed="81"/>
            <rFont val="Tahoma"/>
            <family val="2"/>
          </rPr>
          <t xml:space="preserve">
Per management 
"Therefore, after tax we recognized $108M versus the $105M we had shown through Q3.
This is taken into account in the Q4 Net Income of $296M.  Technically, as this related to the premium, the correct amount recognized in Q4 excluding impact from the debt premium is $299M."
</t>
        </r>
      </text>
    </comment>
    <comment ref="DD133" authorId="16">
      <text>
        <r>
          <rPr>
            <b/>
            <sz val="9"/>
            <color indexed="81"/>
            <rFont val="Tahoma"/>
            <family val="2"/>
          </rPr>
          <t>Baglione, Gregory (Research):</t>
        </r>
        <r>
          <rPr>
            <sz val="9"/>
            <color indexed="81"/>
            <rFont val="Tahoma"/>
            <family val="2"/>
          </rPr>
          <t xml:space="preserve">
2/23/17: rate higher than expected due to favorable state tax audit settlements LY that did not repeat in 2016
1/4/17
Per management use closer to 37% rate for 4Q</t>
        </r>
      </text>
    </comment>
    <comment ref="DG133" authorId="8">
      <text>
        <r>
          <rPr>
            <b/>
            <sz val="9"/>
            <color indexed="81"/>
            <rFont val="Tahoma"/>
            <family val="2"/>
          </rPr>
          <t>De Courreges, Edouard (Research):</t>
        </r>
        <r>
          <rPr>
            <sz val="9"/>
            <color indexed="81"/>
            <rFont val="Tahoma"/>
            <family val="2"/>
          </rPr>
          <t xml:space="preserve">
3/1/18: One time benefit related to tax reform
10M in taxes added back for non gap related to tax settlement</t>
        </r>
      </text>
    </comment>
    <comment ref="DH133" authorId="7">
      <text>
        <r>
          <rPr>
            <b/>
            <sz val="9"/>
            <color indexed="81"/>
            <rFont val="Tahoma"/>
            <family val="2"/>
          </rPr>
          <t>Cassel, Lauren (Research):</t>
        </r>
        <r>
          <rPr>
            <sz val="9"/>
            <color indexed="81"/>
            <rFont val="Tahoma"/>
            <family val="2"/>
          </rPr>
          <t xml:space="preserve">
1/8/18: assumes 200 bps tax reform benefit
2/23/17: Per Jill 37.1%</t>
        </r>
      </text>
    </comment>
    <comment ref="BG134" authorId="0">
      <text>
        <r>
          <rPr>
            <sz val="10"/>
            <rFont val="Arial"/>
            <family val="2"/>
          </rPr>
          <t>mmcclell:</t>
        </r>
        <r>
          <rPr>
            <sz val="10"/>
            <rFont val="Arial"/>
            <family val="2"/>
          </rPr>
          <t xml:space="preserve">
restated</t>
        </r>
      </text>
    </comment>
    <comment ref="CI134" authorId="2">
      <text>
        <r>
          <rPr>
            <sz val="10"/>
            <rFont val="Arial"/>
            <family val="2"/>
          </rPr>
          <t xml:space="preserve">11/10/11 Guidance:
</t>
        </r>
        <r>
          <rPr>
            <sz val="10"/>
            <rFont val="Arial"/>
            <family val="2"/>
          </rPr>
          <t xml:space="preserve">37.4% for the fiscal 2011 period.
</t>
        </r>
        <r>
          <rPr>
            <sz val="10"/>
            <rFont val="Arial"/>
            <family val="2"/>
          </rPr>
          <t xml:space="preserve">
Guidance 8/11/11:
</t>
        </r>
        <r>
          <rPr>
            <sz val="10"/>
            <rFont val="Arial"/>
            <family val="2"/>
          </rPr>
          <t xml:space="preserve">37.6% </t>
        </r>
        <r>
          <rPr>
            <sz val="10"/>
            <rFont val="Arial"/>
            <family val="2"/>
          </rPr>
          <t xml:space="preserve">
Guidance 2/24/11:
</t>
        </r>
        <r>
          <rPr>
            <sz val="10"/>
            <rFont val="Arial"/>
            <family val="2"/>
          </rPr>
          <t xml:space="preserve">38% 
</t>
        </r>
      </text>
    </comment>
    <comment ref="CM134" authorId="5">
      <text>
        <r>
          <rPr>
            <sz val="10"/>
            <rFont val="Arial"/>
            <family val="2"/>
          </rPr>
          <t xml:space="preserve">Guidance: 2/23/2012
</t>
        </r>
        <r>
          <rPr>
            <sz val="10"/>
            <rFont val="Arial"/>
            <family val="2"/>
          </rPr>
          <t>38%</t>
        </r>
      </text>
    </comment>
    <comment ref="CR134" authorId="5">
      <text>
        <r>
          <rPr>
            <b/>
            <sz val="8"/>
            <color indexed="81"/>
            <rFont val="Tahoma"/>
            <family val="2"/>
          </rPr>
          <t xml:space="preserve">5/16/2013 guidance: </t>
        </r>
        <r>
          <rPr>
            <sz val="8"/>
            <color indexed="81"/>
            <rFont val="Tahoma"/>
            <family val="2"/>
          </rPr>
          <t>37.5%</t>
        </r>
        <r>
          <rPr>
            <b/>
            <sz val="8"/>
            <color indexed="81"/>
            <rFont val="Tahoma"/>
            <family val="2"/>
          </rPr>
          <t xml:space="preserve">
2/28/2013 guidance: </t>
        </r>
        <r>
          <rPr>
            <sz val="8"/>
            <color indexed="81"/>
            <rFont val="Tahoma"/>
            <family val="2"/>
          </rPr>
          <t>38%</t>
        </r>
      </text>
    </comment>
    <comment ref="CV134" authorId="13">
      <text>
        <r>
          <rPr>
            <b/>
            <sz val="8"/>
            <color indexed="81"/>
            <rFont val="Tahoma"/>
            <family val="2"/>
          </rPr>
          <t>2/26/15</t>
        </r>
        <r>
          <rPr>
            <sz val="8"/>
            <color indexed="81"/>
            <rFont val="Tahoma"/>
            <family val="2"/>
          </rPr>
          <t>: benefitted from favorable sate tax audit settlements in 4Q14 and FY14</t>
        </r>
        <r>
          <rPr>
            <b/>
            <sz val="8"/>
            <color indexed="81"/>
            <rFont val="Tahoma"/>
            <family val="2"/>
          </rPr>
          <t xml:space="preserve">
2/26/14 Guidance: </t>
        </r>
        <r>
          <rPr>
            <sz val="8"/>
            <color indexed="81"/>
            <rFont val="Tahoma"/>
            <family val="2"/>
          </rPr>
          <t xml:space="preserve"> 38.0%</t>
        </r>
        <r>
          <rPr>
            <sz val="8"/>
            <color indexed="81"/>
            <rFont val="Tahoma"/>
            <family val="2"/>
          </rPr>
          <t xml:space="preserve">
</t>
        </r>
      </text>
    </comment>
    <comment ref="CZ134" authorId="9">
      <text>
        <r>
          <rPr>
            <sz val="9"/>
            <color indexed="81"/>
            <rFont val="Tahoma"/>
            <family val="2"/>
          </rPr>
          <t xml:space="preserve">8/16/15
Tax rate aprox 37.5%
</t>
        </r>
        <r>
          <rPr>
            <b/>
            <sz val="9"/>
            <color indexed="81"/>
            <rFont val="Tahoma"/>
            <family val="2"/>
          </rPr>
          <t xml:space="preserve">
Mains, Spencer (Research):</t>
        </r>
        <r>
          <rPr>
            <sz val="9"/>
            <color indexed="81"/>
            <rFont val="Tahoma"/>
            <family val="2"/>
          </rPr>
          <t xml:space="preserve">
2/26/15 guidance: 37%</t>
        </r>
      </text>
    </comment>
    <comment ref="DD134" authorId="10">
      <text>
        <r>
          <rPr>
            <b/>
            <sz val="9"/>
            <color indexed="81"/>
            <rFont val="Tahoma"/>
            <family val="2"/>
          </rPr>
          <t>Baglione, Gregory  (Research):</t>
        </r>
        <r>
          <rPr>
            <sz val="9"/>
            <color indexed="81"/>
            <rFont val="Tahoma"/>
            <family val="2"/>
          </rPr>
          <t xml:space="preserve">
2/23/17: rate higher than expected due to favorable state tax audit settlements LY that did not repeat in 2016
2/25/16 Guide 
Effective tax rate of 37%</t>
        </r>
      </text>
    </comment>
    <comment ref="DH134" authorId="11">
      <text>
        <r>
          <rPr>
            <b/>
            <sz val="9"/>
            <color indexed="81"/>
            <rFont val="Tahoma"/>
            <family val="2"/>
          </rPr>
          <t>Roberts, Cynthia (Research):</t>
        </r>
        <r>
          <rPr>
            <sz val="9"/>
            <color indexed="81"/>
            <rFont val="Tahoma"/>
            <family val="2"/>
          </rPr>
          <t xml:space="preserve">
2/23/17: Guidance: 37.5%</t>
        </r>
      </text>
    </comment>
    <comment ref="CA140" authorId="1">
      <text>
        <r>
          <rPr>
            <sz val="10"/>
            <rFont val="Arial"/>
            <family val="2"/>
          </rPr>
          <t xml:space="preserve">Note: 9/15/2011
Restated $133M.  
</t>
        </r>
        <r>
          <rPr>
            <sz val="10"/>
            <rFont val="Arial"/>
            <family val="2"/>
          </rPr>
          <t xml:space="preserve">We do not have full P&amp;L for 2009, just net income and EPS.
</t>
        </r>
      </text>
    </comment>
    <comment ref="CA141" authorId="1">
      <text>
        <r>
          <rPr>
            <sz val="10"/>
            <rFont val="Arial"/>
            <family val="2"/>
          </rPr>
          <t xml:space="preserve">Note: 9/15/2011
Restated $226M.  
</t>
        </r>
        <r>
          <rPr>
            <sz val="10"/>
            <rFont val="Arial"/>
            <family val="2"/>
          </rPr>
          <t xml:space="preserve">We do not have full P&amp;L for 2009, just net income and EPS.
</t>
        </r>
      </text>
    </comment>
    <comment ref="CA142" authorId="1">
      <text>
        <r>
          <rPr>
            <sz val="10"/>
            <rFont val="Arial"/>
            <family val="2"/>
          </rPr>
          <t xml:space="preserve">Note: 9/15/2011
Restated $188M.  
</t>
        </r>
        <r>
          <rPr>
            <sz val="10"/>
            <rFont val="Arial"/>
            <family val="2"/>
          </rPr>
          <t xml:space="preserve">We do not have full P&amp;L for 2009, just net income and EPS.
</t>
        </r>
      </text>
    </comment>
    <comment ref="CA143" authorId="1">
      <text>
        <r>
          <rPr>
            <sz val="10"/>
            <rFont val="Arial"/>
            <family val="2"/>
          </rPr>
          <t xml:space="preserve">Note: 9/15/2011
Restated $426M.  
</t>
        </r>
        <r>
          <rPr>
            <sz val="10"/>
            <rFont val="Arial"/>
            <family val="2"/>
          </rPr>
          <t xml:space="preserve">We do not have full P&amp;L for 2009, just net income and EPS.
</t>
        </r>
      </text>
    </comment>
    <comment ref="CM143" authorId="5">
      <text>
        <r>
          <rPr>
            <b/>
            <sz val="8"/>
            <color indexed="81"/>
            <rFont val="Tahoma"/>
            <family val="2"/>
          </rPr>
          <t xml:space="preserve">2/28/2013: </t>
        </r>
        <r>
          <rPr>
            <sz val="8"/>
            <color indexed="81"/>
            <rFont val="Tahoma"/>
            <family val="2"/>
          </rPr>
          <t>$15M positive impact form extra week LY</t>
        </r>
      </text>
    </comment>
    <comment ref="CQ143" authorId="5">
      <text>
        <r>
          <rPr>
            <b/>
            <sz val="8"/>
            <color indexed="81"/>
            <rFont val="Tahoma"/>
            <family val="2"/>
          </rPr>
          <t xml:space="preserve">2/28/2013: </t>
        </r>
        <r>
          <rPr>
            <sz val="8"/>
            <color indexed="81"/>
            <rFont val="Tahoma"/>
            <family val="2"/>
          </rPr>
          <t>$15M positive impact form extra week LY</t>
        </r>
      </text>
    </comment>
    <comment ref="CU143" authorId="5">
      <text>
        <r>
          <rPr>
            <b/>
            <sz val="8"/>
            <color indexed="81"/>
            <rFont val="Tahoma"/>
            <family val="2"/>
          </rPr>
          <t xml:space="preserve">2/28/2013: </t>
        </r>
        <r>
          <rPr>
            <sz val="8"/>
            <color indexed="81"/>
            <rFont val="Tahoma"/>
            <family val="2"/>
          </rPr>
          <t>$15M positive impact form extra week LY</t>
        </r>
      </text>
    </comment>
    <comment ref="DG143" authorId="8">
      <text>
        <r>
          <rPr>
            <b/>
            <sz val="9"/>
            <color indexed="81"/>
            <rFont val="Tahoma"/>
            <family val="2"/>
          </rPr>
          <t>De Courreges, Edouard (Research):</t>
        </r>
        <r>
          <rPr>
            <sz val="9"/>
            <color indexed="81"/>
            <rFont val="Tahoma"/>
            <family val="2"/>
          </rPr>
          <t xml:space="preserve">
3/1/18: The 53(rd) week increased the Company’s net income by approximately $15 million
</t>
        </r>
      </text>
    </comment>
    <comment ref="CA144" authorId="1">
      <text>
        <r>
          <rPr>
            <sz val="10"/>
            <rFont val="Arial"/>
            <family val="2"/>
          </rPr>
          <t xml:space="preserve">Note: 9/15/2011
Restated $973M.  
</t>
        </r>
        <r>
          <rPr>
            <sz val="10"/>
            <rFont val="Arial"/>
            <family val="2"/>
          </rPr>
          <t xml:space="preserve">We do not have full P&amp;L for 2009, just net income and EPS.
</t>
        </r>
      </text>
    </comment>
    <comment ref="DG153" authorId="11">
      <text>
        <r>
          <rPr>
            <b/>
            <sz val="9"/>
            <color indexed="81"/>
            <rFont val="Tahoma"/>
            <family val="2"/>
          </rPr>
          <t>Roberts, Cynthia (Research):</t>
        </r>
        <r>
          <rPr>
            <sz val="9"/>
            <color indexed="81"/>
            <rFont val="Tahoma"/>
            <family val="2"/>
          </rPr>
          <t xml:space="preserve">
2/28/18: One time tax reform benefit
one time tax settlement  ($30M is $20M after tax)
+1 due to difference in annual/quarterly calc for 4Q EPS call</t>
        </r>
      </text>
    </comment>
    <comment ref="CM163" authorId="5">
      <text>
        <r>
          <rPr>
            <b/>
            <sz val="8"/>
            <color indexed="81"/>
            <rFont val="Tahoma"/>
            <family val="2"/>
          </rPr>
          <t xml:space="preserve">11/8/2012 guidance: </t>
        </r>
        <r>
          <rPr>
            <sz val="8"/>
            <color indexed="81"/>
            <rFont val="Tahoma"/>
            <family val="2"/>
          </rPr>
          <t>$20M from extra week</t>
        </r>
      </text>
    </comment>
    <comment ref="BO170" authorId="15">
      <text>
        <r>
          <rPr>
            <sz val="10"/>
            <rFont val="Arial"/>
            <family val="2"/>
          </rPr>
          <t>afloam:</t>
        </r>
        <r>
          <rPr>
            <sz val="10"/>
            <rFont val="Arial"/>
            <family val="2"/>
          </rPr>
          <t xml:space="preserve">
management guidance of $.40-$.42 given on 4Q call
EPS guidance did not change for 1Q following sale of credit receivables
</t>
        </r>
      </text>
    </comment>
    <comment ref="BS170" authorId="3">
      <text>
        <r>
          <rPr>
            <sz val="10"/>
            <rFont val="Arial"/>
            <family val="2"/>
          </rPr>
          <t>Guidance: 5/10/2007
"Feel comfortable" with consensus of $0.62
Guidance: 3/1/2007
$0.57-$0.61</t>
        </r>
      </text>
    </comment>
    <comment ref="BW170" authorId="0">
      <text>
        <r>
          <rPr>
            <sz val="10"/>
            <rFont val="Arial"/>
            <family val="2"/>
          </rPr>
          <t>Guidance: 5/8/2008
Expects EPS to "exceed" previous guidance of $0.40-$0.42
Guidance: 4/10/2008
$0.40-$0.42
Guidance: 2/28/2008
$0.50-$0.54 (assumes no share repurchases)</t>
        </r>
        <r>
          <rPr>
            <sz val="10"/>
            <rFont val="Arial"/>
            <family val="2"/>
          </rPr>
          <t xml:space="preserve">
</t>
        </r>
      </text>
    </comment>
    <comment ref="CA170" authorId="4">
      <text>
        <r>
          <rPr>
            <sz val="10"/>
            <rFont val="Arial"/>
            <family val="2"/>
          </rPr>
          <t xml:space="preserve">Note: 9/15/2011
Restated $0.43.  We do not have full P&amp;L for 2009, just net income and EPS.
Guidance: 5/07/09
</t>
        </r>
        <r>
          <rPr>
            <sz val="10"/>
            <rFont val="Arial"/>
            <family val="2"/>
          </rPr>
          <t>$0.43-$0.44</t>
        </r>
        <r>
          <rPr>
            <sz val="10"/>
            <rFont val="Arial"/>
            <family val="2"/>
          </rPr>
          <t xml:space="preserve">
Guidance: 2/26/09
</t>
        </r>
        <r>
          <rPr>
            <sz val="10"/>
            <rFont val="Arial"/>
            <family val="2"/>
          </rPr>
          <t>$0.27-$0.34</t>
        </r>
      </text>
    </comment>
    <comment ref="CE170" authorId="2">
      <text>
        <r>
          <rPr>
            <sz val="10"/>
            <rFont val="Arial"/>
            <family val="2"/>
          </rPr>
          <t xml:space="preserve">Guidance 5/6/10:
</t>
        </r>
        <r>
          <rPr>
            <sz val="10"/>
            <rFont val="Arial"/>
            <family val="2"/>
          </rPr>
          <t>$0.61-$0.62</t>
        </r>
        <r>
          <rPr>
            <sz val="10"/>
            <rFont val="Arial"/>
            <family val="2"/>
          </rPr>
          <t xml:space="preserve">
Guidance 4/8/10:
</t>
        </r>
        <r>
          <rPr>
            <sz val="10"/>
            <rFont val="Arial"/>
            <family val="2"/>
          </rPr>
          <t>$0.55-$0.57</t>
        </r>
        <r>
          <rPr>
            <sz val="10"/>
            <rFont val="Arial"/>
            <family val="2"/>
          </rPr>
          <t xml:space="preserve">
Guidance 2/22/10:
</t>
        </r>
        <r>
          <rPr>
            <sz val="10"/>
            <rFont val="Arial"/>
            <family val="2"/>
          </rPr>
          <t xml:space="preserve">$0.48-$0.52
</t>
        </r>
      </text>
    </comment>
    <comment ref="CI170" authorId="2">
      <text>
        <r>
          <rPr>
            <sz val="10"/>
            <rFont val="Arial"/>
            <family val="2"/>
          </rPr>
          <t xml:space="preserve">Guidance 5/5/11:
</t>
        </r>
        <r>
          <rPr>
            <sz val="10"/>
            <rFont val="Arial"/>
            <family val="2"/>
          </rPr>
          <t>High end of $0.68-0.73</t>
        </r>
        <r>
          <rPr>
            <sz val="10"/>
            <rFont val="Arial"/>
            <family val="2"/>
          </rPr>
          <t xml:space="preserve">
</t>
        </r>
        <r>
          <rPr>
            <sz val="10"/>
            <rFont val="Arial"/>
            <family val="2"/>
          </rPr>
          <t xml:space="preserve">Does not include share repo; MS est. $300M in qtr worth ~0.01
</t>
        </r>
        <r>
          <rPr>
            <sz val="10"/>
            <rFont val="Arial"/>
            <family val="2"/>
          </rPr>
          <t xml:space="preserve">
Guidance 2/24/11:
</t>
        </r>
        <r>
          <rPr>
            <sz val="10"/>
            <rFont val="Arial"/>
            <family val="2"/>
          </rPr>
          <t xml:space="preserve">$0.68-0.73
</t>
        </r>
      </text>
    </comment>
    <comment ref="CM170" authorId="5">
      <text>
        <r>
          <rPr>
            <sz val="10"/>
            <rFont val="Arial"/>
            <family val="2"/>
          </rPr>
          <t xml:space="preserve">Commentary 5/3/2012
</t>
        </r>
        <r>
          <rPr>
            <sz val="10"/>
            <rFont val="Arial"/>
            <family val="2"/>
          </rPr>
          <t xml:space="preserve">1) Comfortable w/ 60c 1Q EPS guidance
2) SG&amp;A savings across items (ex marketing up y/y)
</t>
        </r>
        <r>
          <rPr>
            <sz val="10"/>
            <rFont val="Arial"/>
            <family val="2"/>
          </rPr>
          <t xml:space="preserve">
Guidance: 2/23/2012
</t>
        </r>
        <r>
          <rPr>
            <sz val="10"/>
            <rFont val="Arial"/>
            <family val="2"/>
          </rPr>
          <t>$0.60 EPS in 1Q
Includes:
1) $305M in share buybacks (at avg. price of $53/share)</t>
        </r>
      </text>
    </comment>
    <comment ref="CQ170" authorId="5">
      <text>
        <r>
          <rPr>
            <b/>
            <sz val="8"/>
            <color indexed="81"/>
            <rFont val="Tahoma"/>
            <family val="2"/>
          </rPr>
          <t xml:space="preserve">2/28/2013 guidance: </t>
        </r>
        <r>
          <rPr>
            <sz val="8"/>
            <color indexed="81"/>
            <rFont val="Tahoma"/>
            <family val="2"/>
          </rPr>
          <t>55-63c</t>
        </r>
      </text>
    </comment>
    <comment ref="BO171" authorId="0">
      <text>
        <r>
          <rPr>
            <sz val="10"/>
            <rFont val="Arial"/>
            <family val="2"/>
          </rPr>
          <t>mmcclell:</t>
        </r>
        <r>
          <rPr>
            <sz val="10"/>
            <rFont val="Arial"/>
            <family val="2"/>
          </rPr>
          <t xml:space="preserve">
mgmt guidance of 
$0.62-$0.64
($0.58-$0.61 before sales of receivables)</t>
        </r>
      </text>
    </comment>
    <comment ref="BS171" authorId="3">
      <text>
        <r>
          <rPr>
            <sz val="10"/>
            <rFont val="Arial"/>
            <family val="2"/>
          </rPr>
          <t>Guidance: 7/12/2007
$0.81-$0.85
Guidance: 5/17/2007
$0.81-$0.85</t>
        </r>
      </text>
    </comment>
    <comment ref="BW171" authorId="0">
      <text>
        <r>
          <rPr>
            <sz val="10"/>
            <rFont val="Arial"/>
            <family val="2"/>
          </rPr>
          <t xml:space="preserve">Guidance: 8/07/08
</t>
        </r>
        <r>
          <rPr>
            <sz val="10"/>
            <rFont val="Arial"/>
            <family val="2"/>
          </rPr>
          <t>"comfortable" with current First Call consensus earnings of $0.73</t>
        </r>
        <r>
          <rPr>
            <sz val="10"/>
            <rFont val="Arial"/>
            <family val="2"/>
          </rPr>
          <t xml:space="preserve">
Guidance: 5/15/2008
$0.70-$0.74.  Does not reflect additional repos</t>
        </r>
      </text>
    </comment>
    <comment ref="CA171" authorId="4">
      <text>
        <r>
          <rPr>
            <sz val="10"/>
            <rFont val="Arial"/>
            <family val="2"/>
          </rPr>
          <t xml:space="preserve">Note: 9/15/2011
Restated $0.74.  We do not have full P&amp;L for 2009, just net income and EPS.
Guidance: 8/6/09
</t>
        </r>
        <r>
          <rPr>
            <sz val="10"/>
            <rFont val="Arial"/>
            <family val="2"/>
          </rPr>
          <t xml:space="preserve">$0.73-$0.74 (As a result of our sales results and inventory management initiatives, our gross margin for the quarter was strong and our expenses remained well controlled)
</t>
        </r>
        <r>
          <rPr>
            <sz val="10"/>
            <rFont val="Arial"/>
            <family val="2"/>
          </rPr>
          <t xml:space="preserve">
Guidance: 5/14/09
</t>
        </r>
        <r>
          <rPr>
            <sz val="10"/>
            <rFont val="Arial"/>
            <family val="2"/>
          </rPr>
          <t>$0.56-$0.64</t>
        </r>
        <r>
          <rPr>
            <sz val="10"/>
            <rFont val="Arial"/>
            <family val="2"/>
          </rPr>
          <t xml:space="preserve">
</t>
        </r>
      </text>
    </comment>
    <comment ref="CE171" authorId="2">
      <text>
        <r>
          <rPr>
            <sz val="10"/>
            <rFont val="Arial"/>
            <family val="2"/>
          </rPr>
          <t xml:space="preserve">Guidance 8/5/2010:
</t>
        </r>
        <r>
          <rPr>
            <sz val="10"/>
            <rFont val="Arial"/>
            <family val="2"/>
          </rPr>
          <t>$0.80-$0.82</t>
        </r>
        <r>
          <rPr>
            <sz val="10"/>
            <rFont val="Arial"/>
            <family val="2"/>
          </rPr>
          <t xml:space="preserve">
Guidance 5/13/2010:
</t>
        </r>
        <r>
          <rPr>
            <sz val="10"/>
            <rFont val="Arial"/>
            <family val="2"/>
          </rPr>
          <t xml:space="preserve">$0.70-$0.75
</t>
        </r>
      </text>
    </comment>
    <comment ref="CI171" authorId="2">
      <text>
        <r>
          <rPr>
            <sz val="10"/>
            <rFont val="Arial"/>
            <family val="2"/>
          </rPr>
          <t xml:space="preserve">Guidance 8/4/11:
</t>
        </r>
        <r>
          <rPr>
            <sz val="10"/>
            <rFont val="Arial"/>
            <family val="2"/>
          </rPr>
          <t>Raised to $1.07-$1.08</t>
        </r>
        <r>
          <rPr>
            <sz val="10"/>
            <rFont val="Arial"/>
            <family val="2"/>
          </rPr>
          <t xml:space="preserve">
Guidance 5/12/11:
</t>
        </r>
        <r>
          <rPr>
            <sz val="10"/>
            <rFont val="Arial"/>
            <family val="2"/>
          </rPr>
          <t xml:space="preserve">$0.96-$1.02
 (this includes share buyback of $445M in 2Q)
</t>
        </r>
        <r>
          <rPr>
            <sz val="10"/>
            <rFont val="Arial"/>
            <family val="2"/>
          </rPr>
          <t>Comment 6/1/11:</t>
        </r>
        <r>
          <rPr>
            <sz val="10"/>
            <rFont val="Arial"/>
            <family val="2"/>
          </rPr>
          <t xml:space="preserve">
10Q: 2Q EPS assumes $450M at $55/share ratably in 2Q
</t>
        </r>
      </text>
    </comment>
    <comment ref="CM171" authorId="5">
      <text>
        <r>
          <rPr>
            <sz val="10"/>
            <rFont val="Arial"/>
            <family val="2"/>
          </rPr>
          <t xml:space="preserve">7/5/2012 Guidance:
- </t>
        </r>
        <r>
          <rPr>
            <sz val="10"/>
            <rFont val="Arial"/>
            <family val="2"/>
          </rPr>
          <t>low end of previous guidance of $0.96 to a $1.02
- SG&amp;A savings from credit, payroll and incentive comp (much lower) offset sales decline</t>
        </r>
        <r>
          <rPr>
            <sz val="10"/>
            <rFont val="Arial"/>
            <family val="2"/>
          </rPr>
          <t xml:space="preserve">
5/31/2012 Guidance
</t>
        </r>
        <r>
          <rPr>
            <sz val="10"/>
            <rFont val="Arial"/>
            <family val="2"/>
          </rPr>
          <t>Maintain 2Q EPS guidance for $0.96-$1.02
Mgmt suggested looking at SG&amp;A to offset sales miss</t>
        </r>
        <r>
          <rPr>
            <sz val="10"/>
            <rFont val="Arial"/>
            <family val="2"/>
          </rPr>
          <t xml:space="preserve">
5/10/2012 Guidance
</t>
        </r>
        <r>
          <rPr>
            <sz val="10"/>
            <rFont val="Arial"/>
            <family val="2"/>
          </rPr>
          <t>$0.96-$1.02 2Q EPS incl. $250M in repo</t>
        </r>
      </text>
    </comment>
    <comment ref="CQ171" authorId="5">
      <text>
        <r>
          <rPr>
            <b/>
            <sz val="8"/>
            <color indexed="81"/>
            <rFont val="Tahoma"/>
            <family val="2"/>
          </rPr>
          <t xml:space="preserve">5/16/2013 guidance: </t>
        </r>
        <r>
          <rPr>
            <sz val="8"/>
            <color indexed="81"/>
            <rFont val="Tahoma"/>
            <family val="2"/>
          </rPr>
          <t>$1.00-$1.08</t>
        </r>
      </text>
    </comment>
    <comment ref="BO172" authorId="15">
      <text>
        <r>
          <rPr>
            <sz val="10"/>
            <rFont val="Arial"/>
            <family val="2"/>
          </rPr>
          <t>Guidance: 10/03/06
Raised to $0.56-$0.59 due to $15M of gift card breakage
$0.53-$0.56 (8/10/06)</t>
        </r>
      </text>
    </comment>
    <comment ref="BS172" authorId="3">
      <text>
        <r>
          <rPr>
            <sz val="10"/>
            <rFont val="Arial"/>
            <family val="2"/>
          </rPr>
          <t xml:space="preserve">Guidance: 11/8/07
$0.59-$0.60
Guidance: 10/11/07
Low-end of $0.67-$0.71 range
</t>
        </r>
      </text>
    </comment>
    <comment ref="BW172" authorId="4">
      <text>
        <r>
          <rPr>
            <sz val="10"/>
            <rFont val="Arial"/>
            <family val="2"/>
          </rPr>
          <t xml:space="preserve">11/06/08: Guidance
</t>
        </r>
        <r>
          <rPr>
            <sz val="10"/>
            <rFont val="Arial"/>
            <family val="2"/>
          </rPr>
          <t>continues to expect earnings at the low end of $0.51-$0.56</t>
        </r>
        <r>
          <rPr>
            <sz val="10"/>
            <rFont val="Arial"/>
            <family val="2"/>
          </rPr>
          <t xml:space="preserve">
10/08/08: Guidance
</t>
        </r>
        <r>
          <rPr>
            <sz val="10"/>
            <rFont val="Arial"/>
            <family val="2"/>
          </rPr>
          <t>low end of previous $0.51-$0.56</t>
        </r>
        <r>
          <rPr>
            <sz val="10"/>
            <rFont val="Arial"/>
            <family val="2"/>
          </rPr>
          <t xml:space="preserve">
8/14/08: Guidance
</t>
        </r>
        <r>
          <rPr>
            <sz val="10"/>
            <rFont val="Arial"/>
            <family val="2"/>
          </rPr>
          <t>$0.51-$0.56</t>
        </r>
      </text>
    </comment>
    <comment ref="CA172" authorId="4">
      <text>
        <r>
          <rPr>
            <sz val="10"/>
            <rFont val="Arial"/>
            <family val="2"/>
          </rPr>
          <t xml:space="preserve">Note: 9/15/2011
Restated $0.61.  We do not have full P&amp;L for 2009, just net income and EPS.
Guidance: 11/5/09
</t>
        </r>
        <r>
          <rPr>
            <sz val="10"/>
            <rFont val="Arial"/>
            <family val="2"/>
          </rPr>
          <t>$0.60-$0.61</t>
        </r>
        <r>
          <rPr>
            <sz val="10"/>
            <rFont val="Arial"/>
            <family val="2"/>
          </rPr>
          <t xml:space="preserve">
Guidance: 10/8/09
</t>
        </r>
        <r>
          <rPr>
            <sz val="10"/>
            <rFont val="Arial"/>
            <family val="2"/>
          </rPr>
          <t>$0.52-$0.54</t>
        </r>
        <r>
          <rPr>
            <sz val="10"/>
            <rFont val="Arial"/>
            <family val="2"/>
          </rPr>
          <t xml:space="preserve">
Guidance: 8/13/09
</t>
        </r>
        <r>
          <rPr>
            <sz val="10"/>
            <rFont val="Arial"/>
            <family val="2"/>
          </rPr>
          <t>$0.40-$0.44</t>
        </r>
        <r>
          <rPr>
            <sz val="10"/>
            <rFont val="Arial"/>
            <family val="2"/>
          </rPr>
          <t xml:space="preserve">
</t>
        </r>
      </text>
    </comment>
    <comment ref="CE172" authorId="2">
      <text>
        <r>
          <rPr>
            <sz val="10"/>
            <rFont val="Arial"/>
            <family val="2"/>
          </rPr>
          <t xml:space="preserve">Note: 9/15/2011
Restated $0.57
Comment 12/9/10:
</t>
        </r>
        <r>
          <rPr>
            <sz val="10"/>
            <rFont val="Arial"/>
            <family val="2"/>
          </rPr>
          <t>1) Company discloses $31M hit to net income re lease accounting error, or $0.10 of EPS; GAAP EPS of $0.53
2) 3Q press release reports $0.63 clean EPS
3) We model to $0.63 EPS</t>
        </r>
        <r>
          <rPr>
            <sz val="10"/>
            <rFont val="Arial"/>
            <family val="2"/>
          </rPr>
          <t xml:space="preserve">
Guidance 11/4/10:
</t>
        </r>
        <r>
          <rPr>
            <sz val="10"/>
            <rFont val="Arial"/>
            <family val="2"/>
          </rPr>
          <t xml:space="preserve">1) Guides EPS to $0.57-$0.58 or lower end of previous range. This includes about 5 cent hit due to accting error for lease properties
--Will result in higher depr and interest expense in quarter
</t>
        </r>
        <r>
          <rPr>
            <sz val="10"/>
            <rFont val="Arial"/>
            <family val="2"/>
          </rPr>
          <t xml:space="preserve">2) Absent correction, EPS is tracking at $0.62-0.63 (add 5 cents after-tax to 0.57-0.58, or $25mn pre-tax as non-recurring charge)
Guidance 8/12/10:
</t>
        </r>
        <r>
          <rPr>
            <sz val="10"/>
            <rFont val="Arial"/>
            <family val="2"/>
          </rPr>
          <t xml:space="preserve">$0.57-$0.63
</t>
        </r>
      </text>
    </comment>
    <comment ref="CI172" authorId="1">
      <text>
        <r>
          <rPr>
            <sz val="10"/>
            <rFont val="Arial"/>
            <family val="2"/>
          </rPr>
          <t xml:space="preserve">11/2/11 Guidance:
</t>
        </r>
        <r>
          <rPr>
            <sz val="10"/>
            <rFont val="Arial"/>
            <family val="2"/>
          </rPr>
          <t>High end of $0.73-.79 prior guidance drive by  SG&amp;A leverage (not sales flow through - had come in at low-end of comp range)</t>
        </r>
        <r>
          <rPr>
            <sz val="10"/>
            <rFont val="Arial"/>
            <family val="2"/>
          </rPr>
          <t xml:space="preserve">
Guidance 10/6/11:
</t>
        </r>
        <r>
          <rPr>
            <sz val="10"/>
            <rFont val="Arial"/>
            <family val="2"/>
          </rPr>
          <t>$0.73-$0.79 w/ $0.03 impact per qtr vs prior guidance due to impact from lease accounting
FY guidance now $4.34-$4.49 w/ $0.11 impact from lease accounting</t>
        </r>
        <r>
          <rPr>
            <sz val="10"/>
            <rFont val="Arial"/>
            <family val="2"/>
          </rPr>
          <t xml:space="preserve">
</t>
        </r>
        <r>
          <rPr>
            <sz val="10"/>
            <rFont val="Arial"/>
            <family val="2"/>
          </rPr>
          <t xml:space="preserve">Lease accounting impact: SG&amp;A down $65MM; D&amp;A up $30MM and Interst Exp. Up $50MM
</t>
        </r>
        <r>
          <rPr>
            <sz val="10"/>
            <rFont val="Arial"/>
            <family val="2"/>
          </rPr>
          <t xml:space="preserve">
Guidance 8/11/11:
</t>
        </r>
        <r>
          <rPr>
            <sz val="10"/>
            <rFont val="Arial"/>
            <family val="2"/>
          </rPr>
          <t>$0.76-$0.82</t>
        </r>
        <r>
          <rPr>
            <sz val="10"/>
            <rFont val="Arial"/>
            <family val="2"/>
          </rPr>
          <t xml:space="preserve">
</t>
        </r>
      </text>
    </comment>
    <comment ref="CM172" authorId="5">
      <text>
        <r>
          <rPr>
            <sz val="10"/>
            <rFont val="Arial"/>
            <family val="2"/>
          </rPr>
          <t xml:space="preserve">10/4/2012: </t>
        </r>
        <r>
          <rPr>
            <sz val="10"/>
            <rFont val="Arial"/>
            <family val="2"/>
          </rPr>
          <t xml:space="preserve">Street $0.87
</t>
        </r>
        <r>
          <rPr>
            <sz val="10"/>
            <rFont val="Arial"/>
            <family val="2"/>
          </rPr>
          <t xml:space="preserve">Guidance: </t>
        </r>
        <r>
          <rPr>
            <sz val="10"/>
            <rFont val="Arial"/>
            <family val="2"/>
          </rPr>
          <t>3Q $0.83-$0.89</t>
        </r>
      </text>
    </comment>
    <comment ref="CQ172" authorId="12">
      <text>
        <r>
          <rPr>
            <b/>
            <sz val="8"/>
            <color indexed="81"/>
            <rFont val="Tahoma"/>
            <family val="2"/>
          </rPr>
          <t xml:space="preserve">8/15/13: </t>
        </r>
        <r>
          <rPr>
            <sz val="8"/>
            <color indexed="81"/>
            <rFont val="Tahoma"/>
            <family val="2"/>
          </rPr>
          <t>guidance $0.83 - $0.92</t>
        </r>
        <r>
          <rPr>
            <sz val="8"/>
            <color indexed="81"/>
            <rFont val="Tahoma"/>
            <family val="2"/>
          </rPr>
          <t xml:space="preserve">
</t>
        </r>
      </text>
    </comment>
    <comment ref="CY172" authorId="10">
      <text>
        <r>
          <rPr>
            <b/>
            <sz val="9"/>
            <color indexed="81"/>
            <rFont val="Tahoma"/>
            <family val="2"/>
          </rPr>
          <t>Baglione, Gregory  (Research):</t>
        </r>
        <r>
          <rPr>
            <sz val="9"/>
            <color indexed="81"/>
            <rFont val="Tahoma"/>
            <family val="2"/>
          </rPr>
          <t xml:space="preserve">
11/5/15
Lowered EPS to 74c from 78c</t>
        </r>
      </text>
    </comment>
    <comment ref="BO173" authorId="15">
      <text>
        <r>
          <rPr>
            <sz val="10"/>
            <rFont val="Arial"/>
            <family val="2"/>
          </rPr>
          <t>1/4/07 - reaffirmed guidance of $1.36 to $1.42
11/9/2006 - reaffirmed guidance of  $1.36 to $1.42
$1.36-$1.42 (8/10/06)
We estimate a roughly 3 cent contribution from the 53rd week ($150M in sales and an EBIT margin slightly below that of the rest of 4Q sales given it's typically clearance merchandise)</t>
        </r>
      </text>
    </comment>
    <comment ref="BS173" authorId="3">
      <text>
        <r>
          <rPr>
            <sz val="10"/>
            <rFont val="Arial"/>
            <family val="2"/>
          </rPr>
          <t xml:space="preserve">Guidance: 2/7/08
The "low end" of $1.30-$1.34 range
Guidance: 1/10/08
$1.30-$1.34
Guidance: 11/15/07
$1.45-$1.51
Guidance: 8/16/2007
$1.63-$1.69
</t>
        </r>
      </text>
    </comment>
    <comment ref="BW173" authorId="4">
      <text>
        <r>
          <rPr>
            <sz val="10"/>
            <rFont val="Arial"/>
            <family val="2"/>
          </rPr>
          <t xml:space="preserve">2/5/09: Guidance
</t>
        </r>
        <r>
          <rPr>
            <sz val="10"/>
            <rFont val="Arial"/>
            <family val="2"/>
          </rPr>
          <t xml:space="preserve">Given the better-than-expected January sales and continued strong inventory and expense management, the Company now expects to exceed the current First Call consensus of $0.99
</t>
        </r>
        <r>
          <rPr>
            <sz val="10"/>
            <rFont val="Arial"/>
            <family val="2"/>
          </rPr>
          <t xml:space="preserve">
1/8/09: Guidance
</t>
        </r>
        <r>
          <rPr>
            <sz val="10"/>
            <rFont val="Arial"/>
            <family val="2"/>
          </rPr>
          <t xml:space="preserve">Mgmt is comfortable with FC consensus of $0.98
</t>
        </r>
        <r>
          <rPr>
            <sz val="10"/>
            <rFont val="Arial"/>
            <family val="2"/>
          </rPr>
          <t xml:space="preserve">
11/13/08: Guidance
</t>
        </r>
        <r>
          <rPr>
            <sz val="10"/>
            <rFont val="Arial"/>
            <family val="2"/>
          </rPr>
          <t xml:space="preserve">$0.90-$1.05
</t>
        </r>
        <r>
          <rPr>
            <sz val="10"/>
            <rFont val="Arial"/>
            <family val="2"/>
          </rPr>
          <t xml:space="preserve">
8/14/08: Guidance
</t>
        </r>
        <r>
          <rPr>
            <sz val="10"/>
            <rFont val="Arial"/>
            <family val="2"/>
          </rPr>
          <t>$1.26-$1.34</t>
        </r>
      </text>
    </comment>
    <comment ref="CA173" authorId="4">
      <text>
        <r>
          <rPr>
            <sz val="10"/>
            <rFont val="Arial"/>
            <family val="2"/>
          </rPr>
          <t xml:space="preserve">Note: 9/15/2011
Restated $1.38. We do not have full P&amp;L for 2009, just net income and EPS.
Guidance: 2/4/10
</t>
        </r>
        <r>
          <rPr>
            <sz val="10"/>
            <rFont val="Arial"/>
            <family val="2"/>
          </rPr>
          <t>Raise to $1.36-$1.37</t>
        </r>
        <r>
          <rPr>
            <sz val="10"/>
            <rFont val="Arial"/>
            <family val="2"/>
          </rPr>
          <t xml:space="preserve">
Guidance: 1/7/10
</t>
        </r>
        <r>
          <rPr>
            <sz val="10"/>
            <rFont val="Arial"/>
            <family val="2"/>
          </rPr>
          <t>Raise to $1.28-$1.30</t>
        </r>
        <r>
          <rPr>
            <sz val="10"/>
            <rFont val="Arial"/>
            <family val="2"/>
          </rPr>
          <t xml:space="preserve">
Guidance: 11/12/09
</t>
        </r>
        <r>
          <rPr>
            <sz val="10"/>
            <rFont val="Arial"/>
            <family val="2"/>
          </rPr>
          <t>$1.14-$1.24</t>
        </r>
        <r>
          <rPr>
            <sz val="10"/>
            <rFont val="Arial"/>
            <family val="2"/>
          </rPr>
          <t xml:space="preserve">
Guidance: 8/13/09
</t>
        </r>
        <r>
          <rPr>
            <sz val="10"/>
            <rFont val="Arial"/>
            <family val="2"/>
          </rPr>
          <t>$0.99-$1.06</t>
        </r>
        <r>
          <rPr>
            <sz val="10"/>
            <rFont val="Arial"/>
            <family val="2"/>
          </rPr>
          <t xml:space="preserve">
</t>
        </r>
      </text>
    </comment>
    <comment ref="CE173" authorId="2">
      <text>
        <r>
          <rPr>
            <sz val="10"/>
            <rFont val="Arial"/>
            <family val="2"/>
          </rPr>
          <t xml:space="preserve">Note: 9/15/2011
Restated $1.66
Guidance: 2/3/2011
</t>
        </r>
        <r>
          <rPr>
            <sz val="10"/>
            <rFont val="Arial"/>
            <family val="2"/>
          </rPr>
          <t>Raised to</t>
        </r>
        <r>
          <rPr>
            <sz val="10"/>
            <rFont val="Arial"/>
            <family val="2"/>
          </rPr>
          <t xml:space="preserve"> </t>
        </r>
        <r>
          <rPr>
            <sz val="10"/>
            <rFont val="Arial"/>
            <family val="2"/>
          </rPr>
          <t>$1.65-$1.66</t>
        </r>
        <r>
          <rPr>
            <sz val="10"/>
            <rFont val="Arial"/>
            <family val="2"/>
          </rPr>
          <t xml:space="preserve">
Guidance: 1/6/2011
</t>
        </r>
        <r>
          <rPr>
            <sz val="10"/>
            <rFont val="Arial"/>
            <family val="2"/>
          </rPr>
          <t>$1.62-$1.66</t>
        </r>
        <r>
          <rPr>
            <sz val="10"/>
            <rFont val="Arial"/>
            <family val="2"/>
          </rPr>
          <t xml:space="preserve">
Guidance 12/9/10:
</t>
        </r>
        <r>
          <rPr>
            <sz val="10"/>
            <rFont val="Arial"/>
            <family val="2"/>
          </rPr>
          <t>Raised to $1.58-$1.66
Includes 16.4mn shares acquired in Nov/Dec as part of Accel Share Repurchase program</t>
        </r>
        <r>
          <rPr>
            <sz val="10"/>
            <rFont val="Arial"/>
            <family val="2"/>
          </rPr>
          <t xml:space="preserve">
Guidance 11/17/10:
</t>
        </r>
        <r>
          <rPr>
            <sz val="10"/>
            <rFont val="Arial"/>
            <family val="2"/>
          </rPr>
          <t>Raised to $1.56-$1.64, or by 5 cents, to acct for 12.563M share buyback re accelerated share repurchase program</t>
        </r>
        <r>
          <rPr>
            <sz val="10"/>
            <rFont val="Arial"/>
            <family val="2"/>
          </rPr>
          <t xml:space="preserve">
Guidance 11/11/10:
</t>
        </r>
        <r>
          <rPr>
            <sz val="10"/>
            <rFont val="Arial"/>
            <family val="2"/>
          </rPr>
          <t xml:space="preserve">$1.51-$1.59
</t>
        </r>
        <r>
          <rPr>
            <sz val="10"/>
            <rFont val="Arial"/>
            <family val="2"/>
          </rPr>
          <t xml:space="preserve">
Guidance 8/12/10:
</t>
        </r>
        <r>
          <rPr>
            <sz val="10"/>
            <rFont val="Arial"/>
            <family val="2"/>
          </rPr>
          <t>$1.51-$1.59</t>
        </r>
      </text>
    </comment>
    <comment ref="CI173" authorId="5">
      <text>
        <r>
          <rPr>
            <sz val="10"/>
            <rFont val="Arial"/>
            <family val="2"/>
          </rPr>
          <t xml:space="preserve">2/2/12/ Guidance
</t>
        </r>
        <r>
          <rPr>
            <sz val="10"/>
            <rFont val="Arial"/>
            <family val="2"/>
          </rPr>
          <t>1) 4Q EPS raised to $1.79-$1.80 
2) strong expense mgmt during the quarter contributed to better-than-expected profitability
3) FY EPS $4.29-$4.30</t>
        </r>
        <r>
          <rPr>
            <sz val="10"/>
            <rFont val="Arial"/>
            <family val="2"/>
          </rPr>
          <t xml:space="preserve">
1/5/12 Guidance
</t>
        </r>
        <r>
          <rPr>
            <sz val="10"/>
            <rFont val="Arial"/>
            <family val="2"/>
          </rPr>
          <t>1) Guidance for 4Q lowered to $1.70-1.73
2) Guidance for 2011 lowered to $4.20-4.23</t>
        </r>
        <r>
          <rPr>
            <sz val="10"/>
            <rFont val="Arial"/>
            <family val="2"/>
          </rPr>
          <t xml:space="preserve">
12/1/11 Commentary
</t>
        </r>
        <r>
          <rPr>
            <sz val="10"/>
            <rFont val="Arial"/>
            <family val="2"/>
          </rPr>
          <t>Still expect to fall in guidance despite Dec miss</t>
        </r>
        <r>
          <rPr>
            <sz val="10"/>
            <rFont val="Arial"/>
            <family val="2"/>
          </rPr>
          <t xml:space="preserve">
11/10/11 Guidance:
</t>
        </r>
        <r>
          <rPr>
            <sz val="10"/>
            <rFont val="Arial"/>
            <family val="2"/>
          </rPr>
          <t>1) $1.93-$2.04</t>
        </r>
        <r>
          <rPr>
            <sz val="10"/>
            <rFont val="Arial"/>
            <family val="2"/>
          </rPr>
          <t xml:space="preserve">
Guidance 10/6/11:
</t>
        </r>
        <r>
          <rPr>
            <sz val="10"/>
            <rFont val="Arial"/>
            <family val="2"/>
          </rPr>
          <t xml:space="preserve">$0.03 impact from lease accounting
October 10/6/11 Guidance:
Lease accounting impact: SG&amp;A down $65MM; D&amp;A up $30MM and Interest Exp. Up $50MM
</t>
        </r>
      </text>
    </comment>
    <comment ref="CM173" authorId="5">
      <text>
        <r>
          <rPr>
            <sz val="10"/>
            <rFont val="Arial"/>
            <family val="2"/>
          </rPr>
          <t xml:space="preserve">1/3/2013 Guidance:  </t>
        </r>
        <r>
          <rPr>
            <sz val="10"/>
            <rFont val="Arial"/>
            <family val="2"/>
          </rPr>
          <t>$1.60-$1.62</t>
        </r>
        <r>
          <rPr>
            <sz val="10"/>
            <rFont val="Arial"/>
            <family val="2"/>
          </rPr>
          <t xml:space="preserve">
11/8/2012 Guidance </t>
        </r>
        <r>
          <rPr>
            <sz val="10"/>
            <rFont val="Arial"/>
            <family val="2"/>
          </rPr>
          <t>$2.00-$2.08, incl 8c to EPS from the extra wk</t>
        </r>
        <r>
          <rPr>
            <sz val="10"/>
            <rFont val="Arial"/>
            <family val="2"/>
          </rPr>
          <t xml:space="preserve">
Guidance 1/5/12
</t>
        </r>
        <r>
          <rPr>
            <sz val="10"/>
            <rFont val="Arial"/>
            <family val="2"/>
          </rPr>
          <t xml:space="preserve">- Extra week to add +$200M to revenues
- 11% op mgn on $200M would be min. flow through (could be more)
</t>
        </r>
        <r>
          <rPr>
            <sz val="10"/>
            <rFont val="Arial"/>
            <family val="2"/>
          </rPr>
          <t xml:space="preserve">Note: 
- </t>
        </r>
        <r>
          <rPr>
            <sz val="10"/>
            <rFont val="Arial"/>
            <family val="2"/>
          </rPr>
          <t>Extra week in January 2013
- Had ~$0.03 impact in 4Q06 (MS estimate)
- Extra week of sales has lower EBIT margin as merchandise sold is mostly clearance</t>
        </r>
      </text>
    </comment>
    <comment ref="CQ173" authorId="13">
      <text>
        <r>
          <rPr>
            <b/>
            <sz val="8"/>
            <color indexed="81"/>
            <rFont val="Tahoma"/>
            <family val="2"/>
          </rPr>
          <t>11/14/13: guidance $1.59-$1.74</t>
        </r>
        <r>
          <rPr>
            <sz val="8"/>
            <color indexed="81"/>
            <rFont val="Tahoma"/>
            <family val="2"/>
          </rPr>
          <t xml:space="preserve">
</t>
        </r>
        <r>
          <rPr>
            <b/>
            <sz val="8"/>
            <color indexed="81"/>
            <rFont val="Tahoma"/>
            <family val="2"/>
          </rPr>
          <t>2/6/14:</t>
        </r>
        <r>
          <rPr>
            <sz val="8"/>
            <color indexed="81"/>
            <rFont val="Tahoma"/>
            <family val="2"/>
          </rPr>
          <t xml:space="preserve"> new guidance $1.53</t>
        </r>
      </text>
    </comment>
    <comment ref="DG173" authorId="8">
      <text>
        <r>
          <rPr>
            <b/>
            <sz val="9"/>
            <color indexed="81"/>
            <rFont val="Tahoma"/>
            <family val="2"/>
          </rPr>
          <t>De Courreges, Edouard (Research):</t>
        </r>
        <r>
          <rPr>
            <sz val="9"/>
            <color indexed="81"/>
            <rFont val="Tahoma"/>
            <family val="2"/>
          </rPr>
          <t xml:space="preserve">
The 53rd week contributed approximately $0.10 to our EPS</t>
        </r>
      </text>
    </comment>
    <comment ref="BO174" authorId="15">
      <text>
        <r>
          <rPr>
            <sz val="10"/>
            <rFont val="Arial"/>
            <family val="2"/>
          </rPr>
          <t>raised to $3.16 to $3.24 (11/9/06) as a result of Q3 performance 
raised to $3.04-$3.13 on 2Q earnings call (8/10/06); assumes no additional share buybacks</t>
        </r>
        <r>
          <rPr>
            <sz val="10"/>
            <rFont val="Arial"/>
            <family val="2"/>
          </rPr>
          <t xml:space="preserve">
raised to $2.91-$3.02 following 1Q06 earnings call
guided to $2.72-$2.85 on 4Q call; raised guidance to $2.74-$2.87 following sale of credit (ex eps impact from share buybacks)</t>
        </r>
      </text>
    </comment>
    <comment ref="BS174" authorId="3">
      <text>
        <r>
          <rPr>
            <sz val="10"/>
            <rFont val="Arial"/>
            <family val="2"/>
          </rPr>
          <t xml:space="preserve">Guidance 11/15/07:
$3.52-$3.58
Guidance: 8/16/07
$3.77-$3.87
Guidance: 5/17/07
$3.75-$3.87
Guidance: 3/1/07
$3.68-$3.84
Consensus 2/3/2007
$3.84
</t>
        </r>
      </text>
    </comment>
    <comment ref="BW174" authorId="0">
      <text>
        <r>
          <rPr>
            <sz val="10"/>
            <rFont val="Arial"/>
            <family val="2"/>
          </rPr>
          <t xml:space="preserve">Guidance: 11/13/08
</t>
        </r>
        <r>
          <rPr>
            <sz val="10"/>
            <rFont val="Arial"/>
            <family val="2"/>
          </rPr>
          <t>$2.69-$2.84</t>
        </r>
        <r>
          <rPr>
            <sz val="10"/>
            <rFont val="Arial"/>
            <family val="2"/>
          </rPr>
          <t xml:space="preserve">
Guidance: 8/14/08
</t>
        </r>
        <r>
          <rPr>
            <sz val="10"/>
            <rFont val="Arial"/>
            <family val="2"/>
          </rPr>
          <t>$3.02-$3.18</t>
        </r>
        <r>
          <rPr>
            <sz val="10"/>
            <rFont val="Arial"/>
            <family val="2"/>
          </rPr>
          <t xml:space="preserve">
Guidance: 5/15/2008
</t>
        </r>
        <r>
          <rPr>
            <sz val="10"/>
            <rFont val="Arial"/>
            <family val="2"/>
          </rPr>
          <t>$2.95-$3.15 (does not reflect additional repos)</t>
        </r>
        <r>
          <rPr>
            <sz val="10"/>
            <rFont val="Arial"/>
            <family val="2"/>
          </rPr>
          <t xml:space="preserve">
2/28/2008: </t>
        </r>
        <r>
          <rPr>
            <sz val="10"/>
            <rFont val="Arial"/>
            <family val="2"/>
          </rPr>
          <t xml:space="preserve">$3.15-$3.50 (assumes no share repurchases)
</t>
        </r>
      </text>
    </comment>
    <comment ref="CA174" authorId="4">
      <text>
        <r>
          <rPr>
            <sz val="10"/>
            <rFont val="Arial"/>
            <family val="2"/>
          </rPr>
          <t xml:space="preserve">Note: 9/15/2011
Restated $3.17. We do not have full P&amp;L for 2009, just net income and EPS.
Guidance: 11/12/09
</t>
        </r>
        <r>
          <rPr>
            <sz val="10"/>
            <rFont val="Arial"/>
            <family val="2"/>
          </rPr>
          <t>$2.98-$3.08</t>
        </r>
        <r>
          <rPr>
            <sz val="10"/>
            <rFont val="Arial"/>
            <family val="2"/>
          </rPr>
          <t xml:space="preserve">
Guidance: 8/13/09
</t>
        </r>
        <r>
          <rPr>
            <sz val="10"/>
            <rFont val="Arial"/>
            <family val="2"/>
          </rPr>
          <t>$2.59-$2.70</t>
        </r>
        <r>
          <rPr>
            <sz val="10"/>
            <rFont val="Arial"/>
            <family val="2"/>
          </rPr>
          <t xml:space="preserve">
Guidance: 5/14/09
</t>
        </r>
        <r>
          <rPr>
            <sz val="10"/>
            <rFont val="Arial"/>
            <family val="2"/>
          </rPr>
          <t xml:space="preserve">$2.19-$2.42
</t>
        </r>
        <r>
          <rPr>
            <sz val="10"/>
            <rFont val="Arial"/>
            <family val="2"/>
          </rPr>
          <t xml:space="preserve">
Guidance: 2/26/09
</t>
        </r>
        <r>
          <rPr>
            <sz val="10"/>
            <rFont val="Arial"/>
            <family val="2"/>
          </rPr>
          <t>$2.00-$2.30</t>
        </r>
      </text>
    </comment>
    <comment ref="CI174" authorId="2">
      <text>
        <r>
          <rPr>
            <sz val="10"/>
            <rFont val="Arial"/>
            <family val="2"/>
          </rPr>
          <t xml:space="preserve">2/2/12/ Guidance
</t>
        </r>
        <r>
          <rPr>
            <sz val="10"/>
            <rFont val="Arial"/>
            <family val="2"/>
          </rPr>
          <t xml:space="preserve">1) 4Q EPS raised to $1.79-$1.80 
2) strong expense mgmt during the quarter contributed to better-than-expected profitability
3) FY EPS $4.29-$4.30
</t>
        </r>
        <r>
          <rPr>
            <sz val="10"/>
            <rFont val="Arial"/>
            <family val="2"/>
          </rPr>
          <t xml:space="preserve">
1/5/12 Guidance
</t>
        </r>
        <r>
          <rPr>
            <sz val="10"/>
            <rFont val="Arial"/>
            <family val="2"/>
          </rPr>
          <t>1) Guidance for 4Q lowered to $1.70-1.73
2) Guidance for 2011 lowered to $4.20-4.23</t>
        </r>
        <r>
          <rPr>
            <sz val="10"/>
            <rFont val="Arial"/>
            <family val="2"/>
          </rPr>
          <t xml:space="preserve">
FY11 EPS
11/10/11 Guidance:
</t>
        </r>
        <r>
          <rPr>
            <sz val="10"/>
            <rFont val="Arial"/>
            <family val="2"/>
          </rPr>
          <t xml:space="preserve">1) $4.41-4.52
</t>
        </r>
        <r>
          <rPr>
            <sz val="10"/>
            <rFont val="Arial"/>
            <family val="2"/>
          </rPr>
          <t xml:space="preserve">
Guidance 10/6/11:
</t>
        </r>
        <r>
          <rPr>
            <sz val="10"/>
            <rFont val="Arial"/>
            <family val="2"/>
          </rPr>
          <t>Lowered to $4.34-$4.49 w/ $0.11 impact from lease accounting</t>
        </r>
        <r>
          <rPr>
            <sz val="10"/>
            <rFont val="Arial"/>
            <family val="2"/>
          </rPr>
          <t xml:space="preserve">
Guidance 8/11/11:
</t>
        </r>
        <r>
          <rPr>
            <sz val="10"/>
            <rFont val="Arial"/>
            <family val="2"/>
          </rPr>
          <t xml:space="preserve">Raised to $4.45-$4.60 </t>
        </r>
        <r>
          <rPr>
            <sz val="10"/>
            <rFont val="Arial"/>
            <family val="2"/>
          </rPr>
          <t xml:space="preserve">
</t>
        </r>
        <r>
          <rPr>
            <sz val="10"/>
            <rFont val="Arial"/>
            <family val="2"/>
          </rPr>
          <t>Does NOT include repo assumption for 4Q</t>
        </r>
        <r>
          <rPr>
            <sz val="10"/>
            <rFont val="Arial"/>
            <family val="2"/>
          </rPr>
          <t xml:space="preserve">
Guidance 5/12/11:
</t>
        </r>
        <r>
          <rPr>
            <sz val="10"/>
            <rFont val="Arial"/>
            <family val="2"/>
          </rPr>
          <t>Raised to</t>
        </r>
        <r>
          <rPr>
            <sz val="10"/>
            <rFont val="Arial"/>
            <family val="2"/>
          </rPr>
          <t xml:space="preserve"> </t>
        </r>
        <r>
          <rPr>
            <sz val="10"/>
            <rFont val="Arial"/>
            <family val="2"/>
          </rPr>
          <t>$4.25-$4.40 
Includes repo for 1H/Excludes 2H share repo</t>
        </r>
        <r>
          <rPr>
            <sz val="10"/>
            <rFont val="Arial"/>
            <family val="2"/>
          </rPr>
          <t xml:space="preserve">
Guidance 2/24/11:
</t>
        </r>
        <r>
          <rPr>
            <sz val="10"/>
            <rFont val="Arial"/>
            <family val="2"/>
          </rPr>
          <t xml:space="preserve">$4.05-4.25 (Note: Company guidance does NOT include any share buybacks, which should add ~$0.12 to EPS)
</t>
        </r>
      </text>
    </comment>
    <comment ref="CM174" authorId="3">
      <text>
        <r>
          <rPr>
            <b/>
            <sz val="8"/>
            <color indexed="81"/>
            <rFont val="Tahoma"/>
            <family val="2"/>
          </rPr>
          <t xml:space="preserve">2/28/2013 Guidance: </t>
        </r>
        <r>
          <rPr>
            <sz val="8"/>
            <color indexed="81"/>
            <rFont val="Tahoma"/>
            <family val="2"/>
          </rPr>
          <t>6c benefit from extra week</t>
        </r>
        <r>
          <rPr>
            <b/>
            <sz val="8"/>
            <color indexed="81"/>
            <rFont val="Tahoma"/>
            <family val="2"/>
          </rPr>
          <t xml:space="preserve">
1/3/2013 Guidance:  </t>
        </r>
        <r>
          <rPr>
            <sz val="8"/>
            <color indexed="81"/>
            <rFont val="Tahoma"/>
            <family val="2"/>
          </rPr>
          <t>$4.11-$4.13</t>
        </r>
        <r>
          <rPr>
            <b/>
            <sz val="8"/>
            <color indexed="81"/>
            <rFont val="Tahoma"/>
            <family val="2"/>
          </rPr>
          <t xml:space="preserve">
11/8/2012 Guidance: </t>
        </r>
        <r>
          <rPr>
            <sz val="8"/>
            <color indexed="81"/>
            <rFont val="Tahoma"/>
            <family val="2"/>
          </rPr>
          <t>$4.52-$4.60</t>
        </r>
        <r>
          <rPr>
            <b/>
            <sz val="8"/>
            <color indexed="81"/>
            <rFont val="Tahoma"/>
            <family val="2"/>
          </rPr>
          <t xml:space="preserve">
8/9/2012 Guidance </t>
        </r>
        <r>
          <rPr>
            <sz val="8"/>
            <color indexed="81"/>
            <rFont val="Tahoma"/>
            <family val="2"/>
          </rPr>
          <t>$4.50-$4.65, reduction based on lower GM expectations in 2H</t>
        </r>
        <r>
          <rPr>
            <b/>
            <sz val="8"/>
            <color indexed="81"/>
            <rFont val="Tahoma"/>
            <family val="2"/>
          </rPr>
          <t xml:space="preserve">
7/5/2012  Assumption: </t>
        </r>
        <r>
          <rPr>
            <sz val="8"/>
            <color indexed="81"/>
            <rFont val="Tahoma"/>
            <family val="2"/>
          </rPr>
          <t>Assume FY below latest guidance given 2Q at low end of $0.96-$1.02 guidance due to sales miss; but not full 6c impact as incentive comp remains down remainder of year</t>
        </r>
        <r>
          <rPr>
            <b/>
            <sz val="8"/>
            <color indexed="81"/>
            <rFont val="Tahoma"/>
            <family val="2"/>
          </rPr>
          <t xml:space="preserve">
5/10/2012 Guidance </t>
        </r>
        <r>
          <rPr>
            <sz val="8"/>
            <color indexed="81"/>
            <rFont val="Tahoma"/>
            <family val="2"/>
          </rPr>
          <t>$4.75 FY12 EPS</t>
        </r>
        <r>
          <rPr>
            <b/>
            <sz val="8"/>
            <color indexed="81"/>
            <rFont val="Tahoma"/>
            <family val="2"/>
          </rPr>
          <t xml:space="preserve">
Guidance: 2/23/2012 </t>
        </r>
        <r>
          <rPr>
            <sz val="8"/>
            <color indexed="81"/>
            <rFont val="Tahoma"/>
            <family val="2"/>
          </rPr>
          <t>$4.75 FY12 EPS
Includes the following:
1) 10c from extra week
2) $1Bn in share buybacks (at an avg. price of $55/share)</t>
        </r>
        <r>
          <rPr>
            <b/>
            <sz val="8"/>
            <color indexed="81"/>
            <rFont val="Tahoma"/>
            <family val="2"/>
          </rPr>
          <t xml:space="preserve">
</t>
        </r>
      </text>
    </comment>
    <comment ref="CQ174" authorId="5">
      <text>
        <r>
          <rPr>
            <b/>
            <sz val="8"/>
            <color indexed="81"/>
            <rFont val="Tahoma"/>
            <family val="2"/>
          </rPr>
          <t xml:space="preserve">2/28/2013 guidance: </t>
        </r>
        <r>
          <rPr>
            <sz val="8"/>
            <color indexed="81"/>
            <rFont val="Tahoma"/>
            <family val="2"/>
          </rPr>
          <t xml:space="preserve">$4.15-$4.45, lapping 6c benefit from extra week LY
</t>
        </r>
        <r>
          <rPr>
            <b/>
            <sz val="8"/>
            <color indexed="81"/>
            <rFont val="Tahoma"/>
            <family val="2"/>
          </rPr>
          <t>8/15/13</t>
        </r>
        <r>
          <rPr>
            <sz val="8"/>
            <color indexed="81"/>
            <rFont val="Tahoma"/>
            <family val="2"/>
          </rPr>
          <t xml:space="preserve">: Lowered higher end, now at $4.15-$4.35
</t>
        </r>
        <r>
          <rPr>
            <b/>
            <sz val="8"/>
            <color indexed="81"/>
            <rFont val="Tahoma"/>
            <family val="2"/>
          </rPr>
          <t>11/14/13:</t>
        </r>
        <r>
          <rPr>
            <sz val="8"/>
            <color indexed="81"/>
            <rFont val="Tahoma"/>
            <family val="2"/>
          </rPr>
          <t xml:space="preserve"> Lowered to $4.08-$4.23
</t>
        </r>
        <r>
          <rPr>
            <b/>
            <sz val="8"/>
            <color indexed="81"/>
            <rFont val="Tahoma"/>
            <family val="2"/>
          </rPr>
          <t>2/6/14:</t>
        </r>
        <r>
          <rPr>
            <sz val="8"/>
            <color indexed="81"/>
            <rFont val="Tahoma"/>
            <family val="2"/>
          </rPr>
          <t xml:space="preserve"> Lowered to $4.03</t>
        </r>
      </text>
    </comment>
    <comment ref="CU174" authorId="13">
      <text>
        <r>
          <rPr>
            <b/>
            <sz val="8"/>
            <color indexed="81"/>
            <rFont val="Tahoma"/>
            <family val="2"/>
          </rPr>
          <t xml:space="preserve">2/27/14 guidance: </t>
        </r>
        <r>
          <rPr>
            <sz val="8"/>
            <color indexed="81"/>
            <rFont val="Tahoma"/>
            <family val="2"/>
          </rPr>
          <t>$4.05-$4.45</t>
        </r>
        <r>
          <rPr>
            <sz val="8"/>
            <color indexed="81"/>
            <rFont val="Tahoma"/>
            <family val="2"/>
          </rPr>
          <t xml:space="preserve">
</t>
        </r>
        <r>
          <rPr>
            <b/>
            <sz val="8"/>
            <color indexed="81"/>
            <rFont val="Tahoma"/>
            <family val="2"/>
          </rPr>
          <t>5/15/14 guidance:</t>
        </r>
        <r>
          <rPr>
            <sz val="8"/>
            <color indexed="81"/>
            <rFont val="Tahoma"/>
            <family val="2"/>
          </rPr>
          <t xml:space="preserve"> $4.05-$4.45
</t>
        </r>
        <r>
          <rPr>
            <b/>
            <sz val="8"/>
            <color indexed="81"/>
            <rFont val="Tahoma"/>
            <family val="2"/>
          </rPr>
          <t>8/15/14 guidance:</t>
        </r>
        <r>
          <rPr>
            <sz val="8"/>
            <color indexed="81"/>
            <rFont val="Tahoma"/>
            <family val="2"/>
          </rPr>
          <t xml:space="preserve"> $4.05-$4.45
</t>
        </r>
        <r>
          <rPr>
            <b/>
            <sz val="8"/>
            <color indexed="81"/>
            <rFont val="Tahoma"/>
            <family val="2"/>
          </rPr>
          <t>10/28/14 guidance:</t>
        </r>
        <r>
          <rPr>
            <sz val="8"/>
            <color indexed="81"/>
            <rFont val="Tahoma"/>
            <family val="2"/>
          </rPr>
          <t xml:space="preserve"> near the low end $4.05
</t>
        </r>
        <r>
          <rPr>
            <b/>
            <sz val="8"/>
            <color indexed="81"/>
            <rFont val="Tahoma"/>
            <family val="2"/>
          </rPr>
          <t>11/12/14 guidance:</t>
        </r>
        <r>
          <rPr>
            <sz val="8"/>
            <color indexed="81"/>
            <rFont val="Tahoma"/>
            <family val="2"/>
          </rPr>
          <t xml:space="preserve"> low end $4.05
</t>
        </r>
        <r>
          <rPr>
            <b/>
            <sz val="8"/>
            <color indexed="81"/>
            <rFont val="Tahoma"/>
            <family val="2"/>
          </rPr>
          <t>2/4/15:</t>
        </r>
        <r>
          <rPr>
            <sz val="8"/>
            <color indexed="81"/>
            <rFont val="Tahoma"/>
            <family val="2"/>
          </rPr>
          <t xml:space="preserve"> raised guidance to $4.20-$4.22</t>
        </r>
      </text>
    </comment>
    <comment ref="CY174" authorId="9">
      <text>
        <r>
          <rPr>
            <b/>
            <sz val="9"/>
            <color indexed="81"/>
            <rFont val="Tahoma"/>
            <family val="2"/>
          </rPr>
          <t>Mains, Spencer (Research):</t>
        </r>
        <r>
          <rPr>
            <sz val="9"/>
            <color indexed="81"/>
            <rFont val="Tahoma"/>
            <family val="2"/>
          </rPr>
          <t xml:space="preserve">
2/4/16
The Company now expects its fiscal 2015 diluted earnings per share to be $3.40
to $3.45. Excluding debt extinguishment losses recorded in prior quarters,
fiscal 2015 diluted earnings per share is expected to be</t>
        </r>
        <r>
          <rPr>
            <b/>
            <sz val="9"/>
            <color indexed="81"/>
            <rFont val="Tahoma"/>
            <family val="2"/>
          </rPr>
          <t xml:space="preserve"> $3.95-$4.00</t>
        </r>
        <r>
          <rPr>
            <sz val="9"/>
            <color indexed="81"/>
            <rFont val="Tahoma"/>
            <family val="2"/>
          </rPr>
          <t xml:space="preserve">, down from
its previously stated guidance of toward the low end of $4.40 to $4.60 per
diluted share. 
</t>
        </r>
        <r>
          <rPr>
            <b/>
            <sz val="9"/>
            <color indexed="81"/>
            <rFont val="Tahoma"/>
            <family val="2"/>
          </rPr>
          <t xml:space="preserve">8/13/15: </t>
        </r>
        <r>
          <rPr>
            <sz val="9"/>
            <color indexed="81"/>
            <rFont val="Tahoma"/>
            <family val="2"/>
          </rPr>
          <t xml:space="preserve">Now expect to be at low end of previous $4.40-4.60 guidance.
"To hit $4.40 we probably have to run close to a 2 comp for the back half" - Wes
</t>
        </r>
        <r>
          <rPr>
            <b/>
            <sz val="9"/>
            <color indexed="81"/>
            <rFont val="Tahoma"/>
            <family val="2"/>
          </rPr>
          <t xml:space="preserve">2/26/15 guidance: $4.40-4.60
</t>
        </r>
      </text>
    </comment>
    <comment ref="DC174" authorId="10">
      <text>
        <r>
          <rPr>
            <sz val="9"/>
            <color indexed="81"/>
            <rFont val="Tahoma"/>
            <family val="2"/>
          </rPr>
          <t xml:space="preserve">
</t>
        </r>
        <r>
          <rPr>
            <b/>
            <sz val="9"/>
            <color indexed="81"/>
            <rFont val="Tahoma"/>
            <family val="2"/>
          </rPr>
          <t>1/4/17</t>
        </r>
        <r>
          <rPr>
            <sz val="9"/>
            <color indexed="81"/>
            <rFont val="Tahoma"/>
            <family val="2"/>
          </rPr>
          <t xml:space="preserve">
The Company now expects its fiscal 2016 diluted earnings per share to be $2.92
to $2.97 versus its previous guidance of $3.12 to $3.32 per diluted share.
Excluding impairments, store closing and other costs, fiscal 2016 diluted
earnings per share is expected to be $3.60 to $3.65, down from the Company’s
previously stated guidance of $3.80 to $4.00 per diluted share.
The change in guidance is primarily a result of lower than planned sales for
the quarter. Gross margin is projected to be lower than plan due to the mix
and timing of the sales and the competitive promotional environment. SG&amp;amp;A
expenses are projected to be as planned. Inventories per store at the end of
the fourth quarter are projected to decrease from prior year levels in the
mid-to-high single digit range.
11/10/16
The company reaffirmed its prior fiscal 2016 diluted earnings per share guidance of $3.12 to $3.32
per diluted share. Excluding impairments, store closing and other costs, fiscal 2016 diluted
earnings per share is expected to be $3.80 to $4.00.
prev: 3.90
curr:4.00
8/11/16
Updated guidance $3.80-$4.00
Assumptions for Fall season
Fall sales -2.6% to -.6%
Comps -2% to flat
GM improvement +20-40 bps y/y
SG&amp;A dollar growth 0.5% to 2.0% over last year
</t>
        </r>
        <r>
          <rPr>
            <b/>
            <sz val="9"/>
            <color indexed="81"/>
            <rFont val="Tahoma"/>
            <family val="2"/>
          </rPr>
          <t xml:space="preserve">
Baglione, Gregory  (Research):</t>
        </r>
        <r>
          <rPr>
            <sz val="9"/>
            <color indexed="81"/>
            <rFont val="Tahoma"/>
            <family val="2"/>
          </rPr>
          <t xml:space="preserve">
FY16 $4.05-$4.25- no change post 1Q
</t>
        </r>
      </text>
    </comment>
    <comment ref="DG174" authorId="7">
      <text>
        <r>
          <rPr>
            <b/>
            <sz val="9"/>
            <color indexed="81"/>
            <rFont val="Tahoma"/>
            <family val="2"/>
          </rPr>
          <t>Cassel, Lauren (Research):</t>
        </r>
        <r>
          <rPr>
            <sz val="9"/>
            <color indexed="81"/>
            <rFont val="Tahoma"/>
            <family val="2"/>
          </rPr>
          <t xml:space="preserve">
1/8/18: guidance $3.98-$4.08; $4.10-$4.20 including impact of 4Q tax settlement
11/9/17: guidance $3.60-$3.80; $3.72-$3.92 including impact of 4Q tax settlement
2/23/17: guidance $3.50-3.80</t>
        </r>
      </text>
    </comment>
    <comment ref="DK180" authorId="8">
      <text>
        <r>
          <rPr>
            <b/>
            <sz val="9"/>
            <color indexed="81"/>
            <rFont val="Tahoma"/>
            <family val="2"/>
          </rPr>
          <t>De Courreges, Edouard (Research):</t>
        </r>
        <r>
          <rPr>
            <sz val="9"/>
            <color indexed="81"/>
            <rFont val="Tahoma"/>
            <family val="2"/>
          </rPr>
          <t xml:space="preserve">
3/1/18: 45c-50c guide</t>
        </r>
      </text>
    </comment>
    <comment ref="DC184" authorId="10">
      <text>
        <r>
          <rPr>
            <sz val="9"/>
            <color indexed="81"/>
            <rFont val="Tahoma"/>
            <family val="2"/>
          </rPr>
          <t xml:space="preserve">
</t>
        </r>
        <r>
          <rPr>
            <b/>
            <sz val="9"/>
            <color indexed="81"/>
            <rFont val="Tahoma"/>
            <family val="2"/>
          </rPr>
          <t>1/4/17</t>
        </r>
        <r>
          <rPr>
            <sz val="9"/>
            <color indexed="81"/>
            <rFont val="Tahoma"/>
            <family val="2"/>
          </rPr>
          <t xml:space="preserve">
The Company now expects its fiscal 2016 diluted earnings per share to be $2.92
to $2.97 versus its previous guidance of $3.12 to $3.32 per diluted share.
Excluding impairments, store closing and other costs, fiscal 2016 diluted
earnings per share is expected to be $3.60 to $3.65, down from the Company’s
previously stated guidance of $3.80 to $4.00 per diluted share.
The change in guidance is primarily a result of lower than planned sales for
the quarter. Gross margin is projected to be lower than plan due to the mix
and timing of the sales and the competitive promotional environment. SG&amp;amp;A
expenses are projected to be as planned. Inventories per store at the end of
the fourth quarter are projected to decrease from prior year levels in the
mid-to-high single digit range.
11/10/16
The company reaffirmed its prior fiscal 2016 diluted earnings per share guidance of $3.12 to $3.32
per diluted share. Excluding impairments, store closing and other costs, fiscal 2016 diluted
earnings per share is expected to be $3.80 to $4.00.
prev: 3.90
curr:4.00
8/11/16
Updated guidance $3.80-$4.00
Assumptions for Fall season
Fall sales -2.6% to -.6%
Comps -2% to flat
GM improvement +20-40 bps y/y
SG&amp;A dollar growth 0.5% to 2.0% over last year
</t>
        </r>
        <r>
          <rPr>
            <b/>
            <sz val="9"/>
            <color indexed="81"/>
            <rFont val="Tahoma"/>
            <family val="2"/>
          </rPr>
          <t xml:space="preserve">
Baglione, Gregory  (Research):</t>
        </r>
        <r>
          <rPr>
            <sz val="9"/>
            <color indexed="81"/>
            <rFont val="Tahoma"/>
            <family val="2"/>
          </rPr>
          <t xml:space="preserve">
FY16 $4.05-$4.25- no change post 1Q
</t>
        </r>
      </text>
    </comment>
    <comment ref="DK184" authorId="8">
      <text>
        <r>
          <rPr>
            <b/>
            <sz val="9"/>
            <color indexed="81"/>
            <rFont val="Tahoma"/>
            <family val="2"/>
          </rPr>
          <t>De Courreges, Edouard (Research):</t>
        </r>
        <r>
          <rPr>
            <sz val="9"/>
            <color indexed="81"/>
            <rFont val="Tahoma"/>
            <family val="2"/>
          </rPr>
          <t xml:space="preserve">
3/1/18: $4.95-5.45 Guide</t>
        </r>
      </text>
    </comment>
    <comment ref="CI190" authorId="2">
      <text>
        <r>
          <rPr>
            <sz val="10"/>
            <rFont val="Arial"/>
            <family val="2"/>
          </rPr>
          <t xml:space="preserve">Guidance 2/24/11:
</t>
        </r>
        <r>
          <rPr>
            <sz val="10"/>
            <rFont val="Arial"/>
            <family val="2"/>
          </rPr>
          <t>293mn for 1Q
No buyback included</t>
        </r>
      </text>
    </comment>
    <comment ref="CM190" authorId="5">
      <text>
        <r>
          <rPr>
            <sz val="10"/>
            <rFont val="Arial"/>
            <family val="2"/>
          </rPr>
          <t xml:space="preserve">Guidance: 2/23/2012
</t>
        </r>
        <r>
          <rPr>
            <sz val="10"/>
            <rFont val="Arial"/>
            <family val="2"/>
          </rPr>
          <t>245M diluted share ct w/ $305M in share repurchases in 1Q at $53/shr</t>
        </r>
      </text>
    </comment>
    <comment ref="CI191" authorId="2">
      <text>
        <r>
          <rPr>
            <sz val="10"/>
            <rFont val="Arial"/>
            <family val="2"/>
          </rPr>
          <t xml:space="preserve">Guidance 5/12/11:
</t>
        </r>
        <r>
          <rPr>
            <sz val="10"/>
            <rFont val="Arial"/>
            <family val="2"/>
          </rPr>
          <t xml:space="preserve">282M
</t>
        </r>
      </text>
    </comment>
    <comment ref="CM191" authorId="5">
      <text>
        <r>
          <rPr>
            <sz val="10"/>
            <rFont val="Arial"/>
            <family val="2"/>
          </rPr>
          <t xml:space="preserve">5/10/2012 Guidance
</t>
        </r>
        <r>
          <rPr>
            <sz val="10"/>
            <rFont val="Arial"/>
            <family val="2"/>
          </rPr>
          <t>1) use 241M diluted shares for 2Q end w/ $250M of repo @ $50</t>
        </r>
      </text>
    </comment>
    <comment ref="CI192" authorId="2">
      <text>
        <r>
          <rPr>
            <sz val="10"/>
            <rFont val="Arial"/>
            <family val="2"/>
          </rPr>
          <t xml:space="preserve">Guidance 8/11/11:
</t>
        </r>
        <r>
          <rPr>
            <sz val="10"/>
            <rFont val="Arial"/>
            <family val="2"/>
          </rPr>
          <t xml:space="preserve">266M
</t>
        </r>
      </text>
    </comment>
    <comment ref="CQ192" authorId="12">
      <text>
        <r>
          <rPr>
            <b/>
            <sz val="8"/>
            <color indexed="81"/>
            <rFont val="Tahoma"/>
            <family val="2"/>
          </rPr>
          <t xml:space="preserve">8/15/13: </t>
        </r>
        <r>
          <rPr>
            <sz val="8"/>
            <color indexed="81"/>
            <rFont val="Tahoma"/>
            <family val="2"/>
          </rPr>
          <t>guidance 218M</t>
        </r>
        <r>
          <rPr>
            <sz val="8"/>
            <color indexed="81"/>
            <rFont val="Tahoma"/>
            <family val="2"/>
          </rPr>
          <t xml:space="preserve">
</t>
        </r>
      </text>
    </comment>
    <comment ref="CE193" authorId="20">
      <text>
        <r>
          <rPr>
            <sz val="10"/>
            <rFont val="Arial"/>
            <family val="2"/>
          </rPr>
          <t>Guidance 11/11/10:</t>
        </r>
        <r>
          <rPr>
            <sz val="10"/>
            <rFont val="Arial"/>
            <family val="2"/>
          </rPr>
          <t xml:space="preserve">
-309 million shares for guidance assuming no buyback;
-We assume $150M buyback in 4Q so come in at 307.5</t>
        </r>
      </text>
    </comment>
    <comment ref="CI193" authorId="5">
      <text>
        <r>
          <rPr>
            <sz val="10"/>
            <rFont val="Arial"/>
            <family val="2"/>
          </rPr>
          <t xml:space="preserve">11/10/11 Guidance:
</t>
        </r>
        <r>
          <rPr>
            <sz val="10"/>
            <rFont val="Arial"/>
            <family val="2"/>
          </rPr>
          <t xml:space="preserve">1) 253MM 4Q11 ($300MM repo @ $53)
2) 272MM FY11
</t>
        </r>
      </text>
    </comment>
    <comment ref="CM193" authorId="5">
      <text>
        <r>
          <rPr>
            <b/>
            <sz val="8"/>
            <color indexed="81"/>
            <rFont val="Tahoma"/>
            <family val="2"/>
          </rPr>
          <t xml:space="preserve"> 11/8/2012 Guidance: </t>
        </r>
        <r>
          <rPr>
            <sz val="8"/>
            <color indexed="81"/>
            <rFont val="Tahoma"/>
            <family val="2"/>
          </rPr>
          <t>230M</t>
        </r>
      </text>
    </comment>
    <comment ref="CQ193" authorId="13">
      <text>
        <r>
          <rPr>
            <b/>
            <sz val="8"/>
            <color indexed="81"/>
            <rFont val="Tahoma"/>
            <family val="2"/>
          </rPr>
          <t>duol:</t>
        </r>
        <r>
          <rPr>
            <sz val="8"/>
            <color indexed="81"/>
            <rFont val="Tahoma"/>
            <family val="2"/>
          </rPr>
          <t xml:space="preserve">
</t>
        </r>
      </text>
    </comment>
    <comment ref="CI194" authorId="2">
      <text>
        <r>
          <rPr>
            <sz val="10"/>
            <rFont val="Arial"/>
            <family val="2"/>
          </rPr>
          <t xml:space="preserve">11/10/11 Guidance:
</t>
        </r>
        <r>
          <rPr>
            <sz val="10"/>
            <rFont val="Arial"/>
            <family val="2"/>
          </rPr>
          <t xml:space="preserve">1) 253MM 4Q11 ($300MM repo @ $53)
2) 272MM FY11
</t>
        </r>
        <r>
          <rPr>
            <sz val="10"/>
            <rFont val="Arial"/>
            <family val="2"/>
          </rPr>
          <t xml:space="preserve">
Guidance 8/11/11:
</t>
        </r>
        <r>
          <rPr>
            <sz val="10"/>
            <rFont val="Arial"/>
            <family val="2"/>
          </rPr>
          <t>274mn for FY</t>
        </r>
        <r>
          <rPr>
            <sz val="10"/>
            <rFont val="Arial"/>
            <family val="2"/>
          </rPr>
          <t xml:space="preserve">
Guidance 2/24/11:
</t>
        </r>
        <r>
          <rPr>
            <sz val="10"/>
            <rFont val="Arial"/>
            <family val="2"/>
          </rPr>
          <t>294mn for FY
No buyback included</t>
        </r>
      </text>
    </comment>
    <comment ref="CM194" authorId="5">
      <text>
        <r>
          <rPr>
            <sz val="10"/>
            <rFont val="Arial"/>
            <family val="2"/>
          </rPr>
          <t xml:space="preserve">11/8/2012 </t>
        </r>
        <r>
          <rPr>
            <sz val="10"/>
            <rFont val="Arial"/>
            <family val="2"/>
          </rPr>
          <t>237M</t>
        </r>
        <r>
          <rPr>
            <sz val="10"/>
            <rFont val="Arial"/>
            <family val="2"/>
          </rPr>
          <t xml:space="preserve">
Guidance 5/10/2012
</t>
        </r>
        <r>
          <rPr>
            <sz val="10"/>
            <rFont val="Arial"/>
            <family val="2"/>
          </rPr>
          <t>239M shares for FY end</t>
        </r>
        <r>
          <rPr>
            <sz val="10"/>
            <rFont val="Arial"/>
            <family val="2"/>
          </rPr>
          <t xml:space="preserve">
Guidance: 2/23/2012
</t>
        </r>
        <r>
          <rPr>
            <sz val="10"/>
            <rFont val="Arial"/>
            <family val="2"/>
          </rPr>
          <t>240M diluted shares (based on share repo of $1Bn at avg price of $55)</t>
        </r>
      </text>
    </comment>
    <comment ref="CQ194" authorId="5">
      <text>
        <r>
          <rPr>
            <b/>
            <sz val="8"/>
            <color indexed="81"/>
            <rFont val="Tahoma"/>
            <family val="2"/>
          </rPr>
          <t xml:space="preserve">2/28/2013 guidance: </t>
        </r>
        <r>
          <rPr>
            <sz val="8"/>
            <color indexed="81"/>
            <rFont val="Tahoma"/>
            <family val="2"/>
          </rPr>
          <t xml:space="preserve">216
</t>
        </r>
        <r>
          <rPr>
            <b/>
            <sz val="8"/>
            <color indexed="81"/>
            <rFont val="Tahoma"/>
            <family val="2"/>
          </rPr>
          <t xml:space="preserve">11/14/13 </t>
        </r>
        <r>
          <rPr>
            <sz val="8"/>
            <color indexed="81"/>
            <rFont val="Tahoma"/>
            <family val="2"/>
          </rPr>
          <t>guidance: 219M</t>
        </r>
      </text>
    </comment>
    <comment ref="CU194" authorId="13">
      <text>
        <r>
          <rPr>
            <sz val="8"/>
            <color indexed="81"/>
            <rFont val="Tahoma"/>
            <family val="2"/>
          </rPr>
          <t xml:space="preserve">2/25/15: repurchased 12.3M shares 
</t>
        </r>
        <r>
          <rPr>
            <b/>
            <sz val="8"/>
            <color indexed="81"/>
            <rFont val="Tahoma"/>
            <family val="2"/>
          </rPr>
          <t xml:space="preserve">
2/26/14 Guidance: 204mln</t>
        </r>
        <r>
          <rPr>
            <sz val="8"/>
            <color indexed="81"/>
            <rFont val="Tahoma"/>
            <family val="2"/>
          </rPr>
          <t xml:space="preserve">
</t>
        </r>
      </text>
    </comment>
    <comment ref="CQ198" authorId="14">
      <text>
        <r>
          <rPr>
            <b/>
            <sz val="9"/>
            <color indexed="81"/>
            <rFont val="Tahoma"/>
            <family val="2"/>
          </rPr>
          <t>10-Q</t>
        </r>
        <r>
          <rPr>
            <sz val="9"/>
            <color indexed="81"/>
            <rFont val="Tahoma"/>
            <family val="2"/>
          </rPr>
          <t xml:space="preserve">
</t>
        </r>
      </text>
    </comment>
    <comment ref="CU198" authorId="14">
      <text>
        <r>
          <rPr>
            <b/>
            <sz val="9"/>
            <color indexed="81"/>
            <rFont val="Tahoma"/>
            <family val="2"/>
          </rPr>
          <t>10-Q</t>
        </r>
        <r>
          <rPr>
            <sz val="9"/>
            <color indexed="81"/>
            <rFont val="Tahoma"/>
            <family val="2"/>
          </rPr>
          <t xml:space="preserve">
</t>
        </r>
      </text>
    </comment>
    <comment ref="CW198" authorId="14">
      <text>
        <r>
          <rPr>
            <b/>
            <sz val="9"/>
            <color indexed="81"/>
            <rFont val="Tahoma"/>
            <family val="2"/>
          </rPr>
          <t xml:space="preserve">5/15/14: </t>
        </r>
        <r>
          <rPr>
            <sz val="9"/>
            <color indexed="81"/>
            <rFont val="Tahoma"/>
            <family val="2"/>
          </rPr>
          <t xml:space="preserve">bought back 3M shares
</t>
        </r>
      </text>
    </comment>
    <comment ref="DA198" authorId="6">
      <text>
        <r>
          <rPr>
            <b/>
            <sz val="9"/>
            <color indexed="81"/>
            <rFont val="Tahoma"/>
            <family val="2"/>
          </rPr>
          <t>casselau:</t>
        </r>
        <r>
          <rPr>
            <sz val="9"/>
            <color indexed="81"/>
            <rFont val="Tahoma"/>
            <family val="2"/>
          </rPr>
          <t xml:space="preserve">
5/14/15: bought back 2M shares during the quarter</t>
        </r>
      </text>
    </comment>
    <comment ref="DD198" authorId="16">
      <text>
        <r>
          <rPr>
            <b/>
            <sz val="9"/>
            <color indexed="81"/>
            <rFont val="Tahoma"/>
            <family val="2"/>
          </rPr>
          <t>Baglione, Gregory (Research):</t>
        </r>
        <r>
          <rPr>
            <sz val="9"/>
            <color indexed="81"/>
            <rFont val="Tahoma"/>
            <family val="2"/>
          </rPr>
          <t xml:space="preserve">
During the quarter we repurchased 2.8 million shares of our stock. $126M on CF statement.</t>
        </r>
      </text>
    </comment>
    <comment ref="DH198" authorId="7">
      <text>
        <r>
          <rPr>
            <b/>
            <sz val="9"/>
            <color indexed="81"/>
            <rFont val="Tahoma"/>
            <family val="2"/>
          </rPr>
          <t>Cassel, Lauren (Research):</t>
        </r>
        <r>
          <rPr>
            <sz val="9"/>
            <color indexed="81"/>
            <rFont val="Tahoma"/>
            <family val="2"/>
          </rPr>
          <t xml:space="preserve">
repurchased 4M shares</t>
        </r>
      </text>
    </comment>
    <comment ref="CQ199" authorId="14">
      <text>
        <r>
          <rPr>
            <b/>
            <sz val="9"/>
            <color indexed="81"/>
            <rFont val="Tahoma"/>
            <family val="2"/>
          </rPr>
          <t>10-Q</t>
        </r>
        <r>
          <rPr>
            <sz val="9"/>
            <color indexed="81"/>
            <rFont val="Tahoma"/>
            <family val="2"/>
          </rPr>
          <t xml:space="preserve">
</t>
        </r>
      </text>
    </comment>
    <comment ref="CR199" authorId="5">
      <text>
        <r>
          <rPr>
            <b/>
            <sz val="8"/>
            <color indexed="81"/>
            <rFont val="Tahoma"/>
            <family val="2"/>
          </rPr>
          <t xml:space="preserve">5/16/2013 guidance: </t>
        </r>
        <r>
          <rPr>
            <sz val="8"/>
            <color indexed="81"/>
            <rFont val="Tahoma"/>
            <family val="2"/>
          </rPr>
          <t>$250M</t>
        </r>
      </text>
    </comment>
    <comment ref="CW199" authorId="14">
      <text>
        <r>
          <rPr>
            <b/>
            <sz val="9"/>
            <color indexed="81"/>
            <rFont val="Tahoma"/>
            <family val="2"/>
          </rPr>
          <t xml:space="preserve">8/14/14: </t>
        </r>
        <r>
          <rPr>
            <sz val="9"/>
            <color indexed="81"/>
            <rFont val="Tahoma"/>
            <family val="2"/>
          </rPr>
          <t xml:space="preserve">bought back 4.3M shares
</t>
        </r>
      </text>
    </comment>
    <comment ref="DA199" authorId="9">
      <text>
        <r>
          <rPr>
            <b/>
            <sz val="9"/>
            <color indexed="81"/>
            <rFont val="Tahoma"/>
            <family val="2"/>
          </rPr>
          <t>Mains, Spencer (Research):</t>
        </r>
        <r>
          <rPr>
            <sz val="9"/>
            <color indexed="81"/>
            <rFont val="Tahoma"/>
            <family val="2"/>
          </rPr>
          <t xml:space="preserve">
bought back 6M shares of stock</t>
        </r>
      </text>
    </comment>
    <comment ref="DD199" authorId="10">
      <text>
        <r>
          <rPr>
            <b/>
            <sz val="9"/>
            <color indexed="81"/>
            <rFont val="Tahoma"/>
            <family val="2"/>
          </rPr>
          <t>Baglione, Gregory  (Research):</t>
        </r>
        <r>
          <rPr>
            <sz val="9"/>
            <color indexed="81"/>
            <rFont val="Tahoma"/>
            <family val="2"/>
          </rPr>
          <t xml:space="preserve">
repurchased 3.7M stock</t>
        </r>
      </text>
    </comment>
    <comment ref="CQ200" authorId="14">
      <text>
        <r>
          <rPr>
            <b/>
            <sz val="9"/>
            <color indexed="81"/>
            <rFont val="Tahoma"/>
            <family val="2"/>
          </rPr>
          <t>10-Q</t>
        </r>
        <r>
          <rPr>
            <sz val="9"/>
            <color indexed="81"/>
            <rFont val="Tahoma"/>
            <family val="2"/>
          </rPr>
          <t xml:space="preserve">
</t>
        </r>
      </text>
    </comment>
    <comment ref="CR200" authorId="12">
      <text>
        <r>
          <rPr>
            <b/>
            <sz val="8"/>
            <color indexed="81"/>
            <rFont val="Tahoma"/>
            <family val="2"/>
          </rPr>
          <t xml:space="preserve">8/15/13: </t>
        </r>
        <r>
          <rPr>
            <sz val="8"/>
            <color indexed="81"/>
            <rFont val="Tahoma"/>
            <family val="2"/>
          </rPr>
          <t>guidance $325M</t>
        </r>
      </text>
    </comment>
    <comment ref="CS200" authorId="13">
      <text>
        <r>
          <rPr>
            <b/>
            <sz val="8"/>
            <color indexed="81"/>
            <rFont val="Tahoma"/>
            <family val="2"/>
          </rPr>
          <t xml:space="preserve">11/14/13: </t>
        </r>
        <r>
          <rPr>
            <sz val="8"/>
            <color indexed="81"/>
            <rFont val="Tahoma"/>
            <family val="2"/>
          </rPr>
          <t>bought back 5.3 mln share. YTD 10 mln</t>
        </r>
        <r>
          <rPr>
            <sz val="8"/>
            <color indexed="81"/>
            <rFont val="Tahoma"/>
            <family val="2"/>
          </rPr>
          <t xml:space="preserve">
</t>
        </r>
      </text>
    </comment>
    <comment ref="DA200" authorId="10">
      <text>
        <r>
          <rPr>
            <b/>
            <sz val="9"/>
            <color indexed="81"/>
            <rFont val="Tahoma"/>
            <family val="2"/>
          </rPr>
          <t>Baglione, Gregory  (Research):</t>
        </r>
        <r>
          <rPr>
            <sz val="9"/>
            <color indexed="81"/>
            <rFont val="Tahoma"/>
            <family val="2"/>
          </rPr>
          <t xml:space="preserve">
During the quarter we repurchased 5 million shares of our stock.</t>
        </r>
      </text>
    </comment>
    <comment ref="DD200" authorId="16">
      <text>
        <r>
          <rPr>
            <b/>
            <sz val="9"/>
            <color indexed="81"/>
            <rFont val="Tahoma"/>
            <family val="2"/>
          </rPr>
          <t>Baglione, Gregory (Research):</t>
        </r>
        <r>
          <rPr>
            <sz val="9"/>
            <color indexed="81"/>
            <rFont val="Tahoma"/>
            <family val="2"/>
          </rPr>
          <t xml:space="preserve">
During the quarter we repurchased 4M shares of stock</t>
        </r>
      </text>
    </comment>
    <comment ref="CQ201" authorId="14">
      <text>
        <r>
          <rPr>
            <b/>
            <sz val="9"/>
            <color indexed="81"/>
            <rFont val="Tahoma"/>
            <family val="2"/>
          </rPr>
          <t>10-K</t>
        </r>
      </text>
    </comment>
    <comment ref="CR201" authorId="13">
      <text>
        <r>
          <rPr>
            <b/>
            <sz val="8"/>
            <color indexed="81"/>
            <rFont val="Tahoma"/>
            <family val="2"/>
          </rPr>
          <t>11/14/13: Guidance 325M</t>
        </r>
        <r>
          <rPr>
            <sz val="8"/>
            <color indexed="81"/>
            <rFont val="Tahoma"/>
            <family val="2"/>
          </rPr>
          <t xml:space="preserve">
</t>
        </r>
      </text>
    </comment>
    <comment ref="CS201" authorId="13">
      <text>
        <r>
          <rPr>
            <b/>
            <sz val="8"/>
            <color indexed="81"/>
            <rFont val="Tahoma"/>
            <family val="2"/>
          </rPr>
          <t>2/27/14: purchased 4.6M shares</t>
        </r>
        <r>
          <rPr>
            <sz val="8"/>
            <color indexed="81"/>
            <rFont val="Tahoma"/>
            <family val="2"/>
          </rPr>
          <t xml:space="preserve">
</t>
        </r>
      </text>
    </comment>
    <comment ref="DE201" authorId="16">
      <text>
        <r>
          <rPr>
            <b/>
            <sz val="9"/>
            <color indexed="81"/>
            <rFont val="Tahoma"/>
            <family val="2"/>
          </rPr>
          <t>Baglione, Gregory (Research):</t>
        </r>
        <r>
          <rPr>
            <sz val="9"/>
            <color indexed="81"/>
            <rFont val="Tahoma"/>
            <family val="2"/>
          </rPr>
          <t xml:space="preserve">
</t>
        </r>
      </text>
    </comment>
    <comment ref="CZ202" authorId="9">
      <text>
        <r>
          <rPr>
            <b/>
            <sz val="9"/>
            <color indexed="81"/>
            <rFont val="Tahoma"/>
            <family val="2"/>
          </rPr>
          <t>8/13/15</t>
        </r>
        <r>
          <rPr>
            <sz val="9"/>
            <color indexed="81"/>
            <rFont val="Tahoma"/>
            <family val="2"/>
          </rPr>
          <t xml:space="preserve">
Buyback $250M per quarter target, if stock looks cheap we could certainly do a little more than that.
</t>
        </r>
        <r>
          <rPr>
            <b/>
            <sz val="9"/>
            <color indexed="81"/>
            <rFont val="Tahoma"/>
            <family val="2"/>
          </rPr>
          <t>Mains, Spencer (Research):</t>
        </r>
        <r>
          <rPr>
            <sz val="9"/>
            <color indexed="81"/>
            <rFont val="Tahoma"/>
            <family val="2"/>
          </rPr>
          <t xml:space="preserve">
2/26/15 guidance: $1B in share repurchases at avg price of $70 per share</t>
        </r>
      </text>
    </comment>
    <comment ref="DD202" authorId="10">
      <text>
        <r>
          <rPr>
            <b/>
            <sz val="9"/>
            <color indexed="81"/>
            <rFont val="Tahoma"/>
            <family val="2"/>
          </rPr>
          <t>Baglione, Gregory  (Research):</t>
        </r>
        <r>
          <rPr>
            <sz val="9"/>
            <color indexed="81"/>
            <rFont val="Tahoma"/>
            <family val="2"/>
          </rPr>
          <t xml:space="preserve">
11/10/16: 2B over a three-year program roughly so that will be about $600 million or so a year for share repurchase and I would intend to increase the dividend at what level I'm not sure we've targeted 10% 
Still feel they can buy back $600M in buybacks this year.</t>
        </r>
      </text>
    </comment>
    <comment ref="DH202" authorId="11">
      <text>
        <r>
          <rPr>
            <b/>
            <sz val="9"/>
            <color indexed="81"/>
            <rFont val="Tahoma"/>
            <family val="2"/>
          </rPr>
          <t>Roberts, Cynthia (Research):</t>
        </r>
        <r>
          <rPr>
            <sz val="9"/>
            <color indexed="81"/>
            <rFont val="Tahoma"/>
            <family val="2"/>
          </rPr>
          <t xml:space="preserve">
2/23/17: Guidance:$350M</t>
        </r>
      </text>
    </comment>
  </commentList>
</comments>
</file>

<file path=xl/comments4.xml><?xml version="1.0" encoding="utf-8"?>
<comments xmlns="http://schemas.openxmlformats.org/spreadsheetml/2006/main">
  <authors>
    <author>mmcclell</author>
    <author>leechi</author>
    <author>Baglione, Gregory (Research)</author>
    <author>balskyh</author>
    <author>Michelle Clark</author>
    <author>Cassel, Lauren (Research)</author>
    <author>cuomochr</author>
  </authors>
  <commentList>
    <comment ref="T11" authorId="0">
      <text>
        <r>
          <rPr>
            <b/>
            <sz val="8"/>
            <color indexed="81"/>
            <rFont val="Tahoma"/>
            <family val="2"/>
          </rPr>
          <t>Adjusts for impact of last year's 53rd week ($200M) and $15M in gift card breakage revenue realized in 3Q06</t>
        </r>
        <r>
          <rPr>
            <sz val="8"/>
            <color indexed="81"/>
            <rFont val="Tahoma"/>
            <family val="2"/>
          </rPr>
          <t xml:space="preserve">
</t>
        </r>
      </text>
    </comment>
    <comment ref="Y11" authorId="1">
      <text>
        <r>
          <rPr>
            <sz val="8"/>
            <color indexed="81"/>
            <rFont val="Tahoma"/>
            <family val="2"/>
          </rPr>
          <t>10/2/2007: 2007 Analyst Meeting
2008-2012 of 9-11% per year, CAGR</t>
        </r>
      </text>
    </comment>
    <comment ref="AD11" authorId="2">
      <text>
        <r>
          <rPr>
            <b/>
            <sz val="9"/>
            <color indexed="81"/>
            <rFont val="Tahoma"/>
            <family val="2"/>
          </rPr>
          <t>Baglione, Gregory (Research):</t>
        </r>
        <r>
          <rPr>
            <sz val="9"/>
            <color indexed="81"/>
            <rFont val="Tahoma"/>
            <family val="2"/>
          </rPr>
          <t xml:space="preserve">
53rd week ~$170M or ~0.9% (2.5-3% to 4Q).</t>
        </r>
      </text>
    </comment>
    <comment ref="AE11" authorId="2">
      <text>
        <r>
          <rPr>
            <b/>
            <sz val="9"/>
            <color indexed="81"/>
            <rFont val="Tahoma"/>
            <family val="2"/>
          </rPr>
          <t>Baglione, Gregory (Research):</t>
        </r>
        <r>
          <rPr>
            <sz val="9"/>
            <color indexed="81"/>
            <rFont val="Tahoma"/>
            <family val="2"/>
          </rPr>
          <t xml:space="preserve">
53rd week ~$170M or ~0.9% (2.5-3% to 4Q).</t>
        </r>
      </text>
    </comment>
    <comment ref="Z12" authorId="3">
      <text>
        <r>
          <rPr>
            <b/>
            <sz val="8"/>
            <color indexed="81"/>
            <rFont val="Tahoma"/>
            <family val="2"/>
          </rPr>
          <t xml:space="preserve">10K: </t>
        </r>
        <r>
          <rPr>
            <sz val="8"/>
            <color indexed="81"/>
            <rFont val="Tahoma"/>
            <family val="2"/>
          </rPr>
          <t>-2% ex ecomm</t>
        </r>
      </text>
    </comment>
    <comment ref="Z15" authorId="4">
      <text>
        <r>
          <rPr>
            <b/>
            <sz val="8"/>
            <color indexed="81"/>
            <rFont val="Tahoma"/>
            <family val="2"/>
          </rPr>
          <t>11/8/2012 Guidance:</t>
        </r>
        <r>
          <rPr>
            <sz val="8"/>
            <color indexed="81"/>
            <rFont val="Tahoma"/>
            <family val="2"/>
          </rPr>
          <t xml:space="preserve"> 12 stores in FY13</t>
        </r>
        <r>
          <rPr>
            <b/>
            <sz val="8"/>
            <color indexed="81"/>
            <rFont val="Tahoma"/>
            <family val="2"/>
          </rPr>
          <t xml:space="preserve">
Guidance: 2/23/2012: </t>
        </r>
        <r>
          <rPr>
            <sz val="8"/>
            <color indexed="81"/>
            <rFont val="Tahoma"/>
            <family val="2"/>
          </rPr>
          <t>Assume 20 stores go forward</t>
        </r>
        <r>
          <rPr>
            <sz val="8"/>
            <color indexed="81"/>
            <rFont val="Tahoma"/>
            <family val="2"/>
          </rPr>
          <t xml:space="preserve">
</t>
        </r>
      </text>
    </comment>
    <comment ref="AD15" authorId="5">
      <text>
        <r>
          <rPr>
            <b/>
            <sz val="9"/>
            <color indexed="81"/>
            <rFont val="Tahoma"/>
            <family val="2"/>
          </rPr>
          <t>Cassel, Lauren (Research):</t>
        </r>
        <r>
          <rPr>
            <sz val="9"/>
            <color indexed="81"/>
            <rFont val="Tahoma"/>
            <family val="2"/>
          </rPr>
          <t xml:space="preserve">
5/11/17: plan to open 4 new 35,000 sqft stores this fall in very dense existing markets</t>
        </r>
      </text>
    </comment>
    <comment ref="Z29" authorId="3">
      <text>
        <r>
          <rPr>
            <b/>
            <i/>
            <sz val="8"/>
            <color indexed="12"/>
            <rFont val="Tahoma"/>
            <family val="2"/>
          </rPr>
          <t>Note: pulled from store tab</t>
        </r>
      </text>
    </comment>
    <comment ref="Y32" authorId="3">
      <text>
        <r>
          <rPr>
            <b/>
            <sz val="8"/>
            <color indexed="81"/>
            <rFont val="Tahoma"/>
            <family val="2"/>
          </rPr>
          <t xml:space="preserve">2/28/2013: </t>
        </r>
        <r>
          <rPr>
            <sz val="8"/>
            <color indexed="81"/>
            <rFont val="Tahoma"/>
            <family val="2"/>
          </rPr>
          <t>83.09M selling SF</t>
        </r>
      </text>
    </comment>
    <comment ref="W41" authorId="6">
      <text>
        <r>
          <rPr>
            <b/>
            <sz val="8"/>
            <color indexed="81"/>
            <rFont val="Tahoma"/>
            <family val="2"/>
          </rPr>
          <t xml:space="preserve">Guidance 5/13/10:
</t>
        </r>
        <r>
          <rPr>
            <sz val="8"/>
            <color indexed="81"/>
            <rFont val="Tahoma"/>
            <family val="2"/>
          </rPr>
          <t>FY Comps: +3.5-5.0%</t>
        </r>
        <r>
          <rPr>
            <b/>
            <sz val="8"/>
            <color indexed="81"/>
            <rFont val="Tahoma"/>
            <family val="2"/>
          </rPr>
          <t xml:space="preserve">
Guidance 2/25/10:</t>
        </r>
        <r>
          <rPr>
            <sz val="8"/>
            <color indexed="81"/>
            <rFont val="Tahoma"/>
            <family val="2"/>
          </rPr>
          <t xml:space="preserve">
FY Comps: +1-3%</t>
        </r>
        <r>
          <rPr>
            <sz val="8"/>
            <color indexed="81"/>
            <rFont val="Tahoma"/>
            <family val="2"/>
          </rPr>
          <t xml:space="preserve">
</t>
        </r>
      </text>
    </comment>
    <comment ref="X41" authorId="6">
      <text>
        <r>
          <rPr>
            <b/>
            <sz val="8"/>
            <color indexed="81"/>
            <rFont val="Tahoma"/>
            <family val="2"/>
          </rPr>
          <t xml:space="preserve">Guidance 2/24/11:
</t>
        </r>
        <r>
          <rPr>
            <sz val="8"/>
            <color indexed="81"/>
            <rFont val="Tahoma"/>
            <family val="2"/>
          </rPr>
          <t>Comp +2-4%</t>
        </r>
        <r>
          <rPr>
            <sz val="8"/>
            <color indexed="81"/>
            <rFont val="Tahoma"/>
            <family val="2"/>
          </rPr>
          <t xml:space="preserve">
</t>
        </r>
      </text>
    </comment>
    <comment ref="Y41" authorId="1">
      <text>
        <r>
          <rPr>
            <sz val="8"/>
            <color indexed="81"/>
            <rFont val="Tahoma"/>
            <family val="2"/>
          </rPr>
          <t>10/2/2007: 2007 Analyst Meeting
Comp store increases of 2-4% per year from 2008-2012.  Given higher penetration of smaller store proto, need high end of 2-4% comp range to maintain total store productivity.</t>
        </r>
      </text>
    </comment>
    <comment ref="AD41" authorId="2">
      <text>
        <r>
          <rPr>
            <b/>
            <sz val="9"/>
            <color indexed="81"/>
            <rFont val="Tahoma"/>
            <family val="2"/>
          </rPr>
          <t>Baglione, Gregory (Research):</t>
        </r>
        <r>
          <rPr>
            <sz val="9"/>
            <color indexed="81"/>
            <rFont val="Tahoma"/>
            <family val="2"/>
          </rPr>
          <t xml:space="preserve">
Lowering to -1% from -0.5%</t>
        </r>
      </text>
    </comment>
    <comment ref="Y47" authorId="3">
      <text>
        <r>
          <rPr>
            <b/>
            <sz val="8"/>
            <color indexed="81"/>
            <rFont val="Tahoma"/>
            <family val="2"/>
          </rPr>
          <t xml:space="preserve">11/8/2012 Guidance: </t>
        </r>
        <r>
          <rPr>
            <sz val="8"/>
            <color indexed="81"/>
            <rFont val="Tahoma"/>
            <family val="2"/>
          </rPr>
          <t>$180M</t>
        </r>
      </text>
    </comment>
  </commentList>
</comments>
</file>

<file path=xl/comments5.xml><?xml version="1.0" encoding="utf-8"?>
<comments xmlns="http://schemas.openxmlformats.org/spreadsheetml/2006/main">
  <authors>
    <author>Michelle Clark</author>
    <author>mmcclell</author>
    <author>leechi</author>
    <author>cuomochr</author>
    <author>balskyh</author>
    <author>Baglione, Gregory (Research)</author>
    <author>Baglione, Gregory  (Research)</author>
  </authors>
  <commentList>
    <comment ref="W4" authorId="0">
      <text>
        <r>
          <rPr>
            <b/>
            <sz val="8"/>
            <color indexed="81"/>
            <rFont val="Tahoma"/>
            <family val="2"/>
          </rPr>
          <t>Note: 9/15/2011</t>
        </r>
        <r>
          <rPr>
            <sz val="8"/>
            <color indexed="81"/>
            <rFont val="Tahoma"/>
            <family val="2"/>
          </rPr>
          <t xml:space="preserve">
The most significant of the corrections resulted from improper application of the sale-leaseback provisions of ASC 840, Leases. We are often involved extensively in the construction of leased stores. In many cases, we are responsible for construction cost over runs or construct non-standard tenant improvements (e.g. roof or HVAC systems). As a result of this involvement, we are deemed the "owner" for accounting purposes during the construction period, so are required to capitalize the construction costs on our Balance Sheets. Upon completion of the project, we must perform a sale-leaseback analysis pursuant to ASC 840 to determine if we can remove the assets from our Balance Sheet. In many of our leases, we are reimbursed a portion of the construction costs via adjusted rental and/or cash payments or have terms which fix the rental payments for a significant percentage of the leased asset's economic life. These items are generally considered "continuing involvement" which preclude us from derecognizing the constructed assets from our Balance Sheet when construction is complete.
Additionally, certain store and equipment leases were improperly recorded as operating leases, rather than capital leases.
</t>
        </r>
      </text>
    </comment>
    <comment ref="T7" authorId="1">
      <text>
        <r>
          <rPr>
            <b/>
            <sz val="8"/>
            <color indexed="81"/>
            <rFont val="Tahoma"/>
            <family val="2"/>
          </rPr>
          <t>Adjusts for impact of last year's 53rd week ($200M) and $15M in gift card breakage revenue realized in 3Q06</t>
        </r>
        <r>
          <rPr>
            <sz val="8"/>
            <color indexed="81"/>
            <rFont val="Tahoma"/>
            <family val="2"/>
          </rPr>
          <t xml:space="preserve">
</t>
        </r>
      </text>
    </comment>
    <comment ref="Y7" authorId="2">
      <text>
        <r>
          <rPr>
            <sz val="8"/>
            <color indexed="81"/>
            <rFont val="Tahoma"/>
            <family val="2"/>
          </rPr>
          <t>10/2/2007: 2007 Analyst Meeting
2008-2012 of 9-11% per year, CAGR</t>
        </r>
      </text>
    </comment>
    <comment ref="W8" authorId="3">
      <text>
        <r>
          <rPr>
            <b/>
            <sz val="8"/>
            <color indexed="81"/>
            <rFont val="Tahoma"/>
            <family val="2"/>
          </rPr>
          <t>Guidance 5/13/10:</t>
        </r>
        <r>
          <rPr>
            <sz val="8"/>
            <color indexed="81"/>
            <rFont val="Tahoma"/>
            <family val="2"/>
          </rPr>
          <t xml:space="preserve">
FY Total Sales: +6.5-8.0%</t>
        </r>
        <r>
          <rPr>
            <sz val="8"/>
            <color indexed="81"/>
            <rFont val="Tahoma"/>
            <family val="2"/>
          </rPr>
          <t xml:space="preserve">
</t>
        </r>
      </text>
    </comment>
    <comment ref="X8" authorId="3">
      <text>
        <r>
          <rPr>
            <b/>
            <sz val="8"/>
            <color indexed="81"/>
            <rFont val="Tahoma"/>
            <family val="2"/>
          </rPr>
          <t xml:space="preserve">Guidance 2/24/11:
</t>
        </r>
        <r>
          <rPr>
            <sz val="8"/>
            <color indexed="81"/>
            <rFont val="Tahoma"/>
            <family val="2"/>
          </rPr>
          <t>Total sales +4-6%</t>
        </r>
        <r>
          <rPr>
            <sz val="8"/>
            <color indexed="81"/>
            <rFont val="Tahoma"/>
            <family val="2"/>
          </rPr>
          <t xml:space="preserve">
</t>
        </r>
      </text>
    </comment>
    <comment ref="W9" authorId="3">
      <text>
        <r>
          <rPr>
            <b/>
            <sz val="8"/>
            <color indexed="81"/>
            <rFont val="Tahoma"/>
            <family val="2"/>
          </rPr>
          <t xml:space="preserve">Guidance 5/13/10:
</t>
        </r>
        <r>
          <rPr>
            <sz val="8"/>
            <color indexed="81"/>
            <rFont val="Tahoma"/>
            <family val="2"/>
          </rPr>
          <t>FY Comps: +3.5-5.0%</t>
        </r>
        <r>
          <rPr>
            <b/>
            <sz val="8"/>
            <color indexed="81"/>
            <rFont val="Tahoma"/>
            <family val="2"/>
          </rPr>
          <t xml:space="preserve">
Guidance 2/25/10:</t>
        </r>
        <r>
          <rPr>
            <sz val="8"/>
            <color indexed="81"/>
            <rFont val="Tahoma"/>
            <family val="2"/>
          </rPr>
          <t xml:space="preserve">
FY Comps: +1-3%</t>
        </r>
        <r>
          <rPr>
            <sz val="8"/>
            <color indexed="81"/>
            <rFont val="Tahoma"/>
            <family val="2"/>
          </rPr>
          <t xml:space="preserve">
</t>
        </r>
      </text>
    </comment>
    <comment ref="X9" authorId="3">
      <text>
        <r>
          <rPr>
            <b/>
            <sz val="8"/>
            <color indexed="81"/>
            <rFont val="Tahoma"/>
            <family val="2"/>
          </rPr>
          <t xml:space="preserve">Guidance 2/24/11:
</t>
        </r>
        <r>
          <rPr>
            <sz val="8"/>
            <color indexed="81"/>
            <rFont val="Tahoma"/>
            <family val="2"/>
          </rPr>
          <t>Comp +2-4%</t>
        </r>
        <r>
          <rPr>
            <sz val="8"/>
            <color indexed="81"/>
            <rFont val="Tahoma"/>
            <family val="2"/>
          </rPr>
          <t xml:space="preserve">
</t>
        </r>
      </text>
    </comment>
    <comment ref="Y9" authorId="2">
      <text>
        <r>
          <rPr>
            <sz val="8"/>
            <color indexed="81"/>
            <rFont val="Tahoma"/>
            <family val="2"/>
          </rPr>
          <t>10/2/2007: 2007 Analyst Meeting
Comp store increases of 2-4% per year from 2008-2012.  Given higher penetration of smaller store proto, need high end of 2-4% comp range to maintain total store productivity.</t>
        </r>
      </text>
    </comment>
    <comment ref="Z12" authorId="4">
      <text>
        <r>
          <rPr>
            <b/>
            <sz val="8"/>
            <color indexed="81"/>
            <rFont val="Tahoma"/>
            <family val="2"/>
          </rPr>
          <t>11/8/2012 Guidance:</t>
        </r>
        <r>
          <rPr>
            <sz val="8"/>
            <color indexed="81"/>
            <rFont val="Tahoma"/>
            <family val="2"/>
          </rPr>
          <t xml:space="preserve"> mgmt would model +10-20 bps / yr assuming costs continue to decline; seeing cost reduction so far on some spring '13 receipts; if comp &gt;2% could provide more oppty than the 10-20 bps</t>
        </r>
        <r>
          <rPr>
            <b/>
            <sz val="8"/>
            <color indexed="81"/>
            <rFont val="Tahoma"/>
            <family val="2"/>
          </rPr>
          <t xml:space="preserve">
</t>
        </r>
      </text>
    </comment>
    <comment ref="AD12" authorId="5">
      <text>
        <r>
          <rPr>
            <b/>
            <sz val="9"/>
            <color indexed="81"/>
            <rFont val="Tahoma"/>
            <family val="2"/>
          </rPr>
          <t>Baglione, Gregory (Research):</t>
        </r>
        <r>
          <rPr>
            <sz val="9"/>
            <color indexed="81"/>
            <rFont val="Tahoma"/>
            <family val="2"/>
          </rPr>
          <t xml:space="preserve">
1/4/17 We model GM to decline ~10- 20 bps per year moving forwrd
11/10/16
"From a gross margin perspective very simply we are trying to get back 50 basis points  of merchandise margin improvement through inventory initiatives and I'm especially excited about the speed initiative because that should be incremental to the 50 basis points which should just be able to occur from getting our inventories to the right level. And that's going to be offset by about 30 basis points up pressure from e-commerce assuming that it continues to grow at the rate that we think it is in that mid-teens range. So from a modeling perspective if you are looking at a multiyear modeler thinking about how we're going to do basis points your improvement probably the best I think we will be able to accomplish absent improvement in comps more run today if we can improve incomes and that can provide us a margin upside over and above that. "
MSe: We model GM flat to down ~10 bps moving forward.</t>
        </r>
      </text>
    </comment>
    <comment ref="AE12" authorId="5">
      <text>
        <r>
          <rPr>
            <b/>
            <sz val="9"/>
            <color indexed="81"/>
            <rFont val="Tahoma"/>
            <family val="2"/>
          </rPr>
          <t>Baglione, Gregory (Research):</t>
        </r>
        <r>
          <rPr>
            <sz val="9"/>
            <color indexed="81"/>
            <rFont val="Tahoma"/>
            <family val="2"/>
          </rPr>
          <t xml:space="preserve">
1/4/17 We model GM to decline ~10- 20 bps per year moving forwrd
11/10/16
"From a gross margin perspective very simply we are trying to get back 50 basis points  of merchandise margin improvement through inventory initiatives and I'm especially excited about the speed initiative because that should be incremental to the 50 basis points which should just be able to occur from getting our inventories to the right level. And that's going to be offset by about 30 basis points up pressure from e-commerce assuming that it continues to grow at the rate that we think it is in that mid-teens range. So from a modeling perspective if you are looking at a multiyear modeler thinking about how we're going to do basis points your improvement probably the best I think we will be able to accomplish absent improvement in comps more run today if we can improve incomes and that can provide us a margin upside over and above that. "
MSe: We model GM flat to down ~10 bps moving forward.</t>
        </r>
      </text>
    </comment>
    <comment ref="AF12" authorId="5">
      <text>
        <r>
          <rPr>
            <b/>
            <sz val="9"/>
            <color indexed="81"/>
            <rFont val="Tahoma"/>
            <family val="2"/>
          </rPr>
          <t>Baglione, Gregory (Research):</t>
        </r>
        <r>
          <rPr>
            <sz val="9"/>
            <color indexed="81"/>
            <rFont val="Tahoma"/>
            <family val="2"/>
          </rPr>
          <t xml:space="preserve">
1/4/17 We model GM to decline ~10- 20 bps per year moving forwrd
11/10/16
"From a gross margin perspective very simply we are trying to get back 50 basis points  of merchandise margin improvement through inventory initiatives and I'm especially excited about the speed initiative because that should be incremental to the 50 basis points which should just be able to occur from getting our inventories to the right level. And that's going to be offset by about 30 basis points up pressure from e-commerce assuming that it continues to grow at the rate that we think it is in that mid-teens range. So from a modeling perspective if you are looking at a multiyear modeler thinking about how we're going to do basis points your improvement probably the best I think we will be able to accomplish absent improvement in comps more run today if we can improve incomes and that can provide us a margin upside over and above that. "
MSe: We model GM flat to down ~10 bps moving forward.</t>
        </r>
      </text>
    </comment>
    <comment ref="AG12" authorId="5">
      <text>
        <r>
          <rPr>
            <b/>
            <sz val="9"/>
            <color indexed="81"/>
            <rFont val="Tahoma"/>
            <family val="2"/>
          </rPr>
          <t>Baglione, Gregory (Research):</t>
        </r>
        <r>
          <rPr>
            <sz val="9"/>
            <color indexed="81"/>
            <rFont val="Tahoma"/>
            <family val="2"/>
          </rPr>
          <t xml:space="preserve">
1/4/17 We model GM to decline ~10- 20 bps per year moving forwrd
11/10/16
"From a gross margin perspective very simply we are trying to get back 50 basis points  of merchandise margin improvement through inventory initiatives and I'm especially excited about the speed initiative because that should be incremental to the 50 basis points which should just be able to occur from getting our inventories to the right level. And that's going to be offset by about 30 basis points up pressure from e-commerce assuming that it continues to grow at the rate that we think it is in that mid-teens range. So from a modeling perspective if you are looking at a multiyear modeler thinking about how we're going to do basis points your improvement probably the best I think we will be able to accomplish absent improvement in comps more run today if we can improve incomes and that can provide us a margin upside over and above that. "
MSe: We model GM flat to down ~10 bps moving forward.</t>
        </r>
      </text>
    </comment>
    <comment ref="AH12" authorId="5">
      <text>
        <r>
          <rPr>
            <b/>
            <sz val="9"/>
            <color indexed="81"/>
            <rFont val="Tahoma"/>
            <family val="2"/>
          </rPr>
          <t>Baglione, Gregory (Research):</t>
        </r>
        <r>
          <rPr>
            <sz val="9"/>
            <color indexed="81"/>
            <rFont val="Tahoma"/>
            <family val="2"/>
          </rPr>
          <t xml:space="preserve">
1/4/17 We model GM to decline ~10- 20 bps per year moving forwrd
11/10/16
"From a gross margin perspective very simply we are trying to get back 50 basis points  of merchandise margin improvement through inventory initiatives and I'm especially excited about the speed initiative because that should be incremental to the 50 basis points which should just be able to occur from getting our inventories to the right level. And that's going to be offset by about 30 basis points up pressure from e-commerce assuming that it continues to grow at the rate that we think it is in that mid-teens range. So from a modeling perspective if you are looking at a multiyear modeler thinking about how we're going to do basis points your improvement probably the best I think we will be able to accomplish absent improvement in comps more run today if we can improve incomes and that can provide us a margin upside over and above that. "
MSe: We model GM flat to down ~10 bps moving forward.</t>
        </r>
      </text>
    </comment>
    <comment ref="Z13" authorId="4">
      <text>
        <r>
          <rPr>
            <b/>
            <sz val="8"/>
            <color indexed="81"/>
            <rFont val="Tahoma"/>
            <family val="2"/>
          </rPr>
          <t>11/8/2012 Guidance:</t>
        </r>
        <r>
          <rPr>
            <sz val="8"/>
            <color indexed="81"/>
            <rFont val="Tahoma"/>
            <family val="2"/>
          </rPr>
          <t xml:space="preserve"> mgmt would model +10-20 bps / yr assuming costs continue to decline</t>
        </r>
        <r>
          <rPr>
            <b/>
            <sz val="8"/>
            <color indexed="81"/>
            <rFont val="Tahoma"/>
            <family val="2"/>
          </rPr>
          <t xml:space="preserve">
</t>
        </r>
      </text>
    </comment>
    <comment ref="X20" authorId="4">
      <text>
        <r>
          <rPr>
            <b/>
            <sz val="8"/>
            <color indexed="81"/>
            <rFont val="Tahoma"/>
            <family val="2"/>
          </rPr>
          <t xml:space="preserve">2012 10K: </t>
        </r>
        <r>
          <rPr>
            <sz val="8"/>
            <color indexed="81"/>
            <rFont val="Tahoma"/>
            <family val="2"/>
          </rPr>
          <t>-11.3%</t>
        </r>
      </text>
    </comment>
    <comment ref="Y20" authorId="4">
      <text>
        <r>
          <rPr>
            <b/>
            <sz val="8"/>
            <color indexed="81"/>
            <rFont val="Tahoma"/>
            <family val="2"/>
          </rPr>
          <t xml:space="preserve">2012 10k: </t>
        </r>
        <r>
          <rPr>
            <sz val="8"/>
            <color indexed="81"/>
            <rFont val="Tahoma"/>
            <family val="2"/>
          </rPr>
          <t>10.3%</t>
        </r>
      </text>
    </comment>
    <comment ref="Y21" authorId="4">
      <text>
        <r>
          <rPr>
            <b/>
            <sz val="8"/>
            <color indexed="81"/>
            <rFont val="Tahoma"/>
            <family val="2"/>
          </rPr>
          <t xml:space="preserve">10K: </t>
        </r>
        <r>
          <rPr>
            <sz val="8"/>
            <color indexed="81"/>
            <rFont val="Tahoma"/>
            <family val="2"/>
          </rPr>
          <t>88 bps</t>
        </r>
      </text>
    </comment>
    <comment ref="X22" authorId="4">
      <text>
        <r>
          <rPr>
            <b/>
            <sz val="8"/>
            <color indexed="81"/>
            <rFont val="Tahoma"/>
            <family val="2"/>
          </rPr>
          <t xml:space="preserve">10k: </t>
        </r>
        <r>
          <rPr>
            <sz val="8"/>
            <color indexed="81"/>
            <rFont val="Tahoma"/>
            <family val="2"/>
          </rPr>
          <t>55 BPS</t>
        </r>
      </text>
    </comment>
    <comment ref="Y22" authorId="4">
      <text>
        <r>
          <rPr>
            <b/>
            <sz val="8"/>
            <color indexed="81"/>
            <rFont val="Tahoma"/>
            <family val="2"/>
          </rPr>
          <t xml:space="preserve">10k: </t>
        </r>
        <r>
          <rPr>
            <sz val="8"/>
            <color indexed="81"/>
            <rFont val="Tahoma"/>
            <family val="2"/>
          </rPr>
          <t>y/y delta = 17 bps to 80 bps</t>
        </r>
      </text>
    </comment>
    <comment ref="A24" authorId="1">
      <text>
        <r>
          <rPr>
            <b/>
            <sz val="8"/>
            <color indexed="81"/>
            <rFont val="Tahoma"/>
            <family val="2"/>
          </rPr>
          <t>interest income received from credit ops is used as an offset against SG&amp;A</t>
        </r>
        <r>
          <rPr>
            <sz val="8"/>
            <color indexed="81"/>
            <rFont val="Tahoma"/>
            <family val="2"/>
          </rPr>
          <t xml:space="preserve">
</t>
        </r>
      </text>
    </comment>
    <comment ref="M24" authorId="4">
      <text>
        <r>
          <rPr>
            <sz val="8"/>
            <color indexed="81"/>
            <rFont val="Tahoma"/>
            <family val="2"/>
          </rPr>
          <t>Guidance</t>
        </r>
      </text>
    </comment>
    <comment ref="AE25" authorId="6">
      <text>
        <r>
          <rPr>
            <b/>
            <sz val="9"/>
            <color indexed="81"/>
            <rFont val="Tahoma"/>
            <family val="2"/>
          </rPr>
          <t xml:space="preserve">Baglione, Gregory  (Research):
1/18/17
</t>
        </r>
        <r>
          <rPr>
            <sz val="9"/>
            <color indexed="81"/>
            <rFont val="Tahoma"/>
            <family val="2"/>
          </rPr>
          <t>Assume SG&amp;A dollars could continue to remain flat to down ~0.5% in 2018, but expect SG&amp;A cuts to diminish as we move to outer-years given natural expense inflation (wages etc).</t>
        </r>
      </text>
    </comment>
    <comment ref="AF25" authorId="6">
      <text>
        <r>
          <rPr>
            <b/>
            <sz val="9"/>
            <color indexed="81"/>
            <rFont val="Tahoma"/>
            <family val="2"/>
          </rPr>
          <t xml:space="preserve">Baglione, Gregory  (Research):
1/18/17
</t>
        </r>
        <r>
          <rPr>
            <sz val="9"/>
            <color indexed="81"/>
            <rFont val="Tahoma"/>
            <family val="2"/>
          </rPr>
          <t>Assume SG&amp;A dollars could continue to remain flat to down ~0.5% in 2018, but expect SG&amp;A cuts to diminish as we move to outer-years given natural expense inflation (wages etc).</t>
        </r>
      </text>
    </comment>
    <comment ref="AG25" authorId="6">
      <text>
        <r>
          <rPr>
            <b/>
            <sz val="9"/>
            <color indexed="81"/>
            <rFont val="Tahoma"/>
            <family val="2"/>
          </rPr>
          <t xml:space="preserve">Baglione, Gregory  (Research):
1/18/17
</t>
        </r>
        <r>
          <rPr>
            <sz val="9"/>
            <color indexed="81"/>
            <rFont val="Tahoma"/>
            <family val="2"/>
          </rPr>
          <t>Assume SG&amp;A dollars could continue to remain flat to down ~0.5% in 2018, but expect SG&amp;A cuts to diminish as we move to outer-years given natural expense inflation (wages etc).</t>
        </r>
      </text>
    </comment>
    <comment ref="AH25" authorId="6">
      <text>
        <r>
          <rPr>
            <b/>
            <sz val="9"/>
            <color indexed="81"/>
            <rFont val="Tahoma"/>
            <family val="2"/>
          </rPr>
          <t xml:space="preserve">Baglione, Gregory  (Research):
1/18/17
</t>
        </r>
        <r>
          <rPr>
            <sz val="9"/>
            <color indexed="81"/>
            <rFont val="Tahoma"/>
            <family val="2"/>
          </rPr>
          <t>Assume SG&amp;A dollars could continue to remain flat to down ~0.5% in 2018, but expect SG&amp;A cuts to diminish as we move to outer-years given natural expense inflation (wages etc).</t>
        </r>
      </text>
    </comment>
    <comment ref="X26" authorId="0">
      <text>
        <r>
          <rPr>
            <b/>
            <sz val="8"/>
            <color indexed="81"/>
            <rFont val="Tahoma"/>
            <family val="2"/>
          </rPr>
          <t xml:space="preserve">Guidance 2/24/11:
</t>
        </r>
        <r>
          <rPr>
            <sz val="8"/>
            <color indexed="81"/>
            <rFont val="Tahoma"/>
            <family val="2"/>
          </rPr>
          <t>+3.0-4.5% in FY11</t>
        </r>
        <r>
          <rPr>
            <b/>
            <sz val="8"/>
            <color indexed="81"/>
            <rFont val="Tahoma"/>
            <family val="2"/>
          </rPr>
          <t xml:space="preserve">
Leverage points:
</t>
        </r>
        <r>
          <rPr>
            <sz val="8"/>
            <color indexed="81"/>
            <rFont val="Tahoma"/>
            <family val="2"/>
          </rPr>
          <t>Expects to leverage at ~3% in 2011</t>
        </r>
        <r>
          <rPr>
            <b/>
            <sz val="8"/>
            <color indexed="81"/>
            <rFont val="Tahoma"/>
            <family val="2"/>
          </rPr>
          <t xml:space="preserve">
</t>
        </r>
        <r>
          <rPr>
            <sz val="8"/>
            <color indexed="81"/>
            <rFont val="Tahoma"/>
            <family val="2"/>
          </rPr>
          <t>Expects to leverage at ~2% in 2012/2013</t>
        </r>
        <r>
          <rPr>
            <b/>
            <sz val="8"/>
            <color indexed="81"/>
            <rFont val="Tahoma"/>
            <family val="2"/>
          </rPr>
          <t xml:space="preserve">
</t>
        </r>
        <r>
          <rPr>
            <sz val="8"/>
            <color indexed="81"/>
            <rFont val="Tahoma"/>
            <family val="2"/>
          </rPr>
          <t>6-8 bps of sensitivity</t>
        </r>
        <r>
          <rPr>
            <b/>
            <sz val="8"/>
            <color indexed="81"/>
            <rFont val="Tahoma"/>
            <family val="2"/>
          </rPr>
          <t xml:space="preserve">
Note: We assume KSS can grow sales faster than SG&amp;A expense in 2011.</t>
        </r>
        <r>
          <rPr>
            <sz val="8"/>
            <color indexed="81"/>
            <rFont val="Tahoma"/>
            <family val="2"/>
          </rPr>
          <t xml:space="preserve">
</t>
        </r>
      </text>
    </comment>
    <comment ref="Y26" authorId="4">
      <text>
        <r>
          <rPr>
            <b/>
            <sz val="8"/>
            <color indexed="81"/>
            <rFont val="Tahoma"/>
            <family val="2"/>
          </rPr>
          <t xml:space="preserve">11/10/11 Commentary:
</t>
        </r>
        <r>
          <rPr>
            <sz val="8"/>
            <color indexed="81"/>
            <rFont val="Tahoma"/>
            <family val="2"/>
          </rPr>
          <t xml:space="preserve">
Some improvement in credit in 2012, but at lower rate vs 2011
 </t>
        </r>
      </text>
    </comment>
    <comment ref="Z26" authorId="0">
      <text>
        <r>
          <rPr>
            <b/>
            <i/>
            <sz val="8"/>
            <color indexed="12"/>
            <rFont val="Tahoma"/>
            <family val="2"/>
          </rPr>
          <t xml:space="preserve">Note: Adjusted 2013e SG&amp;A ratio delta to back out impact to  2012e SG&amp;A ratio from 53rd week
</t>
        </r>
      </text>
    </comment>
    <comment ref="M33" authorId="4">
      <text>
        <r>
          <rPr>
            <sz val="8"/>
            <color indexed="81"/>
            <rFont val="Tahoma"/>
            <family val="2"/>
          </rPr>
          <t>Guidance</t>
        </r>
      </text>
    </comment>
    <comment ref="AG47" authorId="5">
      <text>
        <r>
          <rPr>
            <b/>
            <sz val="9"/>
            <color indexed="81"/>
            <rFont val="Tahoma"/>
            <family val="2"/>
          </rPr>
          <t>Baglione, Gregory (Research):</t>
        </r>
        <r>
          <rPr>
            <sz val="9"/>
            <color indexed="81"/>
            <rFont val="Tahoma"/>
            <family val="2"/>
          </rPr>
          <t xml:space="preserve">
1/18//16
Neraest maturity is 2021. Keeping interest expense flat. Discussions with high-yield team indicate that given current conditions weighing on sector, it would be unlikely KSS could roll this forward at better terms. For now,w e assume they would not retire any debt.</t>
        </r>
      </text>
    </comment>
    <comment ref="AB67" authorId="6">
      <text>
        <r>
          <rPr>
            <b/>
            <sz val="9"/>
            <color indexed="81"/>
            <rFont val="Tahoma"/>
            <family val="2"/>
          </rPr>
          <t>Baglione, Gregory  (Research):</t>
        </r>
        <r>
          <rPr>
            <sz val="9"/>
            <color indexed="81"/>
            <rFont val="Tahoma"/>
            <family val="2"/>
          </rPr>
          <t xml:space="preserve">
11/5/15
FY EPS lowered to $4.16 from $4.20</t>
        </r>
      </text>
    </comment>
    <comment ref="AC67" authorId="5">
      <text>
        <r>
          <rPr>
            <b/>
            <sz val="9"/>
            <color indexed="81"/>
            <rFont val="Tahoma"/>
            <family val="2"/>
          </rPr>
          <t>Baglione, Gregory (Research):</t>
        </r>
        <r>
          <rPr>
            <sz val="9"/>
            <color indexed="81"/>
            <rFont val="Tahoma"/>
            <family val="2"/>
          </rPr>
          <t xml:space="preserve">
1/4/17
Earnings Guidance
The Company now expects its fiscal 2016 diluted earnings per share to be $2.92 to
$2.97 versus its previous guidance of $3.12 to $3.32 per diluted share. Excluding
impairments, store closing and other costs, fiscal 2016 diluted earnings per share is
expected to be $3.60 to $3.65, down from the Company’s previously stated guidance of
$3.80 to $4.00 per diluted share.</t>
        </r>
      </text>
    </comment>
  </commentList>
</comments>
</file>

<file path=xl/comments6.xml><?xml version="1.0" encoding="utf-8"?>
<comments xmlns="http://schemas.openxmlformats.org/spreadsheetml/2006/main">
  <authors>
    <author>cuomochr</author>
    <author>balskyh</author>
    <author>DL</author>
    <author>casselau</author>
    <author>Baglione, Gregory  (Research)</author>
    <author>fitzgibc</author>
    <author>mmcclell</author>
    <author>leechi</author>
    <author>Mains, Spencer (Research)</author>
    <author>Roberts, Cynthia (Research)</author>
  </authors>
  <commentList>
    <comment ref="D268" authorId="0">
      <text>
        <r>
          <rPr>
            <b/>
            <sz val="8"/>
            <color indexed="81"/>
            <rFont val="Tahoma"/>
            <family val="2"/>
          </rPr>
          <t xml:space="preserve">Guidance 2/24/11:
</t>
        </r>
        <r>
          <rPr>
            <sz val="8"/>
            <color indexed="81"/>
            <rFont val="Tahoma"/>
            <family val="2"/>
          </rPr>
          <t>40 stores for year
9 in March
31 in Sept</t>
        </r>
        <r>
          <rPr>
            <sz val="8"/>
            <color indexed="81"/>
            <rFont val="Tahoma"/>
            <family val="2"/>
          </rPr>
          <t xml:space="preserve">
</t>
        </r>
        <r>
          <rPr>
            <b/>
            <sz val="8"/>
            <color indexed="81"/>
            <rFont val="Tahoma"/>
            <family val="2"/>
          </rPr>
          <t>Comment 4/7/11:</t>
        </r>
        <r>
          <rPr>
            <sz val="8"/>
            <color indexed="81"/>
            <rFont val="Tahoma"/>
            <family val="2"/>
          </rPr>
          <t xml:space="preserve">
1 store short of 9 in March
CC pushed into April</t>
        </r>
      </text>
    </comment>
    <comment ref="D269" authorId="0">
      <text>
        <r>
          <rPr>
            <b/>
            <sz val="8"/>
            <color indexed="81"/>
            <rFont val="Tahoma"/>
            <family val="2"/>
          </rPr>
          <t xml:space="preserve">Guidance 2/24/11:
</t>
        </r>
        <r>
          <rPr>
            <sz val="8"/>
            <color indexed="81"/>
            <rFont val="Tahoma"/>
            <family val="2"/>
          </rPr>
          <t>40 stores for year
9 in March
31 in Sept</t>
        </r>
        <r>
          <rPr>
            <sz val="8"/>
            <color indexed="81"/>
            <rFont val="Tahoma"/>
            <family val="2"/>
          </rPr>
          <t xml:space="preserve">
</t>
        </r>
        <r>
          <rPr>
            <b/>
            <sz val="8"/>
            <color indexed="81"/>
            <rFont val="Tahoma"/>
            <family val="2"/>
          </rPr>
          <t>Comment 4/7/11:</t>
        </r>
        <r>
          <rPr>
            <sz val="8"/>
            <color indexed="81"/>
            <rFont val="Tahoma"/>
            <family val="2"/>
          </rPr>
          <t xml:space="preserve">
1 store short of 9 in March
CC pushed into April</t>
        </r>
      </text>
    </comment>
    <comment ref="D274" authorId="0">
      <text>
        <r>
          <rPr>
            <b/>
            <sz val="8"/>
            <color indexed="81"/>
            <rFont val="Tahoma"/>
            <family val="2"/>
          </rPr>
          <t xml:space="preserve">Guidance 8/11/11:
</t>
        </r>
        <r>
          <rPr>
            <sz val="8"/>
            <color indexed="81"/>
            <rFont val="Tahoma"/>
            <family val="2"/>
          </rPr>
          <t>Confirms</t>
        </r>
        <r>
          <rPr>
            <b/>
            <sz val="8"/>
            <color indexed="81"/>
            <rFont val="Tahoma"/>
            <family val="2"/>
          </rPr>
          <t xml:space="preserve"> </t>
        </r>
        <r>
          <rPr>
            <sz val="8"/>
            <color indexed="81"/>
            <rFont val="Tahoma"/>
            <family val="2"/>
          </rPr>
          <t xml:space="preserve">31 stores at end of Sept </t>
        </r>
        <r>
          <rPr>
            <b/>
            <sz val="8"/>
            <color indexed="81"/>
            <rFont val="Tahoma"/>
            <family val="2"/>
          </rPr>
          <t xml:space="preserve">
Guidance 2/24/11:
</t>
        </r>
        <r>
          <rPr>
            <sz val="8"/>
            <color indexed="81"/>
            <rFont val="Tahoma"/>
            <family val="2"/>
          </rPr>
          <t>40 stores for year
9 in March
31 in Sept</t>
        </r>
        <r>
          <rPr>
            <sz val="8"/>
            <color indexed="81"/>
            <rFont val="Tahoma"/>
            <family val="2"/>
          </rPr>
          <t xml:space="preserve">
</t>
        </r>
      </text>
    </comment>
    <comment ref="D275" authorId="1">
      <text>
        <r>
          <rPr>
            <b/>
            <sz val="8"/>
            <color indexed="81"/>
            <rFont val="Tahoma"/>
            <family val="2"/>
          </rPr>
          <t xml:space="preserve">11/10/11 Commentary:
At 3Q end: 
</t>
        </r>
        <r>
          <rPr>
            <sz val="8"/>
            <color indexed="81"/>
            <rFont val="Tahoma"/>
            <family val="2"/>
          </rPr>
          <t xml:space="preserve">1) 1,127 stores, +38 y/y (+31 in qtr)
2) Gross square footage 98MM, +3MM y/y
3) Selling square footage +2MM to 82MM
</t>
        </r>
      </text>
    </comment>
    <comment ref="D280" authorId="1">
      <text>
        <r>
          <rPr>
            <b/>
            <sz val="8"/>
            <color indexed="81"/>
            <rFont val="Tahoma"/>
            <family val="2"/>
          </rPr>
          <t xml:space="preserve">2/23/12 Guidance
</t>
        </r>
        <r>
          <rPr>
            <sz val="8"/>
            <color indexed="81"/>
            <rFont val="Tahoma"/>
            <family val="2"/>
          </rPr>
          <t>8 new stores in March; 12 new stores in October; substantially all will be small stores</t>
        </r>
        <r>
          <rPr>
            <b/>
            <sz val="8"/>
            <color indexed="81"/>
            <rFont val="Tahoma"/>
            <family val="2"/>
          </rPr>
          <t xml:space="preserve">
11/10/11 Guidance:</t>
        </r>
        <r>
          <rPr>
            <sz val="8"/>
            <color indexed="81"/>
            <rFont val="Tahoma"/>
            <family val="2"/>
          </rPr>
          <t xml:space="preserve">
8 new stores in Spring / 22 in Fall
~90% small stores</t>
        </r>
      </text>
    </comment>
    <comment ref="D281" authorId="1">
      <text>
        <r>
          <rPr>
            <b/>
            <sz val="8"/>
            <color indexed="81"/>
            <rFont val="Tahoma"/>
            <family val="2"/>
          </rPr>
          <t xml:space="preserve">4/5/2012 Commentary
</t>
        </r>
        <r>
          <rPr>
            <sz val="8"/>
            <color indexed="81"/>
            <rFont val="Tahoma"/>
            <family val="2"/>
          </rPr>
          <t>Opened 9 new stores including 1 relocated store
Closed 1 store</t>
        </r>
        <r>
          <rPr>
            <b/>
            <sz val="8"/>
            <color indexed="81"/>
            <rFont val="Tahoma"/>
            <family val="2"/>
          </rPr>
          <t xml:space="preserve">
2/23/12 Guidance
</t>
        </r>
        <r>
          <rPr>
            <sz val="8"/>
            <color indexed="81"/>
            <rFont val="Tahoma"/>
            <family val="2"/>
          </rPr>
          <t>8 new stores in March; 12 new stores in October; substantially all will be small stores</t>
        </r>
        <r>
          <rPr>
            <b/>
            <sz val="8"/>
            <color indexed="81"/>
            <rFont val="Tahoma"/>
            <family val="2"/>
          </rPr>
          <t xml:space="preserve">
11/10/11 Guidance:</t>
        </r>
        <r>
          <rPr>
            <sz val="8"/>
            <color indexed="81"/>
            <rFont val="Tahoma"/>
            <family val="2"/>
          </rPr>
          <t xml:space="preserve">
8 new stores in Spring / 22 in Fall
~90% small stores</t>
        </r>
      </text>
    </comment>
    <comment ref="D282" authorId="1">
      <text>
        <r>
          <rPr>
            <b/>
            <sz val="8"/>
            <color indexed="81"/>
            <rFont val="Tahoma"/>
            <family val="2"/>
          </rPr>
          <t xml:space="preserve">4/5/2012 Commentary
</t>
        </r>
        <r>
          <rPr>
            <sz val="8"/>
            <color indexed="81"/>
            <rFont val="Tahoma"/>
            <family val="2"/>
          </rPr>
          <t>3 Rack's to open in April (ID, GA, CT)</t>
        </r>
        <r>
          <rPr>
            <b/>
            <sz val="8"/>
            <color indexed="81"/>
            <rFont val="Tahoma"/>
            <family val="2"/>
          </rPr>
          <t xml:space="preserve">
2/23/12 Guidance
</t>
        </r>
        <r>
          <rPr>
            <sz val="8"/>
            <color indexed="81"/>
            <rFont val="Tahoma"/>
            <family val="2"/>
          </rPr>
          <t>8 new stores in March; 12 new stores in October; substantially all will be small stores</t>
        </r>
        <r>
          <rPr>
            <b/>
            <sz val="8"/>
            <color indexed="81"/>
            <rFont val="Tahoma"/>
            <family val="2"/>
          </rPr>
          <t xml:space="preserve">
11/10/11 Guidance:</t>
        </r>
        <r>
          <rPr>
            <sz val="8"/>
            <color indexed="81"/>
            <rFont val="Tahoma"/>
            <family val="2"/>
          </rPr>
          <t xml:space="preserve">
8 new stores in Spring / 22 in Fall
~90% small stores</t>
        </r>
      </text>
    </comment>
    <comment ref="D283" authorId="1">
      <text>
        <r>
          <rPr>
            <b/>
            <sz val="8"/>
            <color indexed="81"/>
            <rFont val="Tahoma"/>
            <family val="2"/>
          </rPr>
          <t xml:space="preserve">2/23/12 Guidance
</t>
        </r>
        <r>
          <rPr>
            <sz val="8"/>
            <color indexed="81"/>
            <rFont val="Tahoma"/>
            <family val="2"/>
          </rPr>
          <t>8 new stores in March; 12 new stores in October; substantially all will be small stores</t>
        </r>
        <r>
          <rPr>
            <b/>
            <sz val="8"/>
            <color indexed="81"/>
            <rFont val="Tahoma"/>
            <family val="2"/>
          </rPr>
          <t xml:space="preserve">
11/10/11 Guidance:</t>
        </r>
        <r>
          <rPr>
            <sz val="8"/>
            <color indexed="81"/>
            <rFont val="Tahoma"/>
            <family val="2"/>
          </rPr>
          <t xml:space="preserve">
8 new stores in Spring / 22 in Fall
~90% small stores</t>
        </r>
      </text>
    </comment>
    <comment ref="D284" authorId="1">
      <text>
        <r>
          <rPr>
            <b/>
            <sz val="8"/>
            <color indexed="81"/>
            <rFont val="Tahoma"/>
            <family val="2"/>
          </rPr>
          <t xml:space="preserve">2/23/12 Guidance
</t>
        </r>
        <r>
          <rPr>
            <sz val="8"/>
            <color indexed="81"/>
            <rFont val="Tahoma"/>
            <family val="2"/>
          </rPr>
          <t>8 new stores in March; 12 new stores in October; substantially all will be small stores</t>
        </r>
        <r>
          <rPr>
            <b/>
            <sz val="8"/>
            <color indexed="81"/>
            <rFont val="Tahoma"/>
            <family val="2"/>
          </rPr>
          <t xml:space="preserve">
11/10/11 Guidance:</t>
        </r>
        <r>
          <rPr>
            <sz val="8"/>
            <color indexed="81"/>
            <rFont val="Tahoma"/>
            <family val="2"/>
          </rPr>
          <t xml:space="preserve">
8 new stores in Spring / 22 in Fall
~90% small stores</t>
        </r>
      </text>
    </comment>
    <comment ref="K284" authorId="1">
      <text>
        <r>
          <rPr>
            <b/>
            <sz val="8"/>
            <color indexed="81"/>
            <rFont val="Tahoma"/>
            <family val="2"/>
          </rPr>
          <t xml:space="preserve">2/23/12 Guidance
</t>
        </r>
        <r>
          <rPr>
            <sz val="8"/>
            <color indexed="81"/>
            <rFont val="Tahoma"/>
            <family val="2"/>
          </rPr>
          <t>8 new stores in March; 12 new stores in October; substantially all will be small stores</t>
        </r>
        <r>
          <rPr>
            <b/>
            <sz val="8"/>
            <color indexed="81"/>
            <rFont val="Tahoma"/>
            <family val="2"/>
          </rPr>
          <t xml:space="preserve">
11/10/11 Guidance:</t>
        </r>
        <r>
          <rPr>
            <sz val="8"/>
            <color indexed="81"/>
            <rFont val="Tahoma"/>
            <family val="2"/>
          </rPr>
          <t xml:space="preserve">
8 new stores in Spring / 22 in Fall
~90% small stores</t>
        </r>
      </text>
    </comment>
    <comment ref="D285" authorId="1">
      <text>
        <r>
          <rPr>
            <b/>
            <sz val="8"/>
            <color indexed="81"/>
            <rFont val="Tahoma"/>
            <family val="2"/>
          </rPr>
          <t xml:space="preserve">2/23/12 Guidance
</t>
        </r>
        <r>
          <rPr>
            <sz val="8"/>
            <color indexed="81"/>
            <rFont val="Tahoma"/>
            <family val="2"/>
          </rPr>
          <t>8 new stores in March; 12 new stores in October; substantially all will be small stores</t>
        </r>
        <r>
          <rPr>
            <b/>
            <sz val="8"/>
            <color indexed="81"/>
            <rFont val="Tahoma"/>
            <family val="2"/>
          </rPr>
          <t xml:space="preserve">
11/10/11 Guidance:</t>
        </r>
        <r>
          <rPr>
            <sz val="8"/>
            <color indexed="81"/>
            <rFont val="Tahoma"/>
            <family val="2"/>
          </rPr>
          <t xml:space="preserve">
8 new stores in Spring / 22 in Fall
~90% small stores</t>
        </r>
      </text>
    </comment>
    <comment ref="K285" authorId="1">
      <text>
        <r>
          <rPr>
            <b/>
            <sz val="8"/>
            <color indexed="81"/>
            <rFont val="Tahoma"/>
            <family val="2"/>
          </rPr>
          <t xml:space="preserve">2/23/12 Guidance
</t>
        </r>
        <r>
          <rPr>
            <sz val="8"/>
            <color indexed="81"/>
            <rFont val="Tahoma"/>
            <family val="2"/>
          </rPr>
          <t>8 new stores in March; 12 new stores in October; substantially all will be small stores</t>
        </r>
        <r>
          <rPr>
            <b/>
            <sz val="8"/>
            <color indexed="81"/>
            <rFont val="Tahoma"/>
            <family val="2"/>
          </rPr>
          <t xml:space="preserve">
11/10/11 Guidance:</t>
        </r>
        <r>
          <rPr>
            <sz val="8"/>
            <color indexed="81"/>
            <rFont val="Tahoma"/>
            <family val="2"/>
          </rPr>
          <t xml:space="preserve">
8 new stores in Spring / 22 in Fall
~90% small stores</t>
        </r>
      </text>
    </comment>
    <comment ref="D286" authorId="1">
      <text>
        <r>
          <rPr>
            <b/>
            <sz val="8"/>
            <color indexed="81"/>
            <rFont val="Tahoma"/>
            <family val="2"/>
          </rPr>
          <t xml:space="preserve">2/23/12 Guidance
</t>
        </r>
        <r>
          <rPr>
            <sz val="8"/>
            <color indexed="81"/>
            <rFont val="Tahoma"/>
            <family val="2"/>
          </rPr>
          <t>8 new stores in March; 12 new stores in October; substantially all will be small stores</t>
        </r>
        <r>
          <rPr>
            <b/>
            <sz val="8"/>
            <color indexed="81"/>
            <rFont val="Tahoma"/>
            <family val="2"/>
          </rPr>
          <t xml:space="preserve">
11/10/11 Guidance:</t>
        </r>
        <r>
          <rPr>
            <sz val="8"/>
            <color indexed="81"/>
            <rFont val="Tahoma"/>
            <family val="2"/>
          </rPr>
          <t xml:space="preserve">
8 new stores in Spring / 22 in Fall
~90% small stores</t>
        </r>
      </text>
    </comment>
    <comment ref="K286" authorId="1">
      <text>
        <r>
          <rPr>
            <b/>
            <sz val="8"/>
            <color indexed="81"/>
            <rFont val="Tahoma"/>
            <family val="2"/>
          </rPr>
          <t xml:space="preserve">2/23/12 Guidance
</t>
        </r>
        <r>
          <rPr>
            <sz val="8"/>
            <color indexed="81"/>
            <rFont val="Tahoma"/>
            <family val="2"/>
          </rPr>
          <t>8 new stores in March; 12 new stores in October; substantially all will be small stores</t>
        </r>
        <r>
          <rPr>
            <b/>
            <sz val="8"/>
            <color indexed="81"/>
            <rFont val="Tahoma"/>
            <family val="2"/>
          </rPr>
          <t xml:space="preserve">
11/10/11 Guidance:</t>
        </r>
        <r>
          <rPr>
            <sz val="8"/>
            <color indexed="81"/>
            <rFont val="Tahoma"/>
            <family val="2"/>
          </rPr>
          <t xml:space="preserve">
8 new stores in Spring / 22 in Fall
~90% small stores</t>
        </r>
      </text>
    </comment>
    <comment ref="D287" authorId="1">
      <text>
        <r>
          <rPr>
            <b/>
            <sz val="8"/>
            <color indexed="81"/>
            <rFont val="Tahoma"/>
            <family val="2"/>
          </rPr>
          <t xml:space="preserve">2/23/12 Guidance
</t>
        </r>
        <r>
          <rPr>
            <sz val="8"/>
            <color indexed="81"/>
            <rFont val="Tahoma"/>
            <family val="2"/>
          </rPr>
          <t>8 new stores in March; 12 new stores in October; substantially all will be small stores</t>
        </r>
        <r>
          <rPr>
            <b/>
            <sz val="8"/>
            <color indexed="81"/>
            <rFont val="Tahoma"/>
            <family val="2"/>
          </rPr>
          <t xml:space="preserve">
11/10/11 Guidance:</t>
        </r>
        <r>
          <rPr>
            <sz val="8"/>
            <color indexed="81"/>
            <rFont val="Tahoma"/>
            <family val="2"/>
          </rPr>
          <t xml:space="preserve">
8 new stores in Spring / 22 in Fall
~90% small stores</t>
        </r>
      </text>
    </comment>
    <comment ref="K287" authorId="1">
      <text>
        <r>
          <rPr>
            <b/>
            <sz val="8"/>
            <color indexed="81"/>
            <rFont val="Tahoma"/>
            <family val="2"/>
          </rPr>
          <t xml:space="preserve">2/23/12 Guidance
</t>
        </r>
        <r>
          <rPr>
            <sz val="8"/>
            <color indexed="81"/>
            <rFont val="Tahoma"/>
            <family val="2"/>
          </rPr>
          <t>8 new stores in March; 12 new stores in October; substantially all will be small stores</t>
        </r>
        <r>
          <rPr>
            <b/>
            <sz val="8"/>
            <color indexed="81"/>
            <rFont val="Tahoma"/>
            <family val="2"/>
          </rPr>
          <t xml:space="preserve">
11/10/11 Guidance:</t>
        </r>
        <r>
          <rPr>
            <sz val="8"/>
            <color indexed="81"/>
            <rFont val="Tahoma"/>
            <family val="2"/>
          </rPr>
          <t xml:space="preserve">
8 new stores in Spring / 22 in Fall
~90% small stores</t>
        </r>
      </text>
    </comment>
    <comment ref="D288" authorId="1">
      <text>
        <r>
          <rPr>
            <b/>
            <sz val="8"/>
            <color indexed="81"/>
            <rFont val="Tahoma"/>
            <family val="2"/>
          </rPr>
          <t xml:space="preserve">2/23/12 Guidance
</t>
        </r>
        <r>
          <rPr>
            <sz val="8"/>
            <color indexed="81"/>
            <rFont val="Tahoma"/>
            <family val="2"/>
          </rPr>
          <t>8 new stores in March; 12 new stores in October; substantially all will be small stores</t>
        </r>
        <r>
          <rPr>
            <b/>
            <sz val="8"/>
            <color indexed="81"/>
            <rFont val="Tahoma"/>
            <family val="2"/>
          </rPr>
          <t xml:space="preserve">
11/10/11 Guidance:</t>
        </r>
        <r>
          <rPr>
            <sz val="8"/>
            <color indexed="81"/>
            <rFont val="Tahoma"/>
            <family val="2"/>
          </rPr>
          <t xml:space="preserve">
8 new stores in Spring / 22 in Fall
~90% small stores</t>
        </r>
      </text>
    </comment>
    <comment ref="K288" authorId="1">
      <text>
        <r>
          <rPr>
            <b/>
            <sz val="8"/>
            <color indexed="81"/>
            <rFont val="Tahoma"/>
            <family val="2"/>
          </rPr>
          <t xml:space="preserve">2/23/12 Guidance
</t>
        </r>
        <r>
          <rPr>
            <sz val="8"/>
            <color indexed="81"/>
            <rFont val="Tahoma"/>
            <family val="2"/>
          </rPr>
          <t>8 new stores in March; 12 new stores in October; substantially all will be small stores</t>
        </r>
        <r>
          <rPr>
            <b/>
            <sz val="8"/>
            <color indexed="81"/>
            <rFont val="Tahoma"/>
            <family val="2"/>
          </rPr>
          <t xml:space="preserve">
11/10/11 Guidance:</t>
        </r>
        <r>
          <rPr>
            <sz val="8"/>
            <color indexed="81"/>
            <rFont val="Tahoma"/>
            <family val="2"/>
          </rPr>
          <t xml:space="preserve">
8 new stores in Spring / 22 in Fall
~90% small stores</t>
        </r>
      </text>
    </comment>
    <comment ref="D289" authorId="1">
      <text>
        <r>
          <rPr>
            <b/>
            <sz val="8"/>
            <color indexed="81"/>
            <rFont val="Tahoma"/>
            <family val="2"/>
          </rPr>
          <t xml:space="preserve">2/23/12 Guidance
</t>
        </r>
        <r>
          <rPr>
            <sz val="8"/>
            <color indexed="81"/>
            <rFont val="Tahoma"/>
            <family val="2"/>
          </rPr>
          <t>8 new stores in March; 12 new stores in October; substantially all will be small stores</t>
        </r>
        <r>
          <rPr>
            <b/>
            <sz val="8"/>
            <color indexed="81"/>
            <rFont val="Tahoma"/>
            <family val="2"/>
          </rPr>
          <t xml:space="preserve">
11/10/11 Guidance:</t>
        </r>
        <r>
          <rPr>
            <sz val="8"/>
            <color indexed="81"/>
            <rFont val="Tahoma"/>
            <family val="2"/>
          </rPr>
          <t xml:space="preserve">
8 new stores in Spring / 22 in Fall
~90% small stores</t>
        </r>
      </text>
    </comment>
    <comment ref="K289" authorId="1">
      <text>
        <r>
          <rPr>
            <b/>
            <sz val="8"/>
            <color indexed="81"/>
            <rFont val="Tahoma"/>
            <family val="2"/>
          </rPr>
          <t xml:space="preserve">2/23/12 Guidance
</t>
        </r>
        <r>
          <rPr>
            <sz val="8"/>
            <color indexed="81"/>
            <rFont val="Tahoma"/>
            <family val="2"/>
          </rPr>
          <t>8 new stores in March; 12 new stores in October; substantially all will be small stores</t>
        </r>
        <r>
          <rPr>
            <b/>
            <sz val="8"/>
            <color indexed="81"/>
            <rFont val="Tahoma"/>
            <family val="2"/>
          </rPr>
          <t xml:space="preserve">
11/10/11 Guidance:</t>
        </r>
        <r>
          <rPr>
            <sz val="8"/>
            <color indexed="81"/>
            <rFont val="Tahoma"/>
            <family val="2"/>
          </rPr>
          <t xml:space="preserve">
8 new stores in Spring / 22 in Fall
~90% small stores</t>
        </r>
      </text>
    </comment>
    <comment ref="D290" authorId="1">
      <text>
        <r>
          <rPr>
            <b/>
            <sz val="8"/>
            <color indexed="81"/>
            <rFont val="Tahoma"/>
            <family val="2"/>
          </rPr>
          <t xml:space="preserve">2/23/12 Guidance
</t>
        </r>
        <r>
          <rPr>
            <sz val="8"/>
            <color indexed="81"/>
            <rFont val="Tahoma"/>
            <family val="2"/>
          </rPr>
          <t>8 new stores in March; 12 new stores in October; substantially all will be small stores</t>
        </r>
        <r>
          <rPr>
            <b/>
            <sz val="8"/>
            <color indexed="81"/>
            <rFont val="Tahoma"/>
            <family val="2"/>
          </rPr>
          <t xml:space="preserve">
11/10/11 Guidance:</t>
        </r>
        <r>
          <rPr>
            <sz val="8"/>
            <color indexed="81"/>
            <rFont val="Tahoma"/>
            <family val="2"/>
          </rPr>
          <t xml:space="preserve">
8 new stores in Spring / 22 in Fall
~90% small stores</t>
        </r>
      </text>
    </comment>
    <comment ref="K290" authorId="1">
      <text>
        <r>
          <rPr>
            <b/>
            <sz val="8"/>
            <color indexed="81"/>
            <rFont val="Tahoma"/>
            <family val="2"/>
          </rPr>
          <t xml:space="preserve">2/23/12 Guidance
</t>
        </r>
        <r>
          <rPr>
            <sz val="8"/>
            <color indexed="81"/>
            <rFont val="Tahoma"/>
            <family val="2"/>
          </rPr>
          <t>8 new stores in March; 12 new stores in October; substantially all will be small stores</t>
        </r>
        <r>
          <rPr>
            <b/>
            <sz val="8"/>
            <color indexed="81"/>
            <rFont val="Tahoma"/>
            <family val="2"/>
          </rPr>
          <t xml:space="preserve">
11/10/11 Guidance:</t>
        </r>
        <r>
          <rPr>
            <sz val="8"/>
            <color indexed="81"/>
            <rFont val="Tahoma"/>
            <family val="2"/>
          </rPr>
          <t xml:space="preserve">
8 new stores in Spring / 22 in Fall
~90% small stores</t>
        </r>
      </text>
    </comment>
    <comment ref="D291" authorId="1">
      <text>
        <r>
          <rPr>
            <b/>
            <sz val="8"/>
            <color indexed="81"/>
            <rFont val="Tahoma"/>
            <family val="2"/>
          </rPr>
          <t xml:space="preserve">2/23/12 Guidance
</t>
        </r>
        <r>
          <rPr>
            <sz val="8"/>
            <color indexed="81"/>
            <rFont val="Tahoma"/>
            <family val="2"/>
          </rPr>
          <t>8 new stores in March; 12 new stores in October; substantially all will be small stores</t>
        </r>
        <r>
          <rPr>
            <b/>
            <sz val="8"/>
            <color indexed="81"/>
            <rFont val="Tahoma"/>
            <family val="2"/>
          </rPr>
          <t xml:space="preserve">
11/10/11 Guidance:</t>
        </r>
        <r>
          <rPr>
            <sz val="8"/>
            <color indexed="81"/>
            <rFont val="Tahoma"/>
            <family val="2"/>
          </rPr>
          <t xml:space="preserve">
8 new stores in Spring / 22 in Fall
~90% small stores</t>
        </r>
      </text>
    </comment>
    <comment ref="K291" authorId="1">
      <text>
        <r>
          <rPr>
            <b/>
            <sz val="8"/>
            <color indexed="81"/>
            <rFont val="Tahoma"/>
            <family val="2"/>
          </rPr>
          <t xml:space="preserve">2/23/12 Guidance
</t>
        </r>
        <r>
          <rPr>
            <sz val="8"/>
            <color indexed="81"/>
            <rFont val="Tahoma"/>
            <family val="2"/>
          </rPr>
          <t>8 new stores in March; 12 new stores in October; substantially all will be small stores</t>
        </r>
        <r>
          <rPr>
            <b/>
            <sz val="8"/>
            <color indexed="81"/>
            <rFont val="Tahoma"/>
            <family val="2"/>
          </rPr>
          <t xml:space="preserve">
11/10/11 Guidance:</t>
        </r>
        <r>
          <rPr>
            <sz val="8"/>
            <color indexed="81"/>
            <rFont val="Tahoma"/>
            <family val="2"/>
          </rPr>
          <t xml:space="preserve">
8 new stores in Spring / 22 in Fall
~90% small stores</t>
        </r>
      </text>
    </comment>
    <comment ref="D293" authorId="1">
      <text>
        <r>
          <rPr>
            <b/>
            <sz val="8"/>
            <color indexed="81"/>
            <rFont val="Tahoma"/>
            <family val="2"/>
          </rPr>
          <t xml:space="preserve">11/8/2012 Guidance: </t>
        </r>
        <r>
          <rPr>
            <sz val="8"/>
            <color indexed="81"/>
            <rFont val="Tahoma"/>
            <family val="2"/>
          </rPr>
          <t xml:space="preserve">FY13 +12 stores: 9 Spring / 3 Fall
</t>
        </r>
      </text>
    </comment>
    <comment ref="K293" authorId="1">
      <text>
        <r>
          <rPr>
            <b/>
            <sz val="8"/>
            <color indexed="81"/>
            <rFont val="Tahoma"/>
            <family val="2"/>
          </rPr>
          <t xml:space="preserve">11/8/2012 Guidance: </t>
        </r>
        <r>
          <rPr>
            <sz val="8"/>
            <color indexed="81"/>
            <rFont val="Tahoma"/>
            <family val="2"/>
          </rPr>
          <t>FY13 +12 stores: 9 Spring / 3 Fall (reiterated 2/28/2013) - all but 1 a small store</t>
        </r>
      </text>
    </comment>
    <comment ref="D294" authorId="1">
      <text>
        <r>
          <rPr>
            <b/>
            <sz val="8"/>
            <color indexed="81"/>
            <rFont val="Tahoma"/>
            <family val="2"/>
          </rPr>
          <t xml:space="preserve">11/8/2012 Guidance: </t>
        </r>
        <r>
          <rPr>
            <sz val="8"/>
            <color indexed="81"/>
            <rFont val="Tahoma"/>
            <family val="2"/>
          </rPr>
          <t xml:space="preserve">FY13 +12 stores: 9 Spring / 3 Fall
</t>
        </r>
      </text>
    </comment>
    <comment ref="K294" authorId="1">
      <text>
        <r>
          <rPr>
            <b/>
            <sz val="8"/>
            <color indexed="81"/>
            <rFont val="Tahoma"/>
            <family val="2"/>
          </rPr>
          <t xml:space="preserve">11/8/2012 Guidance: </t>
        </r>
        <r>
          <rPr>
            <sz val="8"/>
            <color indexed="81"/>
            <rFont val="Tahoma"/>
            <family val="2"/>
          </rPr>
          <t>FY13 +12 stores: 9 Spring / 3 Fall (reiterated 2/28/2013) - all but 1 a small store</t>
        </r>
      </text>
    </comment>
    <comment ref="D295" authorId="1">
      <text>
        <r>
          <rPr>
            <b/>
            <sz val="8"/>
            <color indexed="81"/>
            <rFont val="Tahoma"/>
            <family val="2"/>
          </rPr>
          <t xml:space="preserve">11/8/2012 Guidance: </t>
        </r>
        <r>
          <rPr>
            <sz val="8"/>
            <color indexed="81"/>
            <rFont val="Tahoma"/>
            <family val="2"/>
          </rPr>
          <t xml:space="preserve">FY13 +12 stores: 9 Spring / 3 Fall
</t>
        </r>
        <r>
          <rPr>
            <b/>
            <sz val="8"/>
            <color indexed="81"/>
            <rFont val="Tahoma"/>
            <family val="2"/>
          </rPr>
          <t xml:space="preserve">8/15/13 Guidance: </t>
        </r>
        <r>
          <rPr>
            <sz val="8"/>
            <color indexed="81"/>
            <rFont val="Tahoma"/>
            <family val="2"/>
          </rPr>
          <t>3 new stores in the fall</t>
        </r>
      </text>
    </comment>
    <comment ref="K295" authorId="1">
      <text>
        <r>
          <rPr>
            <b/>
            <sz val="8"/>
            <color indexed="81"/>
            <rFont val="Tahoma"/>
            <family val="2"/>
          </rPr>
          <t xml:space="preserve">11/8/2012 Guidance: </t>
        </r>
        <r>
          <rPr>
            <sz val="8"/>
            <color indexed="81"/>
            <rFont val="Tahoma"/>
            <family val="2"/>
          </rPr>
          <t>FY13 +12 stores: 9 Spring / 3 Fall (reiterated 2/28/2013) - all but 1 a small store</t>
        </r>
      </text>
    </comment>
    <comment ref="D296" authorId="1">
      <text>
        <r>
          <rPr>
            <b/>
            <sz val="8"/>
            <color indexed="81"/>
            <rFont val="Tahoma"/>
            <family val="2"/>
          </rPr>
          <t xml:space="preserve">11/8/2012 Guidance: </t>
        </r>
        <r>
          <rPr>
            <sz val="8"/>
            <color indexed="81"/>
            <rFont val="Tahoma"/>
            <family val="2"/>
          </rPr>
          <t xml:space="preserve">FY13 +12 stores: 9 Spring / 3 Fall
</t>
        </r>
      </text>
    </comment>
    <comment ref="K296" authorId="1">
      <text>
        <r>
          <rPr>
            <b/>
            <sz val="8"/>
            <color indexed="81"/>
            <rFont val="Tahoma"/>
            <family val="2"/>
          </rPr>
          <t xml:space="preserve">11/8/2012 Guidance: </t>
        </r>
        <r>
          <rPr>
            <sz val="8"/>
            <color indexed="81"/>
            <rFont val="Tahoma"/>
            <family val="2"/>
          </rPr>
          <t>FY13 +12 stores: 9 Spring / 3 Fall (reiterated 2/28/2013) - all but 1 a small store</t>
        </r>
      </text>
    </comment>
    <comment ref="K298" authorId="2">
      <text>
        <r>
          <rPr>
            <b/>
            <sz val="9"/>
            <color indexed="81"/>
            <rFont val="Tahoma"/>
            <family val="2"/>
          </rPr>
          <t xml:space="preserve">2/27/14: </t>
        </r>
        <r>
          <rPr>
            <sz val="9"/>
            <color indexed="81"/>
            <rFont val="Tahoma"/>
            <family val="2"/>
          </rPr>
          <t xml:space="preserve">We expect to open five new stores this spring, including one relocated store. We also plan to permanently close two stores and temporarily close one store for a complete rebuild. We expect to open another four stores in the fall, including the rebuilt store. So for 2014, we will have a net increase of five stores. We remodeled 30 stores in 2013 and expect to remodel approximately 35 stores in 2014.
</t>
        </r>
        <r>
          <rPr>
            <sz val="9"/>
            <color indexed="81"/>
            <rFont val="Tahoma"/>
            <family val="2"/>
          </rPr>
          <t xml:space="preserve">
</t>
        </r>
      </text>
    </comment>
    <comment ref="D299" authorId="2">
      <text>
        <r>
          <rPr>
            <b/>
            <sz val="9"/>
            <color indexed="81"/>
            <rFont val="Tahoma"/>
            <family val="2"/>
          </rPr>
          <t xml:space="preserve">8/14/14: </t>
        </r>
        <r>
          <rPr>
            <sz val="9"/>
            <color indexed="81"/>
            <rFont val="Tahoma"/>
            <family val="2"/>
          </rPr>
          <t xml:space="preserve">Kohl’s ended the quarter with 1,160 stores in 49 states, compared with 1,155 stores at the same time last year. The Company opened four new store locations, relocated one existing store and permanently closed two stores during the first quarter of 2014. It expects to open four new stores this Fall, including one store which was temporarily closed in the first quarter for a complete re-build.
</t>
        </r>
      </text>
    </comment>
    <comment ref="K299" authorId="2">
      <text>
        <r>
          <rPr>
            <b/>
            <sz val="9"/>
            <color indexed="81"/>
            <rFont val="Tahoma"/>
            <family val="2"/>
          </rPr>
          <t xml:space="preserve">2/27/14: </t>
        </r>
        <r>
          <rPr>
            <sz val="9"/>
            <color indexed="81"/>
            <rFont val="Tahoma"/>
            <family val="2"/>
          </rPr>
          <t xml:space="preserve">We expect to open five new stores this spring, including one relocated store. We also plan to permanently close two stores and temporarily close one store for a complete rebuild. We expect to open another four stores in the fall, including the rebuilt store. So for 2014, we will have a net increase of five stores. We remodeled 30 stores in 2013 and expect to remodel approximately 35 stores in 2014.
</t>
        </r>
        <r>
          <rPr>
            <sz val="9"/>
            <color indexed="81"/>
            <rFont val="Tahoma"/>
            <family val="2"/>
          </rPr>
          <t xml:space="preserve">
</t>
        </r>
      </text>
    </comment>
    <comment ref="D300" authorId="1">
      <text>
        <r>
          <rPr>
            <sz val="8"/>
            <color indexed="81"/>
            <rFont val="Tahoma"/>
            <family val="2"/>
          </rPr>
          <t xml:space="preserve">
</t>
        </r>
        <r>
          <rPr>
            <b/>
            <sz val="8"/>
            <color indexed="81"/>
            <rFont val="Tahoma"/>
            <family val="2"/>
          </rPr>
          <t xml:space="preserve">8/15/13 Guidance: </t>
        </r>
        <r>
          <rPr>
            <sz val="8"/>
            <color indexed="81"/>
            <rFont val="Tahoma"/>
            <family val="2"/>
          </rPr>
          <t>3 new stores in the fall</t>
        </r>
      </text>
    </comment>
    <comment ref="K300" authorId="2">
      <text>
        <r>
          <rPr>
            <b/>
            <sz val="9"/>
            <color indexed="81"/>
            <rFont val="Tahoma"/>
            <family val="2"/>
          </rPr>
          <t xml:space="preserve">8/14/14: </t>
        </r>
        <r>
          <rPr>
            <sz val="9"/>
            <color indexed="81"/>
            <rFont val="Tahoma"/>
            <family val="2"/>
          </rPr>
          <t>Kohl’s ended the quarter with 1,160 stores in 49 states, compared with 1,155 stores at the same time last year. The Company opened four new store locations, relocated one existing store and permanently closed two stores during the first quarter of 2014. It expects to open four new stores this Fall, including one store which was temporarily closed in the first quarter for a complete re-build.</t>
        </r>
        <r>
          <rPr>
            <b/>
            <sz val="9"/>
            <color indexed="81"/>
            <rFont val="Tahoma"/>
            <family val="2"/>
          </rPr>
          <t xml:space="preserve">
2/27/14: </t>
        </r>
        <r>
          <rPr>
            <sz val="9"/>
            <color indexed="81"/>
            <rFont val="Tahoma"/>
            <family val="2"/>
          </rPr>
          <t xml:space="preserve">We expect to open five new stores this spring, including one relocated store. We also plan to permanently close two stores and temporarily close one store for a complete rebuild. We expect to open another four stores in the fall, including the rebuilt store. So for 2014, we will have a net increase of five stores. We remodeled 30 stores in 2013 and expect to remodel approximately 35 stores in 2014.
</t>
        </r>
        <r>
          <rPr>
            <sz val="9"/>
            <color indexed="81"/>
            <rFont val="Tahoma"/>
            <family val="2"/>
          </rPr>
          <t xml:space="preserve">
</t>
        </r>
      </text>
    </comment>
    <comment ref="D301" authorId="3">
      <text>
        <r>
          <rPr>
            <b/>
            <sz val="9"/>
            <color indexed="81"/>
            <rFont val="Tahoma"/>
            <family val="2"/>
          </rPr>
          <t>casselau:</t>
        </r>
        <r>
          <rPr>
            <sz val="9"/>
            <color indexed="81"/>
            <rFont val="Tahoma"/>
            <family val="2"/>
          </rPr>
          <t xml:space="preserve">
during FY14 company opened 7 stores in new locations, relocated two existing stores, and closed three stores</t>
        </r>
      </text>
    </comment>
    <comment ref="K301" authorId="2">
      <text>
        <r>
          <rPr>
            <b/>
            <sz val="9"/>
            <color indexed="81"/>
            <rFont val="Tahoma"/>
            <family val="2"/>
          </rPr>
          <t xml:space="preserve">2/27/14: </t>
        </r>
        <r>
          <rPr>
            <sz val="9"/>
            <color indexed="81"/>
            <rFont val="Tahoma"/>
            <family val="2"/>
          </rPr>
          <t xml:space="preserve">We expect to open five new stores this spring, including one relocated store. We also plan to permanently close two stores and temporarily close one store for a complete rebuild. We expect to open another four stores in the fall, including the rebuilt store. So for 2014, we will have a net increase of five stores. We remodeled 30 stores in 2013 and expect to remodel approximately 35 stores in 2014.
</t>
        </r>
        <r>
          <rPr>
            <sz val="9"/>
            <color indexed="81"/>
            <rFont val="Tahoma"/>
            <family val="2"/>
          </rPr>
          <t xml:space="preserve">
</t>
        </r>
      </text>
    </comment>
    <comment ref="D308" authorId="4">
      <text>
        <r>
          <rPr>
            <b/>
            <sz val="9"/>
            <color indexed="81"/>
            <rFont val="Tahoma"/>
            <family val="2"/>
          </rPr>
          <t>Baglione, Gregory  (Research):</t>
        </r>
        <r>
          <rPr>
            <sz val="9"/>
            <color indexed="81"/>
            <rFont val="Tahoma"/>
            <family val="2"/>
          </rPr>
          <t xml:space="preserve">
2/25/16 Guide
Pilot a new smaller format Kohl’s store, opening 7 of these stores in various regions around the
country
• Add 2 additional Off-Aisle pilot stores in Wisconsin
• Open 12 Fila outlet stores, which will mark Kohl’s first entry into the outlet space
In 2016, Kohl’s will close 18 underperforming stores, representing less than one percent
of total sales. The specific locations will be announced by the end of March. The closures are expected to
generate annual SG&amp;A savings of approximately $45 million and annual depreciation savings of
approximately $10 million. 
5/12/16
We opened three new stores during the quarter including our first two smaller 35,000 square foot format pilot stores. We currently operate 1,167
stores.Gross square footage is 100.6 million square feet and selling square footage is 83.9 million square feet. We also opened two off-aisle stores in the
Milwaukee market.</t>
        </r>
      </text>
    </comment>
    <comment ref="K308" authorId="4">
      <text>
        <r>
          <rPr>
            <b/>
            <sz val="9"/>
            <color indexed="81"/>
            <rFont val="Tahoma"/>
            <family val="2"/>
          </rPr>
          <t>Baglione, Gregory  (Research):</t>
        </r>
        <r>
          <rPr>
            <sz val="9"/>
            <color indexed="81"/>
            <rFont val="Tahoma"/>
            <family val="2"/>
          </rPr>
          <t xml:space="preserve">
2/25/16 Guide
Pilot a new smaller format Kohl’s store, opening 7 of these stores in various regions around the
country
• Add 2 additional Off-Aisle pilot stores in Wisconsin
• Open 12 Fila outlet stores, which will mark Kohl’s first entry into the outlet space
In 2016, Kohl’s will close 18 underperforming stores, representing less than one percent
of total sales. The specific locations will be announced by the end of March. The closures are expected to
generate annual SG&amp;A savings of approximately $45 million and annual depreciation savings of
approximately $10 million. </t>
        </r>
      </text>
    </comment>
    <comment ref="D309" authorId="4">
      <text>
        <r>
          <rPr>
            <b/>
            <sz val="9"/>
            <color indexed="81"/>
            <rFont val="Tahoma"/>
            <family val="2"/>
          </rPr>
          <t>Baglione, Gregory  (Research):</t>
        </r>
        <r>
          <rPr>
            <sz val="9"/>
            <color indexed="81"/>
            <rFont val="Tahoma"/>
            <family val="2"/>
          </rPr>
          <t xml:space="preserve">
</t>
        </r>
        <r>
          <rPr>
            <b/>
            <sz val="9"/>
            <color indexed="81"/>
            <rFont val="Tahoma"/>
            <family val="2"/>
          </rPr>
          <t>8/11/16</t>
        </r>
        <r>
          <rPr>
            <sz val="9"/>
            <color indexed="81"/>
            <rFont val="Tahoma"/>
            <family val="2"/>
          </rPr>
          <t xml:space="preserve">
Kohl’s ended the quarter with 1,150 Kohl's stores, 12 FILA Outlet stores, and three Off/Aisle
clearance centers in 49 states, compared with 1,164 Kohl's stores at the same time last year. 
2/25/16 Guide
Pilot a new smaller format Kohl’s store, opening 7 of these stores in various regions around the
country
• Add 2 additional Off-Aisle pilot stores in Wisconsin
• Open 12 Fila outlet stores, which will mark Kohl’s first entry into the outlet space
In 2016, Kohl’s will close 18 underperforming stores, representing less than one percent
of total sales. The specific locations will be announced by the end of March. The closures are expected to
generate annual SG&amp;A savings of approximately $45 million and annual depreciation savings of
approximately $10 million. 
</t>
        </r>
      </text>
    </comment>
    <comment ref="K309" authorId="4">
      <text>
        <r>
          <rPr>
            <b/>
            <sz val="9"/>
            <color indexed="81"/>
            <rFont val="Tahoma"/>
            <family val="2"/>
          </rPr>
          <t>Baglione, Gregory  (Research):</t>
        </r>
        <r>
          <rPr>
            <sz val="9"/>
            <color indexed="81"/>
            <rFont val="Tahoma"/>
            <family val="2"/>
          </rPr>
          <t xml:space="preserve">
2/25/16 Guide
Pilot a new smaller format Kohl’s store, opening 7 of these stores in various regions around the
country
• Add 2 additional Off-Aisle pilot stores in Wisconsin
• Open 12 Fila outlet stores, which will mark Kohl’s first entry into the outlet space
In 2016, Kohl’s will close 18 underperforming stores, representing less than one percent
of total sales. The specific locations will be announced by the end of March. The closures are expected to
generate annual SG&amp;A savings of approximately $45 million and annual depreciation savings of
approximately $10 million. </t>
        </r>
      </text>
    </comment>
    <comment ref="D310" authorId="4">
      <text>
        <r>
          <rPr>
            <b/>
            <sz val="9"/>
            <color indexed="81"/>
            <rFont val="Tahoma"/>
            <family val="2"/>
          </rPr>
          <t>Baglione, Gregory  (Research):</t>
        </r>
        <r>
          <rPr>
            <sz val="9"/>
            <color indexed="81"/>
            <rFont val="Tahoma"/>
            <family val="2"/>
          </rPr>
          <t xml:space="preserve">
11/10/16
Kohl’s ended the quarter with 1,155 Kohl's stores, 12 FILA Outlet stores, and three Off/Aisle
clearance centers in 49 states, compared with 1,166 Kohl's stores at the same time last year. 
2/25/16 Guide
Pilot a new smaller format Kohl’s store, opening 7 of these stores in various regions around the
country
• Add 2 additional Off-Aisle pilot stores in Wisconsin
• Open 12 Fila outlet stores, which will mark Kohl’s first entry into the outlet space
In 2016, Kohl’s will close 18 underperforming stores, representing less than one percent
of total sales. The specific locations will be announced by the end of March. The closures are expected to
generate annual SG&amp;A savings of approximately $45 million and annual depreciation savings of
approximately $10 million. 
</t>
        </r>
      </text>
    </comment>
    <comment ref="K310" authorId="4">
      <text>
        <r>
          <rPr>
            <b/>
            <sz val="9"/>
            <color indexed="81"/>
            <rFont val="Tahoma"/>
            <family val="2"/>
          </rPr>
          <t>Baglione, Gregory  (Research):</t>
        </r>
        <r>
          <rPr>
            <sz val="9"/>
            <color indexed="81"/>
            <rFont val="Tahoma"/>
            <family val="2"/>
          </rPr>
          <t xml:space="preserve">
2/25/16 Guide
Pilot a new smaller format Kohl’s store, opening 7 of these stores in various regions around the
country
• Add 2 additional Off-Aisle pilot stores in Wisconsin
• Open 12 Fila outlet stores, which will mark Kohl’s first entry into the outlet space
In 2016, Kohl’s will close 18 underperforming stores, representing less than one percent
of total sales. The specific locations will be announced by the end of March. The closures are expected to
generate annual SG&amp;A savings of approximately $45 million and annual depreciation savings of
approximately $10 million. </t>
        </r>
      </text>
    </comment>
    <comment ref="D311" authorId="4">
      <text>
        <r>
          <rPr>
            <b/>
            <sz val="9"/>
            <color indexed="81"/>
            <rFont val="Tahoma"/>
            <family val="2"/>
          </rPr>
          <t>Baglione, Gregory  (Research):</t>
        </r>
        <r>
          <rPr>
            <sz val="9"/>
            <color indexed="81"/>
            <rFont val="Tahoma"/>
            <family val="2"/>
          </rPr>
          <t xml:space="preserve">
2/25/16 Guide
Pilot a new smaller format Kohl’s store, opening 7 of these stores in various regions around the
country
• Add 2 additional Off-Aisle pilot stores in Wisconsin
• Open 12 Fila outlet stores, which will mark Kohl’s first entry into the outlet space
In 2016, Kohl’s will close 18 underperforming stores, representing less than one percent
of total sales. The specific locations will be announced by the end of March. The closures are expected to
generate annual SG&amp;A savings of approximately $45 million and annual depreciation savings of
approximately $10 million. </t>
        </r>
      </text>
    </comment>
    <comment ref="K311" authorId="4">
      <text>
        <r>
          <rPr>
            <b/>
            <sz val="9"/>
            <color indexed="81"/>
            <rFont val="Tahoma"/>
            <family val="2"/>
          </rPr>
          <t>Baglione, Gregory  (Research):</t>
        </r>
        <r>
          <rPr>
            <sz val="9"/>
            <color indexed="81"/>
            <rFont val="Tahoma"/>
            <family val="2"/>
          </rPr>
          <t xml:space="preserve">
2/25/16 Guide
Pilot a new smaller format Kohl’s store, opening 7 of these stores in various regions around the
country
• Add 2 additional Off-Aisle pilot stores in Wisconsin
• Open 12 Fila outlet stores, which will mark Kohl’s first entry into the outlet space
In 2016, Kohl’s will close 18 underperforming stores, representing less than one percent
of total sales. The specific locations will be announced by the end of March. The closures are expected to
generate annual SG&amp;A savings of approximately $45 million and annual depreciation savings of
approximately $10 million. </t>
        </r>
      </text>
    </comment>
    <comment ref="D313" authorId="4">
      <text>
        <r>
          <rPr>
            <b/>
            <sz val="9"/>
            <color indexed="81"/>
            <rFont val="Tahoma"/>
            <family val="2"/>
          </rPr>
          <t>5/11/17: Kohl’s ended the quarter with 1,154 Kohl's stores, 12 FILA Outlet stores,
and three Off/Aisle clearance centers in 49 states, compared with 1,167 Kohl's
stores at the same time last year.</t>
        </r>
        <r>
          <rPr>
            <sz val="9"/>
            <color indexed="81"/>
            <rFont val="Tahoma"/>
            <family val="2"/>
          </rPr>
          <t xml:space="preserve">
2/25/16 Guide
Pilot a new smaller format Kohl’s store, opening 7 of these stores in various regions around the
country
• Add 2 additional Off-Aisle pilot stores in Wisconsin
• Open 12 Fila outlet stores, which will mark Kohl’s first entry into the outlet space
In 2016, Kohl’s will close 18 underperforming stores, representing less than one percent
of total sales. The specific locations will be announced by the end of March. The closures are expected to
generate annual SG&amp;A savings of approximately $45 million and annual depreciation savings of
approximately $10 million. </t>
        </r>
      </text>
    </comment>
    <comment ref="D314" authorId="4">
      <text>
        <r>
          <rPr>
            <b/>
            <sz val="9"/>
            <color indexed="81"/>
            <rFont val="Tahoma"/>
            <family val="2"/>
          </rPr>
          <t>Baglione, Gregory  (Research):</t>
        </r>
        <r>
          <rPr>
            <sz val="9"/>
            <color indexed="81"/>
            <rFont val="Tahoma"/>
            <family val="2"/>
          </rPr>
          <t xml:space="preserve">
2/25/16 Guide
Pilot a new smaller format Kohl’s store, opening 7 of these stores in various regions around the
country
• Add 2 additional Off-Aisle pilot stores in Wisconsin
• Open 12 Fila outlet stores, which will mark Kohl’s first entry into the outlet space
In 2016, Kohl’s will close 18 underperforming stores, representing less than one percent
of total sales. The specific locations will be announced by the end of March. The closures are expected to
generate annual SG&amp;A savings of approximately $45 million and annual depreciation savings of
approximately $10 million. </t>
        </r>
      </text>
    </comment>
    <comment ref="D315" authorId="4">
      <text>
        <r>
          <rPr>
            <b/>
            <sz val="9"/>
            <color indexed="81"/>
            <rFont val="Tahoma"/>
            <family val="2"/>
          </rPr>
          <t>Baglione, Gregory  (Research):</t>
        </r>
        <r>
          <rPr>
            <sz val="9"/>
            <color indexed="81"/>
            <rFont val="Tahoma"/>
            <family val="2"/>
          </rPr>
          <t xml:space="preserve">
2/25/16 Guide
Pilot a new smaller format Kohl’s store, opening 7 of these stores in various regions around the
country
• Add 2 additional Off-Aisle pilot stores in Wisconsin
• Open 12 Fila outlet stores, which will mark Kohl’s first entry into the outlet space
In 2016, Kohl’s will close 18 underperforming stores, representing less than one percent
of total sales. The specific locations will be announced by the end of March. The closures are expected to
generate annual SG&amp;A savings of approximately $45 million and annual depreciation savings of
approximately $10 million. </t>
        </r>
      </text>
    </comment>
    <comment ref="D316" authorId="4">
      <text>
        <r>
          <rPr>
            <b/>
            <sz val="9"/>
            <color indexed="81"/>
            <rFont val="Tahoma"/>
            <family val="2"/>
          </rPr>
          <t>Baglione, Gregory  (Research):</t>
        </r>
        <r>
          <rPr>
            <sz val="9"/>
            <color indexed="81"/>
            <rFont val="Tahoma"/>
            <family val="2"/>
          </rPr>
          <t xml:space="preserve">
779 in strip centers
83 in community and regional malls
296 freestanding
412 owned
509 leased
237 ground leased
2/25/16 Guide
Pilot a new smaller format Kohl’s store, opening 7 of these stores in various regions around the
country
• Add 2 additional Off-Aisle pilot stores in Wisconsin
• Open 12 Fila outlet stores, which will mark Kohl’s first entry into the outlet space
In 2016, Kohl’s will close 18 underperforming stores, representing less than one percent
of total sales. The specific locations will be announced by the end of March. The closures are expected to
generate annual SG&amp;A savings of approximately $45 million and annual depreciation savings of
approximately $10 million. </t>
        </r>
      </text>
    </comment>
    <comment ref="D428" authorId="5">
      <text>
        <r>
          <rPr>
            <b/>
            <sz val="8"/>
            <color indexed="81"/>
            <rFont val="Tahoma"/>
            <family val="2"/>
          </rPr>
          <t>fitzgibc:</t>
        </r>
        <r>
          <rPr>
            <sz val="8"/>
            <color indexed="81"/>
            <rFont val="Tahoma"/>
            <family val="2"/>
          </rPr>
          <t xml:space="preserve">
Co. comment was 17,7728 but doesn't make sense given year end figures.  So fudged.</t>
        </r>
      </text>
    </comment>
    <comment ref="D542" authorId="6">
      <text>
        <r>
          <rPr>
            <b/>
            <sz val="8"/>
            <color indexed="81"/>
            <rFont val="Tahoma"/>
            <family val="2"/>
          </rPr>
          <t>Given on 2Q call</t>
        </r>
      </text>
    </comment>
    <comment ref="D545" authorId="7">
      <text>
        <r>
          <rPr>
            <sz val="8"/>
            <color indexed="81"/>
            <rFont val="Tahoma"/>
            <family val="2"/>
          </rPr>
          <t>Assumes 20 small protos are opened in October for a total of 27 opened in FY07</t>
        </r>
      </text>
    </comment>
    <comment ref="D551" authorId="6">
      <text>
        <r>
          <rPr>
            <sz val="8"/>
            <color indexed="81"/>
            <rFont val="Tahoma"/>
            <family val="2"/>
          </rPr>
          <t>Note: Numbers in ( ) should match store openings in rows 128-130.</t>
        </r>
      </text>
    </comment>
    <comment ref="D552" authorId="6">
      <text>
        <r>
          <rPr>
            <sz val="8"/>
            <color indexed="81"/>
            <rFont val="Tahoma"/>
            <family val="2"/>
          </rPr>
          <t>Note: Numbers in ( ) should match store openings in rows 128-130.</t>
        </r>
      </text>
    </comment>
    <comment ref="D576" authorId="1">
      <text>
        <r>
          <rPr>
            <i/>
            <sz val="8"/>
            <color indexed="81"/>
            <rFont val="Tahoma"/>
            <family val="2"/>
          </rPr>
          <t>No new stores in Month 1</t>
        </r>
      </text>
    </comment>
    <comment ref="D577" authorId="0">
      <text>
        <r>
          <rPr>
            <i/>
            <sz val="8"/>
            <color indexed="81"/>
            <rFont val="Tahoma"/>
            <family val="2"/>
          </rPr>
          <t xml:space="preserve">Per store count above - 9 new stores
* SF calc'd to match ending store ct at qtr end (94,063)
 </t>
        </r>
        <r>
          <rPr>
            <b/>
            <sz val="8"/>
            <color indexed="81"/>
            <rFont val="Tahoma"/>
            <family val="2"/>
          </rPr>
          <t xml:space="preserve">
Comment 5/13/10:</t>
        </r>
        <r>
          <rPr>
            <sz val="8"/>
            <color indexed="81"/>
            <rFont val="Tahoma"/>
            <family val="2"/>
          </rPr>
          <t xml:space="preserve"> </t>
        </r>
        <r>
          <rPr>
            <b/>
            <sz val="8"/>
            <color indexed="81"/>
            <rFont val="Tahoma"/>
            <family val="2"/>
          </rPr>
          <t xml:space="preserve">
</t>
        </r>
        <r>
          <rPr>
            <sz val="8"/>
            <color indexed="81"/>
            <rFont val="Tahoma"/>
            <family val="2"/>
          </rPr>
          <t>30 stores in 2010; assume 9/3/15/3 for 4 quarters based on comment that remaining 21 will be in the Fall</t>
        </r>
        <r>
          <rPr>
            <b/>
            <sz val="8"/>
            <color indexed="81"/>
            <rFont val="Tahoma"/>
            <family val="2"/>
          </rPr>
          <t xml:space="preserve">
12/4/09 10Q: 
</t>
        </r>
        <r>
          <rPr>
            <sz val="8"/>
            <color indexed="81"/>
            <rFont val="Tahoma"/>
            <family val="2"/>
          </rPr>
          <t>30 stores in 2010; assume 9/3/15/3 for 4 quarters</t>
        </r>
        <r>
          <rPr>
            <sz val="8"/>
            <color indexed="81"/>
            <rFont val="Tahoma"/>
            <family val="2"/>
          </rPr>
          <t xml:space="preserve">
</t>
        </r>
      </text>
    </comment>
    <comment ref="D578" authorId="1">
      <text>
        <r>
          <rPr>
            <i/>
            <sz val="8"/>
            <color indexed="81"/>
            <rFont val="Tahoma"/>
            <family val="2"/>
          </rPr>
          <t>No new stores
Gross SF: 94,063</t>
        </r>
      </text>
    </comment>
    <comment ref="D580" authorId="0">
      <text>
        <r>
          <rPr>
            <b/>
            <sz val="8"/>
            <color indexed="81"/>
            <rFont val="Tahoma"/>
            <family val="2"/>
          </rPr>
          <t>Comment 5/13/10:</t>
        </r>
        <r>
          <rPr>
            <sz val="8"/>
            <color indexed="81"/>
            <rFont val="Tahoma"/>
            <family val="2"/>
          </rPr>
          <t xml:space="preserve"> </t>
        </r>
        <r>
          <rPr>
            <b/>
            <sz val="8"/>
            <color indexed="81"/>
            <rFont val="Tahoma"/>
            <family val="2"/>
          </rPr>
          <t xml:space="preserve">
</t>
        </r>
        <r>
          <rPr>
            <sz val="8"/>
            <color indexed="81"/>
            <rFont val="Tahoma"/>
            <family val="2"/>
          </rPr>
          <t>30 stores in 2010; assume 9/3/15/3 for 4 quarters based on comment that remaining 21 will be in the Fall</t>
        </r>
        <r>
          <rPr>
            <b/>
            <sz val="8"/>
            <color indexed="81"/>
            <rFont val="Tahoma"/>
            <family val="2"/>
          </rPr>
          <t xml:space="preserve">
12/4/09 10Q: 
</t>
        </r>
        <r>
          <rPr>
            <sz val="8"/>
            <color indexed="81"/>
            <rFont val="Tahoma"/>
            <family val="2"/>
          </rPr>
          <t>30 stores in 2010; assume 9/3/15/3 for 4 quarters</t>
        </r>
        <r>
          <rPr>
            <sz val="8"/>
            <color indexed="81"/>
            <rFont val="Tahoma"/>
            <family val="2"/>
          </rPr>
          <t xml:space="preserve">
</t>
        </r>
      </text>
    </comment>
    <comment ref="D583" authorId="0">
      <text>
        <r>
          <rPr>
            <b/>
            <sz val="8"/>
            <color indexed="81"/>
            <rFont val="Tahoma"/>
            <family val="2"/>
          </rPr>
          <t xml:space="preserve">Guidance 8/12/10: 
</t>
        </r>
        <r>
          <rPr>
            <sz val="8"/>
            <color indexed="81"/>
            <rFont val="Tahoma"/>
            <family val="2"/>
          </rPr>
          <t xml:space="preserve">By end of Sept, KSS will operate 1,089 stores; that get KSS to 30 stores for the year, in line with guidance 
</t>
        </r>
        <r>
          <rPr>
            <b/>
            <sz val="8"/>
            <color indexed="81"/>
            <rFont val="Tahoma"/>
            <family val="2"/>
          </rPr>
          <t xml:space="preserve">
12/4/09 10Q: 
</t>
        </r>
        <r>
          <rPr>
            <sz val="8"/>
            <color indexed="81"/>
            <rFont val="Tahoma"/>
            <family val="2"/>
          </rPr>
          <t>30 stores in 2010; assume 9/3/15/3 for 4 quarters</t>
        </r>
        <r>
          <rPr>
            <sz val="8"/>
            <color indexed="81"/>
            <rFont val="Tahoma"/>
            <family val="2"/>
          </rPr>
          <t xml:space="preserve">
</t>
        </r>
      </text>
    </comment>
    <comment ref="D584" authorId="0">
      <text>
        <r>
          <rPr>
            <b/>
            <sz val="8"/>
            <color indexed="81"/>
            <rFont val="Tahoma"/>
            <family val="2"/>
          </rPr>
          <t>Guidance 11/11/10:</t>
        </r>
        <r>
          <rPr>
            <sz val="8"/>
            <color indexed="81"/>
            <rFont val="Tahoma"/>
            <family val="2"/>
          </rPr>
          <t xml:space="preserve">
Gross = 96M</t>
        </r>
      </text>
    </comment>
    <comment ref="D589" authorId="0">
      <text>
        <r>
          <rPr>
            <b/>
            <sz val="8"/>
            <color indexed="81"/>
            <rFont val="Tahoma"/>
            <family val="2"/>
          </rPr>
          <t>http://www.kohlscorporation.com/InvestorRelations/sec-filings.htm</t>
        </r>
        <r>
          <rPr>
            <sz val="8"/>
            <color indexed="81"/>
            <rFont val="Tahoma"/>
            <family val="2"/>
          </rPr>
          <t xml:space="preserve">
</t>
        </r>
      </text>
    </comment>
    <comment ref="D590" authorId="1">
      <text>
        <r>
          <rPr>
            <b/>
            <sz val="8"/>
            <color indexed="81"/>
            <rFont val="Tahoma"/>
            <family val="2"/>
          </rPr>
          <t>Size of larger units adjusted so calc gets to total count at quarter end of 96,380</t>
        </r>
      </text>
    </comment>
    <comment ref="D592" authorId="0">
      <text>
        <r>
          <rPr>
            <b/>
            <sz val="8"/>
            <color indexed="81"/>
            <rFont val="Tahoma"/>
            <family val="2"/>
          </rPr>
          <t>http://www.kohlscorporation.com/InvestorRelations/sec-filings.htm</t>
        </r>
        <r>
          <rPr>
            <sz val="8"/>
            <color indexed="81"/>
            <rFont val="Tahoma"/>
            <family val="2"/>
          </rPr>
          <t xml:space="preserve">
</t>
        </r>
      </text>
    </comment>
    <comment ref="D595" authorId="0">
      <text>
        <r>
          <rPr>
            <b/>
            <sz val="8"/>
            <color indexed="81"/>
            <rFont val="Tahoma"/>
            <family val="2"/>
          </rPr>
          <t>http://www.kohlscorporation.com/InvestorRelations/sec-filings.htm</t>
        </r>
        <r>
          <rPr>
            <sz val="8"/>
            <color indexed="81"/>
            <rFont val="Tahoma"/>
            <family val="2"/>
          </rPr>
          <t xml:space="preserve">
3Q11 10Q &amp; Historical RE File from KSS IR Website
98,463 total Gross SF for 3Q11
82,223 total Selling SF for 3Q11
75% of stores were "small" stores &lt; 64k SF for 3Q11</t>
        </r>
      </text>
    </comment>
    <comment ref="D596" authorId="1">
      <text>
        <r>
          <rPr>
            <b/>
            <sz val="8"/>
            <color indexed="81"/>
            <rFont val="Tahoma"/>
            <family val="2"/>
          </rPr>
          <t xml:space="preserve">Per 3Q11 10Q
</t>
        </r>
        <r>
          <rPr>
            <sz val="8"/>
            <color indexed="81"/>
            <rFont val="Tahoma"/>
            <family val="2"/>
          </rPr>
          <t>~75% of new stores were small stores w/ 64k SF or less</t>
        </r>
        <r>
          <rPr>
            <sz val="8"/>
            <color indexed="81"/>
            <rFont val="Tahoma"/>
            <family val="2"/>
          </rPr>
          <t xml:space="preserve">
</t>
        </r>
      </text>
    </comment>
    <comment ref="D597" authorId="1">
      <text>
        <r>
          <rPr>
            <b/>
            <sz val="8"/>
            <color indexed="81"/>
            <rFont val="Tahoma"/>
            <family val="2"/>
          </rPr>
          <t>3Q11 10Q &amp; Historical RE File from KSS IR Website</t>
        </r>
        <r>
          <rPr>
            <sz val="8"/>
            <color indexed="81"/>
            <rFont val="Tahoma"/>
            <family val="2"/>
          </rPr>
          <t xml:space="preserve">
98,463 total Gross SF for 3Q11
82,223 total Selling SF for 3Q11
75% of stores were "small" stores &lt; 64k SF for 3Q11</t>
        </r>
        <r>
          <rPr>
            <b/>
            <sz val="8"/>
            <color indexed="81"/>
            <rFont val="Tahoma"/>
            <family val="2"/>
          </rPr>
          <t xml:space="preserve">
11/10/11 Commentary:
At 3Q end: 
</t>
        </r>
        <r>
          <rPr>
            <sz val="8"/>
            <color indexed="81"/>
            <rFont val="Tahoma"/>
            <family val="2"/>
          </rPr>
          <t xml:space="preserve">1) 1,127 stores, +38 y/y (+31 in qtr)
2) Gross square footage 98MM, +3MM y/y
3) Selling square footage +2MM to 82MM
</t>
        </r>
      </text>
    </comment>
    <comment ref="D598" authorId="0">
      <text>
        <r>
          <rPr>
            <b/>
            <sz val="8"/>
            <color indexed="81"/>
            <rFont val="Tahoma"/>
            <family val="2"/>
          </rPr>
          <t>http://www.kohlscorporation.com/InvestorRelations/sec-filings.htm</t>
        </r>
        <r>
          <rPr>
            <sz val="8"/>
            <color indexed="81"/>
            <rFont val="Tahoma"/>
            <family val="2"/>
          </rPr>
          <t xml:space="preserve">
</t>
        </r>
        <r>
          <rPr>
            <b/>
            <sz val="8"/>
            <color indexed="81"/>
            <rFont val="Tahoma"/>
            <family val="2"/>
          </rPr>
          <t xml:space="preserve">
3Q11 10Q &amp; Historical RE File from KSS IR Website</t>
        </r>
        <r>
          <rPr>
            <sz val="8"/>
            <color indexed="81"/>
            <rFont val="Tahoma"/>
            <family val="2"/>
          </rPr>
          <t xml:space="preserve">
98,463 total Gross SF for 3Q11
82,223 total Selling SF for 3Q11
75% of stores were "small" stores &lt; 64k SF for 3Q11</t>
        </r>
      </text>
    </comment>
    <comment ref="D599" authorId="1">
      <text>
        <r>
          <rPr>
            <b/>
            <sz val="8"/>
            <color indexed="81"/>
            <rFont val="Tahoma"/>
            <family val="2"/>
          </rPr>
          <t xml:space="preserve">3Q11 10Q &amp; Historical RE File from KSS IR Website
</t>
        </r>
        <r>
          <rPr>
            <sz val="8"/>
            <color indexed="81"/>
            <rFont val="Tahoma"/>
            <family val="2"/>
          </rPr>
          <t>98,463 total Gross SF for 3Q11
82,223 total Selling SF for 3Q11
75% of stores were "small" stores &lt; 64k SF for 3Q11</t>
        </r>
      </text>
    </comment>
    <comment ref="D600" authorId="1">
      <text>
        <r>
          <rPr>
            <b/>
            <sz val="8"/>
            <color indexed="81"/>
            <rFont val="Tahoma"/>
            <family val="2"/>
          </rPr>
          <t xml:space="preserve">2/23/12
</t>
        </r>
        <r>
          <rPr>
            <sz val="8"/>
            <color indexed="81"/>
            <rFont val="Tahoma"/>
            <family val="2"/>
          </rPr>
          <t xml:space="preserve">~98M
</t>
        </r>
        <r>
          <rPr>
            <b/>
            <sz val="8"/>
            <color indexed="81"/>
            <rFont val="Tahoma"/>
            <family val="2"/>
          </rPr>
          <t xml:space="preserve">
3Q11 10Q &amp; Historical RE File from KSS IR Website
</t>
        </r>
        <r>
          <rPr>
            <sz val="8"/>
            <color indexed="81"/>
            <rFont val="Tahoma"/>
            <family val="2"/>
          </rPr>
          <t>98,463 total Gross SF for 3Q11
82,223 total Selling SF for 3Q11
75% of stores were "small" stores &lt; 64k SF for 3Q11</t>
        </r>
        <r>
          <rPr>
            <sz val="8"/>
            <color indexed="81"/>
            <rFont val="Tahoma"/>
            <family val="2"/>
          </rPr>
          <t xml:space="preserve">
</t>
        </r>
      </text>
    </comment>
    <comment ref="D602" authorId="1">
      <text>
        <r>
          <rPr>
            <b/>
            <sz val="8"/>
            <color indexed="81"/>
            <rFont val="Tahoma"/>
            <family val="2"/>
          </rPr>
          <t xml:space="preserve">2011 10K Guidance / 2/23/12
</t>
        </r>
        <r>
          <rPr>
            <sz val="8"/>
            <color indexed="81"/>
            <rFont val="Tahoma"/>
            <family val="2"/>
          </rPr>
          <t xml:space="preserve">20 new stores, substantially all small stores (55-68k SF)
</t>
        </r>
        <r>
          <rPr>
            <b/>
            <sz val="8"/>
            <color indexed="81"/>
            <rFont val="Tahoma"/>
            <family val="2"/>
          </rPr>
          <t xml:space="preserve">
11/10/11 Guidance:</t>
        </r>
        <r>
          <rPr>
            <sz val="8"/>
            <color indexed="81"/>
            <rFont val="Tahoma"/>
            <family val="2"/>
          </rPr>
          <t xml:space="preserve">
8 new stores in Spring / 22 in Fall
~90% small stores </t>
        </r>
      </text>
    </comment>
    <comment ref="D603" authorId="1">
      <text>
        <r>
          <rPr>
            <b/>
            <sz val="8"/>
            <color indexed="81"/>
            <rFont val="Tahoma"/>
            <family val="2"/>
          </rPr>
          <t xml:space="preserve">2011 10K Guidance / 2/23/12
</t>
        </r>
        <r>
          <rPr>
            <sz val="8"/>
            <color indexed="81"/>
            <rFont val="Tahoma"/>
            <family val="2"/>
          </rPr>
          <t xml:space="preserve">20 new stores, substantially all small stores (55-68k SF)
</t>
        </r>
        <r>
          <rPr>
            <b/>
            <sz val="8"/>
            <color indexed="81"/>
            <rFont val="Tahoma"/>
            <family val="2"/>
          </rPr>
          <t xml:space="preserve">
11/10/11 Guidance:</t>
        </r>
        <r>
          <rPr>
            <sz val="8"/>
            <color indexed="81"/>
            <rFont val="Tahoma"/>
            <family val="2"/>
          </rPr>
          <t xml:space="preserve">
8 new stores in Spring / 22 in Fall
~90% small stores </t>
        </r>
      </text>
    </comment>
    <comment ref="D604" authorId="1">
      <text>
        <r>
          <rPr>
            <b/>
            <sz val="8"/>
            <color indexed="81"/>
            <rFont val="Tahoma"/>
            <family val="2"/>
          </rPr>
          <t xml:space="preserve">2011 10K Guidance / 2/23/12
</t>
        </r>
        <r>
          <rPr>
            <sz val="8"/>
            <color indexed="81"/>
            <rFont val="Tahoma"/>
            <family val="2"/>
          </rPr>
          <t xml:space="preserve">20 new stores, substantially all small stores (55-68k SF)
</t>
        </r>
        <r>
          <rPr>
            <b/>
            <sz val="8"/>
            <color indexed="81"/>
            <rFont val="Tahoma"/>
            <family val="2"/>
          </rPr>
          <t xml:space="preserve">
11/10/11 Guidance:</t>
        </r>
        <r>
          <rPr>
            <sz val="8"/>
            <color indexed="81"/>
            <rFont val="Tahoma"/>
            <family val="2"/>
          </rPr>
          <t xml:space="preserve">
8 new stores in Spring / 22 in Fall
~90% small stores </t>
        </r>
      </text>
    </comment>
    <comment ref="D605" authorId="1">
      <text>
        <r>
          <rPr>
            <b/>
            <sz val="8"/>
            <color indexed="81"/>
            <rFont val="Tahoma"/>
            <family val="2"/>
          </rPr>
          <t xml:space="preserve">2011 10K Guidance / 2/23/12
</t>
        </r>
        <r>
          <rPr>
            <sz val="8"/>
            <color indexed="81"/>
            <rFont val="Tahoma"/>
            <family val="2"/>
          </rPr>
          <t xml:space="preserve">20 new stores, substantially all small stores (55-68k SF)
</t>
        </r>
        <r>
          <rPr>
            <b/>
            <sz val="8"/>
            <color indexed="81"/>
            <rFont val="Tahoma"/>
            <family val="2"/>
          </rPr>
          <t xml:space="preserve">
11/10/11 Guidance:</t>
        </r>
        <r>
          <rPr>
            <sz val="8"/>
            <color indexed="81"/>
            <rFont val="Tahoma"/>
            <family val="2"/>
          </rPr>
          <t xml:space="preserve">
8 new stores in Spring / 22 in Fall
~90% small stores </t>
        </r>
      </text>
    </comment>
    <comment ref="D606" authorId="1">
      <text>
        <r>
          <rPr>
            <b/>
            <sz val="8"/>
            <color indexed="81"/>
            <rFont val="Tahoma"/>
            <family val="2"/>
          </rPr>
          <t xml:space="preserve">2011 10K Guidance / 2/23/12
</t>
        </r>
        <r>
          <rPr>
            <sz val="8"/>
            <color indexed="81"/>
            <rFont val="Tahoma"/>
            <family val="2"/>
          </rPr>
          <t xml:space="preserve">20 new stores, substantially all small stores (55-68k SF)
</t>
        </r>
        <r>
          <rPr>
            <b/>
            <sz val="8"/>
            <color indexed="81"/>
            <rFont val="Tahoma"/>
            <family val="2"/>
          </rPr>
          <t xml:space="preserve">
11/10/11 Guidance:</t>
        </r>
        <r>
          <rPr>
            <sz val="8"/>
            <color indexed="81"/>
            <rFont val="Tahoma"/>
            <family val="2"/>
          </rPr>
          <t xml:space="preserve">
8 new stores in Spring / 22 in Fall
~90% small stores </t>
        </r>
      </text>
    </comment>
    <comment ref="D607" authorId="1">
      <text>
        <r>
          <rPr>
            <b/>
            <sz val="8"/>
            <color indexed="81"/>
            <rFont val="Tahoma"/>
            <family val="2"/>
          </rPr>
          <t xml:space="preserve">2011 10K Guidance / 2/23/12
</t>
        </r>
        <r>
          <rPr>
            <sz val="8"/>
            <color indexed="81"/>
            <rFont val="Tahoma"/>
            <family val="2"/>
          </rPr>
          <t xml:space="preserve">20 new stores, substantially all small stores (55-68k SF)
</t>
        </r>
        <r>
          <rPr>
            <b/>
            <sz val="8"/>
            <color indexed="81"/>
            <rFont val="Tahoma"/>
            <family val="2"/>
          </rPr>
          <t xml:space="preserve">
11/10/11 Guidance:</t>
        </r>
        <r>
          <rPr>
            <sz val="8"/>
            <color indexed="81"/>
            <rFont val="Tahoma"/>
            <family val="2"/>
          </rPr>
          <t xml:space="preserve">
8 new stores in Spring / 22 in Fall
~90% small stores </t>
        </r>
      </text>
    </comment>
    <comment ref="D608" authorId="1">
      <text>
        <r>
          <rPr>
            <b/>
            <sz val="8"/>
            <color indexed="81"/>
            <rFont val="Tahoma"/>
            <family val="2"/>
          </rPr>
          <t xml:space="preserve">2011 10K Guidance / 2/23/12
</t>
        </r>
        <r>
          <rPr>
            <sz val="8"/>
            <color indexed="81"/>
            <rFont val="Tahoma"/>
            <family val="2"/>
          </rPr>
          <t xml:space="preserve">20 new stores, substantially all small stores (55-68k SF)
</t>
        </r>
        <r>
          <rPr>
            <b/>
            <sz val="8"/>
            <color indexed="81"/>
            <rFont val="Tahoma"/>
            <family val="2"/>
          </rPr>
          <t xml:space="preserve">
11/10/11 Guidance:</t>
        </r>
        <r>
          <rPr>
            <sz val="8"/>
            <color indexed="81"/>
            <rFont val="Tahoma"/>
            <family val="2"/>
          </rPr>
          <t xml:space="preserve">
8 new stores in Spring / 22 in Fall
~90% small stores </t>
        </r>
      </text>
    </comment>
    <comment ref="D609" authorId="1">
      <text>
        <r>
          <rPr>
            <b/>
            <sz val="8"/>
            <color indexed="81"/>
            <rFont val="Tahoma"/>
            <family val="2"/>
          </rPr>
          <t xml:space="preserve">2011 10K Guidance / 2/23/12
</t>
        </r>
        <r>
          <rPr>
            <sz val="8"/>
            <color indexed="81"/>
            <rFont val="Tahoma"/>
            <family val="2"/>
          </rPr>
          <t xml:space="preserve">20 new stores, substantially all small stores (55-68k SF)
</t>
        </r>
        <r>
          <rPr>
            <b/>
            <sz val="8"/>
            <color indexed="81"/>
            <rFont val="Tahoma"/>
            <family val="2"/>
          </rPr>
          <t xml:space="preserve">
11/10/11 Guidance:</t>
        </r>
        <r>
          <rPr>
            <sz val="8"/>
            <color indexed="81"/>
            <rFont val="Tahoma"/>
            <family val="2"/>
          </rPr>
          <t xml:space="preserve">
8 new stores in Spring / 22 in Fall
~90% small stores </t>
        </r>
      </text>
    </comment>
    <comment ref="D610" authorId="1">
      <text>
        <r>
          <rPr>
            <b/>
            <sz val="8"/>
            <color indexed="81"/>
            <rFont val="Tahoma"/>
            <family val="2"/>
          </rPr>
          <t xml:space="preserve">11/8/2012 </t>
        </r>
        <r>
          <rPr>
            <sz val="8"/>
            <color indexed="81"/>
            <rFont val="Tahoma"/>
            <family val="2"/>
          </rPr>
          <t>GSF 99.58M; selling 83.09</t>
        </r>
        <r>
          <rPr>
            <b/>
            <sz val="8"/>
            <color indexed="81"/>
            <rFont val="Tahoma"/>
            <family val="2"/>
          </rPr>
          <t xml:space="preserve">
2011 10K Guidance / 2/23/12
</t>
        </r>
        <r>
          <rPr>
            <sz val="8"/>
            <color indexed="81"/>
            <rFont val="Tahoma"/>
            <family val="2"/>
          </rPr>
          <t xml:space="preserve">20 new stores, substantially all small stores (55-68k SF)
</t>
        </r>
        <r>
          <rPr>
            <b/>
            <sz val="8"/>
            <color indexed="81"/>
            <rFont val="Tahoma"/>
            <family val="2"/>
          </rPr>
          <t xml:space="preserve">
11/10/11 Guidance:</t>
        </r>
        <r>
          <rPr>
            <sz val="8"/>
            <color indexed="81"/>
            <rFont val="Tahoma"/>
            <family val="2"/>
          </rPr>
          <t xml:space="preserve">
8 new stores in Spring / 22 in Fall
~90% small stores </t>
        </r>
      </text>
    </comment>
    <comment ref="D611" authorId="1">
      <text>
        <r>
          <rPr>
            <b/>
            <sz val="8"/>
            <color indexed="81"/>
            <rFont val="Tahoma"/>
            <family val="2"/>
          </rPr>
          <t xml:space="preserve">2011 10K Guidance / 2/23/12
</t>
        </r>
        <r>
          <rPr>
            <sz val="8"/>
            <color indexed="81"/>
            <rFont val="Tahoma"/>
            <family val="2"/>
          </rPr>
          <t xml:space="preserve">20 new stores, substantially all small stores (55-68k SF)
</t>
        </r>
        <r>
          <rPr>
            <b/>
            <sz val="8"/>
            <color indexed="81"/>
            <rFont val="Tahoma"/>
            <family val="2"/>
          </rPr>
          <t xml:space="preserve">
11/10/11 Guidance:</t>
        </r>
        <r>
          <rPr>
            <sz val="8"/>
            <color indexed="81"/>
            <rFont val="Tahoma"/>
            <family val="2"/>
          </rPr>
          <t xml:space="preserve">
8 new stores in Spring / 22 in Fall
~90% small stores </t>
        </r>
      </text>
    </comment>
    <comment ref="D612" authorId="1">
      <text>
        <r>
          <rPr>
            <b/>
            <sz val="8"/>
            <color indexed="81"/>
            <rFont val="Tahoma"/>
            <family val="2"/>
          </rPr>
          <t xml:space="preserve">2011 10K Guidance / 2/23/12
</t>
        </r>
        <r>
          <rPr>
            <sz val="8"/>
            <color indexed="81"/>
            <rFont val="Tahoma"/>
            <family val="2"/>
          </rPr>
          <t xml:space="preserve">20 new stores, substantially all small stores (55-68k SF)
</t>
        </r>
        <r>
          <rPr>
            <b/>
            <sz val="8"/>
            <color indexed="81"/>
            <rFont val="Tahoma"/>
            <family val="2"/>
          </rPr>
          <t xml:space="preserve">
11/10/11 Guidance:</t>
        </r>
        <r>
          <rPr>
            <sz val="8"/>
            <color indexed="81"/>
            <rFont val="Tahoma"/>
            <family val="2"/>
          </rPr>
          <t xml:space="preserve">
8 new stores in Spring / 22 in Fall
~90% small stores </t>
        </r>
      </text>
    </comment>
    <comment ref="D613" authorId="1">
      <text>
        <r>
          <rPr>
            <b/>
            <sz val="8"/>
            <color indexed="81"/>
            <rFont val="Tahoma"/>
            <family val="2"/>
          </rPr>
          <t xml:space="preserve">2/28/2013: </t>
        </r>
        <r>
          <rPr>
            <sz val="8"/>
            <color indexed="81"/>
            <rFont val="Tahoma"/>
            <family val="2"/>
          </rPr>
          <t>99.57 gross SF; 83.90 selling SF</t>
        </r>
        <r>
          <rPr>
            <b/>
            <sz val="8"/>
            <color indexed="81"/>
            <rFont val="Tahoma"/>
            <family val="2"/>
          </rPr>
          <t xml:space="preserve">
2011 10K Guidance / 2/23/12
</t>
        </r>
        <r>
          <rPr>
            <sz val="8"/>
            <color indexed="81"/>
            <rFont val="Tahoma"/>
            <family val="2"/>
          </rPr>
          <t xml:space="preserve">20 new stores, substantially all small stores (55-68k SF)
</t>
        </r>
        <r>
          <rPr>
            <b/>
            <sz val="8"/>
            <color indexed="81"/>
            <rFont val="Tahoma"/>
            <family val="2"/>
          </rPr>
          <t xml:space="preserve">
11/10/11 Guidance:</t>
        </r>
        <r>
          <rPr>
            <sz val="8"/>
            <color indexed="81"/>
            <rFont val="Tahoma"/>
            <family val="2"/>
          </rPr>
          <t xml:space="preserve">
8 new stores in Spring / 22 in Fall
~90% small stores </t>
        </r>
      </text>
    </comment>
    <comment ref="D615" authorId="1">
      <text>
        <r>
          <rPr>
            <b/>
            <sz val="8"/>
            <color indexed="81"/>
            <rFont val="Tahoma"/>
            <family val="2"/>
          </rPr>
          <t xml:space="preserve">5/16/2013 guidance: </t>
        </r>
        <r>
          <rPr>
            <sz val="8"/>
            <color indexed="81"/>
            <rFont val="Tahoma"/>
            <family val="2"/>
          </rPr>
          <t>100,070 gross; selling 83,536</t>
        </r>
        <r>
          <rPr>
            <b/>
            <sz val="8"/>
            <color indexed="81"/>
            <rFont val="Tahoma"/>
            <family val="2"/>
          </rPr>
          <t xml:space="preserve">
11/8/2012: </t>
        </r>
        <r>
          <rPr>
            <sz val="8"/>
            <color indexed="81"/>
            <rFont val="Tahoma"/>
            <family val="2"/>
          </rPr>
          <t>Open 12 stores next year, all but one 55-68K Sq Ft; large stores are 125K sq ft</t>
        </r>
      </text>
    </comment>
    <comment ref="D616" authorId="1">
      <text>
        <r>
          <rPr>
            <b/>
            <sz val="8"/>
            <color indexed="81"/>
            <rFont val="Tahoma"/>
            <family val="2"/>
          </rPr>
          <t xml:space="preserve">11/8/2012: </t>
        </r>
        <r>
          <rPr>
            <sz val="8"/>
            <color indexed="81"/>
            <rFont val="Tahoma"/>
            <family val="2"/>
          </rPr>
          <t>Open 12 stores next year, all but one 55-68K Sq Ft; large stores are 125K sq ft</t>
        </r>
      </text>
    </comment>
    <comment ref="D617" authorId="1">
      <text>
        <r>
          <rPr>
            <b/>
            <sz val="8"/>
            <color indexed="81"/>
            <rFont val="Tahoma"/>
            <family val="2"/>
          </rPr>
          <t xml:space="preserve">11/8/2012: </t>
        </r>
        <r>
          <rPr>
            <sz val="8"/>
            <color indexed="81"/>
            <rFont val="Tahoma"/>
            <family val="2"/>
          </rPr>
          <t>Open 12 stores next year, all but one 55-68K Sq Ft; large stores are 125K sq ft</t>
        </r>
      </text>
    </comment>
    <comment ref="D618" authorId="1">
      <text>
        <r>
          <rPr>
            <b/>
            <sz val="8"/>
            <color indexed="81"/>
            <rFont val="Tahoma"/>
            <family val="2"/>
          </rPr>
          <t xml:space="preserve">11/8/2012: </t>
        </r>
        <r>
          <rPr>
            <sz val="8"/>
            <color indexed="81"/>
            <rFont val="Tahoma"/>
            <family val="2"/>
          </rPr>
          <t>Open 12 stores next year, all but one 55-68K Sq Ft; large stores are 125K sq ft</t>
        </r>
      </text>
    </comment>
    <comment ref="D620" authorId="2">
      <text>
        <r>
          <rPr>
            <b/>
            <sz val="9"/>
            <color indexed="81"/>
            <rFont val="Tahoma"/>
            <family val="2"/>
          </rPr>
          <t xml:space="preserve">5/15/14: </t>
        </r>
        <r>
          <rPr>
            <sz val="9"/>
            <color indexed="81"/>
            <rFont val="Tahoma"/>
            <family val="2"/>
          </rPr>
          <t xml:space="preserve">100340 sq. ft. 83,745 selling sq. ft
</t>
        </r>
      </text>
    </comment>
    <comment ref="D621" authorId="2">
      <text>
        <r>
          <rPr>
            <b/>
            <sz val="9"/>
            <color indexed="81"/>
            <rFont val="Tahoma"/>
            <family val="2"/>
          </rPr>
          <t xml:space="preserve">8/14/14: </t>
        </r>
        <r>
          <rPr>
            <sz val="9"/>
            <color indexed="81"/>
            <rFont val="Tahoma"/>
            <family val="2"/>
          </rPr>
          <t xml:space="preserve">100340 sq. ft. 83,72 selling sq. ft
</t>
        </r>
      </text>
    </comment>
    <comment ref="D622" authorId="2">
      <text>
        <r>
          <rPr>
            <b/>
            <sz val="9"/>
            <color indexed="81"/>
            <rFont val="Tahoma"/>
            <family val="2"/>
          </rPr>
          <t xml:space="preserve">11/12/14: </t>
        </r>
        <r>
          <rPr>
            <sz val="9"/>
            <color indexed="81"/>
            <rFont val="Tahoma"/>
            <family val="2"/>
          </rPr>
          <t xml:space="preserve">100,494,000 sq. ft. 83,000,833 selling sq. ft
</t>
        </r>
      </text>
    </comment>
    <comment ref="D625" authorId="3">
      <text>
        <r>
          <rPr>
            <b/>
            <sz val="9"/>
            <color indexed="81"/>
            <rFont val="Tahoma"/>
            <family val="2"/>
          </rPr>
          <t>casselau:</t>
        </r>
        <r>
          <rPr>
            <sz val="9"/>
            <color indexed="81"/>
            <rFont val="Tahoma"/>
            <family val="2"/>
          </rPr>
          <t xml:space="preserve">
83.85M selling square feet</t>
        </r>
      </text>
    </comment>
    <comment ref="D626" authorId="3">
      <text>
        <r>
          <rPr>
            <b/>
            <sz val="9"/>
            <color indexed="81"/>
            <rFont val="Tahoma"/>
            <family val="2"/>
          </rPr>
          <t>Gbaglione</t>
        </r>
        <r>
          <rPr>
            <sz val="9"/>
            <color indexed="81"/>
            <rFont val="Tahoma"/>
            <family val="2"/>
          </rPr>
          <t xml:space="preserve">
83.9M selling square feet</t>
        </r>
      </text>
    </comment>
    <comment ref="D627" authorId="8">
      <text>
        <r>
          <rPr>
            <b/>
            <sz val="9"/>
            <color indexed="81"/>
            <rFont val="Tahoma"/>
            <family val="2"/>
          </rPr>
          <t>Mains, Spencer (Research):</t>
        </r>
        <r>
          <rPr>
            <sz val="9"/>
            <color indexed="81"/>
            <rFont val="Tahoma"/>
            <family val="2"/>
          </rPr>
          <t xml:space="preserve">
Selling sq ftage 83.9M</t>
        </r>
      </text>
    </comment>
    <comment ref="D628" authorId="4">
      <text>
        <r>
          <rPr>
            <b/>
            <sz val="9"/>
            <color indexed="81"/>
            <rFont val="Tahoma"/>
            <family val="2"/>
          </rPr>
          <t>Baglione, Gregory  (Research):</t>
        </r>
        <r>
          <rPr>
            <sz val="9"/>
            <color indexed="81"/>
            <rFont val="Tahoma"/>
            <family val="2"/>
          </rPr>
          <t xml:space="preserve">
Selling square footage 83.8</t>
        </r>
      </text>
    </comment>
    <comment ref="D630" authorId="4">
      <text>
        <r>
          <rPr>
            <b/>
            <sz val="9"/>
            <color indexed="81"/>
            <rFont val="Tahoma"/>
            <family val="2"/>
          </rPr>
          <t>Baglione, Gregory  (Research):</t>
        </r>
        <r>
          <rPr>
            <sz val="9"/>
            <color indexed="81"/>
            <rFont val="Tahoma"/>
            <family val="2"/>
          </rPr>
          <t xml:space="preserve">
5/12/16
We opened three new stores during the quarter including our first two smaller 35,000 square foot format pilot stores. We currently operate 1,167
stores.Gross square footage is 100.6 million square feet and selling square footage is 83.9 million square feet. We also opened two off-aisle stores in the
Milwaukee market.</t>
        </r>
      </text>
    </comment>
    <comment ref="D632" authorId="9">
      <text>
        <r>
          <rPr>
            <b/>
            <sz val="9"/>
            <color indexed="81"/>
            <rFont val="Tahoma"/>
            <family val="2"/>
          </rPr>
          <t>Roberts, Cynthia (Research):</t>
        </r>
        <r>
          <rPr>
            <sz val="9"/>
            <color indexed="81"/>
            <rFont val="Tahoma"/>
            <family val="2"/>
          </rPr>
          <t xml:space="preserve">
We currently operate 1155 Kohl's stores with gross footage of 99.2 million square feet and selling footage of 82.8 million square feet. During the quarter we open six Kohl's stores and closed one store</t>
        </r>
      </text>
    </comment>
    <comment ref="D633" authorId="9">
      <text>
        <r>
          <rPr>
            <b/>
            <sz val="9"/>
            <color indexed="81"/>
            <rFont val="Tahoma"/>
            <family val="2"/>
          </rPr>
          <t>Roberts, Cynthia (Research):</t>
        </r>
        <r>
          <rPr>
            <sz val="9"/>
            <color indexed="81"/>
            <rFont val="Tahoma"/>
            <family val="2"/>
          </rPr>
          <t xml:space="preserve">
2/23/17: 82.8M selling sq ft</t>
        </r>
      </text>
    </comment>
  </commentList>
</comments>
</file>

<file path=xl/comments7.xml><?xml version="1.0" encoding="utf-8"?>
<comments xmlns="http://schemas.openxmlformats.org/spreadsheetml/2006/main">
  <authors>
    <author>Note</author>
    <author>Mains, Spencer (Research)</author>
    <author>Baglione, Gregory  (Research)</author>
    <author>A satisfied Microsoft Office user</author>
    <author>De Courreges, Edouard (Research)</author>
    <author>balskyh</author>
    <author>leechi</author>
  </authors>
  <commentList>
    <comment ref="Z9" authorId="0">
      <text>
        <r>
          <rPr>
            <b/>
            <sz val="8"/>
            <color indexed="81"/>
            <rFont val="Tahoma"/>
            <family val="2"/>
          </rPr>
          <t>Guidance 11/11/10:</t>
        </r>
        <r>
          <rPr>
            <sz val="8"/>
            <color indexed="81"/>
            <rFont val="Tahoma"/>
            <family val="2"/>
          </rPr>
          <t xml:space="preserve">
4Q: $1.5 bn minimum cash at year-end
3Q: Can go as low as $750 mn
--Goal is to manage Debt/EBITDA to go no higher than 2.0x so have room to drift
--Ratings agency get nervous at 2.5x</t>
        </r>
      </text>
    </comment>
    <comment ref="AA9" authorId="0">
      <text>
        <r>
          <rPr>
            <b/>
            <sz val="8"/>
            <color indexed="81"/>
            <rFont val="Tahoma"/>
            <family val="2"/>
          </rPr>
          <t>Guidance 11/11/10:</t>
        </r>
        <r>
          <rPr>
            <sz val="8"/>
            <color indexed="81"/>
            <rFont val="Tahoma"/>
            <family val="2"/>
          </rPr>
          <t xml:space="preserve">
4Q: $1.5 bn minimum cash at year-end
3Q: Can go as low as $750 mn
--Goal is to manage Debt/EBITDA to go no higher than 2.0x so have room to drift
--Ratings agency get nervous at 2.5x</t>
        </r>
      </text>
    </comment>
    <comment ref="AC13" authorId="1">
      <text>
        <r>
          <rPr>
            <b/>
            <sz val="9"/>
            <color indexed="81"/>
            <rFont val="Tahoma"/>
            <family val="2"/>
          </rPr>
          <t>Mains, Spencer (Research):</t>
        </r>
        <r>
          <rPr>
            <sz val="9"/>
            <color indexed="81"/>
            <rFont val="Tahoma"/>
            <family val="2"/>
          </rPr>
          <t xml:space="preserve">
</t>
        </r>
        <r>
          <rPr>
            <b/>
            <sz val="9"/>
            <color indexed="81"/>
            <rFont val="Tahoma"/>
            <family val="2"/>
          </rPr>
          <t>2/26/15</t>
        </r>
        <r>
          <rPr>
            <sz val="9"/>
            <color indexed="81"/>
            <rFont val="Tahoma"/>
            <family val="2"/>
          </rPr>
          <t>: target by end of year is down 3-5% on unit basis, could be down a little less on dollar basis</t>
        </r>
      </text>
    </comment>
    <comment ref="AD13" authorId="2">
      <text>
        <r>
          <rPr>
            <b/>
            <sz val="9"/>
            <color indexed="81"/>
            <rFont val="Tahoma"/>
            <family val="2"/>
          </rPr>
          <t>Baglione, Gregory  (Research):</t>
        </r>
        <r>
          <rPr>
            <sz val="9"/>
            <color indexed="81"/>
            <rFont val="Tahoma"/>
            <family val="2"/>
          </rPr>
          <t xml:space="preserve">
2/25/16
Expect inventory down MSD at year end </t>
        </r>
      </text>
    </comment>
    <comment ref="L14" authorId="3">
      <text>
        <r>
          <rPr>
            <sz val="8"/>
            <color indexed="81"/>
            <rFont val="Tahoma"/>
            <family val="2"/>
          </rPr>
          <t>fitzgibc:
Was previously calculated as a % of sales</t>
        </r>
      </text>
    </comment>
    <comment ref="AE17" authorId="4">
      <text>
        <r>
          <rPr>
            <b/>
            <sz val="9"/>
            <color indexed="81"/>
            <rFont val="Tahoma"/>
            <family val="2"/>
          </rPr>
          <t>De Courreges, Edouard (Research):</t>
        </r>
        <r>
          <rPr>
            <sz val="9"/>
            <color indexed="81"/>
            <rFont val="Tahoma"/>
            <family val="2"/>
          </rPr>
          <t xml:space="preserve">
$1,115M Land
$ 8,062 Building and improvements owned
$ 1,813 Building and improvements leased
$ 1,700 Fixtures and equipment
$ 2,337 IT
$152 Construction in progress
-$7,406 accumulated depreciation
</t>
        </r>
      </text>
    </comment>
    <comment ref="Z26" authorId="5">
      <text>
        <r>
          <rPr>
            <b/>
            <sz val="8"/>
            <color indexed="81"/>
            <rFont val="Tahoma"/>
            <family val="2"/>
          </rPr>
          <t xml:space="preserve">11/29/2012: </t>
        </r>
        <r>
          <rPr>
            <sz val="8"/>
            <color indexed="81"/>
            <rFont val="Tahoma"/>
            <family val="2"/>
          </rPr>
          <t>A/P ~$1.5Bn at 3Q end vs. ~$1.2Bn LY</t>
        </r>
        <r>
          <rPr>
            <sz val="8"/>
            <color indexed="81"/>
            <rFont val="Tahoma"/>
            <family val="2"/>
          </rPr>
          <t xml:space="preserve">
</t>
        </r>
      </text>
    </comment>
    <comment ref="AE27" authorId="4">
      <text>
        <r>
          <rPr>
            <b/>
            <sz val="9"/>
            <color indexed="81"/>
            <rFont val="Tahoma"/>
            <family val="2"/>
          </rPr>
          <t>De Courreges, Edouard (Research):</t>
        </r>
        <r>
          <rPr>
            <sz val="9"/>
            <color indexed="81"/>
            <rFont val="Tahoma"/>
            <family val="2"/>
          </rPr>
          <t xml:space="preserve">
$330 gift cards and merchandise return cards
$151 Sales, property, and use taxes
$173 Payroll and related fringe benefits
$125 Credit card liabilities
$376 Other
</t>
        </r>
      </text>
    </comment>
    <comment ref="Z34" authorId="6">
      <text>
        <r>
          <rPr>
            <sz val="8"/>
            <color indexed="81"/>
            <rFont val="Tahoma"/>
            <family val="2"/>
          </rPr>
          <t>10/2/2007: 2007 Analyst Meeting
Commited to maintaining minimum BBB+/Baa1 rating</t>
        </r>
      </text>
    </comment>
    <comment ref="AC34" authorId="1">
      <text>
        <r>
          <rPr>
            <b/>
            <sz val="9"/>
            <color indexed="81"/>
            <rFont val="Tahoma"/>
            <family val="2"/>
          </rPr>
          <t>Mains, Spencer (Research):</t>
        </r>
        <r>
          <rPr>
            <sz val="9"/>
            <color indexed="81"/>
            <rFont val="Tahoma"/>
            <family val="2"/>
          </rPr>
          <t xml:space="preserve">
8/13/15: completed a cash tender offer for $767M of highest coupon debt.  Also exercised right to redeem $318M of 2017 notes not initially tendered.  Used proceeds of a $1.1B debt issuance to pay principal of tendered debt.</t>
        </r>
      </text>
    </comment>
    <comment ref="Z42" authorId="5">
      <text>
        <r>
          <rPr>
            <b/>
            <sz val="8"/>
            <color indexed="81"/>
            <rFont val="Tahoma"/>
            <family val="2"/>
          </rPr>
          <t xml:space="preserve">11/29/2012: </t>
        </r>
        <r>
          <rPr>
            <sz val="8"/>
            <color indexed="81"/>
            <rFont val="Tahoma"/>
            <family val="2"/>
          </rPr>
          <t>A/P ~$1.5Bn at 3Q end vs. ~$1.2Bn LY</t>
        </r>
        <r>
          <rPr>
            <sz val="8"/>
            <color indexed="81"/>
            <rFont val="Tahoma"/>
            <family val="2"/>
          </rPr>
          <t xml:space="preserve">
</t>
        </r>
      </text>
    </comment>
    <comment ref="AE44" authorId="4">
      <text>
        <r>
          <rPr>
            <b/>
            <sz val="9"/>
            <color indexed="81"/>
            <rFont val="Tahoma"/>
            <family val="2"/>
          </rPr>
          <t>De Courreges, Edouard (Research):</t>
        </r>
        <r>
          <rPr>
            <sz val="9"/>
            <color indexed="81"/>
            <rFont val="Tahoma"/>
            <family val="2"/>
          </rPr>
          <t xml:space="preserve">
Plug until 10-k</t>
        </r>
      </text>
    </comment>
    <comment ref="G47" authorId="5">
      <text>
        <r>
          <rPr>
            <b/>
            <sz val="8"/>
            <color indexed="81"/>
            <rFont val="Tahoma"/>
            <family val="2"/>
          </rPr>
          <t>Plug</t>
        </r>
      </text>
    </comment>
    <comment ref="H47" authorId="5">
      <text>
        <r>
          <rPr>
            <b/>
            <sz val="8"/>
            <color indexed="81"/>
            <rFont val="Tahoma"/>
            <family val="2"/>
          </rPr>
          <t>Plug</t>
        </r>
      </text>
    </comment>
    <comment ref="I47" authorId="5">
      <text>
        <r>
          <rPr>
            <b/>
            <sz val="8"/>
            <color indexed="81"/>
            <rFont val="Tahoma"/>
            <family val="2"/>
          </rPr>
          <t>Plug</t>
        </r>
      </text>
    </comment>
    <comment ref="J47" authorId="5">
      <text>
        <r>
          <rPr>
            <b/>
            <sz val="8"/>
            <color indexed="81"/>
            <rFont val="Tahoma"/>
            <family val="2"/>
          </rPr>
          <t>Plug</t>
        </r>
      </text>
    </comment>
    <comment ref="AC48" authorId="2">
      <text>
        <r>
          <rPr>
            <b/>
            <sz val="9"/>
            <color indexed="81"/>
            <rFont val="Tahoma"/>
            <family val="2"/>
          </rPr>
          <t>Baglione, Gregory  (Research):</t>
        </r>
        <r>
          <rPr>
            <sz val="9"/>
            <color indexed="81"/>
            <rFont val="Tahoma"/>
            <family val="2"/>
          </rPr>
          <t xml:space="preserve">
2/25/16
No breakout provided in press release update with 10-k</t>
        </r>
      </text>
    </comment>
    <comment ref="AD48" authorId="2">
      <text>
        <r>
          <rPr>
            <b/>
            <sz val="9"/>
            <color indexed="81"/>
            <rFont val="Tahoma"/>
            <family val="2"/>
          </rPr>
          <t>Baglione, Gregory  (Research):</t>
        </r>
        <r>
          <rPr>
            <sz val="9"/>
            <color indexed="81"/>
            <rFont val="Tahoma"/>
            <family val="2"/>
          </rPr>
          <t xml:space="preserve">
2/25/16
No breakout provided in press release update with 10-k</t>
        </r>
      </text>
    </comment>
  </commentList>
</comments>
</file>

<file path=xl/comments8.xml><?xml version="1.0" encoding="utf-8"?>
<comments xmlns="http://schemas.openxmlformats.org/spreadsheetml/2006/main">
  <authors>
    <author>De Courreges, Edouard (Research)</author>
    <author>balskyh</author>
    <author>leechi</author>
    <author>DL</author>
    <author>Baglione, Gregory  (Research)</author>
    <author>casselau</author>
    <author>Michelle Clark</author>
    <author>Baglione, Gregory (Research)</author>
    <author>cuomochr</author>
    <author>Mains, Spencer (Research)</author>
    <author>Cassel, Lauren (Research)</author>
  </authors>
  <commentList>
    <comment ref="AF8" authorId="0">
      <text>
        <r>
          <rPr>
            <b/>
            <sz val="9"/>
            <color indexed="81"/>
            <rFont val="Tahoma"/>
            <family val="2"/>
          </rPr>
          <t>De Courreges, Edouard (Research):</t>
        </r>
        <r>
          <rPr>
            <sz val="9"/>
            <color indexed="81"/>
            <rFont val="Tahoma"/>
            <family val="2"/>
          </rPr>
          <t xml:space="preserve">
-$1M to reverse the effect of the additional $1M mgmt added for EPS calc</t>
        </r>
      </text>
    </comment>
    <comment ref="AA10" authorId="1">
      <text>
        <r>
          <rPr>
            <b/>
            <sz val="8"/>
            <color indexed="81"/>
            <rFont val="Tahoma"/>
            <family val="2"/>
          </rPr>
          <t xml:space="preserve">Guidance 2/23/12
</t>
        </r>
        <r>
          <rPr>
            <sz val="8"/>
            <color indexed="81"/>
            <rFont val="Tahoma"/>
            <family val="2"/>
          </rPr>
          <t>$840M</t>
        </r>
      </text>
    </comment>
    <comment ref="AA20" authorId="2">
      <text>
        <r>
          <rPr>
            <b/>
            <sz val="8"/>
            <color indexed="81"/>
            <rFont val="Tahoma"/>
            <family val="2"/>
          </rPr>
          <t xml:space="preserve">11/8/2012 Guidance </t>
        </r>
        <r>
          <rPr>
            <sz val="8"/>
            <color indexed="81"/>
            <rFont val="Tahoma"/>
            <family val="2"/>
          </rPr>
          <t>$800M</t>
        </r>
        <r>
          <rPr>
            <b/>
            <sz val="8"/>
            <color indexed="81"/>
            <rFont val="Tahoma"/>
            <family val="2"/>
          </rPr>
          <t xml:space="preserve">
8/9/2012 Guidance
</t>
        </r>
        <r>
          <rPr>
            <sz val="8"/>
            <color indexed="81"/>
            <rFont val="Tahoma"/>
            <family val="2"/>
          </rPr>
          <t>Now plan for 12 new stores in 2H vs. guidance for 10 prior</t>
        </r>
        <r>
          <rPr>
            <b/>
            <sz val="8"/>
            <color indexed="81"/>
            <rFont val="Tahoma"/>
            <family val="2"/>
          </rPr>
          <t xml:space="preserve">
2/23/12 Guidance
- </t>
        </r>
        <r>
          <rPr>
            <sz val="8"/>
            <color indexed="81"/>
            <rFont val="Tahoma"/>
            <family val="2"/>
          </rPr>
          <t>$825 (w/ 50 remodels in 2012)
- Reallocate capex spend in 2012 w/ accelerated investment in online/tech vs. LY and fewer new stores/remodels</t>
        </r>
        <r>
          <rPr>
            <b/>
            <sz val="8"/>
            <color indexed="81"/>
            <rFont val="Tahoma"/>
            <family val="2"/>
          </rPr>
          <t xml:space="preserve">
11/10/11 Guidance:</t>
        </r>
        <r>
          <rPr>
            <sz val="8"/>
            <color indexed="81"/>
            <rFont val="Tahoma"/>
            <family val="2"/>
          </rPr>
          <t xml:space="preserve">
1) Planning a fourth EFC in TX in Summer '12
2) 100 remodels in 2012, but fewer openings vs 2011
3) 30 new stores 8 in Spring / 22 in Fall</t>
        </r>
      </text>
    </comment>
    <comment ref="AB20" authorId="1">
      <text>
        <r>
          <rPr>
            <b/>
            <sz val="8"/>
            <color indexed="81"/>
            <rFont val="Tahoma"/>
            <family val="2"/>
          </rPr>
          <t xml:space="preserve">2/28/13: </t>
        </r>
        <r>
          <rPr>
            <sz val="8"/>
            <color indexed="81"/>
            <rFont val="Tahoma"/>
            <family val="2"/>
          </rPr>
          <t>$700M</t>
        </r>
        <r>
          <rPr>
            <b/>
            <sz val="8"/>
            <color indexed="81"/>
            <rFont val="Tahoma"/>
            <family val="2"/>
          </rPr>
          <t xml:space="preserve">
11/8/2012: </t>
        </r>
        <r>
          <rPr>
            <sz val="8"/>
            <color indexed="81"/>
            <rFont val="Tahoma"/>
            <family val="2"/>
          </rPr>
          <t xml:space="preserve">
12 openings vs. 19 LY; 30 remodels vs. 50 LY
</t>
        </r>
        <r>
          <rPr>
            <b/>
            <sz val="8"/>
            <color indexed="81"/>
            <rFont val="Tahoma"/>
            <family val="2"/>
          </rPr>
          <t>11/14/13:</t>
        </r>
        <r>
          <rPr>
            <sz val="8"/>
            <color indexed="81"/>
            <rFont val="Tahoma"/>
            <family val="2"/>
          </rPr>
          <t xml:space="preserve"> guidance $725M
</t>
        </r>
        <r>
          <rPr>
            <b/>
            <sz val="8"/>
            <color indexed="81"/>
            <rFont val="Tahoma"/>
            <family val="2"/>
          </rPr>
          <t>2/16/13:</t>
        </r>
        <r>
          <rPr>
            <sz val="8"/>
            <color indexed="81"/>
            <rFont val="Tahoma"/>
            <family val="2"/>
          </rPr>
          <t xml:space="preserve"> Our capital expenditures were 643 million for 2013, $142 million lower than 2012. The decrease reflects multiple changes in our capital expenditures including fewer remodels of new stores and lower e-commerce fulfillment center spending partially offset by higher IT spending</t>
        </r>
      </text>
    </comment>
    <comment ref="AC20" authorId="1">
      <text>
        <r>
          <rPr>
            <b/>
            <sz val="8"/>
            <color indexed="81"/>
            <rFont val="Tahoma"/>
            <family val="2"/>
          </rPr>
          <t xml:space="preserve">8/14/2014: </t>
        </r>
        <r>
          <rPr>
            <sz val="8"/>
            <color indexed="81"/>
            <rFont val="Tahoma"/>
            <family val="2"/>
          </rPr>
          <t>$374 CapEx YTD in 2014</t>
        </r>
        <r>
          <rPr>
            <b/>
            <sz val="8"/>
            <color indexed="81"/>
            <rFont val="Tahoma"/>
            <family val="2"/>
          </rPr>
          <t xml:space="preserve">
5/15/2014: </t>
        </r>
        <r>
          <rPr>
            <sz val="8"/>
            <color indexed="81"/>
            <rFont val="Tahoma"/>
            <family val="2"/>
          </rPr>
          <t>Plan to remodel ~33 stores, in line with LY. Most of the remodelling will be done in Spring.</t>
        </r>
      </text>
    </comment>
    <comment ref="AD20" authorId="3">
      <text>
        <r>
          <rPr>
            <sz val="9"/>
            <color indexed="81"/>
            <rFont val="Tahoma"/>
            <family val="2"/>
          </rPr>
          <t>11/12/15
Capex expected to be closer to $750M this year
Capex $551M YTD
8/13/15: Capex $377M YTD.  Store refresh spend shifted from new stores to remodels and cosmetics.</t>
        </r>
        <r>
          <rPr>
            <b/>
            <sz val="9"/>
            <color indexed="81"/>
            <rFont val="Tahoma"/>
            <family val="2"/>
          </rPr>
          <t xml:space="preserve">
2/26/15 guidance:</t>
        </r>
        <r>
          <rPr>
            <sz val="9"/>
            <color indexed="81"/>
            <rFont val="Tahoma"/>
            <family val="2"/>
          </rPr>
          <t xml:space="preserve"> $800mm (350mm for IT, 250mm for store strategies [including new stores, remodel, beauty and other easy experience investments] and 200mm for base capital projects).
$800mm is the run rate they think about LT.  More rollouts of beauty in 2016 and in 2017 will ramp up pace of remodels (12/50/75 stores in 15/16/17)</t>
        </r>
        <r>
          <rPr>
            <b/>
            <sz val="9"/>
            <color indexed="81"/>
            <rFont val="Tahoma"/>
            <family val="2"/>
          </rPr>
          <t xml:space="preserve">
5/15/14: </t>
        </r>
        <r>
          <rPr>
            <sz val="9"/>
            <color indexed="81"/>
            <rFont val="Tahoma"/>
            <family val="2"/>
          </rPr>
          <t xml:space="preserve">Longer term Capex:  $750-775 should be around the right number
</t>
        </r>
      </text>
    </comment>
    <comment ref="AE20" authorId="4">
      <text>
        <r>
          <rPr>
            <b/>
            <sz val="9"/>
            <color indexed="81"/>
            <rFont val="Tahoma"/>
            <family val="2"/>
          </rPr>
          <t>Baglione, Gregory  (Research):</t>
        </r>
        <r>
          <rPr>
            <sz val="9"/>
            <color indexed="81"/>
            <rFont val="Tahoma"/>
            <family val="2"/>
          </rPr>
          <t xml:space="preserve">
2/25/16 Guide
Capex ~-$825M</t>
        </r>
      </text>
    </comment>
    <comment ref="AF20" authorId="4">
      <text>
        <r>
          <rPr>
            <b/>
            <sz val="9"/>
            <color indexed="81"/>
            <rFont val="Tahoma"/>
            <family val="2"/>
          </rPr>
          <t>Baglione, Gregory  (Research):</t>
        </r>
        <r>
          <rPr>
            <sz val="9"/>
            <color indexed="81"/>
            <rFont val="Tahoma"/>
            <family val="2"/>
          </rPr>
          <t xml:space="preserve">
2/23/17: Guidance: $700M
5/11/16
Per management expect ~$800M annual CapEx</t>
        </r>
      </text>
    </comment>
    <comment ref="AG20" authorId="4">
      <text>
        <r>
          <rPr>
            <b/>
            <sz val="9"/>
            <color indexed="81"/>
            <rFont val="Tahoma"/>
            <family val="2"/>
          </rPr>
          <t>Baglione, Gregory  (Research):</t>
        </r>
        <r>
          <rPr>
            <sz val="9"/>
            <color indexed="81"/>
            <rFont val="Tahoma"/>
            <family val="2"/>
          </rPr>
          <t xml:space="preserve">
2/28/18: Guide $700M Capex
</t>
        </r>
      </text>
    </comment>
    <comment ref="AC28" authorId="5">
      <text>
        <r>
          <rPr>
            <b/>
            <sz val="9"/>
            <color indexed="81"/>
            <rFont val="Tahoma"/>
            <family val="2"/>
          </rPr>
          <t>casselau:</t>
        </r>
        <r>
          <rPr>
            <sz val="9"/>
            <color indexed="81"/>
            <rFont val="Tahoma"/>
            <family val="2"/>
          </rPr>
          <t xml:space="preserve">
increase in payables due to higher receipt volume and timing of payments to some of their vendors</t>
        </r>
      </text>
    </comment>
    <comment ref="AA40" authorId="6">
      <text>
        <r>
          <rPr>
            <b/>
            <sz val="8"/>
            <color indexed="81"/>
            <rFont val="Tahoma"/>
            <family val="2"/>
          </rPr>
          <t xml:space="preserve">9/19/2012 
</t>
        </r>
        <r>
          <rPr>
            <sz val="8"/>
            <color indexed="81"/>
            <rFont val="Tahoma"/>
            <family val="2"/>
          </rPr>
          <t>Issued $350M of debt @ 3.25%</t>
        </r>
        <r>
          <rPr>
            <b/>
            <sz val="8"/>
            <color indexed="81"/>
            <rFont val="Tahoma"/>
            <family val="2"/>
          </rPr>
          <t xml:space="preserve">
5/10/2012 Comment
</t>
        </r>
        <r>
          <rPr>
            <sz val="8"/>
            <color indexed="81"/>
            <rFont val="Tahoma"/>
            <family val="2"/>
          </rPr>
          <t xml:space="preserve">- Depending on int rates may issue $250M-$300M of new debt to repo shares
</t>
        </r>
        <r>
          <rPr>
            <b/>
            <sz val="8"/>
            <color indexed="81"/>
            <rFont val="Tahoma"/>
            <family val="2"/>
          </rPr>
          <t xml:space="preserve">
Note: 2/23/2012
</t>
        </r>
        <r>
          <rPr>
            <sz val="8"/>
            <color indexed="81"/>
            <rFont val="Tahoma"/>
            <family val="2"/>
          </rPr>
          <t xml:space="preserve">As per Wes, he will likely go to board in August and ask for $250-400M debt issuance.  Wants to stay at targeted debt to EBITDAR of 2x.
</t>
        </r>
      </text>
    </comment>
    <comment ref="AH40" authorId="7">
      <text>
        <r>
          <rPr>
            <b/>
            <sz val="9"/>
            <color indexed="81"/>
            <rFont val="Tahoma"/>
            <family val="2"/>
          </rPr>
          <t>Baglione, Gregory (Research):</t>
        </r>
        <r>
          <rPr>
            <sz val="9"/>
            <color indexed="81"/>
            <rFont val="Tahoma"/>
            <family val="2"/>
          </rPr>
          <t xml:space="preserve">
Assumes KSS would need to issue debt to keep $600-$700 min cash balance</t>
        </r>
      </text>
    </comment>
    <comment ref="Z41" authorId="8">
      <text>
        <r>
          <rPr>
            <b/>
            <sz val="8"/>
            <color indexed="81"/>
            <rFont val="Tahoma"/>
            <family val="2"/>
          </rPr>
          <t xml:space="preserve">Guidance 2/24/11:
</t>
        </r>
        <r>
          <rPr>
            <sz val="8"/>
            <color indexed="81"/>
            <rFont val="Tahoma"/>
            <family val="2"/>
          </rPr>
          <t xml:space="preserve">--Share repo auth increased from $900m to $3.5bn
--Program should be completed by Jan 2014 (end of fiscal 2013)
--We model the $3.5bn ratably over 3 years (~1.2bn/ yr)
</t>
        </r>
        <r>
          <rPr>
            <b/>
            <sz val="8"/>
            <color indexed="81"/>
            <rFont val="Tahoma"/>
            <family val="2"/>
          </rPr>
          <t xml:space="preserve">
Guidance 11/17/10:
</t>
        </r>
        <r>
          <rPr>
            <sz val="8"/>
            <color indexed="81"/>
            <rFont val="Tahoma"/>
            <family val="2"/>
          </rPr>
          <t>--$2.7bn total authorization from Sept 2007
--$1.9bn remainining in Nov 2010 less $1.0bn accelerated share repo equates to $900M remaining authorization
--We model $900M for completion of authorization in 2011.
--Note also that cash balance at 4Q11 end falls to $1.8bn, above company's threshold of $1.8bn</t>
        </r>
        <r>
          <rPr>
            <b/>
            <sz val="8"/>
            <color indexed="81"/>
            <rFont val="Tahoma"/>
            <family val="2"/>
          </rPr>
          <t xml:space="preserve">
Guidance 11/11/10:
--</t>
        </r>
        <r>
          <rPr>
            <sz val="8"/>
            <color indexed="81"/>
            <rFont val="Tahoma"/>
            <family val="2"/>
          </rPr>
          <t>Announced resumption of share repurchase program
--Will purchase $1bn of shares
--$1.9bn total authorization</t>
        </r>
        <r>
          <rPr>
            <b/>
            <sz val="8"/>
            <color indexed="81"/>
            <rFont val="Tahoma"/>
            <family val="2"/>
          </rPr>
          <t xml:space="preserve">
--</t>
        </r>
        <r>
          <rPr>
            <sz val="8"/>
            <color indexed="81"/>
            <rFont val="Tahoma"/>
            <family val="2"/>
          </rPr>
          <t>17mn shares reduction in 2011 implies ~$900M buyback</t>
        </r>
        <r>
          <rPr>
            <b/>
            <sz val="8"/>
            <color indexed="81"/>
            <rFont val="Tahoma"/>
            <family val="2"/>
          </rPr>
          <t xml:space="preserve">
Comment 8/12/10
</t>
        </r>
        <r>
          <rPr>
            <sz val="8"/>
            <color indexed="81"/>
            <rFont val="Tahoma"/>
            <family val="2"/>
          </rPr>
          <t xml:space="preserve">1) Credit card deal signed on 8/11, but no announcement on share buyback
2) Can assume buyback in 2011, but not necessarily in 2010; note company does not need formal board authorization for share repo since already authorized, but a divd would require Board approval
</t>
        </r>
        <r>
          <rPr>
            <b/>
            <sz val="8"/>
            <color indexed="81"/>
            <rFont val="Tahoma"/>
            <family val="2"/>
          </rPr>
          <t xml:space="preserve">
Comment 3/24/10
</t>
        </r>
        <r>
          <rPr>
            <sz val="8"/>
            <color indexed="81"/>
            <rFont val="Tahoma"/>
            <family val="2"/>
          </rPr>
          <t>We assume credit card negotiation finalized in 3Q10 at which point cash is freed up to reinstitute share repurchase.
KSS is keeping excess cash on b/s in event it must repurchase receivables</t>
        </r>
        <r>
          <rPr>
            <sz val="8"/>
            <color indexed="81"/>
            <rFont val="Tahoma"/>
            <family val="2"/>
          </rPr>
          <t xml:space="preserve">
</t>
        </r>
      </text>
    </comment>
    <comment ref="AA41" authorId="1">
      <text>
        <r>
          <rPr>
            <b/>
            <sz val="8"/>
            <color indexed="81"/>
            <rFont val="Tahoma"/>
            <family val="2"/>
          </rPr>
          <t xml:space="preserve">11/8/2012: </t>
        </r>
        <r>
          <rPr>
            <sz val="8"/>
            <color indexed="81"/>
            <rFont val="Tahoma"/>
            <family val="2"/>
          </rPr>
          <t>Increased its existing share repo authorization by $3.2Bn to $3.5Bnco. Expects to repo shares in the open mkt trans over the next 3 yrs</t>
        </r>
      </text>
    </comment>
    <comment ref="AB41" authorId="1">
      <text>
        <r>
          <rPr>
            <b/>
            <sz val="8"/>
            <color indexed="81"/>
            <rFont val="Tahoma"/>
            <family val="2"/>
          </rPr>
          <t xml:space="preserve">11/14/13: </t>
        </r>
        <r>
          <rPr>
            <sz val="8"/>
            <color indexed="81"/>
            <rFont val="Tahoma"/>
            <family val="2"/>
          </rPr>
          <t>new 4Q guidance of $325 implied $888 total for full year
Conference call: $825-850 range</t>
        </r>
        <r>
          <rPr>
            <b/>
            <sz val="8"/>
            <color indexed="81"/>
            <rFont val="Tahoma"/>
            <family val="2"/>
          </rPr>
          <t xml:space="preserve">
2/28/2013 guidance: </t>
        </r>
        <r>
          <rPr>
            <sz val="8"/>
            <color indexed="81"/>
            <rFont val="Tahoma"/>
            <family val="2"/>
          </rPr>
          <t>$1Bn</t>
        </r>
        <r>
          <rPr>
            <b/>
            <sz val="8"/>
            <color indexed="81"/>
            <rFont val="Tahoma"/>
            <family val="2"/>
          </rPr>
          <t xml:space="preserve">
11/8/2012: </t>
        </r>
        <r>
          <rPr>
            <sz val="8"/>
            <color indexed="81"/>
            <rFont val="Tahoma"/>
            <family val="2"/>
          </rPr>
          <t>Increased its existing share repo authorization by $3.2Bn to $3.5Bnco. Expects to repo shares in the open mkt trans over the next 3 yrs</t>
        </r>
      </text>
    </comment>
    <comment ref="AC41" authorId="1">
      <text>
        <r>
          <rPr>
            <b/>
            <sz val="8"/>
            <color indexed="81"/>
            <rFont val="Tahoma"/>
            <family val="2"/>
          </rPr>
          <t xml:space="preserve">8/14/2014: </t>
        </r>
        <r>
          <rPr>
            <sz val="8"/>
            <color indexed="81"/>
            <rFont val="Tahoma"/>
            <family val="2"/>
          </rPr>
          <t>Target $900M but could be higher or lower depending on stock price. Target $250M each quarter</t>
        </r>
        <r>
          <rPr>
            <b/>
            <sz val="8"/>
            <color indexed="81"/>
            <rFont val="Tahoma"/>
            <family val="2"/>
          </rPr>
          <t xml:space="preserve">
11/8/2012: </t>
        </r>
        <r>
          <rPr>
            <sz val="8"/>
            <color indexed="81"/>
            <rFont val="Tahoma"/>
            <family val="2"/>
          </rPr>
          <t>Increased its existing share repo authorization by $3.2Bn to $3.5Bn co. Expects to repo shares in the open mkt trans over the next 3 yrs</t>
        </r>
      </text>
    </comment>
    <comment ref="AD41" authorId="9">
      <text>
        <r>
          <rPr>
            <b/>
            <sz val="9"/>
            <color indexed="81"/>
            <rFont val="Tahoma"/>
            <family val="2"/>
          </rPr>
          <t>Mains, Spencer (Research):</t>
        </r>
        <r>
          <rPr>
            <sz val="9"/>
            <color indexed="81"/>
            <rFont val="Tahoma"/>
            <family val="2"/>
          </rPr>
          <t xml:space="preserve">
</t>
        </r>
        <r>
          <rPr>
            <b/>
            <sz val="9"/>
            <color indexed="81"/>
            <rFont val="Tahoma"/>
            <family val="2"/>
          </rPr>
          <t>8/13/15:</t>
        </r>
        <r>
          <rPr>
            <sz val="9"/>
            <color indexed="81"/>
            <rFont val="Tahoma"/>
            <family val="2"/>
          </rPr>
          <t xml:space="preserve"> Target is still $1B.  If we think stock is cheap could certainly do a little more.
</t>
        </r>
        <r>
          <rPr>
            <b/>
            <sz val="9"/>
            <color indexed="81"/>
            <rFont val="Tahoma"/>
            <family val="2"/>
          </rPr>
          <t>2/26/15 guidance:</t>
        </r>
        <r>
          <rPr>
            <sz val="9"/>
            <color indexed="81"/>
            <rFont val="Tahoma"/>
            <family val="2"/>
          </rPr>
          <t xml:space="preserve"> $1B in share repurchases at avg price of $70/share</t>
        </r>
      </text>
    </comment>
    <comment ref="AE41" authorId="4">
      <text>
        <r>
          <rPr>
            <b/>
            <sz val="9"/>
            <color indexed="81"/>
            <rFont val="Tahoma"/>
            <family val="2"/>
          </rPr>
          <t>Baglione, Gregory  (Research):</t>
        </r>
        <r>
          <rPr>
            <sz val="9"/>
            <color indexed="81"/>
            <rFont val="Tahoma"/>
            <family val="2"/>
          </rPr>
          <t xml:space="preserve">
2/25/16 Guide
$600 million in share repurchases at an average price of $50 per share</t>
        </r>
      </text>
    </comment>
    <comment ref="AF41" authorId="7">
      <text>
        <r>
          <rPr>
            <b/>
            <sz val="9"/>
            <color indexed="81"/>
            <rFont val="Tahoma"/>
            <family val="2"/>
          </rPr>
          <t>Baglione, Gregory (Research):</t>
        </r>
        <r>
          <rPr>
            <sz val="9"/>
            <color indexed="81"/>
            <rFont val="Tahoma"/>
            <family val="2"/>
          </rPr>
          <t xml:space="preserve">
11/10/16
Per management model about $600M per year over next three years. Company also executed a new 3-year $2B share repo program</t>
        </r>
      </text>
    </comment>
    <comment ref="AG41" authorId="7">
      <text>
        <r>
          <rPr>
            <b/>
            <sz val="9"/>
            <color indexed="81"/>
            <rFont val="Tahoma"/>
            <family val="2"/>
          </rPr>
          <t>Baglione, Gregory (Research):</t>
        </r>
        <r>
          <rPr>
            <sz val="9"/>
            <color indexed="81"/>
            <rFont val="Tahoma"/>
            <family val="2"/>
          </rPr>
          <t xml:space="preserve">
2/18/18: Guide $300-400M repurchases
11/10/16
Per management model about $600M per year over next three years. Company also executed a new 3-year $2B share repo program</t>
        </r>
      </text>
    </comment>
    <comment ref="AH41" authorId="7">
      <text>
        <r>
          <rPr>
            <b/>
            <sz val="9"/>
            <color indexed="81"/>
            <rFont val="Tahoma"/>
            <family val="2"/>
          </rPr>
          <t>Baglione, Gregory (Research):</t>
        </r>
        <r>
          <rPr>
            <sz val="9"/>
            <color indexed="81"/>
            <rFont val="Tahoma"/>
            <family val="2"/>
          </rPr>
          <t xml:space="preserve">
11/10/16
Per management model about $600M per year over next three years. Company also executed a new 3-year $2B share repo program</t>
        </r>
      </text>
    </comment>
    <comment ref="AI41" authorId="7">
      <text>
        <r>
          <rPr>
            <b/>
            <sz val="9"/>
            <color indexed="81"/>
            <rFont val="Tahoma"/>
            <family val="2"/>
          </rPr>
          <t>Baglione, Gregory (Research):</t>
        </r>
        <r>
          <rPr>
            <sz val="9"/>
            <color indexed="81"/>
            <rFont val="Tahoma"/>
            <family val="2"/>
          </rPr>
          <t xml:space="preserve">
11/10/16
Per management model about $600M per year over next three years. Company also executed a new 3-year $2B share repo program</t>
        </r>
      </text>
    </comment>
    <comment ref="AJ41" authorId="7">
      <text>
        <r>
          <rPr>
            <b/>
            <sz val="9"/>
            <color indexed="81"/>
            <rFont val="Tahoma"/>
            <family val="2"/>
          </rPr>
          <t>Baglione, Gregory (Research):</t>
        </r>
        <r>
          <rPr>
            <sz val="9"/>
            <color indexed="81"/>
            <rFont val="Tahoma"/>
            <family val="2"/>
          </rPr>
          <t xml:space="preserve">
11/10/16
Per management model about $600M per year over next three years. Company also executed a new 3-year $2B share repo program</t>
        </r>
      </text>
    </comment>
    <comment ref="AB47" authorId="1">
      <text>
        <r>
          <rPr>
            <b/>
            <sz val="8"/>
            <color indexed="81"/>
            <rFont val="Tahoma"/>
            <family val="2"/>
          </rPr>
          <t xml:space="preserve">11/8/13: </t>
        </r>
        <r>
          <rPr>
            <sz val="8"/>
            <color indexed="81"/>
            <rFont val="Tahoma"/>
            <family val="2"/>
          </rPr>
          <t>Continue pay $300M per year over next 3 years</t>
        </r>
      </text>
    </comment>
    <comment ref="AC47" authorId="1">
      <text>
        <r>
          <rPr>
            <b/>
            <sz val="8"/>
            <color indexed="81"/>
            <rFont val="Tahoma"/>
            <family val="2"/>
          </rPr>
          <t xml:space="preserve">11/8/13: </t>
        </r>
        <r>
          <rPr>
            <sz val="8"/>
            <color indexed="81"/>
            <rFont val="Tahoma"/>
            <family val="2"/>
          </rPr>
          <t>Continue pay $300M per year over next 3 years</t>
        </r>
      </text>
    </comment>
    <comment ref="AD47" authorId="1">
      <text>
        <r>
          <rPr>
            <b/>
            <sz val="8"/>
            <color indexed="81"/>
            <rFont val="Tahoma"/>
            <family val="2"/>
          </rPr>
          <t xml:space="preserve">11/8/13: </t>
        </r>
        <r>
          <rPr>
            <sz val="8"/>
            <color indexed="81"/>
            <rFont val="Tahoma"/>
            <family val="2"/>
          </rPr>
          <t>Continue pay $300M per year over next 3 years
2/25/16 Guide
Raising dividend to 50c/share</t>
        </r>
      </text>
    </comment>
    <comment ref="AE48" authorId="4">
      <text>
        <r>
          <rPr>
            <b/>
            <sz val="9"/>
            <color indexed="81"/>
            <rFont val="Tahoma"/>
            <family val="2"/>
          </rPr>
          <t>Baglione, Gregory  (Research):</t>
        </r>
        <r>
          <rPr>
            <sz val="9"/>
            <color indexed="81"/>
            <rFont val="Tahoma"/>
            <family val="2"/>
          </rPr>
          <t xml:space="preserve">
2/25/16
We would expect these cost and PP&amp;E write-offs related to store closures and severance associated with the store closures and corporate reorganization to be approximately $150 million to , $170 million with $55 million to, $65 million of this charge included in Q1.
</t>
        </r>
      </text>
    </comment>
    <comment ref="Z59" authorId="8">
      <text>
        <r>
          <rPr>
            <b/>
            <sz val="8"/>
            <color indexed="81"/>
            <rFont val="Tahoma"/>
            <family val="2"/>
          </rPr>
          <t xml:space="preserve">Guidance 12/2/11 (10Q)
</t>
        </r>
        <r>
          <rPr>
            <sz val="8"/>
            <color indexed="81"/>
            <rFont val="Tahoma"/>
            <family val="2"/>
          </rPr>
          <t>Qtly dividend of $0.25/share to be paid 12/28/11</t>
        </r>
        <r>
          <rPr>
            <b/>
            <sz val="8"/>
            <color indexed="81"/>
            <rFont val="Tahoma"/>
            <family val="2"/>
          </rPr>
          <t xml:space="preserve">
Guidance 2/24/11:
</t>
        </r>
        <r>
          <rPr>
            <sz val="8"/>
            <color indexed="81"/>
            <rFont val="Tahoma"/>
            <family val="2"/>
          </rPr>
          <t xml:space="preserve">KSS declares qtrly dividend of $0.25/share
</t>
        </r>
      </text>
    </comment>
    <comment ref="AA59" authorId="1">
      <text>
        <r>
          <rPr>
            <b/>
            <sz val="8"/>
            <color indexed="81"/>
            <rFont val="Tahoma"/>
            <family val="2"/>
          </rPr>
          <t xml:space="preserve">11/8/2012 </t>
        </r>
        <r>
          <rPr>
            <sz val="8"/>
            <color indexed="81"/>
            <rFont val="Tahoma"/>
            <family val="2"/>
          </rPr>
          <t>$0.32</t>
        </r>
        <r>
          <rPr>
            <b/>
            <sz val="8"/>
            <color indexed="81"/>
            <rFont val="Tahoma"/>
            <family val="2"/>
          </rPr>
          <t xml:space="preserve">
5/10/2012 Guidance </t>
        </r>
        <r>
          <rPr>
            <sz val="8"/>
            <color indexed="81"/>
            <rFont val="Tahoma"/>
            <family val="2"/>
          </rPr>
          <t>$0.32</t>
        </r>
      </text>
    </comment>
    <comment ref="AB59" authorId="8">
      <text>
        <r>
          <rPr>
            <b/>
            <sz val="8"/>
            <color indexed="81"/>
            <rFont val="Tahoma"/>
            <family val="2"/>
          </rPr>
          <t xml:space="preserve">2/28/2013: </t>
        </r>
        <r>
          <rPr>
            <sz val="8"/>
            <color indexed="81"/>
            <rFont val="Tahoma"/>
            <family val="2"/>
          </rPr>
          <t>Dividend raised 9% to 35c</t>
        </r>
        <r>
          <rPr>
            <b/>
            <sz val="8"/>
            <color indexed="81"/>
            <rFont val="Tahoma"/>
            <family val="2"/>
          </rPr>
          <t xml:space="preserve">
2/28/2013: </t>
        </r>
        <r>
          <rPr>
            <sz val="8"/>
            <color indexed="81"/>
            <rFont val="Tahoma"/>
            <family val="2"/>
          </rPr>
          <t>$0.35 dividend declared</t>
        </r>
        <r>
          <rPr>
            <b/>
            <sz val="8"/>
            <color indexed="81"/>
            <rFont val="Tahoma"/>
            <family val="2"/>
          </rPr>
          <t xml:space="preserve">
Comment 2/24/11:
</t>
        </r>
        <r>
          <rPr>
            <sz val="8"/>
            <color indexed="81"/>
            <rFont val="Tahoma"/>
            <family val="2"/>
          </rPr>
          <t>Assumes 25% payout ratio; mgmt expects 20-25% payout ratio going forward</t>
        </r>
        <r>
          <rPr>
            <sz val="8"/>
            <color indexed="81"/>
            <rFont val="Tahoma"/>
            <family val="2"/>
          </rPr>
          <t xml:space="preserve">
</t>
        </r>
      </text>
    </comment>
    <comment ref="AC59" authorId="8">
      <text>
        <r>
          <rPr>
            <b/>
            <sz val="8"/>
            <color indexed="81"/>
            <rFont val="Tahoma"/>
            <family val="2"/>
          </rPr>
          <t xml:space="preserve">Comment 2/24/11:
</t>
        </r>
        <r>
          <rPr>
            <sz val="8"/>
            <color indexed="81"/>
            <rFont val="Tahoma"/>
            <family val="2"/>
          </rPr>
          <t>Assumes 25% payout ratio; mgmt expects 20-25% payout ratio going forward</t>
        </r>
        <r>
          <rPr>
            <sz val="8"/>
            <color indexed="81"/>
            <rFont val="Tahoma"/>
            <family val="2"/>
          </rPr>
          <t xml:space="preserve">
</t>
        </r>
      </text>
    </comment>
    <comment ref="AD59" authorId="8">
      <text>
        <r>
          <rPr>
            <b/>
            <sz val="8"/>
            <color indexed="81"/>
            <rFont val="Tahoma"/>
            <family val="2"/>
          </rPr>
          <t xml:space="preserve">Investor Day 10/29/14:
</t>
        </r>
        <r>
          <rPr>
            <sz val="8"/>
            <color indexed="81"/>
            <rFont val="Tahoma"/>
            <family val="2"/>
          </rPr>
          <t>expect 10% y/y growth</t>
        </r>
        <r>
          <rPr>
            <b/>
            <sz val="8"/>
            <color indexed="81"/>
            <rFont val="Tahoma"/>
            <family val="2"/>
          </rPr>
          <t xml:space="preserve">
Comment 2/24/11:
</t>
        </r>
        <r>
          <rPr>
            <sz val="8"/>
            <color indexed="81"/>
            <rFont val="Tahoma"/>
            <family val="2"/>
          </rPr>
          <t>Assumes 25% payout ratio; mgmt expects 20-25% payout ratio going forward</t>
        </r>
        <r>
          <rPr>
            <sz val="8"/>
            <color indexed="81"/>
            <rFont val="Tahoma"/>
            <family val="2"/>
          </rPr>
          <t xml:space="preserve">
</t>
        </r>
      </text>
    </comment>
    <comment ref="AF59" authorId="10">
      <text>
        <r>
          <rPr>
            <b/>
            <sz val="9"/>
            <color indexed="81"/>
            <rFont val="Tahoma"/>
            <family val="2"/>
          </rPr>
          <t>Cassel, Lauren (Research):</t>
        </r>
        <r>
          <rPr>
            <sz val="9"/>
            <color indexed="81"/>
            <rFont val="Tahoma"/>
            <family val="2"/>
          </rPr>
          <t xml:space="preserve">
On May 10, 2017, the Kohl's Board of Directors declared a quarterly cash
dividend on the Company's common stock of $0.55 per share. The dividend is
payable June 21, 2017 to shareholders of record at the close of business on
June 7, 2017.</t>
        </r>
      </text>
    </comment>
    <comment ref="AG59" authorId="0">
      <text>
        <r>
          <rPr>
            <b/>
            <sz val="9"/>
            <color indexed="81"/>
            <rFont val="Tahoma"/>
            <family val="2"/>
          </rPr>
          <t>De Courreges, Edouard (Research):</t>
        </r>
        <r>
          <rPr>
            <sz val="9"/>
            <color indexed="81"/>
            <rFont val="Tahoma"/>
            <family val="2"/>
          </rPr>
          <t xml:space="preserve">
2/28/18: Dividend increased to 61c per quarter</t>
        </r>
      </text>
    </comment>
  </commentList>
</comments>
</file>

<file path=xl/comments9.xml><?xml version="1.0" encoding="utf-8"?>
<comments xmlns="http://schemas.openxmlformats.org/spreadsheetml/2006/main">
  <authors>
    <author>balskyh</author>
    <author>Mains, Spencer (Research)</author>
  </authors>
  <commentList>
    <comment ref="N97" authorId="0">
      <text>
        <r>
          <rPr>
            <b/>
            <sz val="8"/>
            <color indexed="81"/>
            <rFont val="Tahoma"/>
            <family val="2"/>
          </rPr>
          <t xml:space="preserve">2/28/2013: </t>
        </r>
        <r>
          <rPr>
            <sz val="8"/>
            <color indexed="81"/>
            <rFont val="Tahoma"/>
            <family val="2"/>
          </rPr>
          <t>guidance -- per store basis inv +12%, compated to Feb wk1 ("apples-to-apples basis") +6% per store</t>
        </r>
        <r>
          <rPr>
            <b/>
            <sz val="8"/>
            <color indexed="81"/>
            <rFont val="Tahoma"/>
            <family val="2"/>
          </rPr>
          <t xml:space="preserve">
11/8/2012 Guidance: </t>
        </r>
        <r>
          <rPr>
            <sz val="8"/>
            <color indexed="81"/>
            <rFont val="Tahoma"/>
            <family val="2"/>
          </rPr>
          <t>Up LDD at 4Q end as flow through transitional merch in Dec/Jan</t>
        </r>
      </text>
    </comment>
    <comment ref="X118" authorId="1">
      <text>
        <r>
          <rPr>
            <b/>
            <sz val="9"/>
            <color indexed="81"/>
            <rFont val="Tahoma"/>
            <family val="2"/>
          </rPr>
          <t>Mains, Spencer (Research):</t>
        </r>
        <r>
          <rPr>
            <sz val="9"/>
            <color indexed="81"/>
            <rFont val="Tahoma"/>
            <family val="2"/>
          </rPr>
          <t xml:space="preserve">
Expect a LSD increase in inventory units per store at EOY.  In 2016 planning LSD-MSD decreases in our inventory units per store.</t>
        </r>
      </text>
    </comment>
    <comment ref="X125" authorId="1">
      <text>
        <r>
          <rPr>
            <b/>
            <sz val="9"/>
            <color indexed="81"/>
            <rFont val="Tahoma"/>
            <family val="2"/>
          </rPr>
          <t>Mains, Spencer (Research):</t>
        </r>
        <r>
          <rPr>
            <sz val="9"/>
            <color indexed="81"/>
            <rFont val="Tahoma"/>
            <family val="2"/>
          </rPr>
          <t xml:space="preserve">
Expect a LSD increase in inventory units per store at EOY.  In 2016 planning LSD-MSD decreases in our inventory units per store.</t>
        </r>
      </text>
    </comment>
    <comment ref="X132" authorId="1">
      <text>
        <r>
          <rPr>
            <b/>
            <sz val="9"/>
            <color indexed="81"/>
            <rFont val="Tahoma"/>
            <family val="2"/>
          </rPr>
          <t>Mains, Spencer (Research):</t>
        </r>
        <r>
          <rPr>
            <sz val="9"/>
            <color indexed="81"/>
            <rFont val="Tahoma"/>
            <family val="2"/>
          </rPr>
          <t xml:space="preserve">
Expect a LSD increase in inventory units per store at EOY.  In 2016 planning LSD-MSD decreases in our inventory units per store.</t>
        </r>
      </text>
    </comment>
    <comment ref="X139" authorId="1">
      <text>
        <r>
          <rPr>
            <b/>
            <sz val="9"/>
            <color indexed="81"/>
            <rFont val="Tahoma"/>
            <family val="2"/>
          </rPr>
          <t>Mains, Spencer (Research):</t>
        </r>
        <r>
          <rPr>
            <sz val="9"/>
            <color indexed="81"/>
            <rFont val="Tahoma"/>
            <family val="2"/>
          </rPr>
          <t xml:space="preserve">
Expect a LSD increase in inventory units per store at EOY.  In 2016 planning LSD-MSD decreases in our inventory units per store.</t>
        </r>
      </text>
    </comment>
  </commentList>
</comments>
</file>

<file path=xl/comments10.xml><?xml version="1.0" encoding="utf-8"?>
<comments xmlns="http://schemas.openxmlformats.org/spreadsheetml/2006/main">
  <authors>
    <author>balskyh</author>
    <author>Cassel, Lauren (Research)</author>
    <author>Mains, Spencer (Research)</author>
    <author>Roberts, Cynthia (Research)</author>
    <author>duol</author>
    <author>Baglione, Gregory  (Research)</author>
    <author>casselau</author>
    <author>Baglione, Gregory (Research)</author>
  </authors>
  <commentList>
    <comment ref="AW8" authorId="0">
      <text>
        <r>
          <rPr>
            <b/>
            <sz val="8"/>
            <color indexed="81"/>
            <rFont val="Tahoma"/>
            <family val="2"/>
          </rPr>
          <t xml:space="preserve">5/10/2012
</t>
        </r>
        <r>
          <rPr>
            <sz val="8"/>
            <color indexed="81"/>
            <rFont val="Tahoma"/>
            <family val="2"/>
          </rPr>
          <t xml:space="preserve">1) +3.5% in $ inv/store
2) Entered the wtr with units/store -6% and down ~9% in seasonal categories w/ receipts arriving late April
3) During much of qtr some seasonal categories down as much as 20%
</t>
        </r>
        <r>
          <rPr>
            <b/>
            <sz val="8"/>
            <color indexed="81"/>
            <rFont val="Tahoma"/>
            <family val="2"/>
          </rPr>
          <t xml:space="preserve">5/3/2012 Comment
+ </t>
        </r>
        <r>
          <rPr>
            <sz val="8"/>
            <color indexed="81"/>
            <rFont val="Tahoma"/>
            <family val="2"/>
          </rPr>
          <t>Inventory in units -6% per store y/y (lower than expected)</t>
        </r>
      </text>
    </comment>
    <comment ref="BA8" authorId="0">
      <text>
        <r>
          <rPr>
            <b/>
            <sz val="8"/>
            <color indexed="81"/>
            <rFont val="Tahoma"/>
            <family val="2"/>
          </rPr>
          <t xml:space="preserve">5/16/2013 Guidance: </t>
        </r>
        <r>
          <rPr>
            <sz val="8"/>
            <color indexed="81"/>
            <rFont val="Tahoma"/>
            <family val="2"/>
          </rPr>
          <t xml:space="preserve">inv $s per store +10%
</t>
        </r>
        <r>
          <rPr>
            <b/>
            <sz val="8"/>
            <color indexed="81"/>
            <rFont val="Tahoma"/>
            <family val="2"/>
          </rPr>
          <t xml:space="preserve">
Guidance: </t>
        </r>
        <r>
          <rPr>
            <sz val="8"/>
            <color indexed="81"/>
            <rFont val="Tahoma"/>
            <family val="2"/>
          </rPr>
          <t>Expect up LDD</t>
        </r>
      </text>
    </comment>
    <comment ref="BQ8" authorId="1">
      <text>
        <r>
          <rPr>
            <b/>
            <sz val="9"/>
            <color indexed="81"/>
            <rFont val="Tahoma"/>
            <family val="2"/>
          </rPr>
          <t>Cassel, Lauren (Research):</t>
        </r>
        <r>
          <rPr>
            <sz val="9"/>
            <color indexed="81"/>
            <rFont val="Tahoma"/>
            <family val="2"/>
          </rPr>
          <t xml:space="preserve">
inventory per store -1%, units per store -5%</t>
        </r>
      </text>
    </comment>
    <comment ref="AW9" authorId="0">
      <text>
        <r>
          <rPr>
            <b/>
            <sz val="8"/>
            <color indexed="81"/>
            <rFont val="Tahoma"/>
            <family val="2"/>
          </rPr>
          <t xml:space="preserve">8/9/2012 Comment
</t>
        </r>
        <r>
          <rPr>
            <sz val="8"/>
            <color indexed="81"/>
            <rFont val="Tahoma"/>
            <family val="2"/>
          </rPr>
          <t>- inv/store units +6%
- inv/store $ +9%</t>
        </r>
        <r>
          <rPr>
            <b/>
            <sz val="8"/>
            <color indexed="81"/>
            <rFont val="Tahoma"/>
            <family val="2"/>
          </rPr>
          <t xml:space="preserve">
- </t>
        </r>
        <r>
          <rPr>
            <sz val="8"/>
            <color indexed="81"/>
            <rFont val="Tahoma"/>
            <family val="2"/>
          </rPr>
          <t xml:space="preserve">units now in-line with Fall 2010 levels
</t>
        </r>
        <r>
          <rPr>
            <b/>
            <sz val="8"/>
            <color indexed="81"/>
            <rFont val="Tahoma"/>
            <family val="2"/>
          </rPr>
          <t xml:space="preserve">
8/2/2012 Guidance
</t>
        </r>
        <r>
          <rPr>
            <sz val="8"/>
            <color indexed="81"/>
            <rFont val="Tahoma"/>
            <family val="2"/>
          </rPr>
          <t xml:space="preserve">- Inventory/store units +5% y/y
</t>
        </r>
        <r>
          <rPr>
            <b/>
            <sz val="8"/>
            <color indexed="81"/>
            <rFont val="Tahoma"/>
            <family val="2"/>
          </rPr>
          <t xml:space="preserve">
7/5/2012 Guidance
</t>
        </r>
        <r>
          <rPr>
            <sz val="8"/>
            <color indexed="81"/>
            <rFont val="Tahoma"/>
            <family val="2"/>
          </rPr>
          <t>- Inv in $s up mid-teens</t>
        </r>
        <r>
          <rPr>
            <b/>
            <sz val="8"/>
            <color indexed="81"/>
            <rFont val="Tahoma"/>
            <family val="2"/>
          </rPr>
          <t xml:space="preserve">
</t>
        </r>
        <r>
          <rPr>
            <sz val="8"/>
            <color indexed="81"/>
            <rFont val="Tahoma"/>
            <family val="2"/>
          </rPr>
          <t>- Expect units / store +HSD by end of July
- As of June: women's still lean and men's b/c of good sales performance; handbags lean also b/c of good sales performance</t>
        </r>
        <r>
          <rPr>
            <b/>
            <sz val="8"/>
            <color indexed="81"/>
            <rFont val="Tahoma"/>
            <family val="2"/>
          </rPr>
          <t xml:space="preserve">
5/10/2012 comment
</t>
        </r>
        <r>
          <rPr>
            <sz val="8"/>
            <color indexed="81"/>
            <rFont val="Tahoma"/>
            <family val="2"/>
          </rPr>
          <t>1) Plan to be close to flat in terms of inv. units/store at end of 2Q</t>
        </r>
        <r>
          <rPr>
            <sz val="8"/>
            <color indexed="81"/>
            <rFont val="Tahoma"/>
            <family val="2"/>
          </rPr>
          <t xml:space="preserve">
</t>
        </r>
      </text>
    </comment>
    <comment ref="BA9" authorId="0">
      <text>
        <r>
          <rPr>
            <b/>
            <sz val="8"/>
            <color indexed="81"/>
            <rFont val="Tahoma"/>
            <family val="2"/>
          </rPr>
          <t xml:space="preserve">5/16/2013: </t>
        </r>
        <r>
          <rPr>
            <sz val="8"/>
            <color indexed="81"/>
            <rFont val="Tahoma"/>
            <family val="2"/>
          </rPr>
          <t>Expect end 2Q up L-MSD per store vs. LY; most of that investment will be in b2s areas, as well as seasonal product such as men's sportswear</t>
        </r>
        <r>
          <rPr>
            <b/>
            <sz val="8"/>
            <color indexed="81"/>
            <rFont val="Tahoma"/>
            <family val="2"/>
          </rPr>
          <t xml:space="preserve">
</t>
        </r>
        <r>
          <rPr>
            <sz val="8"/>
            <color indexed="81"/>
            <rFont val="Tahoma"/>
            <family val="2"/>
          </rPr>
          <t>Note: cut 2Q inv orders ~$100M in 1Q given sales below plan</t>
        </r>
        <r>
          <rPr>
            <b/>
            <sz val="8"/>
            <color indexed="81"/>
            <rFont val="Tahoma"/>
            <family val="2"/>
          </rPr>
          <t xml:space="preserve">
3/18/2013: </t>
        </r>
        <r>
          <rPr>
            <sz val="8"/>
            <color indexed="81"/>
            <rFont val="Tahoma"/>
            <family val="2"/>
          </rPr>
          <t>expect flattish store inventory on an apples to apples basis</t>
        </r>
      </text>
    </comment>
    <comment ref="BH9" authorId="2">
      <text>
        <r>
          <rPr>
            <b/>
            <sz val="9"/>
            <color indexed="81"/>
            <rFont val="Tahoma"/>
            <family val="2"/>
          </rPr>
          <t>Mains, Spencer (Research):</t>
        </r>
        <r>
          <rPr>
            <sz val="9"/>
            <color indexed="81"/>
            <rFont val="Tahoma"/>
            <family val="2"/>
          </rPr>
          <t xml:space="preserve">
Saw early receipt of fall goods as orders were written during port disruption period -- net effect of receipt pull forward ~$120M at cost.</t>
        </r>
      </text>
    </comment>
    <comment ref="BI9" authorId="2">
      <text>
        <r>
          <rPr>
            <b/>
            <sz val="9"/>
            <color indexed="81"/>
            <rFont val="Tahoma"/>
            <family val="2"/>
          </rPr>
          <t>Mains, Spencer (Research):</t>
        </r>
        <r>
          <rPr>
            <sz val="9"/>
            <color indexed="81"/>
            <rFont val="Tahoma"/>
            <family val="2"/>
          </rPr>
          <t xml:space="preserve">
8/13/15: Units +8%.  Excess inventory is the result of slightly lower than expected sales and pre-positioning fresh fall receipts to drive sales for the BTS business.  Includes an aggressive build in active, our best-performing business.
In addition, as port operations have returned to normal on the West Coast we have seen early receipt of fall goods as our orders were written during
the period of disruption. The net effect of our receipt pull forward was approximately $120 million at cost.</t>
        </r>
      </text>
    </comment>
    <comment ref="BQ9" authorId="3">
      <text>
        <r>
          <rPr>
            <b/>
            <sz val="9"/>
            <color indexed="81"/>
            <rFont val="Tahoma"/>
            <family val="2"/>
          </rPr>
          <t>Roberts, Cynthia (Research):</t>
        </r>
        <r>
          <rPr>
            <sz val="9"/>
            <color indexed="81"/>
            <rFont val="Tahoma"/>
            <family val="2"/>
          </rPr>
          <t xml:space="preserve">
inv per store -2%, units per store -3%</t>
        </r>
      </text>
    </comment>
    <comment ref="AV10" authorId="4">
      <text>
        <r>
          <rPr>
            <b/>
            <sz val="8"/>
            <color indexed="81"/>
            <rFont val="Tahoma"/>
            <family val="2"/>
          </rPr>
          <t xml:space="preserve">4818 old number
</t>
        </r>
      </text>
    </comment>
    <comment ref="AW10" authorId="0">
      <text>
        <r>
          <rPr>
            <b/>
            <sz val="8"/>
            <color indexed="81"/>
            <rFont val="Tahoma"/>
            <family val="2"/>
          </rPr>
          <t xml:space="preserve">10/4/2012: </t>
        </r>
        <r>
          <rPr>
            <sz val="8"/>
            <color indexed="81"/>
            <rFont val="Tahoma"/>
            <family val="2"/>
          </rPr>
          <t>+11-12% in $'s at Sept end; +9% in units</t>
        </r>
      </text>
    </comment>
    <comment ref="BA10" authorId="0">
      <text>
        <r>
          <rPr>
            <b/>
            <sz val="8"/>
            <color indexed="81"/>
            <rFont val="Tahoma"/>
            <family val="2"/>
          </rPr>
          <t xml:space="preserve">5/16/2013 guidance: </t>
        </r>
        <r>
          <rPr>
            <sz val="8"/>
            <color indexed="81"/>
            <rFont val="Tahoma"/>
            <family val="2"/>
          </rPr>
          <t>down y/y</t>
        </r>
      </text>
    </comment>
    <comment ref="BM10" authorId="5">
      <text>
        <r>
          <rPr>
            <b/>
            <sz val="9"/>
            <color indexed="81"/>
            <rFont val="Tahoma"/>
            <family val="2"/>
          </rPr>
          <t>Baglione, Gregory  (Research):</t>
        </r>
        <r>
          <rPr>
            <sz val="9"/>
            <color indexed="81"/>
            <rFont val="Tahoma"/>
            <family val="2"/>
          </rPr>
          <t xml:space="preserve">
11/10/16: " I expect us to be down 5% next year and 5% in 2018 too so it's a combination of absolutely reducing the receipts and then how we flew the merchandise is Kevin mentioned that speed initiative is going to be a big factor and we are going to look to turn our inventory a lot faster than we have in the last few years."
8/11/16
Targeting inventory down MSD for 3Q. Planning cold weather conservatively.</t>
        </r>
      </text>
    </comment>
    <comment ref="AW11" authorId="0">
      <text>
        <r>
          <rPr>
            <b/>
            <sz val="8"/>
            <color indexed="81"/>
            <rFont val="Tahoma"/>
            <family val="2"/>
          </rPr>
          <t xml:space="preserve">2/28/2013: </t>
        </r>
        <r>
          <rPr>
            <sz val="8"/>
            <color indexed="81"/>
            <rFont val="Tahoma"/>
            <family val="2"/>
          </rPr>
          <t>guidance -- per store basis inv +12%, compared to Feb wk1 ("apples-to-apples basis") +6% per store</t>
        </r>
        <r>
          <rPr>
            <b/>
            <sz val="8"/>
            <color indexed="81"/>
            <rFont val="Tahoma"/>
            <family val="2"/>
          </rPr>
          <t xml:space="preserve">
11/8/2012 Guidance: </t>
        </r>
        <r>
          <rPr>
            <sz val="8"/>
            <color indexed="81"/>
            <rFont val="Tahoma"/>
            <family val="2"/>
          </rPr>
          <t>Up LDD at 4Q end as flow through transitional merch in Dec/Jan</t>
        </r>
      </text>
    </comment>
    <comment ref="BA11" authorId="0">
      <text>
        <r>
          <rPr>
            <b/>
            <sz val="8"/>
            <color indexed="81"/>
            <rFont val="Tahoma"/>
            <family val="2"/>
          </rPr>
          <t xml:space="preserve">3/18/2013 guidance:  </t>
        </r>
        <r>
          <rPr>
            <sz val="8"/>
            <color indexed="81"/>
            <rFont val="Tahoma"/>
            <family val="2"/>
          </rPr>
          <t xml:space="preserve">plan store inventory -HSD at y/e on an apples to apples basis
</t>
        </r>
        <r>
          <rPr>
            <b/>
            <sz val="8"/>
            <color indexed="81"/>
            <rFont val="Tahoma"/>
            <family val="2"/>
          </rPr>
          <t xml:space="preserve">11/14/13 CC: </t>
        </r>
        <r>
          <rPr>
            <sz val="8"/>
            <color indexed="81"/>
            <rFont val="Tahoma"/>
            <family val="2"/>
          </rPr>
          <t xml:space="preserve">I would expect our inventories to be down sort of low to mid single digits at the end of the quarter depending on where we end up on the comp and then certainly the quality of them should be a lot better in terms of a lot more spring transitional receipts. 
</t>
        </r>
      </text>
    </comment>
    <comment ref="BE11" authorId="6">
      <text>
        <r>
          <rPr>
            <b/>
            <sz val="9"/>
            <color indexed="81"/>
            <rFont val="Tahoma"/>
            <family val="2"/>
          </rPr>
          <t>casselau:</t>
        </r>
        <r>
          <rPr>
            <sz val="9"/>
            <color indexed="81"/>
            <rFont val="Tahoma"/>
            <family val="2"/>
          </rPr>
          <t xml:space="preserve">
units per store -3%</t>
        </r>
      </text>
    </comment>
    <comment ref="BI11" authorId="5">
      <text>
        <r>
          <rPr>
            <b/>
            <sz val="9"/>
            <color indexed="81"/>
            <rFont val="Tahoma"/>
            <family val="2"/>
          </rPr>
          <t>Baglione, Gregory  (Research):</t>
        </r>
        <r>
          <rPr>
            <sz val="9"/>
            <color indexed="81"/>
            <rFont val="Tahoma"/>
            <family val="2"/>
          </rPr>
          <t xml:space="preserve">
8/13/15 
Company expects new receipts for the remainder of the fall season will be flat y/y
In 2016 company expects a LSD-MSD decrease in inventory units per store</t>
        </r>
      </text>
    </comment>
    <comment ref="BM11" authorId="7">
      <text>
        <r>
          <rPr>
            <b/>
            <sz val="9"/>
            <color indexed="81"/>
            <rFont val="Tahoma"/>
            <family val="2"/>
          </rPr>
          <t>Baglione, Gregory (Research):</t>
        </r>
        <r>
          <rPr>
            <sz val="9"/>
            <color indexed="81"/>
            <rFont val="Tahoma"/>
            <family val="2"/>
          </rPr>
          <t xml:space="preserve">
1/4/17 
Expect inventory to end down MSD</t>
        </r>
      </text>
    </comment>
    <comment ref="BQ11" authorId="7">
      <text>
        <r>
          <rPr>
            <b/>
            <sz val="9"/>
            <color indexed="81"/>
            <rFont val="Tahoma"/>
            <family val="2"/>
          </rPr>
          <t xml:space="preserve">5/11/17: We continue to believe that inventory will be down low to mid-single digits for the year.
</t>
        </r>
        <r>
          <rPr>
            <sz val="9"/>
            <color indexed="81"/>
            <rFont val="Tahoma"/>
            <family val="2"/>
          </rPr>
          <t xml:space="preserve">
1/4/17 
Expect inventory to end down MSD</t>
        </r>
      </text>
    </comment>
    <comment ref="BH15" authorId="5">
      <text>
        <r>
          <rPr>
            <b/>
            <sz val="9"/>
            <color indexed="81"/>
            <rFont val="Tahoma"/>
            <family val="2"/>
          </rPr>
          <t>Baglione, Gregory  (Research):</t>
        </r>
        <r>
          <rPr>
            <sz val="9"/>
            <color indexed="81"/>
            <rFont val="Tahoma"/>
            <family val="2"/>
          </rPr>
          <t xml:space="preserve">
Restating for new disclosure which likely no longer includes DTA in current assets</t>
        </r>
      </text>
    </comment>
    <comment ref="BL15" authorId="5">
      <text>
        <r>
          <rPr>
            <b/>
            <sz val="9"/>
            <color indexed="81"/>
            <rFont val="Tahoma"/>
            <family val="2"/>
          </rPr>
          <t>Baglione, Gregory  (Research):</t>
        </r>
        <r>
          <rPr>
            <sz val="9"/>
            <color indexed="81"/>
            <rFont val="Tahoma"/>
            <family val="2"/>
          </rPr>
          <t xml:space="preserve">
Restating for new disclosure which includes more items in "other assets</t>
        </r>
      </text>
    </comment>
    <comment ref="BL16" authorId="5">
      <text>
        <r>
          <rPr>
            <b/>
            <sz val="9"/>
            <color indexed="81"/>
            <rFont val="Tahoma"/>
            <family val="2"/>
          </rPr>
          <t>Baglione, Gregory  (Research):</t>
        </r>
        <r>
          <rPr>
            <sz val="9"/>
            <color indexed="81"/>
            <rFont val="Tahoma"/>
            <family val="2"/>
          </rPr>
          <t xml:space="preserve">
Restating for new disclosure which includes more items in "other assets</t>
        </r>
      </text>
    </comment>
    <comment ref="BH17" authorId="5">
      <text>
        <r>
          <rPr>
            <b/>
            <sz val="9"/>
            <color indexed="81"/>
            <rFont val="Tahoma"/>
            <family val="2"/>
          </rPr>
          <t>Baglione, Gregory  (Research):</t>
        </r>
        <r>
          <rPr>
            <sz val="9"/>
            <color indexed="81"/>
            <rFont val="Tahoma"/>
            <family val="2"/>
          </rPr>
          <t xml:space="preserve">
does not include deferred income taxes in 4Q press release just "other"</t>
        </r>
      </text>
    </comment>
    <comment ref="BA22" authorId="4">
      <text>
        <r>
          <rPr>
            <b/>
            <sz val="8"/>
            <color indexed="81"/>
            <rFont val="Tahoma"/>
            <family val="2"/>
          </rPr>
          <t>11/14/13</t>
        </r>
        <r>
          <rPr>
            <sz val="8"/>
            <color indexed="81"/>
            <rFont val="Tahoma"/>
            <family val="2"/>
          </rPr>
          <t>: The decrease is primarily due to reducing our third-quarter receipts to manage our inventory levels as well as slower inventory turn.</t>
        </r>
        <r>
          <rPr>
            <sz val="8"/>
            <color indexed="81"/>
            <rFont val="Tahoma"/>
            <family val="2"/>
          </rPr>
          <t xml:space="preserve">
</t>
        </r>
      </text>
    </comment>
    <comment ref="BH27" authorId="5">
      <text>
        <r>
          <rPr>
            <b/>
            <sz val="9"/>
            <color indexed="81"/>
            <rFont val="Tahoma"/>
            <family val="2"/>
          </rPr>
          <t>Baglione, Gregory  (Research):</t>
        </r>
        <r>
          <rPr>
            <sz val="9"/>
            <color indexed="81"/>
            <rFont val="Tahoma"/>
            <family val="2"/>
          </rPr>
          <t xml:space="preserve">
Restated post new GAAP guidelines</t>
        </r>
      </text>
    </comment>
    <comment ref="BL27" authorId="5">
      <text>
        <r>
          <rPr>
            <b/>
            <sz val="9"/>
            <color indexed="81"/>
            <rFont val="Tahoma"/>
            <family val="2"/>
          </rPr>
          <t>Baglione, Gregory  (Research):</t>
        </r>
        <r>
          <rPr>
            <sz val="9"/>
            <color indexed="81"/>
            <rFont val="Tahoma"/>
            <family val="2"/>
          </rPr>
          <t xml:space="preserve">
Restated post new GAAP guidelines
GB: We are excluding deferred income taxes given the change in GAAP reporting, whereby deferred taxes are now listed under LT assets/liabilties</t>
        </r>
      </text>
    </comment>
    <comment ref="BH28" authorId="5">
      <text>
        <r>
          <rPr>
            <b/>
            <sz val="9"/>
            <color indexed="81"/>
            <rFont val="Tahoma"/>
            <family val="2"/>
          </rPr>
          <t>Baglione, Gregory  (Research):</t>
        </r>
        <r>
          <rPr>
            <sz val="9"/>
            <color indexed="81"/>
            <rFont val="Tahoma"/>
            <family val="2"/>
          </rPr>
          <t xml:space="preserve">
Restated post new GAAP guidelines</t>
        </r>
      </text>
    </comment>
    <comment ref="BL28" authorId="5">
      <text>
        <r>
          <rPr>
            <b/>
            <sz val="9"/>
            <color indexed="81"/>
            <rFont val="Tahoma"/>
            <family val="2"/>
          </rPr>
          <t>Baglione, Gregory  (Research):</t>
        </r>
        <r>
          <rPr>
            <sz val="9"/>
            <color indexed="81"/>
            <rFont val="Tahoma"/>
            <family val="2"/>
          </rPr>
          <t xml:space="preserve">
Restated post new GAAP guidelines
GB: We are excluding deferred income taxes given the change in GAAP reporting, whereby deferred taxes are now listed under LT assets/liabilties</t>
        </r>
      </text>
    </comment>
  </commentList>
</comments>
</file>

<file path=xl/comments11.xml><?xml version="1.0" encoding="utf-8"?>
<comments xmlns="http://schemas.openxmlformats.org/spreadsheetml/2006/main">
  <authors>
    <author>Baglione, Gregory (Research)</author>
  </authors>
  <commentList>
    <comment ref="AH14" authorId="0">
      <text>
        <r>
          <rPr>
            <b/>
            <sz val="9"/>
            <color indexed="81"/>
            <rFont val="Tahoma"/>
            <family val="2"/>
          </rPr>
          <t>Baglione, Gregory (Research):</t>
        </r>
        <r>
          <rPr>
            <sz val="9"/>
            <color indexed="81"/>
            <rFont val="Tahoma"/>
            <family val="2"/>
          </rPr>
          <t xml:space="preserve">
Includes current portion of capital lease and financing obligations</t>
        </r>
      </text>
    </comment>
    <comment ref="AH15" authorId="0">
      <text>
        <r>
          <rPr>
            <b/>
            <sz val="9"/>
            <color indexed="81"/>
            <rFont val="Tahoma"/>
            <family val="2"/>
          </rPr>
          <t>Baglione, Gregory (Research):</t>
        </r>
        <r>
          <rPr>
            <sz val="9"/>
            <color indexed="81"/>
            <rFont val="Tahoma"/>
            <family val="2"/>
          </rPr>
          <t xml:space="preserve">
Includes current portion of capital lease and financing obligations</t>
        </r>
      </text>
    </comment>
    <comment ref="AH16" authorId="0">
      <text>
        <r>
          <rPr>
            <b/>
            <sz val="9"/>
            <color indexed="81"/>
            <rFont val="Tahoma"/>
            <family val="2"/>
          </rPr>
          <t>Baglione, Gregory (Research):</t>
        </r>
        <r>
          <rPr>
            <sz val="9"/>
            <color indexed="81"/>
            <rFont val="Tahoma"/>
            <family val="2"/>
          </rPr>
          <t xml:space="preserve">
Includes current portion of capital lease and financing obligations</t>
        </r>
      </text>
    </comment>
  </commentList>
</comments>
</file>

<file path=xl/comments12.xml><?xml version="1.0" encoding="utf-8"?>
<comments xmlns="http://schemas.openxmlformats.org/spreadsheetml/2006/main">
  <authors>
    <author>sancfa</author>
  </authors>
  <commentList>
    <comment ref="A1" authorId="0">
      <text>
        <r>
          <rPr>
            <b/>
            <sz val="8"/>
            <color indexed="81"/>
            <rFont val="Tahoma"/>
            <family val="2"/>
          </rPr>
          <t>卟䙄_x0001_＀＀䷧\啌啌坞当䕒呎䱁佟彐卌彅塅⡐㄰㈯〰ⰸ㄰㈯〰ⰸⰬ䌬䑁䀩䅃剟彔䕒呎䵟义䕟偘〨⼱〲㠰〬⼱〲㠰ⰬⰬ䅃⥄_x0018_＀＀_x0018_＀＀_x0008_＀＀_x0001_＀＀_x0001_＀＀豀碵꼝쐕䷧&amp;啌啌坞当义彔䅒䕔㕟䅙䝖〨⼱〲㠰ⰬⰬ䅃⥄_x0018_＀＀_x0018_＀＀_x0008_＀＀_x0001_＀＀_x0001_＀＀豀碵꼝쐕䷧_x000F_啌啌坞当佃也䵁책1＀＀_x0018_＀＀!＀＀_x0001_＀＀_x0008_＀＀啌啌䕌位⁎呁䱈呅䍉⁁义佃偒剏呁䑅찀䷧\啌啌坞当䕒呎䱁佟彐卌彅塅⡐㄰㈯〰ⰷ㄰㈯〰ⰷⰬ䌬䑁䀩䅃剟彔䕒呎䵟义䕟偘〨⼱〲㜰〬⼱〲㜰ⰬⰬ䅃⥄_x0018_＀＀_x0018_＀＀_x0008_＀＀_x0001_＀＀_x0001_＀＀豀碵꼝쐕_xDF52_仧_x0014_刣晥敲桳帣南䍟彏䅎䕍_x0014_＀＀_x0018_＀＀_x0004_＀＀_x0001_＀＀_x0008_＀＀乀A䷧&amp;啌啌坞当义彔䅒䕔㕟䅙䝖〨⼱〲㌰ⰬⰬ䅃⥄_x0018_＀＀_x0018_＀＀_x0008_＀＀_x0001_＀＀_x0001_＀＀豀碵꼝쐕䷧_x0018_啌啌坞当奆⡃⤰䍀彁奆⡃⤰_x0018_＀＀_x0018_＀＀_x0008_＀＀_x0001_＀＀_x0008_＀＀㄰㈯㄰1䷧&amp;啌啌坞当义彔䅒䕔㕟䅙䝖〨⼱〲㤰ⰬⰬ䅃⥄_x0018_＀＀_x0018_＀＀_x0008_＀＀_x0001_＀＀_x0001_＀＀豀碵꼝쐕䷧&amp;啌啌坞当义彔䅒䕔㕟䅙䝖〨⼱〲㐰ⰬⰬ䅃⥄_x0018_＀＀_x0018_＀＀_x0008_＀＀_x0001_＀＀_x0001_＀＀豀碵꼝쐕䷧\啌啌坞当䕒呎䱁佟彐卌彅塅⡐㄰㈯〰ⰶ㄰㈯〰ⰶⰬ䌬䑁䀩䅃剟彔䕒呎䵟义䕟偘〨⼱〲㘰〬⼱〲㘰ⰬⰬ䅃⥄_x0018_＀＀_x0018_＀＀_x0008_＀＀_x0001_＀＀_x0001_＀＀豀碵꼝쐕䷧&amp;啌啌坞当义彔䅒䕔㕟䅙䝖〨⼱〲〱ⰬⰬ䅃⥄_x0018_＀＀_x0018_＀＀_x0008_＀＀_x0001_＀＀_x0001_＀＀豀碵꼝쐕䷧0啌啌坞当䕌十彅佃䵍呉奟ㅒ〨⼱〲㌰〬⼱〲㌰ⰬⰬ䅃⥄_x0018_＀＀_x0018_＀＀_x0008_＀＀_x0001_＀＀_x0001_＀＀豀碵꼝쐕䷧0啌啌坞当䕌十彅佃䵍呉奟ㅒ〨⼱〲㐰〬⼱〲㐰ⰬⰬ䅃⥄_x0018_＀＀_x0018_＀＀_x0008_＀＀_x0001_＀＀_x0001_＀＀豀碵꼝쐕䷧0啌啌坞当䕌十彅佃䵍呉奟ㅒ〨⼱〲㔰〬⼱〲㔰ⰬⰬ䅃⥄_x0018_＀＀_x0018_＀＀_x0008_＀＀_x0001_＀＀_x0001_＀＀豀碵꼝쐕䷧0啌啌坞当䕌十彅佃䵍呉奟ㅒ〨⼱〲㘰〬⼱〲㘰ⰬⰬ䅃⥄_x0018_＀＀_x0018_＀＀_x0008_＀＀_x0001_＀＀_x0001_＀＀豀碵꼝쐕䷧0啌啌坞当䕌十彅佃䵍呉奟ㅒ〨⼱〲㜰〬⼱〲㜰ⰬⰬ䅃⥄_x0018_＀＀_x0018_＀＀_x0008_＀＀_x0001_＀＀_x0001_＀＀଻矪븻䀤䷧0啌啌坞当䕌十彅佃䵍呉㕟剙〨⼱〲㌰〬⼱〲㌰ⰬⰬ䅃⥄_x0018_＀＀_x0018_＀＀_x0008_＀＀_x0001_＀＀_x0001_＀＀豀碵꼝쐕䷧0啌啌坞当䕌十彅佃䵍呉奟ㅒ〨⼱〲㠰〬⼱〲㠰ⰬⰬ䅃⥄_x0018_＀＀_x0018_＀＀_x0008_＀＀_x0001_＀＀_x0001_＀＀㦧앿䀰䷧0啌啌坞当䕌十彅佃䵍呉㕟剙〨⼱〲㐰〬⼱〲㐰ⰬⰬ䅃⥄_x0018_＀＀_x0018_＀＀_x0008_＀＀_x0001_＀＀_x0001_＀＀豀碵꼝쐕䷧0啌啌坞当䕌十彅佃䵍呉奟ㅒ〨⼱〲㤰〬⼱〲㤰ⰬⰬ䅃⥄_x0018_＀＀_x0018_＀＀_x0008_＀＀_x0001_＀＀_x0001_＀＀막揝춚䀽䷧0啌啌坞当䕌十彅佃䵍呉㕟剙〨⼱〲㔰〬⼱〲㔰ⰬⰬ䅃⥄_x0018_＀＀_x0018_＀＀_x0008_＀＀_x0001_＀＀_x0001_＀＀豀碵꼝쐕䷧0啌啌坞当䕌十彅佃䵍呉㕟剙〨⼱〲㘰〬⼱〲㘰ⰬⰬ䅃⥄_x0018_＀＀_x0018_＀＀_x0008_＀＀_x0001_＀＀_x0001_＀＀豀碵꼝쐕䷧0啌啌坞当䕌十彅佃䵍呉㕟剙〨⼱〲㜰〬⼱〲㜰ⰬⰬ䅃⥄_x0018_＀＀_x0018_＀＀_x0008_＀＀_x0001_＀＀_x0001_＀＀豀碵꼝쐕䷧0啌啌坞当䕌十彅佃䵍呉㕟剙〨⼱〲㠰〬⼱〲㠰ⰬⰬ䅃⥄_x0018_＀＀_x0018_＀＀_x0008_＀＀_x0001_＀＀_x0001_＀＀Ꮻ知޿䁔䷧0啌啌坞当䕌十彅佃䵍呉㕟剙〨⼱〲㤰〬⼱〲㤰ⰬⰬ䅃⥄_x0018_＀＀_x0018_＀＀_x0008_＀＀_x0001_＀＀_x0001_＀＀懢⨏Ꟈ䁜䷧0啌啌坞当䕌十彅佃䵍呉奟ㅒ〨⼱〲〱〬⼱〲〱ⰬⰬ䅃⥄_x0018_＀＀_x0018_＀＀_x0008_＀＀_x0001_＀＀_x0001_＀＀锭⎷麜䀿䷧0啌啌坞当䕌十彅佃䵍呉奟ㅒ〨⼱〲ㄱ〬⼱〲ㄱⰬⰬ䅃⥄_x0018_＀＀_x0018_＀＀_x0008_＀＀_x0001_＀＀_x0001_＀＀牠좣罚䁂䷧\啌啌坞当䕒呎䱁佟彐卌彅塅⡐㄰㈯〰ⰵ㄰㈯〰ⰵⰬ䌬䑁䀩䅃剟彔䕒呎䵟义䕟偘〨⼱〲㔰〬⼱〲㔰ⰬⰬ䅃⥄_x0018_＀＀_x0018_＀＀_x0008_＀＀_x0001_＀＀_x0001_＀＀豀碵꼝쐕䷧0啌啌坞当䕌十彅佃䵍呉㕟剙〨⼱〲〱〬⼱〲〱ⰬⰬ䅃⥄_x0018_＀＀_x0018_＀＀_x0008_＀＀_x0001_＀＀_x0001_＀＀녆틜_xDE6A_䁐䷧0啌啌坞当䕌十彅佃䵍呉奟㉒〨⼱〲㌰〬⼱〲㌰ⰬⰬ䅃⥄_x0018_＀＀_x0018_＀＀_x0008_＀＀_x0001_＀＀_x0001_＀＀豀碵꼝쐕䷧0啌啌坞当䕌十彅佃䵍呉㕟剙〨⼱〲ㄱ〬⼱〲ㄱⰬⰬ䅃⥄_x0018_＀＀_x0018_＀＀_x0008_＀＀_x0001_＀＀_x0001_＀＀澨펙≥䁒䷧0啌啌坞当䕌十彅佃䵍呉奟㉒〨⼱〲㐰〬⼱〲㐰ⰬⰬ䅃⥄_x0018_＀＀_x0018_＀＀_x0008_＀＀_x0001_＀＀_x0001_＀＀豀碵꼝쐕䷧0啌啌坞当䕌十彅佃䵍呉奟㉒〨⼱〲㔰〬⼱〲㔰ⰬⰬ䅃⥄_x0018_＀＀_x0018_＀＀_x0008_＀＀_x0001_＀＀_x0001_＀＀豀碵꼝쐕䷧0啌啌坞当䕌十彅佃䵍呉奟㉒〨⼱〲㘰〬⼱〲㘰ⰬⰬ䅃⥄_x0018_＀＀_x0018_＀＀_x0008_＀＀_x0001_＀＀_x0001_＀＀豀碵꼝쐕䷧0啌啌坞当䕌十彅佃䵍呉奟㉒〨⼱〲㜰〬⼱〲㜰ⰬⰬ䅃⥄_x0018_＀＀_x0018_＀＀_x0008_＀＀_x0001_＀＀_x0001_＀＀甁⥽䀧_xDF53_仧_x001D_刣晥敲桳帣南䙟䍙〨䀩䅃䙟䍙〨착_x0014_＀＀_x0018_＀＀_x0004_＀＀_x0001_＀＀_x0008_＀＀乀A䷧0啌啌坞当䕌十彅佃䵍呉奟㉒〨⼱〲㠰〬⼱〲㠰ⰬⰬ䅃⥄_x0018_＀＀_x0018_＀＀_x0008_＀＀_x0001_＀＀_x0001_＀＀倅ȩ⃞䀴䷧0啌啌坞当䕌十彅佃䵍呉奟㉒〨⼱〲㤰〬⼱〲㤰ⰬⰬ䅃⥄_x0018_＀＀_x0018_＀＀_x0008_＀＀_x0001_＀＀_x0001_＀＀ඐꜷ䀾䷧0啌啌坞当䕌十彅佃䵍呉奟㉒〨⼱〲〱〬⼱〲〱ⰬⰬ䅃⥄_x0018_＀＀_x0018_＀＀_x0008_＀＀_x0001_＀＀_x0001_＀＀寀䄠䏱䀿䷧0啌啌坞当䕌十彅佃䵍呉奟㉒〨⼱〲ㄱ〬⼱〲ㄱⰬⰬ䅃⥄_x0018_＀＀_x0018_＀＀_x0008_＀＀_x0001_＀＀_x0001_＀＀ꏤᧅ⻃䁂䷧0啌啌坞当䕌十彅佃䵍呉奟㍒〨⼱〲㘰〬⼱〲㘰ⰬⰬ䅃⥄_x0018_＀＀_x0018_＀＀_x0008_＀＀_x0001_＀＀_x0001_＀＀豀碵꼝쐕䷧&amp;啌啌坞当义彔䅒䕔㕟䅙䝖〨⼱〲㔰ⰬⰬ䅃⥄_x0018_＀＀_x0018_＀＀_x0008_＀＀_x0001_＀＀_x0001_＀＀豀碵꼝쐕䷧0啌啌坞当䕌十彅佃䵍呉奟㍒〨⼱〲㜰〬⼱〲㜰ⰬⰬ䅃⥄_x0018_＀＀_x0018_＀＀_x0008_＀＀_x0001_＀＀_x0001_＀＀霧_xD8FC_嫯䀥䷧0啌啌坞当䕌十彅佃䵍呉奟㍒〨⼱〲㠰〬⼱〲㠰ⰬⰬ䅃⥄_x0018_＀＀_x0018_＀＀_x0008_＀＀_x0001_＀＀_x0001_＀＀翟㰒們䀳䷧0啌啌坞当䕌十彅佃䵍呉奟㍒〨⼱〲㤰〬⼱〲㤰ⰬⰬ䅃⥄_x0018_＀＀_x0018_＀＀_x0008_＀＀_x0001_＀＀_x0001_＀＀岉完㦮䀽䷧_x001C_啌啌䵞彗䅔彘䅒䕔丨坏Ⱜ∬偒⤢_x0018_＀＀_x0018_＀＀_x0008_＀＀_x0001_＀＀_x0001_＀＀濒ݟ꧎䁀䷧&amp;啌啌坞当义彔䅒䕔㕟䅙䝖〨⼱〲ㄱⰬⰬ䅃⥄_x0018_＀＀_x0018_＀＀_x0008_＀＀_x0001_＀＀_x0001_＀＀豀碵꼝쐕䷧0啌啌坞当䕌十彅佃䵍呉奟㍒〨⼱〲㌰〬⼱〲㌰ⰬⰬ䅃⥄_x0018_＀＀_x0018_＀＀_x0008_＀＀_x0001_＀＀_x0001_＀＀豀碵꼝쐕䷧0啌啌坞当䕌十彅佃䵍呉奟㍒〨⼱〲㐰〬⼱〲㐰ⰬⰬ䅃⥄_x0018_＀＀_x0018_＀＀_x0008_＀＀_x0001_＀＀_x0001_＀＀豀碵꼝쐕䷧0啌啌坞当䕌十彅佃䵍呉奟㍒〨⼱〲㔰〬⼱〲㔰ⰬⰬ䅃⥄_x0018_＀＀_x0018_＀＀_x0008_＀＀_x0001_＀＀_x0001_＀＀豀碵꼝쐕䷧\啌啌坞当䕒呎䱁佟彐卌彅塅⡐㄰㈯〰ⰴ㄰㈯〰ⰴⰬ䌬䑁䀩䅃剟彔䕒呎䵟义䕟偘〨⼱〲㐰〬⼱〲㐰ⰬⰬ䅃⥄_x0018_＀＀_x0018_＀＀_x0008_＀＀_x0001_＀＀_x0001_＀＀豀碵꼝쐕䷧\啌啌坞当䕒呎䱁佟彐卌彅塅⡐㄰㈯㄰ⰱ㄰㈯㄰ⰱⰬ䌬䑁䀩䅃剟彔䕒呎䵟义䕟偘〨⼱〲ㄱ〬⼱〲ㄱⰬⰬ䅃⥄_x0018_＀＀_x0018_＀＀_x0008_＀＀_x0001_＀＀_x0001_＀＀过ꍂ厅䁋䷧0啌啌坞当䕌十彅佃䵍呉奟㍒〨⼱〲〱〬⼱〲〱ⰬⰬ䅃⥄_x0018_＀＀_x0018_＀＀_x0008_＀＀_x0001_＀＀_x0001_＀＀䣔䃭䀿䷧0啌啌坞当䕌十彅佃䵍呉奟㍒〨⼱〲ㄱ〬⼱〲ㄱⰬⰬ䅃⥄_x0018_＀＀_x0018_＀＀_x0008_＀＀_x0001_＀＀_x0001_＀＀쿭_xDD45_䁁䷧0啌啌坞当䕌十彅佃䵍呉奟㑒〨⼱〲㌰〬⼱〲㌰ⰬⰬ䅃⥄_x0018_＀＀_x0018_＀＀_x0008_＀＀_x0001_＀＀_x0001_＀＀豀碵꼝쐕䷧0啌啌坞当䕌十彅佃䵍呉奟㑒〨⼱〲㐰〬⼱〲㐰ⰬⰬ䅃⥄_x0018_＀＀_x0018_＀＀_x0008_＀＀_x0001_＀＀_x0001_＀＀豀碵꼝쐕䷧0啌啌坞当䕌十彅佃䵍呉奟㑒〨⼱〲㔰〬⼱〲㔰ⰬⰬ䅃⥄_x0018_＀＀_x0018_＀＀_x0008_＀＀_x0001_＀＀_x0001_＀＀豀碵꼝쐕䷧0啌啌坞当䕌十彅佃䵍呉奟㑒〨⼱〲㘰〬⼱〲㘰ⰬⰬ䅃⥄_x0018_＀＀_x0018_＀＀_x0008_＀＀_x0001_＀＀_x0001_＀＀豀碵꼝쐕䷧0啌啌坞当䕌十彅佃䵍呉奟㑒〨⼱〲㜰〬⼱〲㜰ⰬⰬ䅃⥄_x0018_＀＀_x0018_＀＀_x0008_＀＀_x0001_＀＀_x0001_＀＀⮳丼椢䀡䷧0啌啌坞当䕌十彅佃䵍呉奟㑒〨⼱〲㠰〬⼱〲㠰ⰬⰬ䅃⥄_x0018_＀＀_x0018_＀＀_x0008_＀＀_x0001_＀＀_x0001_＀＀ᢅㅜ괫䀱䷧0啌啌坞当䕌十彅佃䵍呉奟㑒〨⼱〲㤰〬⼱〲㤰ⰬⰬ䅃⥄_x0018_＀＀_x0018_＀＀_x0008_＀＀_x0001_＀＀_x0001_＀＀✱䥛䀽䷧\啌啌坞当䕒呎䱁佟彐卌彅塅⡐㄰㈯〰ⰳ㄰㈯〰ⰳⰬ䌬䑁䀩䅃剟彔䕒呎䵟义䕟偘〨⼱〲㌰〬⼱〲㌰ⰬⰬ䅃⥄_x0018_＀＀_x0018_＀＀_x0008_＀＀_x0001_＀＀_x0001_＀＀豀碵꼝쐕䷧0啌啌坞当䕌十彅佃䵍呉奟㑒〨⼱〲〱〬⼱〲〱ⰬⰬ䅃⥄_x0018_＀＀_x0018_＀＀_x0008_＀＀_x0001_＀＀_x0001_＀＀৪㱋베䀾䷧0啌啌坞当䕌十彅佃䵍呉奟㑒〨⼱〲ㄱ〬⼱〲ㄱⰬⰬ䅃⥄_x0018_＀＀_x0018_＀＀_x0008_＀＀_x0001_＀＀_x0001_＀＀▁녗ꟸ䁁䷧_x0013_啌啌坞当卉彏佃䕄〨착_x0014_＀＀_x0018_＀＀_x0004_＀＀_x0001_＀＀_x0008_＀＀䅃D䷧0啌啌坞当䕌十彅佃䵍呉奟㕒〨⼱〲㌰〬⼱〲㌰ⰬⰬ䅃⥄_x0018_＀＀_x0018_＀＀_x0008_＀＀_x0001_＀＀_x0001_＀＀豀碵꼝쐕䷧&amp;啌啌坞当义彔䅒䕔㕟䅙䝖〨⼱〲㘰ⰬⰬ䅃⥄_x0018_＀＀_x0018_＀＀_x0008_＀＀_x0001_＀＀_x0001_＀＀豀碵꼝쐕䷧0啌啌坞当䕌十彅佃䵍呉奟㕒〨⼱〲㐰〬⼱〲㐰ⰬⰬ䅃⥄_x0018_＀＀_x0018_＀＀_x0008_＀＀_x0001_＀＀_x0001_＀＀豀碵꼝쐕䷧0啌啌坞当䕌十彅佃䵍呉奟㕒〨⼱〲㔰〬⼱〲㔰ⰬⰬ䅃⥄_x0018_＀＀_x0018_＀＀_x0008_＀＀_x0001_＀＀_x0001_＀＀豀碵꼝쐕䷧0啌啌坞当䕌十彅佃䵍呉奟㕒〨⼱〲㘰〬⼱〲㘰ⰬⰬ䅃⥄_x0018_＀＀_x0018_＀＀_x0008_＀＀_x0001_＀＀_x0001_＀＀豀碵꼝쐕䷧0啌啌坞当䕌十彅佃䵍呉奟㕒〨⼱〲㜰〬⼱〲㜰ⰬⰬ䅃⥄_x0018_＀＀_x0018_＀＀_x0008_＀＀_x0001_＀＀_x0001_＀＀먖㥫烲䁄䷧0啌啌坞当䕌十彅佃䵍呉奟㕒〨⼱〲㠰〬⼱〲㠰ⰬⰬ䅃⥄_x0018_＀＀_x0018_＀＀_x0008_＀＀_x0001_＀＀_x0001_＀＀Ꚃ鳊韓䀱䷧0啌啌坞当䕌十彅佃䵍呉奟㕒〨⼱〲㤰〬⼱〲㤰ⰬⰬ䅃⥄_x0018_＀＀_x0018_＀＀_x0008_＀＀_x0001_＀＀_x0001_＀＀霡䠀ῢ䀽䷧\啌啌坞当䕒呎䱁佟彐卌彅塅⡐㄰㈯㄰ⰰ㄰㈯㄰ⰰⰬ䌬䑁䀩䅃剟彔䕒呎䵟义䕟偘〨⼱〲〱〬⼱〲〱ⰬⰬ䅃⥄_x0018_＀＀_x0018_＀＀_x0008_＀＀_x0001_＀＀_x0001_＀＀≋䭞䬆䁇䷧0啌啌坞当䕌十彅佃䵍呉奟㕒〨⼱〲〱〬⼱〲〱ⰬⰬ䅃⥄_x0018_＀＀_x0018_＀＀_x0008_＀＀_x0001_＀＀_x0001_＀＀㘑봼Ꙓ䀽䷧0啌啌坞当䕌十彅佃䵍呉奟㕒〨⼱〲ㄱ〬⼱〲ㄱⰬⰬ䅃⥄_x0018_＀＀_x0018_＀＀_x0008_＀＀_x0001_＀＀_x0001_＀＀㏗掄➖䁀䷧(啌啌坞当义彔䅒䕔〨⼱〲㐰〬⼱〲㐰ⰬⰬ䅃⥄_x0018_＀＀_x0018_＀＀_x0008_＀＀_x0001_＀＀_x0001_＀＀豀碵꼝쐕䷧(啌啌坞当义彔䅒䕔〨⼱〲㔰〬⼱〲㔰ⰬⰬ䅃⥄_x0018_＀＀_x0018_＀＀_x0008_＀＀_x0001_＀＀_x0001_＀＀豀碵꼝쐕䷧&amp;啌啌坞当义彔䅒䕔㕟䅙䝖〨⼱〲㜰ⰬⰬ䅃⥄_x0018_＀＀_x0018_＀＀_x0008_＀＀_x0001_＀＀_x0001_＀＀豀碵꼝쐕䷧(啌啌坞当义彔䅒䕔〨⼱〲㘰〬⼱〲㘰ⰬⰬ䅃⥄_x0018_＀＀_x0018_＀＀_x0008_＀＀_x0001_＀＀_x0001_＀＀豀碵꼝쐕䷧(啌啌坞当义彔䅒䕔〨⼱〲㜰〬⼱〲㜰ⰬⰬ䅃⥄_x0018_＀＀_x0018_＀＀_x0008_＀＀_x0001_＀＀_x0001_＀＀豀碵꼝쐕䷧(啌啌坞当义彔䅒䕔〨⼱〲㠰〬⼱〲㠰ⰬⰬ䅃⥄_x0018_＀＀_x0018_＀＀_x0008_＀＀_x0001_＀＀_x0001_＀＀豀碵꼝쐕䷧(啌啌坞当义彔䅒䕔〨⼱〲㤰〬⼱〲㤰ⰬⰬ䅃⥄_x0018_＀＀_x0018_＀＀_x0008_＀＀_x0001_＀＀_x0001_＀＀豀碵꼝쐕䷧\啌啌坞当䕒呎䱁佟彐卌彅塅⡐㄰㈯〰ⰹ㄰㈯〰ⰹⰬ䌬䑁䀩䅃剟彔䕒呎䵟义䕟偘〨⼱〲㤰〬⼱〲㤰ⰬⰬ䅃⥄_x0018_＀＀_x0018_＀＀_x0008_＀＀_x0001_＀＀_x0001_＀＀豀碵꼝쐕䷧(啌啌坞当义彔䅒䕔〨⼱〲〱〬⼱〲〱ⰬⰬ䅃⥄_x0018_＀＀_x0018_＀＀_x0008_＀＀_x0001_＀＀_x0001_＀＀豀碵꼝쐕䷧(啌啌坞当义彔䅒䕔〨⼱〲ㄱ〬⼱〲ㄱⰬⰬ䅃⥄_x0018_＀＀_x0018_＀＀_x0008_＀＀_x0001_＀＀_x0001_＀＀豀碵꼝쐕_xDF53_仧_x0018_刣晥敲桳帣南䥟体䍟䑏⡅⤰_x0014_＀＀_x0018_＀＀_x0004_＀＀_x0001_＀＀_x0008_＀＀乀A</t>
        </r>
      </text>
    </comment>
    <comment ref="B1" authorId="0">
      <text>
        <r>
          <rPr>
            <b/>
            <sz val="8"/>
            <color indexed="81"/>
            <rFont val="Tahoma"/>
            <family val="2"/>
          </rPr>
          <t>4046</t>
        </r>
      </text>
    </comment>
  </commentList>
</comments>
</file>

<file path=xl/comments13.xml><?xml version="1.0" encoding="utf-8"?>
<comments xmlns="http://schemas.openxmlformats.org/spreadsheetml/2006/main">
  <authors>
    <author>Michelle Clark</author>
    <author>Leon Michaelides</author>
    <author>leechi</author>
    <author>cuomochr</author>
    <author>jdieter</author>
  </authors>
  <commentList>
    <comment ref="Q1" authorId="0">
      <text>
        <r>
          <rPr>
            <b/>
            <sz val="8"/>
            <color indexed="81"/>
            <rFont val="Tahoma"/>
            <family val="2"/>
          </rPr>
          <t>Note: 9/15/2011</t>
        </r>
        <r>
          <rPr>
            <sz val="8"/>
            <color indexed="81"/>
            <rFont val="Tahoma"/>
            <family val="2"/>
          </rPr>
          <t xml:space="preserve">
The most significant of the corrections resulted from improper application of the sale-leaseback provisions of ASC 840, Leases. We are often involved extensively in the construction of leased stores. In many cases, we are responsible for construction cost over runs or construct non-standard tenant improvements (e.g. roof or HVAC systems). As a result of this involvement, we are deemed the "owner" for accounting purposes during the construction period, so are required to capitalize the construction costs on our Balance Sheets. Upon completion of the project, we must perform a sale-leaseback analysis pursuant to ASC 840 to determine if we can remove the assets from our Balance Sheet. In many of our leases, we are reimbursed a portion of the construction costs via adjusted rental and/or cash payments or have terms which fix the rental payments for a significant percentage of the leased asset's economic life. These items are generally considered "continuing involvement" which preclude us from derecognizing the constructed assets from our Balance Sheet when construction is complete.
Additionally, certain store and equipment leases were improperly recorded as operating leases, rather than capital leases.
</t>
        </r>
      </text>
    </comment>
    <comment ref="C20" authorId="1">
      <text>
        <r>
          <rPr>
            <b/>
            <sz val="8"/>
            <color indexed="81"/>
            <rFont val="Tahoma"/>
            <family val="2"/>
          </rPr>
          <t>Increased % from 86% to 90% given young age of leases &amp; large amount of life remaining on leases (e.g., 14 yrs+)
Leon Michaelides:</t>
        </r>
        <r>
          <rPr>
            <sz val="8"/>
            <color indexed="81"/>
            <rFont val="Tahoma"/>
            <family val="2"/>
          </rPr>
          <t xml:space="preserve">
This is assuming that the take on portfolio of leases is on average half way through their life.   Use the simple example to calculate what % this will be using the same assumptions as in the first year for this model.</t>
        </r>
      </text>
    </comment>
    <comment ref="B37" authorId="1">
      <text>
        <r>
          <rPr>
            <b/>
            <sz val="8"/>
            <color indexed="81"/>
            <rFont val="Tahoma"/>
            <family val="2"/>
          </rPr>
          <t>Leon Michaelides:</t>
        </r>
        <r>
          <rPr>
            <sz val="8"/>
            <color indexed="81"/>
            <rFont val="Tahoma"/>
            <family val="2"/>
          </rPr>
          <t xml:space="preserve">
If the company only begins using operating leases during the historical periods included in the template then for first year set weighted average interest rate equal to the interest implicit in new leases signed.</t>
        </r>
      </text>
    </comment>
    <comment ref="D38" authorId="2">
      <text>
        <r>
          <rPr>
            <b/>
            <sz val="8"/>
            <color indexed="81"/>
            <rFont val="Tahoma"/>
            <family val="2"/>
          </rPr>
          <t>Weighted average cost of debt per 10-K</t>
        </r>
      </text>
    </comment>
    <comment ref="E38" authorId="2">
      <text>
        <r>
          <rPr>
            <b/>
            <sz val="8"/>
            <color indexed="81"/>
            <rFont val="Tahoma"/>
            <family val="2"/>
          </rPr>
          <t>Weighted average cost of debt per 10-K</t>
        </r>
      </text>
    </comment>
    <comment ref="F38" authorId="2">
      <text>
        <r>
          <rPr>
            <b/>
            <sz val="8"/>
            <color indexed="81"/>
            <rFont val="Tahoma"/>
            <family val="2"/>
          </rPr>
          <t>Weighted average cost of debt per 10-K</t>
        </r>
      </text>
    </comment>
    <comment ref="G38" authorId="2">
      <text>
        <r>
          <rPr>
            <b/>
            <sz val="8"/>
            <color indexed="81"/>
            <rFont val="Tahoma"/>
            <family val="2"/>
          </rPr>
          <t>Weighted average cost of debt per 10-K</t>
        </r>
      </text>
    </comment>
    <comment ref="H38" authorId="2">
      <text>
        <r>
          <rPr>
            <b/>
            <sz val="8"/>
            <color indexed="81"/>
            <rFont val="Tahoma"/>
            <family val="2"/>
          </rPr>
          <t>Weighted average cost of debt per 10-K</t>
        </r>
      </text>
    </comment>
    <comment ref="I38" authorId="2">
      <text>
        <r>
          <rPr>
            <b/>
            <sz val="8"/>
            <color indexed="81"/>
            <rFont val="Tahoma"/>
            <family val="2"/>
          </rPr>
          <t>Weighted average cost of debt per 10-K</t>
        </r>
      </text>
    </comment>
    <comment ref="J38" authorId="2">
      <text>
        <r>
          <rPr>
            <b/>
            <sz val="8"/>
            <color indexed="81"/>
            <rFont val="Tahoma"/>
            <family val="2"/>
          </rPr>
          <t>Weighted average cost of debt per 10-K</t>
        </r>
      </text>
    </comment>
    <comment ref="K38" authorId="2">
      <text>
        <r>
          <rPr>
            <b/>
            <sz val="8"/>
            <color indexed="81"/>
            <rFont val="Tahoma"/>
            <family val="2"/>
          </rPr>
          <t>Weighted average cost of debt per 10-K</t>
        </r>
      </text>
    </comment>
    <comment ref="L38" authorId="2">
      <text>
        <r>
          <rPr>
            <b/>
            <sz val="8"/>
            <color indexed="81"/>
            <rFont val="Tahoma"/>
            <family val="2"/>
          </rPr>
          <t>Weighted average cost of debt per 10-K</t>
        </r>
      </text>
    </comment>
    <comment ref="M38" authorId="2">
      <text>
        <r>
          <rPr>
            <b/>
            <sz val="8"/>
            <color indexed="81"/>
            <rFont val="Tahoma"/>
            <family val="2"/>
          </rPr>
          <t>Weighted average cost of debt per 10-K</t>
        </r>
      </text>
    </comment>
    <comment ref="N38" authorId="2">
      <text>
        <r>
          <rPr>
            <b/>
            <sz val="8"/>
            <color indexed="81"/>
            <rFont val="Tahoma"/>
            <family val="2"/>
          </rPr>
          <t>Weighted average cost of debt per 10-K</t>
        </r>
      </text>
    </comment>
    <comment ref="O38" authorId="2">
      <text>
        <r>
          <rPr>
            <b/>
            <sz val="8"/>
            <color indexed="81"/>
            <rFont val="Tahoma"/>
            <family val="2"/>
          </rPr>
          <t>Weighted average cost of debt per 10-K</t>
        </r>
      </text>
    </comment>
    <comment ref="P38" authorId="2">
      <text>
        <r>
          <rPr>
            <b/>
            <sz val="8"/>
            <color indexed="81"/>
            <rFont val="Tahoma"/>
            <family val="2"/>
          </rPr>
          <t>Weighted average cost of debt per 10-K</t>
        </r>
      </text>
    </comment>
    <comment ref="Q38" authorId="3">
      <text>
        <r>
          <rPr>
            <b/>
            <sz val="8"/>
            <color indexed="81"/>
            <rFont val="Tahoma"/>
            <family val="2"/>
          </rPr>
          <t>10K, p. 59</t>
        </r>
        <r>
          <rPr>
            <sz val="8"/>
            <color indexed="81"/>
            <rFont val="Tahoma"/>
            <family val="2"/>
          </rPr>
          <t xml:space="preserve">
</t>
        </r>
      </text>
    </comment>
    <comment ref="B40" authorId="1">
      <text>
        <r>
          <rPr>
            <b/>
            <sz val="8"/>
            <color indexed="81"/>
            <rFont val="Tahoma"/>
            <family val="2"/>
          </rPr>
          <t>Leon Michaelides:</t>
        </r>
        <r>
          <rPr>
            <sz val="8"/>
            <color indexed="81"/>
            <rFont val="Tahoma"/>
            <family val="2"/>
          </rPr>
          <t xml:space="preserve">
Use as an alternate method of forecasting lease payments.  Or if disclosures are available then use as a sensibility check on forecast lease payments.  </t>
        </r>
      </text>
    </comment>
    <comment ref="O40" authorId="4">
      <text>
        <r>
          <rPr>
            <b/>
            <sz val="8"/>
            <color indexed="81"/>
            <rFont val="Tahoma"/>
            <family val="2"/>
          </rPr>
          <t>Total Stores - Owned Stores</t>
        </r>
      </text>
    </comment>
    <comment ref="P40" authorId="4">
      <text>
        <r>
          <rPr>
            <b/>
            <sz val="8"/>
            <color indexed="81"/>
            <rFont val="Tahoma"/>
            <family val="2"/>
          </rPr>
          <t>Total Stores - Owned Stores</t>
        </r>
      </text>
    </comment>
    <comment ref="Q40" authorId="3">
      <text>
        <r>
          <rPr>
            <b/>
            <sz val="8"/>
            <color indexed="81"/>
            <rFont val="Tahoma"/>
            <family val="2"/>
          </rPr>
          <t>10K, p. 15</t>
        </r>
        <r>
          <rPr>
            <sz val="8"/>
            <color indexed="81"/>
            <rFont val="Tahoma"/>
            <family val="2"/>
          </rPr>
          <t xml:space="preserve">
</t>
        </r>
      </text>
    </comment>
    <comment ref="B43" authorId="1">
      <text>
        <r>
          <rPr>
            <b/>
            <sz val="8"/>
            <color indexed="81"/>
            <rFont val="Tahoma"/>
            <family val="2"/>
          </rPr>
          <t>Leon Michaelides:</t>
        </r>
        <r>
          <rPr>
            <sz val="8"/>
            <color indexed="81"/>
            <rFont val="Tahoma"/>
            <family val="2"/>
          </rPr>
          <t xml:space="preserve">
Use as an alternate method of forecasting lease payments.  Or if disclosures are available then use as a sensibility check on forecast lease payments.  </t>
        </r>
      </text>
    </comment>
    <comment ref="B47" authorId="1">
      <text>
        <r>
          <rPr>
            <b/>
            <sz val="8"/>
            <color indexed="81"/>
            <rFont val="Tahoma"/>
            <family val="2"/>
          </rPr>
          <t>Leon Michaelides:</t>
        </r>
        <r>
          <rPr>
            <sz val="8"/>
            <color indexed="81"/>
            <rFont val="Tahoma"/>
            <family val="2"/>
          </rPr>
          <t xml:space="preserve">
An option if disclosure is available is to forecast lease payments per number of leased units.</t>
        </r>
      </text>
    </comment>
    <comment ref="B50" authorId="1">
      <text>
        <r>
          <rPr>
            <b/>
            <sz val="8"/>
            <color indexed="81"/>
            <rFont val="Tahoma"/>
            <family val="2"/>
          </rPr>
          <t>Leon Michaelides:</t>
        </r>
        <r>
          <rPr>
            <sz val="8"/>
            <color indexed="81"/>
            <rFont val="Tahoma"/>
            <family val="2"/>
          </rPr>
          <t xml:space="preserve">
Present Value of the Increase in lease payments each year.  This is the PV of new leases signed and is equavilent to the capital spending financed through operating leases.
Either use an assumed growth rate or forecast capex explicitly.</t>
        </r>
      </text>
    </comment>
    <comment ref="B51" authorId="1">
      <text>
        <r>
          <rPr>
            <b/>
            <sz val="8"/>
            <color indexed="81"/>
            <rFont val="Tahoma"/>
            <family val="2"/>
          </rPr>
          <t>Leon Michaelides:</t>
        </r>
        <r>
          <rPr>
            <sz val="8"/>
            <color indexed="81"/>
            <rFont val="Tahoma"/>
            <family val="2"/>
          </rPr>
          <t xml:space="preserve">
Use as an alternate method of forecasting lease payments. </t>
        </r>
      </text>
    </comment>
    <comment ref="N54" authorId="2">
      <text>
        <r>
          <rPr>
            <b/>
            <sz val="8"/>
            <color indexed="81"/>
            <rFont val="Tahoma"/>
            <family val="2"/>
          </rPr>
          <t>Growth based on leased sq. ft.</t>
        </r>
      </text>
    </comment>
    <comment ref="B56" authorId="1">
      <text>
        <r>
          <rPr>
            <b/>
            <sz val="8"/>
            <color indexed="81"/>
            <rFont val="Tahoma"/>
            <family val="2"/>
          </rPr>
          <t>Leon Michaelides:</t>
        </r>
        <r>
          <rPr>
            <sz val="8"/>
            <color indexed="81"/>
            <rFont val="Tahoma"/>
            <family val="2"/>
          </rPr>
          <t xml:space="preserve">
non cancelable leases only</t>
        </r>
      </text>
    </comment>
    <comment ref="K58" authorId="2">
      <text>
        <r>
          <rPr>
            <b/>
            <sz val="8"/>
            <color indexed="81"/>
            <rFont val="Tahoma"/>
            <family val="2"/>
          </rPr>
          <t>Excludes amount for cancellable options</t>
        </r>
      </text>
    </comment>
    <comment ref="L58" authorId="2">
      <text>
        <r>
          <rPr>
            <b/>
            <sz val="8"/>
            <color indexed="81"/>
            <rFont val="Tahoma"/>
            <family val="2"/>
          </rPr>
          <t>Excludes amount for cancellable options</t>
        </r>
      </text>
    </comment>
    <comment ref="M58" authorId="2">
      <text>
        <r>
          <rPr>
            <b/>
            <sz val="8"/>
            <color indexed="81"/>
            <rFont val="Tahoma"/>
            <family val="2"/>
          </rPr>
          <t>Excludes amount for cancellable options</t>
        </r>
      </text>
    </comment>
    <comment ref="K61" authorId="4">
      <text>
        <r>
          <rPr>
            <b/>
            <sz val="8"/>
            <color indexed="81"/>
            <rFont val="Tahoma"/>
            <family val="2"/>
          </rPr>
          <t>The Company’s typical lease has an initial term of 20-25 years plus five to eight renewal options for consecutive five or ten-year extension terms</t>
        </r>
      </text>
    </comment>
    <comment ref="M61" authorId="4">
      <text>
        <r>
          <rPr>
            <b/>
            <sz val="8"/>
            <color indexed="81"/>
            <rFont val="Tahoma"/>
            <family val="2"/>
          </rPr>
          <t xml:space="preserve">2006 10K: The Company’s typical lease has an initial term of 20-25 years plus two to eight renewal options for consecutive five or ten-year extension terms. </t>
        </r>
        <r>
          <rPr>
            <sz val="8"/>
            <color indexed="81"/>
            <rFont val="Tahoma"/>
            <family val="2"/>
          </rPr>
          <t xml:space="preserve">
</t>
        </r>
      </text>
    </comment>
    <comment ref="M66" authorId="4">
      <text>
        <r>
          <rPr>
            <b/>
            <sz val="8"/>
            <color indexed="81"/>
            <rFont val="Tahoma"/>
            <family val="2"/>
          </rPr>
          <t>Rent Expense Charged to Operations - Contingent Rents</t>
        </r>
      </text>
    </comment>
    <comment ref="Q66" authorId="3">
      <text>
        <r>
          <rPr>
            <b/>
            <sz val="8"/>
            <color indexed="81"/>
            <rFont val="Tahoma"/>
            <family val="2"/>
          </rPr>
          <t>Restated in 10KA
10K, p. 60</t>
        </r>
        <r>
          <rPr>
            <sz val="8"/>
            <color indexed="81"/>
            <rFont val="Tahoma"/>
            <family val="2"/>
          </rPr>
          <t xml:space="preserve">
</t>
        </r>
      </text>
    </comment>
    <comment ref="C139" authorId="1">
      <text>
        <r>
          <rPr>
            <b/>
            <sz val="8"/>
            <color indexed="81"/>
            <rFont val="Tahoma"/>
            <family val="2"/>
          </rPr>
          <t>Leon Michaelides:</t>
        </r>
        <r>
          <rPr>
            <sz val="8"/>
            <color indexed="81"/>
            <rFont val="Tahoma"/>
            <family val="2"/>
          </rPr>
          <t xml:space="preserve">
factor to apply to smooth depreciation of the take on carrying value of leased assets.  This is to depreciate them on a reducing balance method to similate a portfolio where leases would roll off over time.</t>
        </r>
      </text>
    </comment>
  </commentList>
</comments>
</file>

<file path=xl/comments14.xml><?xml version="1.0" encoding="utf-8"?>
<comments xmlns="http://schemas.openxmlformats.org/spreadsheetml/2006/main">
  <authors>
    <author>De Courreges, Edouard (Research)</author>
    <author>Baglione, Gregory  (Research)</author>
  </authors>
  <commentList>
    <comment ref="H30" authorId="0">
      <text>
        <r>
          <rPr>
            <b/>
            <sz val="9"/>
            <color indexed="81"/>
            <rFont val="Tahoma"/>
            <family val="2"/>
          </rPr>
          <t>De Courreges, Edouard (Research):</t>
        </r>
        <r>
          <rPr>
            <sz val="9"/>
            <color indexed="81"/>
            <rFont val="Tahoma"/>
            <family val="2"/>
          </rPr>
          <t xml:space="preserve">
8/2/17 BB</t>
        </r>
      </text>
    </comment>
    <comment ref="H31" authorId="0">
      <text>
        <r>
          <rPr>
            <b/>
            <sz val="9"/>
            <color indexed="81"/>
            <rFont val="Tahoma"/>
            <family val="2"/>
          </rPr>
          <t>De Courreges, Edouard (Research):</t>
        </r>
        <r>
          <rPr>
            <sz val="9"/>
            <color indexed="81"/>
            <rFont val="Tahoma"/>
            <family val="2"/>
          </rPr>
          <t xml:space="preserve">
Damodoran</t>
        </r>
      </text>
    </comment>
    <comment ref="H32" authorId="1">
      <text>
        <r>
          <rPr>
            <b/>
            <sz val="9"/>
            <color indexed="81"/>
            <rFont val="Tahoma"/>
            <family val="2"/>
          </rPr>
          <t>Baglione, Gregory  (Research):</t>
        </r>
        <r>
          <rPr>
            <sz val="9"/>
            <color indexed="81"/>
            <rFont val="Tahoma"/>
            <family val="2"/>
          </rPr>
          <t xml:space="preserve">
 Bloomberg 1Y daily raw
</t>
        </r>
      </text>
    </comment>
  </commentList>
</comments>
</file>

<file path=xl/sharedStrings.xml><?xml version="1.0" encoding="utf-8"?>
<sst xmlns="http://schemas.openxmlformats.org/spreadsheetml/2006/main" count="69478" uniqueCount="996">
  <si>
    <t>Goodwill / Intangible Assets</t>
  </si>
  <si>
    <t>/NA</t>
  </si>
  <si>
    <t>This sheet contains Factset binary data for use with this workbook's =FDS codes.  Modifying the worksheet's contents may damage the workbook's =FDS functionality.</t>
  </si>
  <si>
    <t>LULU.O,mscalc:closePriceCurrencyCalc</t>
  </si>
  <si>
    <t>LULU.O,mscalc:sedolCodeCalc</t>
  </si>
  <si>
    <t>LULU.O,mscalc:targetPrice,,,,USD</t>
  </si>
  <si>
    <t>B23FN39</t>
  </si>
  <si>
    <t>Statutory Tax Rate</t>
  </si>
  <si>
    <t>LULU.O,mscalc:factsetIdCalc</t>
  </si>
  <si>
    <t>LULU</t>
  </si>
  <si>
    <t>Net Income Reported</t>
  </si>
  <si>
    <t>Balance Check</t>
  </si>
  <si>
    <t>Cash and Equivalents</t>
  </si>
  <si>
    <t>Inventories</t>
  </si>
  <si>
    <t>Net PP&amp;E</t>
  </si>
  <si>
    <t>Accounts Payable</t>
  </si>
  <si>
    <t>Accrued Liabilities</t>
  </si>
  <si>
    <t>Total Current Liabilities</t>
  </si>
  <si>
    <t>Other Liabilities</t>
  </si>
  <si>
    <t>Total Long-Term Liabilities</t>
  </si>
  <si>
    <t>Total Shareholders' Equity</t>
  </si>
  <si>
    <t>Receivables</t>
  </si>
  <si>
    <t>Total Current Assets</t>
  </si>
  <si>
    <t>Liabilities and Shareholders' Equity</t>
  </si>
  <si>
    <t>TOTAL LIABILITIES</t>
  </si>
  <si>
    <t>Avg. Retail Sales Per Store ($MM)</t>
  </si>
  <si>
    <t>1. Sales</t>
  </si>
  <si>
    <t>% Increase</t>
  </si>
  <si>
    <t>2. Cost of Goods Sold</t>
  </si>
  <si>
    <t>3. SG&amp;A Expense</t>
  </si>
  <si>
    <t>% Tax Rate</t>
  </si>
  <si>
    <t>% Net Margin</t>
  </si>
  <si>
    <t>% Chg. from LY</t>
  </si>
  <si>
    <t>% Chg. Avg. Units</t>
  </si>
  <si>
    <t>CAGR</t>
  </si>
  <si>
    <t># Stores Open BOY</t>
  </si>
  <si>
    <t># Stores Open EOY</t>
  </si>
  <si>
    <t>Avg. # Open</t>
  </si>
  <si>
    <t>Comparable-Store Sales</t>
  </si>
  <si>
    <t>Operating Profit ($MM)</t>
  </si>
  <si>
    <t>($ millions except per share data)</t>
  </si>
  <si>
    <t>Avg. Store Size (Gross Sq. Ft.)</t>
  </si>
  <si>
    <t>Ending Gross Sq. Ft. (MM)</t>
  </si>
  <si>
    <t>(a) Projected sales figures exclude Internet sales.</t>
  </si>
  <si>
    <t>% Gross Margin</t>
  </si>
  <si>
    <t>% of Sales</t>
  </si>
  <si>
    <t>% Margin</t>
  </si>
  <si>
    <t>(1)</t>
  </si>
  <si>
    <t>Total/Comp</t>
  </si>
  <si>
    <t>Non-Comp.</t>
  </si>
  <si>
    <t>Spread</t>
  </si>
  <si>
    <t>No. of Stores</t>
  </si>
  <si>
    <t>Space</t>
  </si>
  <si>
    <t>(1) - (2)</t>
  </si>
  <si>
    <t>Average</t>
  </si>
  <si>
    <t>Expansion</t>
  </si>
  <si>
    <t>Productivity (3)/(6)</t>
  </si>
  <si>
    <t>(2)</t>
  </si>
  <si>
    <t>(3)</t>
  </si>
  <si>
    <t>(4)</t>
  </si>
  <si>
    <t>(5)</t>
  </si>
  <si>
    <t>(6)</t>
  </si>
  <si>
    <t>(7)</t>
  </si>
  <si>
    <t>1st Qtr</t>
  </si>
  <si>
    <t>2nd Qtr</t>
  </si>
  <si>
    <t>3rd Qtr</t>
  </si>
  <si>
    <t>4th Qtr</t>
  </si>
  <si>
    <t>Year</t>
  </si>
  <si>
    <t>Store</t>
  </si>
  <si>
    <t xml:space="preserve">Percent </t>
  </si>
  <si>
    <t>Change</t>
  </si>
  <si>
    <t>(8)</t>
  </si>
  <si>
    <t>(10)</t>
  </si>
  <si>
    <t>Square Footage</t>
  </si>
  <si>
    <t>(11)</t>
  </si>
  <si>
    <t>(12)</t>
  </si>
  <si>
    <t>(13)</t>
  </si>
  <si>
    <t>Productivity (3)/(13)</t>
  </si>
  <si>
    <t>(14)</t>
  </si>
  <si>
    <t>(15)</t>
  </si>
  <si>
    <t>(16)</t>
  </si>
  <si>
    <t>(17)</t>
  </si>
  <si>
    <t>Per Avg.</t>
  </si>
  <si>
    <t>Square Ft.</t>
  </si>
  <si>
    <t>Square Footage Analysis</t>
  </si>
  <si>
    <t>Store Analysis</t>
  </si>
  <si>
    <t>Sales (mm, except per foot data) (a)</t>
  </si>
  <si>
    <t xml:space="preserve">Internet </t>
  </si>
  <si>
    <t>Source: Company reports and Morgan Stanley estimates.</t>
  </si>
  <si>
    <t>Apr</t>
  </si>
  <si>
    <t>Jul</t>
  </si>
  <si>
    <t>Oct</t>
  </si>
  <si>
    <t>Jan</t>
  </si>
  <si>
    <t xml:space="preserve">  Year</t>
  </si>
  <si>
    <t>NA</t>
  </si>
  <si>
    <t>For the fiscal year ending January 31 of the following year</t>
  </si>
  <si>
    <t>($ in millions except per share data)</t>
  </si>
  <si>
    <t>1. Net Sales (Year-to-Year % Increase/Comps)</t>
  </si>
  <si>
    <t>Sales</t>
  </si>
  <si>
    <t>Total</t>
  </si>
  <si>
    <t>Comp-</t>
  </si>
  <si>
    <t>Stores</t>
  </si>
  <si>
    <t>%</t>
  </si>
  <si>
    <t>Avg. Gross Sq. Ft. (MM)</t>
  </si>
  <si>
    <t>1Q</t>
  </si>
  <si>
    <t>2Q</t>
  </si>
  <si>
    <t>3Q</t>
  </si>
  <si>
    <t>4Q</t>
  </si>
  <si>
    <t>Inventory (Y-o-Y % Change vs. % Sales Growth)</t>
  </si>
  <si>
    <t>Plus: Receivables and Other Current Assets (Y-o-Y % Change vs. % Sales Growth)</t>
  </si>
  <si>
    <t>Equals: "Operating" Working Capital (Y-o-Y % Change vs. % Sales Growth)</t>
  </si>
  <si>
    <t>Year-to-Year Dollar Change in Working Capital</t>
  </si>
  <si>
    <t>($ millions)</t>
  </si>
  <si>
    <t>Cash &amp; Equivalents</t>
  </si>
  <si>
    <t>Short-Term Debt</t>
  </si>
  <si>
    <t>Long-Term Debt</t>
  </si>
  <si>
    <t>Total Debt</t>
  </si>
  <si>
    <t>Net Debt (Total Debt Less Cash)</t>
  </si>
  <si>
    <t>Shareholders' Equity</t>
  </si>
  <si>
    <t>Total Capital</t>
  </si>
  <si>
    <t>Total Debt as % of Total Capital</t>
  </si>
  <si>
    <t>Net Debt as % of Total Capital</t>
  </si>
  <si>
    <t>Source: Company reports.</t>
  </si>
  <si>
    <t>% Change</t>
  </si>
  <si>
    <t>TOTAL ASSETS</t>
  </si>
  <si>
    <t>Inventory</t>
  </si>
  <si>
    <t>Cost of</t>
  </si>
  <si>
    <t>End of</t>
  </si>
  <si>
    <t>Prior</t>
  </si>
  <si>
    <t>Following</t>
  </si>
  <si>
    <t>Goods Sold</t>
  </si>
  <si>
    <t>Quarter</t>
  </si>
  <si>
    <t>Prior Year</t>
  </si>
  <si>
    <t>Assets</t>
  </si>
  <si>
    <t>x</t>
  </si>
  <si>
    <t>TOTAL LIABILITIES AND S/H EQUITY</t>
  </si>
  <si>
    <t>Open</t>
  </si>
  <si>
    <t>Y-o-Y</t>
  </si>
  <si>
    <t>At</t>
  </si>
  <si>
    <t>at End</t>
  </si>
  <si>
    <t>per</t>
  </si>
  <si>
    <t>of Quarter</t>
  </si>
  <si>
    <t>Sq. Ft.</t>
  </si>
  <si>
    <t>vs.</t>
  </si>
  <si>
    <t>Inventory vs.</t>
  </si>
  <si>
    <t>Quarterly</t>
  </si>
  <si>
    <t>Turnover Analysis</t>
  </si>
  <si>
    <t>Average (a)</t>
  </si>
  <si>
    <t>Quarter (b)</t>
  </si>
  <si>
    <t>on Hand</t>
  </si>
  <si>
    <t>Days Inventory</t>
  </si>
  <si>
    <t>Avg. (a)</t>
  </si>
  <si>
    <t>Qtr (b)</t>
  </si>
  <si>
    <t>Follow</t>
  </si>
  <si>
    <t>Preferred Stock</t>
  </si>
  <si>
    <t>Ratio calculations:</t>
  </si>
  <si>
    <t>COGS</t>
  </si>
  <si>
    <t>SG&amp;A</t>
  </si>
  <si>
    <t>Net Income</t>
  </si>
  <si>
    <t>Deferred Taxes</t>
  </si>
  <si>
    <t>Capital Expenditures</t>
  </si>
  <si>
    <t>Dividends Paid</t>
  </si>
  <si>
    <t>TOTAL OPERATING SOURCES</t>
  </si>
  <si>
    <t>Net Working Capital</t>
  </si>
  <si>
    <t>TOTAL OPERATING USES</t>
  </si>
  <si>
    <t>INTERNAL CASH GENERATION (FUNDS NEEDED)</t>
  </si>
  <si>
    <t>TOTAL EXTERNAL SOURCES</t>
  </si>
  <si>
    <t>Beginning Cash Balance</t>
  </si>
  <si>
    <t>Increase (Decrease) in Cash</t>
  </si>
  <si>
    <t>Increase (Decrease) in</t>
  </si>
  <si>
    <t>(Increase) Decrease in</t>
  </si>
  <si>
    <t>Ending Cash Balance</t>
  </si>
  <si>
    <t>Total External Sources &amp; Cash</t>
  </si>
  <si>
    <t>Capex / Sales</t>
  </si>
  <si>
    <t>Cash Flow Per Share</t>
  </si>
  <si>
    <t>Income Statement</t>
  </si>
  <si>
    <t>Total Sales</t>
  </si>
  <si>
    <t>Cost of Goods Sold</t>
  </si>
  <si>
    <t>Gross Profit</t>
  </si>
  <si>
    <t>SG&amp;A Expense</t>
  </si>
  <si>
    <t>Operating Income</t>
  </si>
  <si>
    <t>Pretax Income</t>
  </si>
  <si>
    <t>Taxes</t>
  </si>
  <si>
    <t>Net Income from Operations</t>
  </si>
  <si>
    <t>Extraordinary Gain/Loss</t>
  </si>
  <si>
    <t>Average Diluted Shares</t>
  </si>
  <si>
    <t>Average Basic Shares</t>
  </si>
  <si>
    <t>Operating EPS</t>
  </si>
  <si>
    <t>Reported EPS</t>
  </si>
  <si>
    <t>End of Period Shares</t>
  </si>
  <si>
    <t>EBITDA</t>
  </si>
  <si>
    <t>Margin Analysis</t>
  </si>
  <si>
    <t>Gross Margin</t>
  </si>
  <si>
    <t>Expense Ratio</t>
  </si>
  <si>
    <t>Operating Margin</t>
  </si>
  <si>
    <t>Pretax Margin</t>
  </si>
  <si>
    <t>Tax Rate</t>
  </si>
  <si>
    <t>Net Margin</t>
  </si>
  <si>
    <t>EBITDA Margin</t>
  </si>
  <si>
    <t>Year-Over-Year Growth</t>
  </si>
  <si>
    <t>Comparable Store Sales</t>
  </si>
  <si>
    <t>Quarterly Results and Estimates</t>
  </si>
  <si>
    <t>Annual Data (Year-end)</t>
  </si>
  <si>
    <t>Store Count</t>
  </si>
  <si>
    <t>Total Sq Ft (millions)</t>
  </si>
  <si>
    <t>Total Sq Ft Growth</t>
  </si>
  <si>
    <t>Avg Size</t>
  </si>
  <si>
    <t>USD</t>
  </si>
  <si>
    <t>,mscalc:closePriceCurrencyCalc</t>
  </si>
  <si>
    <t>,mscalc:sedolCodeCalc</t>
  </si>
  <si>
    <t>,mscalc:targetPrice,,,,USD</t>
  </si>
  <si>
    <t>LULU.O,mscalc:targetPrice</t>
  </si>
  <si>
    <t>Inventory Turnover</t>
  </si>
  <si>
    <t>Payables / Inventory</t>
  </si>
  <si>
    <t>Debt to Total Capital</t>
  </si>
  <si>
    <t>Return on Equity</t>
  </si>
  <si>
    <t>LULU.O,mscalc:defaultCurrencyCalc</t>
  </si>
  <si>
    <t>Month</t>
  </si>
  <si>
    <t xml:space="preserve"> Feb</t>
  </si>
  <si>
    <t xml:space="preserve"> Mar</t>
  </si>
  <si>
    <t xml:space="preserve"> Apr</t>
  </si>
  <si>
    <t xml:space="preserve"> May</t>
  </si>
  <si>
    <t xml:space="preserve"> Jun</t>
  </si>
  <si>
    <t xml:space="preserve"> Jul</t>
  </si>
  <si>
    <t xml:space="preserve"> Aug</t>
  </si>
  <si>
    <t xml:space="preserve"> Sep</t>
  </si>
  <si>
    <t xml:space="preserve"> Oct</t>
  </si>
  <si>
    <t xml:space="preserve"> Nov</t>
  </si>
  <si>
    <t xml:space="preserve"> Dec</t>
  </si>
  <si>
    <t xml:space="preserve"> Jan</t>
  </si>
  <si>
    <t>Units</t>
  </si>
  <si>
    <t>Factor</t>
  </si>
  <si>
    <t xml:space="preserve"> </t>
  </si>
  <si>
    <t>Growth</t>
  </si>
  <si>
    <t>2. Cost of Goods Sold (% Gross Margin / bps Change)</t>
  </si>
  <si>
    <t>/NM)</t>
  </si>
  <si>
    <t>NM</t>
  </si>
  <si>
    <t>Other Assets</t>
  </si>
  <si>
    <t>Depreciation and Amort.</t>
  </si>
  <si>
    <t>Other</t>
  </si>
  <si>
    <t>Proceeds from Sale of Assets</t>
  </si>
  <si>
    <t>Other Investments</t>
  </si>
  <si>
    <t>Current Income Taxes Payable</t>
  </si>
  <si>
    <t>% Growth</t>
  </si>
  <si>
    <t>% Increase / (% Decrease)</t>
  </si>
  <si>
    <t>Store Sales ($MM)</t>
  </si>
  <si>
    <t>Total Sales ($MM)</t>
  </si>
  <si>
    <t>Productivity Factor</t>
  </si>
  <si>
    <t>Y/Y ∆ bps</t>
  </si>
  <si>
    <t>Comp Store Sales Increase / (Decrease)</t>
  </si>
  <si>
    <t>% of Sales (before cost savings)</t>
  </si>
  <si>
    <t>Receivables Turnover</t>
  </si>
  <si>
    <t>Payable Turnover</t>
  </si>
  <si>
    <t>Net Debt/(Cash)</t>
  </si>
  <si>
    <t>Total Capitalization</t>
  </si>
  <si>
    <t>Net Operating Assets</t>
  </si>
  <si>
    <t>Debt/Equity</t>
  </si>
  <si>
    <t>Debt/Capitalization</t>
  </si>
  <si>
    <t>Net Debt/Capitalization</t>
  </si>
  <si>
    <t>Liquidity Position</t>
  </si>
  <si>
    <t>Operating Efficiency</t>
  </si>
  <si>
    <t>Days Inventory On Hand</t>
  </si>
  <si>
    <t xml:space="preserve"> Days Payable</t>
  </si>
  <si>
    <t>Days Sales Outstanding</t>
  </si>
  <si>
    <t>Avg. Total Sales Per Store ($MM)</t>
  </si>
  <si>
    <t>Total Sales Per Avg Gross Sq Ft</t>
  </si>
  <si>
    <t>17. Operating Earnings per Share</t>
  </si>
  <si>
    <t>20. Average Shares Outstanding</t>
  </si>
  <si>
    <t>Less: Accounts Payable &amp; Accrued Expenses (Y-o-Y % Change vs. % Sales Growth)</t>
  </si>
  <si>
    <t>Less: Deferred Taxes and Other Current Liabilities (Y-o-Y % Change vs. % Sales Growth)</t>
  </si>
  <si>
    <t>Interest Exp/(Inc)</t>
  </si>
  <si>
    <t xml:space="preserve">NA </t>
  </si>
  <si>
    <t xml:space="preserve">NM </t>
  </si>
  <si>
    <t>JCP.N,mscalc:closePriceCurrencyCalc</t>
  </si>
  <si>
    <t>JCP.N,mscalc:targetPrice,,,,USD</t>
  </si>
  <si>
    <t>22</t>
  </si>
  <si>
    <t>JCP.N,mscalc:sedolCodeCalc</t>
  </si>
  <si>
    <t>JCP.N,mscalc:targetPrice</t>
  </si>
  <si>
    <t>2680303</t>
  </si>
  <si>
    <t>Floorspace</t>
  </si>
  <si>
    <t>Kohl's</t>
  </si>
  <si>
    <t xml:space="preserve">0 </t>
  </si>
  <si>
    <t>4. Pre-opening Expense  (% of Sales)</t>
  </si>
  <si>
    <t>5. Depreciation &amp; Amortization  (% of Sales)</t>
  </si>
  <si>
    <t>6. Goodwill Amortization</t>
  </si>
  <si>
    <t>7. LIFO Charge (Credit)</t>
  </si>
  <si>
    <t>8. Operating Income  (% of Sales / % Change)</t>
  </si>
  <si>
    <t>10. Non-recurring charges</t>
  </si>
  <si>
    <t>11. Pretax Income (Loss) (% Margin / % Change)</t>
  </si>
  <si>
    <t>12. Income Taxes/(Credit) (% Tax Rate / % Change)</t>
  </si>
  <si>
    <t>13. Net Earnings (% Net Margin / % Change)</t>
  </si>
  <si>
    <t>14. Extraordinary/Discontinued Items (after-tax)</t>
  </si>
  <si>
    <t>15. Net Earnings (% Net Margin / % Change)</t>
  </si>
  <si>
    <t>16. EPS Before Extraordinary/Discontinued - Fully Diluted</t>
  </si>
  <si>
    <t>17. Earnings Per Share - GAAP - Fully Diluted</t>
  </si>
  <si>
    <t>18. Average Shares Outstanding - Fully Diluted</t>
  </si>
  <si>
    <t>19. Basic Shares Outstanding</t>
  </si>
  <si>
    <t>20. Average Basic Shares Outstanding</t>
  </si>
  <si>
    <t>9. Interest Expense (Income)  (% of Sales)</t>
  </si>
  <si>
    <t>Short-term investments</t>
  </si>
  <si>
    <t>Due from underwriters</t>
  </si>
  <si>
    <t>Other (Deposits and prepaid expenses)</t>
  </si>
  <si>
    <t>Favorable leased assets</t>
  </si>
  <si>
    <t>Financing and other deferred costs</t>
  </si>
  <si>
    <t>Loans to Employees</t>
  </si>
  <si>
    <t>Accrued liabilities</t>
  </si>
  <si>
    <t>Income taxes payable</t>
  </si>
  <si>
    <t>Accounts payable, trade</t>
  </si>
  <si>
    <t>Deferred income taxes</t>
  </si>
  <si>
    <t>Short-term debt</t>
  </si>
  <si>
    <t>Current portion of long-term debt</t>
  </si>
  <si>
    <t>Retained Earnings</t>
  </si>
  <si>
    <t>Common Stock</t>
  </si>
  <si>
    <t>Capital in excess of par</t>
  </si>
  <si>
    <t>Treasury Stock at Cost</t>
  </si>
  <si>
    <t>Accumulated other</t>
  </si>
  <si>
    <t>Accretion on zero coupon converts</t>
  </si>
  <si>
    <t>Share-based compensation</t>
  </si>
  <si>
    <t>Interest on junior subordinated notes</t>
  </si>
  <si>
    <t>Gain on redemption of junior sub. notes</t>
  </si>
  <si>
    <t>Other Current Assets</t>
  </si>
  <si>
    <t>Proceeds from short-term debt</t>
  </si>
  <si>
    <t>Proceeds from collateral account</t>
  </si>
  <si>
    <t>Proceeds from real estate loan</t>
  </si>
  <si>
    <t>Proceeds from other long-term debt</t>
  </si>
  <si>
    <t>Purchase of Treasury Stock</t>
  </si>
  <si>
    <t>Proceeds from equity offering</t>
  </si>
  <si>
    <t>Net borrowings (payments) under working capital loan</t>
  </si>
  <si>
    <t>Repayment of Senior Subordinated Notes</t>
  </si>
  <si>
    <t>Repayment of Junior Subordinated Notes</t>
  </si>
  <si>
    <t>Repayment of other long-term debt</t>
  </si>
  <si>
    <t xml:space="preserve">0  </t>
  </si>
  <si>
    <t>Internet ($MM)</t>
  </si>
  <si>
    <t>+ Net New Units</t>
  </si>
  <si>
    <t xml:space="preserve">4. Pre-opening Expense  </t>
  </si>
  <si>
    <t>5. Depreciation &amp; Amortization</t>
  </si>
  <si>
    <t xml:space="preserve">9. Interest Expense </t>
  </si>
  <si>
    <t>8. Operating Income</t>
  </si>
  <si>
    <t>11. Pretax Income</t>
  </si>
  <si>
    <t>12. Income Taxes</t>
  </si>
  <si>
    <t>13. Net Earnings</t>
  </si>
  <si>
    <t>14. Extraordinary Items (after tax)</t>
  </si>
  <si>
    <t>15. Net Earnings (after extra items)</t>
  </si>
  <si>
    <t>18. Reported Earnings per Share</t>
  </si>
  <si>
    <t>Dividend Per Share</t>
  </si>
  <si>
    <t>Amt.</t>
  </si>
  <si>
    <t xml:space="preserve"> Repo ($M))</t>
  </si>
  <si>
    <t>Price per</t>
  </si>
  <si>
    <t>Shr($)</t>
  </si>
  <si>
    <t>2012 Extra Week Impact</t>
  </si>
  <si>
    <t>(incl. int.</t>
  </si>
  <si>
    <t>Ending Selling Square Feet</t>
  </si>
  <si>
    <t xml:space="preserve">NA  </t>
  </si>
  <si>
    <t>RESTATED</t>
  </si>
  <si>
    <t>LIFO Charge (Credit)</t>
  </si>
  <si>
    <t>Pre-opening Expense</t>
  </si>
  <si>
    <t xml:space="preserve">Depreciation &amp; Amortization </t>
  </si>
  <si>
    <t>Goodwill Amortization</t>
  </si>
  <si>
    <t>Other Expenses</t>
  </si>
  <si>
    <t>Non-recurring charges</t>
  </si>
  <si>
    <t>Restated</t>
  </si>
  <si>
    <t>Ex-Credit</t>
  </si>
  <si>
    <t>Operating Lease Module</t>
  </si>
  <si>
    <t>Adjustment to Income Statement</t>
  </si>
  <si>
    <t>Reverse Rent Payment</t>
  </si>
  <si>
    <t>Add Implied Depreciation Expense</t>
  </si>
  <si>
    <t>Net Increase/(Decrease) to Operating Income</t>
  </si>
  <si>
    <t>Add Estimated Interest Expense</t>
  </si>
  <si>
    <t>Net Increase/(Decrease) to Pre-tax Income</t>
  </si>
  <si>
    <t>Principal Paid</t>
  </si>
  <si>
    <t>FIXED ASSET SCHEDULE</t>
  </si>
  <si>
    <t>Beginning Carrying Value of Leased Assets</t>
  </si>
  <si>
    <t xml:space="preserve">Additions </t>
  </si>
  <si>
    <t>Current year charge</t>
  </si>
  <si>
    <t>Carying Value of Assets Held Under Operating Leases</t>
  </si>
  <si>
    <t>Ratio of carrying value to oustanding debt value for take on balance</t>
  </si>
  <si>
    <t>OPERATING LEASE DEBT SCHEDULE</t>
  </si>
  <si>
    <t>Beginning Balance of Implied Debt</t>
  </si>
  <si>
    <t>Interest</t>
  </si>
  <si>
    <t>Repayment</t>
  </si>
  <si>
    <t>Debt Issuances (Reductions)</t>
  </si>
  <si>
    <t>Ending Balance of Implied Debt</t>
  </si>
  <si>
    <t>Assets to Liabilities</t>
  </si>
  <si>
    <t>Cumulative Adjustment To Equity</t>
  </si>
  <si>
    <t>Year over Year Adjustment in Equity</t>
  </si>
  <si>
    <t>ASSUMPTIONS</t>
  </si>
  <si>
    <t>Weighted average interest rate of lease portfolio</t>
  </si>
  <si>
    <t>Interest implicit in new leases signed</t>
  </si>
  <si>
    <t>Number of Units Leased</t>
  </si>
  <si>
    <t>Growth in Leased Units</t>
  </si>
  <si>
    <t>Leased Units / Total Units in Capacity (%)</t>
  </si>
  <si>
    <t>Leased EOP Gross Sq. Ft. (000s)</t>
  </si>
  <si>
    <t>Growth in Leased Sq. Ft.</t>
  </si>
  <si>
    <t>Leased Sq. Footage / Total Sq. Footage in Capacity (%)</t>
  </si>
  <si>
    <t>Capex per Unit</t>
  </si>
  <si>
    <t>% change in capex per unit</t>
  </si>
  <si>
    <t>Capital expenditure financed through operating leases</t>
  </si>
  <si>
    <t>Marginal Tax Rate</t>
  </si>
  <si>
    <t>Current Year Operating Lease Payments</t>
  </si>
  <si>
    <t>YOY % Change in Current Year Operating Lease Expense</t>
  </si>
  <si>
    <t>Total Reported Lease Commitments</t>
  </si>
  <si>
    <t>Growth in Aggregate Lease Obligations</t>
  </si>
  <si>
    <t>Cumulative Payments After Year 5</t>
  </si>
  <si>
    <t>Implied Total Total Lease Life</t>
  </si>
  <si>
    <t>Implied Remaining Duration on Reported Lease Payements</t>
  </si>
  <si>
    <t>Lease Payment Schedule - Non Cancelable Leases Only</t>
  </si>
  <si>
    <t>Current year rental payment</t>
  </si>
  <si>
    <t>Expected payments forecast year 1</t>
  </si>
  <si>
    <t>Expected payments forecast year 2</t>
  </si>
  <si>
    <t>Expected payments forecast year 3</t>
  </si>
  <si>
    <t>Expected payments forecast year 4</t>
  </si>
  <si>
    <t>Expected payments forecast year 5</t>
  </si>
  <si>
    <t>Expected payments forecast year 6</t>
  </si>
  <si>
    <t>Expected payments forecast year 7</t>
  </si>
  <si>
    <t>Expected payments forecast year 8</t>
  </si>
  <si>
    <t>Expected payments forecast year 9</t>
  </si>
  <si>
    <t>Expected payments forecast year 10</t>
  </si>
  <si>
    <t>Expected payments forecast year 11</t>
  </si>
  <si>
    <t>Expected payments forecast year 12</t>
  </si>
  <si>
    <t>Expected payments forecast year 13</t>
  </si>
  <si>
    <t>Expected payments forecast year 14</t>
  </si>
  <si>
    <t>Expected payments forecast year 15</t>
  </si>
  <si>
    <t>Expected payments forecast year 16</t>
  </si>
  <si>
    <t>Expected payments forecast year 17</t>
  </si>
  <si>
    <t>Expected payments forecast year 18</t>
  </si>
  <si>
    <t>Expected payments forecast year 19</t>
  </si>
  <si>
    <t>Expected payments forecast year 20</t>
  </si>
  <si>
    <t>Expected payments forecast year 21</t>
  </si>
  <si>
    <t>Expected payments forecast year 22</t>
  </si>
  <si>
    <t>Expected payments forecast year 23</t>
  </si>
  <si>
    <t>Expected payments forecast year 24</t>
  </si>
  <si>
    <t>Expected payments forecast year 25</t>
  </si>
  <si>
    <t>Expected payments forecast year 26</t>
  </si>
  <si>
    <t>Expected payments forecast year 27</t>
  </si>
  <si>
    <t>Expected payments forecast year 28</t>
  </si>
  <si>
    <t>Expected payments forecast year 29</t>
  </si>
  <si>
    <t>Expected payments forecast year 30</t>
  </si>
  <si>
    <t>Rental Payments Schedule</t>
  </si>
  <si>
    <t>PV of incremental payments</t>
  </si>
  <si>
    <t>Period</t>
  </si>
  <si>
    <t>Present Value of Incremental Lease Payments</t>
  </si>
  <si>
    <t>Increase in current year lease payments versus previous years expected</t>
  </si>
  <si>
    <t>Estimated additions to leased assets in period</t>
  </si>
  <si>
    <t>Depreciation schedule</t>
  </si>
  <si>
    <t>Assumed Average Lease Life</t>
  </si>
  <si>
    <t>Fade rate for depreciation of opening balance</t>
  </si>
  <si>
    <t>Depreciation of take on book value</t>
  </si>
  <si>
    <t>Depreciation Schedule</t>
  </si>
  <si>
    <t>Currency</t>
  </si>
  <si>
    <t>Current Stock Price</t>
  </si>
  <si>
    <t>Count</t>
  </si>
  <si>
    <t>KSS.N</t>
  </si>
  <si>
    <t>Kohl's Corporate</t>
  </si>
  <si>
    <t>Kohl's Corporation</t>
  </si>
  <si>
    <t>KSS.N,mscalc:closePriceCurrencyCalc</t>
  </si>
  <si>
    <t>KSS.N,mscalc:sedolCodeCalc</t>
  </si>
  <si>
    <t>KSS.N,mscalc:targetPrice,,,,USD</t>
  </si>
  <si>
    <t>2496113</t>
  </si>
  <si>
    <t>Dividend</t>
  </si>
  <si>
    <t>Purchase of Stock</t>
  </si>
  <si>
    <t>Other - for change in SE</t>
  </si>
  <si>
    <t>Qtr</t>
  </si>
  <si>
    <t>Store Count &amp; Square Footage</t>
  </si>
  <si>
    <t>Net Stores Opened</t>
  </si>
  <si>
    <t>% chg.</t>
  </si>
  <si>
    <t>Store Openings and Closings</t>
  </si>
  <si>
    <t>GROSS SF (in 000s)</t>
  </si>
  <si>
    <t>1H</t>
  </si>
  <si>
    <t>2H</t>
  </si>
  <si>
    <t>3. Selling, General and Administrative Expense (% of Sales / % growth)</t>
  </si>
  <si>
    <t>Share Repo</t>
  </si>
  <si>
    <t>Price</t>
  </si>
  <si>
    <t>Bear</t>
  </si>
  <si>
    <t>2010A</t>
  </si>
  <si>
    <t>2011A</t>
  </si>
  <si>
    <t>Bull</t>
  </si>
  <si>
    <t>Depreciation &amp; Amortization</t>
  </si>
  <si>
    <t>Operating</t>
  </si>
  <si>
    <t>Income</t>
  </si>
  <si>
    <t>LY</t>
  </si>
  <si>
    <t>MS</t>
  </si>
  <si>
    <t>Cons</t>
  </si>
  <si>
    <t>Variance vs.</t>
  </si>
  <si>
    <t>EPS Impact</t>
  </si>
  <si>
    <t>Actual vs. MSe</t>
  </si>
  <si>
    <t>Total Operating Expense</t>
  </si>
  <si>
    <t>Cumulative</t>
  </si>
  <si>
    <t xml:space="preserve">  Operating Income</t>
  </si>
  <si>
    <t>Interest Expense</t>
  </si>
  <si>
    <t>Other Expense/(Income)</t>
  </si>
  <si>
    <t xml:space="preserve">   Pretax Income</t>
  </si>
  <si>
    <t>.</t>
  </si>
  <si>
    <t>Net Inc. From Ops</t>
  </si>
  <si>
    <t>Test</t>
  </si>
  <si>
    <t xml:space="preserve">Earnings Per Share </t>
  </si>
  <si>
    <t>Average Shares</t>
  </si>
  <si>
    <t xml:space="preserve">Gross Margin </t>
  </si>
  <si>
    <t>Other Operating</t>
  </si>
  <si>
    <t>Comp. Store Sales</t>
  </si>
  <si>
    <t>SG&amp;A  Expense</t>
  </si>
  <si>
    <t>Earnings Per Share</t>
  </si>
  <si>
    <t>Inventory Growth</t>
  </si>
  <si>
    <t xml:space="preserve">Sales Growth </t>
  </si>
  <si>
    <t>KSS</t>
  </si>
  <si>
    <t>Depreciation and Amortization</t>
  </si>
  <si>
    <t>2012 CapEx</t>
  </si>
  <si>
    <t>New Stores</t>
  </si>
  <si>
    <t>Remodels</t>
  </si>
  <si>
    <t>Note: KSS leverages on a 2% comp</t>
  </si>
  <si>
    <t>EPS</t>
  </si>
  <si>
    <t>FY Restated</t>
  </si>
  <si>
    <t>Detail</t>
  </si>
  <si>
    <t>Stores - Merchandise Margin</t>
  </si>
  <si>
    <t>E-commerce - Merchandise Margin</t>
  </si>
  <si>
    <t>E-commerce - Shipping</t>
  </si>
  <si>
    <t>Shipping Impact on Total Gross Margin (bps)</t>
  </si>
  <si>
    <t>Distribution Costs</t>
  </si>
  <si>
    <t>Distribution Costs as % of Sales</t>
  </si>
  <si>
    <t>Credit Revenues</t>
  </si>
  <si>
    <t>Advertising, net vendor allowances</t>
  </si>
  <si>
    <t>Advertising, net vendor allowances as % of Sales</t>
  </si>
  <si>
    <t>Credit Revenues as % of Sales</t>
  </si>
  <si>
    <t>BASE CASE</t>
  </si>
  <si>
    <t>2004A</t>
  </si>
  <si>
    <t>2005A</t>
  </si>
  <si>
    <t>2006A</t>
  </si>
  <si>
    <t>2007A</t>
  </si>
  <si>
    <t>2008A</t>
  </si>
  <si>
    <t>2009A</t>
  </si>
  <si>
    <t>2012A</t>
  </si>
  <si>
    <t>Interest and Other Exp/(Inc)</t>
  </si>
  <si>
    <t>BULL CASE</t>
  </si>
  <si>
    <t>Base Case Sales Comp Spread</t>
  </si>
  <si>
    <t>Bull Case Sales Comp Spread</t>
  </si>
  <si>
    <t>BEAR CASE</t>
  </si>
  <si>
    <t>Bear Case Sales Comp Spread</t>
  </si>
  <si>
    <t>INTERACTIVE</t>
  </si>
  <si>
    <t>Base</t>
  </si>
  <si>
    <t xml:space="preserve">Type "Bull / Base / Bear" here to toggle scenarios &gt;&gt; </t>
  </si>
  <si>
    <t>4Q13</t>
  </si>
  <si>
    <t>   </t>
  </si>
  <si>
    <t>Watch the Video »»»</t>
  </si>
  <si>
    <t>Why are research reports still PDFs?</t>
  </si>
  <si>
    <t>2013A</t>
  </si>
  <si>
    <t>Feb</t>
  </si>
  <si>
    <t>2018E</t>
  </si>
  <si>
    <r>
      <t xml:space="preserve">Be carbon conscious. Please consider our environment before printing this email. </t>
    </r>
    <r>
      <rPr>
        <sz val="10"/>
        <color indexed="8"/>
        <rFont val="Arial"/>
        <family val="2"/>
      </rPr>
      <t>   </t>
    </r>
  </si>
  <si>
    <t xml:space="preserve">Per Avg. </t>
  </si>
  <si>
    <t>Equity Value</t>
  </si>
  <si>
    <t>4Q14</t>
  </si>
  <si>
    <t>2014A</t>
  </si>
  <si>
    <t>2019E</t>
  </si>
  <si>
    <t>WACC</t>
  </si>
  <si>
    <t>NOPAT</t>
  </si>
  <si>
    <t>KSS.N,mscalc:sharePriceCurrent</t>
  </si>
  <si>
    <t>$AH$2</t>
  </si>
  <si>
    <t>63.95</t>
  </si>
  <si>
    <t>CapEx</t>
  </si>
  <si>
    <t>Metric</t>
  </si>
  <si>
    <t>2 Year</t>
  </si>
  <si>
    <t>3 Year</t>
  </si>
  <si>
    <t>% Capex</t>
  </si>
  <si>
    <t>2015A</t>
  </si>
  <si>
    <t>Sales / Avg Sq Ft (Including eComm)</t>
  </si>
  <si>
    <t>Sales / Avg Sq Ft (Store Only)</t>
  </si>
  <si>
    <t>Inventory Two-year</t>
  </si>
  <si>
    <t>Implied PT</t>
  </si>
  <si>
    <t>Multi-Year Stacks</t>
  </si>
  <si>
    <t>2020E</t>
  </si>
  <si>
    <t>2021E</t>
  </si>
  <si>
    <t>Operating Results Summary &amp; Financial Analysis, Fiscal 1989A-2021E</t>
  </si>
  <si>
    <t>Quarterly Operating Results and Financial Analysis, , Fiscal 1989A-2017E</t>
  </si>
  <si>
    <t>Annual Sales Model, Fiscal 1989A-2021E</t>
  </si>
  <si>
    <t>Analysis of Space Productivity, 1989A-2017E</t>
  </si>
  <si>
    <t>Annual Earnings Model, Fiscal 2004A-2021E</t>
  </si>
  <si>
    <t>Quarterly Analysis of "Operating" Working Capital, 2001A-2017A</t>
  </si>
  <si>
    <t>Quarterly Analysis of Debt and Total Capital, 2001A-2016E</t>
  </si>
  <si>
    <t>Quarterly Analysis of Inventory Turnover, 2005A-2017E</t>
  </si>
  <si>
    <t>CY</t>
  </si>
  <si>
    <t>Model</t>
  </si>
  <si>
    <t>Forecasts</t>
  </si>
  <si>
    <t>Revenue</t>
  </si>
  <si>
    <t>EBIT</t>
  </si>
  <si>
    <t>Margin</t>
  </si>
  <si>
    <t>Operating Taxes</t>
  </si>
  <si>
    <t xml:space="preserve">  NOPAT Margin</t>
  </si>
  <si>
    <t>+Depreciation &amp; Amortization</t>
  </si>
  <si>
    <t xml:space="preserve"> Increase in WC (&amp; other NOA)</t>
  </si>
  <si>
    <t>Total Reinvestment</t>
  </si>
  <si>
    <t xml:space="preserve">  Reinvest Rate</t>
  </si>
  <si>
    <t>Free Cash Flow from Operations</t>
  </si>
  <si>
    <t>Discount Factor</t>
  </si>
  <si>
    <t>NPV of Forecasted Cash Flows</t>
  </si>
  <si>
    <t>Terminal Value</t>
  </si>
  <si>
    <t>NPV of Terminal Value</t>
  </si>
  <si>
    <t>Terminal Value Growth Rate</t>
  </si>
  <si>
    <t>Risk-Free Rate</t>
  </si>
  <si>
    <t>Market Risk Premium</t>
  </si>
  <si>
    <t xml:space="preserve">Debt Balance </t>
  </si>
  <si>
    <t>Equity Beta</t>
  </si>
  <si>
    <t xml:space="preserve">Cash Balance </t>
  </si>
  <si>
    <t>Required Equity Return</t>
  </si>
  <si>
    <t>Net Debt</t>
  </si>
  <si>
    <t>Cost of Debt (Pre-tax)</t>
  </si>
  <si>
    <t xml:space="preserve">Fully Diluted Shares </t>
  </si>
  <si>
    <t>Current Share Price</t>
  </si>
  <si>
    <t>Market Capitalization</t>
  </si>
  <si>
    <t>Market Enterprise Value</t>
  </si>
  <si>
    <t>Sum of NPV Forecasted CFs</t>
  </si>
  <si>
    <t>Intrinsic Enterprise Value</t>
  </si>
  <si>
    <t>Less: Debt</t>
  </si>
  <si>
    <t>Plus: Cash</t>
  </si>
  <si>
    <t>Less: MV of Non-controlling Interest</t>
  </si>
  <si>
    <t>Plus: MV of Equity Investments</t>
  </si>
  <si>
    <t>Current Equity Value per Share</t>
  </si>
  <si>
    <t>3Q17A</t>
  </si>
  <si>
    <t>3Q16A</t>
  </si>
  <si>
    <t>3Q17E</t>
  </si>
  <si>
    <t>3QFY2018</t>
  </si>
  <si>
    <t>2022E</t>
  </si>
  <si>
    <t>Cash Flow Statement, Fiscal 1989A-2022E</t>
  </si>
  <si>
    <t>Balance Sheet, Fiscal 1989A-2022E</t>
  </si>
  <si>
    <t>11-16A</t>
  </si>
  <si>
    <t>16-22E</t>
  </si>
  <si>
    <t>Implied DCF Value</t>
  </si>
  <si>
    <t>38</t>
  </si>
  <si>
    <t>2016A</t>
  </si>
  <si>
    <t>2017A</t>
  </si>
  <si>
    <t>Cost of Debt (Post-tax @ 21%)</t>
  </si>
  <si>
    <t>MSA13041</t>
  </si>
  <si>
    <t>Research</t>
  </si>
  <si>
    <t>e = Morgan Stanley Research estimates unless otherwise noted</t>
  </si>
  <si>
    <t>Source: Morgan Stanley Research unless otherwise noted</t>
  </si>
  <si>
    <t>Stocks ratings are relative to the analyst's industry coverage universe.</t>
  </si>
  <si>
    <t>1585 Broadway</t>
  </si>
  <si>
    <t>New York, NY  10036-8293</t>
  </si>
  <si>
    <t>United States</t>
  </si>
  <si>
    <t>Tel: +1 (1)212 761 4000</t>
  </si>
  <si>
    <t>Authors: Kimberly Greenberger</t>
  </si>
  <si>
    <t>Date: 09 Apr 2018</t>
  </si>
  <si>
    <t>Ticker: KSS.N</t>
  </si>
  <si>
    <t>Stock Rating: Underweight</t>
  </si>
  <si>
    <t>Industry: Retail, Department Stores</t>
  </si>
  <si>
    <t>Industry View: Cautious</t>
  </si>
  <si>
    <t>Price as of 09 Apr 2018: 64.34</t>
  </si>
  <si>
    <t>Target Price: 41</t>
  </si>
  <si>
    <t>Analyst Certification</t>
  </si>
  <si>
    <t>Unless otherwise stated, the individuals listed on the cover page of this report are research analysts.</t>
  </si>
  <si>
    <t>Global Research Conflict Management Policy</t>
  </si>
  <si>
    <t>Important US Regulatory Disclosures on Subject Companies</t>
  </si>
  <si>
    <t>Morgan Stanley &amp; Co. LLC makes a market in the securities of Kohl's.</t>
  </si>
  <si>
    <t>STOCK RATINGS</t>
  </si>
  <si>
    <t>Global Stock Ratings Distribution</t>
  </si>
  <si>
    <t>(as of March 31, 2018)</t>
  </si>
  <si>
    <t>Coverage Universe</t>
  </si>
  <si>
    <t>Investment Banking Clients (IBC)</t>
  </si>
  <si>
    <t>Other Material Investment Services Clients (MISC)</t>
  </si>
  <si>
    <t>Stock Rating Category</t>
  </si>
  <si>
    <t>% of Total</t>
  </si>
  <si>
    <t>% of Total IBC</t>
  </si>
  <si>
    <t>% of Rating Category</t>
  </si>
  <si>
    <t>% of Total Other MISC</t>
  </si>
  <si>
    <t>Overweight/Buy</t>
  </si>
  <si>
    <t>Equal-weight/Hold</t>
  </si>
  <si>
    <t>Not-Rated/Hold</t>
  </si>
  <si>
    <t>Underweight/Sell</t>
  </si>
  <si>
    <t>Analyst Stock Ratings</t>
  </si>
  <si>
    <t>Analyst Industry Views</t>
  </si>
  <si>
    <t>Stock Price, Price Target and Rating History (See Rating Definitions)</t>
  </si>
  <si>
    <t>Important Disclosures for Morgan Stanley Smith Barney LLC Customers</t>
  </si>
  <si>
    <t>Other Important Disclosures</t>
  </si>
  <si>
    <t>Morgan Stanley Research, or any portion thereof may not be reprinted, sold or redistributed without the</t>
  </si>
  <si>
    <t>written consent of Morgan Stanley.</t>
  </si>
  <si>
    <t>The trademarks and service marks contained in Morgan Stanley Research are the property of their</t>
  </si>
  <si>
    <t>respective owners. Third-party data providers make no warranties or representations relating to the</t>
  </si>
  <si>
    <t>accuracy, completeness, or timeliness of the data they provide and shall not have liability for any</t>
  </si>
  <si>
    <t>damages relating to such data. The Global Industry Classification Standard (GICS) was developed by and</t>
  </si>
  <si>
    <t>is the exclusive property of MSCI and S&amp;P.</t>
  </si>
  <si>
    <t>As required by the Capital Markets Board of Turkey, investment information, comments and recommendations</t>
  </si>
  <si>
    <t>stated here, are not within the scope of investment advisory activity. Investment advisory service is</t>
  </si>
  <si>
    <t>provided exclusively to persons based on their risk and income preferences by the authorized firms.</t>
  </si>
  <si>
    <t>Comments and recommendations stated here are general in nature. These opinions may not fit to your</t>
  </si>
  <si>
    <t>financial status, risk and return preferences. For this reason, to make an investment decision by</t>
  </si>
  <si>
    <t>relying solely to this information stated here may not bring about outcomes that fit your expectations.</t>
  </si>
  <si>
    <t>The information in Morgan Stanley Research is being communicated by Morgan Stanley &amp; Co. International</t>
  </si>
  <si>
    <t>plc (QFC Branch), regulated by the Qatar Financial Centre Regulatory Authority (the QFCRA), and is</t>
  </si>
  <si>
    <t>directed at business customers and market counterparties only and is not intended for Retail Customers</t>
  </si>
  <si>
    <t>as defined by the QFCRA.</t>
  </si>
  <si>
    <t>plc (DIFC Branch), regulated by the Dubai Financial Services Authority (the DFSA), and is directed at</t>
  </si>
  <si>
    <t>Professional Clients only, as defined by the DFSA. The financial products or financial services to which</t>
  </si>
  <si>
    <t>this research relates will only be made available to a customer who we are satisfied meets the</t>
  </si>
  <si>
    <t>regulatory criteria to be a Professional Client.</t>
  </si>
  <si>
    <t>Morgan Stanley Research is disseminated in Brazil by Morgan Stanley C.T.V.M. S.A.; in Mexico by Morgan</t>
  </si>
  <si>
    <t>Stanley México, Casa de Bolsa, S.A. de C.V which is regulated by Comision Nacional Bancaria y de</t>
  </si>
  <si>
    <t>Valores. Paseo de los Tamarindos 90, Torre 1, Col. Bosques de las Lomas Floor 29, 05120 Mexico City; in</t>
  </si>
  <si>
    <t>Japan by Morgan Stanley MUFG Securities Co., Ltd. and, for Commodities related research reports only,</t>
  </si>
  <si>
    <t>Morgan Stanley Capital Group Japan Co., Ltd; in Hong Kong by Morgan Stanley Asia Limited (which accepts</t>
  </si>
  <si>
    <t>responsibility for its contents) and by Morgan Stanley Asia International Limited, Hong Kong Branch; in</t>
  </si>
  <si>
    <t>Singapore by Morgan Stanley Asia (Singapore) Pte. (Registration number 199206298Z) and/or Morgan Stanley</t>
  </si>
  <si>
    <t>Asia (Singapore) Securities Pte Ltd (Registration number 200008434H), regulated by the Monetary</t>
  </si>
  <si>
    <t>Authority of Singapore (which accepts legal responsibility for its contents and should be contacted with</t>
  </si>
  <si>
    <t>respect to any matters arising from, or in connection with, Morgan Stanley Research) and by Morgan</t>
  </si>
  <si>
    <t>Stanley Asia International Limited, Singapore Branch (Registration number T11FC0207F); in Australia to</t>
  </si>
  <si>
    <t>"wholesale clients" within the meaning of the Australian Corporations Act by Morgan Stanley Australia</t>
  </si>
  <si>
    <t>Limited A.B.N. 67 003 734 576, holder of Australian financial services license No. 233742, which accepts</t>
  </si>
  <si>
    <t>responsibility for its contents; in Australia to "wholesale clients" and "retail clients" within the</t>
  </si>
  <si>
    <t>meaning of the Australian Corporations Act by Morgan Stanley Wealth Management Australia Pty Ltd (A.B.N.</t>
  </si>
  <si>
    <t>19 009 145 555, holder of Australian financial services license No. 240813, which accepts responsibility</t>
  </si>
  <si>
    <t>for its contents; in Korea by Morgan Stanley &amp; Co International plc, Seoul Branch; in India by Morgan</t>
  </si>
  <si>
    <t>Stanley India Company Private Limited; in Indonesia by PT. Morgan Stanley Sekuritas Indonesia; in Canada</t>
  </si>
  <si>
    <t>by Morgan Stanley Canada Limited, which has approved of and takes responsibility for its contents in</t>
  </si>
  <si>
    <t>Canada; in Germany by Morgan Stanley Bank AG, Frankfurt am Main and Morgan Stanley Private Wealth</t>
  </si>
  <si>
    <t>Management Limited, Niederlassung Deutschland, regulated by Bundesanstalt fuer</t>
  </si>
  <si>
    <t>Finanzdienstleistungsaufsicht (BaFin); in Spain by Morgan Stanley, S.V., S.A., a Morgan Stanley group</t>
  </si>
  <si>
    <t>company, which is supervised by the Spanish Securities Markets Commission (CNMV) and states that Morgan</t>
  </si>
  <si>
    <t>Stanley Research has been written and distributed in accordance with the rules of conduct applicable to</t>
  </si>
  <si>
    <t>financial research as established under Spanish regulations; in the US by Morgan Stanley &amp; Co. LLC,</t>
  </si>
  <si>
    <t>which accepts responsibility for its contents. Morgan Stanley &amp; Co. International plc, authorized by the</t>
  </si>
  <si>
    <t>Prudential Regulatory Authority and regulated by the Financial Conduct Authority and the Prudential</t>
  </si>
  <si>
    <t>Regulatory Authority, disseminates in the UK research that it has prepared, and approves solely for the</t>
  </si>
  <si>
    <t>purposes of section 21 of the Financial Services and Markets Act 2000, research which has been prepared</t>
  </si>
  <si>
    <t>by any of its affiliates. RMB Morgan Stanley Proprietary Limited is a member of the JSE Limited and</t>
  </si>
  <si>
    <t>regulated by the Financial Services Board in South Africa. RMB Morgan Stanley Proprietary Limited is a</t>
  </si>
  <si>
    <t>joint venture owned equally by Morgan Stanley International Holdings Inc. and RMB Investment Advisory</t>
  </si>
  <si>
    <t>(Proprietary) Limited, which is wholly owned by FirstRand Limited. The information in Morgan Stanley</t>
  </si>
  <si>
    <t>Research is being disseminated by Morgan Stanley Saudi Arabia, regulated by the Capital Market Authority</t>
  </si>
  <si>
    <t>in the Kingdom of Saudi Arabia , and is directed at Sophisticated investors only.</t>
  </si>
  <si>
    <t>Morgan Stanley is not incorporated under PRC law and the research in relation to this report is</t>
  </si>
  <si>
    <t>conducted outside the PRC. Morgan Stanley Research does not constitute an offer to sell or the</t>
  </si>
  <si>
    <t>solicitation of an offer to buy any securities in the PRC. PRC investors shall have the relevant</t>
  </si>
  <si>
    <t>qualifications to invest in such securities and shall be responsible for obtaining all relevant</t>
  </si>
  <si>
    <t>approvals, licenses, verifications and/or registrations from the relevant governmental authorities</t>
  </si>
  <si>
    <t>themselves. Neither this report nor any part of it is intended as, or shall constitute, provision of any</t>
  </si>
  <si>
    <t>consultancy or advisory service of securities investment as defined under PRC law. Such information is</t>
  </si>
  <si>
    <t>provided for your reference only.</t>
  </si>
  <si>
    <t>To our readers based in Taiwan or trading in Taiwan securities/instruments: Information on</t>
  </si>
  <si>
    <t>securities/instruments that trade in Taiwan is distributed by Morgan Stanley Taiwan Limited ("MSTL").</t>
  </si>
  <si>
    <t>Such information is for your reference only. The reader should independently evaluate the investment</t>
  </si>
  <si>
    <t>risks and is solely responsible for their investment decisions. Morgan Stanley Research may not be</t>
  </si>
  <si>
    <t>distributed to the public media or quoted or used by the public media without the express written</t>
  </si>
  <si>
    <t>consent of Morgan Stanley. Any non-customer reader within the scope of Article 7-1 of the Taiwan Stock</t>
  </si>
  <si>
    <t>Exchange Recommendation Regulations accessing and/or receiving Morgan Stanley Research is not permitted</t>
  </si>
  <si>
    <t>to provide Morgan Stanley Research to any third party (including but not limited to related parties,</t>
  </si>
  <si>
    <t>affiliated companies and any other third parties) or engage in any activities regarding Morgan Stanley</t>
  </si>
  <si>
    <t>Research which may create or give the appearance of creating a conflict of interest. Information on</t>
  </si>
  <si>
    <t>securities/instruments that do not trade in Taiwan is for informational purposes only and is not to be</t>
  </si>
  <si>
    <t>construed as a recommendation or a solicitation to trade in such securities/instruments. MSTL may not</t>
  </si>
  <si>
    <t>execute transactions for clients in these securities/instruments.</t>
  </si>
  <si>
    <t>Morgan Stanley may make investment decisions that are inconsistent with the recommendations or views in</t>
  </si>
  <si>
    <t>this report.</t>
  </si>
  <si>
    <t>Morgan Stanley Research personnel may participate in company events such as site visits and are</t>
  </si>
  <si>
    <t>generally prohibited from accepting payment by the company of associated expenses unless pre-approved by</t>
  </si>
  <si>
    <t>authorized members of Research management.</t>
  </si>
  <si>
    <t>With the exception of information regarding Morgan Stanley, Morgan Stanley Research is based on public</t>
  </si>
  <si>
    <t>information. Morgan Stanley makes every effort to use reliable, comprehensive information, but we make</t>
  </si>
  <si>
    <t>no representation that it is accurate or complete. We have no obligation to tell you when opinions or</t>
  </si>
  <si>
    <t>information in Morgan Stanley Research change apart from when we intend to discontinue equity research</t>
  </si>
  <si>
    <t>coverage of a subject company. Facts and views presented in Morgan Stanley Research have not been</t>
  </si>
  <si>
    <t>reviewed by, and may not reflect information known to, professionals in other Morgan Stanley business</t>
  </si>
  <si>
    <t>areas, including investment banking personnel.</t>
  </si>
  <si>
    <t>The "Important US Regulatory Disclosures on Subject Companies" section in Morgan Stanley Research lists</t>
  </si>
  <si>
    <t>all companies mentioned where Morgan Stanley owns 1% or more of a class of common equity securities of</t>
  </si>
  <si>
    <t>the companies. For all other companies mentioned in Morgan Stanley Research, Morgan Stanley may have an</t>
  </si>
  <si>
    <t>investment of less than 1% in securities/instruments or derivatives of securities/instruments of</t>
  </si>
  <si>
    <t>companies and may trade them in ways different from those discussed in Morgan Stanley Research.</t>
  </si>
  <si>
    <t>Employees of Morgan Stanley not involved in the preparation of Morgan Stanley Research may have</t>
  </si>
  <si>
    <t>investments in securities/instruments or derivatives of securities/instruments of companies mentioned</t>
  </si>
  <si>
    <t>and may trade them in ways different from those discussed in Morgan Stanley Research. Derivatives may be</t>
  </si>
  <si>
    <t>issued by Morgan Stanley or associated persons.</t>
  </si>
  <si>
    <t>The fixed income research analysts, strategists or economists principally responsible for the</t>
  </si>
  <si>
    <t>preparation of Morgan Stanley Research have received compensation based upon various factors, including</t>
  </si>
  <si>
    <t>quality, accuracy and value of research, firm profitability or revenues (which include fixed income</t>
  </si>
  <si>
    <t>trading and capital markets profitability or revenues), client feedback and competitive factors. Fixed</t>
  </si>
  <si>
    <t>Income Research analysts', strategists' or economists' compensation is not linked to investment banking</t>
  </si>
  <si>
    <t>or capital markets transactions performed by Morgan Stanley or the profitability or revenues of</t>
  </si>
  <si>
    <t>particular trading desks.</t>
  </si>
  <si>
    <t>Morgan Stanley Research does not provide individually tailored investment advice. Morgan Stanley</t>
  </si>
  <si>
    <t>Research has been prepared without regard to the circumstances and objectives of those who receive it.</t>
  </si>
  <si>
    <t>Morgan Stanley recommends that investors independently evaluate particular investments and strategies,</t>
  </si>
  <si>
    <t>and encourages investors to seek the advice of a financial adviser. The appropriateness of an investment</t>
  </si>
  <si>
    <t>or strategy will depend on an investor's circumstances and objectives. The securities, instruments, or</t>
  </si>
  <si>
    <t>strategies discussed in Morgan Stanley Research may not be suitable for all investors, and certain</t>
  </si>
  <si>
    <t>investors may not be eligible to purchase or participate in some or all of them. Morgan Stanley Research</t>
  </si>
  <si>
    <t>is not an offer to buy or sell or the solicitation of an offer to buy or sell any security/instrument or</t>
  </si>
  <si>
    <t>to participate in any particular trading strategy. The value of and income from your investments may</t>
  </si>
  <si>
    <t>vary because of changes in interest rates, foreign exchange rates, default rates, prepayment rates,</t>
  </si>
  <si>
    <t>securities/instruments prices, market indexes, operational or financial conditions of companies or other</t>
  </si>
  <si>
    <t>factors. There may be time limitations on the exercise of options or other rights in</t>
  </si>
  <si>
    <t>securities/instruments transactions. Past performance is not necessarily a guide to future performance.</t>
  </si>
  <si>
    <t>Estimates of future performance are based on assumptions that may not be realized. If provided, and</t>
  </si>
  <si>
    <t>unless otherwise stated, the closing price on the cover page is that of the primary exchange for the</t>
  </si>
  <si>
    <t>subject company's securities/instruments.</t>
  </si>
  <si>
    <t>If you do not agree to our Terms of Use and/or if you do not wish to provide your consent to Morgan</t>
  </si>
  <si>
    <t>Stanley processing your personal data or using cookies please do not access our research.</t>
  </si>
  <si>
    <t>Any access and/or use of Morgan Stanley Research is subject to Morgan Stanley's Terms of Use</t>
  </si>
  <si>
    <t>(http://www.morganstanley.com/terms.html). By accessing and/or using Morgan Stanley Research, you are</t>
  </si>
  <si>
    <t>indicating that you have read and agree to be bound by our Terms of Use</t>
  </si>
  <si>
    <t>(http://www.morganstanley.com/terms.html). In addition you consent to Morgan Stanley processing your</t>
  </si>
  <si>
    <t>personal data and using cookies in accordance with our Privacy Policy and our Global Cookies Policy</t>
  </si>
  <si>
    <t>(http://www.morganstanley.com/privacy_pledge.html), including for the purposes of setting your</t>
  </si>
  <si>
    <t>preferences and to collect readership data so that we can deliver better and more personalized service</t>
  </si>
  <si>
    <t>and products to you. To find out more information about how Morgan Stanley processes personal data, how</t>
  </si>
  <si>
    <t>we use cookies and how to reject cookies see our Privacy Policy and our Global Cookies Policy</t>
  </si>
  <si>
    <t>(http://www.morganstanley.com/privacy_pledge.html).</t>
  </si>
  <si>
    <t>Morgan Stanley Research is provided to our clients through our proprietary research portal on Matrix and</t>
  </si>
  <si>
    <t>also distributed electronically by Morgan Stanley to clients. Certain, but not all, Morgan Stanley</t>
  </si>
  <si>
    <t>Research products are also made available to clients through third-party vendors or redistributed to</t>
  </si>
  <si>
    <t>clients through alternate electronic means as a convenience. For access to all available Morgan Stanley</t>
  </si>
  <si>
    <t>Research, please contact your sales representative or go to Matrix at</t>
  </si>
  <si>
    <t>http://www.morganstanley.com/matrix.</t>
  </si>
  <si>
    <t>Morgan Stanley produces an equity research product called a "Tactical Idea." Views contained in a</t>
  </si>
  <si>
    <t>"Tactical Idea" on a particular stock may be contrary to the recommendations or views expressed in</t>
  </si>
  <si>
    <t>research on the same stock. This may be the result of differing time horizons, methodologies, market</t>
  </si>
  <si>
    <t>events, or other factors. For all research available on a particular stock, please contact your sales</t>
  </si>
  <si>
    <t>representative or go to Matrix at http://www.morganstanley.com/matrix.</t>
  </si>
  <si>
    <t>Morgan Stanley is not acting as a municipal advisor and the opinions or views contained herein are not</t>
  </si>
  <si>
    <t>intended to be, and do not constitute, advice within the meaning of Section 975 of the Dodd-Frank Wall</t>
  </si>
  <si>
    <t>Street Reform and Consumer Protection Act.</t>
  </si>
  <si>
    <t>Morgan Stanley Research policy is to update research reports as and when the Research Analyst and</t>
  </si>
  <si>
    <t>Research Management deem appropriate, based on developments with the issuer, the sector, or the market</t>
  </si>
  <si>
    <t>that may have a material impact on the research views or opinions stated therein. In addition, certain</t>
  </si>
  <si>
    <t>Research publications are intended to be updated on a regular periodic basis</t>
  </si>
  <si>
    <t>(weekly/monthly/quarterly/annual) and will ordinarily be updated with that frequency, unless the</t>
  </si>
  <si>
    <t>Research Analyst and Research Management determine that a different publication schedule is appropriate</t>
  </si>
  <si>
    <t>based on current conditions.</t>
  </si>
  <si>
    <t>Morgan Stanley &amp; Co. International PLC and its affiliates have a significant financial interest in the</t>
  </si>
  <si>
    <t>debt securities of Kohl's.</t>
  </si>
  <si>
    <t>Each Morgan Stanley Equity Research report is reviewed and approved on behalf of Morgan Stanley Smith</t>
  </si>
  <si>
    <t>Barney LLC. This review and approval is conducted by the same person who reviews the Equity Research</t>
  </si>
  <si>
    <t>report on behalf of Morgan Stanley. This could create a conflict of interest.</t>
  </si>
  <si>
    <t>Important disclosures regarding the relationship between the companies that are the subject of Morgan</t>
  </si>
  <si>
    <t>Stanley Research and Morgan Stanley Smith Barney LLC or Morgan Stanley or any of their affiliates, are</t>
  </si>
  <si>
    <t>available on the Morgan Stanley Wealth Management disclosure website at</t>
  </si>
  <si>
    <t>www.morganstanley.com/online/researchdisclosures. For Morgan Stanley specific disclosures, you may refer</t>
  </si>
  <si>
    <t>to www.morganstanley.com/researchdisclosures.</t>
  </si>
  <si>
    <t>Benchmarks for each region are as follows: North America - S&amp;P 500; Latin America - relevant MSCI</t>
  </si>
  <si>
    <t>country index or MSCI Latin America Index; Europe - MSCI Europe; Japan - TOPIX; Asia - relevant MSCI</t>
  </si>
  <si>
    <t>country index or MSCI sub-regional index or MSCI AC Asia Pacific ex Japan Index.</t>
  </si>
  <si>
    <t>Cautious (C): The analyst views the performance of his or her industry coverage universe over the next</t>
  </si>
  <si>
    <t>12-18 months with caution vs. the relevant broad market benchmark, as indicated below.</t>
  </si>
  <si>
    <t>In-Line (I): The analyst expects the performance of his or her industry coverage universe over the next</t>
  </si>
  <si>
    <t>12-18 months to be in line with the relevant broad market benchmark, as indicated below.</t>
  </si>
  <si>
    <t>Attractive (A): The analyst expects the performance of his or her industry coverage universe over the</t>
  </si>
  <si>
    <t>next 12-18 months to be attractive vs. the relevant broad market benchmark, as indicated below.</t>
  </si>
  <si>
    <t>Unless otherwise specified, the time frame for price targets included in Morgan Stanley Research is 12</t>
  </si>
  <si>
    <t>to 18 months.</t>
  </si>
  <si>
    <t>Underweight (U). The stock's total return is expected to be below the average total return of the</t>
  </si>
  <si>
    <t>analyst's industry (or industry team's) coverage universe, on a risk-adjusted basis, over the next 12-18</t>
  </si>
  <si>
    <t>months.</t>
  </si>
  <si>
    <t>Not-Rated (NR). Currently the analyst does not have adequate conviction about the stock's total return</t>
  </si>
  <si>
    <t>relative to the average total return of the analyst's industry (or industry team's) coverage universe,</t>
  </si>
  <si>
    <t>on a risk-adjusted basis, over the next 12-18 months.</t>
  </si>
  <si>
    <t>Equal-weight (E). The stock's total return is expected to be in line with the average total return of</t>
  </si>
  <si>
    <t>the analyst's industry (or industry team's) coverage universe, on a risk-adjusted basis, over the next</t>
  </si>
  <si>
    <t>12-18 months.</t>
  </si>
  <si>
    <t>Overweight (O). The stock's total return is expected to exceed the average total return of the analyst's</t>
  </si>
  <si>
    <t>industry (or industry team's) coverage universe, on a risk-adjusted basis, over the next 12-18 months.</t>
  </si>
  <si>
    <t>Data include common stock and ADRs currently assigned ratings. Investment Banking Clients are companies</t>
  </si>
  <si>
    <t>from whom Morgan Stanley received investment banking compensation in the last 12 months. Due to rounding</t>
  </si>
  <si>
    <t>off of decimals, the percentages provided in the "% of total" column may not add up to exactly 100</t>
  </si>
  <si>
    <t>percent.</t>
  </si>
  <si>
    <t>For disclosure purposes only (in accordance with NASD and NYSE requirements), we include the category</t>
  </si>
  <si>
    <t>headings of Buy, Hold, and Sell alongside our ratings of Overweight, Equal-weight, Not-Rated and</t>
  </si>
  <si>
    <t>Underweight. Morgan Stanley does not assign ratings of Buy, Hold or Sell to the stocks we cover.</t>
  </si>
  <si>
    <t>Overweight, Equal-weight, Not-Rated and Underweight are not the equivalent of buy, hold, and sell but</t>
  </si>
  <si>
    <t>represent recommended relative weightings (see definitions below). To satisfy regulatory requirements,</t>
  </si>
  <si>
    <t>we correspond Overweight, our most positive stock rating, with a buy recommendation; we correspond</t>
  </si>
  <si>
    <t>Equal-weight and Not-Rated to hold and Underweight to sell recommendations, respectively.</t>
  </si>
  <si>
    <t>The Stock Ratings described below apply to Morgan Stanley's Fundamental Equity Research and do not apply</t>
  </si>
  <si>
    <t>to Debt Research produced by the Firm.</t>
  </si>
  <si>
    <t>Morgan Stanley uses a relative rating system using terms such as Overweight, Equal-weight, Not-Rated or</t>
  </si>
  <si>
    <t>Underweight (see definitions below). Morgan Stanley does not assign ratings of Buy, Hold or Sell to the</t>
  </si>
  <si>
    <t>stocks we cover. Overweight, Equal-weight, Not-Rated and Underweight are not the equivalent of buy, hold</t>
  </si>
  <si>
    <t>and sell. Investors should carefully read the definitions of all ratings used in Morgan Stanley</t>
  </si>
  <si>
    <t>Research. In addition, since Morgan Stanley Research contains more complete information concerning the</t>
  </si>
  <si>
    <t>analyst's views, investors should carefully read Morgan Stanley Research, in its entirety, and not infer</t>
  </si>
  <si>
    <t>the contents from the rating alone. In any case, ratings (or research) should not be used or relied upon</t>
  </si>
  <si>
    <t>as investment advice. An investor's decision to buy or sell a stock should depend on individual</t>
  </si>
  <si>
    <t>circumstances (such as the investor's existing holdings) and other considerations.</t>
  </si>
  <si>
    <t>Certain disclosures listed above are also for compliance with applicable regulations in non-US</t>
  </si>
  <si>
    <t>jurisdictions.</t>
  </si>
  <si>
    <t>Morgan Stanley and its affiliates do business that relates to companies/instruments covered in Morgan</t>
  </si>
  <si>
    <t>Stanley Research, including market making, providing liquidity, fund management, commercial banking,</t>
  </si>
  <si>
    <t>extension of credit, investment services and investment banking. Morgan Stanley sells to and buys from</t>
  </si>
  <si>
    <t>customers the securities/instruments of companies covered in Morgan Stanley Research on a principal</t>
  </si>
  <si>
    <t>basis. Morgan Stanley may have a position in the debt of the Company or instruments discussed in this</t>
  </si>
  <si>
    <t>report. Morgan Stanley trades or may trade as principal in the debt securities (or in related</t>
  </si>
  <si>
    <t>derivatives) that are the subject of the debt research report.</t>
  </si>
  <si>
    <t>The equity research analysts or strategists principally responsible for the preparation of Morgan</t>
  </si>
  <si>
    <t>Stanley Research have received compensation based upon various factors, including quality of research,</t>
  </si>
  <si>
    <t>investor client feedback, stock picking, competitive factors, firm revenues and overall investment</t>
  </si>
  <si>
    <t>banking revenues. Equity Research analysts' or strategists' compensation is not linked to investment</t>
  </si>
  <si>
    <t>banking or capital markets transactions performed by Morgan Stanley or the profitability or revenues of</t>
  </si>
  <si>
    <t>Within the last 12 months, Morgan Stanley has either provided or is providing non-investment banking,</t>
  </si>
  <si>
    <t>securities-related services to and/or in the past has entered into an agreement to provide services or</t>
  </si>
  <si>
    <t>has a client relationship with the following company: Kohl's.</t>
  </si>
  <si>
    <t>Within the last 12 months, Morgan Stanley has provided or is providing investment banking services to,</t>
  </si>
  <si>
    <t>or has an investment banking client relationship with, the following company: Kohl's.</t>
  </si>
  <si>
    <t>Within the last 12 months, Morgan Stanley has received compensation for products and services other than</t>
  </si>
  <si>
    <t>investment banking services from Kohl's.</t>
  </si>
  <si>
    <t>In the next 3 months, Morgan Stanley expects to receive or intends to seek compensation for investment</t>
  </si>
  <si>
    <t>banking services from Kohl's.</t>
  </si>
  <si>
    <t>As of March 29, 2018, Morgan Stanley beneficially owned 1% or more of a class of common equity</t>
  </si>
  <si>
    <t>securities of the following companies covered in Morgan Stanley Research: Kohl's.</t>
  </si>
  <si>
    <t>Morgan Stanley Research has been published in accordance with our conflict management policy, which is</t>
  </si>
  <si>
    <t>available at www.morganstanley.com/institutional/research/conflictpolicies.</t>
  </si>
  <si>
    <t>The following analysts hereby certify that their views about the companies and their securities</t>
  </si>
  <si>
    <t>discussed in this report are accurately expressed and that they have not received and will not receive</t>
  </si>
  <si>
    <t>direct or indirect compensation in exchange for expressing specific recommendations or views in this</t>
  </si>
  <si>
    <t>report: Kimberly C Greenberger.</t>
  </si>
  <si>
    <t>For valuation methodology and risks associated with any recommendation, rating or price target</t>
  </si>
  <si>
    <t>referenced in this research report, please contact the Client Support Team as follows: US/Canada +1 800</t>
  </si>
  <si>
    <t>303-2495; Hong Kong +852 2848-5999; Latin America +1 718 754-5444 (U.S.); London +44 (0)20-7425-8169;</t>
  </si>
  <si>
    <t>Singapore +65 6834-6860; Sydney +61 (0)2-9770-1505; Tokyo +81 (0)3-6836-9000. Alternatively you may</t>
  </si>
  <si>
    <t>contact your investment representative or Morgan Stanley Research at 1585 Broadway, (Attention: Research</t>
  </si>
  <si>
    <t>Management), New York, NY 10036 USA.</t>
  </si>
  <si>
    <t>For important disclosures, stock price charts and equity rating histories regarding companies that are</t>
  </si>
  <si>
    <t>the subject of this report, please see the Morgan Stanley Research Disclosure Website at</t>
  </si>
  <si>
    <t>www.morganstanley.com/researchdisclosures, or contact your investment representative or Morgan Stanley</t>
  </si>
  <si>
    <t>Research at 1585 Broadway, (Attention: Research Management), New York, NY, 10036 USA.</t>
  </si>
  <si>
    <t>The information and opinions in Morgan Stanley Research were prepared by Morgan Stanley &amp; Co. LLC,</t>
  </si>
  <si>
    <t>and/or Morgan Stanley C.T.V.M. S.A., and/or Morgan Stanley Mexico, Casa de Bolsa, S.A. de C.V., and/or</t>
  </si>
  <si>
    <t>Morgan Stanley Canada Limited. As used in this disclosure section, "Morgan Stanley" includes Morgan</t>
  </si>
  <si>
    <t>Stanley &amp; Co. LLC, Morgan Stanley C.T.V.M. S.A., Morgan Stanley Mexico, Casa de Bolsa, S.A. de C.V.,</t>
  </si>
  <si>
    <t>Morgan Stanley Canada Limited and their affiliates as necessary.</t>
  </si>
  <si>
    <t>Morgan Stanley does and seeks to do business with companies covered in Morgan Stanley Research. As a</t>
  </si>
  <si>
    <t>result, investors should be aware that the firm may have a conflict of interest that could affect the</t>
  </si>
  <si>
    <t>objectivity of Morgan Stanley Research. Investors should consider Morgan Stanley Research as only a</t>
  </si>
  <si>
    <t>single factor in making their investment decision.</t>
  </si>
  <si>
    <t>© Copyright 2018 Morgan Stanley</t>
  </si>
  <si>
    <t>MacroVersion</t>
  </si>
  <si>
    <t>PublishDate</t>
  </si>
  <si>
    <t>Discipline</t>
  </si>
  <si>
    <t>ResearchTopic</t>
  </si>
  <si>
    <t>Company</t>
  </si>
  <si>
    <t>DocType</t>
  </si>
  <si>
    <t>SubjectCode</t>
  </si>
  <si>
    <t>Description</t>
  </si>
  <si>
    <t>KeepVersions</t>
  </si>
  <si>
    <t>All</t>
  </si>
  <si>
    <t>Rating</t>
  </si>
  <si>
    <t>CurrYearTotalRevenue*</t>
  </si>
  <si>
    <t>CurrYearEPS*</t>
  </si>
  <si>
    <t>NextYearTotalRevenue*</t>
  </si>
  <si>
    <t>NextYearEPS*</t>
  </si>
  <si>
    <t>FollowingYearTotalRevenue*</t>
  </si>
  <si>
    <t>FollowingYearEPS*</t>
  </si>
  <si>
    <t>5YearGrowthRate</t>
  </si>
  <si>
    <t>UpdateReason</t>
  </si>
  <si>
    <t>Authors</t>
  </si>
  <si>
    <t>Tickers</t>
  </si>
  <si>
    <t>CUSIP</t>
  </si>
  <si>
    <t>RIC</t>
  </si>
  <si>
    <t>SEDOL</t>
  </si>
  <si>
    <t>PathName</t>
  </si>
  <si>
    <t>Distribution</t>
  </si>
  <si>
    <t>Deleted</t>
  </si>
  <si>
    <t>NO</t>
  </si>
  <si>
    <t>EmailAlert</t>
  </si>
  <si>
    <t>YES</t>
  </si>
  <si>
    <t>CurrQtrEPS</t>
  </si>
  <si>
    <t>CYEnd</t>
  </si>
  <si>
    <t>CQEnd</t>
  </si>
  <si>
    <t>CurrYearTotalRevenueActual*</t>
  </si>
  <si>
    <t>NextYearTotalRevenueActual*</t>
  </si>
  <si>
    <t>FollowingYearTotalRevenueActual*</t>
  </si>
  <si>
    <t>Multiplier</t>
  </si>
  <si>
    <t>TemplateRegion</t>
  </si>
  <si>
    <t>ObjectType</t>
  </si>
  <si>
    <t>excel</t>
  </si>
  <si>
    <t>LanguageCode</t>
  </si>
  <si>
    <t>en-US</t>
  </si>
  <si>
    <t>SubmitterUserId</t>
  </si>
  <si>
    <t>IndustryId</t>
  </si>
  <si>
    <t>TickerRegion</t>
  </si>
  <si>
    <t>AdditionalInstructions</t>
  </si>
  <si>
    <t>*Estimated</t>
  </si>
  <si>
    <t>Underweight / Cautious</t>
  </si>
  <si>
    <t>Regular Update</t>
  </si>
  <si>
    <t>NorthAmerica</t>
  </si>
  <si>
    <t>edouardd</t>
  </si>
  <si>
    <t>L:\RETAIL\Greenberger\Companies\KSS\Model\KSS_Model.xlsm</t>
  </si>
  <si>
    <t>Please contact edouard.de.courreges@ms.com with any questions/concerns. Updated in accordance with the 10-K release. Thank you, Ed</t>
  </si>
  <si>
    <t>[BRO MSA]</t>
  </si>
  <si>
    <t>[PRODUCT MODEL]</t>
  </si>
  <si>
    <t>[EMAIL_ALERT YES]</t>
  </si>
  <si>
    <t>[DISCIPLINE Company]</t>
  </si>
  <si>
    <t>[SUPPRESSED NO]</t>
  </si>
  <si>
    <t>[DOCDAT 2018-04-09]</t>
  </si>
  <si>
    <t>[DOCTIME 12:11]</t>
  </si>
  <si>
    <t>[PSYM KSS.N(S&amp;P) (None)]</t>
  </si>
  <si>
    <t>[COU 1]</t>
  </si>
  <si>
    <t>[ANA ]</t>
  </si>
  <si>
    <t>[HL KSS.N Model]</t>
  </si>
  <si>
    <t>[IND RETSPC]</t>
  </si>
  <si>
    <t>[PANA MSA13041]</t>
  </si>
</sst>
</file>

<file path=xl/styles.xml><?xml version="1.0" encoding="utf-8"?>
<styleSheet xmlns="http://schemas.openxmlformats.org/spreadsheetml/2006/main" xmlns:mc="http://schemas.openxmlformats.org/markup-compatibility/2006" xmlns:x14ac="http://schemas.microsoft.com/office/spreadsheetml/2009/9/ac" mc:Ignorable="x14ac">
  <numFmts count="74">
    <numFmt numFmtId="5" formatCode="&quot;$&quot;#,##0_);\(&quot;$&quot;#,##0\)"/>
    <numFmt numFmtId="6" formatCode="&quot;$&quot;#,##0_);[Red]\(&quot;$&quot;#,##0\)"/>
    <numFmt numFmtId="7" formatCode="&quot;$&quot;#,##0.00_);\(&quot;$&quot;#,##0.00\)"/>
    <numFmt numFmtId="8" formatCode="&quot;$&quot;#,##0.00_);[Red]\(&quot;$&quot;#,##0.00\)"/>
    <numFmt numFmtId="41" formatCode="_(* #,##0_);_(* \(#,##0\);_(* &quot;-&quot;_);_(@_)"/>
    <numFmt numFmtId="44" formatCode="_(&quot;$&quot;* #,##0.00_);_(&quot;$&quot;* \(#,##0.00\);_(&quot;$&quot;* &quot;-&quot;??_);_(@_)"/>
    <numFmt numFmtId="43" formatCode="_(* #,##0.00_);_(* \(#,##0.00\);_(* &quot;-&quot;??_);_(@_)"/>
    <numFmt numFmtId="164" formatCode="#,##0.0_);\(#,##0.0\)"/>
    <numFmt numFmtId="165" formatCode="0.0"/>
    <numFmt numFmtId="166" formatCode="&quot;$&quot;#,##0.0"/>
    <numFmt numFmtId="167" formatCode="#,##0.0"/>
    <numFmt numFmtId="168" formatCode="&quot;$&quot;#,##0.00"/>
    <numFmt numFmtId="169" formatCode="\(0.0\)"/>
    <numFmt numFmtId="170" formatCode="0.000"/>
    <numFmt numFmtId="171" formatCode="\+0.0;\-0.0"/>
    <numFmt numFmtId="172" formatCode="&quot;$&quot;#,##0.0_);\(&quot;$&quot;#,##0.0\)"/>
    <numFmt numFmtId="173" formatCode="0.0_);\(0.0\)"/>
    <numFmt numFmtId="174" formatCode="_(* #,##0.0_);_(* \(#,##0.0\);_(* &quot;-&quot;??_);_(@_)"/>
    <numFmt numFmtId="175" formatCode="_(* #,##0_);_(* \(#,##0\);_(* &quot;-&quot;??_);_(@_)"/>
    <numFmt numFmtId="176" formatCode="General_)"/>
    <numFmt numFmtId="177" formatCode="0.0;\(0.0\)"/>
    <numFmt numFmtId="178" formatCode="0.0_);[Red]\(0.0\)"/>
    <numFmt numFmtId="179" formatCode="0.0%"/>
    <numFmt numFmtId="180" formatCode="_(&quot;$&quot;* #,##0.0_);_(&quot;$&quot;* \(#,##0.0\);_(&quot;$&quot;* &quot;-&quot;??_);_(@_)"/>
    <numFmt numFmtId="181" formatCode="_(* #,##0.000_);_(* \(#,##0.000\);_(* &quot;-&quot;??_);_(@_)"/>
    <numFmt numFmtId="182" formatCode="0.0%;\(0.0%\)"/>
    <numFmt numFmtId="183" formatCode="&quot;$&quot;#,##0"/>
    <numFmt numFmtId="184" formatCode="0000&quot;A&quot;"/>
    <numFmt numFmtId="185" formatCode="mm/dd/yy_)"/>
    <numFmt numFmtId="186" formatCode="0.0%_);\(0.0%\);&quot;–&quot;_)"/>
    <numFmt numFmtId="187" formatCode="General&quot;E&quot;"/>
    <numFmt numFmtId="188" formatCode="General&quot;A&quot;"/>
    <numFmt numFmtId="189" formatCode="00000;;&quot;--&quot;"/>
    <numFmt numFmtId="190" formatCode="#,##0_);\(#,##0\);&quot;--&quot;"/>
    <numFmt numFmtId="191" formatCode="&quot;$&quot;#,##0_);\(&quot;$&quot;#,##0\);&quot;--&quot;"/>
    <numFmt numFmtId="192" formatCode="0000&quot;E&quot;"/>
    <numFmt numFmtId="193" formatCode="0.0%_);\(0.0%\)"/>
    <numFmt numFmtId="194" formatCode="\ #,##0_);\(#,##0\)"/>
    <numFmt numFmtId="195" formatCode="0.0\x"/>
    <numFmt numFmtId="196" formatCode="#,##0_);\(#,##0\);\-\-_);@_)"/>
    <numFmt numFmtId="197" formatCode="&quot;$&quot;#,##0.0_);\(&quot;$&quot;#,##0.0\);&quot;--&quot;"/>
    <numFmt numFmtId="198" formatCode="&quot;/&quot;0.0;&quot;/&quot;\(0.0\)"/>
    <numFmt numFmtId="199" formatCode="&quot;/&quot;0;&quot;/&quot;\(0\)"/>
    <numFmt numFmtId="200" formatCode="&quot;$&quot;0.0_)"/>
    <numFmt numFmtId="201" formatCode="0.0\x_)"/>
    <numFmt numFmtId="202" formatCode="#,##0.000"/>
    <numFmt numFmtId="203" formatCode="#,##0.0;\(#,##0.0\)"/>
    <numFmt numFmtId="204" formatCode="0_);\(0\)"/>
    <numFmt numFmtId="205" formatCode="#,##0;\(#,##0\)"/>
    <numFmt numFmtId="206" formatCode="\F###0\A"/>
    <numFmt numFmtId="207" formatCode="\F###0\E"/>
    <numFmt numFmtId="208" formatCode="###0"/>
    <numFmt numFmtId="209" formatCode="###0.00"/>
    <numFmt numFmtId="210" formatCode="0.00000%"/>
    <numFmt numFmtId="211" formatCode="0.00_);\(0.00\)"/>
    <numFmt numFmtId="212" formatCode="\+0;\-0"/>
    <numFmt numFmtId="213" formatCode="_(* #,##0.0_);_(* \(#,##0.0\);_(* &quot;-&quot;?_);_(@_)"/>
    <numFmt numFmtId="214" formatCode="0\ &quot;bps&quot;"/>
    <numFmt numFmtId="215" formatCode="\(0.000\)"/>
    <numFmt numFmtId="216" formatCode="&quot;$&quot;#,##0.0000_);\(&quot;$&quot;#,##0.0000\)"/>
    <numFmt numFmtId="217" formatCode="#,##0.000_);\(#,##0.000\)"/>
    <numFmt numFmtId="218" formatCode="&quot;$&quot;#,##0.000_);\(&quot;$&quot;#,##0.000\)"/>
    <numFmt numFmtId="219" formatCode="0.00000000000000"/>
    <numFmt numFmtId="220" formatCode="_(&quot;$&quot;* #,##0.0_);_(&quot;$&quot;* \(#,##0.0\);_(&quot;$&quot;* &quot;-&quot;?_);_(@_)"/>
    <numFmt numFmtId="221" formatCode="####&quot;E&quot;"/>
    <numFmt numFmtId="222" formatCode="0.00%_);\(0.00%\)"/>
    <numFmt numFmtId="223" formatCode="_(&quot;$&quot;* #,##0_);_(&quot;$&quot;* \(#,##0\);_(&quot;$&quot;* &quot;-&quot;??_);_(@_)"/>
    <numFmt numFmtId="224" formatCode="\(0.00\)"/>
    <numFmt numFmtId="225" formatCode="0.00000000"/>
    <numFmt numFmtId="226" formatCode="&quot;$&quot;0_)"/>
    <numFmt numFmtId="227" formatCode="0.000%"/>
    <numFmt numFmtId="228" formatCode="0.000\x_)"/>
    <numFmt numFmtId="229" formatCode="&quot;$&quot;#,##0.000_);\(&quot;$&quot;#,##0.000\);&quot;--&quot;"/>
    <numFmt numFmtId="230" formatCode="mm/dd/yy\ hh:mm"/>
  </numFmts>
  <fonts count="107" x14ac:knownFonts="1">
    <font>
      <sz val="10"/>
      <name val="Arial"/>
    </font>
    <font>
      <sz val="10"/>
      <name val="Arial"/>
      <family val="2"/>
    </font>
    <font>
      <b/>
      <sz val="10"/>
      <name val="Arial"/>
      <family val="2"/>
    </font>
    <font>
      <sz val="10"/>
      <name val="MS Sans Serif"/>
      <family val="2"/>
    </font>
    <font>
      <b/>
      <sz val="10"/>
      <color indexed="8"/>
      <name val="Times New Roman"/>
      <family val="1"/>
    </font>
    <font>
      <u/>
      <sz val="10"/>
      <color indexed="12"/>
      <name val="Courier"/>
      <family val="3"/>
    </font>
    <font>
      <sz val="10"/>
      <name val="Courier"/>
      <family val="3"/>
    </font>
    <font>
      <sz val="9"/>
      <name val="Times New Roman"/>
      <family val="1"/>
    </font>
    <font>
      <sz val="10"/>
      <name val="Arial"/>
      <family val="2"/>
    </font>
    <font>
      <sz val="10"/>
      <color indexed="8"/>
      <name val="Times New Roman"/>
      <family val="1"/>
    </font>
    <font>
      <i/>
      <sz val="8"/>
      <name val="Times New Roman"/>
      <family val="1"/>
    </font>
    <font>
      <sz val="8"/>
      <name val="Arial"/>
      <family val="2"/>
    </font>
    <font>
      <i/>
      <sz val="8"/>
      <name val="Arial"/>
      <family val="2"/>
    </font>
    <font>
      <sz val="8"/>
      <name val="Arial"/>
      <family val="2"/>
    </font>
    <font>
      <b/>
      <sz val="8"/>
      <name val="Arial"/>
      <family val="2"/>
    </font>
    <font>
      <b/>
      <sz val="8"/>
      <color indexed="12"/>
      <name val="Arial"/>
      <family val="2"/>
    </font>
    <font>
      <b/>
      <u/>
      <sz val="8"/>
      <name val="Arial"/>
      <family val="2"/>
    </font>
    <font>
      <sz val="8"/>
      <color indexed="12"/>
      <name val="Arial"/>
      <family val="2"/>
    </font>
    <font>
      <sz val="8"/>
      <color indexed="81"/>
      <name val="Tahoma"/>
      <family val="2"/>
    </font>
    <font>
      <b/>
      <sz val="8"/>
      <color indexed="81"/>
      <name val="Tahoma"/>
      <family val="2"/>
    </font>
    <font>
      <sz val="8"/>
      <color indexed="9"/>
      <name val="Arial"/>
      <family val="2"/>
    </font>
    <font>
      <sz val="8"/>
      <color indexed="8"/>
      <name val="Arial"/>
      <family val="2"/>
    </font>
    <font>
      <sz val="8"/>
      <color indexed="12"/>
      <name val="Arial"/>
      <family val="2"/>
    </font>
    <font>
      <sz val="10"/>
      <name val="Helv"/>
    </font>
    <font>
      <sz val="8"/>
      <color indexed="10"/>
      <name val="Arial"/>
      <family val="2"/>
    </font>
    <font>
      <sz val="11"/>
      <name val="Arial"/>
      <family val="2"/>
    </font>
    <font>
      <sz val="10"/>
      <color indexed="12"/>
      <name val="Arial"/>
      <family val="2"/>
    </font>
    <font>
      <i/>
      <sz val="10"/>
      <name val="Arial"/>
      <family val="2"/>
    </font>
    <font>
      <sz val="8"/>
      <color indexed="8"/>
      <name val="Arial"/>
      <family val="2"/>
    </font>
    <font>
      <sz val="8"/>
      <color indexed="17"/>
      <name val="Arial"/>
      <family val="2"/>
    </font>
    <font>
      <b/>
      <i/>
      <sz val="8"/>
      <color indexed="12"/>
      <name val="Tahoma"/>
      <family val="2"/>
    </font>
    <font>
      <b/>
      <sz val="8"/>
      <color indexed="17"/>
      <name val="Arial"/>
      <family val="2"/>
    </font>
    <font>
      <sz val="8"/>
      <color indexed="10"/>
      <name val="Arial"/>
      <family val="2"/>
    </font>
    <font>
      <b/>
      <sz val="8"/>
      <color indexed="10"/>
      <name val="Arial"/>
      <family val="2"/>
    </font>
    <font>
      <i/>
      <sz val="8"/>
      <color indexed="81"/>
      <name val="Tahoma"/>
      <family val="2"/>
    </font>
    <font>
      <sz val="10"/>
      <color indexed="10"/>
      <name val="Arial"/>
      <family val="2"/>
    </font>
    <font>
      <i/>
      <sz val="8"/>
      <color indexed="17"/>
      <name val="Arial"/>
      <family val="2"/>
    </font>
    <font>
      <sz val="9"/>
      <name val="Times New Roman"/>
      <family val="1"/>
    </font>
    <font>
      <sz val="10"/>
      <name val="Arial"/>
      <family val="2"/>
    </font>
    <font>
      <b/>
      <sz val="8"/>
      <color indexed="12"/>
      <name val="Arial"/>
      <family val="2"/>
    </font>
    <font>
      <b/>
      <sz val="8"/>
      <name val="Arial"/>
      <family val="2"/>
    </font>
    <font>
      <b/>
      <sz val="8"/>
      <color indexed="16"/>
      <name val="Arial"/>
      <family val="2"/>
    </font>
    <font>
      <b/>
      <sz val="8"/>
      <color indexed="53"/>
      <name val="Arial"/>
      <family val="2"/>
    </font>
    <font>
      <b/>
      <i/>
      <sz val="8"/>
      <color indexed="12"/>
      <name val="Arial"/>
      <family val="2"/>
    </font>
    <font>
      <sz val="8"/>
      <color indexed="53"/>
      <name val="Arial"/>
      <family val="2"/>
    </font>
    <font>
      <sz val="8"/>
      <color indexed="23"/>
      <name val="Arial"/>
      <family val="2"/>
    </font>
    <font>
      <sz val="8"/>
      <color indexed="55"/>
      <name val="Arial"/>
      <family val="2"/>
    </font>
    <font>
      <b/>
      <sz val="8"/>
      <color indexed="9"/>
      <name val="Arial"/>
      <family val="2"/>
    </font>
    <font>
      <sz val="10"/>
      <color indexed="9"/>
      <name val="Arial"/>
      <family val="2"/>
    </font>
    <font>
      <b/>
      <sz val="10"/>
      <color indexed="12"/>
      <name val="Arial"/>
      <family val="2"/>
    </font>
    <font>
      <b/>
      <u/>
      <sz val="8"/>
      <name val="Arial"/>
      <family val="2"/>
    </font>
    <font>
      <b/>
      <sz val="7"/>
      <name val="Arial"/>
      <family val="2"/>
    </font>
    <font>
      <i/>
      <sz val="7"/>
      <name val="Arial"/>
      <family val="2"/>
    </font>
    <font>
      <sz val="10"/>
      <name val="Arial"/>
      <family val="2"/>
    </font>
    <font>
      <b/>
      <u/>
      <sz val="8"/>
      <color indexed="17"/>
      <name val="Arial"/>
      <family val="2"/>
    </font>
    <font>
      <sz val="10"/>
      <color indexed="17"/>
      <name val="Arial"/>
      <family val="2"/>
    </font>
    <font>
      <u/>
      <sz val="8"/>
      <color indexed="17"/>
      <name val="Arial"/>
      <family val="2"/>
    </font>
    <font>
      <sz val="8"/>
      <name val="Courier"/>
      <family val="3"/>
    </font>
    <font>
      <sz val="8"/>
      <color indexed="23"/>
      <name val="Arial"/>
      <family val="2"/>
    </font>
    <font>
      <sz val="8"/>
      <color indexed="55"/>
      <name val="Arial"/>
      <family val="2"/>
    </font>
    <font>
      <b/>
      <u/>
      <sz val="8"/>
      <color indexed="23"/>
      <name val="Arial"/>
      <family val="2"/>
    </font>
    <font>
      <b/>
      <sz val="8"/>
      <color indexed="62"/>
      <name val="Arial"/>
      <family val="2"/>
    </font>
    <font>
      <sz val="8"/>
      <color indexed="56"/>
      <name val="Arial"/>
      <family val="2"/>
    </font>
    <font>
      <sz val="10"/>
      <color indexed="8"/>
      <name val="Arial"/>
      <family val="2"/>
    </font>
    <font>
      <sz val="9"/>
      <color indexed="81"/>
      <name val="Tahoma"/>
      <family val="2"/>
    </font>
    <font>
      <b/>
      <sz val="9"/>
      <color indexed="81"/>
      <name val="Tahoma"/>
      <family val="2"/>
    </font>
    <font>
      <b/>
      <u/>
      <sz val="10"/>
      <name val="Arial"/>
      <family val="2"/>
    </font>
    <font>
      <sz val="10"/>
      <color indexed="57"/>
      <name val="Arial"/>
      <family val="2"/>
    </font>
    <font>
      <sz val="10"/>
      <color indexed="19"/>
      <name val="Arial"/>
      <family val="2"/>
    </font>
    <font>
      <b/>
      <u/>
      <sz val="10"/>
      <color indexed="12"/>
      <name val="Arial"/>
      <family val="2"/>
    </font>
    <font>
      <sz val="10"/>
      <color indexed="21"/>
      <name val="Arial"/>
      <family val="2"/>
    </font>
    <font>
      <sz val="10"/>
      <name val="Times New Roman"/>
      <family val="1"/>
    </font>
    <font>
      <b/>
      <i/>
      <sz val="10"/>
      <color indexed="12"/>
      <name val="Arial"/>
      <family val="2"/>
    </font>
    <font>
      <i/>
      <sz val="10"/>
      <color indexed="17"/>
      <name val="Arial"/>
      <family val="2"/>
    </font>
    <font>
      <b/>
      <i/>
      <sz val="10"/>
      <name val="Arial"/>
      <family val="2"/>
    </font>
    <font>
      <b/>
      <i/>
      <sz val="10"/>
      <color indexed="10"/>
      <name val="Arial"/>
      <family val="2"/>
    </font>
    <font>
      <i/>
      <sz val="10"/>
      <color indexed="12"/>
      <name val="Arial"/>
      <family val="2"/>
    </font>
    <font>
      <b/>
      <sz val="10"/>
      <color indexed="17"/>
      <name val="Arial"/>
      <family val="2"/>
    </font>
    <font>
      <b/>
      <sz val="10"/>
      <color theme="0"/>
      <name val="Arial"/>
      <family val="2"/>
    </font>
    <font>
      <b/>
      <sz val="10"/>
      <color rgb="FF0000FF"/>
      <name val="Arial"/>
      <family val="2"/>
    </font>
    <font>
      <sz val="11"/>
      <color rgb="FF373737"/>
      <name val="Arial"/>
      <family val="2"/>
    </font>
    <font>
      <b/>
      <sz val="8"/>
      <color rgb="FF0000FF"/>
      <name val="Arial"/>
      <family val="2"/>
    </font>
    <font>
      <sz val="8"/>
      <color rgb="FF0000FF"/>
      <name val="Arial"/>
      <family val="2"/>
    </font>
    <font>
      <sz val="10"/>
      <color rgb="FF0000FF"/>
      <name val="Arial"/>
      <family val="2"/>
    </font>
    <font>
      <b/>
      <sz val="10"/>
      <color rgb="FF00B050"/>
      <name val="Arial"/>
      <family val="2"/>
    </font>
    <font>
      <sz val="10"/>
      <color rgb="FF00B050"/>
      <name val="Arial"/>
      <family val="2"/>
    </font>
    <font>
      <sz val="10"/>
      <color rgb="FF008000"/>
      <name val="Arial"/>
      <family val="2"/>
    </font>
    <font>
      <b/>
      <sz val="10"/>
      <color rgb="FF008000"/>
      <name val="Arial"/>
      <family val="2"/>
    </font>
    <font>
      <sz val="8"/>
      <color rgb="FF008000"/>
      <name val="Arial"/>
      <family val="2"/>
    </font>
    <font>
      <i/>
      <sz val="10"/>
      <color rgb="FF0000FF"/>
      <name val="Arial"/>
      <family val="2"/>
    </font>
    <font>
      <b/>
      <i/>
      <sz val="10"/>
      <color rgb="FF008000"/>
      <name val="Arial"/>
      <family val="2"/>
    </font>
    <font>
      <sz val="10"/>
      <color theme="1"/>
      <name val="Arial"/>
      <family val="2"/>
    </font>
    <font>
      <b/>
      <sz val="10"/>
      <color theme="1"/>
      <name val="Arial"/>
      <family val="2"/>
    </font>
    <font>
      <b/>
      <i/>
      <sz val="10"/>
      <color indexed="62"/>
      <name val="Arial"/>
      <family val="2"/>
    </font>
    <font>
      <i/>
      <sz val="10"/>
      <color theme="1"/>
      <name val="Arial"/>
      <family val="2"/>
    </font>
    <font>
      <i/>
      <sz val="10"/>
      <color theme="1" tint="0.499984740745262"/>
      <name val="Arial"/>
      <family val="2"/>
    </font>
    <font>
      <i/>
      <sz val="10"/>
      <color indexed="23"/>
      <name val="Arial"/>
      <family val="2"/>
    </font>
    <font>
      <i/>
      <sz val="10"/>
      <color indexed="44"/>
      <name val="Arial"/>
      <family val="2"/>
    </font>
    <font>
      <i/>
      <sz val="10"/>
      <color indexed="9"/>
      <name val="Arial"/>
      <family val="2"/>
    </font>
    <font>
      <i/>
      <sz val="10"/>
      <color theme="0"/>
      <name val="Arial"/>
      <family val="2"/>
    </font>
    <font>
      <i/>
      <sz val="10"/>
      <color theme="4" tint="0.79998168889431442"/>
      <name val="Arial"/>
      <family val="2"/>
    </font>
    <font>
      <i/>
      <sz val="8"/>
      <color theme="0" tint="-0.34998626667073579"/>
      <name val="Arial"/>
      <family val="2"/>
    </font>
    <font>
      <b/>
      <sz val="10"/>
      <color indexed="8"/>
      <name val="Arial"/>
      <family val="2"/>
    </font>
    <font>
      <b/>
      <u/>
      <sz val="10"/>
      <color rgb="FF008000"/>
      <name val="Arial"/>
      <family val="2"/>
    </font>
    <font>
      <i/>
      <sz val="10"/>
      <color rgb="FF008000"/>
      <name val="Arial"/>
      <family val="2"/>
    </font>
    <font>
      <sz val="10"/>
      <color rgb="FF000000"/>
      <name val="Arial"/>
      <family val="2"/>
    </font>
    <font>
      <b/>
      <sz val="12"/>
      <color rgb="FF000080"/>
      <name val="Arial"/>
      <family val="2"/>
    </font>
  </fonts>
  <fills count="18">
    <fill>
      <patternFill patternType="none"/>
    </fill>
    <fill>
      <patternFill patternType="gray125"/>
    </fill>
    <fill>
      <patternFill patternType="solid">
        <fgColor indexed="43"/>
        <bgColor indexed="64"/>
      </patternFill>
    </fill>
    <fill>
      <patternFill patternType="solid">
        <fgColor indexed="22"/>
        <bgColor indexed="64"/>
      </patternFill>
    </fill>
    <fill>
      <patternFill patternType="solid">
        <fgColor indexed="42"/>
        <bgColor indexed="64"/>
      </patternFill>
    </fill>
    <fill>
      <patternFill patternType="solid">
        <fgColor indexed="9"/>
        <bgColor indexed="64"/>
      </patternFill>
    </fill>
    <fill>
      <patternFill patternType="solid">
        <fgColor indexed="47"/>
        <bgColor indexed="64"/>
      </patternFill>
    </fill>
    <fill>
      <patternFill patternType="solid">
        <fgColor indexed="44"/>
        <bgColor indexed="64"/>
      </patternFill>
    </fill>
    <fill>
      <patternFill patternType="solid">
        <fgColor indexed="48"/>
        <bgColor indexed="64"/>
      </patternFill>
    </fill>
    <fill>
      <patternFill patternType="solid">
        <fgColor indexed="53"/>
        <bgColor indexed="64"/>
      </patternFill>
    </fill>
    <fill>
      <patternFill patternType="solid">
        <fgColor theme="0"/>
        <bgColor indexed="64"/>
      </patternFill>
    </fill>
    <fill>
      <patternFill patternType="solid">
        <fgColor theme="4" tint="0.79998168889431442"/>
        <bgColor indexed="64"/>
      </patternFill>
    </fill>
    <fill>
      <patternFill patternType="solid">
        <fgColor theme="3"/>
        <bgColor indexed="64"/>
      </patternFill>
    </fill>
    <fill>
      <patternFill patternType="solid">
        <fgColor theme="0" tint="-4.9989318521683403E-2"/>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indexed="65"/>
        <bgColor indexed="64"/>
      </patternFill>
    </fill>
  </fills>
  <borders count="53">
    <border>
      <left/>
      <right/>
      <top/>
      <bottom/>
      <diagonal/>
    </border>
    <border>
      <left style="thin">
        <color indexed="64"/>
      </left>
      <right/>
      <top/>
      <bottom/>
      <diagonal/>
    </border>
    <border>
      <left/>
      <right/>
      <top/>
      <bottom style="thin">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right/>
      <top style="medium">
        <color indexed="64"/>
      </top>
      <bottom/>
      <diagonal/>
    </border>
    <border>
      <left/>
      <right/>
      <top/>
      <bottom style="thin">
        <color indexed="8"/>
      </bottom>
      <diagonal/>
    </border>
    <border>
      <left/>
      <right/>
      <top style="thin">
        <color indexed="64"/>
      </top>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indexed="64"/>
      </left>
      <right style="thin">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bottom style="double">
        <color indexed="64"/>
      </bottom>
      <diagonal/>
    </border>
    <border>
      <left style="medium">
        <color indexed="64"/>
      </left>
      <right style="medium">
        <color indexed="64"/>
      </right>
      <top/>
      <bottom style="thin">
        <color indexed="64"/>
      </bottom>
      <diagonal/>
    </border>
    <border>
      <left style="medium">
        <color indexed="64"/>
      </left>
      <right style="medium">
        <color indexed="64"/>
      </right>
      <top style="double">
        <color indexed="64"/>
      </top>
      <bottom style="thin">
        <color indexed="64"/>
      </bottom>
      <diagonal/>
    </border>
    <border>
      <left/>
      <right style="medium">
        <color indexed="64"/>
      </right>
      <top/>
      <bottom style="thin">
        <color indexed="64"/>
      </bottom>
      <diagonal/>
    </border>
    <border>
      <left/>
      <right/>
      <top style="medium">
        <color indexed="8"/>
      </top>
      <bottom/>
      <diagonal/>
    </border>
    <border>
      <left style="thin">
        <color theme="4"/>
      </left>
      <right/>
      <top style="thin">
        <color theme="4"/>
      </top>
      <bottom/>
      <diagonal/>
    </border>
    <border>
      <left/>
      <right style="thin">
        <color theme="4"/>
      </right>
      <top style="thin">
        <color theme="4"/>
      </top>
      <bottom/>
      <diagonal/>
    </border>
    <border>
      <left style="thin">
        <color theme="4"/>
      </left>
      <right/>
      <top/>
      <bottom/>
      <diagonal/>
    </border>
    <border>
      <left/>
      <right style="thin">
        <color theme="4"/>
      </right>
      <top/>
      <bottom/>
      <diagonal/>
    </border>
    <border>
      <left style="thin">
        <color theme="4"/>
      </left>
      <right/>
      <top/>
      <bottom style="thin">
        <color indexed="64"/>
      </bottom>
      <diagonal/>
    </border>
    <border>
      <left/>
      <right style="thin">
        <color theme="4"/>
      </right>
      <top/>
      <bottom style="thin">
        <color indexed="64"/>
      </bottom>
      <diagonal/>
    </border>
    <border>
      <left style="thin">
        <color theme="4"/>
      </left>
      <right/>
      <top/>
      <bottom style="thin">
        <color theme="4"/>
      </bottom>
      <diagonal/>
    </border>
    <border>
      <left/>
      <right style="thin">
        <color theme="4"/>
      </right>
      <top/>
      <bottom style="thin">
        <color theme="4"/>
      </bottom>
      <diagonal/>
    </border>
    <border>
      <left style="medium">
        <color indexed="64"/>
      </left>
      <right style="medium">
        <color indexed="64"/>
      </right>
      <top style="thin">
        <color indexed="64"/>
      </top>
      <bottom style="medium">
        <color indexed="64"/>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right/>
      <top/>
      <bottom style="thin">
        <color rgb="FF000000"/>
      </bottom>
      <diagonal/>
    </border>
    <border>
      <left/>
      <right/>
      <top style="thin">
        <color rgb="FF000000"/>
      </top>
      <bottom/>
      <diagonal/>
    </border>
  </borders>
  <cellStyleXfs count="50">
    <xf numFmtId="0" fontId="0" fillId="0" borderId="0"/>
    <xf numFmtId="0" fontId="1" fillId="0" borderId="0"/>
    <xf numFmtId="0" fontId="8" fillId="0" borderId="0" applyNumberFormat="0" applyFont="0" applyFill="0" applyBorder="0" applyAlignment="0" applyProtection="0"/>
    <xf numFmtId="0" fontId="8" fillId="0" borderId="0" applyFill="0" applyAlignment="0">
      <protection locked="0"/>
    </xf>
    <xf numFmtId="0" fontId="1" fillId="0" borderId="0"/>
    <xf numFmtId="0" fontId="1" fillId="2" borderId="0" applyNumberFormat="0" applyFont="0" applyBorder="0" applyAlignment="0" applyProtection="0"/>
    <xf numFmtId="0" fontId="3" fillId="0" borderId="0"/>
    <xf numFmtId="0" fontId="3" fillId="0" borderId="0"/>
    <xf numFmtId="0" fontId="4" fillId="0" borderId="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8" fillId="0" borderId="0" applyFont="0" applyFill="0" applyBorder="0" applyAlignment="0" applyProtection="0"/>
    <xf numFmtId="0" fontId="5" fillId="0" borderId="0" applyNumberFormat="0" applyFill="0" applyBorder="0" applyAlignment="0" applyProtection="0">
      <alignment vertical="top"/>
      <protection locked="0"/>
    </xf>
    <xf numFmtId="0" fontId="8" fillId="0" borderId="0" applyNumberFormat="0" applyFill="0" applyBorder="0" applyAlignment="0" applyProtection="0">
      <alignment vertical="top"/>
      <protection locked="0"/>
    </xf>
    <xf numFmtId="0" fontId="8" fillId="0" borderId="0"/>
    <xf numFmtId="0" fontId="8" fillId="0" borderId="0"/>
    <xf numFmtId="0" fontId="23" fillId="0" borderId="0"/>
    <xf numFmtId="37" fontId="6" fillId="0" borderId="0"/>
    <xf numFmtId="0" fontId="1" fillId="0" borderId="0"/>
    <xf numFmtId="0" fontId="1" fillId="0" borderId="0"/>
    <xf numFmtId="0" fontId="37" fillId="0" borderId="0"/>
    <xf numFmtId="176" fontId="6" fillId="0" borderId="0"/>
    <xf numFmtId="0" fontId="11" fillId="0" borderId="0"/>
    <xf numFmtId="0" fontId="1" fillId="0" borderId="0"/>
    <xf numFmtId="164" fontId="6" fillId="0" borderId="0"/>
    <xf numFmtId="176" fontId="6" fillId="0" borderId="0"/>
    <xf numFmtId="37" fontId="6" fillId="0" borderId="0"/>
    <xf numFmtId="37" fontId="6" fillId="0" borderId="0"/>
    <xf numFmtId="0" fontId="1" fillId="0" borderId="0"/>
    <xf numFmtId="176" fontId="6" fillId="0" borderId="0"/>
    <xf numFmtId="0" fontId="1" fillId="0" borderId="0"/>
    <xf numFmtId="176" fontId="6" fillId="0" borderId="0"/>
    <xf numFmtId="37" fontId="6" fillId="0" borderId="0"/>
    <xf numFmtId="0" fontId="8" fillId="0" borderId="0"/>
    <xf numFmtId="0" fontId="7" fillId="0" borderId="0">
      <alignment vertical="center"/>
    </xf>
    <xf numFmtId="9" fontId="1" fillId="0" borderId="0" applyFont="0" applyFill="0" applyBorder="0" applyAlignment="0" applyProtection="0"/>
    <xf numFmtId="9" fontId="8" fillId="0" borderId="0" applyFont="0" applyFill="0" applyBorder="0" applyAlignment="0" applyProtection="0"/>
    <xf numFmtId="0" fontId="8" fillId="2" borderId="0" applyNumberFormat="0" applyFont="0" applyBorder="0" applyAlignment="0" applyProtection="0"/>
    <xf numFmtId="0" fontId="9" fillId="0" borderId="0"/>
    <xf numFmtId="0" fontId="9" fillId="0" borderId="10">
      <alignment horizontal="centerContinuous"/>
    </xf>
    <xf numFmtId="0" fontId="10" fillId="0" borderId="10"/>
    <xf numFmtId="164" fontId="1" fillId="0" borderId="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 fillId="0" borderId="0"/>
    <xf numFmtId="0" fontId="6" fillId="0" borderId="0"/>
  </cellStyleXfs>
  <cellXfs count="1357">
    <xf numFmtId="0" fontId="0" fillId="0" borderId="0" xfId="0"/>
    <xf numFmtId="0" fontId="0" fillId="0" borderId="0" xfId="0" applyFill="1"/>
    <xf numFmtId="0" fontId="13" fillId="0" borderId="0" xfId="0" applyFont="1"/>
    <xf numFmtId="0" fontId="13" fillId="0" borderId="0" xfId="0" applyFont="1" applyAlignment="1">
      <alignment horizontal="left" indent="1"/>
    </xf>
    <xf numFmtId="0" fontId="16" fillId="0" borderId="0" xfId="0" applyFont="1"/>
    <xf numFmtId="0" fontId="13" fillId="0" borderId="0" xfId="0" applyFont="1" applyAlignment="1">
      <alignment horizontal="right"/>
    </xf>
    <xf numFmtId="179" fontId="13" fillId="0" borderId="0" xfId="39" applyNumberFormat="1" applyFont="1"/>
    <xf numFmtId="0" fontId="8" fillId="0" borderId="0" xfId="0" applyFont="1"/>
    <xf numFmtId="0" fontId="16" fillId="0" borderId="0" xfId="0" applyFont="1" applyBorder="1" applyAlignment="1">
      <alignment horizontal="center"/>
    </xf>
    <xf numFmtId="179" fontId="11" fillId="0" borderId="0" xfId="39" applyNumberFormat="1" applyFont="1" applyBorder="1"/>
    <xf numFmtId="49" fontId="0" fillId="0" borderId="0" xfId="0" applyNumberFormat="1"/>
    <xf numFmtId="176" fontId="13" fillId="0" borderId="0" xfId="33" applyFont="1" applyFill="1" applyBorder="1" applyAlignment="1">
      <alignment horizontal="center"/>
    </xf>
    <xf numFmtId="164" fontId="13" fillId="0" borderId="0" xfId="33" applyNumberFormat="1" applyFont="1" applyFill="1" applyBorder="1" applyAlignment="1">
      <alignment horizontal="right"/>
    </xf>
    <xf numFmtId="0" fontId="13" fillId="0" borderId="4" xfId="0" applyFont="1" applyBorder="1"/>
    <xf numFmtId="0" fontId="8" fillId="0" borderId="0" xfId="0" applyFont="1" applyFill="1"/>
    <xf numFmtId="179" fontId="13" fillId="0" borderId="0" xfId="39" applyNumberFormat="1" applyFont="1" applyFill="1"/>
    <xf numFmtId="0" fontId="11" fillId="0" borderId="0" xfId="32" applyFont="1"/>
    <xf numFmtId="0" fontId="38" fillId="0" borderId="0" xfId="24" applyFont="1" applyBorder="1"/>
    <xf numFmtId="0" fontId="11" fillId="0" borderId="0" xfId="24" applyFont="1" applyAlignment="1">
      <alignment horizontal="right"/>
    </xf>
    <xf numFmtId="0" fontId="11" fillId="0" borderId="0" xfId="32" applyFont="1" applyAlignment="1">
      <alignment horizontal="right"/>
    </xf>
    <xf numFmtId="205" fontId="33" fillId="6" borderId="11" xfId="12" applyNumberFormat="1" applyFont="1" applyFill="1" applyBorder="1" applyAlignment="1">
      <alignment horizontal="center"/>
    </xf>
    <xf numFmtId="207" fontId="11" fillId="0" borderId="0" xfId="32" applyNumberFormat="1" applyFont="1" applyAlignment="1">
      <alignment horizontal="right"/>
    </xf>
    <xf numFmtId="179" fontId="11" fillId="0" borderId="0" xfId="39" applyNumberFormat="1" applyFont="1" applyAlignment="1">
      <alignment horizontal="right"/>
    </xf>
    <xf numFmtId="0" fontId="39" fillId="0" borderId="2" xfId="24" applyFont="1" applyBorder="1"/>
    <xf numFmtId="208" fontId="40" fillId="0" borderId="2" xfId="22" applyNumberFormat="1" applyFont="1" applyBorder="1" applyAlignment="1">
      <alignment horizontal="right"/>
    </xf>
    <xf numFmtId="207" fontId="39" fillId="0" borderId="2" xfId="24" applyNumberFormat="1" applyFont="1" applyBorder="1" applyAlignment="1">
      <alignment horizontal="right"/>
    </xf>
    <xf numFmtId="0" fontId="39" fillId="0" borderId="0" xfId="24" applyFont="1" applyBorder="1"/>
    <xf numFmtId="206" fontId="40" fillId="0" borderId="0" xfId="22" applyNumberFormat="1" applyFont="1" applyBorder="1" applyAlignment="1">
      <alignment horizontal="right"/>
    </xf>
    <xf numFmtId="183" fontId="13" fillId="0" borderId="0" xfId="12" applyNumberFormat="1" applyFont="1" applyBorder="1" applyAlignment="1">
      <alignment horizontal="right"/>
    </xf>
    <xf numFmtId="207" fontId="39" fillId="0" borderId="0" xfId="24" applyNumberFormat="1" applyFont="1" applyBorder="1" applyAlignment="1">
      <alignment horizontal="right"/>
    </xf>
    <xf numFmtId="0" fontId="11" fillId="0" borderId="0" xfId="32" applyFont="1" applyFill="1" applyBorder="1" applyAlignment="1">
      <alignment horizontal="right"/>
    </xf>
    <xf numFmtId="0" fontId="11" fillId="0" borderId="0" xfId="32" applyFont="1" applyFill="1" applyBorder="1"/>
    <xf numFmtId="0" fontId="32" fillId="0" borderId="0" xfId="32" applyFont="1" applyFill="1" applyBorder="1"/>
    <xf numFmtId="204" fontId="40" fillId="0" borderId="0" xfId="26" applyNumberFormat="1" applyFont="1" applyFill="1" applyBorder="1"/>
    <xf numFmtId="183" fontId="11" fillId="0" borderId="0" xfId="32" applyNumberFormat="1" applyFont="1" applyAlignment="1">
      <alignment horizontal="right"/>
    </xf>
    <xf numFmtId="205" fontId="33" fillId="0" borderId="0" xfId="12" applyNumberFormat="1" applyFont="1" applyFill="1" applyBorder="1" applyAlignment="1">
      <alignment horizontal="left"/>
    </xf>
    <xf numFmtId="0" fontId="24" fillId="0" borderId="0" xfId="32" applyFont="1" applyFill="1" applyBorder="1" applyAlignment="1">
      <alignment horizontal="right"/>
    </xf>
    <xf numFmtId="0" fontId="24" fillId="0" borderId="0" xfId="32" applyFont="1" applyFill="1" applyBorder="1"/>
    <xf numFmtId="0" fontId="11" fillId="0" borderId="0" xfId="26" applyFont="1" applyFill="1"/>
    <xf numFmtId="205" fontId="13" fillId="0" borderId="0" xfId="12" applyNumberFormat="1" applyFont="1" applyFill="1" applyAlignment="1">
      <alignment horizontal="right"/>
    </xf>
    <xf numFmtId="205" fontId="13" fillId="0" borderId="0" xfId="12" applyNumberFormat="1" applyFont="1" applyAlignment="1">
      <alignment horizontal="right"/>
    </xf>
    <xf numFmtId="204" fontId="11" fillId="0" borderId="0" xfId="26" applyNumberFormat="1" applyFont="1" applyFill="1" applyBorder="1" applyAlignment="1" applyProtection="1">
      <alignment horizontal="left"/>
    </xf>
    <xf numFmtId="205" fontId="13" fillId="0" borderId="2" xfId="12" applyNumberFormat="1" applyFont="1" applyFill="1" applyBorder="1" applyAlignment="1">
      <alignment horizontal="right"/>
    </xf>
    <xf numFmtId="205" fontId="13" fillId="0" borderId="0" xfId="12" applyNumberFormat="1" applyFont="1" applyFill="1" applyBorder="1" applyAlignment="1">
      <alignment horizontal="right"/>
    </xf>
    <xf numFmtId="0" fontId="14" fillId="0" borderId="0" xfId="26" applyFont="1" applyFill="1"/>
    <xf numFmtId="205" fontId="41" fillId="0" borderId="0" xfId="32" applyNumberFormat="1" applyFont="1" applyFill="1" applyBorder="1"/>
    <xf numFmtId="0" fontId="14" fillId="0" borderId="2" xfId="32" applyFont="1" applyFill="1" applyBorder="1"/>
    <xf numFmtId="207" fontId="33" fillId="0" borderId="0" xfId="24" applyNumberFormat="1" applyFont="1" applyBorder="1" applyAlignment="1">
      <alignment horizontal="right"/>
    </xf>
    <xf numFmtId="0" fontId="11" fillId="0" borderId="0" xfId="26" applyFont="1" applyFill="1" applyAlignment="1">
      <alignment horizontal="left"/>
    </xf>
    <xf numFmtId="205" fontId="11" fillId="0" borderId="0" xfId="32" applyNumberFormat="1" applyFont="1" applyFill="1" applyAlignment="1">
      <alignment horizontal="right"/>
    </xf>
    <xf numFmtId="205" fontId="24" fillId="0" borderId="0" xfId="32" applyNumberFormat="1" applyFont="1" applyAlignment="1">
      <alignment horizontal="right"/>
    </xf>
    <xf numFmtId="205" fontId="11" fillId="0" borderId="0" xfId="32" applyNumberFormat="1" applyFont="1"/>
    <xf numFmtId="0" fontId="11" fillId="0" borderId="0" xfId="32" applyFont="1" applyFill="1" applyAlignment="1">
      <alignment horizontal="left" indent="1"/>
    </xf>
    <xf numFmtId="205" fontId="32" fillId="0" borderId="0" xfId="32" applyNumberFormat="1" applyFont="1" applyAlignment="1">
      <alignment horizontal="right"/>
    </xf>
    <xf numFmtId="0" fontId="11" fillId="0" borderId="0" xfId="32" applyFont="1" applyFill="1"/>
    <xf numFmtId="205" fontId="11" fillId="0" borderId="2" xfId="32" applyNumberFormat="1" applyFont="1" applyFill="1" applyBorder="1" applyAlignment="1">
      <alignment horizontal="right"/>
    </xf>
    <xf numFmtId="0" fontId="14" fillId="0" borderId="0" xfId="32" applyFont="1" applyFill="1"/>
    <xf numFmtId="205" fontId="14" fillId="0" borderId="0" xfId="32" applyNumberFormat="1" applyFont="1" applyAlignment="1">
      <alignment horizontal="right"/>
    </xf>
    <xf numFmtId="205" fontId="33" fillId="0" borderId="0" xfId="32" applyNumberFormat="1" applyFont="1" applyAlignment="1">
      <alignment horizontal="right"/>
    </xf>
    <xf numFmtId="0" fontId="13" fillId="0" borderId="0" xfId="32" applyFont="1" applyFill="1"/>
    <xf numFmtId="9" fontId="14" fillId="3" borderId="0" xfId="39" applyNumberFormat="1" applyFont="1" applyFill="1" applyAlignment="1">
      <alignment horizontal="right"/>
    </xf>
    <xf numFmtId="205" fontId="13" fillId="0" borderId="0" xfId="32" applyNumberFormat="1" applyFont="1" applyAlignment="1">
      <alignment horizontal="right"/>
    </xf>
    <xf numFmtId="0" fontId="11" fillId="0" borderId="0" xfId="26" applyFont="1" applyFill="1" applyAlignment="1">
      <alignment horizontal="left" indent="1"/>
    </xf>
    <xf numFmtId="205" fontId="13" fillId="0" borderId="0" xfId="32" applyNumberFormat="1" applyFont="1" applyFill="1" applyAlignment="1">
      <alignment horizontal="right"/>
    </xf>
    <xf numFmtId="0" fontId="11" fillId="0" borderId="0" xfId="26" applyFont="1" applyFill="1" applyAlignment="1">
      <alignment horizontal="left" indent="2"/>
    </xf>
    <xf numFmtId="205" fontId="13" fillId="0" borderId="0" xfId="32" applyNumberFormat="1" applyFont="1" applyBorder="1" applyAlignment="1">
      <alignment horizontal="right"/>
    </xf>
    <xf numFmtId="205" fontId="13" fillId="0" borderId="2" xfId="32" applyNumberFormat="1" applyFont="1" applyFill="1" applyBorder="1" applyAlignment="1">
      <alignment horizontal="right"/>
    </xf>
    <xf numFmtId="205" fontId="14" fillId="0" borderId="0" xfId="32" applyNumberFormat="1" applyFont="1" applyFill="1" applyAlignment="1">
      <alignment horizontal="right"/>
    </xf>
    <xf numFmtId="205" fontId="42" fillId="0" borderId="0" xfId="32" applyNumberFormat="1" applyFont="1" applyAlignment="1">
      <alignment horizontal="right"/>
    </xf>
    <xf numFmtId="0" fontId="14" fillId="0" borderId="0" xfId="32" applyFont="1"/>
    <xf numFmtId="9" fontId="13" fillId="0" borderId="0" xfId="39" applyFont="1" applyFill="1" applyAlignment="1">
      <alignment horizontal="right"/>
    </xf>
    <xf numFmtId="0" fontId="13" fillId="0" borderId="0" xfId="32" applyFont="1"/>
    <xf numFmtId="0" fontId="40" fillId="0" borderId="0" xfId="26" applyFont="1"/>
    <xf numFmtId="205" fontId="40" fillId="0" borderId="0" xfId="32" applyNumberFormat="1" applyFont="1" applyFill="1" applyAlignment="1">
      <alignment horizontal="right"/>
    </xf>
    <xf numFmtId="0" fontId="40" fillId="0" borderId="0" xfId="32" applyFont="1" applyAlignment="1">
      <alignment horizontal="left" indent="1"/>
    </xf>
    <xf numFmtId="0" fontId="12" fillId="0" borderId="0" xfId="26" applyFont="1" applyAlignment="1">
      <alignment horizontal="left" indent="1"/>
    </xf>
    <xf numFmtId="0" fontId="14" fillId="0" borderId="2" xfId="32" applyFont="1" applyBorder="1"/>
    <xf numFmtId="0" fontId="12" fillId="0" borderId="0" xfId="32" applyFont="1"/>
    <xf numFmtId="205" fontId="33" fillId="0" borderId="11" xfId="12" applyNumberFormat="1" applyFont="1" applyFill="1" applyBorder="1" applyAlignment="1">
      <alignment horizontal="right"/>
    </xf>
    <xf numFmtId="0" fontId="12" fillId="0" borderId="0" xfId="32" applyFont="1" applyFill="1" applyBorder="1"/>
    <xf numFmtId="179" fontId="43" fillId="3" borderId="16" xfId="27" applyNumberFormat="1" applyFont="1" applyFill="1" applyBorder="1" applyAlignment="1">
      <alignment horizontal="right"/>
    </xf>
    <xf numFmtId="179" fontId="43" fillId="0" borderId="11" xfId="32" applyNumberFormat="1" applyFont="1" applyFill="1" applyBorder="1" applyAlignment="1">
      <alignment horizontal="right"/>
    </xf>
    <xf numFmtId="179" fontId="43" fillId="0" borderId="0" xfId="32" applyNumberFormat="1" applyFont="1" applyFill="1" applyBorder="1" applyAlignment="1">
      <alignment horizontal="right"/>
    </xf>
    <xf numFmtId="179" fontId="43" fillId="0" borderId="17" xfId="32" applyNumberFormat="1" applyFont="1" applyFill="1" applyBorder="1" applyAlignment="1">
      <alignment horizontal="right"/>
    </xf>
    <xf numFmtId="179" fontId="43" fillId="0" borderId="2" xfId="32" applyNumberFormat="1" applyFont="1" applyFill="1" applyBorder="1" applyAlignment="1">
      <alignment horizontal="right"/>
    </xf>
    <xf numFmtId="179" fontId="36" fillId="0" borderId="2" xfId="32" applyNumberFormat="1" applyFont="1" applyFill="1" applyBorder="1" applyAlignment="1">
      <alignment horizontal="right"/>
    </xf>
    <xf numFmtId="10" fontId="11" fillId="0" borderId="0" xfId="39" applyNumberFormat="1" applyFont="1" applyAlignment="1">
      <alignment horizontal="right"/>
    </xf>
    <xf numFmtId="0" fontId="14" fillId="0" borderId="0" xfId="32" applyFont="1" applyBorder="1"/>
    <xf numFmtId="205" fontId="17" fillId="0" borderId="0" xfId="12" applyNumberFormat="1" applyFont="1" applyFill="1" applyAlignment="1">
      <alignment horizontal="right"/>
    </xf>
    <xf numFmtId="205" fontId="11" fillId="0" borderId="0" xfId="12" applyNumberFormat="1" applyFont="1" applyFill="1" applyAlignment="1">
      <alignment horizontal="right"/>
    </xf>
    <xf numFmtId="0" fontId="11" fillId="0" borderId="0" xfId="32" applyFont="1" applyBorder="1"/>
    <xf numFmtId="179" fontId="13" fillId="0" borderId="0" xfId="39" applyNumberFormat="1" applyFont="1" applyFill="1" applyBorder="1" applyAlignment="1">
      <alignment horizontal="right"/>
    </xf>
    <xf numFmtId="9" fontId="13" fillId="0" borderId="0" xfId="39" applyNumberFormat="1" applyFont="1" applyFill="1" applyBorder="1" applyAlignment="1">
      <alignment horizontal="right"/>
    </xf>
    <xf numFmtId="9" fontId="22" fillId="3" borderId="0" xfId="39" applyNumberFormat="1" applyFont="1" applyFill="1" applyBorder="1" applyAlignment="1">
      <alignment horizontal="right"/>
    </xf>
    <xf numFmtId="9" fontId="13" fillId="3" borderId="0" xfId="39" applyNumberFormat="1" applyFont="1" applyFill="1" applyBorder="1" applyAlignment="1">
      <alignment horizontal="right"/>
    </xf>
    <xf numFmtId="206" fontId="13" fillId="0" borderId="0" xfId="22" applyNumberFormat="1" applyFont="1" applyBorder="1" applyAlignment="1">
      <alignment horizontal="right"/>
    </xf>
    <xf numFmtId="207" fontId="22" fillId="0" borderId="0" xfId="24" applyNumberFormat="1" applyFont="1" applyBorder="1" applyAlignment="1">
      <alignment horizontal="right"/>
    </xf>
    <xf numFmtId="205" fontId="13" fillId="0" borderId="0" xfId="24" applyNumberFormat="1" applyFont="1" applyBorder="1" applyAlignment="1">
      <alignment horizontal="right"/>
    </xf>
    <xf numFmtId="179" fontId="13" fillId="0" borderId="0" xfId="39" applyNumberFormat="1" applyFont="1" applyBorder="1" applyAlignment="1">
      <alignment horizontal="right"/>
    </xf>
    <xf numFmtId="205" fontId="13" fillId="0" borderId="0" xfId="24" applyNumberFormat="1" applyFont="1" applyFill="1" applyBorder="1" applyAlignment="1">
      <alignment horizontal="right"/>
    </xf>
    <xf numFmtId="0" fontId="14" fillId="7" borderId="0" xfId="32" applyFont="1" applyFill="1" applyBorder="1"/>
    <xf numFmtId="9" fontId="43" fillId="3" borderId="7" xfId="39" applyFont="1" applyFill="1" applyBorder="1" applyAlignment="1">
      <alignment horizontal="right"/>
    </xf>
    <xf numFmtId="206" fontId="13" fillId="0" borderId="0" xfId="22" applyNumberFormat="1" applyFont="1" applyFill="1" applyBorder="1" applyAlignment="1">
      <alignment horizontal="right"/>
    </xf>
    <xf numFmtId="207" fontId="22" fillId="0" borderId="0" xfId="24" applyNumberFormat="1" applyFont="1" applyFill="1" applyBorder="1" applyAlignment="1">
      <alignment horizontal="right"/>
    </xf>
    <xf numFmtId="0" fontId="11" fillId="0" borderId="0" xfId="32" applyFont="1" applyBorder="1" applyAlignment="1">
      <alignment horizontal="left" indent="1"/>
    </xf>
    <xf numFmtId="179" fontId="22" fillId="3" borderId="0" xfId="39" applyNumberFormat="1" applyFont="1" applyFill="1" applyBorder="1" applyAlignment="1">
      <alignment horizontal="right"/>
    </xf>
    <xf numFmtId="205" fontId="44" fillId="0" borderId="0" xfId="24" applyNumberFormat="1" applyFont="1" applyFill="1" applyBorder="1" applyAlignment="1">
      <alignment horizontal="right"/>
    </xf>
    <xf numFmtId="210" fontId="44" fillId="0" borderId="0" xfId="39" applyNumberFormat="1" applyFont="1" applyFill="1" applyBorder="1" applyAlignment="1">
      <alignment horizontal="right"/>
    </xf>
    <xf numFmtId="205" fontId="13" fillId="0" borderId="0" xfId="12" applyNumberFormat="1" applyFont="1" applyBorder="1" applyAlignment="1">
      <alignment horizontal="right"/>
    </xf>
    <xf numFmtId="0" fontId="12" fillId="0" borderId="0" xfId="32" applyFont="1" applyAlignment="1">
      <alignment horizontal="left" indent="2"/>
    </xf>
    <xf numFmtId="9" fontId="11" fillId="0" borderId="0" xfId="39" applyNumberFormat="1" applyFont="1" applyAlignment="1">
      <alignment horizontal="right"/>
    </xf>
    <xf numFmtId="0" fontId="11" fillId="7" borderId="0" xfId="32" applyFont="1" applyFill="1"/>
    <xf numFmtId="205" fontId="22" fillId="3" borderId="0" xfId="12" applyNumberFormat="1" applyFont="1" applyFill="1" applyAlignment="1">
      <alignment horizontal="right"/>
    </xf>
    <xf numFmtId="205" fontId="22" fillId="3" borderId="0" xfId="13" applyNumberFormat="1" applyFont="1" applyFill="1" applyAlignment="1">
      <alignment horizontal="right"/>
    </xf>
    <xf numFmtId="205" fontId="22" fillId="2" borderId="0" xfId="13" applyNumberFormat="1" applyFont="1" applyFill="1" applyAlignment="1">
      <alignment horizontal="right"/>
    </xf>
    <xf numFmtId="205" fontId="11" fillId="0" borderId="0" xfId="12" applyNumberFormat="1" applyFont="1" applyAlignment="1">
      <alignment horizontal="right"/>
    </xf>
    <xf numFmtId="9" fontId="11" fillId="0" borderId="0" xfId="39" applyFont="1" applyAlignment="1">
      <alignment horizontal="right"/>
    </xf>
    <xf numFmtId="175" fontId="24" fillId="0" borderId="0" xfId="12" applyNumberFormat="1" applyFont="1" applyFill="1" applyBorder="1" applyAlignment="1">
      <alignment horizontal="right"/>
    </xf>
    <xf numFmtId="205" fontId="15" fillId="0" borderId="11" xfId="12" applyNumberFormat="1" applyFont="1" applyFill="1" applyBorder="1" applyAlignment="1">
      <alignment horizontal="right"/>
    </xf>
    <xf numFmtId="205" fontId="15" fillId="0" borderId="18" xfId="12" applyNumberFormat="1" applyFont="1" applyFill="1" applyBorder="1" applyAlignment="1">
      <alignment horizontal="right"/>
    </xf>
    <xf numFmtId="205" fontId="22" fillId="0" borderId="0" xfId="24" applyNumberFormat="1" applyFont="1" applyBorder="1" applyAlignment="1">
      <alignment horizontal="right"/>
    </xf>
    <xf numFmtId="205" fontId="15" fillId="3" borderId="2" xfId="12" applyNumberFormat="1" applyFont="1" applyFill="1" applyBorder="1" applyAlignment="1">
      <alignment horizontal="right"/>
    </xf>
    <xf numFmtId="205" fontId="15" fillId="3" borderId="19" xfId="12" applyNumberFormat="1" applyFont="1" applyFill="1" applyBorder="1" applyAlignment="1">
      <alignment horizontal="right"/>
    </xf>
    <xf numFmtId="205" fontId="17" fillId="0" borderId="0" xfId="12" applyNumberFormat="1" applyFont="1" applyFill="1" applyBorder="1" applyAlignment="1">
      <alignment horizontal="right"/>
    </xf>
    <xf numFmtId="205" fontId="22" fillId="0" borderId="0" xfId="24" applyNumberFormat="1" applyFont="1" applyFill="1" applyBorder="1" applyAlignment="1">
      <alignment horizontal="right"/>
    </xf>
    <xf numFmtId="179" fontId="22" fillId="0" borderId="0" xfId="39" applyNumberFormat="1" applyFont="1" applyBorder="1" applyAlignment="1">
      <alignment horizontal="right"/>
    </xf>
    <xf numFmtId="0" fontId="11" fillId="0" borderId="2" xfId="32" applyFont="1" applyBorder="1"/>
    <xf numFmtId="0" fontId="11" fillId="0" borderId="0" xfId="32" applyFont="1" applyBorder="1" applyAlignment="1">
      <alignment horizontal="left"/>
    </xf>
    <xf numFmtId="205" fontId="17" fillId="0" borderId="0" xfId="12" applyNumberFormat="1" applyFont="1" applyBorder="1" applyAlignment="1">
      <alignment horizontal="right"/>
    </xf>
    <xf numFmtId="204" fontId="11" fillId="7" borderId="0" xfId="26" applyNumberFormat="1" applyFont="1" applyFill="1" applyBorder="1" applyAlignment="1" applyProtection="1">
      <alignment horizontal="left"/>
    </xf>
    <xf numFmtId="205" fontId="17" fillId="7" borderId="7" xfId="12" applyNumberFormat="1" applyFont="1" applyFill="1" applyBorder="1" applyAlignment="1">
      <alignment horizontal="right"/>
    </xf>
    <xf numFmtId="205" fontId="17" fillId="7" borderId="7" xfId="13" applyNumberFormat="1" applyFont="1" applyFill="1" applyBorder="1" applyAlignment="1">
      <alignment horizontal="right"/>
    </xf>
    <xf numFmtId="205" fontId="17" fillId="7" borderId="5" xfId="13" applyNumberFormat="1" applyFont="1" applyFill="1" applyBorder="1" applyAlignment="1">
      <alignment horizontal="right"/>
    </xf>
    <xf numFmtId="205" fontId="11" fillId="0" borderId="0" xfId="12" applyNumberFormat="1" applyFont="1" applyFill="1" applyBorder="1" applyAlignment="1">
      <alignment horizontal="right"/>
    </xf>
    <xf numFmtId="183" fontId="11" fillId="0" borderId="0" xfId="32" applyNumberFormat="1" applyFont="1" applyFill="1" applyBorder="1"/>
    <xf numFmtId="183" fontId="11" fillId="0" borderId="0" xfId="32" applyNumberFormat="1" applyFont="1"/>
    <xf numFmtId="205" fontId="17" fillId="7" borderId="0" xfId="12" applyNumberFormat="1" applyFont="1" applyFill="1" applyAlignment="1">
      <alignment horizontal="right"/>
    </xf>
    <xf numFmtId="205" fontId="17" fillId="7" borderId="0" xfId="13" applyNumberFormat="1" applyFont="1" applyFill="1" applyAlignment="1">
      <alignment horizontal="right"/>
    </xf>
    <xf numFmtId="204" fontId="11" fillId="0" borderId="0" xfId="26" applyNumberFormat="1" applyFont="1" applyBorder="1" applyAlignment="1" applyProtection="1">
      <alignment horizontal="left"/>
    </xf>
    <xf numFmtId="0" fontId="11" fillId="0" borderId="0" xfId="32" applyFont="1" applyFill="1" applyAlignment="1">
      <alignment vertical="justify" textRotation="90" readingOrder="2"/>
    </xf>
    <xf numFmtId="175" fontId="45" fillId="0" borderId="0" xfId="12" applyNumberFormat="1" applyFont="1" applyFill="1"/>
    <xf numFmtId="183" fontId="24" fillId="0" borderId="0" xfId="12" applyNumberFormat="1" applyFont="1" applyFill="1" applyBorder="1" applyAlignment="1">
      <alignment horizontal="right"/>
    </xf>
    <xf numFmtId="183" fontId="24" fillId="0" borderId="0" xfId="32" applyNumberFormat="1" applyFont="1" applyFill="1" applyBorder="1"/>
    <xf numFmtId="175" fontId="11" fillId="0" borderId="0" xfId="12" applyNumberFormat="1" applyFont="1" applyFill="1"/>
    <xf numFmtId="205" fontId="16" fillId="0" borderId="6" xfId="12" applyNumberFormat="1" applyFont="1" applyFill="1" applyBorder="1" applyAlignment="1">
      <alignment horizontal="left" indent="1"/>
    </xf>
    <xf numFmtId="205" fontId="11" fillId="0" borderId="11" xfId="12" applyNumberFormat="1" applyFont="1" applyFill="1" applyBorder="1" applyAlignment="1">
      <alignment horizontal="right"/>
    </xf>
    <xf numFmtId="205" fontId="32" fillId="0" borderId="11" xfId="12" applyNumberFormat="1" applyFont="1" applyFill="1" applyBorder="1" applyAlignment="1">
      <alignment horizontal="right"/>
    </xf>
    <xf numFmtId="0" fontId="11" fillId="0" borderId="2" xfId="32" applyFont="1" applyBorder="1" applyAlignment="1">
      <alignment vertical="center" textRotation="90" readingOrder="2"/>
    </xf>
    <xf numFmtId="165" fontId="11" fillId="0" borderId="0" xfId="32" applyNumberFormat="1" applyFont="1" applyFill="1"/>
    <xf numFmtId="203" fontId="11" fillId="6" borderId="20" xfId="12" applyNumberFormat="1" applyFont="1" applyFill="1" applyBorder="1" applyAlignment="1">
      <alignment horizontal="right"/>
    </xf>
    <xf numFmtId="203" fontId="11" fillId="0" borderId="0" xfId="12" applyNumberFormat="1" applyFont="1" applyFill="1" applyBorder="1" applyAlignment="1">
      <alignment horizontal="right"/>
    </xf>
    <xf numFmtId="205" fontId="11" fillId="0" borderId="0" xfId="12" applyNumberFormat="1" applyFont="1" applyBorder="1" applyAlignment="1">
      <alignment horizontal="right"/>
    </xf>
    <xf numFmtId="205" fontId="11" fillId="0" borderId="16" xfId="12" applyNumberFormat="1" applyFont="1" applyBorder="1" applyAlignment="1">
      <alignment horizontal="right"/>
    </xf>
    <xf numFmtId="205" fontId="11" fillId="0" borderId="4" xfId="12" applyNumberFormat="1" applyFont="1" applyBorder="1" applyAlignment="1">
      <alignment horizontal="right"/>
    </xf>
    <xf numFmtId="205" fontId="11" fillId="0" borderId="0" xfId="32" applyNumberFormat="1" applyFont="1" applyAlignment="1">
      <alignment horizontal="right"/>
    </xf>
    <xf numFmtId="208" fontId="40" fillId="0" borderId="0" xfId="22" applyNumberFormat="1" applyFont="1" applyBorder="1" applyAlignment="1">
      <alignment horizontal="right"/>
    </xf>
    <xf numFmtId="205" fontId="11" fillId="3" borderId="0" xfId="32" applyNumberFormat="1" applyFont="1" applyFill="1"/>
    <xf numFmtId="205" fontId="15" fillId="3" borderId="0" xfId="32" applyNumberFormat="1" applyFont="1" applyFill="1"/>
    <xf numFmtId="1" fontId="24" fillId="0" borderId="0" xfId="32" applyNumberFormat="1" applyFont="1"/>
    <xf numFmtId="209" fontId="40" fillId="0" borderId="0" xfId="22" applyNumberFormat="1" applyFont="1" applyBorder="1" applyAlignment="1">
      <alignment horizontal="right"/>
    </xf>
    <xf numFmtId="0" fontId="24" fillId="0" borderId="0" xfId="32" applyFont="1"/>
    <xf numFmtId="165" fontId="14" fillId="0" borderId="0" xfId="32" applyNumberFormat="1" applyFont="1" applyAlignment="1">
      <alignment horizontal="right"/>
    </xf>
    <xf numFmtId="203" fontId="14" fillId="0" borderId="0" xfId="32" applyNumberFormat="1" applyFont="1" applyAlignment="1">
      <alignment horizontal="right"/>
    </xf>
    <xf numFmtId="203" fontId="33" fillId="0" borderId="0" xfId="32" applyNumberFormat="1" applyFont="1" applyAlignment="1">
      <alignment horizontal="right"/>
    </xf>
    <xf numFmtId="203" fontId="11" fillId="0" borderId="0" xfId="32" applyNumberFormat="1" applyFont="1" applyAlignment="1">
      <alignment horizontal="right"/>
    </xf>
    <xf numFmtId="203" fontId="24" fillId="0" borderId="0" xfId="32" applyNumberFormat="1" applyFont="1" applyAlignment="1">
      <alignment horizontal="right"/>
    </xf>
    <xf numFmtId="203" fontId="13" fillId="0" borderId="0" xfId="32" applyNumberFormat="1" applyFont="1" applyAlignment="1">
      <alignment horizontal="right"/>
    </xf>
    <xf numFmtId="203" fontId="13" fillId="0" borderId="0" xfId="32" applyNumberFormat="1" applyFont="1" applyFill="1" applyAlignment="1">
      <alignment horizontal="right"/>
    </xf>
    <xf numFmtId="203" fontId="24" fillId="0" borderId="0" xfId="32" applyNumberFormat="1" applyFont="1" applyFill="1" applyAlignment="1">
      <alignment horizontal="right"/>
    </xf>
    <xf numFmtId="205" fontId="11" fillId="0" borderId="0" xfId="32" applyNumberFormat="1" applyFont="1" applyBorder="1"/>
    <xf numFmtId="203" fontId="11" fillId="0" borderId="0" xfId="32" applyNumberFormat="1" applyFont="1" applyBorder="1" applyAlignment="1">
      <alignment horizontal="right"/>
    </xf>
    <xf numFmtId="203" fontId="24" fillId="0" borderId="0" xfId="32" applyNumberFormat="1" applyFont="1" applyFill="1" applyBorder="1" applyAlignment="1">
      <alignment horizontal="right"/>
    </xf>
    <xf numFmtId="204" fontId="11" fillId="0" borderId="2" xfId="26" applyNumberFormat="1" applyFont="1" applyBorder="1" applyAlignment="1" applyProtection="1">
      <alignment horizontal="left"/>
    </xf>
    <xf numFmtId="165" fontId="11" fillId="0" borderId="11" xfId="32" applyNumberFormat="1" applyFont="1" applyBorder="1" applyAlignment="1">
      <alignment horizontal="right"/>
    </xf>
    <xf numFmtId="165" fontId="24" fillId="0" borderId="0" xfId="32" applyNumberFormat="1" applyFont="1" applyBorder="1" applyAlignment="1">
      <alignment horizontal="right"/>
    </xf>
    <xf numFmtId="204" fontId="45" fillId="0" borderId="0" xfId="26" applyNumberFormat="1" applyFont="1" applyBorder="1" applyAlignment="1" applyProtection="1">
      <alignment horizontal="left"/>
    </xf>
    <xf numFmtId="0" fontId="46" fillId="0" borderId="0" xfId="32" applyFont="1" applyFill="1" applyBorder="1" applyAlignment="1">
      <alignment horizontal="right"/>
    </xf>
    <xf numFmtId="175" fontId="32" fillId="0" borderId="0" xfId="12" applyNumberFormat="1" applyFont="1" applyFill="1" applyBorder="1"/>
    <xf numFmtId="204" fontId="14" fillId="0" borderId="0" xfId="26" applyNumberFormat="1" applyFont="1" applyBorder="1" applyAlignment="1" applyProtection="1">
      <alignment horizontal="left"/>
    </xf>
    <xf numFmtId="179" fontId="22" fillId="0" borderId="0" xfId="39" applyNumberFormat="1" applyFont="1" applyAlignment="1">
      <alignment horizontal="right"/>
    </xf>
    <xf numFmtId="176" fontId="29" fillId="0" borderId="0" xfId="33" applyFont="1" applyFill="1" applyBorder="1" applyAlignment="1">
      <alignment horizontal="center"/>
    </xf>
    <xf numFmtId="37" fontId="13" fillId="0" borderId="0" xfId="21" applyFont="1" applyFill="1"/>
    <xf numFmtId="37" fontId="14" fillId="0" borderId="0" xfId="21" applyFont="1" applyFill="1" applyAlignment="1">
      <alignment horizontal="left"/>
    </xf>
    <xf numFmtId="37" fontId="13" fillId="0" borderId="0" xfId="21" applyFont="1" applyFill="1" applyAlignment="1">
      <alignment horizontal="center"/>
    </xf>
    <xf numFmtId="37" fontId="6" fillId="0" borderId="0" xfId="21"/>
    <xf numFmtId="37" fontId="14" fillId="8" borderId="22" xfId="21" applyFont="1" applyFill="1" applyBorder="1"/>
    <xf numFmtId="37" fontId="47" fillId="8" borderId="9" xfId="21" applyFont="1" applyFill="1" applyBorder="1" applyAlignment="1">
      <alignment horizontal="center"/>
    </xf>
    <xf numFmtId="37" fontId="47" fillId="8" borderId="12" xfId="21" applyFont="1" applyFill="1" applyBorder="1" applyAlignment="1">
      <alignment horizontal="center"/>
    </xf>
    <xf numFmtId="37" fontId="47" fillId="8" borderId="30" xfId="21" applyFont="1" applyFill="1" applyBorder="1" applyAlignment="1">
      <alignment horizontal="centerContinuous"/>
    </xf>
    <xf numFmtId="37" fontId="20" fillId="8" borderId="31" xfId="21" applyFont="1" applyFill="1" applyBorder="1" applyAlignment="1">
      <alignment horizontal="centerContinuous"/>
    </xf>
    <xf numFmtId="37" fontId="20" fillId="8" borderId="32" xfId="21" applyFont="1" applyFill="1" applyBorder="1" applyAlignment="1">
      <alignment horizontal="centerContinuous"/>
    </xf>
    <xf numFmtId="37" fontId="47" fillId="8" borderId="26" xfId="21" applyFont="1" applyFill="1" applyBorder="1" applyAlignment="1">
      <alignment horizontal="centerContinuous"/>
    </xf>
    <xf numFmtId="37" fontId="47" fillId="8" borderId="23" xfId="21" applyFont="1" applyFill="1" applyBorder="1" applyAlignment="1">
      <alignment horizontal="center"/>
    </xf>
    <xf numFmtId="37" fontId="47" fillId="8" borderId="0" xfId="21" applyFont="1" applyFill="1" applyBorder="1" applyAlignment="1">
      <alignment horizontal="center"/>
    </xf>
    <xf numFmtId="37" fontId="47" fillId="8" borderId="24" xfId="21" applyFont="1" applyFill="1" applyBorder="1" applyAlignment="1">
      <alignment horizontal="center"/>
    </xf>
    <xf numFmtId="37" fontId="47" fillId="8" borderId="27" xfId="21" applyFont="1" applyFill="1" applyBorder="1" applyAlignment="1">
      <alignment horizontal="center"/>
    </xf>
    <xf numFmtId="5" fontId="13" fillId="0" borderId="23" xfId="21" applyNumberFormat="1" applyFont="1" applyFill="1" applyBorder="1" applyAlignment="1">
      <alignment horizontal="left"/>
    </xf>
    <xf numFmtId="172" fontId="14" fillId="0" borderId="0" xfId="21" applyNumberFormat="1" applyFont="1" applyFill="1" applyBorder="1" applyAlignment="1" applyProtection="1">
      <alignment horizontal="center"/>
    </xf>
    <xf numFmtId="6" fontId="14" fillId="0" borderId="23" xfId="21" applyNumberFormat="1" applyFont="1" applyFill="1" applyBorder="1" applyAlignment="1">
      <alignment horizontal="center"/>
    </xf>
    <xf numFmtId="6" fontId="14" fillId="0" borderId="0" xfId="21" applyNumberFormat="1" applyFont="1" applyFill="1" applyBorder="1" applyAlignment="1">
      <alignment horizontal="center"/>
    </xf>
    <xf numFmtId="6" fontId="14" fillId="0" borderId="24" xfId="21" applyNumberFormat="1" applyFont="1" applyFill="1" applyBorder="1" applyAlignment="1">
      <alignment horizontal="center"/>
    </xf>
    <xf numFmtId="5" fontId="13" fillId="0" borderId="0" xfId="21" applyNumberFormat="1" applyFont="1" applyFill="1" applyAlignment="1">
      <alignment horizontal="left"/>
    </xf>
    <xf numFmtId="182" fontId="13" fillId="0" borderId="0" xfId="21" applyNumberFormat="1" applyFont="1" applyFill="1" applyBorder="1" applyAlignment="1" applyProtection="1">
      <alignment horizontal="center"/>
    </xf>
    <xf numFmtId="214" fontId="13" fillId="0" borderId="23" xfId="21" applyNumberFormat="1" applyFont="1" applyFill="1" applyBorder="1" applyAlignment="1">
      <alignment horizontal="center"/>
    </xf>
    <xf numFmtId="214" fontId="13" fillId="0" borderId="0" xfId="21" applyNumberFormat="1" applyFont="1" applyFill="1" applyBorder="1" applyAlignment="1">
      <alignment horizontal="center"/>
    </xf>
    <xf numFmtId="214" fontId="13" fillId="0" borderId="24" xfId="21" applyNumberFormat="1" applyFont="1" applyFill="1" applyBorder="1" applyAlignment="1">
      <alignment horizontal="center"/>
    </xf>
    <xf numFmtId="182" fontId="13" fillId="0" borderId="0" xfId="21" applyNumberFormat="1" applyFont="1" applyFill="1" applyAlignment="1" applyProtection="1">
      <alignment horizontal="center"/>
    </xf>
    <xf numFmtId="164" fontId="13" fillId="0" borderId="0" xfId="21" applyNumberFormat="1" applyFont="1" applyFill="1" applyBorder="1" applyAlignment="1" applyProtection="1">
      <alignment horizontal="center"/>
    </xf>
    <xf numFmtId="6" fontId="13" fillId="0" borderId="23" xfId="21" applyNumberFormat="1" applyFont="1" applyFill="1" applyBorder="1" applyAlignment="1">
      <alignment horizontal="center"/>
    </xf>
    <xf numFmtId="6" fontId="13" fillId="0" borderId="0" xfId="21" applyNumberFormat="1" applyFont="1" applyFill="1" applyBorder="1" applyAlignment="1">
      <alignment horizontal="center"/>
    </xf>
    <xf numFmtId="6" fontId="13" fillId="0" borderId="24" xfId="21" applyNumberFormat="1" applyFont="1" applyFill="1" applyBorder="1" applyAlignment="1">
      <alignment horizontal="center"/>
    </xf>
    <xf numFmtId="164" fontId="13" fillId="0" borderId="0" xfId="21" applyNumberFormat="1" applyFont="1" applyFill="1" applyBorder="1" applyAlignment="1">
      <alignment horizontal="center"/>
    </xf>
    <xf numFmtId="5" fontId="13" fillId="3" borderId="23" xfId="21" applyNumberFormat="1" applyFont="1" applyFill="1" applyBorder="1" applyAlignment="1">
      <alignment horizontal="left"/>
    </xf>
    <xf numFmtId="164" fontId="22" fillId="3" borderId="0" xfId="21" applyNumberFormat="1" applyFont="1" applyFill="1" applyBorder="1" applyAlignment="1" applyProtection="1">
      <alignment horizontal="center"/>
    </xf>
    <xf numFmtId="37" fontId="13" fillId="0" borderId="0" xfId="21" applyNumberFormat="1" applyFont="1" applyFill="1" applyBorder="1" applyAlignment="1" applyProtection="1">
      <alignment horizontal="center"/>
    </xf>
    <xf numFmtId="5" fontId="14" fillId="0" borderId="26" xfId="21" applyNumberFormat="1" applyFont="1" applyFill="1" applyBorder="1" applyAlignment="1">
      <alignment horizontal="center"/>
    </xf>
    <xf numFmtId="7" fontId="14" fillId="0" borderId="0" xfId="21" applyNumberFormat="1" applyFont="1" applyFill="1" applyBorder="1" applyAlignment="1" applyProtection="1">
      <alignment horizontal="center"/>
    </xf>
    <xf numFmtId="8" fontId="14" fillId="0" borderId="23" xfId="21" applyNumberFormat="1" applyFont="1" applyFill="1" applyBorder="1" applyAlignment="1">
      <alignment horizontal="center"/>
    </xf>
    <xf numFmtId="8" fontId="14" fillId="0" borderId="0" xfId="21" applyNumberFormat="1" applyFont="1" applyFill="1" applyBorder="1" applyAlignment="1">
      <alignment horizontal="center"/>
    </xf>
    <xf numFmtId="8" fontId="14" fillId="0" borderId="24" xfId="21" applyNumberFormat="1" applyFont="1" applyFill="1" applyBorder="1" applyAlignment="1">
      <alignment horizontal="center"/>
    </xf>
    <xf numFmtId="43" fontId="14" fillId="0" borderId="29" xfId="9" applyFont="1" applyFill="1" applyBorder="1" applyAlignment="1">
      <alignment horizontal="center"/>
    </xf>
    <xf numFmtId="38" fontId="13" fillId="0" borderId="23" xfId="21" applyNumberFormat="1" applyFont="1" applyFill="1" applyBorder="1" applyAlignment="1">
      <alignment horizontal="center"/>
    </xf>
    <xf numFmtId="37" fontId="13" fillId="0" borderId="0" xfId="21" applyNumberFormat="1" applyFont="1" applyFill="1" applyBorder="1" applyAlignment="1">
      <alignment horizontal="center"/>
    </xf>
    <xf numFmtId="37" fontId="13" fillId="0" borderId="24" xfId="21" applyNumberFormat="1" applyFont="1" applyFill="1" applyBorder="1" applyAlignment="1">
      <alignment horizontal="center"/>
    </xf>
    <xf numFmtId="186" fontId="13" fillId="0" borderId="0" xfId="21" applyNumberFormat="1" applyFont="1" applyFill="1" applyBorder="1" applyAlignment="1" applyProtection="1">
      <alignment horizontal="center"/>
    </xf>
    <xf numFmtId="5" fontId="14" fillId="0" borderId="23" xfId="21" applyNumberFormat="1" applyFont="1" applyFill="1" applyBorder="1" applyAlignment="1">
      <alignment horizontal="left"/>
    </xf>
    <xf numFmtId="164" fontId="13" fillId="0" borderId="23" xfId="21" applyNumberFormat="1" applyFont="1" applyFill="1" applyBorder="1" applyAlignment="1" applyProtection="1">
      <alignment horizontal="center"/>
    </xf>
    <xf numFmtId="164" fontId="13" fillId="0" borderId="24" xfId="21" applyNumberFormat="1" applyFont="1" applyFill="1" applyBorder="1" applyAlignment="1" applyProtection="1">
      <alignment horizontal="center"/>
    </xf>
    <xf numFmtId="37" fontId="13" fillId="0" borderId="27" xfId="21" applyFont="1" applyFill="1" applyBorder="1"/>
    <xf numFmtId="5" fontId="14" fillId="0" borderId="0" xfId="21" applyNumberFormat="1" applyFont="1" applyFill="1" applyAlignment="1">
      <alignment horizontal="left"/>
    </xf>
    <xf numFmtId="182" fontId="13" fillId="0" borderId="27" xfId="21" applyNumberFormat="1" applyFont="1" applyFill="1" applyBorder="1" applyAlignment="1" applyProtection="1">
      <alignment horizontal="center"/>
    </xf>
    <xf numFmtId="37" fontId="13" fillId="0" borderId="25" xfId="21" applyFont="1" applyFill="1" applyBorder="1"/>
    <xf numFmtId="37" fontId="13" fillId="0" borderId="3" xfId="21" applyFont="1" applyFill="1" applyBorder="1" applyAlignment="1">
      <alignment horizontal="center"/>
    </xf>
    <xf numFmtId="37" fontId="13" fillId="0" borderId="13" xfId="21" applyFont="1" applyFill="1" applyBorder="1" applyAlignment="1">
      <alignment horizontal="center"/>
    </xf>
    <xf numFmtId="37" fontId="13" fillId="0" borderId="3" xfId="21" applyFont="1" applyFill="1" applyBorder="1"/>
    <xf numFmtId="37" fontId="13" fillId="0" borderId="13" xfId="21" applyFont="1" applyFill="1" applyBorder="1"/>
    <xf numFmtId="37" fontId="13" fillId="0" borderId="29" xfId="21" applyFont="1" applyFill="1" applyBorder="1"/>
    <xf numFmtId="37" fontId="13" fillId="0" borderId="0" xfId="21" applyFont="1" applyFill="1" applyBorder="1"/>
    <xf numFmtId="37" fontId="16" fillId="0" borderId="0" xfId="21" applyFont="1" applyFill="1"/>
    <xf numFmtId="37" fontId="8" fillId="0" borderId="0" xfId="21" applyFont="1" applyFill="1"/>
    <xf numFmtId="5" fontId="13" fillId="0" borderId="0" xfId="21" applyNumberFormat="1" applyFont="1" applyFill="1" applyBorder="1" applyAlignment="1">
      <alignment horizontal="left"/>
    </xf>
    <xf numFmtId="213" fontId="11" fillId="0" borderId="0" xfId="21" applyNumberFormat="1" applyFont="1" applyFill="1"/>
    <xf numFmtId="5" fontId="13" fillId="0" borderId="2" xfId="21" applyNumberFormat="1" applyFont="1" applyFill="1" applyBorder="1" applyAlignment="1">
      <alignment horizontal="left"/>
    </xf>
    <xf numFmtId="213" fontId="11" fillId="0" borderId="2" xfId="21" applyNumberFormat="1" applyFont="1" applyBorder="1"/>
    <xf numFmtId="37" fontId="8" fillId="0" borderId="0" xfId="21" applyFont="1"/>
    <xf numFmtId="213" fontId="11" fillId="0" borderId="0" xfId="21" applyNumberFormat="1" applyFont="1"/>
    <xf numFmtId="182" fontId="13" fillId="0" borderId="24" xfId="21" applyNumberFormat="1" applyFont="1" applyFill="1" applyBorder="1" applyAlignment="1" applyProtection="1">
      <alignment horizontal="center"/>
    </xf>
    <xf numFmtId="164" fontId="14" fillId="0" borderId="24" xfId="21" applyNumberFormat="1" applyFont="1" applyFill="1" applyBorder="1" applyAlignment="1" applyProtection="1">
      <alignment horizontal="center"/>
    </xf>
    <xf numFmtId="37" fontId="13" fillId="0" borderId="24" xfId="21" applyNumberFormat="1" applyFont="1" applyFill="1" applyBorder="1" applyAlignment="1" applyProtection="1">
      <alignment horizontal="center"/>
    </xf>
    <xf numFmtId="164" fontId="13" fillId="0" borderId="24" xfId="21" applyNumberFormat="1" applyFont="1" applyFill="1" applyBorder="1" applyAlignment="1">
      <alignment horizontal="center"/>
    </xf>
    <xf numFmtId="186" fontId="14" fillId="0" borderId="0" xfId="21" applyNumberFormat="1" applyFont="1" applyFill="1" applyBorder="1" applyAlignment="1" applyProtection="1">
      <alignment horizontal="center"/>
    </xf>
    <xf numFmtId="8" fontId="13" fillId="0" borderId="27" xfId="21" applyNumberFormat="1" applyFont="1" applyFill="1" applyBorder="1" applyAlignment="1">
      <alignment horizontal="center"/>
    </xf>
    <xf numFmtId="8" fontId="13" fillId="0" borderId="27" xfId="21" applyNumberFormat="1" applyFont="1" applyFill="1" applyBorder="1"/>
    <xf numFmtId="8" fontId="14" fillId="0" borderId="27" xfId="21" applyNumberFormat="1" applyFont="1" applyFill="1" applyBorder="1" applyAlignment="1">
      <alignment horizontal="center"/>
    </xf>
    <xf numFmtId="8" fontId="13" fillId="0" borderId="33" xfId="21" applyNumberFormat="1" applyFont="1" applyFill="1" applyBorder="1" applyAlignment="1">
      <alignment horizontal="center"/>
    </xf>
    <xf numFmtId="8" fontId="14" fillId="0" borderId="34" xfId="21" applyNumberFormat="1" applyFont="1" applyFill="1" applyBorder="1" applyAlignment="1">
      <alignment horizontal="center"/>
    </xf>
    <xf numFmtId="164" fontId="13" fillId="0" borderId="0" xfId="21" applyNumberFormat="1" applyFont="1" applyFill="1"/>
    <xf numFmtId="0" fontId="14" fillId="0" borderId="0" xfId="0" applyFont="1" applyBorder="1" applyAlignment="1">
      <alignment horizontal="center"/>
    </xf>
    <xf numFmtId="213" fontId="0" fillId="0" borderId="0" xfId="0" applyNumberFormat="1"/>
    <xf numFmtId="37" fontId="2" fillId="0" borderId="0" xfId="0" applyNumberFormat="1" applyFont="1" applyFill="1"/>
    <xf numFmtId="37" fontId="8" fillId="0" borderId="0" xfId="0" applyNumberFormat="1" applyFont="1" applyFill="1"/>
    <xf numFmtId="205" fontId="17" fillId="7" borderId="18" xfId="13" applyNumberFormat="1" applyFont="1" applyFill="1" applyBorder="1" applyAlignment="1">
      <alignment horizontal="right"/>
    </xf>
    <xf numFmtId="0" fontId="8" fillId="3" borderId="0" xfId="0" applyFont="1" applyFill="1"/>
    <xf numFmtId="0" fontId="15" fillId="0" borderId="0" xfId="0" applyFont="1"/>
    <xf numFmtId="0" fontId="14" fillId="0" borderId="11" xfId="0" applyFont="1" applyBorder="1" applyAlignment="1">
      <alignment horizontal="center"/>
    </xf>
    <xf numFmtId="0" fontId="58" fillId="0" borderId="0" xfId="0" applyFont="1"/>
    <xf numFmtId="220" fontId="59" fillId="0" borderId="0" xfId="0" applyNumberFormat="1" applyFont="1"/>
    <xf numFmtId="164" fontId="59" fillId="0" borderId="0" xfId="0" applyNumberFormat="1" applyFont="1"/>
    <xf numFmtId="0" fontId="58" fillId="0" borderId="0" xfId="0" applyFont="1" applyAlignment="1">
      <alignment horizontal="left" indent="1"/>
    </xf>
    <xf numFmtId="44" fontId="13" fillId="0" borderId="4" xfId="0" applyNumberFormat="1" applyFont="1" applyBorder="1"/>
    <xf numFmtId="0" fontId="60" fillId="0" borderId="0" xfId="0" applyFont="1"/>
    <xf numFmtId="179" fontId="59" fillId="0" borderId="0" xfId="39" applyNumberFormat="1" applyFont="1"/>
    <xf numFmtId="179" fontId="59" fillId="0" borderId="0" xfId="39" applyNumberFormat="1" applyFont="1" applyAlignment="1">
      <alignment horizontal="right"/>
    </xf>
    <xf numFmtId="164" fontId="59" fillId="0" borderId="0" xfId="0" applyNumberFormat="1" applyFont="1" applyAlignment="1">
      <alignment horizontal="right"/>
    </xf>
    <xf numFmtId="220" fontId="13" fillId="0" borderId="0" xfId="0" applyNumberFormat="1" applyFont="1"/>
    <xf numFmtId="164" fontId="13" fillId="0" borderId="0" xfId="0" applyNumberFormat="1" applyFont="1"/>
    <xf numFmtId="164" fontId="22" fillId="0" borderId="0" xfId="0" applyNumberFormat="1" applyFont="1"/>
    <xf numFmtId="179" fontId="22" fillId="0" borderId="0" xfId="39" applyNumberFormat="1" applyFont="1"/>
    <xf numFmtId="179" fontId="13" fillId="0" borderId="0" xfId="39" applyNumberFormat="1" applyFont="1" applyAlignment="1">
      <alignment horizontal="right"/>
    </xf>
    <xf numFmtId="164" fontId="22" fillId="0" borderId="0" xfId="0" applyNumberFormat="1" applyFont="1" applyFill="1"/>
    <xf numFmtId="179" fontId="13" fillId="0" borderId="0" xfId="39" applyNumberFormat="1" applyFont="1" applyBorder="1"/>
    <xf numFmtId="0" fontId="8" fillId="9" borderId="0" xfId="0" applyFont="1" applyFill="1"/>
    <xf numFmtId="0" fontId="61" fillId="0" borderId="0" xfId="0" applyFont="1"/>
    <xf numFmtId="164" fontId="13" fillId="0" borderId="0" xfId="0" applyNumberFormat="1" applyFont="1" applyFill="1"/>
    <xf numFmtId="0" fontId="14" fillId="0" borderId="0" xfId="23" applyFont="1" applyFill="1" applyAlignment="1">
      <alignment horizontal="right"/>
    </xf>
    <xf numFmtId="0" fontId="14" fillId="6" borderId="21" xfId="23" applyFont="1" applyFill="1" applyBorder="1" applyAlignment="1">
      <alignment horizontal="left" indent="1"/>
    </xf>
    <xf numFmtId="0" fontId="11" fillId="0" borderId="0" xfId="23" applyFont="1" applyBorder="1" applyAlignment="1">
      <alignment horizontal="center"/>
    </xf>
    <xf numFmtId="0" fontId="13" fillId="0" borderId="0" xfId="23" applyFont="1" applyBorder="1" applyAlignment="1">
      <alignment horizontal="center"/>
    </xf>
    <xf numFmtId="179" fontId="11" fillId="0" borderId="0" xfId="39" applyNumberFormat="1" applyFont="1" applyBorder="1" applyAlignment="1">
      <alignment horizontal="right"/>
    </xf>
    <xf numFmtId="179" fontId="11" fillId="0" borderId="0" xfId="39" applyNumberFormat="1" applyFont="1" applyFill="1" applyBorder="1"/>
    <xf numFmtId="213" fontId="62" fillId="0" borderId="0" xfId="21" applyNumberFormat="1" applyFont="1" applyFill="1"/>
    <xf numFmtId="213" fontId="62" fillId="0" borderId="2" xfId="21" applyNumberFormat="1" applyFont="1" applyBorder="1"/>
    <xf numFmtId="0" fontId="0" fillId="0" borderId="0" xfId="0" applyAlignment="1">
      <alignment horizontal="center"/>
    </xf>
    <xf numFmtId="179" fontId="13" fillId="0" borderId="0" xfId="39" applyNumberFormat="1" applyFont="1" applyFill="1" applyAlignment="1">
      <alignment horizontal="left"/>
    </xf>
    <xf numFmtId="182" fontId="11" fillId="0" borderId="24" xfId="21" applyNumberFormat="1" applyFont="1" applyFill="1" applyBorder="1" applyAlignment="1" applyProtection="1">
      <alignment horizontal="center"/>
    </xf>
    <xf numFmtId="8" fontId="13" fillId="4" borderId="33" xfId="21" applyNumberFormat="1" applyFont="1" applyFill="1" applyBorder="1" applyAlignment="1">
      <alignment horizontal="center"/>
    </xf>
    <xf numFmtId="8" fontId="14" fillId="4" borderId="35" xfId="21" applyNumberFormat="1" applyFont="1" applyFill="1" applyBorder="1" applyAlignment="1">
      <alignment horizontal="center"/>
    </xf>
    <xf numFmtId="182" fontId="11" fillId="0" borderId="0" xfId="21" applyNumberFormat="1" applyFont="1" applyFill="1" applyBorder="1" applyAlignment="1" applyProtection="1">
      <alignment horizontal="center"/>
    </xf>
    <xf numFmtId="0" fontId="8" fillId="0" borderId="0" xfId="0" applyFont="1" applyAlignment="1">
      <alignment horizontal="center"/>
    </xf>
    <xf numFmtId="179" fontId="8" fillId="0" borderId="0" xfId="39" applyNumberFormat="1" applyFont="1"/>
    <xf numFmtId="2" fontId="8" fillId="0" borderId="0" xfId="0" applyNumberFormat="1" applyFont="1"/>
    <xf numFmtId="0" fontId="11" fillId="0" borderId="0" xfId="9" applyNumberFormat="1" applyFont="1" applyFill="1"/>
    <xf numFmtId="0" fontId="0" fillId="0" borderId="0" xfId="0"/>
    <xf numFmtId="0" fontId="8" fillId="10" borderId="0" xfId="0" applyFont="1" applyFill="1"/>
    <xf numFmtId="0" fontId="0" fillId="10" borderId="0" xfId="0" applyFill="1"/>
    <xf numFmtId="0" fontId="8" fillId="10" borderId="0" xfId="0" applyFont="1" applyFill="1" applyBorder="1"/>
    <xf numFmtId="3" fontId="8" fillId="10" borderId="0" xfId="0" applyNumberFormat="1" applyFont="1" applyFill="1"/>
    <xf numFmtId="164" fontId="17" fillId="0" borderId="0" xfId="0" applyNumberFormat="1" applyFont="1" applyFill="1"/>
    <xf numFmtId="179" fontId="17" fillId="0" borderId="0" xfId="39" applyNumberFormat="1" applyFont="1"/>
    <xf numFmtId="9" fontId="0" fillId="0" borderId="0" xfId="39" applyFont="1"/>
    <xf numFmtId="0" fontId="2" fillId="10" borderId="0" xfId="0" applyFont="1" applyFill="1"/>
    <xf numFmtId="179" fontId="8" fillId="10" borderId="0" xfId="39" applyNumberFormat="1" applyFont="1" applyFill="1"/>
    <xf numFmtId="37" fontId="2" fillId="10" borderId="2" xfId="30" applyFont="1" applyFill="1" applyBorder="1" applyAlignment="1" applyProtection="1">
      <alignment horizontal="left"/>
    </xf>
    <xf numFmtId="0" fontId="8" fillId="10" borderId="2" xfId="0" applyFont="1" applyFill="1" applyBorder="1"/>
    <xf numFmtId="37" fontId="27" fillId="10" borderId="0" xfId="30" applyFont="1" applyFill="1" applyAlignment="1" applyProtection="1">
      <alignment horizontal="left"/>
    </xf>
    <xf numFmtId="190" fontId="8" fillId="10" borderId="0" xfId="0" applyNumberFormat="1" applyFont="1" applyFill="1"/>
    <xf numFmtId="2" fontId="8" fillId="10" borderId="0" xfId="39" applyNumberFormat="1" applyFont="1" applyFill="1"/>
    <xf numFmtId="0" fontId="2" fillId="10" borderId="0" xfId="0" applyFont="1" applyFill="1" applyAlignment="1">
      <alignment horizontal="centerContinuous"/>
    </xf>
    <xf numFmtId="0" fontId="8" fillId="10" borderId="0" xfId="0" applyFont="1" applyFill="1" applyAlignment="1">
      <alignment horizontal="centerContinuous"/>
    </xf>
    <xf numFmtId="5" fontId="8" fillId="10" borderId="0" xfId="0" applyNumberFormat="1" applyFont="1" applyFill="1"/>
    <xf numFmtId="7" fontId="8" fillId="10" borderId="0" xfId="0" applyNumberFormat="1" applyFont="1" applyFill="1"/>
    <xf numFmtId="184" fontId="8" fillId="10" borderId="0" xfId="0" applyNumberFormat="1" applyFont="1" applyFill="1"/>
    <xf numFmtId="192" fontId="8" fillId="10" borderId="0" xfId="0" applyNumberFormat="1" applyFont="1" applyFill="1"/>
    <xf numFmtId="0" fontId="8" fillId="10" borderId="6" xfId="0" applyFont="1" applyFill="1" applyBorder="1"/>
    <xf numFmtId="0" fontId="8" fillId="10" borderId="11" xfId="0" applyFont="1" applyFill="1" applyBorder="1"/>
    <xf numFmtId="184" fontId="2" fillId="10" borderId="4" xfId="0" applyNumberFormat="1" applyFont="1" applyFill="1" applyBorder="1" applyAlignment="1">
      <alignment horizontal="centerContinuous"/>
    </xf>
    <xf numFmtId="0" fontId="2" fillId="10" borderId="4" xfId="0" applyFont="1" applyFill="1" applyBorder="1" applyAlignment="1">
      <alignment horizontal="centerContinuous"/>
    </xf>
    <xf numFmtId="0" fontId="79" fillId="10" borderId="4" xfId="0" applyFont="1" applyFill="1" applyBorder="1" applyAlignment="1">
      <alignment horizontal="centerContinuous"/>
    </xf>
    <xf numFmtId="184" fontId="2" fillId="10" borderId="6" xfId="0" applyNumberFormat="1" applyFont="1" applyFill="1" applyBorder="1" applyAlignment="1">
      <alignment horizontal="center"/>
    </xf>
    <xf numFmtId="184" fontId="2" fillId="10" borderId="11" xfId="0" applyNumberFormat="1" applyFont="1" applyFill="1" applyBorder="1" applyAlignment="1">
      <alignment horizontal="center"/>
    </xf>
    <xf numFmtId="0" fontId="66" fillId="10" borderId="1" xfId="0" applyFont="1" applyFill="1" applyBorder="1"/>
    <xf numFmtId="0" fontId="66" fillId="10" borderId="0" xfId="0" applyFont="1" applyFill="1" applyBorder="1" applyAlignment="1">
      <alignment horizontal="center"/>
    </xf>
    <xf numFmtId="0" fontId="66" fillId="10" borderId="1" xfId="0" applyFont="1" applyFill="1" applyBorder="1" applyAlignment="1">
      <alignment horizontal="center"/>
    </xf>
    <xf numFmtId="0" fontId="66" fillId="10" borderId="20" xfId="0" applyFont="1" applyFill="1" applyBorder="1" applyAlignment="1">
      <alignment horizontal="center"/>
    </xf>
    <xf numFmtId="0" fontId="8" fillId="10" borderId="1" xfId="0" applyFont="1" applyFill="1" applyBorder="1"/>
    <xf numFmtId="0" fontId="8" fillId="10" borderId="20" xfId="0" applyFont="1" applyFill="1" applyBorder="1"/>
    <xf numFmtId="5" fontId="8" fillId="10" borderId="0" xfId="14" applyNumberFormat="1" applyFont="1" applyFill="1" applyBorder="1"/>
    <xf numFmtId="180" fontId="8" fillId="10" borderId="0" xfId="14" applyNumberFormat="1" applyFont="1" applyFill="1" applyBorder="1"/>
    <xf numFmtId="5" fontId="8" fillId="10" borderId="1" xfId="14" applyNumberFormat="1" applyFont="1" applyFill="1" applyBorder="1"/>
    <xf numFmtId="5" fontId="8" fillId="10" borderId="20" xfId="14" applyNumberFormat="1" applyFont="1" applyFill="1" applyBorder="1"/>
    <xf numFmtId="43" fontId="8" fillId="10" borderId="1" xfId="9" applyFont="1" applyFill="1" applyBorder="1"/>
    <xf numFmtId="43" fontId="8" fillId="10" borderId="0" xfId="9" applyFont="1" applyFill="1" applyBorder="1"/>
    <xf numFmtId="43" fontId="8" fillId="10" borderId="20" xfId="9" applyFont="1" applyFill="1" applyBorder="1"/>
    <xf numFmtId="37" fontId="8" fillId="10" borderId="0" xfId="14" applyNumberFormat="1" applyFont="1" applyFill="1" applyBorder="1"/>
    <xf numFmtId="37" fontId="8" fillId="10" borderId="1" xfId="14" applyNumberFormat="1" applyFont="1" applyFill="1" applyBorder="1"/>
    <xf numFmtId="37" fontId="8" fillId="10" borderId="20" xfId="14" applyNumberFormat="1" applyFont="1" applyFill="1" applyBorder="1"/>
    <xf numFmtId="190" fontId="8" fillId="10" borderId="1" xfId="0" applyNumberFormat="1" applyFont="1" applyFill="1" applyBorder="1"/>
    <xf numFmtId="190" fontId="8" fillId="10" borderId="0" xfId="0" applyNumberFormat="1" applyFont="1" applyFill="1" applyBorder="1"/>
    <xf numFmtId="190" fontId="8" fillId="10" borderId="0" xfId="14" applyNumberFormat="1" applyFont="1" applyFill="1" applyBorder="1"/>
    <xf numFmtId="190" fontId="8" fillId="10" borderId="1" xfId="9" applyNumberFormat="1" applyFont="1" applyFill="1" applyBorder="1"/>
    <xf numFmtId="190" fontId="8" fillId="10" borderId="0" xfId="9" applyNumberFormat="1" applyFont="1" applyFill="1" applyBorder="1"/>
    <xf numFmtId="190" fontId="8" fillId="10" borderId="20" xfId="9" applyNumberFormat="1" applyFont="1" applyFill="1" applyBorder="1"/>
    <xf numFmtId="190" fontId="8" fillId="10" borderId="0" xfId="0" applyNumberFormat="1" applyFont="1" applyFill="1" applyBorder="1" applyAlignment="1">
      <alignment horizontal="right"/>
    </xf>
    <xf numFmtId="190" fontId="8" fillId="10" borderId="0" xfId="14" applyNumberFormat="1" applyFont="1" applyFill="1" applyBorder="1" applyAlignment="1">
      <alignment horizontal="right"/>
    </xf>
    <xf numFmtId="190" fontId="8" fillId="10" borderId="1" xfId="9" applyNumberFormat="1" applyFont="1" applyFill="1" applyBorder="1" applyAlignment="1">
      <alignment horizontal="right"/>
    </xf>
    <xf numFmtId="190" fontId="8" fillId="10" borderId="0" xfId="9" applyNumberFormat="1" applyFont="1" applyFill="1" applyBorder="1" applyAlignment="1">
      <alignment horizontal="right"/>
    </xf>
    <xf numFmtId="190" fontId="8" fillId="10" borderId="0" xfId="0" applyNumberFormat="1" applyFont="1" applyFill="1" applyAlignment="1">
      <alignment horizontal="right"/>
    </xf>
    <xf numFmtId="190" fontId="8" fillId="10" borderId="20" xfId="9" applyNumberFormat="1" applyFont="1" applyFill="1" applyBorder="1" applyAlignment="1">
      <alignment horizontal="right"/>
    </xf>
    <xf numFmtId="190" fontId="8" fillId="10" borderId="1" xfId="0" applyNumberFormat="1" applyFont="1" applyFill="1" applyBorder="1" applyAlignment="1">
      <alignment horizontal="left" indent="1"/>
    </xf>
    <xf numFmtId="190" fontId="8" fillId="10" borderId="1" xfId="14" applyNumberFormat="1" applyFont="1" applyFill="1" applyBorder="1"/>
    <xf numFmtId="190" fontId="26" fillId="10" borderId="0" xfId="9" applyNumberFormat="1" applyFont="1" applyFill="1" applyBorder="1"/>
    <xf numFmtId="180" fontId="8" fillId="10" borderId="0" xfId="0" applyNumberFormat="1" applyFont="1" applyFill="1" applyBorder="1"/>
    <xf numFmtId="0" fontId="8" fillId="10" borderId="0" xfId="0" applyFont="1" applyFill="1" applyBorder="1" applyAlignment="1">
      <alignment horizontal="right"/>
    </xf>
    <xf numFmtId="9" fontId="8" fillId="10" borderId="0" xfId="39" applyFont="1" applyFill="1" applyBorder="1"/>
    <xf numFmtId="37" fontId="8" fillId="10" borderId="6" xfId="0" applyNumberFormat="1" applyFont="1" applyFill="1" applyBorder="1"/>
    <xf numFmtId="7" fontId="8" fillId="10" borderId="11" xfId="9" applyNumberFormat="1" applyFont="1" applyFill="1" applyBorder="1" applyAlignment="1">
      <alignment horizontal="right"/>
    </xf>
    <xf numFmtId="44" fontId="8" fillId="10" borderId="11" xfId="14" applyFont="1" applyFill="1" applyBorder="1"/>
    <xf numFmtId="7" fontId="8" fillId="10" borderId="6" xfId="9" applyNumberFormat="1" applyFont="1" applyFill="1" applyBorder="1" applyAlignment="1">
      <alignment horizontal="right"/>
    </xf>
    <xf numFmtId="7" fontId="8" fillId="10" borderId="18" xfId="9" applyNumberFormat="1" applyFont="1" applyFill="1" applyBorder="1" applyAlignment="1">
      <alignment horizontal="right"/>
    </xf>
    <xf numFmtId="37" fontId="8" fillId="10" borderId="17" xfId="0" applyNumberFormat="1" applyFont="1" applyFill="1" applyBorder="1"/>
    <xf numFmtId="7" fontId="8" fillId="10" borderId="2" xfId="9" applyNumberFormat="1" applyFont="1" applyFill="1" applyBorder="1" applyAlignment="1">
      <alignment horizontal="right"/>
    </xf>
    <xf numFmtId="44" fontId="8" fillId="10" borderId="2" xfId="14" applyFont="1" applyFill="1" applyBorder="1"/>
    <xf numFmtId="7" fontId="8" fillId="10" borderId="17" xfId="9" applyNumberFormat="1" applyFont="1" applyFill="1" applyBorder="1" applyAlignment="1">
      <alignment horizontal="right"/>
    </xf>
    <xf numFmtId="7" fontId="8" fillId="10" borderId="19" xfId="9" applyNumberFormat="1" applyFont="1" applyFill="1" applyBorder="1" applyAlignment="1">
      <alignment horizontal="right"/>
    </xf>
    <xf numFmtId="37" fontId="8" fillId="10" borderId="1" xfId="0" applyNumberFormat="1" applyFont="1" applyFill="1" applyBorder="1"/>
    <xf numFmtId="7" fontId="8" fillId="10" borderId="0" xfId="9" applyNumberFormat="1" applyFont="1" applyFill="1" applyBorder="1" applyAlignment="1">
      <alignment horizontal="right"/>
    </xf>
    <xf numFmtId="44" fontId="8" fillId="10" borderId="0" xfId="14" applyFont="1" applyFill="1" applyBorder="1"/>
    <xf numFmtId="7" fontId="8" fillId="10" borderId="1" xfId="9" applyNumberFormat="1" applyFont="1" applyFill="1" applyBorder="1" applyAlignment="1">
      <alignment horizontal="right"/>
    </xf>
    <xf numFmtId="216" fontId="8" fillId="10" borderId="0" xfId="9" applyNumberFormat="1" applyFont="1" applyFill="1" applyBorder="1" applyAlignment="1">
      <alignment horizontal="right"/>
    </xf>
    <xf numFmtId="7" fontId="8" fillId="10" borderId="20" xfId="9" applyNumberFormat="1" applyFont="1" applyFill="1" applyBorder="1" applyAlignment="1">
      <alignment horizontal="right"/>
    </xf>
    <xf numFmtId="174" fontId="8" fillId="10" borderId="0" xfId="9" applyNumberFormat="1" applyFont="1" applyFill="1" applyBorder="1"/>
    <xf numFmtId="174" fontId="8" fillId="10" borderId="1" xfId="9" applyNumberFormat="1" applyFont="1" applyFill="1" applyBorder="1"/>
    <xf numFmtId="174" fontId="8" fillId="10" borderId="20" xfId="9" applyNumberFormat="1" applyFont="1" applyFill="1" applyBorder="1"/>
    <xf numFmtId="37" fontId="8" fillId="10" borderId="0" xfId="14" applyNumberFormat="1" applyFont="1" applyFill="1" applyBorder="1" applyAlignment="1">
      <alignment horizontal="right"/>
    </xf>
    <xf numFmtId="174" fontId="8" fillId="10" borderId="0" xfId="9" applyNumberFormat="1" applyFont="1" applyFill="1" applyBorder="1" applyAlignment="1">
      <alignment horizontal="right"/>
    </xf>
    <xf numFmtId="174" fontId="8" fillId="10" borderId="1" xfId="9" applyNumberFormat="1" applyFont="1" applyFill="1" applyBorder="1" applyAlignment="1">
      <alignment horizontal="right"/>
    </xf>
    <xf numFmtId="175" fontId="49" fillId="10" borderId="0" xfId="9" applyNumberFormat="1" applyFont="1" applyFill="1" applyBorder="1"/>
    <xf numFmtId="183" fontId="49" fillId="10" borderId="0" xfId="0" applyNumberFormat="1" applyFont="1" applyFill="1" applyBorder="1"/>
    <xf numFmtId="37" fontId="8" fillId="10" borderId="1" xfId="14" applyNumberFormat="1" applyFont="1" applyFill="1" applyBorder="1" applyAlignment="1">
      <alignment horizontal="right"/>
    </xf>
    <xf numFmtId="37" fontId="8" fillId="10" borderId="20" xfId="14" applyNumberFormat="1" applyFont="1" applyFill="1" applyBorder="1" applyAlignment="1">
      <alignment horizontal="right"/>
    </xf>
    <xf numFmtId="0" fontId="8" fillId="10" borderId="0" xfId="0" applyFont="1" applyFill="1" applyAlignment="1">
      <alignment horizontal="center"/>
    </xf>
    <xf numFmtId="193" fontId="8" fillId="10" borderId="0" xfId="39" applyNumberFormat="1" applyFont="1" applyFill="1" applyBorder="1" applyAlignment="1">
      <alignment horizontal="right"/>
    </xf>
    <xf numFmtId="193" fontId="8" fillId="10" borderId="0" xfId="39" applyNumberFormat="1" applyFont="1" applyFill="1" applyBorder="1"/>
    <xf numFmtId="193" fontId="8" fillId="10" borderId="1" xfId="39" applyNumberFormat="1" applyFont="1" applyFill="1" applyBorder="1" applyAlignment="1">
      <alignment horizontal="right"/>
    </xf>
    <xf numFmtId="193" fontId="8" fillId="10" borderId="20" xfId="39" applyNumberFormat="1" applyFont="1" applyFill="1" applyBorder="1" applyAlignment="1">
      <alignment horizontal="right"/>
    </xf>
    <xf numFmtId="193" fontId="8" fillId="10" borderId="0" xfId="0" applyNumberFormat="1" applyFont="1" applyFill="1" applyBorder="1"/>
    <xf numFmtId="179" fontId="8" fillId="10" borderId="0" xfId="39" applyNumberFormat="1" applyFont="1" applyFill="1" applyBorder="1"/>
    <xf numFmtId="0" fontId="8" fillId="10" borderId="17" xfId="0" applyFont="1" applyFill="1" applyBorder="1"/>
    <xf numFmtId="193" fontId="8" fillId="10" borderId="2" xfId="39" applyNumberFormat="1" applyFont="1" applyFill="1" applyBorder="1" applyAlignment="1">
      <alignment horizontal="right"/>
    </xf>
    <xf numFmtId="179" fontId="8" fillId="10" borderId="2" xfId="39" applyNumberFormat="1" applyFont="1" applyFill="1" applyBorder="1"/>
    <xf numFmtId="193" fontId="8" fillId="10" borderId="17" xfId="39" applyNumberFormat="1" applyFont="1" applyFill="1" applyBorder="1" applyAlignment="1">
      <alignment horizontal="right"/>
    </xf>
    <xf numFmtId="193" fontId="8" fillId="10" borderId="19" xfId="39" applyNumberFormat="1" applyFont="1" applyFill="1" applyBorder="1" applyAlignment="1">
      <alignment horizontal="right"/>
    </xf>
    <xf numFmtId="0" fontId="66" fillId="10" borderId="6" xfId="0" applyFont="1" applyFill="1" applyBorder="1"/>
    <xf numFmtId="0" fontId="66" fillId="10" borderId="11" xfId="0" applyFont="1" applyFill="1" applyBorder="1" applyAlignment="1">
      <alignment horizontal="center"/>
    </xf>
    <xf numFmtId="188" fontId="66" fillId="10" borderId="11" xfId="0" applyNumberFormat="1" applyFont="1" applyFill="1" applyBorder="1" applyAlignment="1">
      <alignment horizontal="center"/>
    </xf>
    <xf numFmtId="43" fontId="8" fillId="10" borderId="0" xfId="0" applyNumberFormat="1" applyFont="1" applyFill="1" applyBorder="1"/>
    <xf numFmtId="201" fontId="8" fillId="10" borderId="0" xfId="0" applyNumberFormat="1" applyFont="1" applyFill="1" applyBorder="1"/>
    <xf numFmtId="43" fontId="8" fillId="10" borderId="20" xfId="0" applyNumberFormat="1" applyFont="1" applyFill="1" applyBorder="1"/>
    <xf numFmtId="175" fontId="8" fillId="10" borderId="0" xfId="9" applyNumberFormat="1" applyFont="1" applyFill="1" applyBorder="1"/>
    <xf numFmtId="175" fontId="8" fillId="10" borderId="20" xfId="9" applyNumberFormat="1" applyFont="1" applyFill="1" applyBorder="1"/>
    <xf numFmtId="193" fontId="8" fillId="10" borderId="20" xfId="39" applyNumberFormat="1" applyFont="1" applyFill="1" applyBorder="1"/>
    <xf numFmtId="200" fontId="8" fillId="10" borderId="2" xfId="14" applyNumberFormat="1" applyFont="1" applyFill="1" applyBorder="1"/>
    <xf numFmtId="0" fontId="8" fillId="10" borderId="0" xfId="34" applyFont="1" applyFill="1"/>
    <xf numFmtId="37" fontId="8" fillId="10" borderId="0" xfId="0" applyNumberFormat="1" applyFont="1" applyFill="1"/>
    <xf numFmtId="175" fontId="8" fillId="10" borderId="0" xfId="0" applyNumberFormat="1" applyFont="1" applyFill="1"/>
    <xf numFmtId="164" fontId="8" fillId="10" borderId="0" xfId="0" applyNumberFormat="1" applyFont="1" applyFill="1" applyAlignment="1">
      <alignment horizontal="right"/>
    </xf>
    <xf numFmtId="39" fontId="8" fillId="10" borderId="0" xfId="0" applyNumberFormat="1" applyFont="1" applyFill="1"/>
    <xf numFmtId="0" fontId="26" fillId="10" borderId="0" xfId="0" applyFont="1" applyFill="1"/>
    <xf numFmtId="186" fontId="26" fillId="10" borderId="0" xfId="0" applyNumberFormat="1" applyFont="1" applyFill="1"/>
    <xf numFmtId="186" fontId="8" fillId="10" borderId="0" xfId="0" applyNumberFormat="1" applyFont="1" applyFill="1"/>
    <xf numFmtId="0" fontId="8" fillId="10" borderId="0" xfId="0" applyFont="1" applyFill="1" applyAlignment="1">
      <alignment horizontal="right"/>
    </xf>
    <xf numFmtId="170" fontId="8" fillId="10" borderId="0" xfId="0" applyNumberFormat="1" applyFont="1" applyFill="1"/>
    <xf numFmtId="44" fontId="11" fillId="0" borderId="0" xfId="0" applyNumberFormat="1" applyFont="1" applyFill="1" applyBorder="1"/>
    <xf numFmtId="179" fontId="11" fillId="0" borderId="0" xfId="39" applyNumberFormat="1" applyFont="1"/>
    <xf numFmtId="37" fontId="8" fillId="10" borderId="0" xfId="0" applyNumberFormat="1" applyFont="1" applyFill="1" applyAlignment="1">
      <alignment horizontal="center"/>
    </xf>
    <xf numFmtId="9" fontId="8" fillId="10" borderId="0" xfId="39" applyFont="1" applyFill="1" applyBorder="1" applyAlignment="1">
      <alignment horizontal="right"/>
    </xf>
    <xf numFmtId="9" fontId="8" fillId="10" borderId="0" xfId="39" applyFont="1" applyFill="1"/>
    <xf numFmtId="0" fontId="2" fillId="10" borderId="2" xfId="0" applyFont="1" applyFill="1" applyBorder="1"/>
    <xf numFmtId="37" fontId="70" fillId="10" borderId="0" xfId="33" applyNumberFormat="1" applyFont="1" applyFill="1" applyBorder="1" applyAlignment="1">
      <alignment horizontal="right"/>
    </xf>
    <xf numFmtId="176" fontId="8" fillId="10" borderId="0" xfId="33" applyFont="1" applyFill="1" applyBorder="1" applyAlignment="1">
      <alignment horizontal="right"/>
    </xf>
    <xf numFmtId="218" fontId="8" fillId="10" borderId="0" xfId="0" applyNumberFormat="1" applyFont="1" applyFill="1"/>
    <xf numFmtId="43" fontId="8" fillId="10" borderId="0" xfId="9" applyFont="1" applyFill="1"/>
    <xf numFmtId="37" fontId="8" fillId="10" borderId="0" xfId="0" applyNumberFormat="1" applyFont="1" applyFill="1" applyBorder="1"/>
    <xf numFmtId="7" fontId="8" fillId="10" borderId="0" xfId="0" applyNumberFormat="1" applyFont="1" applyFill="1" applyBorder="1"/>
    <xf numFmtId="181" fontId="8" fillId="10" borderId="0" xfId="9" applyNumberFormat="1" applyFont="1" applyFill="1"/>
    <xf numFmtId="0" fontId="2" fillId="10" borderId="14" xfId="0" applyFont="1" applyFill="1" applyBorder="1" applyAlignment="1">
      <alignment horizontal="centerContinuous" vertical="center"/>
    </xf>
    <xf numFmtId="0" fontId="71" fillId="10" borderId="8" xfId="0" applyFont="1" applyFill="1" applyBorder="1" applyAlignment="1">
      <alignment horizontal="centerContinuous" vertical="center"/>
    </xf>
    <xf numFmtId="0" fontId="71" fillId="10" borderId="15" xfId="0" applyFont="1" applyFill="1" applyBorder="1" applyAlignment="1">
      <alignment horizontal="centerContinuous" vertical="center"/>
    </xf>
    <xf numFmtId="184" fontId="2" fillId="10" borderId="2" xfId="0" applyNumberFormat="1" applyFont="1" applyFill="1" applyBorder="1" applyAlignment="1">
      <alignment horizontal="centerContinuous"/>
    </xf>
    <xf numFmtId="0" fontId="8" fillId="10" borderId="2" xfId="0" applyFont="1" applyFill="1" applyBorder="1" applyAlignment="1">
      <alignment horizontal="centerContinuous"/>
    </xf>
    <xf numFmtId="2" fontId="2" fillId="10" borderId="0" xfId="0" applyNumberFormat="1" applyFont="1" applyFill="1"/>
    <xf numFmtId="218" fontId="8" fillId="10" borderId="0" xfId="9" applyNumberFormat="1" applyFont="1" applyFill="1"/>
    <xf numFmtId="0" fontId="2" fillId="10" borderId="2" xfId="0" applyFont="1" applyFill="1" applyBorder="1" applyAlignment="1">
      <alignment horizontal="centerContinuous"/>
    </xf>
    <xf numFmtId="0" fontId="49" fillId="10" borderId="2" xfId="0" applyFont="1" applyFill="1" applyBorder="1" applyAlignment="1">
      <alignment horizontal="centerContinuous"/>
    </xf>
    <xf numFmtId="187" fontId="49" fillId="10" borderId="2" xfId="0" applyNumberFormat="1" applyFont="1" applyFill="1" applyBorder="1" applyAlignment="1">
      <alignment horizontal="centerContinuous"/>
    </xf>
    <xf numFmtId="173" fontId="8" fillId="10" borderId="0" xfId="0" applyNumberFormat="1" applyFont="1" applyFill="1"/>
    <xf numFmtId="164" fontId="8" fillId="10" borderId="0" xfId="0" applyNumberFormat="1" applyFont="1" applyFill="1" applyAlignment="1">
      <alignment horizontal="centerContinuous"/>
    </xf>
    <xf numFmtId="37" fontId="2" fillId="10" borderId="0" xfId="0" applyNumberFormat="1" applyFont="1" applyFill="1" applyAlignment="1"/>
    <xf numFmtId="37" fontId="8" fillId="10" borderId="0" xfId="30" applyFont="1" applyFill="1" applyAlignment="1" applyProtection="1">
      <alignment horizontal="left"/>
    </xf>
    <xf numFmtId="5" fontId="8" fillId="10" borderId="0" xfId="0" applyNumberFormat="1" applyFont="1" applyFill="1" applyAlignment="1">
      <alignment horizontal="right"/>
    </xf>
    <xf numFmtId="177" fontId="27" fillId="10" borderId="0" xfId="0" applyNumberFormat="1" applyFont="1" applyFill="1" applyAlignment="1">
      <alignment horizontal="right"/>
    </xf>
    <xf numFmtId="198" fontId="27" fillId="10" borderId="0" xfId="0" applyNumberFormat="1" applyFont="1" applyFill="1" applyAlignment="1">
      <alignment horizontal="left"/>
    </xf>
    <xf numFmtId="198" fontId="72" fillId="10" borderId="0" xfId="0" applyNumberFormat="1" applyFont="1" applyFill="1" applyAlignment="1">
      <alignment horizontal="left"/>
    </xf>
    <xf numFmtId="37" fontId="8" fillId="10" borderId="0" xfId="0" applyNumberFormat="1" applyFont="1" applyFill="1" applyAlignment="1">
      <alignment horizontal="right"/>
    </xf>
    <xf numFmtId="37" fontId="49" fillId="10" borderId="0" xfId="0" applyNumberFormat="1" applyFont="1" applyFill="1" applyAlignment="1">
      <alignment horizontal="right"/>
    </xf>
    <xf numFmtId="37" fontId="8" fillId="10" borderId="2" xfId="0" applyNumberFormat="1" applyFont="1" applyFill="1" applyBorder="1" applyAlignment="1">
      <alignment horizontal="right"/>
    </xf>
    <xf numFmtId="198" fontId="73" fillId="10" borderId="0" xfId="0" applyNumberFormat="1" applyFont="1" applyFill="1" applyAlignment="1">
      <alignment horizontal="left"/>
    </xf>
    <xf numFmtId="5" fontId="55" fillId="10" borderId="0" xfId="0" applyNumberFormat="1" applyFont="1" applyFill="1" applyAlignment="1">
      <alignment horizontal="right"/>
    </xf>
    <xf numFmtId="43" fontId="8" fillId="10" borderId="0" xfId="0" applyNumberFormat="1" applyFont="1" applyFill="1"/>
    <xf numFmtId="0" fontId="27" fillId="10" borderId="0" xfId="0" applyFont="1" applyFill="1"/>
    <xf numFmtId="219" fontId="8" fillId="10" borderId="0" xfId="0" applyNumberFormat="1" applyFont="1" applyFill="1"/>
    <xf numFmtId="198" fontId="8" fillId="10" borderId="0" xfId="0" applyNumberFormat="1" applyFont="1" applyFill="1"/>
    <xf numFmtId="37" fontId="2" fillId="10" borderId="0" xfId="0" applyNumberFormat="1" applyFont="1" applyFill="1" applyAlignment="1">
      <alignment horizontal="centerContinuous"/>
    </xf>
    <xf numFmtId="37" fontId="8" fillId="10" borderId="0" xfId="0" applyNumberFormat="1" applyFont="1" applyFill="1" applyAlignment="1">
      <alignment horizontal="centerContinuous"/>
    </xf>
    <xf numFmtId="0" fontId="27" fillId="10" borderId="0" xfId="0" applyFont="1" applyFill="1" applyAlignment="1">
      <alignment horizontal="centerContinuous"/>
    </xf>
    <xf numFmtId="0" fontId="8" fillId="10" borderId="0" xfId="0" applyFont="1" applyFill="1" applyBorder="1" applyAlignment="1">
      <alignment horizontal="centerContinuous"/>
    </xf>
    <xf numFmtId="186" fontId="8" fillId="10" borderId="0" xfId="0" applyNumberFormat="1" applyFont="1" applyFill="1" applyAlignment="1">
      <alignment horizontal="centerContinuous"/>
    </xf>
    <xf numFmtId="5" fontId="8" fillId="10" borderId="0" xfId="9" applyNumberFormat="1" applyFont="1" applyFill="1" applyAlignment="1">
      <alignment horizontal="centerContinuous"/>
    </xf>
    <xf numFmtId="5" fontId="55" fillId="10" borderId="0" xfId="0" applyNumberFormat="1" applyFont="1" applyFill="1"/>
    <xf numFmtId="165" fontId="27" fillId="10" borderId="0" xfId="0" applyNumberFormat="1" applyFont="1" applyFill="1"/>
    <xf numFmtId="169" fontId="27" fillId="10" borderId="0" xfId="0" applyNumberFormat="1" applyFont="1" applyFill="1" applyBorder="1" applyAlignment="1">
      <alignment horizontal="left"/>
    </xf>
    <xf numFmtId="199" fontId="27" fillId="10" borderId="0" xfId="0" applyNumberFormat="1" applyFont="1" applyFill="1" applyAlignment="1">
      <alignment horizontal="left"/>
    </xf>
    <xf numFmtId="37" fontId="55" fillId="10" borderId="0" xfId="0" applyNumberFormat="1" applyFont="1" applyFill="1"/>
    <xf numFmtId="37" fontId="49" fillId="10" borderId="0" xfId="0" applyNumberFormat="1" applyFont="1" applyFill="1"/>
    <xf numFmtId="37" fontId="55" fillId="10" borderId="2" xfId="0" applyNumberFormat="1" applyFont="1" applyFill="1" applyBorder="1"/>
    <xf numFmtId="37" fontId="49" fillId="10" borderId="2" xfId="0" applyNumberFormat="1" applyFont="1" applyFill="1" applyBorder="1"/>
    <xf numFmtId="199" fontId="8" fillId="10" borderId="0" xfId="0" applyNumberFormat="1" applyFont="1" applyFill="1"/>
    <xf numFmtId="177" fontId="8" fillId="10" borderId="0" xfId="0" applyNumberFormat="1" applyFont="1" applyFill="1"/>
    <xf numFmtId="10" fontId="8" fillId="10" borderId="0" xfId="0" applyNumberFormat="1" applyFont="1" applyFill="1"/>
    <xf numFmtId="165" fontId="8" fillId="10" borderId="0" xfId="0" applyNumberFormat="1" applyFont="1" applyFill="1"/>
    <xf numFmtId="165" fontId="72" fillId="10" borderId="0" xfId="0" applyNumberFormat="1" applyFont="1" applyFill="1" applyAlignment="1">
      <alignment horizontal="left"/>
    </xf>
    <xf numFmtId="37" fontId="70" fillId="10" borderId="2" xfId="0" applyNumberFormat="1" applyFont="1" applyFill="1" applyBorder="1"/>
    <xf numFmtId="183" fontId="8" fillId="10" borderId="0" xfId="0" applyNumberFormat="1" applyFont="1" applyFill="1"/>
    <xf numFmtId="0" fontId="8" fillId="10" borderId="0" xfId="0" applyFont="1" applyFill="1" applyAlignment="1"/>
    <xf numFmtId="179" fontId="8" fillId="10" borderId="0" xfId="39" applyNumberFormat="1" applyFont="1" applyFill="1" applyAlignment="1">
      <alignment horizontal="centerContinuous"/>
    </xf>
    <xf numFmtId="169" fontId="27" fillId="10" borderId="0" xfId="0" applyNumberFormat="1" applyFont="1" applyFill="1" applyBorder="1" applyAlignment="1">
      <alignment horizontal="right"/>
    </xf>
    <xf numFmtId="37" fontId="26" fillId="10" borderId="0" xfId="0" applyNumberFormat="1" applyFont="1" applyFill="1"/>
    <xf numFmtId="167" fontId="2" fillId="10" borderId="0" xfId="0" applyNumberFormat="1" applyFont="1" applyFill="1"/>
    <xf numFmtId="37" fontId="70" fillId="10" borderId="0" xfId="0" applyNumberFormat="1" applyFont="1" applyFill="1"/>
    <xf numFmtId="166" fontId="8" fillId="10" borderId="0" xfId="0" applyNumberFormat="1" applyFont="1" applyFill="1"/>
    <xf numFmtId="167" fontId="8" fillId="10" borderId="0" xfId="0" applyNumberFormat="1" applyFont="1" applyFill="1"/>
    <xf numFmtId="37" fontId="8" fillId="10" borderId="2" xfId="0" applyNumberFormat="1" applyFont="1" applyFill="1" applyBorder="1"/>
    <xf numFmtId="164" fontId="27" fillId="10" borderId="0" xfId="0" applyNumberFormat="1" applyFont="1" applyFill="1"/>
    <xf numFmtId="186" fontId="8" fillId="10" borderId="0" xfId="0" applyNumberFormat="1" applyFont="1" applyFill="1" applyAlignment="1">
      <alignment horizontal="left"/>
    </xf>
    <xf numFmtId="164" fontId="27" fillId="10" borderId="0" xfId="0" applyNumberFormat="1" applyFont="1" applyFill="1" applyAlignment="1">
      <alignment horizontal="right"/>
    </xf>
    <xf numFmtId="0" fontId="27" fillId="10" borderId="0" xfId="0" applyFont="1" applyFill="1" applyAlignment="1">
      <alignment horizontal="center"/>
    </xf>
    <xf numFmtId="0" fontId="8" fillId="10" borderId="0" xfId="0" applyFont="1" applyFill="1" applyBorder="1" applyAlignment="1">
      <alignment horizontal="center"/>
    </xf>
    <xf numFmtId="172" fontId="8" fillId="10" borderId="0" xfId="0" applyNumberFormat="1" applyFont="1" applyFill="1"/>
    <xf numFmtId="5" fontId="26" fillId="10" borderId="0" xfId="0" applyNumberFormat="1" applyFont="1" applyFill="1"/>
    <xf numFmtId="169" fontId="8" fillId="10" borderId="0" xfId="0" applyNumberFormat="1" applyFont="1" applyFill="1" applyAlignment="1">
      <alignment horizontal="right"/>
    </xf>
    <xf numFmtId="37" fontId="55" fillId="10" borderId="0" xfId="0" applyNumberFormat="1" applyFont="1" applyFill="1" applyAlignment="1">
      <alignment horizontal="right"/>
    </xf>
    <xf numFmtId="37" fontId="55" fillId="10" borderId="2" xfId="0" applyNumberFormat="1" applyFont="1" applyFill="1" applyBorder="1" applyAlignment="1">
      <alignment horizontal="right"/>
    </xf>
    <xf numFmtId="37" fontId="55" fillId="10" borderId="0" xfId="0" applyNumberFormat="1" applyFont="1" applyFill="1" applyBorder="1" applyAlignment="1">
      <alignment horizontal="right"/>
    </xf>
    <xf numFmtId="37" fontId="2" fillId="10" borderId="0" xfId="0" applyNumberFormat="1" applyFont="1" applyFill="1" applyAlignment="1">
      <alignment horizontal="center"/>
    </xf>
    <xf numFmtId="0" fontId="2" fillId="10" borderId="0" xfId="0" applyFont="1" applyFill="1" applyAlignment="1"/>
    <xf numFmtId="169" fontId="27" fillId="10" borderId="0" xfId="0" applyNumberFormat="1" applyFont="1" applyFill="1" applyAlignment="1">
      <alignment horizontal="right"/>
    </xf>
    <xf numFmtId="224" fontId="27" fillId="10" borderId="0" xfId="0" applyNumberFormat="1" applyFont="1" applyFill="1" applyAlignment="1">
      <alignment horizontal="right"/>
    </xf>
    <xf numFmtId="225" fontId="8" fillId="10" borderId="0" xfId="0" applyNumberFormat="1" applyFont="1" applyFill="1"/>
    <xf numFmtId="39" fontId="8" fillId="10" borderId="2" xfId="0" applyNumberFormat="1" applyFont="1" applyFill="1" applyBorder="1"/>
    <xf numFmtId="215" fontId="27" fillId="10" borderId="0" xfId="0" applyNumberFormat="1" applyFont="1" applyFill="1" applyAlignment="1">
      <alignment horizontal="right"/>
    </xf>
    <xf numFmtId="0" fontId="27" fillId="10" borderId="0" xfId="0" applyFont="1" applyFill="1" applyAlignment="1"/>
    <xf numFmtId="0" fontId="74" fillId="10" borderId="0" xfId="0" applyFont="1" applyFill="1" applyAlignment="1"/>
    <xf numFmtId="168" fontId="8" fillId="10" borderId="0" xfId="0" applyNumberFormat="1" applyFont="1" applyFill="1"/>
    <xf numFmtId="171" fontId="27" fillId="10" borderId="0" xfId="0" applyNumberFormat="1" applyFont="1" applyFill="1" applyAlignment="1">
      <alignment horizontal="right"/>
    </xf>
    <xf numFmtId="7" fontId="2" fillId="10" borderId="0" xfId="0" applyNumberFormat="1" applyFont="1" applyFill="1"/>
    <xf numFmtId="0" fontId="35" fillId="10" borderId="0" xfId="0" applyFont="1" applyFill="1"/>
    <xf numFmtId="0" fontId="74" fillId="10" borderId="0" xfId="0" applyFont="1" applyFill="1" applyAlignment="1">
      <alignment horizontal="centerContinuous"/>
    </xf>
    <xf numFmtId="0" fontId="2" fillId="10" borderId="0" xfId="0" applyFont="1" applyFill="1" applyBorder="1" applyAlignment="1">
      <alignment horizontal="centerContinuous"/>
    </xf>
    <xf numFmtId="0" fontId="74" fillId="10" borderId="0" xfId="0" applyFont="1" applyFill="1" applyAlignment="1">
      <alignment horizontal="center"/>
    </xf>
    <xf numFmtId="7" fontId="35" fillId="10" borderId="0" xfId="0" applyNumberFormat="1" applyFont="1" applyFill="1"/>
    <xf numFmtId="37" fontId="8" fillId="10" borderId="0" xfId="30" applyNumberFormat="1" applyFont="1" applyFill="1" applyAlignment="1" applyProtection="1">
      <alignment horizontal="left"/>
    </xf>
    <xf numFmtId="37" fontId="73" fillId="10" borderId="0" xfId="0" applyNumberFormat="1" applyFont="1" applyFill="1" applyBorder="1" applyAlignment="1">
      <alignment horizontal="right"/>
    </xf>
    <xf numFmtId="37" fontId="27" fillId="10" borderId="0" xfId="0" applyNumberFormat="1" applyFont="1" applyFill="1" applyBorder="1" applyAlignment="1">
      <alignment horizontal="right"/>
    </xf>
    <xf numFmtId="37" fontId="70" fillId="10" borderId="0" xfId="0" applyNumberFormat="1" applyFont="1" applyFill="1" applyAlignment="1">
      <alignment horizontal="right"/>
    </xf>
    <xf numFmtId="169" fontId="73" fillId="10" borderId="0" xfId="0" applyNumberFormat="1" applyFont="1" applyFill="1" applyBorder="1" applyAlignment="1">
      <alignment horizontal="right"/>
    </xf>
    <xf numFmtId="0" fontId="55" fillId="10" borderId="0" xfId="0" applyFont="1" applyFill="1" applyBorder="1" applyAlignment="1">
      <alignment horizontal="right"/>
    </xf>
    <xf numFmtId="0" fontId="55" fillId="10" borderId="0" xfId="0" applyFont="1" applyFill="1" applyAlignment="1">
      <alignment horizontal="right"/>
    </xf>
    <xf numFmtId="37" fontId="55" fillId="10" borderId="0" xfId="9" applyNumberFormat="1" applyFont="1" applyFill="1"/>
    <xf numFmtId="169" fontId="73" fillId="10" borderId="0" xfId="0" applyNumberFormat="1" applyFont="1" applyFill="1"/>
    <xf numFmtId="169" fontId="73" fillId="10" borderId="0" xfId="0" applyNumberFormat="1" applyFont="1" applyFill="1" applyAlignment="1">
      <alignment horizontal="right"/>
    </xf>
    <xf numFmtId="0" fontId="55" fillId="10" borderId="0" xfId="0" applyFont="1" applyFill="1" applyBorder="1"/>
    <xf numFmtId="0" fontId="55" fillId="10" borderId="0" xfId="0" applyFont="1" applyFill="1"/>
    <xf numFmtId="169" fontId="55" fillId="10" borderId="0" xfId="0" applyNumberFormat="1" applyFont="1" applyFill="1"/>
    <xf numFmtId="169" fontId="55" fillId="10" borderId="0" xfId="0" applyNumberFormat="1" applyFont="1" applyFill="1" applyAlignment="1">
      <alignment horizontal="right"/>
    </xf>
    <xf numFmtId="171" fontId="73" fillId="10" borderId="0" xfId="0" applyNumberFormat="1" applyFont="1" applyFill="1" applyAlignment="1">
      <alignment horizontal="right"/>
    </xf>
    <xf numFmtId="169" fontId="8" fillId="10" borderId="0" xfId="0" applyNumberFormat="1" applyFont="1" applyFill="1"/>
    <xf numFmtId="37" fontId="2" fillId="10" borderId="0" xfId="0" applyNumberFormat="1" applyFont="1" applyFill="1" applyAlignment="1">
      <alignment horizontal="left"/>
    </xf>
    <xf numFmtId="37" fontId="49" fillId="10" borderId="0" xfId="0" applyNumberFormat="1" applyFont="1" applyFill="1" applyBorder="1" applyAlignment="1">
      <alignment horizontal="right"/>
    </xf>
    <xf numFmtId="169" fontId="74" fillId="10" borderId="0" xfId="0" applyNumberFormat="1" applyFont="1" applyFill="1" applyAlignment="1">
      <alignment horizontal="center"/>
    </xf>
    <xf numFmtId="169" fontId="74" fillId="10" borderId="2" xfId="0" applyNumberFormat="1" applyFont="1" applyFill="1" applyBorder="1" applyAlignment="1">
      <alignment horizontal="center"/>
    </xf>
    <xf numFmtId="183" fontId="49" fillId="10" borderId="12" xfId="0" applyNumberFormat="1" applyFont="1" applyFill="1" applyBorder="1" applyAlignment="1">
      <alignment horizontal="center"/>
    </xf>
    <xf numFmtId="37" fontId="49" fillId="10" borderId="27" xfId="0" applyNumberFormat="1" applyFont="1" applyFill="1" applyBorder="1" applyAlignment="1">
      <alignment horizontal="center"/>
    </xf>
    <xf numFmtId="183" fontId="49" fillId="10" borderId="0" xfId="0" applyNumberFormat="1" applyFont="1" applyFill="1" applyBorder="1" applyAlignment="1">
      <alignment horizontal="center"/>
    </xf>
    <xf numFmtId="183" fontId="49" fillId="10" borderId="24" xfId="0" applyNumberFormat="1" applyFont="1" applyFill="1" applyBorder="1" applyAlignment="1">
      <alignment horizontal="center"/>
    </xf>
    <xf numFmtId="37" fontId="8" fillId="10" borderId="36" xfId="0" applyNumberFormat="1" applyFont="1" applyFill="1" applyBorder="1" applyAlignment="1">
      <alignment horizontal="right"/>
    </xf>
    <xf numFmtId="183" fontId="49" fillId="10" borderId="34" xfId="0" applyNumberFormat="1" applyFont="1" applyFill="1" applyBorder="1" applyAlignment="1">
      <alignment horizontal="center"/>
    </xf>
    <xf numFmtId="37" fontId="8" fillId="10" borderId="0" xfId="9" applyNumberFormat="1" applyFont="1" applyFill="1"/>
    <xf numFmtId="169" fontId="27" fillId="10" borderId="0" xfId="0" applyNumberFormat="1" applyFont="1" applyFill="1"/>
    <xf numFmtId="183" fontId="49" fillId="10" borderId="13" xfId="0" applyNumberFormat="1" applyFont="1" applyFill="1" applyBorder="1" applyAlignment="1">
      <alignment horizontal="center"/>
    </xf>
    <xf numFmtId="0" fontId="27" fillId="10" borderId="0" xfId="0" applyFont="1" applyFill="1" applyBorder="1"/>
    <xf numFmtId="37" fontId="55" fillId="10" borderId="0" xfId="9" applyNumberFormat="1" applyFont="1" applyFill="1" applyBorder="1"/>
    <xf numFmtId="169" fontId="73" fillId="10" borderId="0" xfId="0" applyNumberFormat="1" applyFont="1" applyFill="1" applyBorder="1"/>
    <xf numFmtId="169" fontId="55" fillId="10" borderId="0" xfId="0" applyNumberFormat="1" applyFont="1" applyFill="1" applyBorder="1"/>
    <xf numFmtId="169" fontId="55" fillId="10" borderId="0" xfId="0" applyNumberFormat="1" applyFont="1" applyFill="1" applyBorder="1" applyAlignment="1">
      <alignment horizontal="right"/>
    </xf>
    <xf numFmtId="217" fontId="8" fillId="10" borderId="0" xfId="0" applyNumberFormat="1" applyFont="1" applyFill="1"/>
    <xf numFmtId="186" fontId="2" fillId="10" borderId="2" xfId="0" applyNumberFormat="1" applyFont="1" applyFill="1" applyBorder="1"/>
    <xf numFmtId="7" fontId="2" fillId="10" borderId="2" xfId="0" applyNumberFormat="1" applyFont="1" applyFill="1" applyBorder="1"/>
    <xf numFmtId="0" fontId="27" fillId="10" borderId="0" xfId="20" applyFont="1" applyFill="1" applyBorder="1"/>
    <xf numFmtId="193" fontId="2" fillId="10" borderId="0" xfId="9" applyNumberFormat="1" applyFont="1" applyFill="1"/>
    <xf numFmtId="202" fontId="2" fillId="10" borderId="0" xfId="0" applyNumberFormat="1" applyFont="1" applyFill="1" applyAlignment="1">
      <alignment horizontal="centerContinuous" vertical="center"/>
    </xf>
    <xf numFmtId="0" fontId="8" fillId="10" borderId="0" xfId="0" applyFont="1" applyFill="1" applyAlignment="1">
      <alignment horizontal="centerContinuous" vertical="center"/>
    </xf>
    <xf numFmtId="7" fontId="8" fillId="10" borderId="0" xfId="9" applyNumberFormat="1" applyFont="1" applyFill="1"/>
    <xf numFmtId="0" fontId="8" fillId="10" borderId="16" xfId="0" applyFont="1" applyFill="1" applyBorder="1"/>
    <xf numFmtId="0" fontId="2" fillId="10" borderId="4" xfId="0" applyFont="1" applyFill="1" applyBorder="1" applyAlignment="1">
      <alignment horizontal="center"/>
    </xf>
    <xf numFmtId="0" fontId="8" fillId="10" borderId="4" xfId="0" applyFont="1" applyFill="1" applyBorder="1"/>
    <xf numFmtId="0" fontId="8" fillId="10" borderId="5" xfId="0" applyFont="1" applyFill="1" applyBorder="1"/>
    <xf numFmtId="184" fontId="2" fillId="10" borderId="2" xfId="0" applyNumberFormat="1" applyFont="1" applyFill="1" applyBorder="1" applyAlignment="1">
      <alignment horizontal="center"/>
    </xf>
    <xf numFmtId="0" fontId="49" fillId="10" borderId="4" xfId="0" applyFont="1" applyFill="1" applyBorder="1" applyAlignment="1">
      <alignment horizontal="center"/>
    </xf>
    <xf numFmtId="0" fontId="8" fillId="10" borderId="18" xfId="0" applyFont="1" applyFill="1" applyBorder="1"/>
    <xf numFmtId="5" fontId="55" fillId="10" borderId="0" xfId="14" applyNumberFormat="1" applyFont="1" applyFill="1"/>
    <xf numFmtId="5" fontId="8" fillId="10" borderId="0" xfId="14" applyNumberFormat="1" applyFont="1" applyFill="1"/>
    <xf numFmtId="165" fontId="8" fillId="10" borderId="1" xfId="0" applyNumberFormat="1" applyFont="1" applyFill="1" applyBorder="1"/>
    <xf numFmtId="165" fontId="8" fillId="10" borderId="0" xfId="0" applyNumberFormat="1" applyFont="1" applyFill="1" applyBorder="1"/>
    <xf numFmtId="0" fontId="8" fillId="10" borderId="0" xfId="0" applyFont="1" applyFill="1" applyAlignment="1">
      <alignment horizontal="left" indent="1"/>
    </xf>
    <xf numFmtId="193" fontId="55" fillId="10" borderId="0" xfId="0" applyNumberFormat="1" applyFont="1" applyFill="1" applyAlignment="1">
      <alignment horizontal="right"/>
    </xf>
    <xf numFmtId="193" fontId="8" fillId="10" borderId="0" xfId="0" applyNumberFormat="1" applyFont="1" applyFill="1" applyAlignment="1">
      <alignment horizontal="right"/>
    </xf>
    <xf numFmtId="37" fontId="55" fillId="10" borderId="0" xfId="14" applyNumberFormat="1" applyFont="1" applyFill="1"/>
    <xf numFmtId="37" fontId="8" fillId="10" borderId="0" xfId="14" applyNumberFormat="1" applyFont="1" applyFill="1"/>
    <xf numFmtId="37" fontId="27" fillId="10" borderId="0" xfId="0" applyNumberFormat="1" applyFont="1" applyFill="1" applyAlignment="1" applyProtection="1">
      <alignment horizontal="right"/>
    </xf>
    <xf numFmtId="0" fontId="66" fillId="10" borderId="0" xfId="0" applyFont="1" applyFill="1" applyAlignment="1">
      <alignment horizontal="left" indent="1"/>
    </xf>
    <xf numFmtId="193" fontId="70" fillId="10" borderId="0" xfId="0" applyNumberFormat="1" applyFont="1" applyFill="1" applyAlignment="1">
      <alignment horizontal="right"/>
    </xf>
    <xf numFmtId="179" fontId="8" fillId="10" borderId="0" xfId="0" applyNumberFormat="1" applyFont="1" applyFill="1"/>
    <xf numFmtId="0" fontId="2" fillId="10" borderId="0" xfId="0" applyFont="1" applyFill="1" applyAlignment="1">
      <alignment horizontal="left" indent="1"/>
    </xf>
    <xf numFmtId="179" fontId="27" fillId="10" borderId="0" xfId="39" applyNumberFormat="1" applyFont="1" applyFill="1" applyAlignment="1" applyProtection="1">
      <alignment horizontal="right"/>
    </xf>
    <xf numFmtId="37" fontId="70" fillId="10" borderId="0" xfId="14" applyNumberFormat="1" applyFont="1" applyFill="1"/>
    <xf numFmtId="37" fontId="2" fillId="10" borderId="0" xfId="0" applyNumberFormat="1" applyFont="1" applyFill="1"/>
    <xf numFmtId="179" fontId="8" fillId="10" borderId="0" xfId="39" applyNumberFormat="1" applyFont="1" applyFill="1" applyAlignment="1">
      <alignment horizontal="right"/>
    </xf>
    <xf numFmtId="37" fontId="49" fillId="10" borderId="0" xfId="14" applyNumberFormat="1" applyFont="1" applyFill="1"/>
    <xf numFmtId="193" fontId="26" fillId="10" borderId="0" xfId="0" applyNumberFormat="1" applyFont="1" applyFill="1" applyAlignment="1">
      <alignment horizontal="right"/>
    </xf>
    <xf numFmtId="193" fontId="2" fillId="10" borderId="0" xfId="0" applyNumberFormat="1" applyFont="1" applyFill="1"/>
    <xf numFmtId="0" fontId="55" fillId="10" borderId="0" xfId="9" applyNumberFormat="1" applyFont="1" applyFill="1"/>
    <xf numFmtId="0" fontId="8" fillId="10" borderId="0" xfId="9" applyNumberFormat="1" applyFont="1" applyFill="1"/>
    <xf numFmtId="37" fontId="26" fillId="10" borderId="0" xfId="14" applyNumberFormat="1" applyFont="1" applyFill="1"/>
    <xf numFmtId="0" fontId="26" fillId="10" borderId="0" xfId="9" applyNumberFormat="1" applyFont="1" applyFill="1"/>
    <xf numFmtId="37" fontId="26" fillId="10" borderId="0" xfId="14" applyNumberFormat="1" applyFont="1" applyFill="1" applyAlignment="1">
      <alignment horizontal="right"/>
    </xf>
    <xf numFmtId="7" fontId="8" fillId="10" borderId="0" xfId="14" applyNumberFormat="1" applyFont="1" applyFill="1"/>
    <xf numFmtId="7" fontId="55" fillId="10" borderId="0" xfId="14" applyNumberFormat="1" applyFont="1" applyFill="1"/>
    <xf numFmtId="44" fontId="2" fillId="10" borderId="0" xfId="14" applyFont="1" applyFill="1"/>
    <xf numFmtId="43" fontId="8" fillId="10" borderId="0" xfId="9" applyNumberFormat="1" applyFont="1" applyFill="1"/>
    <xf numFmtId="174" fontId="55" fillId="10" borderId="0" xfId="9" applyNumberFormat="1" applyFont="1" applyFill="1"/>
    <xf numFmtId="174" fontId="8" fillId="10" borderId="0" xfId="9" applyNumberFormat="1" applyFont="1" applyFill="1"/>
    <xf numFmtId="165" fontId="8" fillId="10" borderId="17" xfId="0" applyNumberFormat="1" applyFont="1" applyFill="1" applyBorder="1"/>
    <xf numFmtId="165" fontId="8" fillId="10" borderId="2" xfId="0" applyNumberFormat="1" applyFont="1" applyFill="1" applyBorder="1"/>
    <xf numFmtId="0" fontId="8" fillId="10" borderId="19" xfId="0" applyFont="1" applyFill="1" applyBorder="1"/>
    <xf numFmtId="174" fontId="8" fillId="10" borderId="0" xfId="0" applyNumberFormat="1" applyFont="1" applyFill="1"/>
    <xf numFmtId="0" fontId="14" fillId="10" borderId="0" xfId="0" applyFont="1" applyFill="1"/>
    <xf numFmtId="0" fontId="11" fillId="10" borderId="0" xfId="0" applyFont="1" applyFill="1" applyBorder="1"/>
    <xf numFmtId="0" fontId="14" fillId="10" borderId="2" xfId="0" applyFont="1" applyFill="1" applyBorder="1"/>
    <xf numFmtId="176" fontId="8" fillId="10" borderId="2" xfId="33" applyFont="1" applyFill="1" applyBorder="1"/>
    <xf numFmtId="37" fontId="14" fillId="10" borderId="2" xfId="30" applyFont="1" applyFill="1" applyBorder="1" applyAlignment="1" applyProtection="1">
      <alignment horizontal="left"/>
    </xf>
    <xf numFmtId="176" fontId="16" fillId="10" borderId="0" xfId="33" applyFont="1" applyFill="1" applyBorder="1" applyAlignment="1" applyProtection="1">
      <alignment horizontal="left"/>
    </xf>
    <xf numFmtId="164" fontId="13" fillId="10" borderId="0" xfId="28" applyFont="1" applyFill="1" applyBorder="1" applyAlignment="1">
      <alignment horizontal="left"/>
    </xf>
    <xf numFmtId="176" fontId="13" fillId="10" borderId="0" xfId="33" applyFont="1" applyFill="1" applyBorder="1"/>
    <xf numFmtId="37" fontId="14" fillId="10" borderId="0" xfId="30" applyFont="1" applyFill="1" applyBorder="1" applyAlignment="1" applyProtection="1">
      <alignment horizontal="left"/>
    </xf>
    <xf numFmtId="185" fontId="13" fillId="10" borderId="0" xfId="33" applyNumberFormat="1" applyFont="1" applyFill="1" applyBorder="1" applyProtection="1"/>
    <xf numFmtId="188" fontId="40" fillId="10" borderId="16" xfId="33" applyNumberFormat="1" applyFont="1" applyFill="1" applyBorder="1" applyAlignment="1">
      <alignment horizontal="centerContinuous"/>
    </xf>
    <xf numFmtId="188" fontId="51" fillId="10" borderId="5" xfId="33" applyNumberFormat="1" applyFont="1" applyFill="1" applyBorder="1" applyAlignment="1">
      <alignment horizontal="centerContinuous"/>
    </xf>
    <xf numFmtId="176" fontId="13" fillId="10" borderId="0" xfId="33" applyFont="1" applyFill="1"/>
    <xf numFmtId="176" fontId="40" fillId="10" borderId="0" xfId="33" applyFont="1" applyFill="1"/>
    <xf numFmtId="188" fontId="40" fillId="10" borderId="0" xfId="33" applyNumberFormat="1" applyFont="1" applyFill="1" applyBorder="1" applyAlignment="1">
      <alignment horizontal="center" wrapText="1"/>
    </xf>
    <xf numFmtId="0" fontId="53" fillId="10" borderId="0" xfId="0" applyFont="1" applyFill="1" applyAlignment="1">
      <alignment horizontal="center"/>
    </xf>
    <xf numFmtId="188" fontId="40" fillId="10" borderId="0" xfId="33" applyNumberFormat="1" applyFont="1" applyFill="1" applyBorder="1" applyAlignment="1">
      <alignment horizontal="centerContinuous"/>
    </xf>
    <xf numFmtId="176" fontId="50" fillId="10" borderId="0" xfId="33" applyFont="1" applyFill="1" applyBorder="1" applyAlignment="1" applyProtection="1">
      <alignment horizontal="left"/>
    </xf>
    <xf numFmtId="176" fontId="13" fillId="10" borderId="0" xfId="33" applyFont="1" applyFill="1" applyBorder="1" applyAlignment="1">
      <alignment horizontal="right"/>
    </xf>
    <xf numFmtId="0" fontId="52" fillId="10" borderId="0" xfId="0" applyFont="1" applyFill="1" applyAlignment="1">
      <alignment horizontal="center"/>
    </xf>
    <xf numFmtId="176" fontId="13" fillId="10" borderId="0" xfId="33" applyFont="1" applyFill="1" applyBorder="1" applyAlignment="1">
      <alignment horizontal="center"/>
    </xf>
    <xf numFmtId="0" fontId="0" fillId="10" borderId="0" xfId="0" applyFill="1" applyBorder="1"/>
    <xf numFmtId="176" fontId="13" fillId="10" borderId="0" xfId="33" applyFont="1" applyFill="1" applyBorder="1" applyAlignment="1" applyProtection="1">
      <alignment horizontal="left"/>
    </xf>
    <xf numFmtId="175" fontId="29" fillId="10" borderId="0" xfId="9" applyNumberFormat="1" applyFont="1" applyFill="1" applyBorder="1" applyProtection="1"/>
    <xf numFmtId="164" fontId="13" fillId="10" borderId="0" xfId="33" applyNumberFormat="1" applyFont="1" applyFill="1" applyBorder="1" applyAlignment="1">
      <alignment horizontal="right"/>
    </xf>
    <xf numFmtId="164" fontId="13" fillId="10" borderId="0" xfId="33" applyNumberFormat="1" applyFont="1" applyFill="1" applyBorder="1" applyAlignment="1" applyProtection="1">
      <alignment horizontal="right"/>
    </xf>
    <xf numFmtId="212" fontId="28" fillId="10" borderId="0" xfId="9" applyNumberFormat="1" applyFont="1" applyFill="1" applyBorder="1" applyAlignment="1" applyProtection="1">
      <alignment horizontal="right"/>
    </xf>
    <xf numFmtId="5" fontId="13" fillId="10" borderId="0" xfId="33" applyNumberFormat="1" applyFont="1" applyFill="1" applyBorder="1" applyAlignment="1" applyProtection="1">
      <alignment horizontal="right"/>
    </xf>
    <xf numFmtId="37" fontId="13" fillId="10" borderId="0" xfId="33" applyNumberFormat="1" applyFont="1" applyFill="1" applyBorder="1" applyProtection="1"/>
    <xf numFmtId="5" fontId="29" fillId="10" borderId="0" xfId="33" applyNumberFormat="1" applyFont="1" applyFill="1" applyBorder="1" applyAlignment="1" applyProtection="1">
      <alignment horizontal="right"/>
    </xf>
    <xf numFmtId="5" fontId="22" fillId="10" borderId="0" xfId="33" applyNumberFormat="1" applyFont="1" applyFill="1" applyBorder="1" applyAlignment="1" applyProtection="1">
      <alignment horizontal="right"/>
    </xf>
    <xf numFmtId="176" fontId="54" fillId="10" borderId="0" xfId="33" applyFont="1" applyFill="1" applyBorder="1" applyAlignment="1">
      <alignment horizontal="center"/>
    </xf>
    <xf numFmtId="176" fontId="16" fillId="10" borderId="0" xfId="33" applyFont="1" applyFill="1" applyBorder="1" applyAlignment="1">
      <alignment horizontal="center"/>
    </xf>
    <xf numFmtId="176" fontId="16" fillId="10" borderId="0" xfId="33" applyFont="1" applyFill="1" applyBorder="1"/>
    <xf numFmtId="176" fontId="29" fillId="10" borderId="0" xfId="33" applyFont="1" applyFill="1" applyBorder="1" applyAlignment="1">
      <alignment horizontal="right"/>
    </xf>
    <xf numFmtId="212" fontId="13" fillId="10" borderId="0" xfId="9" applyNumberFormat="1" applyFont="1" applyFill="1" applyBorder="1" applyAlignment="1" applyProtection="1">
      <alignment horizontal="right"/>
    </xf>
    <xf numFmtId="175" fontId="13" fillId="10" borderId="0" xfId="9" applyNumberFormat="1" applyFont="1" applyFill="1" applyBorder="1" applyProtection="1"/>
    <xf numFmtId="176" fontId="11" fillId="10" borderId="0" xfId="33" applyFont="1" applyFill="1" applyBorder="1" applyAlignment="1" applyProtection="1">
      <alignment horizontal="left"/>
    </xf>
    <xf numFmtId="37" fontId="29" fillId="10" borderId="0" xfId="33" applyNumberFormat="1" applyFont="1" applyFill="1" applyBorder="1" applyAlignment="1">
      <alignment horizontal="right"/>
    </xf>
    <xf numFmtId="176" fontId="56" fillId="10" borderId="0" xfId="33" applyFont="1" applyFill="1" applyBorder="1" applyAlignment="1">
      <alignment horizontal="center"/>
    </xf>
    <xf numFmtId="176" fontId="29" fillId="10" borderId="0" xfId="33" applyFont="1" applyFill="1" applyBorder="1" applyAlignment="1">
      <alignment horizontal="center"/>
    </xf>
    <xf numFmtId="2" fontId="8" fillId="10" borderId="0" xfId="0" applyNumberFormat="1" applyFont="1" applyFill="1"/>
    <xf numFmtId="188" fontId="66" fillId="10" borderId="0" xfId="0" applyNumberFormat="1" applyFont="1" applyFill="1" applyAlignment="1">
      <alignment horizontal="center"/>
    </xf>
    <xf numFmtId="187" fontId="66" fillId="10" borderId="0" xfId="0" applyNumberFormat="1" applyFont="1" applyFill="1" applyAlignment="1">
      <alignment horizontal="center"/>
    </xf>
    <xf numFmtId="0" fontId="66" fillId="10" borderId="0" xfId="0" applyFont="1" applyFill="1"/>
    <xf numFmtId="190" fontId="55" fillId="10" borderId="0" xfId="14" applyNumberFormat="1" applyFont="1" applyFill="1"/>
    <xf numFmtId="190" fontId="26" fillId="10" borderId="0" xfId="14" applyNumberFormat="1" applyFont="1" applyFill="1"/>
    <xf numFmtId="37" fontId="55" fillId="10" borderId="2" xfId="14" applyNumberFormat="1" applyFont="1" applyFill="1" applyBorder="1"/>
    <xf numFmtId="5" fontId="8" fillId="10" borderId="4" xfId="14" applyNumberFormat="1" applyFont="1" applyFill="1" applyBorder="1"/>
    <xf numFmtId="190" fontId="55" fillId="10" borderId="0" xfId="14" applyNumberFormat="1" applyFont="1" applyFill="1" applyBorder="1"/>
    <xf numFmtId="189" fontId="26" fillId="10" borderId="0" xfId="14" applyNumberFormat="1" applyFont="1" applyFill="1"/>
    <xf numFmtId="190" fontId="55" fillId="10" borderId="2" xfId="14" applyNumberFormat="1" applyFont="1" applyFill="1" applyBorder="1"/>
    <xf numFmtId="180" fontId="26" fillId="10" borderId="0" xfId="0" applyNumberFormat="1" applyFont="1" applyFill="1"/>
    <xf numFmtId="0" fontId="70" fillId="10" borderId="0" xfId="0" applyFont="1" applyFill="1"/>
    <xf numFmtId="37" fontId="76" fillId="10" borderId="0" xfId="0" applyNumberFormat="1" applyFont="1" applyFill="1" applyBorder="1"/>
    <xf numFmtId="43" fontId="8" fillId="10" borderId="0" xfId="14" applyNumberFormat="1" applyFont="1" applyFill="1" applyBorder="1"/>
    <xf numFmtId="5" fontId="8" fillId="10" borderId="0" xfId="9" applyNumberFormat="1" applyFont="1" applyFill="1" applyBorder="1"/>
    <xf numFmtId="0" fontId="8" fillId="10" borderId="0" xfId="0" applyFont="1" applyFill="1" applyAlignment="1">
      <alignment horizontal="left"/>
    </xf>
    <xf numFmtId="176" fontId="8" fillId="10" borderId="0" xfId="0" applyNumberFormat="1" applyFont="1" applyFill="1" applyAlignment="1" applyProtection="1">
      <alignment horizontal="left"/>
    </xf>
    <xf numFmtId="176" fontId="27" fillId="10" borderId="0" xfId="0" applyNumberFormat="1" applyFont="1" applyFill="1" applyAlignment="1" applyProtection="1">
      <alignment horizontal="left"/>
    </xf>
    <xf numFmtId="9" fontId="27" fillId="10" borderId="0" xfId="39" applyFont="1" applyFill="1"/>
    <xf numFmtId="195" fontId="8" fillId="10" borderId="0" xfId="0" applyNumberFormat="1" applyFont="1" applyFill="1" applyAlignment="1">
      <alignment horizontal="right"/>
    </xf>
    <xf numFmtId="195" fontId="8" fillId="10" borderId="0" xfId="0" applyNumberFormat="1" applyFont="1" applyFill="1"/>
    <xf numFmtId="38" fontId="8" fillId="10" borderId="0" xfId="0" applyNumberFormat="1" applyFont="1" applyFill="1"/>
    <xf numFmtId="174" fontId="8" fillId="10" borderId="0" xfId="9" applyNumberFormat="1" applyFont="1" applyFill="1" applyAlignment="1">
      <alignment horizontal="right"/>
    </xf>
    <xf numFmtId="38" fontId="8" fillId="10" borderId="0" xfId="0" applyNumberFormat="1" applyFont="1" applyFill="1" applyBorder="1"/>
    <xf numFmtId="38" fontId="8" fillId="10" borderId="0" xfId="0" quotePrefix="1" applyNumberFormat="1" applyFont="1" applyFill="1" applyBorder="1"/>
    <xf numFmtId="0" fontId="26" fillId="10" borderId="0" xfId="0" applyFont="1" applyFill="1" applyAlignment="1">
      <alignment horizontal="right"/>
    </xf>
    <xf numFmtId="0" fontId="27" fillId="11" borderId="0" xfId="0" applyFont="1" applyFill="1" applyBorder="1"/>
    <xf numFmtId="0" fontId="27" fillId="11" borderId="0" xfId="0" applyFont="1" applyFill="1" applyAlignment="1">
      <alignment horizontal="left"/>
    </xf>
    <xf numFmtId="0" fontId="2" fillId="10" borderId="0" xfId="0" applyFont="1" applyFill="1" applyAlignment="1">
      <alignment horizontal="left"/>
    </xf>
    <xf numFmtId="0" fontId="27" fillId="10" borderId="0" xfId="20" applyFont="1" applyFill="1" applyBorder="1" applyAlignment="1">
      <alignment horizontal="left"/>
    </xf>
    <xf numFmtId="192" fontId="2" fillId="10" borderId="2" xfId="0" applyNumberFormat="1" applyFont="1" applyFill="1" applyBorder="1" applyAlignment="1">
      <alignment horizontal="centerContinuous"/>
    </xf>
    <xf numFmtId="175" fontId="55" fillId="10" borderId="0" xfId="9" applyNumberFormat="1" applyFont="1" applyFill="1"/>
    <xf numFmtId="174" fontId="27" fillId="10" borderId="0" xfId="9" applyNumberFormat="1" applyFont="1" applyFill="1" applyAlignment="1">
      <alignment horizontal="right"/>
    </xf>
    <xf numFmtId="198" fontId="8" fillId="10" borderId="0" xfId="9" applyNumberFormat="1" applyFont="1" applyFill="1" applyAlignment="1">
      <alignment horizontal="left"/>
    </xf>
    <xf numFmtId="175" fontId="49" fillId="10" borderId="0" xfId="9" applyNumberFormat="1" applyFont="1" applyFill="1"/>
    <xf numFmtId="175" fontId="2" fillId="10" borderId="0" xfId="9" applyNumberFormat="1" applyFont="1" applyFill="1"/>
    <xf numFmtId="37" fontId="77" fillId="10" borderId="0" xfId="0" applyNumberFormat="1" applyFont="1" applyFill="1"/>
    <xf numFmtId="175" fontId="55" fillId="10" borderId="0" xfId="0" applyNumberFormat="1" applyFont="1" applyFill="1"/>
    <xf numFmtId="175" fontId="26" fillId="10" borderId="0" xfId="9" applyNumberFormat="1" applyFont="1" applyFill="1"/>
    <xf numFmtId="175" fontId="8" fillId="10" borderId="0" xfId="9" applyNumberFormat="1" applyFont="1" applyFill="1"/>
    <xf numFmtId="175" fontId="2" fillId="10" borderId="0" xfId="0" applyNumberFormat="1" applyFont="1" applyFill="1"/>
    <xf numFmtId="175" fontId="8" fillId="10" borderId="0" xfId="9" applyNumberFormat="1" applyFont="1" applyFill="1" applyAlignment="1">
      <alignment horizontal="right"/>
    </xf>
    <xf numFmtId="0" fontId="8" fillId="10" borderId="0" xfId="34" applyFont="1" applyFill="1" applyAlignment="1">
      <alignment horizontal="left"/>
    </xf>
    <xf numFmtId="191" fontId="8" fillId="10" borderId="0" xfId="0" applyNumberFormat="1" applyFont="1" applyFill="1"/>
    <xf numFmtId="188" fontId="66" fillId="10" borderId="0" xfId="0" applyNumberFormat="1" applyFont="1" applyFill="1" applyBorder="1" applyAlignment="1">
      <alignment horizontal="center"/>
    </xf>
    <xf numFmtId="187" fontId="66" fillId="10" borderId="0" xfId="0" applyNumberFormat="1" applyFont="1" applyFill="1" applyBorder="1" applyAlignment="1">
      <alignment horizontal="center"/>
    </xf>
    <xf numFmtId="191" fontId="63" fillId="10" borderId="0" xfId="14" applyNumberFormat="1" applyFont="1" applyFill="1" applyBorder="1" applyAlignment="1">
      <alignment horizontal="right"/>
    </xf>
    <xf numFmtId="191" fontId="63" fillId="10" borderId="0" xfId="14" applyNumberFormat="1" applyFont="1" applyFill="1" applyAlignment="1">
      <alignment horizontal="right"/>
    </xf>
    <xf numFmtId="190" fontId="26" fillId="10" borderId="0" xfId="14" applyNumberFormat="1" applyFont="1" applyFill="1" applyBorder="1" applyAlignment="1">
      <alignment horizontal="right"/>
    </xf>
    <xf numFmtId="190" fontId="26" fillId="10" borderId="0" xfId="14" applyNumberFormat="1" applyFont="1" applyFill="1" applyAlignment="1">
      <alignment horizontal="right"/>
    </xf>
    <xf numFmtId="190" fontId="55" fillId="10" borderId="0" xfId="9" applyNumberFormat="1" applyFont="1" applyFill="1" applyBorder="1" applyAlignment="1">
      <alignment horizontal="right"/>
    </xf>
    <xf numFmtId="190" fontId="77" fillId="10" borderId="0" xfId="9" applyNumberFormat="1" applyFont="1" applyFill="1"/>
    <xf numFmtId="190" fontId="26" fillId="10" borderId="0" xfId="9" applyNumberFormat="1" applyFont="1" applyFill="1" applyBorder="1" applyAlignment="1">
      <alignment horizontal="right"/>
    </xf>
    <xf numFmtId="190" fontId="55" fillId="10" borderId="0" xfId="9" applyNumberFormat="1" applyFont="1" applyFill="1" applyAlignment="1">
      <alignment horizontal="right"/>
    </xf>
    <xf numFmtId="190" fontId="8" fillId="10" borderId="0" xfId="9" applyNumberFormat="1" applyFont="1" applyFill="1" applyAlignment="1">
      <alignment horizontal="right"/>
    </xf>
    <xf numFmtId="190" fontId="55" fillId="10" borderId="2" xfId="9" applyNumberFormat="1" applyFont="1" applyFill="1" applyBorder="1" applyAlignment="1">
      <alignment horizontal="right"/>
    </xf>
    <xf numFmtId="191" fontId="8" fillId="10" borderId="0" xfId="0" applyNumberFormat="1" applyFont="1" applyFill="1" applyBorder="1" applyAlignment="1">
      <alignment horizontal="right"/>
    </xf>
    <xf numFmtId="191" fontId="8" fillId="10" borderId="0" xfId="0" applyNumberFormat="1" applyFont="1" applyFill="1" applyAlignment="1">
      <alignment horizontal="right"/>
    </xf>
    <xf numFmtId="191" fontId="55" fillId="10" borderId="0" xfId="9" applyNumberFormat="1" applyFont="1" applyFill="1" applyBorder="1" applyAlignment="1">
      <alignment horizontal="right"/>
    </xf>
    <xf numFmtId="37" fontId="77" fillId="10" borderId="0" xfId="0" applyNumberFormat="1" applyFont="1" applyFill="1" applyAlignment="1" applyProtection="1">
      <alignment horizontal="right"/>
    </xf>
    <xf numFmtId="190" fontId="26" fillId="10" borderId="0" xfId="9" applyNumberFormat="1" applyFont="1" applyFill="1" applyAlignment="1">
      <alignment horizontal="right"/>
    </xf>
    <xf numFmtId="190" fontId="55" fillId="10" borderId="0" xfId="0" applyNumberFormat="1" applyFont="1" applyFill="1" applyBorder="1" applyAlignment="1">
      <alignment horizontal="right"/>
    </xf>
    <xf numFmtId="190" fontId="55" fillId="10" borderId="0" xfId="0" applyNumberFormat="1" applyFont="1" applyFill="1" applyAlignment="1">
      <alignment horizontal="right"/>
    </xf>
    <xf numFmtId="190" fontId="55" fillId="10" borderId="0" xfId="14" applyNumberFormat="1" applyFont="1" applyFill="1" applyBorder="1" applyAlignment="1">
      <alignment horizontal="right"/>
    </xf>
    <xf numFmtId="190" fontId="8" fillId="10" borderId="0" xfId="14" applyNumberFormat="1" applyFont="1" applyFill="1" applyAlignment="1">
      <alignment horizontal="right"/>
    </xf>
    <xf numFmtId="180" fontId="8" fillId="10" borderId="0" xfId="0" applyNumberFormat="1" applyFont="1" applyFill="1"/>
    <xf numFmtId="191" fontId="55" fillId="10" borderId="0" xfId="14" applyNumberFormat="1" applyFont="1" applyFill="1" applyBorder="1" applyAlignment="1">
      <alignment horizontal="right"/>
    </xf>
    <xf numFmtId="191" fontId="26" fillId="10" borderId="0" xfId="14" applyNumberFormat="1" applyFont="1" applyFill="1" applyBorder="1" applyAlignment="1">
      <alignment horizontal="right"/>
    </xf>
    <xf numFmtId="191" fontId="26" fillId="10" borderId="0" xfId="14" applyNumberFormat="1" applyFont="1" applyFill="1" applyAlignment="1">
      <alignment horizontal="right"/>
    </xf>
    <xf numFmtId="196" fontId="26" fillId="10" borderId="0" xfId="0" applyNumberFormat="1" applyFont="1" applyFill="1"/>
    <xf numFmtId="191" fontId="26" fillId="10" borderId="0" xfId="9" applyNumberFormat="1" applyFont="1" applyFill="1" applyBorder="1" applyAlignment="1">
      <alignment horizontal="right"/>
    </xf>
    <xf numFmtId="191" fontId="8" fillId="10" borderId="0" xfId="9" applyNumberFormat="1" applyFont="1" applyFill="1" applyBorder="1" applyAlignment="1">
      <alignment horizontal="right"/>
    </xf>
    <xf numFmtId="0" fontId="2" fillId="10" borderId="0" xfId="0" applyFont="1" applyFill="1" applyBorder="1"/>
    <xf numFmtId="0" fontId="2" fillId="10" borderId="22" xfId="0" applyFont="1" applyFill="1" applyBorder="1"/>
    <xf numFmtId="0" fontId="8" fillId="10" borderId="9" xfId="0" applyFont="1" applyFill="1" applyBorder="1"/>
    <xf numFmtId="0" fontId="8" fillId="10" borderId="12" xfId="0" applyFont="1" applyFill="1" applyBorder="1"/>
    <xf numFmtId="0" fontId="2" fillId="10" borderId="23" xfId="0" applyFont="1" applyFill="1" applyBorder="1"/>
    <xf numFmtId="0" fontId="8" fillId="10" borderId="24" xfId="0" applyFont="1" applyFill="1" applyBorder="1"/>
    <xf numFmtId="191" fontId="35" fillId="10" borderId="0" xfId="0" applyNumberFormat="1" applyFont="1" applyFill="1" applyAlignment="1">
      <alignment horizontal="right"/>
    </xf>
    <xf numFmtId="175" fontId="26" fillId="10" borderId="0" xfId="9" applyNumberFormat="1" applyFont="1" applyFill="1" applyBorder="1"/>
    <xf numFmtId="175" fontId="26" fillId="10" borderId="24" xfId="9" applyNumberFormat="1" applyFont="1" applyFill="1" applyBorder="1"/>
    <xf numFmtId="191" fontId="8" fillId="10" borderId="0" xfId="0" applyNumberFormat="1" applyFont="1" applyFill="1" applyBorder="1"/>
    <xf numFmtId="0" fontId="2" fillId="10" borderId="25" xfId="0" applyFont="1" applyFill="1" applyBorder="1"/>
    <xf numFmtId="0" fontId="8" fillId="10" borderId="3" xfId="0" applyFont="1" applyFill="1" applyBorder="1"/>
    <xf numFmtId="175" fontId="26" fillId="10" borderId="3" xfId="9" applyNumberFormat="1" applyFont="1" applyFill="1" applyBorder="1"/>
    <xf numFmtId="175" fontId="26" fillId="10" borderId="13" xfId="9" applyNumberFormat="1" applyFont="1" applyFill="1" applyBorder="1"/>
    <xf numFmtId="181" fontId="8" fillId="10" borderId="0" xfId="0" applyNumberFormat="1" applyFont="1" applyFill="1"/>
    <xf numFmtId="186" fontId="8" fillId="10" borderId="0" xfId="9" applyNumberFormat="1" applyFont="1" applyFill="1" applyBorder="1" applyAlignment="1">
      <alignment horizontal="right"/>
    </xf>
    <xf numFmtId="186" fontId="8" fillId="10" borderId="0" xfId="9" applyNumberFormat="1" applyFont="1" applyFill="1" applyAlignment="1">
      <alignment horizontal="right"/>
    </xf>
    <xf numFmtId="197" fontId="8" fillId="10" borderId="0" xfId="9" applyNumberFormat="1" applyFont="1" applyFill="1" applyBorder="1" applyAlignment="1">
      <alignment horizontal="right"/>
    </xf>
    <xf numFmtId="197" fontId="8" fillId="10" borderId="0" xfId="9" applyNumberFormat="1" applyFont="1" applyFill="1" applyAlignment="1">
      <alignment horizontal="right"/>
    </xf>
    <xf numFmtId="0" fontId="8" fillId="13" borderId="4" xfId="0" applyFont="1" applyFill="1" applyBorder="1"/>
    <xf numFmtId="0" fontId="8" fillId="13" borderId="0" xfId="0" applyFont="1" applyFill="1" applyBorder="1"/>
    <xf numFmtId="191" fontId="8" fillId="13" borderId="4" xfId="0" applyNumberFormat="1" applyFont="1" applyFill="1" applyBorder="1" applyAlignment="1">
      <alignment horizontal="right"/>
    </xf>
    <xf numFmtId="164" fontId="27" fillId="10" borderId="0" xfId="28" applyFont="1" applyFill="1" applyBorder="1" applyAlignment="1">
      <alignment horizontal="left"/>
    </xf>
    <xf numFmtId="37" fontId="8" fillId="10" borderId="0" xfId="36" applyFont="1" applyFill="1"/>
    <xf numFmtId="37" fontId="8" fillId="10" borderId="2" xfId="36" applyFont="1" applyFill="1" applyBorder="1"/>
    <xf numFmtId="37" fontId="8" fillId="10" borderId="2" xfId="36" applyFont="1" applyFill="1" applyBorder="1" applyAlignment="1">
      <alignment horizontal="center"/>
    </xf>
    <xf numFmtId="37" fontId="2" fillId="10" borderId="2" xfId="36" applyFont="1" applyFill="1" applyBorder="1" applyAlignment="1">
      <alignment horizontal="center"/>
    </xf>
    <xf numFmtId="37" fontId="2" fillId="10" borderId="0" xfId="36" applyFont="1" applyFill="1" applyAlignment="1">
      <alignment horizontal="center"/>
    </xf>
    <xf numFmtId="37" fontId="2" fillId="10" borderId="0" xfId="36" applyFont="1" applyFill="1" applyAlignment="1">
      <alignment horizontal="centerContinuous"/>
    </xf>
    <xf numFmtId="37" fontId="2" fillId="10" borderId="0" xfId="36" applyFont="1" applyFill="1"/>
    <xf numFmtId="37" fontId="2" fillId="10" borderId="2" xfId="36" applyFont="1" applyFill="1" applyBorder="1"/>
    <xf numFmtId="37" fontId="2" fillId="10" borderId="2" xfId="36" applyFont="1" applyFill="1" applyBorder="1" applyAlignment="1" applyProtection="1">
      <alignment horizontal="center"/>
    </xf>
    <xf numFmtId="37" fontId="2" fillId="10" borderId="2" xfId="36" applyFont="1" applyFill="1" applyBorder="1" applyAlignment="1">
      <alignment horizontal="centerContinuous"/>
    </xf>
    <xf numFmtId="37" fontId="2" fillId="10" borderId="0" xfId="36" applyFont="1" applyFill="1" applyAlignment="1" applyProtection="1">
      <alignment horizontal="center"/>
    </xf>
    <xf numFmtId="37" fontId="2" fillId="10" borderId="0" xfId="36" applyFont="1" applyFill="1" applyBorder="1" applyAlignment="1">
      <alignment horizontal="centerContinuous"/>
    </xf>
    <xf numFmtId="181" fontId="8" fillId="10" borderId="0" xfId="9" applyNumberFormat="1" applyFont="1" applyFill="1" applyBorder="1"/>
    <xf numFmtId="184" fontId="66" fillId="10" borderId="0" xfId="0" applyNumberFormat="1" applyFont="1" applyFill="1"/>
    <xf numFmtId="5" fontId="8" fillId="10" borderId="0" xfId="0" applyNumberFormat="1" applyFont="1" applyFill="1" applyBorder="1"/>
    <xf numFmtId="37" fontId="8" fillId="10" borderId="0" xfId="0" applyNumberFormat="1" applyFont="1" applyFill="1" applyBorder="1" applyAlignment="1">
      <alignment horizontal="right"/>
    </xf>
    <xf numFmtId="186" fontId="8" fillId="10" borderId="0" xfId="0" applyNumberFormat="1" applyFont="1" applyFill="1" applyBorder="1"/>
    <xf numFmtId="166" fontId="8" fillId="10" borderId="0" xfId="0" applyNumberFormat="1" applyFont="1" applyFill="1" applyBorder="1"/>
    <xf numFmtId="178" fontId="8" fillId="10" borderId="0" xfId="0" applyNumberFormat="1" applyFont="1" applyFill="1" applyBorder="1"/>
    <xf numFmtId="178" fontId="8" fillId="10" borderId="0" xfId="0" applyNumberFormat="1" applyFont="1" applyFill="1" applyAlignment="1">
      <alignment horizontal="right"/>
    </xf>
    <xf numFmtId="174" fontId="8" fillId="10" borderId="2" xfId="9" applyNumberFormat="1" applyFont="1" applyFill="1" applyBorder="1"/>
    <xf numFmtId="186" fontId="8" fillId="10" borderId="0" xfId="0" applyNumberFormat="1" applyFont="1" applyFill="1" applyAlignment="1">
      <alignment horizontal="right"/>
    </xf>
    <xf numFmtId="43" fontId="8" fillId="10" borderId="16" xfId="9" applyFont="1" applyFill="1" applyBorder="1"/>
    <xf numFmtId="178" fontId="8" fillId="10" borderId="0" xfId="0" applyNumberFormat="1" applyFont="1" applyFill="1"/>
    <xf numFmtId="0" fontId="69" fillId="10" borderId="0" xfId="0" applyFont="1" applyFill="1"/>
    <xf numFmtId="43" fontId="8" fillId="10" borderId="0" xfId="9" applyFont="1" applyFill="1" applyAlignment="1">
      <alignment horizontal="right"/>
    </xf>
    <xf numFmtId="192" fontId="66" fillId="10" borderId="0" xfId="0" applyNumberFormat="1" applyFont="1" applyFill="1"/>
    <xf numFmtId="0" fontId="66" fillId="10" borderId="0" xfId="0" applyFont="1" applyFill="1" applyAlignment="1">
      <alignment horizontal="centerContinuous"/>
    </xf>
    <xf numFmtId="0" fontId="69" fillId="10" borderId="0" xfId="0" applyFont="1" applyFill="1" applyAlignment="1">
      <alignment horizontal="centerContinuous"/>
    </xf>
    <xf numFmtId="182" fontId="8" fillId="10" borderId="0" xfId="39" applyNumberFormat="1" applyFont="1" applyFill="1"/>
    <xf numFmtId="182" fontId="8" fillId="10" borderId="0" xfId="0" applyNumberFormat="1" applyFont="1" applyFill="1"/>
    <xf numFmtId="176" fontId="8" fillId="10" borderId="0" xfId="29" applyFont="1" applyFill="1"/>
    <xf numFmtId="176" fontId="2" fillId="10" borderId="16" xfId="29" applyFont="1" applyFill="1" applyBorder="1" applyAlignment="1">
      <alignment horizontal="centerContinuous"/>
    </xf>
    <xf numFmtId="176" fontId="2" fillId="10" borderId="4" xfId="29" applyFont="1" applyFill="1" applyBorder="1" applyAlignment="1">
      <alignment horizontal="centerContinuous"/>
    </xf>
    <xf numFmtId="176" fontId="2" fillId="10" borderId="5" xfId="29" applyFont="1" applyFill="1" applyBorder="1" applyAlignment="1">
      <alignment horizontal="centerContinuous"/>
    </xf>
    <xf numFmtId="176" fontId="8" fillId="10" borderId="0" xfId="25" applyFont="1" applyFill="1"/>
    <xf numFmtId="37" fontId="2" fillId="10" borderId="4" xfId="29" applyNumberFormat="1" applyFont="1" applyFill="1" applyBorder="1" applyAlignment="1">
      <alignment horizontal="centerContinuous"/>
    </xf>
    <xf numFmtId="176" fontId="2" fillId="10" borderId="4" xfId="25" applyFont="1" applyFill="1" applyBorder="1" applyAlignment="1">
      <alignment horizontal="centerContinuous"/>
    </xf>
    <xf numFmtId="176" fontId="2" fillId="10" borderId="5" xfId="25" applyFont="1" applyFill="1" applyBorder="1" applyAlignment="1">
      <alignment horizontal="centerContinuous"/>
    </xf>
    <xf numFmtId="176" fontId="2" fillId="10" borderId="0" xfId="29" applyFont="1" applyFill="1"/>
    <xf numFmtId="176" fontId="2" fillId="10" borderId="2" xfId="29" applyFont="1" applyFill="1" applyBorder="1" applyAlignment="1" applyProtection="1">
      <alignment horizontal="centerContinuous"/>
    </xf>
    <xf numFmtId="176" fontId="2" fillId="10" borderId="2" xfId="29" applyFont="1" applyFill="1" applyBorder="1" applyAlignment="1">
      <alignment horizontal="centerContinuous"/>
    </xf>
    <xf numFmtId="176" fontId="2" fillId="10" borderId="0" xfId="29" applyFont="1" applyFill="1" applyAlignment="1" applyProtection="1">
      <alignment horizontal="center"/>
    </xf>
    <xf numFmtId="37" fontId="2" fillId="10" borderId="11" xfId="29" applyNumberFormat="1" applyFont="1" applyFill="1" applyBorder="1" applyAlignment="1" applyProtection="1">
      <alignment horizontal="centerContinuous"/>
    </xf>
    <xf numFmtId="176" fontId="48" fillId="10" borderId="0" xfId="29" applyFont="1" applyFill="1" applyBorder="1" applyAlignment="1">
      <alignment horizontal="centerContinuous"/>
    </xf>
    <xf numFmtId="176" fontId="2" fillId="10" borderId="2" xfId="29" applyFont="1" applyFill="1" applyBorder="1" applyAlignment="1" applyProtection="1">
      <alignment horizontal="centerContinuous" wrapText="1"/>
    </xf>
    <xf numFmtId="176" fontId="2" fillId="10" borderId="2" xfId="29" applyFont="1" applyFill="1" applyBorder="1" applyAlignment="1">
      <alignment horizontal="centerContinuous" wrapText="1"/>
    </xf>
    <xf numFmtId="176" fontId="2" fillId="10" borderId="2" xfId="25" applyFont="1" applyFill="1" applyBorder="1"/>
    <xf numFmtId="176" fontId="2" fillId="10" borderId="0" xfId="25" applyFont="1" applyFill="1"/>
    <xf numFmtId="37" fontId="8" fillId="10" borderId="0" xfId="31" applyFont="1" applyFill="1"/>
    <xf numFmtId="37" fontId="2" fillId="10" borderId="2" xfId="31" applyFont="1" applyFill="1" applyBorder="1" applyAlignment="1">
      <alignment horizontal="center"/>
    </xf>
    <xf numFmtId="176" fontId="2" fillId="10" borderId="2" xfId="29" applyFont="1" applyFill="1" applyBorder="1" applyAlignment="1" applyProtection="1">
      <alignment horizontal="center"/>
    </xf>
    <xf numFmtId="176" fontId="2" fillId="10" borderId="0" xfId="29" applyFont="1" applyFill="1" applyBorder="1" applyAlignment="1"/>
    <xf numFmtId="37" fontId="2" fillId="10" borderId="0" xfId="29" applyNumberFormat="1" applyFont="1" applyFill="1" applyBorder="1" applyAlignment="1" applyProtection="1">
      <alignment horizontal="centerContinuous"/>
    </xf>
    <xf numFmtId="176" fontId="2" fillId="10" borderId="0" xfId="29" applyFont="1" applyFill="1" applyBorder="1" applyAlignment="1" applyProtection="1">
      <alignment horizontal="center"/>
    </xf>
    <xf numFmtId="176" fontId="2" fillId="10" borderId="0" xfId="25" applyFont="1" applyFill="1" applyAlignment="1">
      <alignment horizontal="center"/>
    </xf>
    <xf numFmtId="176" fontId="2" fillId="10" borderId="0" xfId="25" applyFont="1" applyFill="1" applyBorder="1" applyAlignment="1">
      <alignment horizontal="center"/>
    </xf>
    <xf numFmtId="176" fontId="2" fillId="10" borderId="0" xfId="29" applyFont="1" applyFill="1" applyAlignment="1" applyProtection="1">
      <alignment horizontal="left"/>
    </xf>
    <xf numFmtId="37" fontId="2" fillId="10" borderId="0" xfId="31" applyFont="1" applyFill="1" applyAlignment="1">
      <alignment horizontal="center"/>
    </xf>
    <xf numFmtId="176" fontId="66" fillId="10" borderId="0" xfId="29" applyFont="1" applyFill="1"/>
    <xf numFmtId="176" fontId="2" fillId="10" borderId="4" xfId="29" applyFont="1" applyFill="1" applyBorder="1" applyAlignment="1" applyProtection="1">
      <alignment horizontal="center"/>
    </xf>
    <xf numFmtId="37" fontId="2" fillId="10" borderId="2" xfId="29" applyNumberFormat="1" applyFont="1" applyFill="1" applyBorder="1" applyAlignment="1" applyProtection="1">
      <alignment horizontal="centerContinuous"/>
    </xf>
    <xf numFmtId="176" fontId="2" fillId="10" borderId="2" xfId="25" applyFont="1" applyFill="1" applyBorder="1" applyAlignment="1">
      <alignment horizontal="center"/>
    </xf>
    <xf numFmtId="176" fontId="66" fillId="10" borderId="0" xfId="25" applyFont="1" applyFill="1"/>
    <xf numFmtId="0" fontId="2" fillId="10" borderId="0" xfId="0" applyFont="1" applyFill="1" applyAlignment="1">
      <alignment horizontal="center"/>
    </xf>
    <xf numFmtId="176" fontId="2" fillId="10" borderId="2" xfId="29" applyFont="1" applyFill="1" applyBorder="1"/>
    <xf numFmtId="176" fontId="48" fillId="10" borderId="2" xfId="29" applyFont="1" applyFill="1" applyBorder="1" applyAlignment="1">
      <alignment horizontal="centerContinuous"/>
    </xf>
    <xf numFmtId="176" fontId="63" fillId="10" borderId="2" xfId="25" applyFont="1" applyFill="1" applyBorder="1"/>
    <xf numFmtId="176" fontId="8" fillId="10" borderId="2" xfId="25" applyFont="1" applyFill="1" applyBorder="1"/>
    <xf numFmtId="0" fontId="2" fillId="10" borderId="2" xfId="0" applyFont="1" applyFill="1" applyBorder="1" applyAlignment="1">
      <alignment horizontal="center"/>
    </xf>
    <xf numFmtId="0" fontId="66" fillId="10" borderId="0" xfId="0" applyFont="1" applyFill="1" applyAlignment="1">
      <alignment horizontal="left"/>
    </xf>
    <xf numFmtId="1" fontId="8" fillId="10" borderId="0" xfId="0" applyNumberFormat="1" applyFont="1" applyFill="1"/>
    <xf numFmtId="0" fontId="5" fillId="10" borderId="37" xfId="16" applyFont="1" applyFill="1" applyBorder="1" applyAlignment="1" applyProtection="1">
      <alignment horizontal="left" wrapText="1" indent="10"/>
    </xf>
    <xf numFmtId="1" fontId="26" fillId="10" borderId="0" xfId="0" applyNumberFormat="1" applyFont="1" applyFill="1"/>
    <xf numFmtId="0" fontId="2" fillId="10" borderId="0" xfId="0" applyFont="1" applyFill="1" applyAlignment="1">
      <alignment horizontal="left" wrapText="1" indent="10"/>
    </xf>
    <xf numFmtId="177" fontId="8" fillId="10" borderId="0" xfId="0" applyNumberFormat="1" applyFont="1" applyFill="1" applyAlignment="1">
      <alignment horizontal="right"/>
    </xf>
    <xf numFmtId="173" fontId="8" fillId="10" borderId="0" xfId="0" applyNumberFormat="1" applyFont="1" applyFill="1" applyAlignment="1">
      <alignment horizontal="right"/>
    </xf>
    <xf numFmtId="173" fontId="8" fillId="10" borderId="0" xfId="0" applyNumberFormat="1" applyFont="1" applyFill="1" applyBorder="1" applyAlignment="1">
      <alignment horizontal="right"/>
    </xf>
    <xf numFmtId="0" fontId="63" fillId="10" borderId="0" xfId="0" applyFont="1" applyFill="1"/>
    <xf numFmtId="166" fontId="8" fillId="10" borderId="0" xfId="0" applyNumberFormat="1" applyFont="1" applyFill="1" applyAlignment="1">
      <alignment horizontal="right"/>
    </xf>
    <xf numFmtId="166" fontId="26" fillId="10" borderId="0" xfId="0" applyNumberFormat="1" applyFont="1" applyFill="1"/>
    <xf numFmtId="165" fontId="8" fillId="10" borderId="0" xfId="0" applyNumberFormat="1" applyFont="1" applyFill="1" applyAlignment="1">
      <alignment horizontal="right"/>
    </xf>
    <xf numFmtId="165" fontId="26" fillId="10" borderId="0" xfId="0" applyNumberFormat="1" applyFont="1" applyFill="1"/>
    <xf numFmtId="0" fontId="67" fillId="10" borderId="0" xfId="0" applyFont="1" applyFill="1"/>
    <xf numFmtId="177" fontId="8" fillId="10" borderId="2" xfId="0" applyNumberFormat="1" applyFont="1" applyFill="1" applyBorder="1" applyAlignment="1">
      <alignment horizontal="right"/>
    </xf>
    <xf numFmtId="173" fontId="8" fillId="10" borderId="2" xfId="0" applyNumberFormat="1" applyFont="1" applyFill="1" applyBorder="1" applyAlignment="1">
      <alignment horizontal="right"/>
    </xf>
    <xf numFmtId="173" fontId="8" fillId="10" borderId="2" xfId="0" applyNumberFormat="1" applyFont="1" applyFill="1" applyBorder="1"/>
    <xf numFmtId="3" fontId="8" fillId="10" borderId="2" xfId="0" applyNumberFormat="1" applyFont="1" applyFill="1" applyBorder="1"/>
    <xf numFmtId="178" fontId="8" fillId="10" borderId="2" xfId="0" applyNumberFormat="1" applyFont="1" applyFill="1" applyBorder="1" applyAlignment="1">
      <alignment horizontal="right"/>
    </xf>
    <xf numFmtId="165" fontId="8" fillId="10" borderId="2" xfId="0" applyNumberFormat="1" applyFont="1" applyFill="1" applyBorder="1" applyAlignment="1">
      <alignment horizontal="right"/>
    </xf>
    <xf numFmtId="165" fontId="26" fillId="10" borderId="2" xfId="0" applyNumberFormat="1" applyFont="1" applyFill="1" applyBorder="1"/>
    <xf numFmtId="172" fontId="8" fillId="10" borderId="0" xfId="0" applyNumberFormat="1" applyFont="1" applyFill="1" applyAlignment="1">
      <alignment horizontal="right"/>
    </xf>
    <xf numFmtId="177" fontId="8" fillId="10" borderId="2" xfId="0" applyNumberFormat="1" applyFont="1" applyFill="1" applyBorder="1"/>
    <xf numFmtId="164" fontId="8" fillId="10" borderId="2" xfId="0" applyNumberFormat="1" applyFont="1" applyFill="1" applyBorder="1" applyAlignment="1">
      <alignment horizontal="right"/>
    </xf>
    <xf numFmtId="178" fontId="8" fillId="10" borderId="2" xfId="0" applyNumberFormat="1" applyFont="1" applyFill="1" applyBorder="1"/>
    <xf numFmtId="0" fontId="68" fillId="10" borderId="0" xfId="0" applyFont="1" applyFill="1"/>
    <xf numFmtId="175" fontId="68" fillId="10" borderId="0" xfId="0" applyNumberFormat="1" applyFont="1" applyFill="1"/>
    <xf numFmtId="166" fontId="8" fillId="10" borderId="2" xfId="0" applyNumberFormat="1" applyFont="1" applyFill="1" applyBorder="1"/>
    <xf numFmtId="0" fontId="69" fillId="10" borderId="0" xfId="0" applyFont="1" applyFill="1" applyAlignment="1">
      <alignment horizontal="left"/>
    </xf>
    <xf numFmtId="182" fontId="63" fillId="10" borderId="0" xfId="39" applyNumberFormat="1" applyFont="1" applyFill="1" applyProtection="1"/>
    <xf numFmtId="211" fontId="8" fillId="10" borderId="0" xfId="0" applyNumberFormat="1" applyFont="1" applyFill="1"/>
    <xf numFmtId="167" fontId="8" fillId="10" borderId="2" xfId="0" applyNumberFormat="1" applyFont="1" applyFill="1" applyBorder="1"/>
    <xf numFmtId="177" fontId="2" fillId="10" borderId="0" xfId="0" applyNumberFormat="1" applyFont="1" applyFill="1"/>
    <xf numFmtId="37" fontId="27" fillId="10" borderId="0" xfId="31" applyFont="1" applyFill="1"/>
    <xf numFmtId="166" fontId="8" fillId="10" borderId="0" xfId="0" applyNumberFormat="1" applyFont="1" applyFill="1" applyBorder="1" applyAlignment="1">
      <alignment horizontal="right"/>
    </xf>
    <xf numFmtId="0" fontId="75" fillId="10" borderId="0" xfId="0" applyFont="1" applyFill="1"/>
    <xf numFmtId="188" fontId="2" fillId="10" borderId="2" xfId="0" applyNumberFormat="1" applyFont="1" applyFill="1" applyBorder="1" applyAlignment="1">
      <alignment horizontal="center"/>
    </xf>
    <xf numFmtId="5" fontId="8" fillId="10" borderId="0" xfId="33" applyNumberFormat="1" applyFont="1" applyFill="1" applyAlignment="1" applyProtection="1">
      <alignment horizontal="right"/>
    </xf>
    <xf numFmtId="193" fontId="8" fillId="10" borderId="0" xfId="39" applyNumberFormat="1" applyFont="1" applyFill="1"/>
    <xf numFmtId="165" fontId="8" fillId="10" borderId="1" xfId="0" applyNumberFormat="1" applyFont="1" applyFill="1" applyBorder="1" applyAlignment="1">
      <alignment horizontal="right"/>
    </xf>
    <xf numFmtId="193" fontId="8" fillId="10" borderId="0" xfId="39" applyNumberFormat="1" applyFont="1" applyFill="1" applyAlignment="1">
      <alignment horizontal="right"/>
    </xf>
    <xf numFmtId="5" fontId="55" fillId="10" borderId="0" xfId="33" applyNumberFormat="1" applyFont="1" applyFill="1" applyAlignment="1" applyProtection="1">
      <alignment horizontal="right"/>
    </xf>
    <xf numFmtId="186" fontId="2" fillId="10" borderId="0" xfId="9" applyNumberFormat="1" applyFont="1" applyFill="1"/>
    <xf numFmtId="0" fontId="8" fillId="10" borderId="0" xfId="0" quotePrefix="1" applyFont="1" applyFill="1"/>
    <xf numFmtId="176" fontId="8" fillId="10" borderId="0" xfId="35" applyNumberFormat="1" applyFont="1" applyFill="1" applyAlignment="1" applyProtection="1">
      <alignment horizontal="left"/>
    </xf>
    <xf numFmtId="43" fontId="8" fillId="10" borderId="0" xfId="0" applyNumberFormat="1" applyFont="1" applyFill="1" applyAlignment="1">
      <alignment horizontal="right"/>
    </xf>
    <xf numFmtId="176" fontId="8" fillId="10" borderId="0" xfId="35" applyNumberFormat="1" applyFont="1" applyFill="1" applyAlignment="1" applyProtection="1">
      <alignment horizontal="left" indent="1"/>
    </xf>
    <xf numFmtId="176" fontId="8" fillId="10" borderId="0" xfId="35" applyFont="1" applyFill="1"/>
    <xf numFmtId="166" fontId="8" fillId="10" borderId="0" xfId="14" applyNumberFormat="1" applyFont="1" applyFill="1"/>
    <xf numFmtId="182" fontId="55" fillId="10" borderId="0" xfId="0" quotePrefix="1" applyNumberFormat="1" applyFont="1" applyFill="1" applyAlignment="1" applyProtection="1">
      <alignment horizontal="right"/>
    </xf>
    <xf numFmtId="182" fontId="8" fillId="10" borderId="0" xfId="0" quotePrefix="1" applyNumberFormat="1" applyFont="1" applyFill="1" applyAlignment="1" applyProtection="1">
      <alignment horizontal="right"/>
    </xf>
    <xf numFmtId="9" fontId="8" fillId="10" borderId="0" xfId="39" applyNumberFormat="1" applyFont="1" applyFill="1"/>
    <xf numFmtId="9" fontId="49" fillId="10" borderId="0" xfId="39" applyFont="1" applyFill="1" applyAlignment="1">
      <alignment vertical="center"/>
    </xf>
    <xf numFmtId="9" fontId="8" fillId="10" borderId="0" xfId="39" applyFont="1" applyFill="1" applyAlignment="1">
      <alignment vertical="center"/>
    </xf>
    <xf numFmtId="175" fontId="8" fillId="10" borderId="0" xfId="9" applyNumberFormat="1" applyFont="1" applyFill="1" applyAlignment="1">
      <alignment vertical="center"/>
    </xf>
    <xf numFmtId="175" fontId="8" fillId="10" borderId="0" xfId="9" applyNumberFormat="1" applyFont="1" applyFill="1" applyAlignment="1">
      <alignment horizontal="right" vertical="center"/>
    </xf>
    <xf numFmtId="9" fontId="26" fillId="10" borderId="0" xfId="39" applyNumberFormat="1" applyFont="1" applyFill="1"/>
    <xf numFmtId="37" fontId="49" fillId="10" borderId="21" xfId="0" applyNumberFormat="1" applyFont="1" applyFill="1" applyBorder="1"/>
    <xf numFmtId="183" fontId="8" fillId="10" borderId="0" xfId="14" applyNumberFormat="1" applyFont="1" applyFill="1"/>
    <xf numFmtId="188" fontId="66" fillId="10" borderId="0" xfId="0" applyNumberFormat="1" applyFont="1" applyFill="1"/>
    <xf numFmtId="179" fontId="2" fillId="10" borderId="2" xfId="39" applyNumberFormat="1" applyFont="1" applyFill="1" applyBorder="1" applyAlignment="1">
      <alignment horizontal="right"/>
    </xf>
    <xf numFmtId="2" fontId="2" fillId="10" borderId="2" xfId="39" applyNumberFormat="1" applyFont="1" applyFill="1" applyBorder="1" applyAlignment="1">
      <alignment horizontal="right"/>
    </xf>
    <xf numFmtId="2" fontId="8" fillId="10" borderId="2" xfId="39" applyNumberFormat="1" applyFont="1" applyFill="1" applyBorder="1" applyAlignment="1"/>
    <xf numFmtId="179" fontId="8" fillId="10" borderId="0" xfId="39" applyNumberFormat="1" applyFont="1" applyFill="1" applyBorder="1" applyAlignment="1">
      <alignment horizontal="right"/>
    </xf>
    <xf numFmtId="44" fontId="0" fillId="0" borderId="0" xfId="0" applyNumberFormat="1"/>
    <xf numFmtId="0" fontId="8" fillId="10" borderId="0" xfId="0" applyFont="1" applyFill="1" applyAlignment="1">
      <alignment horizontal="center"/>
    </xf>
    <xf numFmtId="9" fontId="8" fillId="10" borderId="0" xfId="39" applyNumberFormat="1" applyFont="1" applyFill="1" applyBorder="1"/>
    <xf numFmtId="226" fontId="8" fillId="10" borderId="2" xfId="14" applyNumberFormat="1" applyFont="1" applyFill="1" applyBorder="1"/>
    <xf numFmtId="226" fontId="8" fillId="10" borderId="19" xfId="14" applyNumberFormat="1" applyFont="1" applyFill="1" applyBorder="1"/>
    <xf numFmtId="200" fontId="8" fillId="10" borderId="0" xfId="14" applyNumberFormat="1" applyFont="1" applyFill="1" applyBorder="1"/>
    <xf numFmtId="226" fontId="8" fillId="10" borderId="0" xfId="14" applyNumberFormat="1" applyFont="1" applyFill="1" applyBorder="1"/>
    <xf numFmtId="226" fontId="8" fillId="10" borderId="20" xfId="14" applyNumberFormat="1" applyFont="1" applyFill="1" applyBorder="1"/>
    <xf numFmtId="223" fontId="8" fillId="10" borderId="2" xfId="14" applyNumberFormat="1" applyFont="1" applyFill="1" applyBorder="1"/>
    <xf numFmtId="179" fontId="2" fillId="10" borderId="0" xfId="39" applyNumberFormat="1" applyFont="1" applyFill="1"/>
    <xf numFmtId="2" fontId="8" fillId="10" borderId="0" xfId="0" applyNumberFormat="1" applyFont="1" applyFill="1" applyAlignment="1">
      <alignment horizontal="center"/>
    </xf>
    <xf numFmtId="0" fontId="80" fillId="0" borderId="0" xfId="0" applyFont="1"/>
    <xf numFmtId="183" fontId="8" fillId="10" borderId="0" xfId="0" applyNumberFormat="1" applyFont="1" applyFill="1" applyBorder="1"/>
    <xf numFmtId="227" fontId="8" fillId="10" borderId="0" xfId="0" applyNumberFormat="1" applyFont="1" applyFill="1" applyBorder="1"/>
    <xf numFmtId="175" fontId="11" fillId="10" borderId="0" xfId="9" applyNumberFormat="1" applyFont="1" applyFill="1" applyBorder="1" applyProtection="1"/>
    <xf numFmtId="227" fontId="8" fillId="10" borderId="0" xfId="39" applyNumberFormat="1" applyFont="1" applyFill="1" applyBorder="1"/>
    <xf numFmtId="43" fontId="26" fillId="10" borderId="0" xfId="0" applyNumberFormat="1" applyFont="1" applyFill="1"/>
    <xf numFmtId="168" fontId="27" fillId="10" borderId="0" xfId="0" applyNumberFormat="1" applyFont="1" applyFill="1" applyAlignment="1">
      <alignment horizontal="left"/>
    </xf>
    <xf numFmtId="10" fontId="8" fillId="10" borderId="0" xfId="39" applyNumberFormat="1" applyFont="1" applyFill="1"/>
    <xf numFmtId="5" fontId="8" fillId="10" borderId="2" xfId="0" applyNumberFormat="1" applyFont="1" applyFill="1" applyBorder="1"/>
    <xf numFmtId="0" fontId="0" fillId="0" borderId="0" xfId="0" applyNumberFormat="1"/>
    <xf numFmtId="37" fontId="74" fillId="10" borderId="0" xfId="0" applyNumberFormat="1" applyFont="1" applyFill="1" applyAlignment="1"/>
    <xf numFmtId="37" fontId="27" fillId="10" borderId="0" xfId="0" applyNumberFormat="1" applyFont="1" applyFill="1" applyAlignment="1"/>
    <xf numFmtId="188" fontId="66" fillId="10" borderId="6" xfId="0" applyNumberFormat="1" applyFont="1" applyFill="1" applyBorder="1" applyAlignment="1">
      <alignment horizontal="center"/>
    </xf>
    <xf numFmtId="201" fontId="8" fillId="10" borderId="1" xfId="0" applyNumberFormat="1" applyFont="1" applyFill="1" applyBorder="1"/>
    <xf numFmtId="193" fontId="8" fillId="10" borderId="1" xfId="39" applyNumberFormat="1" applyFont="1" applyFill="1" applyBorder="1"/>
    <xf numFmtId="228" fontId="8" fillId="10" borderId="0" xfId="0" applyNumberFormat="1" applyFont="1" applyFill="1"/>
    <xf numFmtId="193" fontId="8" fillId="10" borderId="2" xfId="0" applyNumberFormat="1" applyFont="1" applyFill="1" applyBorder="1"/>
    <xf numFmtId="3" fontId="8" fillId="10" borderId="2" xfId="0" applyNumberFormat="1" applyFont="1" applyFill="1" applyBorder="1" applyAlignment="1">
      <alignment horizontal="right"/>
    </xf>
    <xf numFmtId="187" fontId="78" fillId="12" borderId="0" xfId="0" applyNumberFormat="1" applyFont="1" applyFill="1" applyBorder="1" applyAlignment="1">
      <alignment horizontal="centerContinuous"/>
    </xf>
    <xf numFmtId="0" fontId="78" fillId="12" borderId="0" xfId="0" applyFont="1" applyFill="1" applyBorder="1" applyAlignment="1">
      <alignment horizontal="centerContinuous"/>
    </xf>
    <xf numFmtId="181" fontId="8" fillId="10" borderId="38" xfId="9" applyNumberFormat="1" applyFont="1" applyFill="1" applyBorder="1"/>
    <xf numFmtId="0" fontId="8" fillId="10" borderId="39" xfId="0" applyFont="1" applyFill="1" applyBorder="1"/>
    <xf numFmtId="179" fontId="8" fillId="10" borderId="40" xfId="39" applyNumberFormat="1" applyFont="1" applyFill="1" applyBorder="1"/>
    <xf numFmtId="0" fontId="8" fillId="10" borderId="41" xfId="0" applyFont="1" applyFill="1" applyBorder="1" applyAlignment="1">
      <alignment horizontal="centerContinuous"/>
    </xf>
    <xf numFmtId="181" fontId="2" fillId="10" borderId="40" xfId="0" applyNumberFormat="1" applyFont="1" applyFill="1" applyBorder="1" applyAlignment="1">
      <alignment horizontal="right"/>
    </xf>
    <xf numFmtId="0" fontId="2" fillId="10" borderId="41" xfId="0" applyFont="1" applyFill="1" applyBorder="1" applyAlignment="1">
      <alignment horizontal="right"/>
    </xf>
    <xf numFmtId="43" fontId="8" fillId="10" borderId="40" xfId="0" applyNumberFormat="1" applyFont="1" applyFill="1" applyBorder="1" applyAlignment="1">
      <alignment horizontal="right"/>
    </xf>
    <xf numFmtId="43" fontId="8" fillId="10" borderId="41" xfId="0" applyNumberFormat="1" applyFont="1" applyFill="1" applyBorder="1" applyAlignment="1">
      <alignment horizontal="right"/>
    </xf>
    <xf numFmtId="179" fontId="8" fillId="10" borderId="40" xfId="39" applyNumberFormat="1" applyFont="1" applyFill="1" applyBorder="1" applyAlignment="1">
      <alignment horizontal="right"/>
    </xf>
    <xf numFmtId="0" fontId="8" fillId="10" borderId="41" xfId="0" applyFont="1" applyFill="1" applyBorder="1" applyAlignment="1">
      <alignment horizontal="right"/>
    </xf>
    <xf numFmtId="0" fontId="8" fillId="10" borderId="40" xfId="0" applyFont="1" applyFill="1" applyBorder="1" applyAlignment="1">
      <alignment horizontal="right"/>
    </xf>
    <xf numFmtId="37" fontId="2" fillId="10" borderId="40" xfId="0" applyNumberFormat="1" applyFont="1" applyFill="1" applyBorder="1" applyAlignment="1">
      <alignment horizontal="right"/>
    </xf>
    <xf numFmtId="0" fontId="2" fillId="10" borderId="40" xfId="0" applyFont="1" applyFill="1" applyBorder="1" applyAlignment="1">
      <alignment horizontal="right"/>
    </xf>
    <xf numFmtId="165" fontId="8" fillId="10" borderId="40" xfId="0" applyNumberFormat="1" applyFont="1" applyFill="1" applyBorder="1"/>
    <xf numFmtId="165" fontId="8" fillId="10" borderId="41" xfId="0" applyNumberFormat="1" applyFont="1" applyFill="1" applyBorder="1"/>
    <xf numFmtId="165" fontId="8" fillId="10" borderId="44" xfId="0" applyNumberFormat="1" applyFont="1" applyFill="1" applyBorder="1"/>
    <xf numFmtId="165" fontId="8" fillId="10" borderId="45" xfId="0" applyNumberFormat="1" applyFont="1" applyFill="1" applyBorder="1"/>
    <xf numFmtId="0" fontId="11" fillId="5" borderId="0" xfId="37" applyNumberFormat="1" applyFont="1" applyFill="1" applyAlignment="1">
      <alignment horizontal="right"/>
    </xf>
    <xf numFmtId="172" fontId="81" fillId="0" borderId="0" xfId="21" applyNumberFormat="1" applyFont="1" applyFill="1" applyBorder="1" applyAlignment="1" applyProtection="1">
      <alignment horizontal="center"/>
    </xf>
    <xf numFmtId="182" fontId="82" fillId="0" borderId="0" xfId="21" applyNumberFormat="1" applyFont="1" applyFill="1" applyBorder="1" applyAlignment="1" applyProtection="1">
      <alignment horizontal="center"/>
    </xf>
    <xf numFmtId="164" fontId="82" fillId="0" borderId="0" xfId="21" applyNumberFormat="1" applyFont="1" applyFill="1" applyBorder="1" applyAlignment="1" applyProtection="1">
      <alignment horizontal="center"/>
    </xf>
    <xf numFmtId="164" fontId="82" fillId="0" borderId="0" xfId="21" applyNumberFormat="1" applyFont="1" applyFill="1" applyBorder="1" applyAlignment="1">
      <alignment horizontal="center"/>
    </xf>
    <xf numFmtId="186" fontId="81" fillId="0" borderId="0" xfId="21" applyNumberFormat="1" applyFont="1" applyFill="1" applyBorder="1" applyAlignment="1" applyProtection="1">
      <alignment horizontal="center"/>
    </xf>
    <xf numFmtId="37" fontId="82" fillId="0" borderId="0" xfId="21" applyFont="1" applyFill="1" applyBorder="1" applyAlignment="1" applyProtection="1">
      <alignment horizontal="center"/>
    </xf>
    <xf numFmtId="7" fontId="81" fillId="0" borderId="0" xfId="21" applyNumberFormat="1" applyFont="1" applyFill="1" applyBorder="1" applyAlignment="1" applyProtection="1">
      <alignment horizontal="center"/>
    </xf>
    <xf numFmtId="186" fontId="82" fillId="0" borderId="0" xfId="21" applyNumberFormat="1" applyFont="1" applyFill="1" applyBorder="1" applyAlignment="1" applyProtection="1">
      <alignment horizontal="center"/>
    </xf>
    <xf numFmtId="164" fontId="82" fillId="0" borderId="24" xfId="21" applyNumberFormat="1" applyFont="1" applyFill="1" applyBorder="1" applyAlignment="1" applyProtection="1">
      <alignment horizontal="center"/>
    </xf>
    <xf numFmtId="182" fontId="82" fillId="0" borderId="24" xfId="21" applyNumberFormat="1" applyFont="1" applyFill="1" applyBorder="1" applyAlignment="1" applyProtection="1">
      <alignment horizontal="center"/>
    </xf>
    <xf numFmtId="164" fontId="11" fillId="0" borderId="24" xfId="37" applyNumberFormat="1" applyFont="1" applyFill="1" applyBorder="1" applyAlignment="1">
      <alignment horizontal="center"/>
    </xf>
    <xf numFmtId="37" fontId="11" fillId="0" borderId="24" xfId="0" applyNumberFormat="1" applyFont="1" applyFill="1" applyBorder="1" applyAlignment="1" applyProtection="1">
      <alignment horizontal="center"/>
    </xf>
    <xf numFmtId="37" fontId="11" fillId="0" borderId="24" xfId="37" applyNumberFormat="1" applyFont="1" applyFill="1" applyBorder="1" applyAlignment="1">
      <alignment horizontal="center"/>
    </xf>
    <xf numFmtId="6" fontId="11" fillId="0" borderId="24" xfId="19" applyNumberFormat="1" applyFont="1" applyFill="1" applyBorder="1" applyAlignment="1" applyProtection="1">
      <alignment horizontal="center"/>
    </xf>
    <xf numFmtId="7" fontId="11" fillId="0" borderId="24" xfId="37" applyNumberFormat="1" applyFont="1" applyFill="1" applyBorder="1" applyAlignment="1">
      <alignment horizontal="center"/>
    </xf>
    <xf numFmtId="7" fontId="27" fillId="10" borderId="0" xfId="0" applyNumberFormat="1" applyFont="1" applyFill="1" applyAlignment="1"/>
    <xf numFmtId="39" fontId="8" fillId="10" borderId="0" xfId="0" applyNumberFormat="1" applyFont="1" applyFill="1" applyBorder="1"/>
    <xf numFmtId="175" fontId="0" fillId="10" borderId="0" xfId="0" applyNumberFormat="1" applyFill="1"/>
    <xf numFmtId="222" fontId="8" fillId="10" borderId="0" xfId="0" applyNumberFormat="1" applyFont="1" applyFill="1" applyBorder="1"/>
    <xf numFmtId="0" fontId="1" fillId="10" borderId="2" xfId="0" applyFont="1" applyFill="1" applyBorder="1"/>
    <xf numFmtId="223" fontId="8" fillId="10" borderId="2" xfId="14" applyNumberFormat="1" applyFont="1" applyFill="1" applyBorder="1" applyAlignment="1">
      <alignment horizontal="center"/>
    </xf>
    <xf numFmtId="223" fontId="8" fillId="10" borderId="19" xfId="14" applyNumberFormat="1" applyFont="1" applyFill="1" applyBorder="1" applyAlignment="1">
      <alignment horizontal="center"/>
    </xf>
    <xf numFmtId="7" fontId="1" fillId="10" borderId="0" xfId="14" applyNumberFormat="1" applyFont="1" applyFill="1"/>
    <xf numFmtId="164" fontId="2" fillId="10" borderId="0" xfId="0" applyNumberFormat="1" applyFont="1" applyFill="1" applyAlignment="1"/>
    <xf numFmtId="5" fontId="2" fillId="10" borderId="0" xfId="14" applyNumberFormat="1" applyFont="1" applyFill="1"/>
    <xf numFmtId="5" fontId="2" fillId="10" borderId="0" xfId="0" applyNumberFormat="1" applyFont="1" applyFill="1"/>
    <xf numFmtId="7" fontId="1" fillId="0" borderId="0" xfId="14" applyNumberFormat="1" applyFont="1" applyFill="1"/>
    <xf numFmtId="193" fontId="8" fillId="10" borderId="0" xfId="0" applyNumberFormat="1" applyFont="1" applyFill="1"/>
    <xf numFmtId="5" fontId="8" fillId="10" borderId="0" xfId="9" applyNumberFormat="1" applyFont="1" applyFill="1"/>
    <xf numFmtId="7" fontId="27" fillId="10" borderId="0" xfId="0" applyNumberFormat="1" applyFont="1" applyFill="1"/>
    <xf numFmtId="43" fontId="1" fillId="0" borderId="0" xfId="10" applyFont="1" applyFill="1" applyAlignment="1">
      <alignment horizontal="right"/>
    </xf>
    <xf numFmtId="190" fontId="83" fillId="10" borderId="0" xfId="9" applyNumberFormat="1" applyFont="1" applyFill="1" applyBorder="1" applyAlignment="1">
      <alignment horizontal="right"/>
    </xf>
    <xf numFmtId="191" fontId="8" fillId="10" borderId="11" xfId="0" applyNumberFormat="1" applyFont="1" applyFill="1" applyBorder="1" applyAlignment="1">
      <alignment horizontal="right"/>
    </xf>
    <xf numFmtId="168" fontId="79" fillId="10" borderId="0" xfId="0" applyNumberFormat="1" applyFont="1" applyFill="1"/>
    <xf numFmtId="168" fontId="79" fillId="10" borderId="0" xfId="0" applyNumberFormat="1" applyFont="1" applyFill="1" applyAlignment="1"/>
    <xf numFmtId="190" fontId="2" fillId="10" borderId="0" xfId="9" applyNumberFormat="1" applyFont="1" applyFill="1" applyBorder="1" applyAlignment="1">
      <alignment horizontal="right"/>
    </xf>
    <xf numFmtId="190" fontId="84" fillId="10" borderId="0" xfId="9" applyNumberFormat="1" applyFont="1" applyFill="1" applyAlignment="1">
      <alignment horizontal="right"/>
    </xf>
    <xf numFmtId="190" fontId="85" fillId="10" borderId="0" xfId="9" applyNumberFormat="1" applyFont="1" applyFill="1" applyBorder="1" applyAlignment="1">
      <alignment horizontal="right"/>
    </xf>
    <xf numFmtId="168" fontId="84" fillId="10" borderId="0" xfId="0" applyNumberFormat="1" applyFont="1" applyFill="1" applyAlignment="1"/>
    <xf numFmtId="190" fontId="83" fillId="10" borderId="0" xfId="14" applyNumberFormat="1" applyFont="1" applyFill="1"/>
    <xf numFmtId="37" fontId="83" fillId="10" borderId="0" xfId="14" applyNumberFormat="1" applyFont="1" applyFill="1"/>
    <xf numFmtId="37" fontId="83" fillId="10" borderId="2" xfId="14" applyNumberFormat="1" applyFont="1" applyFill="1" applyBorder="1"/>
    <xf numFmtId="5" fontId="83" fillId="10" borderId="0" xfId="14" applyNumberFormat="1" applyFont="1" applyFill="1"/>
    <xf numFmtId="190" fontId="1" fillId="10" borderId="0" xfId="14" applyNumberFormat="1" applyFont="1" applyFill="1"/>
    <xf numFmtId="190" fontId="86" fillId="10" borderId="0" xfId="14" applyNumberFormat="1" applyFont="1" applyFill="1"/>
    <xf numFmtId="5" fontId="8" fillId="10" borderId="11" xfId="14" applyNumberFormat="1" applyFont="1" applyFill="1" applyBorder="1"/>
    <xf numFmtId="5" fontId="86" fillId="10" borderId="0" xfId="14" applyNumberFormat="1" applyFont="1" applyFill="1"/>
    <xf numFmtId="174" fontId="87" fillId="10" borderId="0" xfId="9" applyNumberFormat="1" applyFont="1" applyFill="1" applyAlignment="1">
      <alignment horizontal="right"/>
    </xf>
    <xf numFmtId="174" fontId="87" fillId="10" borderId="0" xfId="9" applyNumberFormat="1" applyFont="1" applyFill="1"/>
    <xf numFmtId="174" fontId="87" fillId="10" borderId="0" xfId="10" applyNumberFormat="1" applyFont="1" applyFill="1"/>
    <xf numFmtId="175" fontId="14" fillId="10" borderId="0" xfId="9" applyNumberFormat="1" applyFont="1" applyFill="1" applyBorder="1" applyProtection="1"/>
    <xf numFmtId="37" fontId="82" fillId="10" borderId="0" xfId="33" applyNumberFormat="1" applyFont="1" applyFill="1" applyBorder="1" applyAlignment="1">
      <alignment horizontal="right"/>
    </xf>
    <xf numFmtId="176" fontId="82" fillId="10" borderId="0" xfId="33" applyFont="1" applyFill="1" applyBorder="1" applyAlignment="1">
      <alignment horizontal="center"/>
    </xf>
    <xf numFmtId="37" fontId="88" fillId="10" borderId="0" xfId="33" applyNumberFormat="1" applyFont="1" applyFill="1" applyBorder="1" applyAlignment="1">
      <alignment horizontal="right"/>
    </xf>
    <xf numFmtId="175" fontId="83" fillId="10" borderId="0" xfId="0" applyNumberFormat="1" applyFont="1" applyFill="1"/>
    <xf numFmtId="0" fontId="83" fillId="10" borderId="0" xfId="0" applyFont="1" applyFill="1"/>
    <xf numFmtId="175" fontId="83" fillId="0" borderId="0" xfId="0" applyNumberFormat="1" applyFont="1" applyFill="1"/>
    <xf numFmtId="9" fontId="83" fillId="10" borderId="0" xfId="39" applyFont="1" applyFill="1"/>
    <xf numFmtId="175" fontId="79" fillId="10" borderId="0" xfId="0" applyNumberFormat="1" applyFont="1" applyFill="1" applyBorder="1"/>
    <xf numFmtId="175" fontId="83" fillId="10" borderId="0" xfId="9" applyNumberFormat="1" applyFont="1" applyFill="1"/>
    <xf numFmtId="37" fontId="83" fillId="10" borderId="0" xfId="0" applyNumberFormat="1" applyFont="1" applyFill="1"/>
    <xf numFmtId="179" fontId="87" fillId="10" borderId="0" xfId="0" applyNumberFormat="1" applyFont="1" applyFill="1"/>
    <xf numFmtId="194" fontId="87" fillId="10" borderId="0" xfId="0" applyNumberFormat="1" applyFont="1" applyFill="1" applyBorder="1" applyAlignment="1" applyProtection="1">
      <alignment horizontal="right"/>
    </xf>
    <xf numFmtId="37" fontId="87" fillId="10" borderId="0" xfId="14" applyNumberFormat="1" applyFont="1" applyFill="1"/>
    <xf numFmtId="37" fontId="1" fillId="10" borderId="0" xfId="14" applyNumberFormat="1" applyFont="1" applyFill="1"/>
    <xf numFmtId="37" fontId="2" fillId="10" borderId="0" xfId="14" applyNumberFormat="1" applyFont="1" applyFill="1"/>
    <xf numFmtId="174" fontId="2" fillId="10" borderId="0" xfId="9" applyNumberFormat="1" applyFont="1" applyFill="1"/>
    <xf numFmtId="193" fontId="87" fillId="10" borderId="0" xfId="39" applyNumberFormat="1" applyFont="1" applyFill="1"/>
    <xf numFmtId="5" fontId="87" fillId="10" borderId="0" xfId="33" applyNumberFormat="1" applyFont="1" applyFill="1" applyAlignment="1" applyProtection="1">
      <alignment horizontal="right"/>
    </xf>
    <xf numFmtId="196" fontId="87" fillId="10" borderId="0" xfId="0" applyNumberFormat="1" applyFont="1" applyFill="1" applyAlignment="1">
      <alignment vertical="center"/>
    </xf>
    <xf numFmtId="37" fontId="1" fillId="10" borderId="0" xfId="0" applyNumberFormat="1" applyFont="1" applyFill="1"/>
    <xf numFmtId="175" fontId="1" fillId="10" borderId="0" xfId="0" applyNumberFormat="1" applyFont="1" applyFill="1"/>
    <xf numFmtId="182" fontId="87" fillId="10" borderId="0" xfId="0" applyNumberFormat="1" applyFont="1" applyFill="1"/>
    <xf numFmtId="179" fontId="86" fillId="10" borderId="0" xfId="0" applyNumberFormat="1" applyFont="1" applyFill="1"/>
    <xf numFmtId="9" fontId="87" fillId="10" borderId="0" xfId="39" applyNumberFormat="1" applyFont="1" applyFill="1" applyAlignment="1">
      <alignment vertical="center"/>
    </xf>
    <xf numFmtId="177" fontId="83" fillId="10" borderId="0" xfId="0" applyNumberFormat="1" applyFont="1" applyFill="1"/>
    <xf numFmtId="177" fontId="83" fillId="10" borderId="2" xfId="0" applyNumberFormat="1" applyFont="1" applyFill="1" applyBorder="1"/>
    <xf numFmtId="177" fontId="83" fillId="10" borderId="0" xfId="0" applyNumberFormat="1" applyFont="1" applyFill="1" applyBorder="1"/>
    <xf numFmtId="177" fontId="87" fillId="0" borderId="0" xfId="0" applyNumberFormat="1" applyFont="1" applyFill="1" applyBorder="1"/>
    <xf numFmtId="177" fontId="87" fillId="0" borderId="2" xfId="0" applyNumberFormat="1" applyFont="1" applyFill="1" applyBorder="1"/>
    <xf numFmtId="0" fontId="1" fillId="10" borderId="0" xfId="0" applyFont="1" applyFill="1"/>
    <xf numFmtId="1" fontId="1" fillId="10" borderId="0" xfId="0" applyNumberFormat="1" applyFont="1" applyFill="1"/>
    <xf numFmtId="175" fontId="1" fillId="0" borderId="0" xfId="0" applyNumberFormat="1" applyFont="1" applyFill="1"/>
    <xf numFmtId="5" fontId="83" fillId="10" borderId="0" xfId="0" applyNumberFormat="1" applyFont="1" applyFill="1"/>
    <xf numFmtId="37" fontId="83" fillId="10" borderId="2" xfId="0" applyNumberFormat="1" applyFont="1" applyFill="1" applyBorder="1"/>
    <xf numFmtId="186" fontId="87" fillId="10" borderId="0" xfId="0" applyNumberFormat="1" applyFont="1" applyFill="1"/>
    <xf numFmtId="186" fontId="83" fillId="10" borderId="0" xfId="0" applyNumberFormat="1" applyFont="1" applyFill="1"/>
    <xf numFmtId="198" fontId="89" fillId="10" borderId="0" xfId="0" applyNumberFormat="1" applyFont="1" applyFill="1" applyAlignment="1">
      <alignment horizontal="left"/>
    </xf>
    <xf numFmtId="37" fontId="86" fillId="10" borderId="0" xfId="0" applyNumberFormat="1" applyFont="1" applyFill="1" applyAlignment="1">
      <alignment horizontal="right"/>
    </xf>
    <xf numFmtId="37" fontId="86" fillId="10" borderId="2" xfId="0" applyNumberFormat="1" applyFont="1" applyFill="1" applyBorder="1" applyAlignment="1">
      <alignment horizontal="right"/>
    </xf>
    <xf numFmtId="177" fontId="74" fillId="10" borderId="0" xfId="0" applyNumberFormat="1" applyFont="1" applyFill="1" applyAlignment="1">
      <alignment horizontal="left"/>
    </xf>
    <xf numFmtId="165" fontId="90" fillId="0" borderId="0" xfId="0" applyNumberFormat="1" applyFont="1" applyFill="1" applyAlignment="1">
      <alignment horizontal="left"/>
    </xf>
    <xf numFmtId="37" fontId="83" fillId="10" borderId="0" xfId="0" applyNumberFormat="1" applyFont="1" applyFill="1" applyAlignment="1">
      <alignment horizontal="right"/>
    </xf>
    <xf numFmtId="37" fontId="83" fillId="10" borderId="2" xfId="0" applyNumberFormat="1" applyFont="1" applyFill="1" applyBorder="1" applyAlignment="1">
      <alignment horizontal="right"/>
    </xf>
    <xf numFmtId="37" fontId="83" fillId="10" borderId="0" xfId="9" applyNumberFormat="1" applyFont="1" applyFill="1"/>
    <xf numFmtId="37" fontId="1" fillId="10" borderId="0" xfId="0" applyNumberFormat="1" applyFont="1" applyFill="1" applyAlignment="1">
      <alignment horizontal="right"/>
    </xf>
    <xf numFmtId="37" fontId="1" fillId="10" borderId="2" xfId="0" applyNumberFormat="1" applyFont="1" applyFill="1" applyBorder="1" applyAlignment="1">
      <alignment horizontal="right"/>
    </xf>
    <xf numFmtId="37" fontId="1" fillId="10" borderId="0" xfId="9" applyNumberFormat="1" applyFont="1" applyFill="1"/>
    <xf numFmtId="183" fontId="2" fillId="10" borderId="13" xfId="0" applyNumberFormat="1" applyFont="1" applyFill="1" applyBorder="1" applyAlignment="1">
      <alignment horizontal="center"/>
    </xf>
    <xf numFmtId="183" fontId="87" fillId="0" borderId="12" xfId="0" applyNumberFormat="1" applyFont="1" applyFill="1" applyBorder="1" applyAlignment="1">
      <alignment horizontal="center"/>
    </xf>
    <xf numFmtId="183" fontId="87" fillId="10" borderId="24" xfId="0" applyNumberFormat="1" applyFont="1" applyFill="1" applyBorder="1" applyAlignment="1">
      <alignment horizontal="center"/>
    </xf>
    <xf numFmtId="183" fontId="87" fillId="10" borderId="34" xfId="0" applyNumberFormat="1" applyFont="1" applyFill="1" applyBorder="1" applyAlignment="1">
      <alignment horizontal="center"/>
    </xf>
    <xf numFmtId="37" fontId="87" fillId="10" borderId="27" xfId="0" applyNumberFormat="1" applyFont="1" applyFill="1" applyBorder="1" applyAlignment="1">
      <alignment horizontal="center"/>
    </xf>
    <xf numFmtId="37" fontId="2" fillId="10" borderId="27" xfId="0" applyNumberFormat="1" applyFont="1" applyFill="1" applyBorder="1" applyAlignment="1">
      <alignment horizontal="center"/>
    </xf>
    <xf numFmtId="37" fontId="2" fillId="10" borderId="29" xfId="0" applyNumberFormat="1" applyFont="1" applyFill="1" applyBorder="1" applyAlignment="1">
      <alignment horizontal="center"/>
    </xf>
    <xf numFmtId="37" fontId="2" fillId="10" borderId="46" xfId="0" applyNumberFormat="1" applyFont="1" applyFill="1" applyBorder="1" applyAlignment="1">
      <alignment horizontal="center"/>
    </xf>
    <xf numFmtId="37" fontId="83" fillId="10" borderId="26" xfId="0" applyNumberFormat="1" applyFont="1" applyFill="1" applyBorder="1" applyAlignment="1">
      <alignment horizontal="center"/>
    </xf>
    <xf numFmtId="37" fontId="83" fillId="10" borderId="27" xfId="0" applyNumberFormat="1" applyFont="1" applyFill="1" applyBorder="1" applyAlignment="1">
      <alignment horizontal="center"/>
    </xf>
    <xf numFmtId="37" fontId="49" fillId="10" borderId="46" xfId="0" applyNumberFormat="1" applyFont="1" applyFill="1" applyBorder="1" applyAlignment="1">
      <alignment horizontal="center"/>
    </xf>
    <xf numFmtId="37" fontId="2" fillId="10" borderId="0" xfId="9" applyNumberFormat="1" applyFont="1" applyFill="1"/>
    <xf numFmtId="37" fontId="87" fillId="10" borderId="0" xfId="0" applyNumberFormat="1" applyFont="1" applyFill="1" applyBorder="1" applyAlignment="1">
      <alignment horizontal="right"/>
    </xf>
    <xf numFmtId="37" fontId="87" fillId="10" borderId="2" xfId="0" applyNumberFormat="1" applyFont="1" applyFill="1" applyBorder="1" applyAlignment="1">
      <alignment horizontal="right"/>
    </xf>
    <xf numFmtId="37" fontId="2" fillId="10" borderId="0" xfId="0" applyNumberFormat="1" applyFont="1" applyFill="1" applyBorder="1" applyAlignment="1">
      <alignment horizontal="right"/>
    </xf>
    <xf numFmtId="37" fontId="2" fillId="10" borderId="2" xfId="0" applyNumberFormat="1" applyFont="1" applyFill="1" applyBorder="1" applyAlignment="1">
      <alignment horizontal="right"/>
    </xf>
    <xf numFmtId="39" fontId="8" fillId="10" borderId="0" xfId="14" applyNumberFormat="1" applyFont="1" applyFill="1"/>
    <xf numFmtId="0" fontId="91" fillId="0" borderId="0" xfId="19" applyFont="1"/>
    <xf numFmtId="0" fontId="92" fillId="0" borderId="2" xfId="19" applyFont="1" applyBorder="1"/>
    <xf numFmtId="221" fontId="49" fillId="10" borderId="2" xfId="20" applyNumberFormat="1" applyFont="1" applyFill="1" applyBorder="1" applyAlignment="1">
      <alignment horizontal="center"/>
    </xf>
    <xf numFmtId="221" fontId="49" fillId="15" borderId="2" xfId="20" applyNumberFormat="1" applyFont="1" applyFill="1" applyBorder="1" applyAlignment="1">
      <alignment horizontal="center"/>
    </xf>
    <xf numFmtId="0" fontId="92" fillId="0" borderId="0" xfId="19" applyFont="1"/>
    <xf numFmtId="17" fontId="2" fillId="10" borderId="0" xfId="19" applyNumberFormat="1" applyFont="1" applyFill="1"/>
    <xf numFmtId="17" fontId="2" fillId="15" borderId="0" xfId="19" applyNumberFormat="1" applyFont="1" applyFill="1"/>
    <xf numFmtId="175" fontId="1" fillId="10" borderId="0" xfId="11" applyNumberFormat="1" applyFont="1" applyFill="1"/>
    <xf numFmtId="175" fontId="1" fillId="15" borderId="0" xfId="11" applyNumberFormat="1" applyFont="1" applyFill="1"/>
    <xf numFmtId="179" fontId="1" fillId="10" borderId="0" xfId="46" applyNumberFormat="1" applyFont="1" applyFill="1"/>
    <xf numFmtId="179" fontId="93" fillId="15" borderId="0" xfId="46" applyNumberFormat="1" applyFont="1" applyFill="1"/>
    <xf numFmtId="179" fontId="91" fillId="0" borderId="0" xfId="19" applyNumberFormat="1" applyFont="1"/>
    <xf numFmtId="0" fontId="94" fillId="0" borderId="0" xfId="19" applyFont="1"/>
    <xf numFmtId="9" fontId="89" fillId="10" borderId="0" xfId="19" applyNumberFormat="1" applyFont="1" applyFill="1"/>
    <xf numFmtId="9" fontId="93" fillId="15" borderId="0" xfId="46" applyNumberFormat="1" applyFont="1" applyFill="1"/>
    <xf numFmtId="175" fontId="1" fillId="10" borderId="2" xfId="11" applyNumberFormat="1" applyFont="1" applyFill="1" applyBorder="1"/>
    <xf numFmtId="175" fontId="1" fillId="15" borderId="2" xfId="11" applyNumberFormat="1" applyFont="1" applyFill="1" applyBorder="1"/>
    <xf numFmtId="175" fontId="1" fillId="10" borderId="0" xfId="19" applyNumberFormat="1" applyFont="1" applyFill="1"/>
    <xf numFmtId="175" fontId="1" fillId="15" borderId="0" xfId="19" applyNumberFormat="1" applyFont="1" applyFill="1"/>
    <xf numFmtId="9" fontId="95" fillId="0" borderId="0" xfId="46" applyFont="1"/>
    <xf numFmtId="179" fontId="96" fillId="10" borderId="0" xfId="46" applyNumberFormat="1" applyFont="1" applyFill="1"/>
    <xf numFmtId="179" fontId="97" fillId="15" borderId="0" xfId="46" applyNumberFormat="1" applyFont="1" applyFill="1"/>
    <xf numFmtId="0" fontId="1" fillId="10" borderId="0" xfId="19" applyFont="1" applyFill="1"/>
    <xf numFmtId="0" fontId="1" fillId="15" borderId="0" xfId="19" applyFont="1" applyFill="1"/>
    <xf numFmtId="175" fontId="91" fillId="0" borderId="0" xfId="11" quotePrefix="1" applyNumberFormat="1" applyFont="1"/>
    <xf numFmtId="179" fontId="83" fillId="15" borderId="0" xfId="46" applyNumberFormat="1" applyFont="1" applyFill="1"/>
    <xf numFmtId="179" fontId="1" fillId="15" borderId="0" xfId="46" applyNumberFormat="1" applyFont="1" applyFill="1"/>
    <xf numFmtId="0" fontId="95" fillId="0" borderId="0" xfId="19" applyFont="1"/>
    <xf numFmtId="9" fontId="98" fillId="10" borderId="0" xfId="46" applyFont="1" applyFill="1"/>
    <xf numFmtId="9" fontId="97" fillId="15" borderId="0" xfId="46" applyFont="1" applyFill="1"/>
    <xf numFmtId="0" fontId="1" fillId="10" borderId="2" xfId="19" applyFont="1" applyFill="1" applyBorder="1"/>
    <xf numFmtId="0" fontId="1" fillId="15" borderId="2" xfId="19" applyFont="1" applyFill="1" applyBorder="1"/>
    <xf numFmtId="175" fontId="2" fillId="10" borderId="0" xfId="19" applyNumberFormat="1" applyFont="1" applyFill="1"/>
    <xf numFmtId="175" fontId="2" fillId="15" borderId="0" xfId="19" applyNumberFormat="1" applyFont="1" applyFill="1"/>
    <xf numFmtId="9" fontId="99" fillId="0" borderId="0" xfId="46" applyFont="1"/>
    <xf numFmtId="9" fontId="100" fillId="10" borderId="0" xfId="46" applyFont="1" applyFill="1"/>
    <xf numFmtId="0" fontId="99" fillId="0" borderId="0" xfId="19" applyFont="1"/>
    <xf numFmtId="175" fontId="101" fillId="0" borderId="0" xfId="11" applyNumberFormat="1" applyFont="1" applyAlignment="1">
      <alignment horizontal="center"/>
    </xf>
    <xf numFmtId="0" fontId="12" fillId="0" borderId="0" xfId="19" applyFont="1" applyAlignment="1">
      <alignment horizontal="right"/>
    </xf>
    <xf numFmtId="175" fontId="63" fillId="10" borderId="0" xfId="11" applyNumberFormat="1" applyFont="1" applyFill="1"/>
    <xf numFmtId="43" fontId="21" fillId="10" borderId="0" xfId="11" applyNumberFormat="1" applyFont="1" applyFill="1"/>
    <xf numFmtId="175" fontId="102" fillId="7" borderId="16" xfId="11" applyNumberFormat="1" applyFont="1" applyFill="1" applyBorder="1"/>
    <xf numFmtId="175" fontId="1" fillId="7" borderId="4" xfId="11" applyNumberFormat="1" applyFont="1" applyFill="1" applyBorder="1"/>
    <xf numFmtId="175" fontId="1" fillId="7" borderId="5" xfId="11" applyNumberFormat="1" applyFont="1" applyFill="1" applyBorder="1"/>
    <xf numFmtId="175" fontId="63" fillId="7" borderId="16" xfId="11" applyNumberFormat="1" applyFont="1" applyFill="1" applyBorder="1"/>
    <xf numFmtId="0" fontId="1" fillId="7" borderId="4" xfId="19" applyFont="1" applyFill="1" applyBorder="1"/>
    <xf numFmtId="0" fontId="1" fillId="0" borderId="0" xfId="19" applyFont="1"/>
    <xf numFmtId="175" fontId="91" fillId="0" borderId="0" xfId="11" applyNumberFormat="1" applyFont="1"/>
    <xf numFmtId="179" fontId="1" fillId="0" borderId="0" xfId="19" applyNumberFormat="1" applyFont="1"/>
    <xf numFmtId="175" fontId="92" fillId="0" borderId="0" xfId="11" applyNumberFormat="1" applyFont="1"/>
    <xf numFmtId="175" fontId="91" fillId="0" borderId="2" xfId="11" applyNumberFormat="1" applyFont="1" applyBorder="1"/>
    <xf numFmtId="175" fontId="94" fillId="0" borderId="0" xfId="11" applyNumberFormat="1" applyFont="1"/>
    <xf numFmtId="179" fontId="94" fillId="0" borderId="0" xfId="46" applyNumberFormat="1" applyFont="1"/>
    <xf numFmtId="175" fontId="92" fillId="11" borderId="16" xfId="11" applyNumberFormat="1" applyFont="1" applyFill="1" applyBorder="1"/>
    <xf numFmtId="175" fontId="92" fillId="11" borderId="4" xfId="11" applyNumberFormat="1" applyFont="1" applyFill="1" applyBorder="1" applyAlignment="1">
      <alignment horizontal="center"/>
    </xf>
    <xf numFmtId="179" fontId="92" fillId="11" borderId="5" xfId="46" applyNumberFormat="1" applyFont="1" applyFill="1" applyBorder="1" applyAlignment="1">
      <alignment horizontal="right"/>
    </xf>
    <xf numFmtId="175" fontId="94" fillId="0" borderId="0" xfId="11" applyNumberFormat="1" applyFont="1" applyAlignment="1">
      <alignment horizontal="center"/>
    </xf>
    <xf numFmtId="179" fontId="91" fillId="0" borderId="0" xfId="46" applyNumberFormat="1" applyFont="1"/>
    <xf numFmtId="44" fontId="91" fillId="0" borderId="0" xfId="47" applyFont="1"/>
    <xf numFmtId="9" fontId="91" fillId="0" borderId="0" xfId="46" applyFont="1"/>
    <xf numFmtId="9" fontId="94" fillId="0" borderId="0" xfId="46" applyFont="1" applyAlignment="1">
      <alignment horizontal="center"/>
    </xf>
    <xf numFmtId="7" fontId="1" fillId="0" borderId="0" xfId="19" applyNumberFormat="1" applyFont="1"/>
    <xf numFmtId="175" fontId="91" fillId="0" borderId="0" xfId="11" applyNumberFormat="1" applyFont="1" applyBorder="1"/>
    <xf numFmtId="175" fontId="91" fillId="0" borderId="2" xfId="11" applyNumberFormat="1" applyFont="1" applyBorder="1" applyAlignment="1">
      <alignment horizontal="center"/>
    </xf>
    <xf numFmtId="44" fontId="92" fillId="16" borderId="5" xfId="47" applyFont="1" applyFill="1" applyBorder="1"/>
    <xf numFmtId="9" fontId="1" fillId="0" borderId="0" xfId="46" applyFont="1"/>
    <xf numFmtId="43" fontId="27" fillId="10" borderId="0" xfId="9" applyFont="1" applyFill="1" applyAlignment="1">
      <alignment horizontal="left"/>
    </xf>
    <xf numFmtId="5" fontId="1" fillId="10" borderId="0" xfId="0" applyNumberFormat="1" applyFont="1" applyFill="1"/>
    <xf numFmtId="175" fontId="1" fillId="10" borderId="0" xfId="9" applyNumberFormat="1" applyFont="1" applyFill="1"/>
    <xf numFmtId="0" fontId="1" fillId="0" borderId="0" xfId="19" applyFont="1" applyFill="1"/>
    <xf numFmtId="179" fontId="1" fillId="0" borderId="0" xfId="46" applyNumberFormat="1" applyFont="1" applyFill="1" applyAlignment="1">
      <alignment horizontal="right"/>
    </xf>
    <xf numFmtId="2" fontId="1" fillId="0" borderId="0" xfId="19" applyNumberFormat="1" applyFont="1" applyFill="1" applyAlignment="1">
      <alignment horizontal="right"/>
    </xf>
    <xf numFmtId="175" fontId="91" fillId="0" borderId="0" xfId="11" applyNumberFormat="1" applyFont="1" applyFill="1" applyAlignment="1">
      <alignment horizontal="right"/>
    </xf>
    <xf numFmtId="179" fontId="27" fillId="10" borderId="0" xfId="39" applyNumberFormat="1" applyFont="1" applyFill="1" applyAlignment="1">
      <alignment horizontal="left"/>
    </xf>
    <xf numFmtId="190" fontId="83" fillId="10" borderId="2" xfId="14" applyNumberFormat="1" applyFont="1" applyFill="1" applyBorder="1"/>
    <xf numFmtId="7" fontId="8" fillId="10" borderId="0" xfId="0" applyNumberFormat="1" applyFont="1" applyFill="1" applyAlignment="1">
      <alignment horizontal="center"/>
    </xf>
    <xf numFmtId="176" fontId="16" fillId="0" borderId="0" xfId="33" applyFont="1" applyFill="1" applyBorder="1" applyAlignment="1" applyProtection="1">
      <alignment horizontal="left"/>
    </xf>
    <xf numFmtId="176" fontId="13" fillId="0" borderId="0" xfId="33" applyFont="1" applyFill="1" applyBorder="1" applyAlignment="1" applyProtection="1">
      <alignment horizontal="left"/>
    </xf>
    <xf numFmtId="176" fontId="29" fillId="0" borderId="0" xfId="33" applyFont="1" applyFill="1" applyBorder="1" applyAlignment="1">
      <alignment horizontal="right"/>
    </xf>
    <xf numFmtId="0" fontId="0" fillId="0" borderId="0" xfId="0" applyFill="1" applyBorder="1"/>
    <xf numFmtId="176" fontId="11" fillId="0" borderId="0" xfId="33" applyFont="1" applyFill="1" applyBorder="1" applyAlignment="1" applyProtection="1">
      <alignment horizontal="left"/>
    </xf>
    <xf numFmtId="175" fontId="13" fillId="0" borderId="0" xfId="9" applyNumberFormat="1" applyFont="1" applyFill="1" applyBorder="1" applyProtection="1"/>
    <xf numFmtId="175" fontId="11" fillId="0" borderId="0" xfId="9" applyNumberFormat="1" applyFont="1" applyFill="1" applyBorder="1" applyProtection="1"/>
    <xf numFmtId="175" fontId="14" fillId="0" borderId="0" xfId="9" applyNumberFormat="1" applyFont="1" applyFill="1" applyBorder="1" applyProtection="1"/>
    <xf numFmtId="37" fontId="88" fillId="0" borderId="0" xfId="33" applyNumberFormat="1" applyFont="1" applyFill="1" applyBorder="1" applyAlignment="1">
      <alignment horizontal="right"/>
    </xf>
    <xf numFmtId="0" fontId="1" fillId="0" borderId="0" xfId="0" applyFont="1" applyFill="1"/>
    <xf numFmtId="177" fontId="8" fillId="0" borderId="0" xfId="0" applyNumberFormat="1" applyFont="1" applyFill="1"/>
    <xf numFmtId="177" fontId="8" fillId="0" borderId="2" xfId="0" applyNumberFormat="1" applyFont="1" applyFill="1" applyBorder="1"/>
    <xf numFmtId="0" fontId="8" fillId="0" borderId="0" xfId="0" applyFont="1" applyFill="1" applyAlignment="1">
      <alignment horizontal="left" indent="1"/>
    </xf>
    <xf numFmtId="175" fontId="8" fillId="0" borderId="0" xfId="9" applyNumberFormat="1" applyFont="1" applyFill="1"/>
    <xf numFmtId="175" fontId="26" fillId="0" borderId="0" xfId="9" applyNumberFormat="1" applyFont="1" applyFill="1"/>
    <xf numFmtId="1" fontId="8" fillId="0" borderId="0" xfId="0" applyNumberFormat="1" applyFont="1" applyFill="1"/>
    <xf numFmtId="37" fontId="8" fillId="0" borderId="2" xfId="0" applyNumberFormat="1" applyFont="1" applyFill="1" applyBorder="1"/>
    <xf numFmtId="173" fontId="8" fillId="0" borderId="0" xfId="0" applyNumberFormat="1" applyFont="1" applyFill="1"/>
    <xf numFmtId="173" fontId="8" fillId="0" borderId="2" xfId="0" applyNumberFormat="1" applyFont="1" applyFill="1" applyBorder="1"/>
    <xf numFmtId="175" fontId="8" fillId="0" borderId="0" xfId="0" applyNumberFormat="1" applyFont="1" applyFill="1"/>
    <xf numFmtId="37" fontId="87" fillId="0" borderId="0" xfId="0" applyNumberFormat="1" applyFont="1" applyFill="1" applyBorder="1"/>
    <xf numFmtId="37" fontId="87" fillId="0" borderId="2" xfId="0" applyNumberFormat="1" applyFont="1" applyFill="1" applyBorder="1"/>
    <xf numFmtId="5" fontId="8" fillId="0" borderId="0" xfId="0" applyNumberFormat="1" applyFont="1" applyFill="1"/>
    <xf numFmtId="165" fontId="8" fillId="0" borderId="0" xfId="0" applyNumberFormat="1" applyFont="1" applyFill="1"/>
    <xf numFmtId="165" fontId="8" fillId="0" borderId="2" xfId="0" applyNumberFormat="1" applyFont="1" applyFill="1" applyBorder="1"/>
    <xf numFmtId="166" fontId="8" fillId="0" borderId="0" xfId="0" applyNumberFormat="1" applyFont="1" applyFill="1" applyAlignment="1">
      <alignment horizontal="right"/>
    </xf>
    <xf numFmtId="178" fontId="8" fillId="0" borderId="0" xfId="0" applyNumberFormat="1" applyFont="1" applyFill="1"/>
    <xf numFmtId="178" fontId="8" fillId="0" borderId="2" xfId="0" applyNumberFormat="1" applyFont="1" applyFill="1" applyBorder="1"/>
    <xf numFmtId="178" fontId="8" fillId="0" borderId="0" xfId="0" applyNumberFormat="1" applyFont="1" applyFill="1" applyAlignment="1">
      <alignment horizontal="right"/>
    </xf>
    <xf numFmtId="1" fontId="26" fillId="0" borderId="0" xfId="0" applyNumberFormat="1" applyFont="1" applyFill="1"/>
    <xf numFmtId="167" fontId="8" fillId="0" borderId="0" xfId="0" applyNumberFormat="1" applyFont="1" applyFill="1"/>
    <xf numFmtId="167" fontId="8" fillId="0" borderId="2" xfId="0" applyNumberFormat="1" applyFont="1" applyFill="1" applyBorder="1"/>
    <xf numFmtId="172" fontId="8" fillId="0" borderId="0" xfId="0" applyNumberFormat="1" applyFont="1" applyFill="1" applyAlignment="1">
      <alignment horizontal="right"/>
    </xf>
    <xf numFmtId="9" fontId="8" fillId="0" borderId="0" xfId="39" applyFont="1" applyFill="1"/>
    <xf numFmtId="186" fontId="87" fillId="0" borderId="0" xfId="0" applyNumberFormat="1" applyFont="1" applyFill="1"/>
    <xf numFmtId="182" fontId="63" fillId="0" borderId="0" xfId="39" applyNumberFormat="1" applyFont="1" applyFill="1" applyProtection="1"/>
    <xf numFmtId="183" fontId="87" fillId="0" borderId="0" xfId="0" applyNumberFormat="1" applyFont="1" applyFill="1" applyBorder="1" applyAlignment="1">
      <alignment horizontal="center"/>
    </xf>
    <xf numFmtId="183" fontId="87" fillId="10" borderId="0" xfId="0" applyNumberFormat="1" applyFont="1" applyFill="1" applyBorder="1" applyAlignment="1">
      <alignment horizontal="center"/>
    </xf>
    <xf numFmtId="183" fontId="2" fillId="10" borderId="0" xfId="0" applyNumberFormat="1" applyFont="1" applyFill="1" applyBorder="1" applyAlignment="1">
      <alignment horizontal="center"/>
    </xf>
    <xf numFmtId="174" fontId="8" fillId="0" borderId="0" xfId="9" applyNumberFormat="1" applyFont="1" applyFill="1"/>
    <xf numFmtId="43" fontId="8" fillId="0" borderId="0" xfId="9" applyFont="1" applyFill="1"/>
    <xf numFmtId="37" fontId="8" fillId="0" borderId="0" xfId="0" applyNumberFormat="1" applyFont="1" applyFill="1" applyAlignment="1">
      <alignment horizontal="right"/>
    </xf>
    <xf numFmtId="7" fontId="8" fillId="0" borderId="0" xfId="0" applyNumberFormat="1" applyFont="1" applyFill="1"/>
    <xf numFmtId="186" fontId="8" fillId="0" borderId="0" xfId="0" applyNumberFormat="1" applyFont="1" applyFill="1"/>
    <xf numFmtId="166" fontId="8" fillId="0" borderId="0" xfId="0" applyNumberFormat="1" applyFont="1" applyFill="1" applyBorder="1"/>
    <xf numFmtId="174" fontId="8" fillId="0" borderId="2" xfId="9" applyNumberFormat="1" applyFont="1" applyFill="1" applyBorder="1"/>
    <xf numFmtId="37" fontId="8" fillId="0" borderId="2" xfId="0" applyNumberFormat="1" applyFont="1" applyFill="1" applyBorder="1" applyAlignment="1">
      <alignment horizontal="right"/>
    </xf>
    <xf numFmtId="43" fontId="8" fillId="0" borderId="16" xfId="9" applyFont="1" applyFill="1" applyBorder="1"/>
    <xf numFmtId="0" fontId="8" fillId="0" borderId="5" xfId="0" applyFont="1" applyFill="1" applyBorder="1"/>
    <xf numFmtId="37" fontId="8" fillId="0" borderId="0" xfId="0" applyNumberFormat="1" applyFont="1" applyFill="1" applyBorder="1" applyAlignment="1">
      <alignment horizontal="right"/>
    </xf>
    <xf numFmtId="41" fontId="8" fillId="10" borderId="0" xfId="0" applyNumberFormat="1" applyFont="1" applyFill="1"/>
    <xf numFmtId="212" fontId="31" fillId="0" borderId="0" xfId="9" applyNumberFormat="1" applyFont="1" applyFill="1" applyBorder="1" applyAlignment="1" applyProtection="1">
      <alignment horizontal="right"/>
    </xf>
    <xf numFmtId="212" fontId="82" fillId="10" borderId="0" xfId="9" applyNumberFormat="1" applyFont="1" applyFill="1" applyBorder="1" applyAlignment="1" applyProtection="1">
      <alignment horizontal="right"/>
    </xf>
    <xf numFmtId="190" fontId="84" fillId="0" borderId="0" xfId="9" applyNumberFormat="1" applyFont="1" applyFill="1" applyAlignment="1">
      <alignment horizontal="right"/>
    </xf>
    <xf numFmtId="168" fontId="84" fillId="0" borderId="0" xfId="0" applyNumberFormat="1" applyFont="1" applyFill="1" applyAlignment="1"/>
    <xf numFmtId="194" fontId="87" fillId="0" borderId="0" xfId="0" applyNumberFormat="1" applyFont="1" applyFill="1" applyBorder="1" applyAlignment="1" applyProtection="1">
      <alignment horizontal="right"/>
    </xf>
    <xf numFmtId="0" fontId="14" fillId="0" borderId="11" xfId="0" applyFont="1" applyFill="1" applyBorder="1" applyAlignment="1">
      <alignment horizontal="center"/>
    </xf>
    <xf numFmtId="0" fontId="16" fillId="0" borderId="0" xfId="0" applyFont="1" applyFill="1" applyBorder="1" applyAlignment="1">
      <alignment horizontal="center"/>
    </xf>
    <xf numFmtId="220" fontId="59" fillId="0" borderId="0" xfId="0" applyNumberFormat="1" applyFont="1" applyFill="1"/>
    <xf numFmtId="179" fontId="59" fillId="0" borderId="0" xfId="39" applyNumberFormat="1" applyFont="1" applyFill="1"/>
    <xf numFmtId="220" fontId="13" fillId="0" borderId="0" xfId="0" applyNumberFormat="1" applyFont="1" applyFill="1"/>
    <xf numFmtId="44" fontId="13" fillId="0" borderId="4" xfId="0" applyNumberFormat="1" applyFont="1" applyFill="1" applyBorder="1"/>
    <xf numFmtId="179" fontId="8" fillId="0" borderId="0" xfId="39" applyNumberFormat="1" applyFont="1" applyFill="1"/>
    <xf numFmtId="179" fontId="22" fillId="0" borderId="0" xfId="39" applyNumberFormat="1" applyFont="1" applyFill="1"/>
    <xf numFmtId="179" fontId="13" fillId="0" borderId="0" xfId="39" applyNumberFormat="1" applyFont="1" applyFill="1" applyBorder="1"/>
    <xf numFmtId="43" fontId="8" fillId="10" borderId="1" xfId="0" applyNumberFormat="1" applyFont="1" applyFill="1" applyBorder="1"/>
    <xf numFmtId="223" fontId="8" fillId="10" borderId="17" xfId="14" applyNumberFormat="1" applyFont="1" applyFill="1" applyBorder="1" applyAlignment="1">
      <alignment horizontal="center"/>
    </xf>
    <xf numFmtId="187" fontId="66" fillId="10" borderId="18" xfId="0" applyNumberFormat="1" applyFont="1" applyFill="1" applyBorder="1" applyAlignment="1">
      <alignment horizontal="center"/>
    </xf>
    <xf numFmtId="0" fontId="103" fillId="10" borderId="0" xfId="0" applyFont="1" applyFill="1" applyBorder="1" applyAlignment="1">
      <alignment horizontal="center"/>
    </xf>
    <xf numFmtId="0" fontId="87" fillId="10" borderId="4" xfId="0" applyFont="1" applyFill="1" applyBorder="1" applyAlignment="1">
      <alignment horizontal="centerContinuous"/>
    </xf>
    <xf numFmtId="184" fontId="87" fillId="10" borderId="4" xfId="0" applyNumberFormat="1" applyFont="1" applyFill="1" applyBorder="1" applyAlignment="1">
      <alignment horizontal="centerContinuous"/>
    </xf>
    <xf numFmtId="0" fontId="8" fillId="0" borderId="2" xfId="0" applyFont="1" applyFill="1" applyBorder="1"/>
    <xf numFmtId="192" fontId="8" fillId="0" borderId="0" xfId="0" applyNumberFormat="1" applyFont="1" applyFill="1"/>
    <xf numFmtId="192" fontId="87" fillId="0" borderId="4" xfId="0" applyNumberFormat="1" applyFont="1" applyFill="1" applyBorder="1" applyAlignment="1">
      <alignment horizontal="centerContinuous"/>
    </xf>
    <xf numFmtId="0" fontId="87" fillId="0" borderId="4" xfId="0" applyFont="1" applyFill="1" applyBorder="1" applyAlignment="1">
      <alignment horizontal="centerContinuous"/>
    </xf>
    <xf numFmtId="0" fontId="79" fillId="0" borderId="5" xfId="0" applyFont="1" applyFill="1" applyBorder="1" applyAlignment="1">
      <alignment horizontal="centerContinuous"/>
    </xf>
    <xf numFmtId="0" fontId="103" fillId="0" borderId="0" xfId="0" applyFont="1" applyFill="1" applyBorder="1" applyAlignment="1">
      <alignment horizontal="center"/>
    </xf>
    <xf numFmtId="0" fontId="8" fillId="0" borderId="0" xfId="0" applyFont="1" applyFill="1" applyBorder="1"/>
    <xf numFmtId="5" fontId="8" fillId="0" borderId="0" xfId="14" applyNumberFormat="1" applyFont="1" applyFill="1" applyBorder="1"/>
    <xf numFmtId="37" fontId="8" fillId="0" borderId="0" xfId="14" applyNumberFormat="1" applyFont="1" applyFill="1" applyBorder="1"/>
    <xf numFmtId="190" fontId="8" fillId="0" borderId="0" xfId="14" applyNumberFormat="1" applyFont="1" applyFill="1" applyBorder="1"/>
    <xf numFmtId="190" fontId="8" fillId="0" borderId="0" xfId="14" applyNumberFormat="1" applyFont="1" applyFill="1" applyBorder="1" applyAlignment="1">
      <alignment horizontal="right"/>
    </xf>
    <xf numFmtId="7" fontId="8" fillId="0" borderId="11" xfId="9" applyNumberFormat="1" applyFont="1" applyFill="1" applyBorder="1" applyAlignment="1">
      <alignment horizontal="right"/>
    </xf>
    <xf numFmtId="7" fontId="8" fillId="0" borderId="2" xfId="9" applyNumberFormat="1" applyFont="1" applyFill="1" applyBorder="1" applyAlignment="1">
      <alignment horizontal="right"/>
    </xf>
    <xf numFmtId="7" fontId="8" fillId="0" borderId="0" xfId="9" applyNumberFormat="1" applyFont="1" applyFill="1" applyBorder="1" applyAlignment="1">
      <alignment horizontal="right"/>
    </xf>
    <xf numFmtId="174" fontId="8" fillId="0" borderId="0" xfId="9" applyNumberFormat="1" applyFont="1" applyFill="1" applyBorder="1"/>
    <xf numFmtId="174" fontId="8" fillId="0" borderId="0" xfId="9" applyNumberFormat="1" applyFont="1" applyFill="1" applyBorder="1" applyAlignment="1">
      <alignment horizontal="right"/>
    </xf>
    <xf numFmtId="37" fontId="8" fillId="0" borderId="0" xfId="14" applyNumberFormat="1" applyFont="1" applyFill="1" applyBorder="1" applyAlignment="1">
      <alignment horizontal="right"/>
    </xf>
    <xf numFmtId="179" fontId="8" fillId="0" borderId="0" xfId="39" applyNumberFormat="1" applyFont="1" applyFill="1" applyBorder="1" applyAlignment="1">
      <alignment horizontal="right"/>
    </xf>
    <xf numFmtId="193" fontId="8" fillId="0" borderId="0" xfId="39" applyNumberFormat="1" applyFont="1" applyFill="1" applyBorder="1" applyAlignment="1">
      <alignment horizontal="right"/>
    </xf>
    <xf numFmtId="193" fontId="8" fillId="0" borderId="2" xfId="39" applyNumberFormat="1" applyFont="1" applyFill="1" applyBorder="1" applyAlignment="1">
      <alignment horizontal="right"/>
    </xf>
    <xf numFmtId="0" fontId="66" fillId="0" borderId="11" xfId="0" applyFont="1" applyFill="1" applyBorder="1"/>
    <xf numFmtId="0" fontId="8" fillId="0" borderId="11" xfId="0" applyFont="1" applyFill="1" applyBorder="1"/>
    <xf numFmtId="186" fontId="26" fillId="0" borderId="0" xfId="0" applyNumberFormat="1" applyFont="1" applyFill="1"/>
    <xf numFmtId="4" fontId="66" fillId="10" borderId="20" xfId="0" applyNumberFormat="1" applyFont="1" applyFill="1" applyBorder="1" applyAlignment="1">
      <alignment horizontal="center"/>
    </xf>
    <xf numFmtId="4" fontId="8" fillId="10" borderId="0" xfId="0" applyNumberFormat="1" applyFont="1" applyFill="1" applyBorder="1"/>
    <xf numFmtId="4" fontId="8" fillId="10" borderId="20" xfId="9" applyNumberFormat="1" applyFont="1" applyFill="1" applyBorder="1"/>
    <xf numFmtId="4" fontId="8" fillId="10" borderId="20" xfId="14" applyNumberFormat="1" applyFont="1" applyFill="1" applyBorder="1"/>
    <xf numFmtId="4" fontId="8" fillId="10" borderId="20" xfId="0" applyNumberFormat="1" applyFont="1" applyFill="1" applyBorder="1"/>
    <xf numFmtId="4" fontId="8" fillId="10" borderId="20" xfId="9" applyNumberFormat="1" applyFont="1" applyFill="1" applyBorder="1" applyAlignment="1">
      <alignment horizontal="right"/>
    </xf>
    <xf numFmtId="4" fontId="8" fillId="10" borderId="20" xfId="39" applyNumberFormat="1" applyFont="1" applyFill="1" applyBorder="1" applyAlignment="1">
      <alignment horizontal="right"/>
    </xf>
    <xf numFmtId="187" fontId="87" fillId="10" borderId="2" xfId="0" applyNumberFormat="1" applyFont="1" applyFill="1" applyBorder="1" applyAlignment="1">
      <alignment horizontal="center"/>
    </xf>
    <xf numFmtId="186" fontId="86" fillId="10" borderId="0" xfId="0" applyNumberFormat="1" applyFont="1" applyFill="1"/>
    <xf numFmtId="192" fontId="103" fillId="10" borderId="11" xfId="0" applyNumberFormat="1" applyFont="1" applyFill="1" applyBorder="1" applyAlignment="1">
      <alignment horizontal="center"/>
    </xf>
    <xf numFmtId="192" fontId="103" fillId="10" borderId="18" xfId="0" applyNumberFormat="1" applyFont="1" applyFill="1" applyBorder="1" applyAlignment="1">
      <alignment horizontal="center"/>
    </xf>
    <xf numFmtId="175" fontId="2" fillId="10" borderId="0" xfId="9" applyNumberFormat="1" applyFont="1" applyFill="1" applyBorder="1"/>
    <xf numFmtId="175" fontId="2" fillId="10" borderId="20" xfId="9" applyNumberFormat="1" applyFont="1" applyFill="1" applyBorder="1"/>
    <xf numFmtId="174" fontId="87" fillId="10" borderId="0" xfId="9" applyNumberFormat="1" applyFont="1" applyFill="1" applyBorder="1"/>
    <xf numFmtId="174" fontId="87" fillId="10" borderId="20" xfId="9" applyNumberFormat="1" applyFont="1" applyFill="1" applyBorder="1"/>
    <xf numFmtId="174" fontId="2" fillId="10" borderId="0" xfId="9" applyNumberFormat="1" applyFont="1" applyFill="1" applyBorder="1"/>
    <xf numFmtId="174" fontId="2" fillId="10" borderId="20" xfId="9" applyNumberFormat="1" applyFont="1" applyFill="1" applyBorder="1"/>
    <xf numFmtId="183" fontId="87" fillId="10" borderId="0" xfId="0" applyNumberFormat="1" applyFont="1" applyFill="1" applyBorder="1"/>
    <xf numFmtId="183" fontId="87" fillId="10" borderId="20" xfId="0" applyNumberFormat="1" applyFont="1" applyFill="1" applyBorder="1"/>
    <xf numFmtId="192" fontId="87" fillId="10" borderId="11" xfId="0" applyNumberFormat="1" applyFont="1" applyFill="1" applyBorder="1" applyAlignment="1">
      <alignment horizontal="center"/>
    </xf>
    <xf numFmtId="192" fontId="87" fillId="10" borderId="18" xfId="0" applyNumberFormat="1" applyFont="1" applyFill="1" applyBorder="1" applyAlignment="1">
      <alignment horizontal="center"/>
    </xf>
    <xf numFmtId="3" fontId="8" fillId="0" borderId="0" xfId="0" applyNumberFormat="1" applyFont="1" applyFill="1"/>
    <xf numFmtId="3" fontId="8" fillId="0" borderId="2" xfId="0" applyNumberFormat="1" applyFont="1" applyFill="1" applyBorder="1" applyAlignment="1">
      <alignment horizontal="right"/>
    </xf>
    <xf numFmtId="5" fontId="86" fillId="0" borderId="0" xfId="0" applyNumberFormat="1" applyFont="1" applyFill="1"/>
    <xf numFmtId="37" fontId="86" fillId="0" borderId="0" xfId="0" applyNumberFormat="1" applyFont="1" applyFill="1"/>
    <xf numFmtId="5" fontId="87" fillId="0" borderId="0" xfId="0" applyNumberFormat="1" applyFont="1" applyFill="1"/>
    <xf numFmtId="37" fontId="87" fillId="0" borderId="0" xfId="0" applyNumberFormat="1" applyFont="1" applyFill="1"/>
    <xf numFmtId="177" fontId="27" fillId="10" borderId="0" xfId="0" applyNumberFormat="1" applyFont="1" applyFill="1" applyAlignment="1">
      <alignment horizontal="left"/>
    </xf>
    <xf numFmtId="165" fontId="90" fillId="0" borderId="0" xfId="0" applyNumberFormat="1" applyFont="1" applyFill="1"/>
    <xf numFmtId="165" fontId="27" fillId="0" borderId="0" xfId="0" applyNumberFormat="1" applyFont="1" applyFill="1"/>
    <xf numFmtId="5" fontId="86" fillId="10" borderId="0" xfId="0" applyNumberFormat="1" applyFont="1" applyFill="1"/>
    <xf numFmtId="37" fontId="86" fillId="10" borderId="0" xfId="0" applyNumberFormat="1" applyFont="1" applyFill="1"/>
    <xf numFmtId="198" fontId="27" fillId="0" borderId="0" xfId="0" applyNumberFormat="1" applyFont="1" applyFill="1" applyAlignment="1">
      <alignment horizontal="left"/>
    </xf>
    <xf numFmtId="164" fontId="27" fillId="0" borderId="0" xfId="0" applyNumberFormat="1" applyFont="1" applyFill="1"/>
    <xf numFmtId="37" fontId="86" fillId="0" borderId="0" xfId="0" applyNumberFormat="1" applyFont="1" applyFill="1" applyAlignment="1">
      <alignment horizontal="right"/>
    </xf>
    <xf numFmtId="37" fontId="86" fillId="0" borderId="2" xfId="0" applyNumberFormat="1" applyFont="1" applyFill="1" applyBorder="1" applyAlignment="1">
      <alignment horizontal="right"/>
    </xf>
    <xf numFmtId="5" fontId="8" fillId="0" borderId="0" xfId="0" applyNumberFormat="1" applyFont="1" applyFill="1" applyAlignment="1">
      <alignment horizontal="right"/>
    </xf>
    <xf numFmtId="199" fontId="27" fillId="0" borderId="0" xfId="0" applyNumberFormat="1" applyFont="1" applyFill="1" applyAlignment="1">
      <alignment horizontal="left"/>
    </xf>
    <xf numFmtId="37" fontId="2" fillId="0" borderId="0" xfId="0" applyNumberFormat="1" applyFont="1" applyFill="1" applyBorder="1" applyAlignment="1">
      <alignment horizontal="right"/>
    </xf>
    <xf numFmtId="37" fontId="83" fillId="0" borderId="0" xfId="0" applyNumberFormat="1" applyFont="1" applyFill="1" applyBorder="1" applyAlignment="1">
      <alignment horizontal="right"/>
    </xf>
    <xf numFmtId="0" fontId="0" fillId="15" borderId="0" xfId="0" applyFill="1"/>
    <xf numFmtId="184" fontId="2" fillId="10" borderId="28" xfId="0" applyNumberFormat="1" applyFont="1" applyFill="1" applyBorder="1" applyAlignment="1">
      <alignment horizontal="center"/>
    </xf>
    <xf numFmtId="0" fontId="66" fillId="10" borderId="28" xfId="0" applyFont="1" applyFill="1" applyBorder="1" applyAlignment="1">
      <alignment horizontal="center"/>
    </xf>
    <xf numFmtId="0" fontId="8" fillId="10" borderId="28" xfId="0" applyFont="1" applyFill="1" applyBorder="1"/>
    <xf numFmtId="5" fontId="8" fillId="10" borderId="28" xfId="14" applyNumberFormat="1" applyFont="1" applyFill="1" applyBorder="1"/>
    <xf numFmtId="43" fontId="8" fillId="10" borderId="28" xfId="9" applyFont="1" applyFill="1" applyBorder="1"/>
    <xf numFmtId="37" fontId="8" fillId="10" borderId="28" xfId="14" applyNumberFormat="1" applyFont="1" applyFill="1" applyBorder="1"/>
    <xf numFmtId="190" fontId="8" fillId="10" borderId="28" xfId="9" applyNumberFormat="1" applyFont="1" applyFill="1" applyBorder="1"/>
    <xf numFmtId="190" fontId="8" fillId="10" borderId="28" xfId="9" applyNumberFormat="1" applyFont="1" applyFill="1" applyBorder="1" applyAlignment="1">
      <alignment horizontal="right"/>
    </xf>
    <xf numFmtId="7" fontId="8" fillId="10" borderId="28" xfId="9" applyNumberFormat="1" applyFont="1" applyFill="1" applyBorder="1" applyAlignment="1">
      <alignment horizontal="right"/>
    </xf>
    <xf numFmtId="174" fontId="8" fillId="10" borderId="28" xfId="9" applyNumberFormat="1" applyFont="1" applyFill="1" applyBorder="1"/>
    <xf numFmtId="174" fontId="8" fillId="10" borderId="28" xfId="9" applyNumberFormat="1" applyFont="1" applyFill="1" applyBorder="1" applyAlignment="1">
      <alignment horizontal="right"/>
    </xf>
    <xf numFmtId="37" fontId="8" fillId="10" borderId="28" xfId="14" applyNumberFormat="1" applyFont="1" applyFill="1" applyBorder="1" applyAlignment="1">
      <alignment horizontal="right"/>
    </xf>
    <xf numFmtId="193" fontId="8" fillId="10" borderId="28" xfId="39" applyNumberFormat="1" applyFont="1" applyFill="1" applyBorder="1" applyAlignment="1">
      <alignment horizontal="right"/>
    </xf>
    <xf numFmtId="213" fontId="8" fillId="10" borderId="40" xfId="0" applyNumberFormat="1" applyFont="1" applyFill="1" applyBorder="1" applyAlignment="1">
      <alignment horizontal="right"/>
    </xf>
    <xf numFmtId="213" fontId="8" fillId="10" borderId="42" xfId="0" applyNumberFormat="1" applyFont="1" applyFill="1" applyBorder="1" applyAlignment="1">
      <alignment horizontal="right"/>
    </xf>
    <xf numFmtId="213" fontId="8" fillId="14" borderId="40" xfId="0" applyNumberFormat="1" applyFont="1" applyFill="1" applyBorder="1" applyAlignment="1">
      <alignment horizontal="right"/>
    </xf>
    <xf numFmtId="213" fontId="8" fillId="10" borderId="41" xfId="0" applyNumberFormat="1" applyFont="1" applyFill="1" applyBorder="1" applyAlignment="1">
      <alignment horizontal="right"/>
    </xf>
    <xf numFmtId="213" fontId="8" fillId="10" borderId="43" xfId="0" applyNumberFormat="1" applyFont="1" applyFill="1" applyBorder="1" applyAlignment="1">
      <alignment horizontal="right"/>
    </xf>
    <xf numFmtId="213" fontId="8" fillId="14" borderId="41" xfId="0" applyNumberFormat="1" applyFont="1" applyFill="1" applyBorder="1" applyAlignment="1">
      <alignment horizontal="right"/>
    </xf>
    <xf numFmtId="41" fontId="8" fillId="10" borderId="40" xfId="0" applyNumberFormat="1" applyFont="1" applyFill="1" applyBorder="1" applyAlignment="1">
      <alignment horizontal="right"/>
    </xf>
    <xf numFmtId="41" fontId="8" fillId="10" borderId="41" xfId="0" applyNumberFormat="1" applyFont="1" applyFill="1" applyBorder="1" applyAlignment="1">
      <alignment horizontal="right"/>
    </xf>
    <xf numFmtId="41" fontId="8" fillId="10" borderId="42" xfId="0" applyNumberFormat="1" applyFont="1" applyFill="1" applyBorder="1" applyAlignment="1">
      <alignment horizontal="right"/>
    </xf>
    <xf numFmtId="41" fontId="8" fillId="10" borderId="43" xfId="0" applyNumberFormat="1" applyFont="1" applyFill="1" applyBorder="1" applyAlignment="1">
      <alignment horizontal="right"/>
    </xf>
    <xf numFmtId="41" fontId="8" fillId="14" borderId="40" xfId="0" applyNumberFormat="1" applyFont="1" applyFill="1" applyBorder="1" applyAlignment="1">
      <alignment horizontal="right"/>
    </xf>
    <xf numFmtId="41" fontId="8" fillId="14" borderId="41" xfId="0" applyNumberFormat="1" applyFont="1" applyFill="1" applyBorder="1" applyAlignment="1">
      <alignment horizontal="right"/>
    </xf>
    <xf numFmtId="0" fontId="2" fillId="10" borderId="16" xfId="0" applyFont="1" applyFill="1" applyBorder="1" applyAlignment="1">
      <alignment horizontal="center"/>
    </xf>
    <xf numFmtId="192" fontId="87" fillId="10" borderId="2" xfId="0" applyNumberFormat="1" applyFont="1" applyFill="1" applyBorder="1" applyAlignment="1">
      <alignment horizontal="center"/>
    </xf>
    <xf numFmtId="196" fontId="1" fillId="10" borderId="0" xfId="0" applyNumberFormat="1" applyFont="1" applyFill="1" applyAlignment="1">
      <alignment vertical="center"/>
    </xf>
    <xf numFmtId="196" fontId="87" fillId="0" borderId="0" xfId="0" applyNumberFormat="1" applyFont="1" applyFill="1" applyAlignment="1">
      <alignment vertical="center"/>
    </xf>
    <xf numFmtId="0" fontId="1" fillId="0" borderId="0" xfId="48"/>
    <xf numFmtId="0" fontId="1" fillId="0" borderId="0" xfId="48" applyFont="1"/>
    <xf numFmtId="229" fontId="8" fillId="10" borderId="0" xfId="9" applyNumberFormat="1" applyFont="1" applyFill="1" applyBorder="1" applyAlignment="1">
      <alignment horizontal="right"/>
    </xf>
    <xf numFmtId="229" fontId="8" fillId="10" borderId="0" xfId="0" applyNumberFormat="1" applyFont="1" applyFill="1"/>
    <xf numFmtId="229" fontId="79" fillId="10" borderId="0" xfId="0" applyNumberFormat="1" applyFont="1" applyFill="1" applyAlignment="1"/>
    <xf numFmtId="191" fontId="26" fillId="10" borderId="0" xfId="14" applyNumberFormat="1" applyFont="1" applyFill="1"/>
    <xf numFmtId="191" fontId="83" fillId="10" borderId="0" xfId="9" applyNumberFormat="1" applyFont="1" applyFill="1" applyBorder="1" applyAlignment="1">
      <alignment horizontal="right"/>
    </xf>
    <xf numFmtId="164" fontId="104" fillId="0" borderId="0" xfId="0" applyNumberFormat="1" applyFont="1" applyFill="1"/>
    <xf numFmtId="165" fontId="27" fillId="0" borderId="0" xfId="0" applyNumberFormat="1" applyFont="1" applyFill="1" applyAlignment="1">
      <alignment horizontal="left"/>
    </xf>
    <xf numFmtId="41" fontId="83" fillId="10" borderId="0" xfId="0" applyNumberFormat="1" applyFont="1" applyFill="1"/>
    <xf numFmtId="9" fontId="8" fillId="10" borderId="0" xfId="39" applyFont="1" applyFill="1" applyAlignment="1">
      <alignment horizontal="center"/>
    </xf>
    <xf numFmtId="9" fontId="27" fillId="10" borderId="0" xfId="39" applyFont="1" applyFill="1" applyAlignment="1">
      <alignment horizontal="left"/>
    </xf>
    <xf numFmtId="10" fontId="2" fillId="10" borderId="0" xfId="39" applyNumberFormat="1" applyFont="1" applyFill="1"/>
    <xf numFmtId="39" fontId="2" fillId="10" borderId="0" xfId="0" applyNumberFormat="1" applyFont="1" applyFill="1" applyAlignment="1"/>
    <xf numFmtId="37" fontId="87" fillId="0" borderId="27" xfId="0" applyNumberFormat="1" applyFont="1" applyFill="1" applyBorder="1" applyAlignment="1">
      <alignment horizontal="center"/>
    </xf>
    <xf numFmtId="183" fontId="87" fillId="0" borderId="24" xfId="0" applyNumberFormat="1" applyFont="1" applyFill="1" applyBorder="1" applyAlignment="1">
      <alignment horizontal="center"/>
    </xf>
    <xf numFmtId="179" fontId="8" fillId="10" borderId="20" xfId="39" applyNumberFormat="1" applyFont="1" applyFill="1" applyBorder="1" applyAlignment="1">
      <alignment horizontal="right"/>
    </xf>
    <xf numFmtId="179" fontId="88" fillId="0" borderId="0" xfId="39" applyNumberFormat="1" applyFont="1"/>
    <xf numFmtId="177" fontId="1" fillId="0" borderId="2" xfId="0" applyNumberFormat="1" applyFont="1" applyFill="1" applyBorder="1"/>
    <xf numFmtId="212" fontId="81" fillId="10" borderId="0" xfId="9" applyNumberFormat="1" applyFont="1" applyFill="1" applyBorder="1" applyAlignment="1" applyProtection="1">
      <alignment horizontal="right"/>
    </xf>
    <xf numFmtId="190" fontId="83" fillId="10" borderId="0" xfId="9" applyNumberFormat="1" applyFont="1" applyFill="1" applyAlignment="1">
      <alignment horizontal="right"/>
    </xf>
    <xf numFmtId="190" fontId="86" fillId="10" borderId="0" xfId="9" applyNumberFormat="1" applyFont="1" applyFill="1" applyAlignment="1">
      <alignment horizontal="right"/>
    </xf>
    <xf numFmtId="1" fontId="8" fillId="10" borderId="0" xfId="39" applyNumberFormat="1" applyFont="1" applyFill="1" applyAlignment="1"/>
    <xf numFmtId="43" fontId="1" fillId="10" borderId="0" xfId="9" applyFont="1" applyFill="1"/>
    <xf numFmtId="3" fontId="1" fillId="10" borderId="2" xfId="0" applyNumberFormat="1" applyFont="1" applyFill="1" applyBorder="1" applyAlignment="1">
      <alignment horizontal="right"/>
    </xf>
    <xf numFmtId="191" fontId="63" fillId="0" borderId="0" xfId="14" applyNumberFormat="1" applyFont="1" applyFill="1" applyBorder="1" applyAlignment="1">
      <alignment horizontal="right"/>
    </xf>
    <xf numFmtId="190" fontId="26" fillId="0" borderId="0" xfId="14" applyNumberFormat="1" applyFont="1" applyFill="1"/>
    <xf numFmtId="190" fontId="83" fillId="0" borderId="0" xfId="9" applyNumberFormat="1" applyFont="1" applyFill="1" applyBorder="1" applyAlignment="1">
      <alignment horizontal="right"/>
    </xf>
    <xf numFmtId="190" fontId="83" fillId="0" borderId="0" xfId="9" applyNumberFormat="1" applyFont="1" applyFill="1" applyAlignment="1">
      <alignment horizontal="right"/>
    </xf>
    <xf numFmtId="190" fontId="79" fillId="0" borderId="0" xfId="9" applyNumberFormat="1" applyFont="1" applyFill="1" applyAlignment="1">
      <alignment horizontal="right"/>
    </xf>
    <xf numFmtId="191" fontId="8" fillId="0" borderId="11" xfId="0" applyNumberFormat="1" applyFont="1" applyFill="1" applyBorder="1" applyAlignment="1">
      <alignment horizontal="right"/>
    </xf>
    <xf numFmtId="190" fontId="8" fillId="0" borderId="0" xfId="0" applyNumberFormat="1" applyFont="1" applyFill="1" applyAlignment="1">
      <alignment horizontal="right"/>
    </xf>
    <xf numFmtId="190" fontId="26" fillId="0" borderId="0" xfId="9" applyNumberFormat="1" applyFont="1" applyFill="1" applyBorder="1" applyAlignment="1">
      <alignment horizontal="right"/>
    </xf>
    <xf numFmtId="190" fontId="8" fillId="0" borderId="0" xfId="0" applyNumberFormat="1" applyFont="1" applyFill="1" applyBorder="1" applyAlignment="1">
      <alignment horizontal="right"/>
    </xf>
    <xf numFmtId="190" fontId="83" fillId="0" borderId="0" xfId="14" applyNumberFormat="1" applyFont="1" applyFill="1" applyBorder="1" applyAlignment="1">
      <alignment horizontal="right"/>
    </xf>
    <xf numFmtId="191" fontId="8" fillId="0" borderId="0" xfId="0" applyNumberFormat="1" applyFont="1" applyFill="1" applyAlignment="1">
      <alignment horizontal="right"/>
    </xf>
    <xf numFmtId="191" fontId="26" fillId="0" borderId="0" xfId="14" applyNumberFormat="1" applyFont="1" applyFill="1" applyBorder="1" applyAlignment="1">
      <alignment horizontal="right"/>
    </xf>
    <xf numFmtId="190" fontId="26" fillId="0" borderId="0" xfId="14" applyNumberFormat="1" applyFont="1" applyFill="1" applyBorder="1" applyAlignment="1">
      <alignment horizontal="right"/>
    </xf>
    <xf numFmtId="191" fontId="8" fillId="0" borderId="0" xfId="9" applyNumberFormat="1" applyFont="1" applyFill="1" applyBorder="1" applyAlignment="1">
      <alignment horizontal="right"/>
    </xf>
    <xf numFmtId="168" fontId="79" fillId="0" borderId="0" xfId="0" applyNumberFormat="1" applyFont="1" applyFill="1" applyAlignment="1"/>
    <xf numFmtId="186" fontId="8" fillId="0" borderId="0" xfId="9" applyNumberFormat="1" applyFont="1" applyFill="1" applyBorder="1" applyAlignment="1">
      <alignment horizontal="right"/>
    </xf>
    <xf numFmtId="197" fontId="8" fillId="0" borderId="0" xfId="9" applyNumberFormat="1" applyFont="1" applyFill="1" applyBorder="1" applyAlignment="1">
      <alignment horizontal="right"/>
    </xf>
    <xf numFmtId="190" fontId="83" fillId="10" borderId="0" xfId="14" applyNumberFormat="1" applyFont="1" applyFill="1" applyBorder="1"/>
    <xf numFmtId="0" fontId="1" fillId="17" borderId="0" xfId="49" applyFont="1" applyFill="1" applyAlignment="1">
      <alignment vertical="top"/>
    </xf>
    <xf numFmtId="0" fontId="1" fillId="17" borderId="0" xfId="48" applyFill="1" applyAlignment="1">
      <alignment vertical="top"/>
    </xf>
    <xf numFmtId="0" fontId="1" fillId="17" borderId="0" xfId="48" applyFill="1"/>
    <xf numFmtId="0" fontId="25" fillId="17" borderId="0" xfId="49" applyFont="1" applyFill="1" applyAlignment="1">
      <alignment horizontal="left" vertical="top"/>
    </xf>
    <xf numFmtId="0" fontId="1" fillId="17" borderId="0" xfId="48" applyFont="1" applyFill="1" applyAlignment="1">
      <alignment vertical="top"/>
    </xf>
    <xf numFmtId="0" fontId="27" fillId="17" borderId="0" xfId="49" applyFont="1" applyFill="1" applyAlignment="1">
      <alignment vertical="top"/>
    </xf>
    <xf numFmtId="0" fontId="0" fillId="17" borderId="0" xfId="0" applyFill="1" applyAlignment="1">
      <alignment vertical="top"/>
    </xf>
    <xf numFmtId="0" fontId="105" fillId="17" borderId="0" xfId="0" applyFont="1" applyFill="1" applyAlignment="1">
      <alignment vertical="top"/>
    </xf>
    <xf numFmtId="0" fontId="106" fillId="17" borderId="0" xfId="0" applyFont="1" applyFill="1" applyAlignment="1">
      <alignment vertical="top"/>
    </xf>
    <xf numFmtId="0" fontId="105" fillId="17" borderId="47" xfId="0" applyFont="1" applyFill="1" applyBorder="1" applyAlignment="1">
      <alignment vertical="top"/>
    </xf>
    <xf numFmtId="9" fontId="105" fillId="17" borderId="47" xfId="0" applyNumberFormat="1" applyFont="1" applyFill="1" applyBorder="1" applyAlignment="1">
      <alignment vertical="top"/>
    </xf>
    <xf numFmtId="3" fontId="105" fillId="17" borderId="47" xfId="0" applyNumberFormat="1" applyFont="1" applyFill="1" applyBorder="1" applyAlignment="1">
      <alignment vertical="top"/>
    </xf>
    <xf numFmtId="2" fontId="1" fillId="0" borderId="0" xfId="48" applyNumberFormat="1" applyAlignment="1">
      <alignment horizontal="left"/>
    </xf>
    <xf numFmtId="0" fontId="1" fillId="0" borderId="0" xfId="48" applyNumberFormat="1" applyAlignment="1">
      <alignment horizontal="left"/>
    </xf>
    <xf numFmtId="1" fontId="1" fillId="0" borderId="0" xfId="48" applyNumberFormat="1" applyAlignment="1">
      <alignment horizontal="left"/>
    </xf>
    <xf numFmtId="230" fontId="1" fillId="0" borderId="0" xfId="48" applyNumberFormat="1" applyAlignment="1">
      <alignment horizontal="left"/>
    </xf>
    <xf numFmtId="49" fontId="1" fillId="0" borderId="0" xfId="48" applyNumberFormat="1"/>
    <xf numFmtId="0" fontId="0" fillId="17" borderId="52" xfId="0" applyFill="1" applyBorder="1" applyAlignment="1">
      <alignment vertical="top"/>
    </xf>
    <xf numFmtId="0" fontId="105" fillId="17" borderId="0" xfId="0" applyFont="1" applyFill="1" applyAlignment="1">
      <alignment vertical="top"/>
    </xf>
    <xf numFmtId="0" fontId="105" fillId="17" borderId="48" xfId="0" applyFont="1" applyFill="1" applyBorder="1" applyAlignment="1">
      <alignment vertical="top"/>
    </xf>
    <xf numFmtId="0" fontId="105" fillId="17" borderId="49" xfId="0" applyFont="1" applyFill="1" applyBorder="1" applyAlignment="1">
      <alignment vertical="top"/>
    </xf>
    <xf numFmtId="0" fontId="105" fillId="17" borderId="50" xfId="0" applyFont="1" applyFill="1" applyBorder="1" applyAlignment="1">
      <alignment vertical="top"/>
    </xf>
    <xf numFmtId="0" fontId="106" fillId="17" borderId="0" xfId="0" applyFont="1" applyFill="1" applyAlignment="1">
      <alignment vertical="top"/>
    </xf>
    <xf numFmtId="0" fontId="0" fillId="17" borderId="0" xfId="0" applyFill="1" applyAlignment="1">
      <alignment vertical="top"/>
    </xf>
    <xf numFmtId="0" fontId="0" fillId="17" borderId="51" xfId="0" applyFill="1" applyBorder="1" applyAlignment="1">
      <alignment vertical="top"/>
    </xf>
    <xf numFmtId="179" fontId="8" fillId="10" borderId="0" xfId="39" applyNumberFormat="1" applyFont="1" applyFill="1" applyAlignment="1">
      <alignment horizontal="center"/>
    </xf>
    <xf numFmtId="7" fontId="8" fillId="10" borderId="0" xfId="0" applyNumberFormat="1" applyFont="1" applyFill="1" applyAlignment="1">
      <alignment horizontal="center"/>
    </xf>
    <xf numFmtId="0" fontId="74" fillId="10" borderId="0" xfId="0" applyFont="1" applyFill="1" applyAlignment="1">
      <alignment horizontal="center"/>
    </xf>
    <xf numFmtId="37" fontId="2" fillId="10" borderId="0" xfId="0" applyNumberFormat="1" applyFont="1" applyFill="1" applyAlignment="1">
      <alignment horizontal="right"/>
    </xf>
    <xf numFmtId="37" fontId="2" fillId="10" borderId="0" xfId="0" applyNumberFormat="1" applyFont="1" applyFill="1" applyAlignment="1">
      <alignment horizontal="center"/>
    </xf>
    <xf numFmtId="0" fontId="2" fillId="10" borderId="0" xfId="0" applyFont="1" applyFill="1" applyAlignment="1">
      <alignment horizontal="center"/>
    </xf>
    <xf numFmtId="37" fontId="2" fillId="10" borderId="0" xfId="30" applyFont="1" applyFill="1" applyBorder="1" applyAlignment="1" applyProtection="1">
      <alignment horizontal="center"/>
    </xf>
    <xf numFmtId="0" fontId="2" fillId="10" borderId="0" xfId="19" applyFont="1" applyFill="1" applyAlignment="1">
      <alignment horizontal="center"/>
    </xf>
    <xf numFmtId="0" fontId="2" fillId="15" borderId="0" xfId="19" applyFont="1" applyFill="1" applyAlignment="1">
      <alignment horizontal="center"/>
    </xf>
  </cellXfs>
  <cellStyles count="50">
    <cellStyle name=" 1" xfId="1"/>
    <cellStyle name="******************************************" xfId="2"/>
    <cellStyle name="_FY Guidancev2 " xfId="3"/>
    <cellStyle name="_SUMMARY " xfId="4"/>
    <cellStyle name="0_Capex &amp; Depreciation " xfId="6"/>
    <cellStyle name="0_Valuing BP " xfId="7"/>
    <cellStyle name="c_HardInc " xfId="8"/>
    <cellStyle name="Comma" xfId="9" builtinId="3"/>
    <cellStyle name="Comma 2" xfId="10"/>
    <cellStyle name="Comma 3" xfId="11"/>
    <cellStyle name="Comma_Lease Module TPG example 30062004 capex" xfId="12"/>
    <cellStyle name="Comma_TPG lease ex Leon" xfId="13"/>
    <cellStyle name="Currency" xfId="14" builtinId="4"/>
    <cellStyle name="Currency 2" xfId="15"/>
    <cellStyle name="Currency 2 2" xfId="47"/>
    <cellStyle name="Hyperlink" xfId="16" builtinId="8"/>
    <cellStyle name="Hyperlink 2" xfId="17"/>
    <cellStyle name="Normal" xfId="0" builtinId="0"/>
    <cellStyle name="Normal 2" xfId="18"/>
    <cellStyle name="Normal 2 2" xfId="19"/>
    <cellStyle name="Normal 7" xfId="48"/>
    <cellStyle name="Normal_ABSANUAL" xfId="20"/>
    <cellStyle name="Normal_AEO" xfId="21"/>
    <cellStyle name="Normal_Analysis V5" xfId="22"/>
    <cellStyle name="Normal_AXP_interactive_final" xfId="23"/>
    <cellStyle name="Normal_DisclaimerSheet Samples" xfId="49"/>
    <cellStyle name="Normal_GM Demo" xfId="24"/>
    <cellStyle name="Normal_GPSDIFF" xfId="25"/>
    <cellStyle name="Normal_hd roic" xfId="26"/>
    <cellStyle name="Normal_Lease examples 23072004" xfId="27"/>
    <cellStyle name="Normal_MONTHSAL" xfId="28"/>
    <cellStyle name="Normal_NEWSPACE" xfId="29"/>
    <cellStyle name="Normal_qtrP&amp;L" xfId="30"/>
    <cellStyle name="Normal_qtrSales" xfId="31"/>
    <cellStyle name="Normal_RSH" xfId="32"/>
    <cellStyle name="Normal_SALES_ROSTMONTH" xfId="33"/>
    <cellStyle name="Normal_Sheet1_1" xfId="34"/>
    <cellStyle name="Normal_STORESUM" xfId="35"/>
    <cellStyle name="Normal_turn" xfId="36"/>
    <cellStyle name="Normal_UA Model" xfId="37"/>
    <cellStyle name="p " xfId="38"/>
    <cellStyle name="Percent" xfId="39" builtinId="5"/>
    <cellStyle name="Percent 2" xfId="40"/>
    <cellStyle name="Percent 3 2" xfId="46"/>
    <cellStyle name="RRSInstruction" xfId="41"/>
    <cellStyle name="RRSInstruction 2" xfId="5"/>
    <cellStyle name="s_HardInc " xfId="42"/>
    <cellStyle name="s_Valuation " xfId="43"/>
    <cellStyle name="ssp " xfId="44"/>
    <cellStyle name="Style 1" xfId="45"/>
  </cellStyles>
  <dxfs count="26">
    <dxf>
      <font>
        <b val="0"/>
        <i/>
        <condense val="0"/>
        <extend val="0"/>
        <color indexed="10"/>
      </font>
    </dxf>
    <dxf>
      <font>
        <b val="0"/>
        <i/>
        <condense val="0"/>
        <extend val="0"/>
        <color indexed="17"/>
      </font>
    </dxf>
    <dxf>
      <font>
        <b val="0"/>
        <i/>
        <condense val="0"/>
        <extend val="0"/>
        <color indexed="10"/>
      </font>
    </dxf>
    <dxf>
      <font>
        <b val="0"/>
        <i/>
        <condense val="0"/>
        <extend val="0"/>
        <color indexed="17"/>
      </font>
    </dxf>
    <dxf>
      <font>
        <b val="0"/>
        <i/>
        <condense val="0"/>
        <extend val="0"/>
        <color indexed="10"/>
      </font>
    </dxf>
    <dxf>
      <font>
        <b val="0"/>
        <i/>
        <condense val="0"/>
        <extend val="0"/>
        <color indexed="17"/>
      </font>
    </dxf>
    <dxf>
      <font>
        <b val="0"/>
        <i/>
        <condense val="0"/>
        <extend val="0"/>
        <color indexed="10"/>
      </font>
    </dxf>
    <dxf>
      <font>
        <b val="0"/>
        <i/>
        <condense val="0"/>
        <extend val="0"/>
        <color indexed="17"/>
      </font>
    </dxf>
    <dxf>
      <font>
        <b val="0"/>
        <i/>
        <condense val="0"/>
        <extend val="0"/>
        <color indexed="10"/>
      </font>
    </dxf>
    <dxf>
      <font>
        <b val="0"/>
        <i/>
        <condense val="0"/>
        <extend val="0"/>
        <color indexed="17"/>
      </font>
    </dxf>
    <dxf>
      <font>
        <b val="0"/>
        <i/>
        <condense val="0"/>
        <extend val="0"/>
        <color indexed="10"/>
      </font>
    </dxf>
    <dxf>
      <font>
        <b val="0"/>
        <i/>
        <condense val="0"/>
        <extend val="0"/>
        <color indexed="17"/>
      </font>
    </dxf>
    <dxf>
      <font>
        <b val="0"/>
        <i/>
        <condense val="0"/>
        <extend val="0"/>
        <color indexed="10"/>
      </font>
    </dxf>
    <dxf>
      <font>
        <b val="0"/>
        <i/>
        <condense val="0"/>
        <extend val="0"/>
        <color indexed="17"/>
      </font>
    </dxf>
    <dxf>
      <font>
        <b val="0"/>
        <i/>
        <condense val="0"/>
        <extend val="0"/>
        <color indexed="10"/>
      </font>
    </dxf>
    <dxf>
      <font>
        <b val="0"/>
        <i/>
        <condense val="0"/>
        <extend val="0"/>
        <color indexed="17"/>
      </font>
    </dxf>
    <dxf>
      <font>
        <b val="0"/>
        <i/>
        <condense val="0"/>
        <extend val="0"/>
        <color indexed="10"/>
      </font>
    </dxf>
    <dxf>
      <font>
        <b val="0"/>
        <i/>
        <condense val="0"/>
        <extend val="0"/>
        <color indexed="17"/>
      </font>
    </dxf>
    <dxf>
      <font>
        <b val="0"/>
        <i/>
        <condense val="0"/>
        <extend val="0"/>
        <color indexed="10"/>
      </font>
    </dxf>
    <dxf>
      <font>
        <b val="0"/>
        <i/>
        <condense val="0"/>
        <extend val="0"/>
        <color indexed="17"/>
      </font>
    </dxf>
    <dxf>
      <font>
        <b val="0"/>
        <i/>
        <condense val="0"/>
        <extend val="0"/>
        <color indexed="10"/>
      </font>
    </dxf>
    <dxf>
      <font>
        <b val="0"/>
        <i/>
        <condense val="0"/>
        <extend val="0"/>
        <color indexed="17"/>
      </font>
    </dxf>
    <dxf>
      <font>
        <b val="0"/>
        <i/>
        <condense val="0"/>
        <extend val="0"/>
        <color indexed="10"/>
      </font>
    </dxf>
    <dxf>
      <font>
        <b val="0"/>
        <i/>
        <condense val="0"/>
        <extend val="0"/>
        <color indexed="17"/>
      </font>
    </dxf>
    <dxf>
      <font>
        <b val="0"/>
        <i/>
        <condense val="0"/>
        <extend val="0"/>
        <color indexed="10"/>
      </font>
    </dxf>
    <dxf>
      <font>
        <b val="0"/>
        <i/>
        <condense val="0"/>
        <extend val="0"/>
        <color indexed="17"/>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74BE74"/>
      <rgbColor rgb="002270AB"/>
      <rgbColor rgb="00F8CD14"/>
      <rgbColor rgb="00F26163"/>
      <rgbColor rgb="00A8D7E2"/>
      <rgbColor rgb="00B2122B"/>
      <rgbColor rgb="00238B45"/>
      <rgbColor rgb="001B4694"/>
      <rgbColor rgb="0041A95C"/>
      <rgbColor rgb="00800080"/>
      <rgbColor rgb="00238B45"/>
      <rgbColor rgb="00C0C0C0"/>
      <rgbColor rgb="00808080"/>
      <rgbColor rgb="00137CB1"/>
      <rgbColor rgb="00EACC80"/>
      <rgbColor rgb="004AAC6B"/>
      <rgbColor rgb="00A8D7E2"/>
      <rgbColor rgb="00E58061"/>
      <rgbColor rgb="00BCE3A1"/>
      <rgbColor rgb="008E466A"/>
      <rgbColor rgb="00F3A7A9"/>
      <rgbColor rgb="001275A6"/>
      <rgbColor rgb="00E5BF61"/>
      <rgbColor rgb="004AAC6B"/>
      <rgbColor rgb="0097D0DD"/>
      <rgbColor rgb="00763A58"/>
      <rgbColor rgb="00EF8D8F"/>
      <rgbColor rgb="00E2704C"/>
      <rgbColor rgb="00A5D981"/>
      <rgbColor rgb="0069ADCA"/>
      <rgbColor rgb="00C6D9E2"/>
      <rgbColor rgb="00E3EEDE"/>
      <rgbColor rgb="00F3EEA1"/>
      <rgbColor rgb="009DC9DC"/>
      <rgbColor rgb="00EFC1D2"/>
      <rgbColor rgb="009DC9DC"/>
      <rgbColor rgb="00EFC49F"/>
      <rgbColor rgb="004091BF"/>
      <rgbColor rgb="0097D0DD"/>
      <rgbColor rgb="00A5D981"/>
      <rgbColor rgb="00F8CD14"/>
      <rgbColor rgb="00EACC80"/>
      <rgbColor rgb="00FC7114"/>
      <rgbColor rgb="004091BF"/>
      <rgbColor rgb="00969696"/>
      <rgbColor rgb="00003366"/>
      <rgbColor rgb="0041A95C"/>
      <rgbColor rgb="00125A31"/>
      <rgbColor rgb="00125A31"/>
      <rgbColor rgb="00DDDDDD"/>
      <rgbColor rgb="008E466A"/>
      <rgbColor rgb="001B4694"/>
      <rgbColor rgb="00333333"/>
    </indexedColors>
    <mruColors>
      <color rgb="FF0000FF"/>
      <color rgb="FF008000"/>
    </mruColors>
  </colors>
  <extLst>
    <ext xmlns:x14="http://schemas.microsoft.com/office/spreadsheetml/2009/9/main" uri="{EB79DEF2-80B8-43e5-95BD-54CBDDF9020C}">
      <x14:slicerStyles defaultSlicerStyle="SlicerStyleLight1"/>
    </ext>
  </extLst>
</styleSheet>
</file>

<file path=xl/volatileDependencies.xml><?xml version="1.0" encoding="utf-8"?>
<volTypes xmlns="http://schemas.openxmlformats.org/spreadsheetml/2006/main">
  <volType type="realTimeData">
    <main first="thomsononeaddinshim.rtdformula">
      <tp t="s">
        <v xml:space="preserve">$120 </v>
        <stp/>
        <stp>a9cc880c-70a5-4946-a7f4-727268c24ecf</stp>
        <tr r="F23" s="53"/>
      </tp>
      <tp t="s">
        <v xml:space="preserve">$0.72 </v>
        <stp/>
        <stp>0e1699d4-b734-4460-a6eb-dfdbd0a4c064</stp>
        <tr r="F25" s="53"/>
      </tp>
      <tp>
        <v>266</v>
        <stp/>
        <stp>c9c43cd0-dd6c-4720-8ecd-9eaa687af679</stp>
        <tr r="F15" s="53"/>
      </tp>
      <tp>
        <v>192</v>
        <stp/>
        <stp>b1af43e4-265b-4d39-a31f-97d6a0ebde4e</stp>
        <tr r="F19" s="53"/>
      </tp>
      <tp>
        <v>4299</v>
        <stp/>
        <stp>de3e68ef-eab9-42af-95c9-09104d26649c</stp>
        <tr r="F4" s="53"/>
      </tp>
      <tp>
        <v>1595</v>
        <stp/>
        <stp>9e8f9b07-038c-4df0-91a7-c7a2c3c9d738</stp>
        <tr r="F8" s="53"/>
      </tp>
    </main>
  </volType>
</volTypes>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worksheets/sheet10.xml" Type="http://schemas.openxmlformats.org/officeDocument/2006/relationships/worksheet"/>
<Relationship Id="rId11" Target="worksheets/sheet11.xml" Type="http://schemas.openxmlformats.org/officeDocument/2006/relationships/worksheet"/>
<Relationship Id="rId12" Target="worksheets/sheet12.xml" Type="http://schemas.openxmlformats.org/officeDocument/2006/relationships/worksheet"/>
<Relationship Id="rId13" Target="worksheets/sheet13.xml" Type="http://schemas.openxmlformats.org/officeDocument/2006/relationships/worksheet"/>
<Relationship Id="rId14" Target="worksheets/sheet14.xml" Type="http://schemas.openxmlformats.org/officeDocument/2006/relationships/worksheet"/>
<Relationship Id="rId15" Target="worksheets/sheet15.xml" Type="http://schemas.openxmlformats.org/officeDocument/2006/relationships/worksheet"/>
<Relationship Id="rId16" Target="worksheets/sheet16.xml" Type="http://schemas.openxmlformats.org/officeDocument/2006/relationships/worksheet"/>
<Relationship Id="rId17" Target="worksheets/sheet17.xml" Type="http://schemas.openxmlformats.org/officeDocument/2006/relationships/worksheet"/>
<Relationship Id="rId18" Target="worksheets/sheet18.xml" Type="http://schemas.openxmlformats.org/officeDocument/2006/relationships/worksheet"/>
<Relationship Id="rId19" Target="worksheets/sheet19.xml" Type="http://schemas.openxmlformats.org/officeDocument/2006/relationships/worksheet"/>
<Relationship Id="rId2" Target="worksheets/sheet2.xml" Type="http://schemas.openxmlformats.org/officeDocument/2006/relationships/worksheet"/>
<Relationship Id="rId20" Target="worksheets/sheet20.xml" Type="http://schemas.openxmlformats.org/officeDocument/2006/relationships/worksheet"/>
<Relationship Id="rId21" Target="externalLinks/externalLink1.xml" Type="http://schemas.openxmlformats.org/officeDocument/2006/relationships/externalLink"/>
<Relationship Id="rId22" Target="externalLinks/externalLink2.xml" Type="http://schemas.openxmlformats.org/officeDocument/2006/relationships/externalLink"/>
<Relationship Id="rId23" Target="externalLinks/externalLink3.xml" Type="http://schemas.openxmlformats.org/officeDocument/2006/relationships/externalLink"/>
<Relationship Id="rId24" Target="externalLinks/externalLink4.xml" Type="http://schemas.openxmlformats.org/officeDocument/2006/relationships/externalLink"/>
<Relationship Id="rId25" Target="externalLinks/externalLink5.xml" Type="http://schemas.openxmlformats.org/officeDocument/2006/relationships/externalLink"/>
<Relationship Id="rId26" Target="externalLinks/externalLink6.xml" Type="http://schemas.openxmlformats.org/officeDocument/2006/relationships/externalLink"/>
<Relationship Id="rId27" Target="theme/theme1.xml" Type="http://schemas.openxmlformats.org/officeDocument/2006/relationships/theme"/>
<Relationship Id="rId28" Target="styles.xml" Type="http://schemas.openxmlformats.org/officeDocument/2006/relationships/styles"/>
<Relationship Id="rId29" Target="sharedStrings.xml" Type="http://schemas.openxmlformats.org/officeDocument/2006/relationships/sharedStrings"/>
<Relationship Id="rId3" Target="worksheets/sheet3.xml" Type="http://schemas.openxmlformats.org/officeDocument/2006/relationships/worksheet"/>
<Relationship Id="rId30" Target="calcChain.xml" Type="http://schemas.openxmlformats.org/officeDocument/2006/relationships/calcChain"/>
<Relationship Id="rId31" Target="../customXml/item1.xml" Type="http://schemas.openxmlformats.org/officeDocument/2006/relationships/customXml"/>
<Relationship Id="rId32" Target="../customXml/item2.xml" Type="http://schemas.openxmlformats.org/officeDocument/2006/relationships/customXml"/>
<Relationship Id="rId33" Target="volatileDependencies.xml" Type="http://schemas.openxmlformats.org/officeDocument/2006/relationships/volatileDependencies"/>
<Relationship Id="rId34" Target="vbaProject.bin" Type="http://schemas.microsoft.com/office/2006/relationships/vbaProject"/>
<Relationship Id="rId4" Target="worksheets/sheet4.xml" Type="http://schemas.openxmlformats.org/officeDocument/2006/relationships/workshee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drawings/_rels/drawing1.xml.rels><?xml version="1.0" encoding="UTF-8" standalone="yes"?>
<Relationships xmlns="http://schemas.openxmlformats.org/package/2006/relationships">
<Relationship Id="rId1" Target="../media/image1.png" Type="http://schemas.openxmlformats.org/officeDocument/2006/relationships/image"/>
<Relationship Id="rId2" Target="../media/image2.jpeg" Type="http://schemas.openxmlformats.org/officeDocument/2006/relationships/image"/>
<Relationship Id="rId3" Target="../media/image3.gif" Type="http://schemas.openxmlformats.org/officeDocument/2006/relationships/image"/>
</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28575</xdr:rowOff>
    </xdr:from>
    <xdr:to>
      <xdr:col>0</xdr:col>
      <xdr:colOff>1581150</xdr:colOff>
      <xdr:row>0</xdr:row>
      <xdr:rowOff>323850</xdr:rowOff>
    </xdr:to>
    <xdr:pic>
      <xdr:nvPicPr>
        <xdr:cNvPr id="2"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 y="28575"/>
          <a:ext cx="156210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19050</xdr:colOff>
      <xdr:row>0</xdr:row>
      <xdr:rowOff>95250</xdr:rowOff>
    </xdr:from>
    <xdr:to>
      <xdr:col>1</xdr:col>
      <xdr:colOff>523875</xdr:colOff>
      <xdr:row>0</xdr:row>
      <xdr:rowOff>314325</xdr:rowOff>
    </xdr:to>
    <xdr:pic>
      <xdr:nvPicPr>
        <xdr:cNvPr id="3" name="Picture 6" descr="MSMS_logo_3" hidden="1"/>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9050" y="95250"/>
          <a:ext cx="2219325"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177</xdr:row>
      <xdr:rowOff>0</xdr:rowOff>
    </xdr:from>
    <xdr:to>
      <xdr:col>7</xdr:col>
      <xdr:colOff>390525</xdr:colOff>
      <xdr:row>200</xdr:row>
      <xdr:rowOff>104775</xdr:rowOff>
    </xdr:to>
    <xdr:pic>
      <xdr:nvPicPr>
        <xdr:cNvPr id="15035393" name="Picture 1" descr="C:\Users\edouardd\AppData\Local\Temp\MercuryPriceRatingHistoryChart\KSS.N_2018_04_08_18_40_04.gif"/>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27289125"/>
          <a:ext cx="6400800" cy="382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
<Relationship Id="rId1" Target="TEMP/data/excel/P.XLS" TargetMode="External" Type="http://schemas.microsoft.com/office/2006/relationships/xlExternalLinkPath/xlStartup"/>
</Relationships>

</file>

<file path=xl/externalLinks/_rels/externalLink2.xml.rels><?xml version="1.0" encoding="UTF-8" standalone="yes"?>
<Relationships xmlns="http://schemas.openxmlformats.org/package/2006/relationships">
<Relationship Id="rId1" Target="file://///Sony/c/business/&#38750;&#37444;/&#38750;&#37444;&#20250;~1/&#21516;&#21644;&#37489;&#26989;/5714work.wk4" TargetMode="External" Type="http://schemas.openxmlformats.org/officeDocument/2006/relationships/externalLinkPath"/>
</Relationships>

</file>

<file path=xl/externalLinks/_rels/externalLink3.xml.rels><?xml version="1.0" encoding="UTF-8" standalone="yes"?>
<Relationships xmlns="http://schemas.openxmlformats.org/package/2006/relationships">
<Relationship Id="rId1" Target="c1" TargetMode="External" Type="http://schemas.microsoft.com/office/2006/relationships/xlExternalLinkPath/xlPathMissing"/>
</Relationships>

</file>

<file path=xl/externalLinks/_rels/externalLink4.xml.rels><?xml version="1.0" encoding="UTF-8" standalone="yes"?>
<Relationships xmlns="http://schemas.openxmlformats.org/package/2006/relationships">
<Relationship Id="rId1" Target="TEMPLATE/Excel/LINKTAB.XLS" TargetMode="External" Type="http://schemas.microsoft.com/office/2006/relationships/xlExternalLinkPath/xlStartup"/>
</Relationships>

</file>

<file path=xl/externalLinks/_rels/externalLink5.xml.rels><?xml version="1.0" encoding="UTF-8" standalone="yes"?>
<Relationships xmlns="http://schemas.openxmlformats.org/package/2006/relationships">
<Relationship Id="rId1" Target="RETAIL/Greenberger/Companies/KSS/Notes/KSS_PT_Update_922_15.xls" TargetMode="External" Type="http://schemas.microsoft.com/office/2006/relationships/xlExternalLinkPath/xlStartup"/>
</Relationships>

</file>

<file path=xl/externalLinks/_rels/externalLink6.xml.rels><?xml version="1.0" encoding="UTF-8" standalone="yes"?>
<Relationships xmlns="http://schemas.openxmlformats.org/package/2006/relationships">
<Relationship Id="rId1" Target="I" TargetMode="External" Type="http://schemas.microsoft.com/office/2006/relationships/xlExternalLinkPath/xlPathMissing"/>
</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sclaimer"/>
      <sheetName val="P"/>
      <sheetName val="BS"/>
      <sheetName val="TOSCO"/>
      <sheetName val="Segment ROCE"/>
      <sheetName val="ROGIC"/>
      <sheetName val="E&amp;P"/>
      <sheetName val="NEPS"/>
      <sheetName val="RefineryMaint"/>
      <sheetName val="Hamaca"/>
      <sheetName val="Bohai"/>
      <sheetName val="Bayu Undan"/>
      <sheetName val="R&amp;M"/>
      <sheetName val="GPM"/>
      <sheetName val="Variance"/>
      <sheetName val="ARCO - Alaska"/>
      <sheetName val="Capex"/>
      <sheetName val="Reserves"/>
      <sheetName val="WACC"/>
      <sheetName val="Valuation"/>
      <sheetName val="NAV"/>
      <sheetName val="Chemical JV"/>
      <sheetName val="Chems"/>
      <sheetName val="EKOFISK"/>
      <sheetName val="PUDS"/>
      <sheetName val="GE Data"/>
      <sheetName val="IndexInformation"/>
      <sheetName val="MainCode"/>
      <sheetName val="NY UPLOAD"/>
      <sheetName val="NY UPLOAD Shadow"/>
      <sheetName val="Distribution"/>
      <sheetName val="A-Link Source"/>
      <sheetName val="Q-Link Source"/>
      <sheetName val="Income Statement"/>
      <sheetName val="Revenue&amp;EBIT"/>
      <sheetName val="Fin. Summary"/>
      <sheetName val="COP"/>
      <sheetName val="XOM"/>
      <sheetName val="New Source Charts"/>
      <sheetName val="Modelware"/>
      <sheetName val="R&amp;MIS"/>
      <sheetName val="E&amp;P Growth &amp; Returns"/>
      <sheetName val="Global Product Sum"/>
      <sheetName val="Scenario"/>
      <sheetName val="Quarter"/>
      <sheetName val="Annual"/>
      <sheetName val="AN"/>
      <sheetName val="COC"/>
      <sheetName val="Inputs"/>
      <sheetName val="ｾｸﾞﾒﾝﾄ"/>
      <sheetName val="単独"/>
      <sheetName val="Factset Profile"/>
      <sheetName val="cash"/>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単独"/>
      <sheetName val="連結"/>
      <sheetName val="期中"/>
      <sheetName val="valu"/>
      <sheetName val="増減分析"/>
      <sheetName val="新素材"/>
      <sheetName val="子会社"/>
      <sheetName val="環境"/>
      <sheetName val="製錬拠点"/>
      <sheetName val="ﾃｨｻﾊﾟ"/>
      <sheetName val="ﾚｲﾃﾞﾌﾟﾗﾀ"/>
      <sheetName val="小坂"/>
      <sheetName val="中計"/>
      <sheetName val="cash"/>
      <sheetName val="ｾｸﾞﾒﾝﾄ"/>
      <sheetName val="含み益"/>
      <sheetName val="capx"/>
      <sheetName val="dep"/>
      <sheetName val="人"/>
      <sheetName val="exp"/>
      <sheetName val="Valuation Matrix"/>
      <sheetName val="HANDOUT"/>
      <sheetName val="Interm-Euro"/>
      <sheetName val="SCATTER DATA"/>
      <sheetName val="10 Yr DCF"/>
      <sheetName val="Annual-Euro"/>
      <sheetName val="Residual Income Model"/>
      <sheetName val="P"/>
      <sheetName val="Risk-Reward_View_Chart"/>
      <sheetName val="Sheet1"/>
      <sheetName val="variables"/>
      <sheetName val="Operating Leases tagged"/>
      <sheetName val="EARNMOD"/>
      <sheetName val="WACC"/>
      <sheetName val="Fixed Line Mkt"/>
      <sheetName val="Cash Flow"/>
      <sheetName val="upside_downside"/>
      <sheetName val="Income Statement"/>
      <sheetName val="Balance Sheet"/>
      <sheetName val="Valsum"/>
      <sheetName val="Model"/>
      <sheetName val="Intrinsic Value"/>
      <sheetName val="Rev by Geo"/>
      <sheetName val="exh 11"/>
      <sheetName val="exh 14"/>
      <sheetName val="exh 12"/>
      <sheetName val="exh 10"/>
      <sheetName val="exh 1 and 5"/>
      <sheetName val="exh 15"/>
      <sheetName val="exh 3"/>
      <sheetName val="exh 9"/>
      <sheetName val="Good 12-00 (2)"/>
      <sheetName val="Good 11-36"/>
      <sheetName val="Good 11-50"/>
      <sheetName val="Sheet3 (5)"/>
      <sheetName val="DCF"/>
      <sheetName val="OP"/>
      <sheetName val="Inputs"/>
      <sheetName val="MWA RR"/>
      <sheetName val="Summary"/>
      <sheetName val="IS"/>
      <sheetName val="IS Quarterly"/>
      <sheetName val="Sheet1 (2)"/>
      <sheetName val="1Q11 Preview"/>
      <sheetName val="2Q11 Preview"/>
      <sheetName val="Total_Production"/>
      <sheetName val="RFS"/>
      <sheetName val="Corn_Uses"/>
      <sheetName val="US_Production"/>
      <sheetName val="Report template"/>
      <sheetName val="Model (WIP)"/>
      <sheetName val="Exclusion List"/>
      <sheetName val="fin"/>
      <sheetName val="sales bkd"/>
      <sheetName val="Presentation"/>
      <sheetName val="Valuation"/>
    </sheetNames>
    <sheetDataSet>
      <sheetData sheetId="0" refreshError="1">
        <row r="14">
          <cell r="AR14">
            <v>28</v>
          </cell>
        </row>
        <row r="15">
          <cell r="AR15">
            <v>5</v>
          </cell>
        </row>
        <row r="16">
          <cell r="AR16">
            <v>14</v>
          </cell>
        </row>
        <row r="17">
          <cell r="AR17">
            <v>6</v>
          </cell>
        </row>
        <row r="18">
          <cell r="AR18">
            <v>-5</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row r="164">
          <cell r="E164">
            <v>1247</v>
          </cell>
          <cell r="F164">
            <v>1807</v>
          </cell>
          <cell r="G164">
            <v>2812</v>
          </cell>
          <cell r="H164">
            <v>2828</v>
          </cell>
          <cell r="I164">
            <v>6670</v>
          </cell>
        </row>
        <row r="165">
          <cell r="E165" t="e">
            <v>#VALUE!</v>
          </cell>
          <cell r="F165" t="e">
            <v>#VALUE!</v>
          </cell>
          <cell r="G165" t="e">
            <v>#VALUE!</v>
          </cell>
          <cell r="H165" t="e">
            <v>#VALUE!</v>
          </cell>
          <cell r="I165" t="e">
            <v>#VALUE!</v>
          </cell>
        </row>
        <row r="167">
          <cell r="E167">
            <v>2721</v>
          </cell>
          <cell r="F167">
            <v>1584</v>
          </cell>
          <cell r="G167">
            <v>1802</v>
          </cell>
          <cell r="H167">
            <v>1616</v>
          </cell>
          <cell r="I167">
            <v>795</v>
          </cell>
        </row>
      </sheetData>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1"/>
      <sheetName val="Sheet1"/>
      <sheetName val="Scenario"/>
      <sheetName val="ImportantDisclosures"/>
      <sheetName val="IndexInformation"/>
      <sheetName val="Income"/>
      <sheetName val="GWP"/>
      <sheetName val="Euro vs. PM"/>
      <sheetName val="Ruble"/>
      <sheetName val="Income Statement"/>
      <sheetName val="Margins"/>
      <sheetName val="MS_IRI_Methodology"/>
      <sheetName val="MARKET_SHARE ($)_RAW_DATA"/>
      <sheetName val="NEXXUS_RAW_DATA"/>
      <sheetName val="HAIR_CARE_MARKET SHARE ROLL-UP"/>
      <sheetName val="TOTAL_ACV_DOLLAR_SALES"/>
      <sheetName val="Comps"/>
      <sheetName val="Switches"/>
      <sheetName val="SSB Nielsen Sales"/>
      <sheetName val="TimeSeries"/>
      <sheetName val="Valuation Analyzer"/>
      <sheetName val="EBITDA"/>
      <sheetName val="GWP-WLine"/>
      <sheetName val="TS_Stnd_Dev_Band"/>
      <sheetName val="Print "/>
      <sheetName val="Lookup"/>
      <sheetName val="Input"/>
      <sheetName val="99 cons YTD"/>
      <sheetName val="KP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ining"/>
      <sheetName val="Insurance"/>
      <sheetName val="Banks"/>
      <sheetName val="Oils"/>
      <sheetName val="General Europe"/>
      <sheetName val="General UK"/>
      <sheetName val="Latest_Chart"/>
      <sheetName val="Add4Sheet"/>
      <sheetName val="Module2"/>
      <sheetName val="Module1"/>
      <sheetName val="LINKTAB"/>
      <sheetName val="Model"/>
      <sheetName val="Market_Share"/>
      <sheetName val="Assumptions"/>
      <sheetName val="P"/>
      <sheetName val="Summary"/>
      <sheetName val="Consol_Income"/>
      <sheetName val="Rate Case"/>
      <sheetName val="Balance Sheet"/>
      <sheetName val="Sheet9"/>
      <sheetName val="Leases"/>
      <sheetName val="Graph"/>
      <sheetName val="Income"/>
      <sheetName val="Financial Summary"/>
      <sheetName val="Cash flow"/>
      <sheetName val="Profit &amp; Loss"/>
      <sheetName val="Inputs, sensitivity &amp; val"/>
      <sheetName val="Exclusion List"/>
      <sheetName val="CFOld"/>
      <sheetName val="PLOld"/>
      <sheetName val="Headline"/>
      <sheetName val="MTT old"/>
      <sheetName val="BizJet Deliveries"/>
      <sheetName val="DOMNETREV1002B"/>
      <sheetName val="c1"/>
      <sheetName val="Monthly figures"/>
      <sheetName val="Consolidated"/>
      <sheetName val="CENMODEL"/>
      <sheetName val="Customize Your Statement"/>
      <sheetName val="Sainsbury"/>
      <sheetName val="KQ"/>
    </sheetNames>
    <definedNames>
      <definedName name="Download_series"/>
      <definedName name="Update_This"/>
    </definedNames>
    <sheetDataSet>
      <sheetData sheetId="0"/>
      <sheetData sheetId="1"/>
      <sheetData sheetId="2"/>
      <sheetData sheetId="3"/>
      <sheetData sheetId="4"/>
      <sheetData sheetId="5"/>
      <sheetData sheetId="6" refreshError="1"/>
      <sheetData sheetId="7"/>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CF"/>
      <sheetName val="NTM PE (2)"/>
      <sheetName val="PT Sensitivity"/>
      <sheetName val="Consensus"/>
      <sheetName val="Stock Price"/>
      <sheetName val="NTM EVEBITDA"/>
      <sheetName val="Buybacks+Repo"/>
      <sheetName val="Sheet7"/>
      <sheetName val="NTM PE_kss"/>
      <sheetName val="Operating Profit"/>
      <sheetName val="Sheet3"/>
      <sheetName val="Sheet5"/>
      <sheetName val="Sheet4"/>
      <sheetName val="Group NTM"/>
      <sheetName val="Sheet1"/>
      <sheetName val="Sheet6"/>
      <sheetName val="Sheet8"/>
      <sheetName val="KSS_PT_Update_922_15"/>
    </sheetNames>
    <definedNames>
      <definedName name="ExpandModel" refersTo="#REF!"/>
      <definedName name="ExpandOutputs" refersTo="#REF!"/>
      <definedName name="ExpandVPeriods" refersTo="#REF!"/>
      <definedName name="ExportFile" refersTo="#REF!"/>
      <definedName name="ImportFile" refersTo="#REF!"/>
      <definedName name="ProImportExport.ImportFile" refersTo="#REF!"/>
      <definedName name="ProImportExport.SaveNewFile" refersTo="#REF!"/>
      <definedName name="SaveNewFile" refersTo="#REF!"/>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 Id="rId2" Target="../drawings/drawing1.xml" Type="http://schemas.openxmlformats.org/officeDocument/2006/relationships/drawing"/>
</Relationships>

</file>

<file path=xl/worksheets/_rels/sheet2.xml.rels><?xml version="1.0" encoding="UTF-8" standalone="yes"?>
<Relationships xmlns="http://schemas.openxmlformats.org/package/2006/relationships">
<Relationship Id="rId1" Target="../printerSettings/printerSettings2.bin" Type="http://schemas.openxmlformats.org/officeDocument/2006/relationships/printerSettings"/>
</Relationships>

</file>

<file path=xl/worksheets/_rels/sheet3.xml.rels><?xml version="1.0" encoding="UTF-8" standalone="yes"?>
<Relationships xmlns="http://schemas.openxmlformats.org/package/2006/relationships">
<Relationship Id="rId1" Target="../printerSettings/printerSettings3.bin" Type="http://schemas.openxmlformats.org/officeDocument/2006/relationships/printerSettings"/>
</Relationships>

</file>

<file path=xl/worksheets/_rels/sheet4.xml.rels><?xml version="1.0" encoding="UTF-8" standalone="yes"?>
<Relationships xmlns="http://schemas.openxmlformats.org/package/2006/relationships">
<Relationship Id="rId1" Target="../printerSettings/printerSettings4.bin" Type="http://schemas.openxmlformats.org/officeDocument/2006/relationships/printerSettings"/>
<Relationship Id="rId2" Target="../drawings/vmlDrawing1.vml" Type="http://schemas.openxmlformats.org/officeDocument/2006/relationships/vmlDrawing"/>
<Relationship Id="rId3" Target="../comments1.xml" Type="http://schemas.openxmlformats.org/officeDocument/2006/relationships/comments"/>
</Relationships>

</file>

<file path=xl/worksheets/_rels/sheet5.xml.rels><?xml version="1.0" encoding="UTF-8" standalone="yes"?>
<Relationships xmlns="http://schemas.openxmlformats.org/package/2006/relationships">
<Relationship Id="rId1" Target="http://ms1.morganstanley.com/NewResearchExp?utm_source=footer&amp;utm_medium=email&amp;utm_content=Why+are+research+reports+still+PDFs?&amp;utm_campaign=research+footer" TargetMode="External" Type="http://schemas.openxmlformats.org/officeDocument/2006/relationships/hyperlink"/>
<Relationship Id="rId2" Target="../printerSettings/printerSettings5.bin" Type="http://schemas.openxmlformats.org/officeDocument/2006/relationships/printerSettings"/>
<Relationship Id="rId3" Target="../drawings/vmlDrawing2.vml" Type="http://schemas.openxmlformats.org/officeDocument/2006/relationships/vmlDrawing"/>
<Relationship Id="rId4" Target="../comments2.xml" Type="http://schemas.openxmlformats.org/officeDocument/2006/relationships/comments"/>
</Relationships>

</file>

<file path=xl/worksheets/_rels/sheet6.xml.rels><?xml version="1.0" encoding="UTF-8" standalone="yes"?>
<Relationships xmlns="http://schemas.openxmlformats.org/package/2006/relationships">
<Relationship Id="rId1" Target="../printerSettings/printerSettings6.bin" Type="http://schemas.openxmlformats.org/officeDocument/2006/relationships/printerSettings"/>
<Relationship Id="rId2" Target="../drawings/vmlDrawing3.vml" Type="http://schemas.openxmlformats.org/officeDocument/2006/relationships/vmlDrawing"/>
<Relationship Id="rId3" Target="../comments3.xml" Type="http://schemas.openxmlformats.org/officeDocument/2006/relationships/comments"/>
</Relationships>

</file>

<file path=xl/worksheets/_rels/sheet7.xml.rels><?xml version="1.0" encoding="UTF-8" standalone="yes"?>
<Relationships xmlns="http://schemas.openxmlformats.org/package/2006/relationships">
<Relationship Id="rId1" Target="../printerSettings/printerSettings7.bin" Type="http://schemas.openxmlformats.org/officeDocument/2006/relationships/printerSettings"/>
<Relationship Id="rId2" Target="../drawings/vmlDrawing4.vml" Type="http://schemas.openxmlformats.org/officeDocument/2006/relationships/vmlDrawing"/>
<Relationship Id="rId3" Target="../comments4.xml" Type="http://schemas.openxmlformats.org/officeDocument/2006/relationships/comments"/>
</Relationships>

</file>

<file path=xl/worksheets/_rels/sheet8.xml.rels><?xml version="1.0" encoding="UTF-8" standalone="yes"?>
<Relationships xmlns="http://schemas.openxmlformats.org/package/2006/relationships">
<Relationship Id="rId1" Target="../printerSettings/printerSettings8.bin" Type="http://schemas.openxmlformats.org/officeDocument/2006/relationships/printerSettings"/>
<Relationship Id="rId2" Target="../drawings/vmlDrawing5.vml" Type="http://schemas.openxmlformats.org/officeDocument/2006/relationships/vmlDrawing"/>
<Relationship Id="rId3" Target="../comments5.xml" Type="http://schemas.openxmlformats.org/officeDocument/2006/relationships/comments"/>
</Relationships>

</file>

<file path=xl/worksheets/_rels/sheet9.xml.rels><?xml version="1.0" encoding="UTF-8" standalone="yes"?>
<Relationships xmlns="http://schemas.openxmlformats.org/package/2006/relationships">
<Relationship Id="rId1" Target="../printerSettings/printerSettings9.bin" Type="http://schemas.openxmlformats.org/officeDocument/2006/relationships/printerSettings"/>
<Relationship Id="rId2" Target="../drawings/vmlDrawing6.vml" Type="http://schemas.openxmlformats.org/officeDocument/2006/relationships/vmlDrawing"/>
<Relationship Id="rId3" Target="../comments6.xml" Type="http://schemas.openxmlformats.org/officeDocument/2006/relationships/comments"/>
</Relationships>

</file>

<file path=xl/worksheets/_rels/sheet10.xml.rels><?xml version="1.0" encoding="UTF-8" standalone="yes"?>
<Relationships xmlns="http://schemas.openxmlformats.org/package/2006/relationships">
<Relationship Id="rId1" Target="../printerSettings/printerSettings10.bin" Type="http://schemas.openxmlformats.org/officeDocument/2006/relationships/printerSettings"/>
<Relationship Id="rId2" Target="../drawings/vmlDrawing7.vml" Type="http://schemas.openxmlformats.org/officeDocument/2006/relationships/vmlDrawing"/>
<Relationship Id="rId3" Target="../comments7.xml" Type="http://schemas.openxmlformats.org/officeDocument/2006/relationships/comments"/>
</Relationships>

</file>

<file path=xl/worksheets/_rels/sheet11.xml.rels><?xml version="1.0" encoding="UTF-8" standalone="yes"?>
<Relationships xmlns="http://schemas.openxmlformats.org/package/2006/relationships">
<Relationship Id="rId1" Target="../printerSettings/printerSettings11.bin" Type="http://schemas.openxmlformats.org/officeDocument/2006/relationships/printerSettings"/>
<Relationship Id="rId2" Target="../drawings/vmlDrawing8.vml" Type="http://schemas.openxmlformats.org/officeDocument/2006/relationships/vmlDrawing"/>
<Relationship Id="rId3" Target="../comments8.xml" Type="http://schemas.openxmlformats.org/officeDocument/2006/relationships/comments"/>
</Relationships>

</file>

<file path=xl/worksheets/_rels/sheet12.xml.rels><?xml version="1.0" encoding="UTF-8" standalone="yes"?>
<Relationships xmlns="http://schemas.openxmlformats.org/package/2006/relationships">
<Relationship Id="rId1" Target="../printerSettings/printerSettings12.bin" Type="http://schemas.openxmlformats.org/officeDocument/2006/relationships/printerSettings"/>
<Relationship Id="rId2" Target="../drawings/vmlDrawing9.vml" Type="http://schemas.openxmlformats.org/officeDocument/2006/relationships/vmlDrawing"/>
<Relationship Id="rId3" Target="../comments9.xml" Type="http://schemas.openxmlformats.org/officeDocument/2006/relationships/comments"/>
</Relationships>

</file>

<file path=xl/worksheets/_rels/sheet13.xml.rels><?xml version="1.0" encoding="UTF-8" standalone="yes"?>
<Relationships xmlns="http://schemas.openxmlformats.org/package/2006/relationships">
<Relationship Id="rId1" Target="../printerSettings/printerSettings13.bin" Type="http://schemas.openxmlformats.org/officeDocument/2006/relationships/printerSettings"/>
<Relationship Id="rId2" Target="../drawings/vmlDrawing10.vml" Type="http://schemas.openxmlformats.org/officeDocument/2006/relationships/vmlDrawing"/>
<Relationship Id="rId3" Target="../comments10.xml" Type="http://schemas.openxmlformats.org/officeDocument/2006/relationships/comments"/>
</Relationships>

</file>

<file path=xl/worksheets/_rels/sheet14.xml.rels><?xml version="1.0" encoding="UTF-8" standalone="yes"?>
<Relationships xmlns="http://schemas.openxmlformats.org/package/2006/relationships">
<Relationship Id="rId1" Target="../printerSettings/printerSettings14.bin" Type="http://schemas.openxmlformats.org/officeDocument/2006/relationships/printerSettings"/>
<Relationship Id="rId2" Target="../drawings/vmlDrawing11.vml" Type="http://schemas.openxmlformats.org/officeDocument/2006/relationships/vmlDrawing"/>
<Relationship Id="rId3" Target="../comments11.xml" Type="http://schemas.openxmlformats.org/officeDocument/2006/relationships/comments"/>
</Relationships>

</file>

<file path=xl/worksheets/_rels/sheet15.xml.rels><?xml version="1.0" encoding="UTF-8" standalone="yes"?>
<Relationships xmlns="http://schemas.openxmlformats.org/package/2006/relationships">
<Relationship Id="rId1" Target="../printerSettings/printerSettings15.bin" Type="http://schemas.openxmlformats.org/officeDocument/2006/relationships/printerSettings"/>
</Relationships>

</file>

<file path=xl/worksheets/_rels/sheet16.xml.rels><?xml version="1.0" encoding="UTF-8" standalone="yes"?>
<Relationships xmlns="http://schemas.openxmlformats.org/package/2006/relationships">
<Relationship Id="rId1" Target="../printerSettings/printerSettings16.bin" Type="http://schemas.openxmlformats.org/officeDocument/2006/relationships/printerSettings"/>
<Relationship Id="rId2" Target="../drawings/vmlDrawing12.vml" Type="http://schemas.openxmlformats.org/officeDocument/2006/relationships/vmlDrawing"/>
<Relationship Id="rId3" Target="../comments12.xml" Type="http://schemas.openxmlformats.org/officeDocument/2006/relationships/comments"/>
</Relationships>

</file>

<file path=xl/worksheets/_rels/sheet17.xml.rels><?xml version="1.0" encoding="UTF-8" standalone="yes"?>
<Relationships xmlns="http://schemas.openxmlformats.org/package/2006/relationships">
<Relationship Id="rId1" Target="../printerSettings/printerSettings17.bin" Type="http://schemas.openxmlformats.org/officeDocument/2006/relationships/printerSettings"/>
<Relationship Id="rId2" Target="../drawings/vmlDrawing13.vml" Type="http://schemas.openxmlformats.org/officeDocument/2006/relationships/vmlDrawing"/>
<Relationship Id="rId3" Target="../comments13.xml" Type="http://schemas.openxmlformats.org/officeDocument/2006/relationships/comments"/>
</Relationships>

</file>

<file path=xl/worksheets/_rels/sheet18.xml.rels><?xml version="1.0" encoding="UTF-8" standalone="yes"?>
<Relationships xmlns="http://schemas.openxmlformats.org/package/2006/relationships">
<Relationship Id="rId1" Target="../printerSettings/printerSettings18.bin" Type="http://schemas.openxmlformats.org/officeDocument/2006/relationships/printerSettings"/>
<Relationship Id="rId2" Target="../drawings/vmlDrawing14.vml" Type="http://schemas.openxmlformats.org/officeDocument/2006/relationships/vmlDrawing"/>
<Relationship Id="rId3" Target="../comments14.xml" Type="http://schemas.openxmlformats.org/officeDocument/2006/relationships/comments"/>
</Relationships>

</file>

<file path=xl/worksheets/_rels/sheet19.xml.rels><?xml version="1.0" encoding="UTF-8" standalone="yes"?>
<Relationships xmlns="http://schemas.openxmlformats.org/package/2006/relationships">
<Relationship Id="rId1" Target="../printerSettings/printerSettings19.bin" Type="http://schemas.openxmlformats.org/officeDocument/2006/relationships/printerSettings"/>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H394"/>
  <sheetViews>
    <sheetView showGridLines="0" tabSelected="1" workbookViewId="0">
      <selection activeCell="B51" sqref="B51"/>
    </sheetView>
  </sheetViews>
  <sheetFormatPr defaultRowHeight="12.75" x14ac:dyDescent="0.2"/>
  <cols>
    <col min="1" max="1" width="25.7109375" style="1325" customWidth="1"/>
    <col min="2" max="5" width="9.140625" style="1325"/>
    <col min="6" max="6" width="18.7109375" style="1325" customWidth="1"/>
    <col min="7" max="256" width="9.140625" style="1325"/>
    <col min="257" max="257" width="100.7109375" style="1325" customWidth="1"/>
    <col min="258" max="512" width="9.140625" style="1325"/>
    <col min="513" max="513" width="100.7109375" style="1325" customWidth="1"/>
    <col min="514" max="768" width="9.140625" style="1325"/>
    <col min="769" max="769" width="100.7109375" style="1325" customWidth="1"/>
    <col min="770" max="1024" width="9.140625" style="1325"/>
    <col min="1025" max="1025" width="100.7109375" style="1325" customWidth="1"/>
    <col min="1026" max="1280" width="9.140625" style="1325"/>
    <col min="1281" max="1281" width="100.7109375" style="1325" customWidth="1"/>
    <col min="1282" max="1536" width="9.140625" style="1325"/>
    <col min="1537" max="1537" width="100.7109375" style="1325" customWidth="1"/>
    <col min="1538" max="1792" width="9.140625" style="1325"/>
    <col min="1793" max="1793" width="100.7109375" style="1325" customWidth="1"/>
    <col min="1794" max="2048" width="9.140625" style="1325"/>
    <col min="2049" max="2049" width="100.7109375" style="1325" customWidth="1"/>
    <col min="2050" max="2304" width="9.140625" style="1325"/>
    <col min="2305" max="2305" width="100.7109375" style="1325" customWidth="1"/>
    <col min="2306" max="2560" width="9.140625" style="1325"/>
    <col min="2561" max="2561" width="100.7109375" style="1325" customWidth="1"/>
    <col min="2562" max="2816" width="9.140625" style="1325"/>
    <col min="2817" max="2817" width="100.7109375" style="1325" customWidth="1"/>
    <col min="2818" max="3072" width="9.140625" style="1325"/>
    <col min="3073" max="3073" width="100.7109375" style="1325" customWidth="1"/>
    <col min="3074" max="3328" width="9.140625" style="1325"/>
    <col min="3329" max="3329" width="100.7109375" style="1325" customWidth="1"/>
    <col min="3330" max="3584" width="9.140625" style="1325"/>
    <col min="3585" max="3585" width="100.7109375" style="1325" customWidth="1"/>
    <col min="3586" max="3840" width="9.140625" style="1325"/>
    <col min="3841" max="3841" width="100.7109375" style="1325" customWidth="1"/>
    <col min="3842" max="4096" width="9.140625" style="1325"/>
    <col min="4097" max="4097" width="100.7109375" style="1325" customWidth="1"/>
    <col min="4098" max="4352" width="9.140625" style="1325"/>
    <col min="4353" max="4353" width="100.7109375" style="1325" customWidth="1"/>
    <col min="4354" max="4608" width="9.140625" style="1325"/>
    <col min="4609" max="4609" width="100.7109375" style="1325" customWidth="1"/>
    <col min="4610" max="4864" width="9.140625" style="1325"/>
    <col min="4865" max="4865" width="100.7109375" style="1325" customWidth="1"/>
    <col min="4866" max="5120" width="9.140625" style="1325"/>
    <col min="5121" max="5121" width="100.7109375" style="1325" customWidth="1"/>
    <col min="5122" max="5376" width="9.140625" style="1325"/>
    <col min="5377" max="5377" width="100.7109375" style="1325" customWidth="1"/>
    <col min="5378" max="5632" width="9.140625" style="1325"/>
    <col min="5633" max="5633" width="100.7109375" style="1325" customWidth="1"/>
    <col min="5634" max="5888" width="9.140625" style="1325"/>
    <col min="5889" max="5889" width="100.7109375" style="1325" customWidth="1"/>
    <col min="5890" max="6144" width="9.140625" style="1325"/>
    <col min="6145" max="6145" width="100.7109375" style="1325" customWidth="1"/>
    <col min="6146" max="6400" width="9.140625" style="1325"/>
    <col min="6401" max="6401" width="100.7109375" style="1325" customWidth="1"/>
    <col min="6402" max="6656" width="9.140625" style="1325"/>
    <col min="6657" max="6657" width="100.7109375" style="1325" customWidth="1"/>
    <col min="6658" max="6912" width="9.140625" style="1325"/>
    <col min="6913" max="6913" width="100.7109375" style="1325" customWidth="1"/>
    <col min="6914" max="7168" width="9.140625" style="1325"/>
    <col min="7169" max="7169" width="100.7109375" style="1325" customWidth="1"/>
    <col min="7170" max="7424" width="9.140625" style="1325"/>
    <col min="7425" max="7425" width="100.7109375" style="1325" customWidth="1"/>
    <col min="7426" max="7680" width="9.140625" style="1325"/>
    <col min="7681" max="7681" width="100.7109375" style="1325" customWidth="1"/>
    <col min="7682" max="7936" width="9.140625" style="1325"/>
    <col min="7937" max="7937" width="100.7109375" style="1325" customWidth="1"/>
    <col min="7938" max="8192" width="9.140625" style="1325"/>
    <col min="8193" max="8193" width="100.7109375" style="1325" customWidth="1"/>
    <col min="8194" max="8448" width="9.140625" style="1325"/>
    <col min="8449" max="8449" width="100.7109375" style="1325" customWidth="1"/>
    <col min="8450" max="8704" width="9.140625" style="1325"/>
    <col min="8705" max="8705" width="100.7109375" style="1325" customWidth="1"/>
    <col min="8706" max="8960" width="9.140625" style="1325"/>
    <col min="8961" max="8961" width="100.7109375" style="1325" customWidth="1"/>
    <col min="8962" max="9216" width="9.140625" style="1325"/>
    <col min="9217" max="9217" width="100.7109375" style="1325" customWidth="1"/>
    <col min="9218" max="9472" width="9.140625" style="1325"/>
    <col min="9473" max="9473" width="100.7109375" style="1325" customWidth="1"/>
    <col min="9474" max="9728" width="9.140625" style="1325"/>
    <col min="9729" max="9729" width="100.7109375" style="1325" customWidth="1"/>
    <col min="9730" max="9984" width="9.140625" style="1325"/>
    <col min="9985" max="9985" width="100.7109375" style="1325" customWidth="1"/>
    <col min="9986" max="10240" width="9.140625" style="1325"/>
    <col min="10241" max="10241" width="100.7109375" style="1325" customWidth="1"/>
    <col min="10242" max="10496" width="9.140625" style="1325"/>
    <col min="10497" max="10497" width="100.7109375" style="1325" customWidth="1"/>
    <col min="10498" max="10752" width="9.140625" style="1325"/>
    <col min="10753" max="10753" width="100.7109375" style="1325" customWidth="1"/>
    <col min="10754" max="11008" width="9.140625" style="1325"/>
    <col min="11009" max="11009" width="100.7109375" style="1325" customWidth="1"/>
    <col min="11010" max="11264" width="9.140625" style="1325"/>
    <col min="11265" max="11265" width="100.7109375" style="1325" customWidth="1"/>
    <col min="11266" max="11520" width="9.140625" style="1325"/>
    <col min="11521" max="11521" width="100.7109375" style="1325" customWidth="1"/>
    <col min="11522" max="11776" width="9.140625" style="1325"/>
    <col min="11777" max="11777" width="100.7109375" style="1325" customWidth="1"/>
    <col min="11778" max="12032" width="9.140625" style="1325"/>
    <col min="12033" max="12033" width="100.7109375" style="1325" customWidth="1"/>
    <col min="12034" max="12288" width="9.140625" style="1325"/>
    <col min="12289" max="12289" width="100.7109375" style="1325" customWidth="1"/>
    <col min="12290" max="12544" width="9.140625" style="1325"/>
    <col min="12545" max="12545" width="100.7109375" style="1325" customWidth="1"/>
    <col min="12546" max="12800" width="9.140625" style="1325"/>
    <col min="12801" max="12801" width="100.7109375" style="1325" customWidth="1"/>
    <col min="12802" max="13056" width="9.140625" style="1325"/>
    <col min="13057" max="13057" width="100.7109375" style="1325" customWidth="1"/>
    <col min="13058" max="13312" width="9.140625" style="1325"/>
    <col min="13313" max="13313" width="100.7109375" style="1325" customWidth="1"/>
    <col min="13314" max="13568" width="9.140625" style="1325"/>
    <col min="13569" max="13569" width="100.7109375" style="1325" customWidth="1"/>
    <col min="13570" max="13824" width="9.140625" style="1325"/>
    <col min="13825" max="13825" width="100.7109375" style="1325" customWidth="1"/>
    <col min="13826" max="14080" width="9.140625" style="1325"/>
    <col min="14081" max="14081" width="100.7109375" style="1325" customWidth="1"/>
    <col min="14082" max="14336" width="9.140625" style="1325"/>
    <col min="14337" max="14337" width="100.7109375" style="1325" customWidth="1"/>
    <col min="14338" max="14592" width="9.140625" style="1325"/>
    <col min="14593" max="14593" width="100.7109375" style="1325" customWidth="1"/>
    <col min="14594" max="14848" width="9.140625" style="1325"/>
    <col min="14849" max="14849" width="100.7109375" style="1325" customWidth="1"/>
    <col min="14850" max="15104" width="9.140625" style="1325"/>
    <col min="15105" max="15105" width="100.7109375" style="1325" customWidth="1"/>
    <col min="15106" max="15360" width="9.140625" style="1325"/>
    <col min="15361" max="15361" width="100.7109375" style="1325" customWidth="1"/>
    <col min="15362" max="15616" width="9.140625" style="1325"/>
    <col min="15617" max="15617" width="100.7109375" style="1325" customWidth="1"/>
    <col min="15618" max="15872" width="9.140625" style="1325"/>
    <col min="15873" max="15873" width="100.7109375" style="1325" customWidth="1"/>
    <col min="15874" max="16128" width="9.140625" style="1325"/>
    <col min="16129" max="16129" width="100.7109375" style="1325" customWidth="1"/>
    <col min="16130" max="16384" width="9.140625" style="1325"/>
  </cols>
  <sheetData>
    <row r="1" spans="1:8" ht="30" customHeight="1" x14ac:dyDescent="0.2">
      <c r="A1" s="1323"/>
      <c r="B1" s="1324"/>
      <c r="C1" s="1324"/>
      <c r="D1" s="1324"/>
      <c r="E1" s="1324"/>
      <c r="F1" s="1324"/>
      <c r="G1" s="1324"/>
      <c r="H1" s="1324"/>
    </row>
    <row r="2" spans="1:8" ht="14.25" x14ac:dyDescent="0.2">
      <c r="A2" s="1326" t="s">
        <v>634</v>
      </c>
      <c r="B2" s="1324"/>
      <c r="C2" s="1324"/>
      <c r="D2" s="1324"/>
      <c r="E2" s="1324"/>
      <c r="F2" s="1324"/>
      <c r="G2" s="1324"/>
      <c r="H2" s="1324"/>
    </row>
    <row r="3" spans="1:8" ht="14.25" x14ac:dyDescent="0.2">
      <c r="A3" s="1326" t="s">
        <v>635</v>
      </c>
      <c r="B3" s="1324"/>
      <c r="C3" s="1324"/>
      <c r="D3" s="1324"/>
      <c r="E3" s="1324"/>
      <c r="F3" s="1324"/>
      <c r="G3" s="1324"/>
      <c r="H3" s="1324"/>
    </row>
    <row r="4" spans="1:8" ht="14.25" x14ac:dyDescent="0.2">
      <c r="A4" s="1326" t="s">
        <v>636</v>
      </c>
      <c r="B4" s="1324"/>
      <c r="C4" s="1324"/>
      <c r="D4" s="1324"/>
      <c r="E4" s="1324"/>
      <c r="F4" s="1324"/>
      <c r="G4" s="1324"/>
      <c r="H4" s="1324"/>
    </row>
    <row r="5" spans="1:8" ht="14.25" x14ac:dyDescent="0.2">
      <c r="A5" s="1326" t="s">
        <v>637</v>
      </c>
      <c r="B5" s="1324"/>
      <c r="C5" s="1324"/>
      <c r="D5" s="1324"/>
      <c r="E5" s="1324"/>
      <c r="F5" s="1324"/>
      <c r="G5" s="1324"/>
      <c r="H5" s="1324"/>
    </row>
    <row r="6" spans="1:8" ht="14.25" x14ac:dyDescent="0.2">
      <c r="A6" s="1326"/>
      <c r="B6" s="1324"/>
      <c r="C6" s="1324"/>
      <c r="D6" s="1324"/>
      <c r="E6" s="1324"/>
      <c r="F6" s="1324"/>
      <c r="G6" s="1324"/>
      <c r="H6" s="1324"/>
    </row>
    <row r="7" spans="1:8" x14ac:dyDescent="0.2">
      <c r="A7" s="1323" t="s">
        <v>638</v>
      </c>
      <c r="B7" s="1324"/>
      <c r="C7" s="1324"/>
      <c r="D7" s="1324"/>
      <c r="E7" s="1324"/>
      <c r="F7" s="1324"/>
      <c r="G7" s="1324"/>
      <c r="H7" s="1324"/>
    </row>
    <row r="8" spans="1:8" x14ac:dyDescent="0.2">
      <c r="A8" s="1323" t="s">
        <v>639</v>
      </c>
      <c r="B8" s="1324"/>
      <c r="C8" s="1324"/>
      <c r="D8" s="1324"/>
      <c r="E8" s="1324"/>
      <c r="F8" s="1324"/>
      <c r="G8" s="1324"/>
      <c r="H8" s="1324"/>
    </row>
    <row r="9" spans="1:8" x14ac:dyDescent="0.2">
      <c r="A9" s="1323"/>
      <c r="B9" s="1324"/>
      <c r="C9" s="1324"/>
      <c r="D9" s="1324"/>
      <c r="E9" s="1324"/>
      <c r="F9" s="1324"/>
      <c r="G9" s="1324"/>
      <c r="H9" s="1324"/>
    </row>
    <row r="10" spans="1:8" x14ac:dyDescent="0.2">
      <c r="A10" s="1327" t="s">
        <v>640</v>
      </c>
      <c r="B10" s="1324"/>
      <c r="C10" s="1324"/>
      <c r="D10" s="1324"/>
      <c r="E10" s="1324"/>
      <c r="F10" s="1324"/>
      <c r="G10" s="1324"/>
      <c r="H10" s="1324"/>
    </row>
    <row r="11" spans="1:8" x14ac:dyDescent="0.2">
      <c r="A11" s="1327" t="s">
        <v>641</v>
      </c>
      <c r="B11" s="1324"/>
      <c r="C11" s="1324"/>
      <c r="D11" s="1324"/>
      <c r="E11" s="1324"/>
      <c r="F11" s="1324"/>
      <c r="G11" s="1324"/>
      <c r="H11" s="1324"/>
    </row>
    <row r="12" spans="1:8" x14ac:dyDescent="0.2">
      <c r="A12" s="1327" t="s">
        <v>642</v>
      </c>
      <c r="B12" s="1324"/>
      <c r="C12" s="1324"/>
      <c r="D12" s="1324"/>
      <c r="E12" s="1324"/>
      <c r="F12" s="1324"/>
      <c r="G12" s="1324"/>
      <c r="H12" s="1324"/>
    </row>
    <row r="13" spans="1:8" x14ac:dyDescent="0.2">
      <c r="A13" s="1327" t="s">
        <v>643</v>
      </c>
      <c r="B13" s="1324"/>
      <c r="C13" s="1324"/>
      <c r="D13" s="1324"/>
      <c r="E13" s="1324"/>
      <c r="F13" s="1324"/>
      <c r="G13" s="1324"/>
      <c r="H13" s="1324"/>
    </row>
    <row r="14" spans="1:8" x14ac:dyDescent="0.2">
      <c r="A14" s="1327" t="s">
        <v>644</v>
      </c>
      <c r="B14" s="1324"/>
      <c r="C14" s="1324"/>
      <c r="D14" s="1324"/>
      <c r="E14" s="1324"/>
      <c r="F14" s="1324"/>
      <c r="G14" s="1324"/>
      <c r="H14" s="1324"/>
    </row>
    <row r="15" spans="1:8" x14ac:dyDescent="0.2">
      <c r="A15" s="1327" t="s">
        <v>645</v>
      </c>
      <c r="B15" s="1324"/>
      <c r="C15" s="1324"/>
      <c r="D15" s="1324"/>
      <c r="E15" s="1324"/>
      <c r="F15" s="1324"/>
      <c r="G15" s="1324"/>
      <c r="H15" s="1324"/>
    </row>
    <row r="16" spans="1:8" x14ac:dyDescent="0.2">
      <c r="A16" s="1327"/>
      <c r="B16" s="1324"/>
      <c r="C16" s="1324"/>
      <c r="D16" s="1324"/>
      <c r="E16" s="1324"/>
      <c r="F16" s="1324"/>
      <c r="G16" s="1324"/>
      <c r="H16" s="1324"/>
    </row>
    <row r="17" spans="1:8" x14ac:dyDescent="0.2">
      <c r="A17" s="1327" t="s">
        <v>631</v>
      </c>
      <c r="B17" s="1324"/>
      <c r="C17" s="1324"/>
      <c r="D17" s="1324"/>
      <c r="E17" s="1324"/>
      <c r="F17" s="1324"/>
      <c r="G17" s="1324"/>
      <c r="H17" s="1324"/>
    </row>
    <row r="18" spans="1:8" x14ac:dyDescent="0.2">
      <c r="A18" s="1327"/>
      <c r="B18" s="1324"/>
      <c r="C18" s="1324"/>
      <c r="D18" s="1324"/>
      <c r="E18" s="1324"/>
      <c r="F18" s="1324"/>
      <c r="G18" s="1324"/>
      <c r="H18" s="1324"/>
    </row>
    <row r="19" spans="1:8" x14ac:dyDescent="0.2">
      <c r="A19" s="1327" t="s">
        <v>632</v>
      </c>
      <c r="B19" s="1324"/>
      <c r="C19" s="1324"/>
      <c r="D19" s="1324"/>
      <c r="E19" s="1324"/>
      <c r="F19" s="1324"/>
      <c r="G19" s="1324"/>
      <c r="H19" s="1324"/>
    </row>
    <row r="20" spans="1:8" x14ac:dyDescent="0.2">
      <c r="A20" s="1323"/>
      <c r="B20" s="1324"/>
      <c r="C20" s="1324"/>
      <c r="D20" s="1324"/>
      <c r="E20" s="1324"/>
      <c r="F20" s="1324"/>
      <c r="G20" s="1324"/>
      <c r="H20" s="1324"/>
    </row>
    <row r="21" spans="1:8" x14ac:dyDescent="0.2">
      <c r="A21" s="1328" t="s">
        <v>633</v>
      </c>
      <c r="B21" s="1324"/>
      <c r="C21" s="1324"/>
      <c r="D21" s="1324"/>
      <c r="E21" s="1324"/>
      <c r="F21" s="1324"/>
      <c r="G21" s="1324"/>
      <c r="H21" s="1324"/>
    </row>
    <row r="22" spans="1:8" x14ac:dyDescent="0.2">
      <c r="A22" s="1329"/>
      <c r="B22" s="1329"/>
      <c r="C22" s="1329"/>
      <c r="D22" s="1329"/>
      <c r="E22" s="1329"/>
      <c r="F22" s="1329"/>
      <c r="G22" s="1329"/>
      <c r="H22" s="1329"/>
    </row>
    <row r="23" spans="1:8" x14ac:dyDescent="0.2">
      <c r="A23" s="1330" t="s">
        <v>925</v>
      </c>
      <c r="B23" s="1329"/>
      <c r="C23" s="1329"/>
      <c r="D23" s="1329"/>
      <c r="E23" s="1329"/>
      <c r="F23" s="1329"/>
      <c r="G23" s="1329"/>
      <c r="H23" s="1329"/>
    </row>
    <row r="24" spans="1:8" x14ac:dyDescent="0.2">
      <c r="A24" s="1330" t="s">
        <v>926</v>
      </c>
      <c r="B24" s="1329"/>
      <c r="C24" s="1329"/>
      <c r="D24" s="1329"/>
      <c r="E24" s="1329"/>
      <c r="F24" s="1329"/>
      <c r="G24" s="1329"/>
      <c r="H24" s="1329"/>
    </row>
    <row r="25" spans="1:8" x14ac:dyDescent="0.2">
      <c r="A25" s="1330" t="s">
        <v>927</v>
      </c>
      <c r="B25" s="1329"/>
      <c r="C25" s="1329"/>
      <c r="D25" s="1329"/>
      <c r="E25" s="1329"/>
      <c r="F25" s="1329"/>
      <c r="G25" s="1329"/>
      <c r="H25" s="1329"/>
    </row>
    <row r="26" spans="1:8" x14ac:dyDescent="0.2">
      <c r="A26" s="1330" t="s">
        <v>928</v>
      </c>
      <c r="B26" s="1329"/>
      <c r="C26" s="1329"/>
      <c r="D26" s="1329"/>
      <c r="E26" s="1329"/>
      <c r="F26" s="1329"/>
      <c r="G26" s="1329"/>
      <c r="H26" s="1329"/>
    </row>
    <row r="27" spans="1:8" x14ac:dyDescent="0.2">
      <c r="A27" s="1329"/>
      <c r="B27" s="1329"/>
      <c r="C27" s="1329"/>
      <c r="D27" s="1329"/>
      <c r="E27" s="1329"/>
      <c r="F27" s="1329"/>
      <c r="G27" s="1329"/>
      <c r="H27" s="1329"/>
    </row>
    <row r="28" spans="1:8" x14ac:dyDescent="0.2">
      <c r="A28" s="1329"/>
      <c r="B28" s="1329"/>
      <c r="C28" s="1329"/>
      <c r="D28" s="1329"/>
      <c r="E28" s="1329"/>
      <c r="F28" s="1329"/>
      <c r="G28" s="1329"/>
      <c r="H28" s="1329"/>
    </row>
    <row r="29" spans="1:8" x14ac:dyDescent="0.2">
      <c r="A29" s="1330" t="s">
        <v>920</v>
      </c>
      <c r="B29" s="1329"/>
      <c r="C29" s="1329"/>
      <c r="D29" s="1329"/>
      <c r="E29" s="1329"/>
      <c r="F29" s="1329"/>
      <c r="G29" s="1329"/>
      <c r="H29" s="1329"/>
    </row>
    <row r="30" spans="1:8" x14ac:dyDescent="0.2">
      <c r="A30" s="1330" t="s">
        <v>921</v>
      </c>
      <c r="B30" s="1329"/>
      <c r="C30" s="1329"/>
      <c r="D30" s="1329"/>
      <c r="E30" s="1329"/>
      <c r="F30" s="1329"/>
      <c r="G30" s="1329"/>
      <c r="H30" s="1329"/>
    </row>
    <row r="31" spans="1:8" x14ac:dyDescent="0.2">
      <c r="A31" s="1330" t="s">
        <v>922</v>
      </c>
      <c r="B31" s="1329"/>
      <c r="C31" s="1329"/>
      <c r="D31" s="1329"/>
      <c r="E31" s="1329"/>
      <c r="F31" s="1329"/>
      <c r="G31" s="1329"/>
      <c r="H31" s="1329"/>
    </row>
    <row r="32" spans="1:8" x14ac:dyDescent="0.2">
      <c r="A32" s="1330" t="s">
        <v>923</v>
      </c>
      <c r="B32" s="1329"/>
      <c r="C32" s="1329"/>
      <c r="D32" s="1329"/>
      <c r="E32" s="1329"/>
      <c r="F32" s="1329"/>
      <c r="G32" s="1329"/>
      <c r="H32" s="1329"/>
    </row>
    <row r="33" spans="1:8" x14ac:dyDescent="0.2">
      <c r="A33" s="1330" t="s">
        <v>924</v>
      </c>
      <c r="B33" s="1329"/>
      <c r="C33" s="1329"/>
      <c r="D33" s="1329"/>
      <c r="E33" s="1329"/>
      <c r="F33" s="1329"/>
      <c r="G33" s="1329"/>
      <c r="H33" s="1329"/>
    </row>
    <row r="34" spans="1:8" x14ac:dyDescent="0.2">
      <c r="A34" s="1329"/>
      <c r="B34" s="1329"/>
      <c r="C34" s="1329"/>
      <c r="D34" s="1329"/>
      <c r="E34" s="1329"/>
      <c r="F34" s="1329"/>
      <c r="G34" s="1329"/>
      <c r="H34" s="1329"/>
    </row>
    <row r="35" spans="1:8" x14ac:dyDescent="0.2">
      <c r="A35" s="1330" t="s">
        <v>916</v>
      </c>
      <c r="B35" s="1329"/>
      <c r="C35" s="1329"/>
      <c r="D35" s="1329"/>
      <c r="E35" s="1329"/>
      <c r="F35" s="1329"/>
      <c r="G35" s="1329"/>
      <c r="H35" s="1329"/>
    </row>
    <row r="36" spans="1:8" x14ac:dyDescent="0.2">
      <c r="A36" s="1330" t="s">
        <v>917</v>
      </c>
      <c r="B36" s="1329"/>
      <c r="C36" s="1329"/>
      <c r="D36" s="1329"/>
      <c r="E36" s="1329"/>
      <c r="F36" s="1329"/>
      <c r="G36" s="1329"/>
      <c r="H36" s="1329"/>
    </row>
    <row r="37" spans="1:8" x14ac:dyDescent="0.2">
      <c r="A37" s="1330" t="s">
        <v>918</v>
      </c>
      <c r="B37" s="1329"/>
      <c r="C37" s="1329"/>
      <c r="D37" s="1329"/>
      <c r="E37" s="1329"/>
      <c r="F37" s="1329"/>
      <c r="G37" s="1329"/>
      <c r="H37" s="1329"/>
    </row>
    <row r="38" spans="1:8" x14ac:dyDescent="0.2">
      <c r="A38" s="1330" t="s">
        <v>919</v>
      </c>
      <c r="B38" s="1329"/>
      <c r="C38" s="1329"/>
      <c r="D38" s="1329"/>
      <c r="E38" s="1329"/>
      <c r="F38" s="1329"/>
      <c r="G38" s="1329"/>
      <c r="H38" s="1329"/>
    </row>
    <row r="39" spans="1:8" x14ac:dyDescent="0.2">
      <c r="A39" s="1329"/>
      <c r="B39" s="1329"/>
      <c r="C39" s="1329"/>
      <c r="D39" s="1329"/>
      <c r="E39" s="1329"/>
      <c r="F39" s="1329"/>
      <c r="G39" s="1329"/>
      <c r="H39" s="1329"/>
    </row>
    <row r="40" spans="1:8" x14ac:dyDescent="0.2">
      <c r="A40" s="1330" t="s">
        <v>910</v>
      </c>
      <c r="B40" s="1329"/>
      <c r="C40" s="1329"/>
      <c r="D40" s="1329"/>
      <c r="E40" s="1329"/>
      <c r="F40" s="1329"/>
      <c r="G40" s="1329"/>
      <c r="H40" s="1329"/>
    </row>
    <row r="41" spans="1:8" x14ac:dyDescent="0.2">
      <c r="A41" s="1330" t="s">
        <v>911</v>
      </c>
      <c r="B41" s="1329"/>
      <c r="C41" s="1329"/>
      <c r="D41" s="1329"/>
      <c r="E41" s="1329"/>
      <c r="F41" s="1329"/>
      <c r="G41" s="1329"/>
      <c r="H41" s="1329"/>
    </row>
    <row r="42" spans="1:8" x14ac:dyDescent="0.2">
      <c r="A42" s="1330" t="s">
        <v>912</v>
      </c>
      <c r="B42" s="1329"/>
      <c r="C42" s="1329"/>
      <c r="D42" s="1329"/>
      <c r="E42" s="1329"/>
      <c r="F42" s="1329"/>
      <c r="G42" s="1329"/>
      <c r="H42" s="1329"/>
    </row>
    <row r="43" spans="1:8" x14ac:dyDescent="0.2">
      <c r="A43" s="1330" t="s">
        <v>913</v>
      </c>
      <c r="B43" s="1329"/>
      <c r="C43" s="1329"/>
      <c r="D43" s="1329"/>
      <c r="E43" s="1329"/>
      <c r="F43" s="1329"/>
      <c r="G43" s="1329"/>
      <c r="H43" s="1329"/>
    </row>
    <row r="44" spans="1:8" x14ac:dyDescent="0.2">
      <c r="A44" s="1330" t="s">
        <v>914</v>
      </c>
      <c r="B44" s="1329"/>
      <c r="C44" s="1329"/>
      <c r="D44" s="1329"/>
      <c r="E44" s="1329"/>
      <c r="F44" s="1329"/>
      <c r="G44" s="1329"/>
      <c r="H44" s="1329"/>
    </row>
    <row r="45" spans="1:8" x14ac:dyDescent="0.2">
      <c r="A45" s="1330" t="s">
        <v>915</v>
      </c>
      <c r="B45" s="1329"/>
      <c r="C45" s="1329"/>
      <c r="D45" s="1329"/>
      <c r="E45" s="1329"/>
      <c r="F45" s="1329"/>
      <c r="G45" s="1329"/>
      <c r="H45" s="1329"/>
    </row>
    <row r="46" spans="1:8" x14ac:dyDescent="0.2">
      <c r="A46" s="1329"/>
      <c r="B46" s="1329"/>
      <c r="C46" s="1329"/>
      <c r="D46" s="1329"/>
      <c r="E46" s="1329"/>
      <c r="F46" s="1329"/>
      <c r="G46" s="1329"/>
      <c r="H46" s="1329"/>
    </row>
    <row r="47" spans="1:8" ht="15.75" x14ac:dyDescent="0.2">
      <c r="A47" s="1331" t="s">
        <v>646</v>
      </c>
      <c r="B47" s="1329"/>
      <c r="C47" s="1329"/>
      <c r="D47" s="1329"/>
      <c r="E47" s="1329"/>
      <c r="F47" s="1329"/>
      <c r="G47" s="1329"/>
      <c r="H47" s="1329"/>
    </row>
    <row r="48" spans="1:8" x14ac:dyDescent="0.2">
      <c r="A48" s="1329"/>
      <c r="B48" s="1329"/>
      <c r="C48" s="1329"/>
      <c r="D48" s="1329"/>
      <c r="E48" s="1329"/>
      <c r="F48" s="1329"/>
      <c r="G48" s="1329"/>
      <c r="H48" s="1329"/>
    </row>
    <row r="49" spans="1:8" x14ac:dyDescent="0.2">
      <c r="A49" s="1330" t="s">
        <v>906</v>
      </c>
      <c r="B49" s="1329"/>
      <c r="C49" s="1329"/>
      <c r="D49" s="1329"/>
      <c r="E49" s="1329"/>
      <c r="F49" s="1329"/>
      <c r="G49" s="1329"/>
      <c r="H49" s="1329"/>
    </row>
    <row r="50" spans="1:8" x14ac:dyDescent="0.2">
      <c r="A50" s="1330" t="s">
        <v>907</v>
      </c>
      <c r="B50" s="1329"/>
      <c r="C50" s="1329"/>
      <c r="D50" s="1329"/>
      <c r="E50" s="1329"/>
      <c r="F50" s="1329"/>
      <c r="G50" s="1329"/>
      <c r="H50" s="1329"/>
    </row>
    <row r="51" spans="1:8" x14ac:dyDescent="0.2">
      <c r="A51" s="1330" t="s">
        <v>908</v>
      </c>
      <c r="B51" s="1329"/>
      <c r="C51" s="1329"/>
      <c r="D51" s="1329"/>
      <c r="E51" s="1329"/>
      <c r="F51" s="1329"/>
      <c r="G51" s="1329"/>
      <c r="H51" s="1329"/>
    </row>
    <row r="52" spans="1:8" x14ac:dyDescent="0.2">
      <c r="A52" s="1330" t="s">
        <v>909</v>
      </c>
      <c r="B52" s="1329"/>
      <c r="C52" s="1329"/>
      <c r="D52" s="1329"/>
      <c r="E52" s="1329"/>
      <c r="F52" s="1329"/>
      <c r="G52" s="1329"/>
      <c r="H52" s="1329"/>
    </row>
    <row r="53" spans="1:8" x14ac:dyDescent="0.2">
      <c r="A53" s="1329"/>
      <c r="B53" s="1329"/>
      <c r="C53" s="1329"/>
      <c r="D53" s="1329"/>
      <c r="E53" s="1329"/>
      <c r="F53" s="1329"/>
      <c r="G53" s="1329"/>
      <c r="H53" s="1329"/>
    </row>
    <row r="54" spans="1:8" x14ac:dyDescent="0.2">
      <c r="A54" s="1330" t="s">
        <v>647</v>
      </c>
      <c r="B54" s="1329"/>
      <c r="C54" s="1329"/>
      <c r="D54" s="1329"/>
      <c r="E54" s="1329"/>
      <c r="F54" s="1329"/>
      <c r="G54" s="1329"/>
      <c r="H54" s="1329"/>
    </row>
    <row r="55" spans="1:8" x14ac:dyDescent="0.2">
      <c r="A55" s="1329"/>
      <c r="B55" s="1329"/>
      <c r="C55" s="1329"/>
      <c r="D55" s="1329"/>
      <c r="E55" s="1329"/>
      <c r="F55" s="1329"/>
      <c r="G55" s="1329"/>
      <c r="H55" s="1329"/>
    </row>
    <row r="56" spans="1:8" ht="15.75" x14ac:dyDescent="0.2">
      <c r="A56" s="1331" t="s">
        <v>648</v>
      </c>
      <c r="B56" s="1329"/>
      <c r="C56" s="1329"/>
      <c r="D56" s="1329"/>
      <c r="E56" s="1329"/>
      <c r="F56" s="1329"/>
      <c r="G56" s="1329"/>
      <c r="H56" s="1329"/>
    </row>
    <row r="57" spans="1:8" x14ac:dyDescent="0.2">
      <c r="A57" s="1329"/>
      <c r="B57" s="1329"/>
      <c r="C57" s="1329"/>
      <c r="D57" s="1329"/>
      <c r="E57" s="1329"/>
      <c r="F57" s="1329"/>
      <c r="G57" s="1329"/>
      <c r="H57" s="1329"/>
    </row>
    <row r="58" spans="1:8" x14ac:dyDescent="0.2">
      <c r="A58" s="1330" t="s">
        <v>904</v>
      </c>
      <c r="B58" s="1329"/>
      <c r="C58" s="1329"/>
      <c r="D58" s="1329"/>
      <c r="E58" s="1329"/>
      <c r="F58" s="1329"/>
      <c r="G58" s="1329"/>
      <c r="H58" s="1329"/>
    </row>
    <row r="59" spans="1:8" x14ac:dyDescent="0.2">
      <c r="A59" s="1330" t="s">
        <v>905</v>
      </c>
      <c r="B59" s="1329"/>
      <c r="C59" s="1329"/>
      <c r="D59" s="1329"/>
      <c r="E59" s="1329"/>
      <c r="F59" s="1329"/>
      <c r="G59" s="1329"/>
      <c r="H59" s="1329"/>
    </row>
    <row r="60" spans="1:8" x14ac:dyDescent="0.2">
      <c r="A60" s="1329"/>
      <c r="B60" s="1329"/>
      <c r="C60" s="1329"/>
      <c r="D60" s="1329"/>
      <c r="E60" s="1329"/>
      <c r="F60" s="1329"/>
      <c r="G60" s="1329"/>
      <c r="H60" s="1329"/>
    </row>
    <row r="61" spans="1:8" ht="15.75" x14ac:dyDescent="0.2">
      <c r="A61" s="1331" t="s">
        <v>649</v>
      </c>
      <c r="B61" s="1329"/>
      <c r="C61" s="1329"/>
      <c r="D61" s="1329"/>
      <c r="E61" s="1329"/>
      <c r="F61" s="1329"/>
      <c r="G61" s="1329"/>
      <c r="H61" s="1329"/>
    </row>
    <row r="62" spans="1:8" x14ac:dyDescent="0.2">
      <c r="A62" s="1329"/>
      <c r="B62" s="1329"/>
      <c r="C62" s="1329"/>
      <c r="D62" s="1329"/>
      <c r="E62" s="1329"/>
      <c r="F62" s="1329"/>
      <c r="G62" s="1329"/>
      <c r="H62" s="1329"/>
    </row>
    <row r="63" spans="1:8" x14ac:dyDescent="0.2">
      <c r="A63" s="1330" t="s">
        <v>902</v>
      </c>
      <c r="B63" s="1329"/>
      <c r="C63" s="1329"/>
      <c r="D63" s="1329"/>
      <c r="E63" s="1329"/>
      <c r="F63" s="1329"/>
      <c r="G63" s="1329"/>
      <c r="H63" s="1329"/>
    </row>
    <row r="64" spans="1:8" x14ac:dyDescent="0.2">
      <c r="A64" s="1330" t="s">
        <v>903</v>
      </c>
      <c r="B64" s="1329"/>
      <c r="C64" s="1329"/>
      <c r="D64" s="1329"/>
      <c r="E64" s="1329"/>
      <c r="F64" s="1329"/>
      <c r="G64" s="1329"/>
      <c r="H64" s="1329"/>
    </row>
    <row r="65" spans="1:8" x14ac:dyDescent="0.2">
      <c r="A65" s="1329"/>
      <c r="B65" s="1329"/>
      <c r="C65" s="1329"/>
      <c r="D65" s="1329"/>
      <c r="E65" s="1329"/>
      <c r="F65" s="1329"/>
      <c r="G65" s="1329"/>
      <c r="H65" s="1329"/>
    </row>
    <row r="66" spans="1:8" x14ac:dyDescent="0.2">
      <c r="A66" s="1330" t="s">
        <v>900</v>
      </c>
      <c r="B66" s="1329"/>
      <c r="C66" s="1329"/>
      <c r="D66" s="1329"/>
      <c r="E66" s="1329"/>
      <c r="F66" s="1329"/>
      <c r="G66" s="1329"/>
      <c r="H66" s="1329"/>
    </row>
    <row r="67" spans="1:8" x14ac:dyDescent="0.2">
      <c r="A67" s="1330" t="s">
        <v>901</v>
      </c>
      <c r="B67" s="1329"/>
      <c r="C67" s="1329"/>
      <c r="D67" s="1329"/>
      <c r="E67" s="1329"/>
      <c r="F67" s="1329"/>
      <c r="G67" s="1329"/>
      <c r="H67" s="1329"/>
    </row>
    <row r="68" spans="1:8" x14ac:dyDescent="0.2">
      <c r="A68" s="1329"/>
      <c r="B68" s="1329"/>
      <c r="C68" s="1329"/>
      <c r="D68" s="1329"/>
      <c r="E68" s="1329"/>
      <c r="F68" s="1329"/>
      <c r="G68" s="1329"/>
      <c r="H68" s="1329"/>
    </row>
    <row r="69" spans="1:8" x14ac:dyDescent="0.2">
      <c r="A69" s="1330" t="s">
        <v>898</v>
      </c>
      <c r="B69" s="1329"/>
      <c r="C69" s="1329"/>
      <c r="D69" s="1329"/>
      <c r="E69" s="1329"/>
      <c r="F69" s="1329"/>
      <c r="G69" s="1329"/>
      <c r="H69" s="1329"/>
    </row>
    <row r="70" spans="1:8" x14ac:dyDescent="0.2">
      <c r="A70" s="1330" t="s">
        <v>899</v>
      </c>
      <c r="B70" s="1329"/>
      <c r="C70" s="1329"/>
      <c r="D70" s="1329"/>
      <c r="E70" s="1329"/>
      <c r="F70" s="1329"/>
      <c r="G70" s="1329"/>
      <c r="H70" s="1329"/>
    </row>
    <row r="71" spans="1:8" x14ac:dyDescent="0.2">
      <c r="A71" s="1329"/>
      <c r="B71" s="1329"/>
      <c r="C71" s="1329"/>
      <c r="D71" s="1329"/>
      <c r="E71" s="1329"/>
      <c r="F71" s="1329"/>
      <c r="G71" s="1329"/>
      <c r="H71" s="1329"/>
    </row>
    <row r="72" spans="1:8" x14ac:dyDescent="0.2">
      <c r="A72" s="1330" t="s">
        <v>896</v>
      </c>
      <c r="B72" s="1329"/>
      <c r="C72" s="1329"/>
      <c r="D72" s="1329"/>
      <c r="E72" s="1329"/>
      <c r="F72" s="1329"/>
      <c r="G72" s="1329"/>
      <c r="H72" s="1329"/>
    </row>
    <row r="73" spans="1:8" x14ac:dyDescent="0.2">
      <c r="A73" s="1330" t="s">
        <v>897</v>
      </c>
      <c r="B73" s="1329"/>
      <c r="C73" s="1329"/>
      <c r="D73" s="1329"/>
      <c r="E73" s="1329"/>
      <c r="F73" s="1329"/>
      <c r="G73" s="1329"/>
      <c r="H73" s="1329"/>
    </row>
    <row r="74" spans="1:8" x14ac:dyDescent="0.2">
      <c r="A74" s="1329"/>
      <c r="B74" s="1329"/>
      <c r="C74" s="1329"/>
      <c r="D74" s="1329"/>
      <c r="E74" s="1329"/>
      <c r="F74" s="1329"/>
      <c r="G74" s="1329"/>
      <c r="H74" s="1329"/>
    </row>
    <row r="75" spans="1:8" x14ac:dyDescent="0.2">
      <c r="A75" s="1330" t="s">
        <v>893</v>
      </c>
      <c r="B75" s="1329"/>
      <c r="C75" s="1329"/>
      <c r="D75" s="1329"/>
      <c r="E75" s="1329"/>
      <c r="F75" s="1329"/>
      <c r="G75" s="1329"/>
      <c r="H75" s="1329"/>
    </row>
    <row r="76" spans="1:8" x14ac:dyDescent="0.2">
      <c r="A76" s="1330" t="s">
        <v>894</v>
      </c>
      <c r="B76" s="1329"/>
      <c r="C76" s="1329"/>
      <c r="D76" s="1329"/>
      <c r="E76" s="1329"/>
      <c r="F76" s="1329"/>
      <c r="G76" s="1329"/>
      <c r="H76" s="1329"/>
    </row>
    <row r="77" spans="1:8" x14ac:dyDescent="0.2">
      <c r="A77" s="1330" t="s">
        <v>895</v>
      </c>
      <c r="B77" s="1329"/>
      <c r="C77" s="1329"/>
      <c r="D77" s="1329"/>
      <c r="E77" s="1329"/>
      <c r="F77" s="1329"/>
      <c r="G77" s="1329"/>
      <c r="H77" s="1329"/>
    </row>
    <row r="78" spans="1:8" x14ac:dyDescent="0.2">
      <c r="A78" s="1329"/>
      <c r="B78" s="1329"/>
      <c r="C78" s="1329"/>
      <c r="D78" s="1329"/>
      <c r="E78" s="1329"/>
      <c r="F78" s="1329"/>
      <c r="G78" s="1329"/>
      <c r="H78" s="1329"/>
    </row>
    <row r="79" spans="1:8" x14ac:dyDescent="0.2">
      <c r="A79" s="1330" t="s">
        <v>650</v>
      </c>
      <c r="B79" s="1329"/>
      <c r="C79" s="1329"/>
      <c r="D79" s="1329"/>
      <c r="E79" s="1329"/>
      <c r="F79" s="1329"/>
      <c r="G79" s="1329"/>
      <c r="H79" s="1329"/>
    </row>
    <row r="80" spans="1:8" x14ac:dyDescent="0.2">
      <c r="A80" s="1329"/>
      <c r="B80" s="1329"/>
      <c r="C80" s="1329"/>
      <c r="D80" s="1329"/>
      <c r="E80" s="1329"/>
      <c r="F80" s="1329"/>
      <c r="G80" s="1329"/>
      <c r="H80" s="1329"/>
    </row>
    <row r="81" spans="1:8" x14ac:dyDescent="0.2">
      <c r="A81" s="1330" t="s">
        <v>888</v>
      </c>
      <c r="B81" s="1329"/>
      <c r="C81" s="1329"/>
      <c r="D81" s="1329"/>
      <c r="E81" s="1329"/>
      <c r="F81" s="1329"/>
      <c r="G81" s="1329"/>
      <c r="H81" s="1329"/>
    </row>
    <row r="82" spans="1:8" x14ac:dyDescent="0.2">
      <c r="A82" s="1330" t="s">
        <v>889</v>
      </c>
      <c r="B82" s="1329"/>
      <c r="C82" s="1329"/>
      <c r="D82" s="1329"/>
      <c r="E82" s="1329"/>
      <c r="F82" s="1329"/>
      <c r="G82" s="1329"/>
      <c r="H82" s="1329"/>
    </row>
    <row r="83" spans="1:8" x14ac:dyDescent="0.2">
      <c r="A83" s="1330" t="s">
        <v>890</v>
      </c>
      <c r="B83" s="1329"/>
      <c r="C83" s="1329"/>
      <c r="D83" s="1329"/>
      <c r="E83" s="1329"/>
      <c r="F83" s="1329"/>
      <c r="G83" s="1329"/>
      <c r="H83" s="1329"/>
    </row>
    <row r="84" spans="1:8" x14ac:dyDescent="0.2">
      <c r="A84" s="1330" t="s">
        <v>891</v>
      </c>
      <c r="B84" s="1329"/>
      <c r="C84" s="1329"/>
      <c r="D84" s="1329"/>
      <c r="E84" s="1329"/>
      <c r="F84" s="1329"/>
      <c r="G84" s="1329"/>
      <c r="H84" s="1329"/>
    </row>
    <row r="85" spans="1:8" x14ac:dyDescent="0.2">
      <c r="A85" s="1330" t="s">
        <v>892</v>
      </c>
      <c r="B85" s="1329"/>
      <c r="C85" s="1329"/>
      <c r="D85" s="1329"/>
      <c r="E85" s="1329"/>
      <c r="F85" s="1329"/>
      <c r="G85" s="1329"/>
      <c r="H85" s="1329"/>
    </row>
    <row r="86" spans="1:8" x14ac:dyDescent="0.2">
      <c r="A86" s="1330" t="s">
        <v>775</v>
      </c>
      <c r="B86" s="1329"/>
      <c r="C86" s="1329"/>
      <c r="D86" s="1329"/>
      <c r="E86" s="1329"/>
      <c r="F86" s="1329"/>
      <c r="G86" s="1329"/>
      <c r="H86" s="1329"/>
    </row>
    <row r="87" spans="1:8" x14ac:dyDescent="0.2">
      <c r="A87" s="1329"/>
      <c r="B87" s="1329"/>
      <c r="C87" s="1329"/>
      <c r="D87" s="1329"/>
      <c r="E87" s="1329"/>
      <c r="F87" s="1329"/>
      <c r="G87" s="1329"/>
      <c r="H87" s="1329"/>
    </row>
    <row r="88" spans="1:8" x14ac:dyDescent="0.2">
      <c r="A88" s="1330" t="s">
        <v>881</v>
      </c>
      <c r="B88" s="1329"/>
      <c r="C88" s="1329"/>
      <c r="D88" s="1329"/>
      <c r="E88" s="1329"/>
      <c r="F88" s="1329"/>
      <c r="G88" s="1329"/>
      <c r="H88" s="1329"/>
    </row>
    <row r="89" spans="1:8" x14ac:dyDescent="0.2">
      <c r="A89" s="1330" t="s">
        <v>882</v>
      </c>
      <c r="B89" s="1329"/>
      <c r="C89" s="1329"/>
      <c r="D89" s="1329"/>
      <c r="E89" s="1329"/>
      <c r="F89" s="1329"/>
      <c r="G89" s="1329"/>
      <c r="H89" s="1329"/>
    </row>
    <row r="90" spans="1:8" x14ac:dyDescent="0.2">
      <c r="A90" s="1330" t="s">
        <v>883</v>
      </c>
      <c r="B90" s="1329"/>
      <c r="C90" s="1329"/>
      <c r="D90" s="1329"/>
      <c r="E90" s="1329"/>
      <c r="F90" s="1329"/>
      <c r="G90" s="1329"/>
      <c r="H90" s="1329"/>
    </row>
    <row r="91" spans="1:8" x14ac:dyDescent="0.2">
      <c r="A91" s="1330" t="s">
        <v>884</v>
      </c>
      <c r="B91" s="1329"/>
      <c r="C91" s="1329"/>
      <c r="D91" s="1329"/>
      <c r="E91" s="1329"/>
      <c r="F91" s="1329"/>
      <c r="G91" s="1329"/>
      <c r="H91" s="1329"/>
    </row>
    <row r="92" spans="1:8" x14ac:dyDescent="0.2">
      <c r="A92" s="1330" t="s">
        <v>885</v>
      </c>
      <c r="B92" s="1329"/>
      <c r="C92" s="1329"/>
      <c r="D92" s="1329"/>
      <c r="E92" s="1329"/>
      <c r="F92" s="1329"/>
      <c r="G92" s="1329"/>
      <c r="H92" s="1329"/>
    </row>
    <row r="93" spans="1:8" x14ac:dyDescent="0.2">
      <c r="A93" s="1330" t="s">
        <v>886</v>
      </c>
      <c r="B93" s="1329"/>
      <c r="C93" s="1329"/>
      <c r="D93" s="1329"/>
      <c r="E93" s="1329"/>
      <c r="F93" s="1329"/>
      <c r="G93" s="1329"/>
      <c r="H93" s="1329"/>
    </row>
    <row r="94" spans="1:8" x14ac:dyDescent="0.2">
      <c r="A94" s="1330" t="s">
        <v>887</v>
      </c>
      <c r="B94" s="1329"/>
      <c r="C94" s="1329"/>
      <c r="D94" s="1329"/>
      <c r="E94" s="1329"/>
      <c r="F94" s="1329"/>
      <c r="G94" s="1329"/>
      <c r="H94" s="1329"/>
    </row>
    <row r="95" spans="1:8" x14ac:dyDescent="0.2">
      <c r="A95" s="1329"/>
      <c r="B95" s="1329"/>
      <c r="C95" s="1329"/>
      <c r="D95" s="1329"/>
      <c r="E95" s="1329"/>
      <c r="F95" s="1329"/>
      <c r="G95" s="1329"/>
      <c r="H95" s="1329"/>
    </row>
    <row r="96" spans="1:8" x14ac:dyDescent="0.2">
      <c r="A96" s="1330" t="s">
        <v>879</v>
      </c>
      <c r="B96" s="1329"/>
      <c r="C96" s="1329"/>
      <c r="D96" s="1329"/>
      <c r="E96" s="1329"/>
      <c r="F96" s="1329"/>
      <c r="G96" s="1329"/>
      <c r="H96" s="1329"/>
    </row>
    <row r="97" spans="1:8" x14ac:dyDescent="0.2">
      <c r="A97" s="1330" t="s">
        <v>880</v>
      </c>
      <c r="B97" s="1329"/>
      <c r="C97" s="1329"/>
      <c r="D97" s="1329"/>
      <c r="E97" s="1329"/>
      <c r="F97" s="1329"/>
      <c r="G97" s="1329"/>
      <c r="H97" s="1329"/>
    </row>
    <row r="98" spans="1:8" x14ac:dyDescent="0.2">
      <c r="A98" s="1329"/>
      <c r="B98" s="1329"/>
      <c r="C98" s="1329"/>
      <c r="D98" s="1329"/>
      <c r="E98" s="1329"/>
      <c r="F98" s="1329"/>
      <c r="G98" s="1329"/>
      <c r="H98" s="1329"/>
    </row>
    <row r="99" spans="1:8" ht="15.75" x14ac:dyDescent="0.2">
      <c r="A99" s="1331" t="s">
        <v>651</v>
      </c>
      <c r="B99" s="1329"/>
      <c r="C99" s="1329"/>
      <c r="D99" s="1329"/>
      <c r="E99" s="1329"/>
      <c r="F99" s="1329"/>
      <c r="G99" s="1329"/>
      <c r="H99" s="1329"/>
    </row>
    <row r="100" spans="1:8" x14ac:dyDescent="0.2">
      <c r="A100" s="1329"/>
      <c r="B100" s="1329"/>
      <c r="C100" s="1329"/>
      <c r="D100" s="1329"/>
      <c r="E100" s="1329"/>
      <c r="F100" s="1329"/>
      <c r="G100" s="1329"/>
      <c r="H100" s="1329"/>
    </row>
    <row r="101" spans="1:8" x14ac:dyDescent="0.2">
      <c r="A101" s="1330" t="s">
        <v>870</v>
      </c>
      <c r="B101" s="1329"/>
      <c r="C101" s="1329"/>
      <c r="D101" s="1329"/>
      <c r="E101" s="1329"/>
      <c r="F101" s="1329"/>
      <c r="G101" s="1329"/>
      <c r="H101" s="1329"/>
    </row>
    <row r="102" spans="1:8" x14ac:dyDescent="0.2">
      <c r="A102" s="1330" t="s">
        <v>871</v>
      </c>
      <c r="B102" s="1329"/>
      <c r="C102" s="1329"/>
      <c r="D102" s="1329"/>
      <c r="E102" s="1329"/>
      <c r="F102" s="1329"/>
      <c r="G102" s="1329"/>
      <c r="H102" s="1329"/>
    </row>
    <row r="103" spans="1:8" x14ac:dyDescent="0.2">
      <c r="A103" s="1330" t="s">
        <v>872</v>
      </c>
      <c r="B103" s="1329"/>
      <c r="C103" s="1329"/>
      <c r="D103" s="1329"/>
      <c r="E103" s="1329"/>
      <c r="F103" s="1329"/>
      <c r="G103" s="1329"/>
      <c r="H103" s="1329"/>
    </row>
    <row r="104" spans="1:8" x14ac:dyDescent="0.2">
      <c r="A104" s="1330" t="s">
        <v>873</v>
      </c>
      <c r="B104" s="1329"/>
      <c r="C104" s="1329"/>
      <c r="D104" s="1329"/>
      <c r="E104" s="1329"/>
      <c r="F104" s="1329"/>
      <c r="G104" s="1329"/>
      <c r="H104" s="1329"/>
    </row>
    <row r="105" spans="1:8" x14ac:dyDescent="0.2">
      <c r="A105" s="1330" t="s">
        <v>874</v>
      </c>
      <c r="B105" s="1329"/>
      <c r="C105" s="1329"/>
      <c r="D105" s="1329"/>
      <c r="E105" s="1329"/>
      <c r="F105" s="1329"/>
      <c r="G105" s="1329"/>
      <c r="H105" s="1329"/>
    </row>
    <row r="106" spans="1:8" x14ac:dyDescent="0.2">
      <c r="A106" s="1330" t="s">
        <v>875</v>
      </c>
      <c r="B106" s="1329"/>
      <c r="C106" s="1329"/>
      <c r="D106" s="1329"/>
      <c r="E106" s="1329"/>
      <c r="F106" s="1329"/>
      <c r="G106" s="1329"/>
      <c r="H106" s="1329"/>
    </row>
    <row r="107" spans="1:8" x14ac:dyDescent="0.2">
      <c r="A107" s="1330" t="s">
        <v>876</v>
      </c>
      <c r="B107" s="1329"/>
      <c r="C107" s="1329"/>
      <c r="D107" s="1329"/>
      <c r="E107" s="1329"/>
      <c r="F107" s="1329"/>
      <c r="G107" s="1329"/>
      <c r="H107" s="1329"/>
    </row>
    <row r="108" spans="1:8" x14ac:dyDescent="0.2">
      <c r="A108" s="1330" t="s">
        <v>877</v>
      </c>
      <c r="B108" s="1329"/>
      <c r="C108" s="1329"/>
      <c r="D108" s="1329"/>
      <c r="E108" s="1329"/>
      <c r="F108" s="1329"/>
      <c r="G108" s="1329"/>
      <c r="H108" s="1329"/>
    </row>
    <row r="109" spans="1:8" x14ac:dyDescent="0.2">
      <c r="A109" s="1330" t="s">
        <v>878</v>
      </c>
      <c r="B109" s="1329"/>
      <c r="C109" s="1329"/>
      <c r="D109" s="1329"/>
      <c r="E109" s="1329"/>
      <c r="F109" s="1329"/>
      <c r="G109" s="1329"/>
      <c r="H109" s="1329"/>
    </row>
    <row r="110" spans="1:8" x14ac:dyDescent="0.2">
      <c r="A110" s="1329"/>
      <c r="B110" s="1329"/>
      <c r="C110" s="1329"/>
      <c r="D110" s="1329"/>
      <c r="E110" s="1329"/>
      <c r="F110" s="1329"/>
      <c r="G110" s="1329"/>
      <c r="H110" s="1329"/>
    </row>
    <row r="111" spans="1:8" ht="15.75" x14ac:dyDescent="0.2">
      <c r="A111" s="1345" t="s">
        <v>652</v>
      </c>
      <c r="B111" s="1345"/>
      <c r="C111" s="1345"/>
      <c r="D111" s="1345"/>
      <c r="E111" s="1345"/>
      <c r="F111" s="1345"/>
      <c r="G111" s="1345"/>
      <c r="H111" s="1345"/>
    </row>
    <row r="112" spans="1:8" x14ac:dyDescent="0.2">
      <c r="A112" s="1341" t="s">
        <v>653</v>
      </c>
      <c r="B112" s="1341"/>
      <c r="C112" s="1341"/>
      <c r="D112" s="1341"/>
      <c r="E112" s="1341"/>
      <c r="F112" s="1341"/>
      <c r="G112" s="1341"/>
      <c r="H112" s="1341"/>
    </row>
    <row r="113" spans="1:8" x14ac:dyDescent="0.2">
      <c r="A113" s="1346"/>
      <c r="B113" s="1346"/>
      <c r="C113" s="1346"/>
      <c r="D113" s="1346"/>
      <c r="E113" s="1346"/>
      <c r="F113" s="1346"/>
      <c r="G113" s="1346"/>
      <c r="H113" s="1346"/>
    </row>
    <row r="114" spans="1:8" x14ac:dyDescent="0.2">
      <c r="A114" s="1341" t="s">
        <v>868</v>
      </c>
      <c r="B114" s="1341"/>
      <c r="C114" s="1341"/>
      <c r="D114" s="1341"/>
      <c r="E114" s="1341"/>
      <c r="F114" s="1341"/>
      <c r="G114" s="1341"/>
      <c r="H114" s="1341"/>
    </row>
    <row r="115" spans="1:8" x14ac:dyDescent="0.2">
      <c r="A115" s="1330" t="s">
        <v>869</v>
      </c>
      <c r="B115" s="1330"/>
      <c r="C115" s="1330"/>
      <c r="D115" s="1330"/>
      <c r="E115" s="1330"/>
      <c r="F115" s="1330"/>
      <c r="G115" s="1330"/>
      <c r="H115" s="1330"/>
    </row>
    <row r="116" spans="1:8" x14ac:dyDescent="0.2">
      <c r="A116" s="1346"/>
      <c r="B116" s="1346"/>
      <c r="C116" s="1346"/>
      <c r="D116" s="1346"/>
      <c r="E116" s="1346"/>
      <c r="F116" s="1346"/>
      <c r="G116" s="1346"/>
      <c r="H116" s="1346"/>
    </row>
    <row r="117" spans="1:8" x14ac:dyDescent="0.2">
      <c r="A117" s="1341" t="s">
        <v>861</v>
      </c>
      <c r="B117" s="1341"/>
      <c r="C117" s="1341"/>
      <c r="D117" s="1341"/>
      <c r="E117" s="1341"/>
      <c r="F117" s="1341"/>
      <c r="G117" s="1341"/>
      <c r="H117" s="1341"/>
    </row>
    <row r="118" spans="1:8" x14ac:dyDescent="0.2">
      <c r="A118" s="1330" t="s">
        <v>862</v>
      </c>
      <c r="B118" s="1330"/>
      <c r="C118" s="1330"/>
      <c r="D118" s="1330"/>
      <c r="E118" s="1330"/>
      <c r="F118" s="1330"/>
      <c r="G118" s="1330"/>
      <c r="H118" s="1330"/>
    </row>
    <row r="119" spans="1:8" x14ac:dyDescent="0.2">
      <c r="A119" s="1330" t="s">
        <v>863</v>
      </c>
      <c r="B119" s="1330"/>
      <c r="C119" s="1330"/>
      <c r="D119" s="1330"/>
      <c r="E119" s="1330"/>
      <c r="F119" s="1330"/>
      <c r="G119" s="1330"/>
      <c r="H119" s="1330"/>
    </row>
    <row r="120" spans="1:8" x14ac:dyDescent="0.2">
      <c r="A120" s="1330" t="s">
        <v>864</v>
      </c>
      <c r="B120" s="1330"/>
      <c r="C120" s="1330"/>
      <c r="D120" s="1330"/>
      <c r="E120" s="1330"/>
      <c r="F120" s="1330"/>
      <c r="G120" s="1330"/>
      <c r="H120" s="1330"/>
    </row>
    <row r="121" spans="1:8" x14ac:dyDescent="0.2">
      <c r="A121" s="1330" t="s">
        <v>865</v>
      </c>
      <c r="B121" s="1330"/>
      <c r="C121" s="1330"/>
      <c r="D121" s="1330"/>
      <c r="E121" s="1330"/>
      <c r="F121" s="1330"/>
      <c r="G121" s="1330"/>
      <c r="H121" s="1330"/>
    </row>
    <row r="122" spans="1:8" x14ac:dyDescent="0.2">
      <c r="A122" s="1330" t="s">
        <v>866</v>
      </c>
      <c r="B122" s="1330"/>
      <c r="C122" s="1330"/>
      <c r="D122" s="1330"/>
      <c r="E122" s="1330"/>
      <c r="F122" s="1330"/>
      <c r="G122" s="1330"/>
      <c r="H122" s="1330"/>
    </row>
    <row r="123" spans="1:8" x14ac:dyDescent="0.2">
      <c r="A123" s="1330" t="s">
        <v>867</v>
      </c>
      <c r="B123" s="1330"/>
      <c r="C123" s="1330"/>
      <c r="D123" s="1330"/>
      <c r="E123" s="1330"/>
      <c r="F123" s="1330"/>
      <c r="G123" s="1330"/>
      <c r="H123" s="1330"/>
    </row>
    <row r="124" spans="1:8" x14ac:dyDescent="0.2">
      <c r="A124" s="1347"/>
      <c r="B124" s="1347"/>
      <c r="C124" s="1347"/>
      <c r="D124" s="1347"/>
      <c r="E124" s="1347"/>
      <c r="F124" s="1347"/>
      <c r="G124" s="1347"/>
      <c r="H124" s="1347"/>
    </row>
    <row r="125" spans="1:8" x14ac:dyDescent="0.2">
      <c r="A125" s="1332"/>
      <c r="B125" s="1342" t="s">
        <v>654</v>
      </c>
      <c r="C125" s="1343"/>
      <c r="D125" s="1342" t="s">
        <v>655</v>
      </c>
      <c r="E125" s="1344"/>
      <c r="F125" s="1343"/>
      <c r="G125" s="1342" t="s">
        <v>656</v>
      </c>
      <c r="H125" s="1343"/>
    </row>
    <row r="126" spans="1:8" x14ac:dyDescent="0.2">
      <c r="A126" s="1332" t="s">
        <v>657</v>
      </c>
      <c r="B126" s="1332" t="s">
        <v>450</v>
      </c>
      <c r="C126" s="1332" t="s">
        <v>658</v>
      </c>
      <c r="D126" s="1332" t="s">
        <v>450</v>
      </c>
      <c r="E126" s="1332" t="s">
        <v>659</v>
      </c>
      <c r="F126" s="1332" t="s">
        <v>660</v>
      </c>
      <c r="G126" s="1332" t="s">
        <v>450</v>
      </c>
      <c r="H126" s="1332" t="s">
        <v>661</v>
      </c>
    </row>
    <row r="127" spans="1:8" x14ac:dyDescent="0.2">
      <c r="A127" s="1332" t="s">
        <v>662</v>
      </c>
      <c r="B127" s="1332">
        <v>1189</v>
      </c>
      <c r="C127" s="1333">
        <v>0.38</v>
      </c>
      <c r="D127" s="1332">
        <v>315</v>
      </c>
      <c r="E127" s="1333">
        <v>0.41</v>
      </c>
      <c r="F127" s="1333">
        <v>0.26</v>
      </c>
      <c r="G127" s="1332">
        <v>555</v>
      </c>
      <c r="H127" s="1333">
        <v>0.39</v>
      </c>
    </row>
    <row r="128" spans="1:8" x14ac:dyDescent="0.2">
      <c r="A128" s="1332" t="s">
        <v>663</v>
      </c>
      <c r="B128" s="1332">
        <v>1355</v>
      </c>
      <c r="C128" s="1333">
        <v>0.43</v>
      </c>
      <c r="D128" s="1332">
        <v>364</v>
      </c>
      <c r="E128" s="1333">
        <v>0.47</v>
      </c>
      <c r="F128" s="1333">
        <v>0.27</v>
      </c>
      <c r="G128" s="1332">
        <v>644</v>
      </c>
      <c r="H128" s="1333">
        <v>0.45</v>
      </c>
    </row>
    <row r="129" spans="1:8" x14ac:dyDescent="0.2">
      <c r="A129" s="1332" t="s">
        <v>664</v>
      </c>
      <c r="B129" s="1332">
        <v>53</v>
      </c>
      <c r="C129" s="1333">
        <v>0.02</v>
      </c>
      <c r="D129" s="1332">
        <v>4</v>
      </c>
      <c r="E129" s="1333">
        <v>0.01</v>
      </c>
      <c r="F129" s="1333">
        <v>0.08</v>
      </c>
      <c r="G129" s="1332">
        <v>7</v>
      </c>
      <c r="H129" s="1333">
        <v>0</v>
      </c>
    </row>
    <row r="130" spans="1:8" x14ac:dyDescent="0.2">
      <c r="A130" s="1332" t="s">
        <v>665</v>
      </c>
      <c r="B130" s="1332">
        <v>545</v>
      </c>
      <c r="C130" s="1333">
        <v>0.17</v>
      </c>
      <c r="D130" s="1332">
        <v>84</v>
      </c>
      <c r="E130" s="1333">
        <v>0.11</v>
      </c>
      <c r="F130" s="1333">
        <v>0.15</v>
      </c>
      <c r="G130" s="1332">
        <v>214</v>
      </c>
      <c r="H130" s="1333">
        <v>0.15</v>
      </c>
    </row>
    <row r="131" spans="1:8" x14ac:dyDescent="0.2">
      <c r="A131" s="1332" t="s">
        <v>99</v>
      </c>
      <c r="B131" s="1334">
        <v>3142</v>
      </c>
      <c r="C131" s="1332"/>
      <c r="D131" s="1332">
        <v>767</v>
      </c>
      <c r="E131" s="1332"/>
      <c r="F131" s="1332"/>
      <c r="G131" s="1332">
        <v>1420</v>
      </c>
      <c r="H131" s="1332"/>
    </row>
    <row r="132" spans="1:8" x14ac:dyDescent="0.2">
      <c r="A132" s="1340"/>
      <c r="B132" s="1340"/>
      <c r="C132" s="1340"/>
      <c r="D132" s="1340"/>
      <c r="E132" s="1340"/>
      <c r="F132" s="1340"/>
      <c r="G132" s="1340"/>
      <c r="H132" s="1340"/>
    </row>
    <row r="133" spans="1:8" x14ac:dyDescent="0.2">
      <c r="A133" s="1341" t="s">
        <v>857</v>
      </c>
      <c r="B133" s="1341"/>
      <c r="C133" s="1341"/>
      <c r="D133" s="1341"/>
      <c r="E133" s="1341"/>
      <c r="F133" s="1341"/>
      <c r="G133" s="1341"/>
      <c r="H133" s="1341"/>
    </row>
    <row r="134" spans="1:8" x14ac:dyDescent="0.2">
      <c r="A134" s="1330" t="s">
        <v>858</v>
      </c>
      <c r="B134" s="1330"/>
      <c r="C134" s="1330"/>
      <c r="D134" s="1330"/>
      <c r="E134" s="1330"/>
      <c r="F134" s="1330"/>
      <c r="G134" s="1330"/>
      <c r="H134" s="1330"/>
    </row>
    <row r="135" spans="1:8" x14ac:dyDescent="0.2">
      <c r="A135" s="1330" t="s">
        <v>859</v>
      </c>
      <c r="B135" s="1330"/>
      <c r="C135" s="1330"/>
      <c r="D135" s="1330"/>
      <c r="E135" s="1330"/>
      <c r="F135" s="1330"/>
      <c r="G135" s="1330"/>
      <c r="H135" s="1330"/>
    </row>
    <row r="136" spans="1:8" x14ac:dyDescent="0.2">
      <c r="A136" s="1330" t="s">
        <v>860</v>
      </c>
      <c r="B136" s="1330"/>
      <c r="C136" s="1330"/>
      <c r="D136" s="1330"/>
      <c r="E136" s="1330"/>
      <c r="F136" s="1330"/>
      <c r="G136" s="1330"/>
      <c r="H136" s="1330"/>
    </row>
    <row r="137" spans="1:8" x14ac:dyDescent="0.2">
      <c r="A137" s="1329"/>
      <c r="B137" s="1329"/>
      <c r="C137" s="1329"/>
      <c r="D137" s="1329"/>
      <c r="E137" s="1329"/>
      <c r="F137" s="1329"/>
      <c r="G137" s="1329"/>
      <c r="H137" s="1329"/>
    </row>
    <row r="138" spans="1:8" ht="15.75" x14ac:dyDescent="0.2">
      <c r="A138" s="1331" t="s">
        <v>666</v>
      </c>
      <c r="B138" s="1329"/>
      <c r="C138" s="1329"/>
      <c r="D138" s="1329"/>
      <c r="E138" s="1329"/>
      <c r="F138" s="1329"/>
      <c r="G138" s="1329"/>
      <c r="H138" s="1329"/>
    </row>
    <row r="139" spans="1:8" x14ac:dyDescent="0.2">
      <c r="A139" s="1329"/>
      <c r="B139" s="1329"/>
      <c r="C139" s="1329"/>
      <c r="D139" s="1329"/>
      <c r="E139" s="1329"/>
      <c r="F139" s="1329"/>
      <c r="G139" s="1329"/>
      <c r="H139" s="1329"/>
    </row>
    <row r="140" spans="1:8" x14ac:dyDescent="0.2">
      <c r="A140" s="1330" t="s">
        <v>855</v>
      </c>
      <c r="B140" s="1329"/>
      <c r="C140" s="1329"/>
      <c r="D140" s="1329"/>
      <c r="E140" s="1329"/>
      <c r="F140" s="1329"/>
      <c r="G140" s="1329"/>
      <c r="H140" s="1329"/>
    </row>
    <row r="141" spans="1:8" x14ac:dyDescent="0.2">
      <c r="A141" s="1330" t="s">
        <v>856</v>
      </c>
      <c r="B141" s="1329"/>
      <c r="C141" s="1329"/>
      <c r="D141" s="1329"/>
      <c r="E141" s="1329"/>
      <c r="F141" s="1329"/>
      <c r="G141" s="1329"/>
      <c r="H141" s="1329"/>
    </row>
    <row r="142" spans="1:8" x14ac:dyDescent="0.2">
      <c r="A142" s="1329"/>
      <c r="B142" s="1329"/>
      <c r="C142" s="1329"/>
      <c r="D142" s="1329"/>
      <c r="E142" s="1329"/>
      <c r="F142" s="1329"/>
      <c r="G142" s="1329"/>
      <c r="H142" s="1329"/>
    </row>
    <row r="143" spans="1:8" x14ac:dyDescent="0.2">
      <c r="A143" s="1330" t="s">
        <v>852</v>
      </c>
      <c r="B143" s="1329"/>
      <c r="C143" s="1329"/>
      <c r="D143" s="1329"/>
      <c r="E143" s="1329"/>
      <c r="F143" s="1329"/>
      <c r="G143" s="1329"/>
      <c r="H143" s="1329"/>
    </row>
    <row r="144" spans="1:8" x14ac:dyDescent="0.2">
      <c r="A144" s="1330" t="s">
        <v>853</v>
      </c>
      <c r="B144" s="1329"/>
      <c r="C144" s="1329"/>
      <c r="D144" s="1329"/>
      <c r="E144" s="1329"/>
      <c r="F144" s="1329"/>
      <c r="G144" s="1329"/>
      <c r="H144" s="1329"/>
    </row>
    <row r="145" spans="1:8" x14ac:dyDescent="0.2">
      <c r="A145" s="1330" t="s">
        <v>854</v>
      </c>
      <c r="B145" s="1329"/>
      <c r="C145" s="1329"/>
      <c r="D145" s="1329"/>
      <c r="E145" s="1329"/>
      <c r="F145" s="1329"/>
      <c r="G145" s="1329"/>
      <c r="H145" s="1329"/>
    </row>
    <row r="146" spans="1:8" x14ac:dyDescent="0.2">
      <c r="A146" s="1329"/>
      <c r="B146" s="1329"/>
      <c r="C146" s="1329"/>
      <c r="D146" s="1329"/>
      <c r="E146" s="1329"/>
      <c r="F146" s="1329"/>
      <c r="G146" s="1329"/>
      <c r="H146" s="1329"/>
    </row>
    <row r="147" spans="1:8" x14ac:dyDescent="0.2">
      <c r="A147" s="1330" t="s">
        <v>849</v>
      </c>
      <c r="B147" s="1329"/>
      <c r="C147" s="1329"/>
      <c r="D147" s="1329"/>
      <c r="E147" s="1329"/>
      <c r="F147" s="1329"/>
      <c r="G147" s="1329"/>
      <c r="H147" s="1329"/>
    </row>
    <row r="148" spans="1:8" x14ac:dyDescent="0.2">
      <c r="A148" s="1330" t="s">
        <v>850</v>
      </c>
      <c r="B148" s="1329"/>
      <c r="C148" s="1329"/>
      <c r="D148" s="1329"/>
      <c r="E148" s="1329"/>
      <c r="F148" s="1329"/>
      <c r="G148" s="1329"/>
      <c r="H148" s="1329"/>
    </row>
    <row r="149" spans="1:8" x14ac:dyDescent="0.2">
      <c r="A149" s="1330" t="s">
        <v>851</v>
      </c>
      <c r="B149" s="1329"/>
      <c r="C149" s="1329"/>
      <c r="D149" s="1329"/>
      <c r="E149" s="1329"/>
      <c r="F149" s="1329"/>
      <c r="G149" s="1329"/>
      <c r="H149" s="1329"/>
    </row>
    <row r="150" spans="1:8" x14ac:dyDescent="0.2">
      <c r="A150" s="1329"/>
      <c r="B150" s="1329"/>
      <c r="C150" s="1329"/>
      <c r="D150" s="1329"/>
      <c r="E150" s="1329"/>
      <c r="F150" s="1329"/>
      <c r="G150" s="1329"/>
      <c r="H150" s="1329"/>
    </row>
    <row r="151" spans="1:8" x14ac:dyDescent="0.2">
      <c r="A151" s="1330" t="s">
        <v>846</v>
      </c>
      <c r="B151" s="1329"/>
      <c r="C151" s="1329"/>
      <c r="D151" s="1329"/>
      <c r="E151" s="1329"/>
      <c r="F151" s="1329"/>
      <c r="G151" s="1329"/>
      <c r="H151" s="1329"/>
    </row>
    <row r="152" spans="1:8" x14ac:dyDescent="0.2">
      <c r="A152" s="1330" t="s">
        <v>847</v>
      </c>
      <c r="B152" s="1329"/>
      <c r="C152" s="1329"/>
      <c r="D152" s="1329"/>
      <c r="E152" s="1329"/>
      <c r="F152" s="1329"/>
      <c r="G152" s="1329"/>
      <c r="H152" s="1329"/>
    </row>
    <row r="153" spans="1:8" x14ac:dyDescent="0.2">
      <c r="A153" s="1330" t="s">
        <v>848</v>
      </c>
      <c r="B153" s="1329"/>
      <c r="C153" s="1329"/>
      <c r="D153" s="1329"/>
      <c r="E153" s="1329"/>
      <c r="F153" s="1329"/>
      <c r="G153" s="1329"/>
      <c r="H153" s="1329"/>
    </row>
    <row r="154" spans="1:8" x14ac:dyDescent="0.2">
      <c r="A154" s="1329"/>
      <c r="B154" s="1329"/>
      <c r="C154" s="1329"/>
      <c r="D154" s="1329"/>
      <c r="E154" s="1329"/>
      <c r="F154" s="1329"/>
      <c r="G154" s="1329"/>
      <c r="H154" s="1329"/>
    </row>
    <row r="155" spans="1:8" x14ac:dyDescent="0.2">
      <c r="A155" s="1330" t="s">
        <v>844</v>
      </c>
      <c r="B155" s="1329"/>
      <c r="C155" s="1329"/>
      <c r="D155" s="1329"/>
      <c r="E155" s="1329"/>
      <c r="F155" s="1329"/>
      <c r="G155" s="1329"/>
      <c r="H155" s="1329"/>
    </row>
    <row r="156" spans="1:8" x14ac:dyDescent="0.2">
      <c r="A156" s="1330" t="s">
        <v>845</v>
      </c>
      <c r="B156" s="1329"/>
      <c r="C156" s="1329"/>
      <c r="D156" s="1329"/>
      <c r="E156" s="1329"/>
      <c r="F156" s="1329"/>
      <c r="G156" s="1329"/>
      <c r="H156" s="1329"/>
    </row>
    <row r="157" spans="1:8" x14ac:dyDescent="0.2">
      <c r="A157" s="1329"/>
      <c r="B157" s="1329"/>
      <c r="C157" s="1329"/>
      <c r="D157" s="1329"/>
      <c r="E157" s="1329"/>
      <c r="F157" s="1329"/>
      <c r="G157" s="1329"/>
      <c r="H157" s="1329"/>
    </row>
    <row r="158" spans="1:8" ht="15.75" x14ac:dyDescent="0.2">
      <c r="A158" s="1331" t="s">
        <v>667</v>
      </c>
      <c r="B158" s="1329"/>
      <c r="C158" s="1329"/>
      <c r="D158" s="1329"/>
      <c r="E158" s="1329"/>
      <c r="F158" s="1329"/>
      <c r="G158" s="1329"/>
      <c r="H158" s="1329"/>
    </row>
    <row r="159" spans="1:8" x14ac:dyDescent="0.2">
      <c r="A159" s="1329"/>
      <c r="B159" s="1329"/>
      <c r="C159" s="1329"/>
      <c r="D159" s="1329"/>
      <c r="E159" s="1329"/>
      <c r="F159" s="1329"/>
      <c r="G159" s="1329"/>
      <c r="H159" s="1329"/>
    </row>
    <row r="160" spans="1:8" x14ac:dyDescent="0.2">
      <c r="A160" s="1330" t="s">
        <v>842</v>
      </c>
      <c r="B160" s="1329"/>
      <c r="C160" s="1329"/>
      <c r="D160" s="1329"/>
      <c r="E160" s="1329"/>
      <c r="F160" s="1329"/>
      <c r="G160" s="1329"/>
      <c r="H160" s="1329"/>
    </row>
    <row r="161" spans="1:8" x14ac:dyDescent="0.2">
      <c r="A161" s="1330" t="s">
        <v>843</v>
      </c>
      <c r="B161" s="1329"/>
      <c r="C161" s="1329"/>
      <c r="D161" s="1329"/>
      <c r="E161" s="1329"/>
      <c r="F161" s="1329"/>
      <c r="G161" s="1329"/>
      <c r="H161" s="1329"/>
    </row>
    <row r="162" spans="1:8" x14ac:dyDescent="0.2">
      <c r="A162" s="1329"/>
      <c r="B162" s="1329"/>
      <c r="C162" s="1329"/>
      <c r="D162" s="1329"/>
      <c r="E162" s="1329"/>
      <c r="F162" s="1329"/>
      <c r="G162" s="1329"/>
      <c r="H162" s="1329"/>
    </row>
    <row r="163" spans="1:8" x14ac:dyDescent="0.2">
      <c r="A163" s="1330" t="s">
        <v>840</v>
      </c>
      <c r="B163" s="1329"/>
      <c r="C163" s="1329"/>
      <c r="D163" s="1329"/>
      <c r="E163" s="1329"/>
      <c r="F163" s="1329"/>
      <c r="G163" s="1329"/>
      <c r="H163" s="1329"/>
    </row>
    <row r="164" spans="1:8" x14ac:dyDescent="0.2">
      <c r="A164" s="1330" t="s">
        <v>841</v>
      </c>
      <c r="B164" s="1329"/>
      <c r="C164" s="1329"/>
      <c r="D164" s="1329"/>
      <c r="E164" s="1329"/>
      <c r="F164" s="1329"/>
      <c r="G164" s="1329"/>
      <c r="H164" s="1329"/>
    </row>
    <row r="165" spans="1:8" x14ac:dyDescent="0.2">
      <c r="A165" s="1329"/>
      <c r="B165" s="1329"/>
      <c r="C165" s="1329"/>
      <c r="D165" s="1329"/>
      <c r="E165" s="1329"/>
      <c r="F165" s="1329"/>
      <c r="G165" s="1329"/>
      <c r="H165" s="1329"/>
    </row>
    <row r="166" spans="1:8" x14ac:dyDescent="0.2">
      <c r="A166" s="1330" t="s">
        <v>838</v>
      </c>
      <c r="B166" s="1329"/>
      <c r="C166" s="1329"/>
      <c r="D166" s="1329"/>
      <c r="E166" s="1329"/>
      <c r="F166" s="1329"/>
      <c r="G166" s="1329"/>
      <c r="H166" s="1329"/>
    </row>
    <row r="167" spans="1:8" x14ac:dyDescent="0.2">
      <c r="A167" s="1330" t="s">
        <v>839</v>
      </c>
      <c r="B167" s="1329"/>
      <c r="C167" s="1329"/>
      <c r="D167" s="1329"/>
      <c r="E167" s="1329"/>
      <c r="F167" s="1329"/>
      <c r="G167" s="1329"/>
      <c r="H167" s="1329"/>
    </row>
    <row r="168" spans="1:8" x14ac:dyDescent="0.2">
      <c r="A168" s="1329"/>
      <c r="B168" s="1329"/>
      <c r="C168" s="1329"/>
      <c r="D168" s="1329"/>
      <c r="E168" s="1329"/>
      <c r="F168" s="1329"/>
      <c r="G168" s="1329"/>
      <c r="H168" s="1329"/>
    </row>
    <row r="169" spans="1:8" x14ac:dyDescent="0.2">
      <c r="A169" s="1330" t="s">
        <v>835</v>
      </c>
      <c r="B169" s="1329"/>
      <c r="C169" s="1329"/>
      <c r="D169" s="1329"/>
      <c r="E169" s="1329"/>
      <c r="F169" s="1329"/>
      <c r="G169" s="1329"/>
      <c r="H169" s="1329"/>
    </row>
    <row r="170" spans="1:8" x14ac:dyDescent="0.2">
      <c r="A170" s="1330" t="s">
        <v>836</v>
      </c>
      <c r="B170" s="1329"/>
      <c r="C170" s="1329"/>
      <c r="D170" s="1329"/>
      <c r="E170" s="1329"/>
      <c r="F170" s="1329"/>
      <c r="G170" s="1329"/>
      <c r="H170" s="1329"/>
    </row>
    <row r="171" spans="1:8" x14ac:dyDescent="0.2">
      <c r="A171" s="1330" t="s">
        <v>837</v>
      </c>
      <c r="B171" s="1329"/>
      <c r="C171" s="1329"/>
      <c r="D171" s="1329"/>
      <c r="E171" s="1329"/>
      <c r="F171" s="1329"/>
      <c r="G171" s="1329"/>
      <c r="H171" s="1329"/>
    </row>
    <row r="172" spans="1:8" x14ac:dyDescent="0.2">
      <c r="A172" s="1329"/>
      <c r="B172" s="1329"/>
      <c r="C172" s="1329"/>
      <c r="D172" s="1329"/>
      <c r="E172" s="1329"/>
      <c r="F172" s="1329"/>
      <c r="G172" s="1329"/>
      <c r="H172" s="1329"/>
    </row>
    <row r="173" spans="1:8" x14ac:dyDescent="0.2">
      <c r="A173" s="1329"/>
      <c r="B173" s="1329"/>
      <c r="C173" s="1329"/>
      <c r="D173" s="1329"/>
      <c r="E173" s="1329"/>
      <c r="F173" s="1329"/>
      <c r="G173" s="1329"/>
      <c r="H173" s="1329"/>
    </row>
    <row r="174" spans="1:8" x14ac:dyDescent="0.2">
      <c r="A174" s="1330" t="s">
        <v>491</v>
      </c>
      <c r="B174" s="1329"/>
      <c r="C174" s="1329"/>
      <c r="D174" s="1329"/>
      <c r="E174" s="1329"/>
      <c r="F174" s="1329"/>
      <c r="G174" s="1329"/>
      <c r="H174" s="1329"/>
    </row>
    <row r="175" spans="1:8" x14ac:dyDescent="0.2">
      <c r="A175" s="1329"/>
      <c r="B175" s="1329"/>
      <c r="C175" s="1329"/>
      <c r="D175" s="1329"/>
      <c r="E175" s="1329"/>
      <c r="F175" s="1329"/>
      <c r="G175" s="1329"/>
      <c r="H175" s="1329"/>
    </row>
    <row r="176" spans="1:8" ht="15.75" x14ac:dyDescent="0.2">
      <c r="A176" s="1331" t="s">
        <v>668</v>
      </c>
      <c r="B176" s="1329"/>
      <c r="C176" s="1329"/>
      <c r="D176" s="1329"/>
      <c r="E176" s="1329"/>
      <c r="F176" s="1329"/>
      <c r="G176" s="1329"/>
      <c r="H176" s="1329"/>
    </row>
    <row r="177" spans="1:8" x14ac:dyDescent="0.2">
      <c r="A177" s="1329"/>
      <c r="B177" s="1329"/>
      <c r="C177" s="1329"/>
      <c r="D177" s="1329"/>
      <c r="E177" s="1329"/>
      <c r="F177" s="1329"/>
      <c r="G177" s="1329"/>
      <c r="H177" s="1329"/>
    </row>
    <row r="178" spans="1:8" x14ac:dyDescent="0.2">
      <c r="A178" s="1329"/>
      <c r="B178" s="1329"/>
      <c r="C178" s="1329"/>
      <c r="D178" s="1329"/>
      <c r="E178" s="1329"/>
      <c r="F178" s="1329"/>
      <c r="G178" s="1329"/>
      <c r="H178" s="1329"/>
    </row>
    <row r="179" spans="1:8" x14ac:dyDescent="0.2">
      <c r="A179" s="1329"/>
      <c r="B179" s="1329"/>
      <c r="C179" s="1329"/>
      <c r="D179" s="1329"/>
      <c r="E179" s="1329"/>
      <c r="F179" s="1329"/>
      <c r="G179" s="1329"/>
      <c r="H179" s="1329"/>
    </row>
    <row r="180" spans="1:8" x14ac:dyDescent="0.2">
      <c r="A180" s="1329"/>
      <c r="B180" s="1329"/>
      <c r="C180" s="1329"/>
      <c r="D180" s="1329"/>
      <c r="E180" s="1329"/>
      <c r="F180" s="1329"/>
      <c r="G180" s="1329"/>
      <c r="H180" s="1329"/>
    </row>
    <row r="181" spans="1:8" x14ac:dyDescent="0.2">
      <c r="A181" s="1329"/>
      <c r="B181" s="1329"/>
      <c r="C181" s="1329"/>
      <c r="D181" s="1329"/>
      <c r="E181" s="1329"/>
      <c r="F181" s="1329"/>
      <c r="G181" s="1329"/>
      <c r="H181" s="1329"/>
    </row>
    <row r="182" spans="1:8" x14ac:dyDescent="0.2">
      <c r="A182" s="1329"/>
      <c r="B182" s="1329"/>
      <c r="C182" s="1329"/>
      <c r="D182" s="1329"/>
      <c r="E182" s="1329"/>
      <c r="F182" s="1329"/>
      <c r="G182" s="1329"/>
      <c r="H182" s="1329"/>
    </row>
    <row r="183" spans="1:8" x14ac:dyDescent="0.2">
      <c r="A183" s="1329"/>
      <c r="B183" s="1329"/>
      <c r="C183" s="1329"/>
      <c r="D183" s="1329"/>
      <c r="E183" s="1329"/>
      <c r="F183" s="1329"/>
      <c r="G183" s="1329"/>
      <c r="H183" s="1329"/>
    </row>
    <row r="184" spans="1:8" x14ac:dyDescent="0.2">
      <c r="A184" s="1329"/>
      <c r="B184" s="1329"/>
      <c r="C184" s="1329"/>
      <c r="D184" s="1329"/>
      <c r="E184" s="1329"/>
      <c r="F184" s="1329"/>
      <c r="G184" s="1329"/>
      <c r="H184" s="1329"/>
    </row>
    <row r="185" spans="1:8" x14ac:dyDescent="0.2">
      <c r="A185" s="1329"/>
      <c r="B185" s="1329"/>
      <c r="C185" s="1329"/>
      <c r="D185" s="1329"/>
      <c r="E185" s="1329"/>
      <c r="F185" s="1329"/>
      <c r="G185" s="1329"/>
      <c r="H185" s="1329"/>
    </row>
    <row r="186" spans="1:8" x14ac:dyDescent="0.2">
      <c r="A186" s="1329"/>
      <c r="B186" s="1329"/>
      <c r="C186" s="1329"/>
      <c r="D186" s="1329"/>
      <c r="E186" s="1329"/>
      <c r="F186" s="1329"/>
      <c r="G186" s="1329"/>
      <c r="H186" s="1329"/>
    </row>
    <row r="187" spans="1:8" x14ac:dyDescent="0.2">
      <c r="A187" s="1329"/>
      <c r="B187" s="1329"/>
      <c r="C187" s="1329"/>
      <c r="D187" s="1329"/>
      <c r="E187" s="1329"/>
      <c r="F187" s="1329"/>
      <c r="G187" s="1329"/>
      <c r="H187" s="1329"/>
    </row>
    <row r="188" spans="1:8" x14ac:dyDescent="0.2">
      <c r="A188" s="1329"/>
      <c r="B188" s="1329"/>
      <c r="C188" s="1329"/>
      <c r="D188" s="1329"/>
      <c r="E188" s="1329"/>
      <c r="F188" s="1329"/>
      <c r="G188" s="1329"/>
      <c r="H188" s="1329"/>
    </row>
    <row r="189" spans="1:8" x14ac:dyDescent="0.2">
      <c r="A189" s="1329"/>
      <c r="B189" s="1329"/>
      <c r="C189" s="1329"/>
      <c r="D189" s="1329"/>
      <c r="E189" s="1329"/>
      <c r="F189" s="1329"/>
      <c r="G189" s="1329"/>
      <c r="H189" s="1329"/>
    </row>
    <row r="190" spans="1:8" x14ac:dyDescent="0.2">
      <c r="A190" s="1329"/>
      <c r="B190" s="1329"/>
      <c r="C190" s="1329"/>
      <c r="D190" s="1329"/>
      <c r="E190" s="1329"/>
      <c r="F190" s="1329"/>
      <c r="G190" s="1329"/>
      <c r="H190" s="1329"/>
    </row>
    <row r="191" spans="1:8" x14ac:dyDescent="0.2">
      <c r="A191" s="1329"/>
      <c r="B191" s="1329"/>
      <c r="C191" s="1329"/>
      <c r="D191" s="1329"/>
      <c r="E191" s="1329"/>
      <c r="F191" s="1329"/>
      <c r="G191" s="1329"/>
      <c r="H191" s="1329"/>
    </row>
    <row r="192" spans="1:8" x14ac:dyDescent="0.2">
      <c r="A192" s="1329"/>
      <c r="B192" s="1329"/>
      <c r="C192" s="1329"/>
      <c r="D192" s="1329"/>
      <c r="E192" s="1329"/>
      <c r="F192" s="1329"/>
      <c r="G192" s="1329"/>
      <c r="H192" s="1329"/>
    </row>
    <row r="193" spans="1:8" x14ac:dyDescent="0.2">
      <c r="A193" s="1329"/>
      <c r="B193" s="1329"/>
      <c r="C193" s="1329"/>
      <c r="D193" s="1329"/>
      <c r="E193" s="1329"/>
      <c r="F193" s="1329"/>
      <c r="G193" s="1329"/>
      <c r="H193" s="1329"/>
    </row>
    <row r="194" spans="1:8" x14ac:dyDescent="0.2">
      <c r="A194" s="1329"/>
      <c r="B194" s="1329"/>
      <c r="C194" s="1329"/>
      <c r="D194" s="1329"/>
      <c r="E194" s="1329"/>
      <c r="F194" s="1329"/>
      <c r="G194" s="1329"/>
      <c r="H194" s="1329"/>
    </row>
    <row r="195" spans="1:8" x14ac:dyDescent="0.2">
      <c r="A195" s="1329"/>
      <c r="B195" s="1329"/>
      <c r="C195" s="1329"/>
      <c r="D195" s="1329"/>
      <c r="E195" s="1329"/>
      <c r="F195" s="1329"/>
      <c r="G195" s="1329"/>
      <c r="H195" s="1329"/>
    </row>
    <row r="196" spans="1:8" x14ac:dyDescent="0.2">
      <c r="A196" s="1329"/>
      <c r="B196" s="1329"/>
      <c r="C196" s="1329"/>
      <c r="D196" s="1329"/>
      <c r="E196" s="1329"/>
      <c r="F196" s="1329"/>
      <c r="G196" s="1329"/>
      <c r="H196" s="1329"/>
    </row>
    <row r="197" spans="1:8" x14ac:dyDescent="0.2">
      <c r="A197" s="1329"/>
      <c r="B197" s="1329"/>
      <c r="C197" s="1329"/>
      <c r="D197" s="1329"/>
      <c r="E197" s="1329"/>
      <c r="F197" s="1329"/>
      <c r="G197" s="1329"/>
      <c r="H197" s="1329"/>
    </row>
    <row r="198" spans="1:8" x14ac:dyDescent="0.2">
      <c r="A198" s="1329"/>
      <c r="B198" s="1329"/>
      <c r="C198" s="1329"/>
      <c r="D198" s="1329"/>
      <c r="E198" s="1329"/>
      <c r="F198" s="1329"/>
      <c r="G198" s="1329"/>
      <c r="H198" s="1329"/>
    </row>
    <row r="199" spans="1:8" x14ac:dyDescent="0.2">
      <c r="A199" s="1329"/>
      <c r="B199" s="1329"/>
      <c r="C199" s="1329"/>
      <c r="D199" s="1329"/>
      <c r="E199" s="1329"/>
      <c r="F199" s="1329"/>
      <c r="G199" s="1329"/>
      <c r="H199" s="1329"/>
    </row>
    <row r="200" spans="1:8" x14ac:dyDescent="0.2">
      <c r="A200" s="1329"/>
      <c r="B200" s="1329"/>
      <c r="C200" s="1329"/>
      <c r="D200" s="1329"/>
      <c r="E200" s="1329"/>
      <c r="F200" s="1329"/>
      <c r="G200" s="1329"/>
      <c r="H200" s="1329"/>
    </row>
    <row r="201" spans="1:8" x14ac:dyDescent="0.2">
      <c r="A201" s="1329"/>
      <c r="B201" s="1329"/>
      <c r="C201" s="1329"/>
      <c r="D201" s="1329"/>
      <c r="E201" s="1329"/>
      <c r="F201" s="1329"/>
      <c r="G201" s="1329"/>
      <c r="H201" s="1329"/>
    </row>
    <row r="202" spans="1:8" x14ac:dyDescent="0.2">
      <c r="A202" s="1329"/>
      <c r="B202" s="1329"/>
      <c r="C202" s="1329"/>
      <c r="D202" s="1329"/>
      <c r="E202" s="1329"/>
      <c r="F202" s="1329"/>
      <c r="G202" s="1329"/>
      <c r="H202" s="1329"/>
    </row>
    <row r="203" spans="1:8" ht="15.75" x14ac:dyDescent="0.2">
      <c r="A203" s="1331" t="s">
        <v>669</v>
      </c>
      <c r="B203" s="1329"/>
      <c r="C203" s="1329"/>
      <c r="D203" s="1329"/>
      <c r="E203" s="1329"/>
      <c r="F203" s="1329"/>
      <c r="G203" s="1329"/>
      <c r="H203" s="1329"/>
    </row>
    <row r="204" spans="1:8" x14ac:dyDescent="0.2">
      <c r="A204" s="1329"/>
      <c r="B204" s="1329"/>
      <c r="C204" s="1329"/>
      <c r="D204" s="1329"/>
      <c r="E204" s="1329"/>
      <c r="F204" s="1329"/>
      <c r="G204" s="1329"/>
      <c r="H204" s="1329"/>
    </row>
    <row r="205" spans="1:8" x14ac:dyDescent="0.2">
      <c r="A205" s="1330" t="s">
        <v>830</v>
      </c>
      <c r="B205" s="1329"/>
      <c r="C205" s="1329"/>
      <c r="D205" s="1329"/>
      <c r="E205" s="1329"/>
      <c r="F205" s="1329"/>
      <c r="G205" s="1329"/>
      <c r="H205" s="1329"/>
    </row>
    <row r="206" spans="1:8" x14ac:dyDescent="0.2">
      <c r="A206" s="1330" t="s">
        <v>831</v>
      </c>
      <c r="B206" s="1329"/>
      <c r="C206" s="1329"/>
      <c r="D206" s="1329"/>
      <c r="E206" s="1329"/>
      <c r="F206" s="1329"/>
      <c r="G206" s="1329"/>
      <c r="H206" s="1329"/>
    </row>
    <row r="207" spans="1:8" x14ac:dyDescent="0.2">
      <c r="A207" s="1330" t="s">
        <v>832</v>
      </c>
      <c r="B207" s="1329"/>
      <c r="C207" s="1329"/>
      <c r="D207" s="1329"/>
      <c r="E207" s="1329"/>
      <c r="F207" s="1329"/>
      <c r="G207" s="1329"/>
      <c r="H207" s="1329"/>
    </row>
    <row r="208" spans="1:8" x14ac:dyDescent="0.2">
      <c r="A208" s="1330" t="s">
        <v>833</v>
      </c>
      <c r="B208" s="1329"/>
      <c r="C208" s="1329"/>
      <c r="D208" s="1329"/>
      <c r="E208" s="1329"/>
      <c r="F208" s="1329"/>
      <c r="G208" s="1329"/>
      <c r="H208" s="1329"/>
    </row>
    <row r="209" spans="1:8" x14ac:dyDescent="0.2">
      <c r="A209" s="1330" t="s">
        <v>834</v>
      </c>
      <c r="B209" s="1329"/>
      <c r="C209" s="1329"/>
      <c r="D209" s="1329"/>
      <c r="E209" s="1329"/>
      <c r="F209" s="1329"/>
      <c r="G209" s="1329"/>
      <c r="H209" s="1329"/>
    </row>
    <row r="210" spans="1:8" x14ac:dyDescent="0.2">
      <c r="A210" s="1329"/>
      <c r="B210" s="1329"/>
      <c r="C210" s="1329"/>
      <c r="D210" s="1329"/>
      <c r="E210" s="1329"/>
      <c r="F210" s="1329"/>
      <c r="G210" s="1329"/>
      <c r="H210" s="1329"/>
    </row>
    <row r="211" spans="1:8" x14ac:dyDescent="0.2">
      <c r="A211" s="1330" t="s">
        <v>827</v>
      </c>
      <c r="B211" s="1329"/>
      <c r="C211" s="1329"/>
      <c r="D211" s="1329"/>
      <c r="E211" s="1329"/>
      <c r="F211" s="1329"/>
      <c r="G211" s="1329"/>
      <c r="H211" s="1329"/>
    </row>
    <row r="212" spans="1:8" x14ac:dyDescent="0.2">
      <c r="A212" s="1330" t="s">
        <v>828</v>
      </c>
      <c r="B212" s="1329"/>
      <c r="C212" s="1329"/>
      <c r="D212" s="1329"/>
      <c r="E212" s="1329"/>
      <c r="F212" s="1329"/>
      <c r="G212" s="1329"/>
      <c r="H212" s="1329"/>
    </row>
    <row r="213" spans="1:8" x14ac:dyDescent="0.2">
      <c r="A213" s="1330" t="s">
        <v>829</v>
      </c>
      <c r="B213" s="1329"/>
      <c r="C213" s="1329"/>
      <c r="D213" s="1329"/>
      <c r="E213" s="1329"/>
      <c r="F213" s="1329"/>
      <c r="G213" s="1329"/>
      <c r="H213" s="1329"/>
    </row>
    <row r="214" spans="1:8" ht="15.75" x14ac:dyDescent="0.2">
      <c r="A214" s="1331" t="s">
        <v>670</v>
      </c>
      <c r="B214" s="1329"/>
      <c r="C214" s="1329"/>
      <c r="D214" s="1329"/>
      <c r="E214" s="1329"/>
      <c r="F214" s="1329"/>
      <c r="G214" s="1329"/>
      <c r="H214" s="1329"/>
    </row>
    <row r="215" spans="1:8" x14ac:dyDescent="0.2">
      <c r="A215" s="1329"/>
      <c r="B215" s="1329"/>
      <c r="C215" s="1329"/>
      <c r="D215" s="1329"/>
      <c r="E215" s="1329"/>
      <c r="F215" s="1329"/>
      <c r="G215" s="1329"/>
      <c r="H215" s="1329"/>
    </row>
    <row r="216" spans="1:8" x14ac:dyDescent="0.2">
      <c r="A216" s="1330" t="s">
        <v>825</v>
      </c>
      <c r="B216" s="1329"/>
      <c r="C216" s="1329"/>
      <c r="D216" s="1329"/>
      <c r="E216" s="1329"/>
      <c r="F216" s="1329"/>
      <c r="G216" s="1329"/>
      <c r="H216" s="1329"/>
    </row>
    <row r="217" spans="1:8" x14ac:dyDescent="0.2">
      <c r="A217" s="1330" t="s">
        <v>826</v>
      </c>
      <c r="B217" s="1329"/>
      <c r="C217" s="1329"/>
      <c r="D217" s="1329"/>
      <c r="E217" s="1329"/>
      <c r="F217" s="1329"/>
      <c r="G217" s="1329"/>
      <c r="H217" s="1329"/>
    </row>
    <row r="218" spans="1:8" x14ac:dyDescent="0.2">
      <c r="A218" s="1329"/>
      <c r="B218" s="1329"/>
      <c r="C218" s="1329"/>
      <c r="D218" s="1329"/>
      <c r="E218" s="1329"/>
      <c r="F218" s="1329"/>
      <c r="G218" s="1329"/>
      <c r="H218" s="1329"/>
    </row>
    <row r="219" spans="1:8" x14ac:dyDescent="0.2">
      <c r="A219" s="1330" t="s">
        <v>818</v>
      </c>
      <c r="B219" s="1329"/>
      <c r="C219" s="1329"/>
      <c r="D219" s="1329"/>
      <c r="E219" s="1329"/>
      <c r="F219" s="1329"/>
      <c r="G219" s="1329"/>
      <c r="H219" s="1329"/>
    </row>
    <row r="220" spans="1:8" x14ac:dyDescent="0.2">
      <c r="A220" s="1330" t="s">
        <v>819</v>
      </c>
      <c r="B220" s="1329"/>
      <c r="C220" s="1329"/>
      <c r="D220" s="1329"/>
      <c r="E220" s="1329"/>
      <c r="F220" s="1329"/>
      <c r="G220" s="1329"/>
      <c r="H220" s="1329"/>
    </row>
    <row r="221" spans="1:8" x14ac:dyDescent="0.2">
      <c r="A221" s="1330" t="s">
        <v>820</v>
      </c>
      <c r="B221" s="1329"/>
      <c r="C221" s="1329"/>
      <c r="D221" s="1329"/>
      <c r="E221" s="1329"/>
      <c r="F221" s="1329"/>
      <c r="G221" s="1329"/>
      <c r="H221" s="1329"/>
    </row>
    <row r="222" spans="1:8" x14ac:dyDescent="0.2">
      <c r="A222" s="1330" t="s">
        <v>821</v>
      </c>
      <c r="B222" s="1329"/>
      <c r="C222" s="1329"/>
      <c r="D222" s="1329"/>
      <c r="E222" s="1329"/>
      <c r="F222" s="1329"/>
      <c r="G222" s="1329"/>
      <c r="H222" s="1329"/>
    </row>
    <row r="223" spans="1:8" x14ac:dyDescent="0.2">
      <c r="A223" s="1330" t="s">
        <v>822</v>
      </c>
      <c r="B223" s="1329"/>
      <c r="C223" s="1329"/>
      <c r="D223" s="1329"/>
      <c r="E223" s="1329"/>
      <c r="F223" s="1329"/>
      <c r="G223" s="1329"/>
      <c r="H223" s="1329"/>
    </row>
    <row r="224" spans="1:8" x14ac:dyDescent="0.2">
      <c r="A224" s="1330" t="s">
        <v>823</v>
      </c>
      <c r="B224" s="1329"/>
      <c r="C224" s="1329"/>
      <c r="D224" s="1329"/>
      <c r="E224" s="1329"/>
      <c r="F224" s="1329"/>
      <c r="G224" s="1329"/>
      <c r="H224" s="1329"/>
    </row>
    <row r="225" spans="1:8" x14ac:dyDescent="0.2">
      <c r="A225" s="1330" t="s">
        <v>824</v>
      </c>
      <c r="B225" s="1329"/>
      <c r="C225" s="1329"/>
      <c r="D225" s="1329"/>
      <c r="E225" s="1329"/>
      <c r="F225" s="1329"/>
      <c r="G225" s="1329"/>
      <c r="H225" s="1329"/>
    </row>
    <row r="226" spans="1:8" x14ac:dyDescent="0.2">
      <c r="A226" s="1329"/>
      <c r="B226" s="1329"/>
      <c r="C226" s="1329"/>
      <c r="D226" s="1329"/>
      <c r="E226" s="1329"/>
      <c r="F226" s="1329"/>
      <c r="G226" s="1329"/>
      <c r="H226" s="1329"/>
    </row>
    <row r="227" spans="1:8" x14ac:dyDescent="0.2">
      <c r="A227" s="1330" t="s">
        <v>815</v>
      </c>
      <c r="B227" s="1329"/>
      <c r="C227" s="1329"/>
      <c r="D227" s="1329"/>
      <c r="E227" s="1329"/>
      <c r="F227" s="1329"/>
      <c r="G227" s="1329"/>
      <c r="H227" s="1329"/>
    </row>
    <row r="228" spans="1:8" x14ac:dyDescent="0.2">
      <c r="A228" s="1330" t="s">
        <v>816</v>
      </c>
      <c r="B228" s="1329"/>
      <c r="C228" s="1329"/>
      <c r="D228" s="1329"/>
      <c r="E228" s="1329"/>
      <c r="F228" s="1329"/>
      <c r="G228" s="1329"/>
      <c r="H228" s="1329"/>
    </row>
    <row r="229" spans="1:8" x14ac:dyDescent="0.2">
      <c r="A229" s="1330" t="s">
        <v>817</v>
      </c>
      <c r="B229" s="1329"/>
      <c r="C229" s="1329"/>
      <c r="D229" s="1329"/>
      <c r="E229" s="1329"/>
      <c r="F229" s="1329"/>
      <c r="G229" s="1329"/>
      <c r="H229" s="1329"/>
    </row>
    <row r="230" spans="1:8" x14ac:dyDescent="0.2">
      <c r="A230" s="1329"/>
      <c r="B230" s="1329"/>
      <c r="C230" s="1329"/>
      <c r="D230" s="1329"/>
      <c r="E230" s="1329"/>
      <c r="F230" s="1329"/>
      <c r="G230" s="1329"/>
      <c r="H230" s="1329"/>
    </row>
    <row r="231" spans="1:8" x14ac:dyDescent="0.2">
      <c r="A231" s="1330" t="s">
        <v>810</v>
      </c>
      <c r="B231" s="1329"/>
      <c r="C231" s="1329"/>
      <c r="D231" s="1329"/>
      <c r="E231" s="1329"/>
      <c r="F231" s="1329"/>
      <c r="G231" s="1329"/>
      <c r="H231" s="1329"/>
    </row>
    <row r="232" spans="1:8" x14ac:dyDescent="0.2">
      <c r="A232" s="1330" t="s">
        <v>811</v>
      </c>
      <c r="B232" s="1329"/>
      <c r="C232" s="1329"/>
      <c r="D232" s="1329"/>
      <c r="E232" s="1329"/>
      <c r="F232" s="1329"/>
      <c r="G232" s="1329"/>
      <c r="H232" s="1329"/>
    </row>
    <row r="233" spans="1:8" x14ac:dyDescent="0.2">
      <c r="A233" s="1330" t="s">
        <v>812</v>
      </c>
      <c r="B233" s="1329"/>
      <c r="C233" s="1329"/>
      <c r="D233" s="1329"/>
      <c r="E233" s="1329"/>
      <c r="F233" s="1329"/>
      <c r="G233" s="1329"/>
      <c r="H233" s="1329"/>
    </row>
    <row r="234" spans="1:8" x14ac:dyDescent="0.2">
      <c r="A234" s="1330" t="s">
        <v>813</v>
      </c>
      <c r="B234" s="1329"/>
      <c r="C234" s="1329"/>
      <c r="D234" s="1329"/>
      <c r="E234" s="1329"/>
      <c r="F234" s="1329"/>
      <c r="G234" s="1329"/>
      <c r="H234" s="1329"/>
    </row>
    <row r="235" spans="1:8" x14ac:dyDescent="0.2">
      <c r="A235" s="1330" t="s">
        <v>814</v>
      </c>
      <c r="B235" s="1329"/>
      <c r="C235" s="1329"/>
      <c r="D235" s="1329"/>
      <c r="E235" s="1329"/>
      <c r="F235" s="1329"/>
      <c r="G235" s="1329"/>
      <c r="H235" s="1329"/>
    </row>
    <row r="236" spans="1:8" x14ac:dyDescent="0.2">
      <c r="A236" s="1329"/>
      <c r="B236" s="1329"/>
      <c r="C236" s="1329"/>
      <c r="D236" s="1329"/>
      <c r="E236" s="1329"/>
      <c r="F236" s="1329"/>
      <c r="G236" s="1329"/>
      <c r="H236" s="1329"/>
    </row>
    <row r="237" spans="1:8" x14ac:dyDescent="0.2">
      <c r="A237" s="1330" t="s">
        <v>804</v>
      </c>
      <c r="B237" s="1329"/>
      <c r="C237" s="1329"/>
      <c r="D237" s="1329"/>
      <c r="E237" s="1329"/>
      <c r="F237" s="1329"/>
      <c r="G237" s="1329"/>
      <c r="H237" s="1329"/>
    </row>
    <row r="238" spans="1:8" x14ac:dyDescent="0.2">
      <c r="A238" s="1330" t="s">
        <v>805</v>
      </c>
      <c r="B238" s="1329"/>
      <c r="C238" s="1329"/>
      <c r="D238" s="1329"/>
      <c r="E238" s="1329"/>
      <c r="F238" s="1329"/>
      <c r="G238" s="1329"/>
      <c r="H238" s="1329"/>
    </row>
    <row r="239" spans="1:8" x14ac:dyDescent="0.2">
      <c r="A239" s="1330" t="s">
        <v>806</v>
      </c>
      <c r="B239" s="1329"/>
      <c r="C239" s="1329"/>
      <c r="D239" s="1329"/>
      <c r="E239" s="1329"/>
      <c r="F239" s="1329"/>
      <c r="G239" s="1329"/>
      <c r="H239" s="1329"/>
    </row>
    <row r="240" spans="1:8" x14ac:dyDescent="0.2">
      <c r="A240" s="1330" t="s">
        <v>807</v>
      </c>
      <c r="B240" s="1329"/>
      <c r="C240" s="1329"/>
      <c r="D240" s="1329"/>
      <c r="E240" s="1329"/>
      <c r="F240" s="1329"/>
      <c r="G240" s="1329"/>
      <c r="H240" s="1329"/>
    </row>
    <row r="241" spans="1:8" x14ac:dyDescent="0.2">
      <c r="A241" s="1330" t="s">
        <v>808</v>
      </c>
      <c r="B241" s="1329"/>
      <c r="C241" s="1329"/>
      <c r="D241" s="1329"/>
      <c r="E241" s="1329"/>
      <c r="F241" s="1329"/>
      <c r="G241" s="1329"/>
      <c r="H241" s="1329"/>
    </row>
    <row r="242" spans="1:8" x14ac:dyDescent="0.2">
      <c r="A242" s="1330" t="s">
        <v>809</v>
      </c>
      <c r="B242" s="1329"/>
      <c r="C242" s="1329"/>
      <c r="D242" s="1329"/>
      <c r="E242" s="1329"/>
      <c r="F242" s="1329"/>
      <c r="G242" s="1329"/>
      <c r="H242" s="1329"/>
    </row>
    <row r="243" spans="1:8" x14ac:dyDescent="0.2">
      <c r="A243" s="1329"/>
      <c r="B243" s="1329"/>
      <c r="C243" s="1329"/>
      <c r="D243" s="1329"/>
      <c r="E243" s="1329"/>
      <c r="F243" s="1329"/>
      <c r="G243" s="1329"/>
      <c r="H243" s="1329"/>
    </row>
    <row r="244" spans="1:8" x14ac:dyDescent="0.2">
      <c r="A244" s="1330" t="s">
        <v>794</v>
      </c>
      <c r="B244" s="1329"/>
      <c r="C244" s="1329"/>
      <c r="D244" s="1329"/>
      <c r="E244" s="1329"/>
      <c r="F244" s="1329"/>
      <c r="G244" s="1329"/>
      <c r="H244" s="1329"/>
    </row>
    <row r="245" spans="1:8" x14ac:dyDescent="0.2">
      <c r="A245" s="1330" t="s">
        <v>795</v>
      </c>
      <c r="B245" s="1329"/>
      <c r="C245" s="1329"/>
      <c r="D245" s="1329"/>
      <c r="E245" s="1329"/>
      <c r="F245" s="1329"/>
      <c r="G245" s="1329"/>
      <c r="H245" s="1329"/>
    </row>
    <row r="246" spans="1:8" x14ac:dyDescent="0.2">
      <c r="A246" s="1330" t="s">
        <v>796</v>
      </c>
      <c r="B246" s="1329"/>
      <c r="C246" s="1329"/>
      <c r="D246" s="1329"/>
      <c r="E246" s="1329"/>
      <c r="F246" s="1329"/>
      <c r="G246" s="1329"/>
      <c r="H246" s="1329"/>
    </row>
    <row r="247" spans="1:8" x14ac:dyDescent="0.2">
      <c r="A247" s="1330" t="s">
        <v>797</v>
      </c>
      <c r="B247" s="1329"/>
      <c r="C247" s="1329"/>
      <c r="D247" s="1329"/>
      <c r="E247" s="1329"/>
      <c r="F247" s="1329"/>
      <c r="G247" s="1329"/>
      <c r="H247" s="1329"/>
    </row>
    <row r="248" spans="1:8" x14ac:dyDescent="0.2">
      <c r="A248" s="1330" t="s">
        <v>798</v>
      </c>
      <c r="B248" s="1329"/>
      <c r="C248" s="1329"/>
      <c r="D248" s="1329"/>
      <c r="E248" s="1329"/>
      <c r="F248" s="1329"/>
      <c r="G248" s="1329"/>
      <c r="H248" s="1329"/>
    </row>
    <row r="249" spans="1:8" x14ac:dyDescent="0.2">
      <c r="A249" s="1330" t="s">
        <v>799</v>
      </c>
      <c r="B249" s="1329"/>
      <c r="C249" s="1329"/>
      <c r="D249" s="1329"/>
      <c r="E249" s="1329"/>
      <c r="F249" s="1329"/>
      <c r="G249" s="1329"/>
      <c r="H249" s="1329"/>
    </row>
    <row r="250" spans="1:8" x14ac:dyDescent="0.2">
      <c r="A250" s="1330" t="s">
        <v>800</v>
      </c>
      <c r="B250" s="1329"/>
      <c r="C250" s="1329"/>
      <c r="D250" s="1329"/>
      <c r="E250" s="1329"/>
      <c r="F250" s="1329"/>
      <c r="G250" s="1329"/>
      <c r="H250" s="1329"/>
    </row>
    <row r="251" spans="1:8" x14ac:dyDescent="0.2">
      <c r="A251" s="1330" t="s">
        <v>801</v>
      </c>
      <c r="B251" s="1329"/>
      <c r="C251" s="1329"/>
      <c r="D251" s="1329"/>
      <c r="E251" s="1329"/>
      <c r="F251" s="1329"/>
      <c r="G251" s="1329"/>
      <c r="H251" s="1329"/>
    </row>
    <row r="252" spans="1:8" x14ac:dyDescent="0.2">
      <c r="A252" s="1330" t="s">
        <v>802</v>
      </c>
      <c r="B252" s="1329"/>
      <c r="C252" s="1329"/>
      <c r="D252" s="1329"/>
      <c r="E252" s="1329"/>
      <c r="F252" s="1329"/>
      <c r="G252" s="1329"/>
      <c r="H252" s="1329"/>
    </row>
    <row r="253" spans="1:8" x14ac:dyDescent="0.2">
      <c r="A253" s="1330" t="s">
        <v>803</v>
      </c>
      <c r="B253" s="1329"/>
      <c r="C253" s="1329"/>
      <c r="D253" s="1329"/>
      <c r="E253" s="1329"/>
      <c r="F253" s="1329"/>
      <c r="G253" s="1329"/>
      <c r="H253" s="1329"/>
    </row>
    <row r="254" spans="1:8" x14ac:dyDescent="0.2">
      <c r="A254" s="1329"/>
      <c r="B254" s="1329"/>
      <c r="C254" s="1329"/>
      <c r="D254" s="1329"/>
      <c r="E254" s="1329"/>
      <c r="F254" s="1329"/>
      <c r="G254" s="1329"/>
      <c r="H254" s="1329"/>
    </row>
    <row r="255" spans="1:8" x14ac:dyDescent="0.2">
      <c r="A255" s="1330" t="s">
        <v>792</v>
      </c>
      <c r="B255" s="1329"/>
      <c r="C255" s="1329"/>
      <c r="D255" s="1329"/>
      <c r="E255" s="1329"/>
      <c r="F255" s="1329"/>
      <c r="G255" s="1329"/>
      <c r="H255" s="1329"/>
    </row>
    <row r="256" spans="1:8" x14ac:dyDescent="0.2">
      <c r="A256" s="1330" t="s">
        <v>793</v>
      </c>
      <c r="B256" s="1329"/>
      <c r="C256" s="1329"/>
      <c r="D256" s="1329"/>
      <c r="E256" s="1329"/>
      <c r="F256" s="1329"/>
      <c r="G256" s="1329"/>
      <c r="H256" s="1329"/>
    </row>
    <row r="257" spans="1:8" x14ac:dyDescent="0.2">
      <c r="A257" s="1329"/>
      <c r="B257" s="1329"/>
      <c r="C257" s="1329"/>
      <c r="D257" s="1329"/>
      <c r="E257" s="1329"/>
      <c r="F257" s="1329"/>
      <c r="G257" s="1329"/>
      <c r="H257" s="1329"/>
    </row>
    <row r="258" spans="1:8" x14ac:dyDescent="0.2">
      <c r="A258" s="1330" t="s">
        <v>776</v>
      </c>
      <c r="B258" s="1329"/>
      <c r="C258" s="1329"/>
      <c r="D258" s="1329"/>
      <c r="E258" s="1329"/>
      <c r="F258" s="1329"/>
      <c r="G258" s="1329"/>
      <c r="H258" s="1329"/>
    </row>
    <row r="259" spans="1:8" x14ac:dyDescent="0.2">
      <c r="A259" s="1330" t="s">
        <v>777</v>
      </c>
      <c r="B259" s="1329"/>
      <c r="C259" s="1329"/>
      <c r="D259" s="1329"/>
      <c r="E259" s="1329"/>
      <c r="F259" s="1329"/>
      <c r="G259" s="1329"/>
      <c r="H259" s="1329"/>
    </row>
    <row r="260" spans="1:8" x14ac:dyDescent="0.2">
      <c r="A260" s="1330" t="s">
        <v>778</v>
      </c>
      <c r="B260" s="1329"/>
      <c r="C260" s="1329"/>
      <c r="D260" s="1329"/>
      <c r="E260" s="1329"/>
      <c r="F260" s="1329"/>
      <c r="G260" s="1329"/>
      <c r="H260" s="1329"/>
    </row>
    <row r="261" spans="1:8" x14ac:dyDescent="0.2">
      <c r="A261" s="1330" t="s">
        <v>779</v>
      </c>
      <c r="B261" s="1329"/>
      <c r="C261" s="1329"/>
      <c r="D261" s="1329"/>
      <c r="E261" s="1329"/>
      <c r="F261" s="1329"/>
      <c r="G261" s="1329"/>
      <c r="H261" s="1329"/>
    </row>
    <row r="262" spans="1:8" x14ac:dyDescent="0.2">
      <c r="A262" s="1330" t="s">
        <v>780</v>
      </c>
      <c r="B262" s="1329"/>
      <c r="C262" s="1329"/>
      <c r="D262" s="1329"/>
      <c r="E262" s="1329"/>
      <c r="F262" s="1329"/>
      <c r="G262" s="1329"/>
      <c r="H262" s="1329"/>
    </row>
    <row r="263" spans="1:8" x14ac:dyDescent="0.2">
      <c r="A263" s="1330" t="s">
        <v>781</v>
      </c>
      <c r="B263" s="1329"/>
      <c r="C263" s="1329"/>
      <c r="D263" s="1329"/>
      <c r="E263" s="1329"/>
      <c r="F263" s="1329"/>
      <c r="G263" s="1329"/>
      <c r="H263" s="1329"/>
    </row>
    <row r="264" spans="1:8" x14ac:dyDescent="0.2">
      <c r="A264" s="1330" t="s">
        <v>782</v>
      </c>
      <c r="B264" s="1329"/>
      <c r="C264" s="1329"/>
      <c r="D264" s="1329"/>
      <c r="E264" s="1329"/>
      <c r="F264" s="1329"/>
      <c r="G264" s="1329"/>
      <c r="H264" s="1329"/>
    </row>
    <row r="265" spans="1:8" x14ac:dyDescent="0.2">
      <c r="A265" s="1330" t="s">
        <v>783</v>
      </c>
      <c r="B265" s="1329"/>
      <c r="C265" s="1329"/>
      <c r="D265" s="1329"/>
      <c r="E265" s="1329"/>
      <c r="F265" s="1329"/>
      <c r="G265" s="1329"/>
      <c r="H265" s="1329"/>
    </row>
    <row r="266" spans="1:8" x14ac:dyDescent="0.2">
      <c r="A266" s="1330" t="s">
        <v>784</v>
      </c>
      <c r="B266" s="1329"/>
      <c r="C266" s="1329"/>
      <c r="D266" s="1329"/>
      <c r="E266" s="1329"/>
      <c r="F266" s="1329"/>
      <c r="G266" s="1329"/>
      <c r="H266" s="1329"/>
    </row>
    <row r="267" spans="1:8" x14ac:dyDescent="0.2">
      <c r="A267" s="1330" t="s">
        <v>785</v>
      </c>
      <c r="B267" s="1329"/>
      <c r="C267" s="1329"/>
      <c r="D267" s="1329"/>
      <c r="E267" s="1329"/>
      <c r="F267" s="1329"/>
      <c r="G267" s="1329"/>
      <c r="H267" s="1329"/>
    </row>
    <row r="268" spans="1:8" x14ac:dyDescent="0.2">
      <c r="A268" s="1330" t="s">
        <v>786</v>
      </c>
      <c r="B268" s="1329"/>
      <c r="C268" s="1329"/>
      <c r="D268" s="1329"/>
      <c r="E268" s="1329"/>
      <c r="F268" s="1329"/>
      <c r="G268" s="1329"/>
      <c r="H268" s="1329"/>
    </row>
    <row r="269" spans="1:8" x14ac:dyDescent="0.2">
      <c r="A269" s="1330" t="s">
        <v>787</v>
      </c>
      <c r="B269" s="1329"/>
      <c r="C269" s="1329"/>
      <c r="D269" s="1329"/>
      <c r="E269" s="1329"/>
      <c r="F269" s="1329"/>
      <c r="G269" s="1329"/>
      <c r="H269" s="1329"/>
    </row>
    <row r="270" spans="1:8" x14ac:dyDescent="0.2">
      <c r="A270" s="1330" t="s">
        <v>788</v>
      </c>
      <c r="B270" s="1329"/>
      <c r="C270" s="1329"/>
      <c r="D270" s="1329"/>
      <c r="E270" s="1329"/>
      <c r="F270" s="1329"/>
      <c r="G270" s="1329"/>
      <c r="H270" s="1329"/>
    </row>
    <row r="271" spans="1:8" x14ac:dyDescent="0.2">
      <c r="A271" s="1330" t="s">
        <v>789</v>
      </c>
      <c r="B271" s="1329"/>
      <c r="C271" s="1329"/>
      <c r="D271" s="1329"/>
      <c r="E271" s="1329"/>
      <c r="F271" s="1329"/>
      <c r="G271" s="1329"/>
      <c r="H271" s="1329"/>
    </row>
    <row r="272" spans="1:8" x14ac:dyDescent="0.2">
      <c r="A272" s="1330" t="s">
        <v>790</v>
      </c>
      <c r="B272" s="1329"/>
      <c r="C272" s="1329"/>
      <c r="D272" s="1329"/>
      <c r="E272" s="1329"/>
      <c r="F272" s="1329"/>
      <c r="G272" s="1329"/>
      <c r="H272" s="1329"/>
    </row>
    <row r="273" spans="1:8" x14ac:dyDescent="0.2">
      <c r="A273" s="1330" t="s">
        <v>791</v>
      </c>
      <c r="B273" s="1329"/>
      <c r="C273" s="1329"/>
      <c r="D273" s="1329"/>
      <c r="E273" s="1329"/>
      <c r="F273" s="1329"/>
      <c r="G273" s="1329"/>
      <c r="H273" s="1329"/>
    </row>
    <row r="274" spans="1:8" x14ac:dyDescent="0.2">
      <c r="A274" s="1329"/>
      <c r="B274" s="1329"/>
      <c r="C274" s="1329"/>
      <c r="D274" s="1329"/>
      <c r="E274" s="1329"/>
      <c r="F274" s="1329"/>
      <c r="G274" s="1329"/>
      <c r="H274" s="1329"/>
    </row>
    <row r="275" spans="1:8" x14ac:dyDescent="0.2">
      <c r="A275" s="1330" t="s">
        <v>769</v>
      </c>
      <c r="B275" s="1329"/>
      <c r="C275" s="1329"/>
      <c r="D275" s="1329"/>
      <c r="E275" s="1329"/>
      <c r="F275" s="1329"/>
      <c r="G275" s="1329"/>
      <c r="H275" s="1329"/>
    </row>
    <row r="276" spans="1:8" x14ac:dyDescent="0.2">
      <c r="A276" s="1330" t="s">
        <v>770</v>
      </c>
      <c r="B276" s="1329"/>
      <c r="C276" s="1329"/>
      <c r="D276" s="1329"/>
      <c r="E276" s="1329"/>
      <c r="F276" s="1329"/>
      <c r="G276" s="1329"/>
      <c r="H276" s="1329"/>
    </row>
    <row r="277" spans="1:8" x14ac:dyDescent="0.2">
      <c r="A277" s="1330" t="s">
        <v>771</v>
      </c>
      <c r="B277" s="1329"/>
      <c r="C277" s="1329"/>
      <c r="D277" s="1329"/>
      <c r="E277" s="1329"/>
      <c r="F277" s="1329"/>
      <c r="G277" s="1329"/>
      <c r="H277" s="1329"/>
    </row>
    <row r="278" spans="1:8" x14ac:dyDescent="0.2">
      <c r="A278" s="1330" t="s">
        <v>772</v>
      </c>
      <c r="B278" s="1329"/>
      <c r="C278" s="1329"/>
      <c r="D278" s="1329"/>
      <c r="E278" s="1329"/>
      <c r="F278" s="1329"/>
      <c r="G278" s="1329"/>
      <c r="H278" s="1329"/>
    </row>
    <row r="279" spans="1:8" x14ac:dyDescent="0.2">
      <c r="A279" s="1330" t="s">
        <v>773</v>
      </c>
      <c r="B279" s="1329"/>
      <c r="C279" s="1329"/>
      <c r="D279" s="1329"/>
      <c r="E279" s="1329"/>
      <c r="F279" s="1329"/>
      <c r="G279" s="1329"/>
      <c r="H279" s="1329"/>
    </row>
    <row r="280" spans="1:8" x14ac:dyDescent="0.2">
      <c r="A280" s="1330" t="s">
        <v>774</v>
      </c>
      <c r="B280" s="1329"/>
      <c r="C280" s="1329"/>
      <c r="D280" s="1329"/>
      <c r="E280" s="1329"/>
      <c r="F280" s="1329"/>
      <c r="G280" s="1329"/>
      <c r="H280" s="1329"/>
    </row>
    <row r="281" spans="1:8" x14ac:dyDescent="0.2">
      <c r="A281" s="1330" t="s">
        <v>775</v>
      </c>
      <c r="B281" s="1329"/>
      <c r="C281" s="1329"/>
      <c r="D281" s="1329"/>
      <c r="E281" s="1329"/>
      <c r="F281" s="1329"/>
      <c r="G281" s="1329"/>
      <c r="H281" s="1329"/>
    </row>
    <row r="282" spans="1:8" x14ac:dyDescent="0.2">
      <c r="A282" s="1329"/>
      <c r="B282" s="1329"/>
      <c r="C282" s="1329"/>
      <c r="D282" s="1329"/>
      <c r="E282" s="1329"/>
      <c r="F282" s="1329"/>
      <c r="G282" s="1329"/>
      <c r="H282" s="1329"/>
    </row>
    <row r="283" spans="1:8" x14ac:dyDescent="0.2">
      <c r="A283" s="1330" t="s">
        <v>760</v>
      </c>
      <c r="B283" s="1329"/>
      <c r="C283" s="1329"/>
      <c r="D283" s="1329"/>
      <c r="E283" s="1329"/>
      <c r="F283" s="1329"/>
      <c r="G283" s="1329"/>
      <c r="H283" s="1329"/>
    </row>
    <row r="284" spans="1:8" x14ac:dyDescent="0.2">
      <c r="A284" s="1330" t="s">
        <v>761</v>
      </c>
      <c r="B284" s="1329"/>
      <c r="C284" s="1329"/>
      <c r="D284" s="1329"/>
      <c r="E284" s="1329"/>
      <c r="F284" s="1329"/>
      <c r="G284" s="1329"/>
      <c r="H284" s="1329"/>
    </row>
    <row r="285" spans="1:8" x14ac:dyDescent="0.2">
      <c r="A285" s="1330" t="s">
        <v>762</v>
      </c>
      <c r="B285" s="1329"/>
      <c r="C285" s="1329"/>
      <c r="D285" s="1329"/>
      <c r="E285" s="1329"/>
      <c r="F285" s="1329"/>
      <c r="G285" s="1329"/>
      <c r="H285" s="1329"/>
    </row>
    <row r="286" spans="1:8" x14ac:dyDescent="0.2">
      <c r="A286" s="1330" t="s">
        <v>763</v>
      </c>
      <c r="B286" s="1329"/>
      <c r="C286" s="1329"/>
      <c r="D286" s="1329"/>
      <c r="E286" s="1329"/>
      <c r="F286" s="1329"/>
      <c r="G286" s="1329"/>
      <c r="H286" s="1329"/>
    </row>
    <row r="287" spans="1:8" x14ac:dyDescent="0.2">
      <c r="A287" s="1330" t="s">
        <v>764</v>
      </c>
      <c r="B287" s="1329"/>
      <c r="C287" s="1329"/>
      <c r="D287" s="1329"/>
      <c r="E287" s="1329"/>
      <c r="F287" s="1329"/>
      <c r="G287" s="1329"/>
      <c r="H287" s="1329"/>
    </row>
    <row r="288" spans="1:8" x14ac:dyDescent="0.2">
      <c r="A288" s="1330" t="s">
        <v>765</v>
      </c>
      <c r="B288" s="1329"/>
      <c r="C288" s="1329"/>
      <c r="D288" s="1329"/>
      <c r="E288" s="1329"/>
      <c r="F288" s="1329"/>
      <c r="G288" s="1329"/>
      <c r="H288" s="1329"/>
    </row>
    <row r="289" spans="1:8" x14ac:dyDescent="0.2">
      <c r="A289" s="1330" t="s">
        <v>766</v>
      </c>
      <c r="B289" s="1329"/>
      <c r="C289" s="1329"/>
      <c r="D289" s="1329"/>
      <c r="E289" s="1329"/>
      <c r="F289" s="1329"/>
      <c r="G289" s="1329"/>
      <c r="H289" s="1329"/>
    </row>
    <row r="290" spans="1:8" x14ac:dyDescent="0.2">
      <c r="A290" s="1330" t="s">
        <v>767</v>
      </c>
      <c r="B290" s="1329"/>
      <c r="C290" s="1329"/>
      <c r="D290" s="1329"/>
      <c r="E290" s="1329"/>
      <c r="F290" s="1329"/>
      <c r="G290" s="1329"/>
      <c r="H290" s="1329"/>
    </row>
    <row r="291" spans="1:8" x14ac:dyDescent="0.2">
      <c r="A291" s="1330" t="s">
        <v>768</v>
      </c>
      <c r="B291" s="1329"/>
      <c r="C291" s="1329"/>
      <c r="D291" s="1329"/>
      <c r="E291" s="1329"/>
      <c r="F291" s="1329"/>
      <c r="G291" s="1329"/>
      <c r="H291" s="1329"/>
    </row>
    <row r="292" spans="1:8" x14ac:dyDescent="0.2">
      <c r="A292" s="1329"/>
      <c r="B292" s="1329"/>
      <c r="C292" s="1329"/>
      <c r="D292" s="1329"/>
      <c r="E292" s="1329"/>
      <c r="F292" s="1329"/>
      <c r="G292" s="1329"/>
      <c r="H292" s="1329"/>
    </row>
    <row r="293" spans="1:8" x14ac:dyDescent="0.2">
      <c r="A293" s="1330" t="s">
        <v>753</v>
      </c>
      <c r="B293" s="1329"/>
      <c r="C293" s="1329"/>
      <c r="D293" s="1329"/>
      <c r="E293" s="1329"/>
      <c r="F293" s="1329"/>
      <c r="G293" s="1329"/>
      <c r="H293" s="1329"/>
    </row>
    <row r="294" spans="1:8" x14ac:dyDescent="0.2">
      <c r="A294" s="1330" t="s">
        <v>754</v>
      </c>
      <c r="B294" s="1329"/>
      <c r="C294" s="1329"/>
      <c r="D294" s="1329"/>
      <c r="E294" s="1329"/>
      <c r="F294" s="1329"/>
      <c r="G294" s="1329"/>
      <c r="H294" s="1329"/>
    </row>
    <row r="295" spans="1:8" x14ac:dyDescent="0.2">
      <c r="A295" s="1330" t="s">
        <v>755</v>
      </c>
      <c r="B295" s="1329"/>
      <c r="C295" s="1329"/>
      <c r="D295" s="1329"/>
      <c r="E295" s="1329"/>
      <c r="F295" s="1329"/>
      <c r="G295" s="1329"/>
      <c r="H295" s="1329"/>
    </row>
    <row r="296" spans="1:8" x14ac:dyDescent="0.2">
      <c r="A296" s="1330" t="s">
        <v>756</v>
      </c>
      <c r="B296" s="1329"/>
      <c r="C296" s="1329"/>
      <c r="D296" s="1329"/>
      <c r="E296" s="1329"/>
      <c r="F296" s="1329"/>
      <c r="G296" s="1329"/>
      <c r="H296" s="1329"/>
    </row>
    <row r="297" spans="1:8" x14ac:dyDescent="0.2">
      <c r="A297" s="1330" t="s">
        <v>757</v>
      </c>
      <c r="B297" s="1329"/>
      <c r="C297" s="1329"/>
      <c r="D297" s="1329"/>
      <c r="E297" s="1329"/>
      <c r="F297" s="1329"/>
      <c r="G297" s="1329"/>
      <c r="H297" s="1329"/>
    </row>
    <row r="298" spans="1:8" x14ac:dyDescent="0.2">
      <c r="A298" s="1330" t="s">
        <v>758</v>
      </c>
      <c r="B298" s="1329"/>
      <c r="C298" s="1329"/>
      <c r="D298" s="1329"/>
      <c r="E298" s="1329"/>
      <c r="F298" s="1329"/>
      <c r="G298" s="1329"/>
      <c r="H298" s="1329"/>
    </row>
    <row r="299" spans="1:8" x14ac:dyDescent="0.2">
      <c r="A299" s="1330" t="s">
        <v>759</v>
      </c>
      <c r="B299" s="1329"/>
      <c r="C299" s="1329"/>
      <c r="D299" s="1329"/>
      <c r="E299" s="1329"/>
      <c r="F299" s="1329"/>
      <c r="G299" s="1329"/>
      <c r="H299" s="1329"/>
    </row>
    <row r="300" spans="1:8" x14ac:dyDescent="0.2">
      <c r="A300" s="1329"/>
      <c r="B300" s="1329"/>
      <c r="C300" s="1329"/>
      <c r="D300" s="1329"/>
      <c r="E300" s="1329"/>
      <c r="F300" s="1329"/>
      <c r="G300" s="1329"/>
      <c r="H300" s="1329"/>
    </row>
    <row r="301" spans="1:8" x14ac:dyDescent="0.2">
      <c r="A301" s="1330" t="s">
        <v>750</v>
      </c>
      <c r="B301" s="1329"/>
      <c r="C301" s="1329"/>
      <c r="D301" s="1329"/>
      <c r="E301" s="1329"/>
      <c r="F301" s="1329"/>
      <c r="G301" s="1329"/>
      <c r="H301" s="1329"/>
    </row>
    <row r="302" spans="1:8" x14ac:dyDescent="0.2">
      <c r="A302" s="1330" t="s">
        <v>751</v>
      </c>
      <c r="B302" s="1329"/>
      <c r="C302" s="1329"/>
      <c r="D302" s="1329"/>
      <c r="E302" s="1329"/>
      <c r="F302" s="1329"/>
      <c r="G302" s="1329"/>
      <c r="H302" s="1329"/>
    </row>
    <row r="303" spans="1:8" x14ac:dyDescent="0.2">
      <c r="A303" s="1330" t="s">
        <v>752</v>
      </c>
      <c r="B303" s="1329"/>
      <c r="C303" s="1329"/>
      <c r="D303" s="1329"/>
      <c r="E303" s="1329"/>
      <c r="F303" s="1329"/>
      <c r="G303" s="1329"/>
      <c r="H303" s="1329"/>
    </row>
    <row r="304" spans="1:8" x14ac:dyDescent="0.2">
      <c r="A304" s="1329"/>
      <c r="B304" s="1329"/>
      <c r="C304" s="1329"/>
      <c r="D304" s="1329"/>
      <c r="E304" s="1329"/>
      <c r="F304" s="1329"/>
      <c r="G304" s="1329"/>
      <c r="H304" s="1329"/>
    </row>
    <row r="305" spans="1:8" x14ac:dyDescent="0.2">
      <c r="A305" s="1330" t="s">
        <v>748</v>
      </c>
      <c r="B305" s="1329"/>
      <c r="C305" s="1329"/>
      <c r="D305" s="1329"/>
      <c r="E305" s="1329"/>
      <c r="F305" s="1329"/>
      <c r="G305" s="1329"/>
      <c r="H305" s="1329"/>
    </row>
    <row r="306" spans="1:8" x14ac:dyDescent="0.2">
      <c r="A306" s="1330" t="s">
        <v>749</v>
      </c>
      <c r="B306" s="1329"/>
      <c r="C306" s="1329"/>
      <c r="D306" s="1329"/>
      <c r="E306" s="1329"/>
      <c r="F306" s="1329"/>
      <c r="G306" s="1329"/>
      <c r="H306" s="1329"/>
    </row>
    <row r="307" spans="1:8" x14ac:dyDescent="0.2">
      <c r="A307" s="1329"/>
      <c r="B307" s="1329"/>
      <c r="C307" s="1329"/>
      <c r="D307" s="1329"/>
      <c r="E307" s="1329"/>
      <c r="F307" s="1329"/>
      <c r="G307" s="1329"/>
      <c r="H307" s="1329"/>
    </row>
    <row r="308" spans="1:8" x14ac:dyDescent="0.2">
      <c r="A308" s="1330" t="s">
        <v>735</v>
      </c>
      <c r="B308" s="1329"/>
      <c r="C308" s="1329"/>
      <c r="D308" s="1329"/>
      <c r="E308" s="1329"/>
      <c r="F308" s="1329"/>
      <c r="G308" s="1329"/>
      <c r="H308" s="1329"/>
    </row>
    <row r="309" spans="1:8" x14ac:dyDescent="0.2">
      <c r="A309" s="1330" t="s">
        <v>736</v>
      </c>
      <c r="B309" s="1329"/>
      <c r="C309" s="1329"/>
      <c r="D309" s="1329"/>
      <c r="E309" s="1329"/>
      <c r="F309" s="1329"/>
      <c r="G309" s="1329"/>
      <c r="H309" s="1329"/>
    </row>
    <row r="310" spans="1:8" x14ac:dyDescent="0.2">
      <c r="A310" s="1330" t="s">
        <v>737</v>
      </c>
      <c r="B310" s="1329"/>
      <c r="C310" s="1329"/>
      <c r="D310" s="1329"/>
      <c r="E310" s="1329"/>
      <c r="F310" s="1329"/>
      <c r="G310" s="1329"/>
      <c r="H310" s="1329"/>
    </row>
    <row r="311" spans="1:8" x14ac:dyDescent="0.2">
      <c r="A311" s="1330" t="s">
        <v>738</v>
      </c>
      <c r="B311" s="1329"/>
      <c r="C311" s="1329"/>
      <c r="D311" s="1329"/>
      <c r="E311" s="1329"/>
      <c r="F311" s="1329"/>
      <c r="G311" s="1329"/>
      <c r="H311" s="1329"/>
    </row>
    <row r="312" spans="1:8" x14ac:dyDescent="0.2">
      <c r="A312" s="1330" t="s">
        <v>739</v>
      </c>
      <c r="B312" s="1329"/>
      <c r="C312" s="1329"/>
      <c r="D312" s="1329"/>
      <c r="E312" s="1329"/>
      <c r="F312" s="1329"/>
      <c r="G312" s="1329"/>
      <c r="H312" s="1329"/>
    </row>
    <row r="313" spans="1:8" x14ac:dyDescent="0.2">
      <c r="A313" s="1330" t="s">
        <v>740</v>
      </c>
      <c r="B313" s="1329"/>
      <c r="C313" s="1329"/>
      <c r="D313" s="1329"/>
      <c r="E313" s="1329"/>
      <c r="F313" s="1329"/>
      <c r="G313" s="1329"/>
      <c r="H313" s="1329"/>
    </row>
    <row r="314" spans="1:8" x14ac:dyDescent="0.2">
      <c r="A314" s="1330" t="s">
        <v>741</v>
      </c>
      <c r="B314" s="1329"/>
      <c r="C314" s="1329"/>
      <c r="D314" s="1329"/>
      <c r="E314" s="1329"/>
      <c r="F314" s="1329"/>
      <c r="G314" s="1329"/>
      <c r="H314" s="1329"/>
    </row>
    <row r="315" spans="1:8" x14ac:dyDescent="0.2">
      <c r="A315" s="1330" t="s">
        <v>742</v>
      </c>
      <c r="B315" s="1329"/>
      <c r="C315" s="1329"/>
      <c r="D315" s="1329"/>
      <c r="E315" s="1329"/>
      <c r="F315" s="1329"/>
      <c r="G315" s="1329"/>
      <c r="H315" s="1329"/>
    </row>
    <row r="316" spans="1:8" x14ac:dyDescent="0.2">
      <c r="A316" s="1330" t="s">
        <v>743</v>
      </c>
      <c r="B316" s="1329"/>
      <c r="C316" s="1329"/>
      <c r="D316" s="1329"/>
      <c r="E316" s="1329"/>
      <c r="F316" s="1329"/>
      <c r="G316" s="1329"/>
      <c r="H316" s="1329"/>
    </row>
    <row r="317" spans="1:8" x14ac:dyDescent="0.2">
      <c r="A317" s="1330" t="s">
        <v>744</v>
      </c>
      <c r="B317" s="1329"/>
      <c r="C317" s="1329"/>
      <c r="D317" s="1329"/>
      <c r="E317" s="1329"/>
      <c r="F317" s="1329"/>
      <c r="G317" s="1329"/>
      <c r="H317" s="1329"/>
    </row>
    <row r="318" spans="1:8" x14ac:dyDescent="0.2">
      <c r="A318" s="1330" t="s">
        <v>745</v>
      </c>
      <c r="B318" s="1329"/>
      <c r="C318" s="1329"/>
      <c r="D318" s="1329"/>
      <c r="E318" s="1329"/>
      <c r="F318" s="1329"/>
      <c r="G318" s="1329"/>
      <c r="H318" s="1329"/>
    </row>
    <row r="319" spans="1:8" x14ac:dyDescent="0.2">
      <c r="A319" s="1330" t="s">
        <v>746</v>
      </c>
      <c r="B319" s="1329"/>
      <c r="C319" s="1329"/>
      <c r="D319" s="1329"/>
      <c r="E319" s="1329"/>
      <c r="F319" s="1329"/>
      <c r="G319" s="1329"/>
      <c r="H319" s="1329"/>
    </row>
    <row r="320" spans="1:8" x14ac:dyDescent="0.2">
      <c r="A320" s="1330" t="s">
        <v>747</v>
      </c>
      <c r="B320" s="1329"/>
      <c r="C320" s="1329"/>
      <c r="D320" s="1329"/>
      <c r="E320" s="1329"/>
      <c r="F320" s="1329"/>
      <c r="G320" s="1329"/>
      <c r="H320" s="1329"/>
    </row>
    <row r="321" spans="1:8" x14ac:dyDescent="0.2">
      <c r="A321" s="1329"/>
      <c r="B321" s="1329"/>
      <c r="C321" s="1329"/>
      <c r="D321" s="1329"/>
      <c r="E321" s="1329"/>
      <c r="F321" s="1329"/>
      <c r="G321" s="1329"/>
      <c r="H321" s="1329"/>
    </row>
    <row r="322" spans="1:8" x14ac:dyDescent="0.2">
      <c r="A322" s="1330" t="s">
        <v>727</v>
      </c>
      <c r="B322" s="1329"/>
      <c r="C322" s="1329"/>
      <c r="D322" s="1329"/>
      <c r="E322" s="1329"/>
      <c r="F322" s="1329"/>
      <c r="G322" s="1329"/>
      <c r="H322" s="1329"/>
    </row>
    <row r="323" spans="1:8" x14ac:dyDescent="0.2">
      <c r="A323" s="1330" t="s">
        <v>728</v>
      </c>
      <c r="B323" s="1329"/>
      <c r="C323" s="1329"/>
      <c r="D323" s="1329"/>
      <c r="E323" s="1329"/>
      <c r="F323" s="1329"/>
      <c r="G323" s="1329"/>
      <c r="H323" s="1329"/>
    </row>
    <row r="324" spans="1:8" x14ac:dyDescent="0.2">
      <c r="A324" s="1330" t="s">
        <v>729</v>
      </c>
      <c r="B324" s="1329"/>
      <c r="C324" s="1329"/>
      <c r="D324" s="1329"/>
      <c r="E324" s="1329"/>
      <c r="F324" s="1329"/>
      <c r="G324" s="1329"/>
      <c r="H324" s="1329"/>
    </row>
    <row r="325" spans="1:8" x14ac:dyDescent="0.2">
      <c r="A325" s="1330" t="s">
        <v>730</v>
      </c>
      <c r="B325" s="1329"/>
      <c r="C325" s="1329"/>
      <c r="D325" s="1329"/>
      <c r="E325" s="1329"/>
      <c r="F325" s="1329"/>
      <c r="G325" s="1329"/>
      <c r="H325" s="1329"/>
    </row>
    <row r="326" spans="1:8" x14ac:dyDescent="0.2">
      <c r="A326" s="1330" t="s">
        <v>731</v>
      </c>
      <c r="B326" s="1329"/>
      <c r="C326" s="1329"/>
      <c r="D326" s="1329"/>
      <c r="E326" s="1329"/>
      <c r="F326" s="1329"/>
      <c r="G326" s="1329"/>
      <c r="H326" s="1329"/>
    </row>
    <row r="327" spans="1:8" x14ac:dyDescent="0.2">
      <c r="A327" s="1330" t="s">
        <v>732</v>
      </c>
      <c r="B327" s="1329"/>
      <c r="C327" s="1329"/>
      <c r="D327" s="1329"/>
      <c r="E327" s="1329"/>
      <c r="F327" s="1329"/>
      <c r="G327" s="1329"/>
      <c r="H327" s="1329"/>
    </row>
    <row r="328" spans="1:8" x14ac:dyDescent="0.2">
      <c r="A328" s="1330" t="s">
        <v>733</v>
      </c>
      <c r="B328" s="1329"/>
      <c r="C328" s="1329"/>
      <c r="D328" s="1329"/>
      <c r="E328" s="1329"/>
      <c r="F328" s="1329"/>
      <c r="G328" s="1329"/>
      <c r="H328" s="1329"/>
    </row>
    <row r="329" spans="1:8" x14ac:dyDescent="0.2">
      <c r="A329" s="1330" t="s">
        <v>734</v>
      </c>
      <c r="B329" s="1329"/>
      <c r="C329" s="1329"/>
      <c r="D329" s="1329"/>
      <c r="E329" s="1329"/>
      <c r="F329" s="1329"/>
      <c r="G329" s="1329"/>
      <c r="H329" s="1329"/>
    </row>
    <row r="330" spans="1:8" x14ac:dyDescent="0.2">
      <c r="A330" s="1329"/>
      <c r="B330" s="1329"/>
      <c r="C330" s="1329"/>
      <c r="D330" s="1329"/>
      <c r="E330" s="1329"/>
      <c r="F330" s="1329"/>
      <c r="G330" s="1329"/>
      <c r="H330" s="1329"/>
    </row>
    <row r="331" spans="1:8" x14ac:dyDescent="0.2">
      <c r="A331" s="1330" t="s">
        <v>692</v>
      </c>
      <c r="B331" s="1329"/>
      <c r="C331" s="1329"/>
      <c r="D331" s="1329"/>
      <c r="E331" s="1329"/>
      <c r="F331" s="1329"/>
      <c r="G331" s="1329"/>
      <c r="H331" s="1329"/>
    </row>
    <row r="332" spans="1:8" x14ac:dyDescent="0.2">
      <c r="A332" s="1330" t="s">
        <v>693</v>
      </c>
      <c r="B332" s="1329"/>
      <c r="C332" s="1329"/>
      <c r="D332" s="1329"/>
      <c r="E332" s="1329"/>
      <c r="F332" s="1329"/>
      <c r="G332" s="1329"/>
      <c r="H332" s="1329"/>
    </row>
    <row r="333" spans="1:8" x14ac:dyDescent="0.2">
      <c r="A333" s="1330" t="s">
        <v>694</v>
      </c>
      <c r="B333" s="1329"/>
      <c r="C333" s="1329"/>
      <c r="D333" s="1329"/>
      <c r="E333" s="1329"/>
      <c r="F333" s="1329"/>
      <c r="G333" s="1329"/>
      <c r="H333" s="1329"/>
    </row>
    <row r="334" spans="1:8" x14ac:dyDescent="0.2">
      <c r="A334" s="1330" t="s">
        <v>695</v>
      </c>
      <c r="B334" s="1329"/>
      <c r="C334" s="1329"/>
      <c r="D334" s="1329"/>
      <c r="E334" s="1329"/>
      <c r="F334" s="1329"/>
      <c r="G334" s="1329"/>
      <c r="H334" s="1329"/>
    </row>
    <row r="335" spans="1:8" x14ac:dyDescent="0.2">
      <c r="A335" s="1330" t="s">
        <v>696</v>
      </c>
      <c r="B335" s="1329"/>
      <c r="C335" s="1329"/>
      <c r="D335" s="1329"/>
      <c r="E335" s="1329"/>
      <c r="F335" s="1329"/>
      <c r="G335" s="1329"/>
      <c r="H335" s="1329"/>
    </row>
    <row r="336" spans="1:8" x14ac:dyDescent="0.2">
      <c r="A336" s="1330" t="s">
        <v>697</v>
      </c>
      <c r="B336" s="1329"/>
      <c r="C336" s="1329"/>
      <c r="D336" s="1329"/>
      <c r="E336" s="1329"/>
      <c r="F336" s="1329"/>
      <c r="G336" s="1329"/>
      <c r="H336" s="1329"/>
    </row>
    <row r="337" spans="1:8" x14ac:dyDescent="0.2">
      <c r="A337" s="1330" t="s">
        <v>698</v>
      </c>
      <c r="B337" s="1329"/>
      <c r="C337" s="1329"/>
      <c r="D337" s="1329"/>
      <c r="E337" s="1329"/>
      <c r="F337" s="1329"/>
      <c r="G337" s="1329"/>
      <c r="H337" s="1329"/>
    </row>
    <row r="338" spans="1:8" x14ac:dyDescent="0.2">
      <c r="A338" s="1330" t="s">
        <v>699</v>
      </c>
      <c r="B338" s="1329"/>
      <c r="C338" s="1329"/>
      <c r="D338" s="1329"/>
      <c r="E338" s="1329"/>
      <c r="F338" s="1329"/>
      <c r="G338" s="1329"/>
      <c r="H338" s="1329"/>
    </row>
    <row r="339" spans="1:8" x14ac:dyDescent="0.2">
      <c r="A339" s="1330" t="s">
        <v>700</v>
      </c>
      <c r="B339" s="1329"/>
      <c r="C339" s="1329"/>
      <c r="D339" s="1329"/>
      <c r="E339" s="1329"/>
      <c r="F339" s="1329"/>
      <c r="G339" s="1329"/>
      <c r="H339" s="1329"/>
    </row>
    <row r="340" spans="1:8" x14ac:dyDescent="0.2">
      <c r="A340" s="1330" t="s">
        <v>701</v>
      </c>
      <c r="B340" s="1329"/>
      <c r="C340" s="1329"/>
      <c r="D340" s="1329"/>
      <c r="E340" s="1329"/>
      <c r="F340" s="1329"/>
      <c r="G340" s="1329"/>
      <c r="H340" s="1329"/>
    </row>
    <row r="341" spans="1:8" x14ac:dyDescent="0.2">
      <c r="A341" s="1330" t="s">
        <v>702</v>
      </c>
      <c r="B341" s="1329"/>
      <c r="C341" s="1329"/>
      <c r="D341" s="1329"/>
      <c r="E341" s="1329"/>
      <c r="F341" s="1329"/>
      <c r="G341" s="1329"/>
      <c r="H341" s="1329"/>
    </row>
    <row r="342" spans="1:8" x14ac:dyDescent="0.2">
      <c r="A342" s="1330" t="s">
        <v>703</v>
      </c>
      <c r="B342" s="1329"/>
      <c r="C342" s="1329"/>
      <c r="D342" s="1329"/>
      <c r="E342" s="1329"/>
      <c r="F342" s="1329"/>
      <c r="G342" s="1329"/>
      <c r="H342" s="1329"/>
    </row>
    <row r="343" spans="1:8" x14ac:dyDescent="0.2">
      <c r="A343" s="1330" t="s">
        <v>704</v>
      </c>
      <c r="B343" s="1329"/>
      <c r="C343" s="1329"/>
      <c r="D343" s="1329"/>
      <c r="E343" s="1329"/>
      <c r="F343" s="1329"/>
      <c r="G343" s="1329"/>
      <c r="H343" s="1329"/>
    </row>
    <row r="344" spans="1:8" x14ac:dyDescent="0.2">
      <c r="A344" s="1330" t="s">
        <v>705</v>
      </c>
      <c r="B344" s="1329"/>
      <c r="C344" s="1329"/>
      <c r="D344" s="1329"/>
      <c r="E344" s="1329"/>
      <c r="F344" s="1329"/>
      <c r="G344" s="1329"/>
      <c r="H344" s="1329"/>
    </row>
    <row r="345" spans="1:8" x14ac:dyDescent="0.2">
      <c r="A345" s="1330" t="s">
        <v>706</v>
      </c>
      <c r="B345" s="1329"/>
      <c r="C345" s="1329"/>
      <c r="D345" s="1329"/>
      <c r="E345" s="1329"/>
      <c r="F345" s="1329"/>
      <c r="G345" s="1329"/>
      <c r="H345" s="1329"/>
    </row>
    <row r="346" spans="1:8" x14ac:dyDescent="0.2">
      <c r="A346" s="1330" t="s">
        <v>707</v>
      </c>
      <c r="B346" s="1329"/>
      <c r="C346" s="1329"/>
      <c r="D346" s="1329"/>
      <c r="E346" s="1329"/>
      <c r="F346" s="1329"/>
      <c r="G346" s="1329"/>
      <c r="H346" s="1329"/>
    </row>
    <row r="347" spans="1:8" x14ac:dyDescent="0.2">
      <c r="A347" s="1330" t="s">
        <v>708</v>
      </c>
      <c r="B347" s="1329"/>
      <c r="C347" s="1329"/>
      <c r="D347" s="1329"/>
      <c r="E347" s="1329"/>
      <c r="F347" s="1329"/>
      <c r="G347" s="1329"/>
      <c r="H347" s="1329"/>
    </row>
    <row r="348" spans="1:8" x14ac:dyDescent="0.2">
      <c r="A348" s="1330" t="s">
        <v>709</v>
      </c>
      <c r="B348" s="1329"/>
      <c r="C348" s="1329"/>
      <c r="D348" s="1329"/>
      <c r="E348" s="1329"/>
      <c r="F348" s="1329"/>
      <c r="G348" s="1329"/>
      <c r="H348" s="1329"/>
    </row>
    <row r="349" spans="1:8" x14ac:dyDescent="0.2">
      <c r="A349" s="1330" t="s">
        <v>710</v>
      </c>
      <c r="B349" s="1329"/>
      <c r="C349" s="1329"/>
      <c r="D349" s="1329"/>
      <c r="E349" s="1329"/>
      <c r="F349" s="1329"/>
      <c r="G349" s="1329"/>
      <c r="H349" s="1329"/>
    </row>
    <row r="350" spans="1:8" x14ac:dyDescent="0.2">
      <c r="A350" s="1330" t="s">
        <v>711</v>
      </c>
      <c r="B350" s="1329"/>
      <c r="C350" s="1329"/>
      <c r="D350" s="1329"/>
      <c r="E350" s="1329"/>
      <c r="F350" s="1329"/>
      <c r="G350" s="1329"/>
      <c r="H350" s="1329"/>
    </row>
    <row r="351" spans="1:8" x14ac:dyDescent="0.2">
      <c r="A351" s="1330" t="s">
        <v>712</v>
      </c>
      <c r="B351" s="1329"/>
      <c r="C351" s="1329"/>
      <c r="D351" s="1329"/>
      <c r="E351" s="1329"/>
      <c r="F351" s="1329"/>
      <c r="G351" s="1329"/>
      <c r="H351" s="1329"/>
    </row>
    <row r="352" spans="1:8" x14ac:dyDescent="0.2">
      <c r="A352" s="1330" t="s">
        <v>713</v>
      </c>
      <c r="B352" s="1329"/>
      <c r="C352" s="1329"/>
      <c r="D352" s="1329"/>
      <c r="E352" s="1329"/>
      <c r="F352" s="1329"/>
      <c r="G352" s="1329"/>
      <c r="H352" s="1329"/>
    </row>
    <row r="353" spans="1:8" x14ac:dyDescent="0.2">
      <c r="A353" s="1330" t="s">
        <v>714</v>
      </c>
      <c r="B353" s="1329"/>
      <c r="C353" s="1329"/>
      <c r="D353" s="1329"/>
      <c r="E353" s="1329"/>
      <c r="F353" s="1329"/>
      <c r="G353" s="1329"/>
      <c r="H353" s="1329"/>
    </row>
    <row r="354" spans="1:8" x14ac:dyDescent="0.2">
      <c r="A354" s="1330" t="s">
        <v>715</v>
      </c>
      <c r="B354" s="1329"/>
      <c r="C354" s="1329"/>
      <c r="D354" s="1329"/>
      <c r="E354" s="1329"/>
      <c r="F354" s="1329"/>
      <c r="G354" s="1329"/>
      <c r="H354" s="1329"/>
    </row>
    <row r="355" spans="1:8" x14ac:dyDescent="0.2">
      <c r="A355" s="1330" t="s">
        <v>716</v>
      </c>
      <c r="B355" s="1329"/>
      <c r="C355" s="1329"/>
      <c r="D355" s="1329"/>
      <c r="E355" s="1329"/>
      <c r="F355" s="1329"/>
      <c r="G355" s="1329"/>
      <c r="H355" s="1329"/>
    </row>
    <row r="356" spans="1:8" x14ac:dyDescent="0.2">
      <c r="A356" s="1330" t="s">
        <v>717</v>
      </c>
      <c r="B356" s="1329"/>
      <c r="C356" s="1329"/>
      <c r="D356" s="1329"/>
      <c r="E356" s="1329"/>
      <c r="F356" s="1329"/>
      <c r="G356" s="1329"/>
      <c r="H356" s="1329"/>
    </row>
    <row r="357" spans="1:8" x14ac:dyDescent="0.2">
      <c r="A357" s="1330" t="s">
        <v>718</v>
      </c>
      <c r="B357" s="1329"/>
      <c r="C357" s="1329"/>
      <c r="D357" s="1329"/>
      <c r="E357" s="1329"/>
      <c r="F357" s="1329"/>
      <c r="G357" s="1329"/>
      <c r="H357" s="1329"/>
    </row>
    <row r="358" spans="1:8" x14ac:dyDescent="0.2">
      <c r="A358" s="1330" t="s">
        <v>719</v>
      </c>
      <c r="B358" s="1329"/>
      <c r="C358" s="1329"/>
      <c r="D358" s="1329"/>
      <c r="E358" s="1329"/>
      <c r="F358" s="1329"/>
      <c r="G358" s="1329"/>
      <c r="H358" s="1329"/>
    </row>
    <row r="359" spans="1:8" x14ac:dyDescent="0.2">
      <c r="A359" s="1330" t="s">
        <v>720</v>
      </c>
      <c r="B359" s="1329"/>
      <c r="C359" s="1329"/>
      <c r="D359" s="1329"/>
      <c r="E359" s="1329"/>
      <c r="F359" s="1329"/>
      <c r="G359" s="1329"/>
      <c r="H359" s="1329"/>
    </row>
    <row r="360" spans="1:8" x14ac:dyDescent="0.2">
      <c r="A360" s="1330" t="s">
        <v>721</v>
      </c>
      <c r="B360" s="1329"/>
      <c r="C360" s="1329"/>
      <c r="D360" s="1329"/>
      <c r="E360" s="1329"/>
      <c r="F360" s="1329"/>
      <c r="G360" s="1329"/>
      <c r="H360" s="1329"/>
    </row>
    <row r="361" spans="1:8" x14ac:dyDescent="0.2">
      <c r="A361" s="1330" t="s">
        <v>722</v>
      </c>
      <c r="B361" s="1329"/>
      <c r="C361" s="1329"/>
      <c r="D361" s="1329"/>
      <c r="E361" s="1329"/>
      <c r="F361" s="1329"/>
      <c r="G361" s="1329"/>
      <c r="H361" s="1329"/>
    </row>
    <row r="362" spans="1:8" x14ac:dyDescent="0.2">
      <c r="A362" s="1330" t="s">
        <v>723</v>
      </c>
      <c r="B362" s="1329"/>
      <c r="C362" s="1329"/>
      <c r="D362" s="1329"/>
      <c r="E362" s="1329"/>
      <c r="F362" s="1329"/>
      <c r="G362" s="1329"/>
      <c r="H362" s="1329"/>
    </row>
    <row r="363" spans="1:8" x14ac:dyDescent="0.2">
      <c r="A363" s="1330" t="s">
        <v>724</v>
      </c>
      <c r="B363" s="1329"/>
      <c r="C363" s="1329"/>
      <c r="D363" s="1329"/>
      <c r="E363" s="1329"/>
      <c r="F363" s="1329"/>
      <c r="G363" s="1329"/>
      <c r="H363" s="1329"/>
    </row>
    <row r="364" spans="1:8" x14ac:dyDescent="0.2">
      <c r="A364" s="1330" t="s">
        <v>725</v>
      </c>
      <c r="B364" s="1329"/>
      <c r="C364" s="1329"/>
      <c r="D364" s="1329"/>
      <c r="E364" s="1329"/>
      <c r="F364" s="1329"/>
      <c r="G364" s="1329"/>
      <c r="H364" s="1329"/>
    </row>
    <row r="365" spans="1:8" x14ac:dyDescent="0.2">
      <c r="A365" s="1330" t="s">
        <v>726</v>
      </c>
      <c r="B365" s="1329"/>
      <c r="C365" s="1329"/>
      <c r="D365" s="1329"/>
      <c r="E365" s="1329"/>
      <c r="F365" s="1329"/>
      <c r="G365" s="1329"/>
      <c r="H365" s="1329"/>
    </row>
    <row r="366" spans="1:8" x14ac:dyDescent="0.2">
      <c r="A366" s="1329"/>
      <c r="B366" s="1329"/>
      <c r="C366" s="1329"/>
      <c r="D366" s="1329"/>
      <c r="E366" s="1329"/>
      <c r="F366" s="1329"/>
      <c r="G366" s="1329"/>
      <c r="H366" s="1329"/>
    </row>
    <row r="367" spans="1:8" x14ac:dyDescent="0.2">
      <c r="A367" s="1330" t="s">
        <v>684</v>
      </c>
      <c r="B367" s="1329"/>
      <c r="C367" s="1329"/>
      <c r="D367" s="1329"/>
      <c r="E367" s="1329"/>
      <c r="F367" s="1329"/>
      <c r="G367" s="1329"/>
      <c r="H367" s="1329"/>
    </row>
    <row r="368" spans="1:8" x14ac:dyDescent="0.2">
      <c r="A368" s="1330" t="s">
        <v>688</v>
      </c>
      <c r="B368" s="1329"/>
      <c r="C368" s="1329"/>
      <c r="D368" s="1329"/>
      <c r="E368" s="1329"/>
      <c r="F368" s="1329"/>
      <c r="G368" s="1329"/>
      <c r="H368" s="1329"/>
    </row>
    <row r="369" spans="1:8" x14ac:dyDescent="0.2">
      <c r="A369" s="1330" t="s">
        <v>689</v>
      </c>
      <c r="B369" s="1329"/>
      <c r="C369" s="1329"/>
      <c r="D369" s="1329"/>
      <c r="E369" s="1329"/>
      <c r="F369" s="1329"/>
      <c r="G369" s="1329"/>
      <c r="H369" s="1329"/>
    </row>
    <row r="370" spans="1:8" x14ac:dyDescent="0.2">
      <c r="A370" s="1330" t="s">
        <v>690</v>
      </c>
      <c r="B370" s="1329"/>
      <c r="C370" s="1329"/>
      <c r="D370" s="1329"/>
      <c r="E370" s="1329"/>
      <c r="F370" s="1329"/>
      <c r="G370" s="1329"/>
      <c r="H370" s="1329"/>
    </row>
    <row r="371" spans="1:8" x14ac:dyDescent="0.2">
      <c r="A371" s="1330" t="s">
        <v>691</v>
      </c>
      <c r="B371" s="1329"/>
      <c r="C371" s="1329"/>
      <c r="D371" s="1329"/>
      <c r="E371" s="1329"/>
      <c r="F371" s="1329"/>
      <c r="G371" s="1329"/>
      <c r="H371" s="1329"/>
    </row>
    <row r="372" spans="1:8" x14ac:dyDescent="0.2">
      <c r="A372" s="1329"/>
      <c r="B372" s="1329"/>
      <c r="C372" s="1329"/>
      <c r="D372" s="1329"/>
      <c r="E372" s="1329"/>
      <c r="F372" s="1329"/>
      <c r="G372" s="1329"/>
      <c r="H372" s="1329"/>
    </row>
    <row r="373" spans="1:8" x14ac:dyDescent="0.2">
      <c r="A373" s="1330" t="s">
        <v>684</v>
      </c>
      <c r="B373" s="1329"/>
      <c r="C373" s="1329"/>
      <c r="D373" s="1329"/>
      <c r="E373" s="1329"/>
      <c r="F373" s="1329"/>
      <c r="G373" s="1329"/>
      <c r="H373" s="1329"/>
    </row>
    <row r="374" spans="1:8" x14ac:dyDescent="0.2">
      <c r="A374" s="1330" t="s">
        <v>685</v>
      </c>
      <c r="B374" s="1329"/>
      <c r="C374" s="1329"/>
      <c r="D374" s="1329"/>
      <c r="E374" s="1329"/>
      <c r="F374" s="1329"/>
      <c r="G374" s="1329"/>
      <c r="H374" s="1329"/>
    </row>
    <row r="375" spans="1:8" x14ac:dyDescent="0.2">
      <c r="A375" s="1330" t="s">
        <v>686</v>
      </c>
      <c r="B375" s="1329"/>
      <c r="C375" s="1329"/>
      <c r="D375" s="1329"/>
      <c r="E375" s="1329"/>
      <c r="F375" s="1329"/>
      <c r="G375" s="1329"/>
      <c r="H375" s="1329"/>
    </row>
    <row r="376" spans="1:8" x14ac:dyDescent="0.2">
      <c r="A376" s="1330" t="s">
        <v>687</v>
      </c>
      <c r="B376" s="1329"/>
      <c r="C376" s="1329"/>
      <c r="D376" s="1329"/>
      <c r="E376" s="1329"/>
      <c r="F376" s="1329"/>
      <c r="G376" s="1329"/>
      <c r="H376" s="1329"/>
    </row>
    <row r="377" spans="1:8" x14ac:dyDescent="0.2">
      <c r="A377" s="1329"/>
      <c r="B377" s="1329"/>
      <c r="C377" s="1329"/>
      <c r="D377" s="1329"/>
      <c r="E377" s="1329"/>
      <c r="F377" s="1329"/>
      <c r="G377" s="1329"/>
      <c r="H377" s="1329"/>
    </row>
    <row r="378" spans="1:8" x14ac:dyDescent="0.2">
      <c r="A378" s="1330" t="s">
        <v>678</v>
      </c>
      <c r="B378" s="1329"/>
      <c r="C378" s="1329"/>
      <c r="D378" s="1329"/>
      <c r="E378" s="1329"/>
      <c r="F378" s="1329"/>
      <c r="G378" s="1329"/>
      <c r="H378" s="1329"/>
    </row>
    <row r="379" spans="1:8" x14ac:dyDescent="0.2">
      <c r="A379" s="1330" t="s">
        <v>679</v>
      </c>
      <c r="B379" s="1329"/>
      <c r="C379" s="1329"/>
      <c r="D379" s="1329"/>
      <c r="E379" s="1329"/>
      <c r="F379" s="1329"/>
      <c r="G379" s="1329"/>
      <c r="H379" s="1329"/>
    </row>
    <row r="380" spans="1:8" x14ac:dyDescent="0.2">
      <c r="A380" s="1330" t="s">
        <v>680</v>
      </c>
      <c r="B380" s="1329"/>
      <c r="C380" s="1329"/>
      <c r="D380" s="1329"/>
      <c r="E380" s="1329"/>
      <c r="F380" s="1329"/>
      <c r="G380" s="1329"/>
      <c r="H380" s="1329"/>
    </row>
    <row r="381" spans="1:8" x14ac:dyDescent="0.2">
      <c r="A381" s="1330" t="s">
        <v>681</v>
      </c>
      <c r="B381" s="1329"/>
      <c r="C381" s="1329"/>
      <c r="D381" s="1329"/>
      <c r="E381" s="1329"/>
      <c r="F381" s="1329"/>
      <c r="G381" s="1329"/>
      <c r="H381" s="1329"/>
    </row>
    <row r="382" spans="1:8" x14ac:dyDescent="0.2">
      <c r="A382" s="1330" t="s">
        <v>682</v>
      </c>
      <c r="B382" s="1329"/>
      <c r="C382" s="1329"/>
      <c r="D382" s="1329"/>
      <c r="E382" s="1329"/>
      <c r="F382" s="1329"/>
      <c r="G382" s="1329"/>
      <c r="H382" s="1329"/>
    </row>
    <row r="383" spans="1:8" x14ac:dyDescent="0.2">
      <c r="A383" s="1330" t="s">
        <v>683</v>
      </c>
      <c r="B383" s="1329"/>
      <c r="C383" s="1329"/>
      <c r="D383" s="1329"/>
      <c r="E383" s="1329"/>
      <c r="F383" s="1329"/>
      <c r="G383" s="1329"/>
      <c r="H383" s="1329"/>
    </row>
    <row r="384" spans="1:8" x14ac:dyDescent="0.2">
      <c r="A384" s="1329"/>
      <c r="B384" s="1329"/>
      <c r="C384" s="1329"/>
      <c r="D384" s="1329"/>
      <c r="E384" s="1329"/>
      <c r="F384" s="1329"/>
      <c r="G384" s="1329"/>
      <c r="H384" s="1329"/>
    </row>
    <row r="385" spans="1:8" x14ac:dyDescent="0.2">
      <c r="A385" s="1330" t="s">
        <v>673</v>
      </c>
      <c r="B385" s="1329"/>
      <c r="C385" s="1329"/>
      <c r="D385" s="1329"/>
      <c r="E385" s="1329"/>
      <c r="F385" s="1329"/>
      <c r="G385" s="1329"/>
      <c r="H385" s="1329"/>
    </row>
    <row r="386" spans="1:8" x14ac:dyDescent="0.2">
      <c r="A386" s="1330" t="s">
        <v>674</v>
      </c>
      <c r="B386" s="1329"/>
      <c r="C386" s="1329"/>
      <c r="D386" s="1329"/>
      <c r="E386" s="1329"/>
      <c r="F386" s="1329"/>
      <c r="G386" s="1329"/>
      <c r="H386" s="1329"/>
    </row>
    <row r="387" spans="1:8" x14ac:dyDescent="0.2">
      <c r="A387" s="1330" t="s">
        <v>675</v>
      </c>
      <c r="B387" s="1329"/>
      <c r="C387" s="1329"/>
      <c r="D387" s="1329"/>
      <c r="E387" s="1329"/>
      <c r="F387" s="1329"/>
      <c r="G387" s="1329"/>
      <c r="H387" s="1329"/>
    </row>
    <row r="388" spans="1:8" x14ac:dyDescent="0.2">
      <c r="A388" s="1330" t="s">
        <v>676</v>
      </c>
      <c r="B388" s="1329"/>
      <c r="C388" s="1329"/>
      <c r="D388" s="1329"/>
      <c r="E388" s="1329"/>
      <c r="F388" s="1329"/>
      <c r="G388" s="1329"/>
      <c r="H388" s="1329"/>
    </row>
    <row r="389" spans="1:8" x14ac:dyDescent="0.2">
      <c r="A389" s="1330" t="s">
        <v>677</v>
      </c>
      <c r="B389" s="1329"/>
      <c r="C389" s="1329"/>
      <c r="D389" s="1329"/>
      <c r="E389" s="1329"/>
      <c r="F389" s="1329"/>
      <c r="G389" s="1329"/>
      <c r="H389" s="1329"/>
    </row>
    <row r="390" spans="1:8" x14ac:dyDescent="0.2">
      <c r="A390" s="1329"/>
      <c r="B390" s="1329"/>
      <c r="C390" s="1329"/>
      <c r="D390" s="1329"/>
      <c r="E390" s="1329"/>
      <c r="F390" s="1329"/>
      <c r="G390" s="1329"/>
      <c r="H390" s="1329"/>
    </row>
    <row r="391" spans="1:8" x14ac:dyDescent="0.2">
      <c r="A391" s="1330" t="s">
        <v>671</v>
      </c>
      <c r="B391" s="1329"/>
      <c r="C391" s="1329"/>
      <c r="D391" s="1329"/>
      <c r="E391" s="1329"/>
      <c r="F391" s="1329"/>
      <c r="G391" s="1329"/>
      <c r="H391" s="1329"/>
    </row>
    <row r="392" spans="1:8" x14ac:dyDescent="0.2">
      <c r="A392" s="1330" t="s">
        <v>672</v>
      </c>
      <c r="B392" s="1329"/>
      <c r="C392" s="1329"/>
      <c r="D392" s="1329"/>
      <c r="E392" s="1329"/>
      <c r="F392" s="1329"/>
      <c r="G392" s="1329"/>
      <c r="H392" s="1329"/>
    </row>
    <row r="394" spans="1:8" x14ac:dyDescent="0.2">
      <c r="A394" s="1325" t="s">
        <v>929</v>
      </c>
    </row>
  </sheetData>
  <mergeCells count="12">
    <mergeCell ref="A117:H117"/>
    <mergeCell ref="A124:H124"/>
    <mergeCell ref="A111:H111"/>
    <mergeCell ref="A112:H112"/>
    <mergeCell ref="A113:H113"/>
    <mergeCell ref="A114:H114"/>
    <mergeCell ref="A116:H116"/>
    <mergeCell ref="A132:H132"/>
    <mergeCell ref="A133:H133"/>
    <mergeCell ref="B125:C125"/>
    <mergeCell ref="D125:F125"/>
    <mergeCell ref="G125:H125"/>
  </mergeCells>
  <pageMargins left="0.5" right="0.5" top="0.5" bottom="0.5" header="0.5" footer="0.5"/>
  <pageSetup orientation="portrait" horizontalDpi="300" verticalDpi="0"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enableFormatConditionsCalculation="0"/>
  <dimension ref="A1:R52"/>
  <sheetViews>
    <sheetView workbookViewId="0">
      <selection activeCell="Q29" sqref="Q29"/>
    </sheetView>
  </sheetViews>
  <sheetFormatPr defaultColWidth="10.28515625" defaultRowHeight="12.75" outlineLevelRow="1" outlineLevelCol="1" x14ac:dyDescent="0.2"/>
  <cols>
    <col min="1" max="1" width="3" customWidth="1"/>
    <col min="2" max="2" width="29.28515625" customWidth="1"/>
    <col min="3" max="5" width="8.7109375" customWidth="1"/>
    <col min="6" max="6" width="8.7109375" customWidth="1" outlineLevel="1"/>
    <col min="7" max="7" width="3" customWidth="1"/>
    <col min="8" max="10" width="8.7109375" customWidth="1"/>
    <col min="11" max="11" width="3" customWidth="1"/>
    <col min="12" max="12" width="12.42578125" bestFit="1" customWidth="1"/>
    <col min="13" max="13" width="3" customWidth="1"/>
    <col min="14" max="14" width="7" customWidth="1"/>
    <col min="15" max="15" width="6" bestFit="1" customWidth="1"/>
    <col min="16" max="16" width="6" customWidth="1"/>
    <col min="17" max="17" width="8.7109375" customWidth="1"/>
    <col min="18" max="19" width="7.5703125" customWidth="1"/>
    <col min="20" max="20" width="3" customWidth="1"/>
    <col min="21" max="23" width="7.5703125" customWidth="1"/>
    <col min="24" max="24" width="3" customWidth="1"/>
    <col min="25" max="27" width="7.5703125" customWidth="1"/>
    <col min="28" max="28" width="3" customWidth="1"/>
  </cols>
  <sheetData>
    <row r="1" spans="1:17" ht="13.5" thickBot="1" x14ac:dyDescent="0.25">
      <c r="A1" s="182" t="s">
        <v>503</v>
      </c>
      <c r="B1" s="182" t="s">
        <v>503</v>
      </c>
      <c r="C1" s="183"/>
      <c r="D1" s="183"/>
      <c r="E1" s="183"/>
      <c r="F1" s="924" t="s">
        <v>618</v>
      </c>
      <c r="G1" s="181"/>
      <c r="H1" s="181"/>
      <c r="I1" s="181"/>
      <c r="J1" s="181"/>
      <c r="K1" s="181"/>
      <c r="L1" s="181"/>
      <c r="M1" s="181"/>
      <c r="N1" s="181"/>
      <c r="O1" s="181"/>
      <c r="P1" s="182"/>
    </row>
    <row r="2" spans="1:17" x14ac:dyDescent="0.2">
      <c r="A2" s="181"/>
      <c r="B2" s="185"/>
      <c r="C2" s="186" t="s">
        <v>578</v>
      </c>
      <c r="D2" s="186" t="s">
        <v>479</v>
      </c>
      <c r="E2" s="186" t="s">
        <v>480</v>
      </c>
      <c r="F2" s="187" t="s">
        <v>481</v>
      </c>
      <c r="G2" s="181"/>
      <c r="H2" s="188" t="s">
        <v>482</v>
      </c>
      <c r="I2" s="189"/>
      <c r="J2" s="190"/>
      <c r="K2" s="181"/>
      <c r="L2" s="191" t="s">
        <v>483</v>
      </c>
      <c r="M2" s="181"/>
      <c r="N2" s="181"/>
      <c r="O2" s="181"/>
      <c r="P2" s="201"/>
    </row>
    <row r="3" spans="1:17" x14ac:dyDescent="0.2">
      <c r="A3" s="181"/>
      <c r="B3" s="192"/>
      <c r="C3" s="193" t="s">
        <v>615</v>
      </c>
      <c r="D3" s="193" t="s">
        <v>616</v>
      </c>
      <c r="E3" s="193" t="s">
        <v>617</v>
      </c>
      <c r="F3" s="194" t="s">
        <v>617</v>
      </c>
      <c r="G3" s="181"/>
      <c r="H3" s="192" t="str">
        <f>D3</f>
        <v>3Q16A</v>
      </c>
      <c r="I3" s="193" t="str">
        <f>E2&amp;" "&amp;E3</f>
        <v>MS 3Q17E</v>
      </c>
      <c r="J3" s="194" t="s">
        <v>481</v>
      </c>
      <c r="K3" s="181"/>
      <c r="L3" s="195" t="s">
        <v>484</v>
      </c>
      <c r="M3" s="181"/>
      <c r="N3" s="181"/>
      <c r="O3" s="181"/>
      <c r="P3" s="201"/>
    </row>
    <row r="4" spans="1:17" x14ac:dyDescent="0.2">
      <c r="A4" s="181"/>
      <c r="B4" s="196" t="s">
        <v>176</v>
      </c>
      <c r="C4" s="197">
        <f>sumry!EJ9</f>
        <v>4332</v>
      </c>
      <c r="D4" s="197">
        <f>sumry!EE9</f>
        <v>4327</v>
      </c>
      <c r="E4" s="925">
        <v>4262.0950000000003</v>
      </c>
      <c r="F4" s="935">
        <f>_xll.ThomsonONEAddinShim.SpreadsheetFormulas.TF($A$1,"TF.ES.Sales.Mean(period=#1,scale=6)",,F1)</f>
        <v>4299</v>
      </c>
      <c r="G4" s="181"/>
      <c r="H4" s="198">
        <f>IF(ISERROR(C4-D4)=TRUE,"NA",C4-D4)</f>
        <v>5</v>
      </c>
      <c r="I4" s="199">
        <f>IF(ISERROR(C4-E4)=TRUE,"NA",C4-E4)</f>
        <v>69.904999999999745</v>
      </c>
      <c r="J4" s="200">
        <f>IF(ISERROR(C4-F4)=TRUE,"NA",C4-F4)</f>
        <v>33</v>
      </c>
      <c r="K4" s="181"/>
      <c r="L4" s="251">
        <f>((C$4*E$29)-(C$4*E$30)-E$10-E$17)*(1-E$35)/E$26-E$25</f>
        <v>3.1516272579698801E-2</v>
      </c>
      <c r="M4" s="181"/>
      <c r="N4" s="181"/>
      <c r="O4" s="293"/>
      <c r="P4" s="293"/>
      <c r="Q4" s="293"/>
    </row>
    <row r="5" spans="1:17" x14ac:dyDescent="0.2">
      <c r="A5" s="181"/>
      <c r="B5" s="196"/>
      <c r="C5" s="202"/>
      <c r="D5" s="202"/>
      <c r="E5" s="926"/>
      <c r="F5" s="246"/>
      <c r="G5" s="181"/>
      <c r="H5" s="203"/>
      <c r="I5" s="204"/>
      <c r="J5" s="205"/>
      <c r="K5" s="181"/>
      <c r="L5" s="252"/>
      <c r="M5" s="181"/>
      <c r="N5" s="181"/>
      <c r="O5" s="181"/>
      <c r="P5" s="201"/>
    </row>
    <row r="6" spans="1:17" x14ac:dyDescent="0.2">
      <c r="A6" s="181"/>
      <c r="B6" s="196" t="s">
        <v>177</v>
      </c>
      <c r="C6" s="207">
        <f>sumry!EJ11</f>
        <v>2737</v>
      </c>
      <c r="D6" s="207">
        <f>sumry!EE11</f>
        <v>2720</v>
      </c>
      <c r="E6" s="927">
        <v>2677.0218695000008</v>
      </c>
      <c r="F6" s="227">
        <f>F4-F8</f>
        <v>2704</v>
      </c>
      <c r="G6" s="181"/>
      <c r="H6" s="208">
        <f>IF(ISERROR(C6-D6)=TRUE,"NA",C6-D6)</f>
        <v>17</v>
      </c>
      <c r="I6" s="209">
        <f>IF(ISERROR(C6-E6)=TRUE,"NA",C6-E6)</f>
        <v>59.978130499999224</v>
      </c>
      <c r="J6" s="210">
        <f>IF(ISERROR(C6-F6)=TRUE,"NA",C6-F6)</f>
        <v>33</v>
      </c>
      <c r="K6" s="181"/>
      <c r="L6" s="252"/>
      <c r="M6" s="181"/>
      <c r="N6" s="181"/>
      <c r="O6" s="293"/>
      <c r="P6" s="293"/>
      <c r="Q6" s="293"/>
    </row>
    <row r="7" spans="1:17" x14ac:dyDescent="0.2">
      <c r="A7" s="181"/>
      <c r="B7" s="196"/>
      <c r="C7" s="211"/>
      <c r="D7" s="211"/>
      <c r="E7" s="928"/>
      <c r="F7" s="249"/>
      <c r="G7" s="181"/>
      <c r="H7" s="203"/>
      <c r="I7" s="204"/>
      <c r="J7" s="205"/>
      <c r="K7" s="181"/>
      <c r="L7" s="252"/>
      <c r="M7" s="181"/>
      <c r="N7" s="181"/>
      <c r="O7" s="181"/>
      <c r="P7" s="201"/>
    </row>
    <row r="8" spans="1:17" x14ac:dyDescent="0.2">
      <c r="A8" s="181"/>
      <c r="B8" s="196" t="s">
        <v>178</v>
      </c>
      <c r="C8" s="207">
        <f>C4-C6</f>
        <v>1595</v>
      </c>
      <c r="D8" s="207">
        <f>D4-D6</f>
        <v>1607</v>
      </c>
      <c r="E8" s="927">
        <v>1585.0731304999995</v>
      </c>
      <c r="F8" s="936">
        <f>_xll.ThomsonONEAddinShim.SpreadsheetFormulas.TF($A$1,"TF.ES.GPM.Mean(period=#1)*TF.ES.Sales.Mean(period=#1,scale=6)",,F$1)</f>
        <v>1595</v>
      </c>
      <c r="G8" s="181"/>
      <c r="H8" s="208">
        <f>IF(ISERROR(C8-D8)=TRUE,"NA",C8-D8)</f>
        <v>-12</v>
      </c>
      <c r="I8" s="209">
        <f>IF(ISERROR(C8-E8)=TRUE,"NA",C8-E8)</f>
        <v>9.9268695000005209</v>
      </c>
      <c r="J8" s="210">
        <f>IF(ISERROR(C8-F8)=TRUE,"NA",C8-F8)</f>
        <v>0</v>
      </c>
      <c r="K8" s="181"/>
      <c r="L8" s="253">
        <f>(C$8-(C$4*E$30)-E$10-E$17)*(1-E$35)/E$26-(E$25+L$4)</f>
        <v>-5.9735989277733714E-2</v>
      </c>
      <c r="M8" s="181"/>
      <c r="N8" s="256"/>
      <c r="O8" s="293"/>
      <c r="P8" s="293"/>
      <c r="Q8" s="293"/>
    </row>
    <row r="9" spans="1:17" ht="13.5" thickBot="1" x14ac:dyDescent="0.25">
      <c r="A9" s="181"/>
      <c r="B9" s="196" t="s">
        <v>157</v>
      </c>
      <c r="C9" s="207">
        <f>sumry!EJ14</f>
        <v>1095</v>
      </c>
      <c r="D9" s="207">
        <f>sumry!EE14</f>
        <v>1080</v>
      </c>
      <c r="E9" s="927">
        <v>1068.1199999999999</v>
      </c>
      <c r="F9" s="227">
        <f>F8-F15-F10</f>
        <v>1089</v>
      </c>
      <c r="G9" s="181"/>
      <c r="H9" s="208">
        <f>IF(ISERROR(C9-D9)=TRUE,"NA",C9-D9)</f>
        <v>15</v>
      </c>
      <c r="I9" s="209"/>
      <c r="J9" s="210"/>
      <c r="K9" s="181"/>
      <c r="L9" s="295">
        <f>(C$8-C$9-E$10-E$17)*(1-E$35)/E$26-(E$25+L$4+L$8)</f>
        <v>-3.4795940380146773E-2</v>
      </c>
      <c r="M9" s="181"/>
      <c r="N9" s="256"/>
      <c r="O9" s="181"/>
      <c r="P9" s="201"/>
    </row>
    <row r="10" spans="1:17" ht="13.5" outlineLevel="1" thickTop="1" x14ac:dyDescent="0.2">
      <c r="A10" s="181"/>
      <c r="B10" s="196" t="s">
        <v>504</v>
      </c>
      <c r="C10" s="207">
        <f>sumry!EJ15</f>
        <v>243</v>
      </c>
      <c r="D10" s="207">
        <f>sumry!EE15</f>
        <v>232</v>
      </c>
      <c r="E10" s="927">
        <v>240</v>
      </c>
      <c r="F10" s="933">
        <f>E10</f>
        <v>240</v>
      </c>
      <c r="G10" s="181"/>
      <c r="H10" s="208">
        <f>IF(ISERROR(C10-D10)=TRUE,"NA",C10-D10)</f>
        <v>11</v>
      </c>
      <c r="I10" s="209"/>
      <c r="J10" s="210"/>
      <c r="K10" s="181"/>
      <c r="L10" s="296">
        <f>(C$8-C$9-C$10-E$17)*(1-E$35)/E$26-(E$25+L$4+L$8+L$9)</f>
        <v>-1.1151154132539087E-2</v>
      </c>
      <c r="M10" s="181"/>
      <c r="N10" s="256"/>
      <c r="O10" s="181"/>
      <c r="P10" s="201"/>
    </row>
    <row r="11" spans="1:17" ht="13.5" outlineLevel="1" collapsed="1" thickBot="1" x14ac:dyDescent="0.25">
      <c r="A11" s="181"/>
      <c r="B11" s="196" t="s">
        <v>485</v>
      </c>
      <c r="C11" s="207">
        <f>C10+C9</f>
        <v>1338</v>
      </c>
      <c r="D11" s="207">
        <f>D10+D9</f>
        <v>1312</v>
      </c>
      <c r="E11" s="927">
        <v>1308.1199999999999</v>
      </c>
      <c r="F11" s="227">
        <f>F8-F15</f>
        <v>1329</v>
      </c>
      <c r="G11" s="181"/>
      <c r="H11" s="208">
        <f>IF(ISERROR(C11-D11)=TRUE,"NA",C11-D11)</f>
        <v>26</v>
      </c>
      <c r="I11" s="209">
        <f>IF(ISERROR(C11-E11)=TRUE,"NA",C11-E11)</f>
        <v>29.880000000000109</v>
      </c>
      <c r="J11" s="210">
        <f>IF(ISERROR(C11-F11)=TRUE,"NA",C11-F11)</f>
        <v>9</v>
      </c>
      <c r="K11" s="181"/>
      <c r="L11" s="254">
        <f>(C$8-C$11-E$17)*(1-E$35)/E$26-(E$25+L$4+L$8)</f>
        <v>-4.594709451268586E-2</v>
      </c>
      <c r="M11" s="181"/>
      <c r="N11" s="256"/>
      <c r="O11" s="181"/>
      <c r="P11" s="201"/>
    </row>
    <row r="12" spans="1:17" ht="13.5" outlineLevel="1" thickTop="1" x14ac:dyDescent="0.2">
      <c r="A12" s="181"/>
      <c r="B12" s="196"/>
      <c r="C12" s="250"/>
      <c r="D12" s="250"/>
      <c r="E12" s="929"/>
      <c r="F12" s="227"/>
      <c r="G12" s="181"/>
      <c r="H12" s="208"/>
      <c r="I12" s="209"/>
      <c r="J12" s="210"/>
      <c r="K12" s="181"/>
      <c r="L12" s="251"/>
      <c r="M12" s="181"/>
      <c r="N12" s="256"/>
      <c r="O12" s="181"/>
      <c r="P12" s="201"/>
    </row>
    <row r="13" spans="1:17" outlineLevel="1" x14ac:dyDescent="0.2">
      <c r="A13" s="181"/>
      <c r="B13" s="196"/>
      <c r="C13" s="250"/>
      <c r="D13" s="250"/>
      <c r="E13" s="929"/>
      <c r="F13" s="227"/>
      <c r="G13" s="181"/>
      <c r="H13" s="208"/>
      <c r="I13" s="209"/>
      <c r="J13" s="210"/>
      <c r="K13" s="181"/>
      <c r="L13" s="251"/>
      <c r="M13" s="181"/>
      <c r="N13" s="256"/>
      <c r="O13" s="181"/>
      <c r="P13" s="201"/>
    </row>
    <row r="14" spans="1:17" outlineLevel="1" x14ac:dyDescent="0.2">
      <c r="A14" s="181"/>
      <c r="B14" s="196"/>
      <c r="C14" s="250"/>
      <c r="D14" s="250"/>
      <c r="E14" s="929"/>
      <c r="F14" s="227"/>
      <c r="G14" s="181"/>
      <c r="H14" s="203"/>
      <c r="I14" s="204"/>
      <c r="J14" s="205"/>
      <c r="K14" s="181"/>
      <c r="L14" s="253" t="s">
        <v>486</v>
      </c>
      <c r="M14" s="181"/>
      <c r="N14" s="256"/>
      <c r="O14" s="181"/>
      <c r="P14" s="201"/>
    </row>
    <row r="15" spans="1:17" x14ac:dyDescent="0.2">
      <c r="A15" s="181"/>
      <c r="B15" s="196" t="s">
        <v>487</v>
      </c>
      <c r="C15" s="207">
        <f>C8-C11</f>
        <v>257</v>
      </c>
      <c r="D15" s="207">
        <f>D8-D11</f>
        <v>295</v>
      </c>
      <c r="E15" s="927">
        <v>276.95313049999959</v>
      </c>
      <c r="F15" s="937">
        <f>_xll.ThomsonONEAddinShim.SpreadsheetFormulas.TF($A$1,"TF.ES.EBIT.Mean(period=#1,scale=6)",,F$1)</f>
        <v>266</v>
      </c>
      <c r="G15" s="181"/>
      <c r="H15" s="208">
        <f>IF(ISERROR(C15-D15)=TRUE,"NA",C15-D15)</f>
        <v>-38</v>
      </c>
      <c r="I15" s="209">
        <f>IF(ISERROR(C15-E15)=TRUE,"NA",C15-E15)</f>
        <v>-19.953130499999588</v>
      </c>
      <c r="J15" s="210">
        <f>IF(ISERROR(C15-F15)=TRUE,"NA",C15-F15)</f>
        <v>-9</v>
      </c>
      <c r="K15" s="181"/>
      <c r="L15" s="255">
        <f>(C$15-E$17)*(1-E$35)/E$26-(E$25)</f>
        <v>-7.4166811210720773E-2</v>
      </c>
      <c r="M15" s="181"/>
      <c r="N15" s="256"/>
      <c r="O15" s="181"/>
      <c r="P15" s="201"/>
    </row>
    <row r="16" spans="1:17" x14ac:dyDescent="0.2">
      <c r="A16" s="181"/>
      <c r="B16" s="196"/>
      <c r="C16" s="207"/>
      <c r="D16" s="207"/>
      <c r="E16" s="927"/>
      <c r="F16" s="247"/>
      <c r="G16" s="181"/>
      <c r="H16" s="208"/>
      <c r="I16" s="209"/>
      <c r="J16" s="210"/>
      <c r="K16" s="181"/>
      <c r="L16" s="252"/>
      <c r="M16" s="181"/>
      <c r="N16" s="256"/>
      <c r="O16" s="181"/>
      <c r="P16" s="201"/>
    </row>
    <row r="17" spans="1:16" x14ac:dyDescent="0.2">
      <c r="A17" s="181"/>
      <c r="B17" s="196" t="s">
        <v>488</v>
      </c>
      <c r="C17" s="207">
        <f>sumry!EJ22</f>
        <v>74</v>
      </c>
      <c r="D17" s="207">
        <f>sumry!EE22</f>
        <v>76</v>
      </c>
      <c r="E17" s="927">
        <v>75</v>
      </c>
      <c r="F17" s="227">
        <f>F15-F19</f>
        <v>74</v>
      </c>
      <c r="G17" s="181"/>
      <c r="H17" s="208">
        <f>IF(ISERROR(C17-D17)=TRUE,"NA",C17-D17)</f>
        <v>-2</v>
      </c>
      <c r="I17" s="209">
        <f>IF(ISERROR(C17-E17)=TRUE,"NA",C17-E17)</f>
        <v>-1</v>
      </c>
      <c r="J17" s="210">
        <f>IF(ISERROR(C17-F17)=TRUE,"NA",C17-F17)</f>
        <v>0</v>
      </c>
      <c r="K17" s="181"/>
      <c r="L17" s="251">
        <f>(C$15-C$17)*(1-E$35)/E$26-(E$25+L15)</f>
        <v>3.7170513775129921E-3</v>
      </c>
      <c r="M17" s="181"/>
      <c r="N17" s="256"/>
      <c r="O17" s="181"/>
      <c r="P17" s="201"/>
    </row>
    <row r="18" spans="1:16" hidden="1" outlineLevel="1" x14ac:dyDescent="0.2">
      <c r="A18" s="181"/>
      <c r="B18" s="212" t="s">
        <v>489</v>
      </c>
      <c r="C18" s="213">
        <f>+sumry!EJ20*0</f>
        <v>0</v>
      </c>
      <c r="D18" s="213">
        <f>+sumry!EE20*0</f>
        <v>0</v>
      </c>
      <c r="E18" s="927">
        <v>0</v>
      </c>
      <c r="F18" s="227"/>
      <c r="G18" s="181"/>
      <c r="H18" s="208"/>
      <c r="I18" s="209"/>
      <c r="J18" s="210"/>
      <c r="K18" s="181"/>
      <c r="L18" s="251"/>
      <c r="M18" s="181"/>
      <c r="N18" s="256"/>
      <c r="O18" s="181"/>
      <c r="P18" s="201"/>
    </row>
    <row r="19" spans="1:16" collapsed="1" x14ac:dyDescent="0.2">
      <c r="A19" s="181"/>
      <c r="B19" s="196" t="s">
        <v>490</v>
      </c>
      <c r="C19" s="207">
        <f>C15-C17-C18</f>
        <v>183</v>
      </c>
      <c r="D19" s="207">
        <f>D15-D17-D18</f>
        <v>219</v>
      </c>
      <c r="E19" s="927">
        <v>201.95313049999959</v>
      </c>
      <c r="F19" s="937">
        <f>_xll.ThomsonONEAddinShim.SpreadsheetFormulas.TF($A$1,"TF.ES.PBT.Mean(period=#1,scale=6)",,F$1)</f>
        <v>192</v>
      </c>
      <c r="G19" s="181"/>
      <c r="H19" s="208">
        <f>IF(ISERROR(C19-D19)=TRUE,"NA",C19-D19)</f>
        <v>-36</v>
      </c>
      <c r="I19" s="209">
        <f>IF(ISERROR(C19-E19)=TRUE,"NA",C19-E19)</f>
        <v>-18.953130499999588</v>
      </c>
      <c r="J19" s="210">
        <f>IF(ISERROR(C19-F19)=TRUE,"NA",C19-F19)</f>
        <v>-9</v>
      </c>
      <c r="K19" s="181"/>
      <c r="L19" s="252"/>
      <c r="M19" s="181"/>
      <c r="N19" s="256"/>
      <c r="O19" s="181"/>
      <c r="P19" s="201"/>
    </row>
    <row r="20" spans="1:16" x14ac:dyDescent="0.2">
      <c r="A20" s="181"/>
      <c r="B20" s="196"/>
      <c r="C20" s="207"/>
      <c r="D20" s="207"/>
      <c r="E20" s="927"/>
      <c r="F20" s="227"/>
      <c r="G20" s="181"/>
      <c r="H20" s="208"/>
      <c r="I20" s="209"/>
      <c r="J20" s="210"/>
      <c r="K20" s="181"/>
      <c r="L20" s="252" t="s">
        <v>491</v>
      </c>
      <c r="M20" s="181"/>
      <c r="N20" s="256"/>
      <c r="O20" s="181"/>
      <c r="P20" s="201"/>
    </row>
    <row r="21" spans="1:16" x14ac:dyDescent="0.2">
      <c r="A21" s="181"/>
      <c r="B21" s="196" t="s">
        <v>182</v>
      </c>
      <c r="C21" s="207">
        <f>sumry!EJ26</f>
        <v>66</v>
      </c>
      <c r="D21" s="207">
        <f>sumry!EE26</f>
        <v>76.78</v>
      </c>
      <c r="E21" s="927">
        <v>75.934377067999847</v>
      </c>
      <c r="F21" s="227">
        <f>F19-F23</f>
        <v>72</v>
      </c>
      <c r="G21" s="181"/>
      <c r="H21" s="208">
        <f>IF(ISERROR(C21-D21)=TRUE,"NA",C21-D21)</f>
        <v>-10.780000000000001</v>
      </c>
      <c r="I21" s="209">
        <f>IF(ISERROR(C21-E21)=TRUE,"NA",C21-E21)</f>
        <v>-9.9343770679998471</v>
      </c>
      <c r="J21" s="210">
        <f>IF(ISERROR(C21-F21)=TRUE,"NA",C21-F21)</f>
        <v>-6</v>
      </c>
      <c r="K21" s="181"/>
      <c r="L21" s="253">
        <f>(C$15-C$17-C21)/E$26-(E$25+L$15+L$17)</f>
        <v>1.6726731198808631E-2</v>
      </c>
      <c r="M21" s="181"/>
      <c r="N21" s="256"/>
      <c r="O21" s="181"/>
      <c r="P21" s="201"/>
    </row>
    <row r="22" spans="1:16" x14ac:dyDescent="0.2">
      <c r="A22" s="181"/>
      <c r="B22" s="196"/>
      <c r="C22" s="207"/>
      <c r="D22" s="207"/>
      <c r="E22" s="927"/>
      <c r="F22" s="227"/>
      <c r="G22" s="181"/>
      <c r="H22" s="208"/>
      <c r="I22" s="209"/>
      <c r="J22" s="210"/>
      <c r="K22" s="181"/>
      <c r="L22" s="252"/>
      <c r="M22" s="181"/>
      <c r="N22" s="256"/>
      <c r="O22" s="181"/>
      <c r="P22" s="201"/>
    </row>
    <row r="23" spans="1:16" ht="13.5" thickBot="1" x14ac:dyDescent="0.25">
      <c r="A23" s="181"/>
      <c r="B23" s="196" t="s">
        <v>492</v>
      </c>
      <c r="C23" s="207">
        <f>C19-C21</f>
        <v>117</v>
      </c>
      <c r="D23" s="207">
        <f>D19-D21</f>
        <v>142.22</v>
      </c>
      <c r="E23" s="927">
        <v>126.01875343199974</v>
      </c>
      <c r="F23" s="938" t="str">
        <f>_xll.ThomsonONEAddinShim.SpreadsheetFormulas.TF($A$1,"TF.ES.NetInc.Mean(period=#1,scale=6)",,F$1)</f>
        <v xml:space="preserve">$120 </v>
      </c>
      <c r="G23" s="181"/>
      <c r="H23" s="208">
        <f>IF(ISERROR(C23-D23)=TRUE,"NA",C23-D23)</f>
        <v>-25.22</v>
      </c>
      <c r="I23" s="209">
        <f>IF(ISERROR(C23-E23)=TRUE,"NA",C23-E23)</f>
        <v>-9.0187534319997411</v>
      </c>
      <c r="J23" s="210">
        <f>IF(ISERROR(C23-F23)=TRUE,"NA",C23-F23)</f>
        <v>-3</v>
      </c>
      <c r="K23" s="181"/>
      <c r="L23" s="252"/>
      <c r="M23" s="181"/>
      <c r="N23" s="256"/>
      <c r="O23" s="181"/>
      <c r="P23" s="201"/>
    </row>
    <row r="24" spans="1:16" x14ac:dyDescent="0.2">
      <c r="A24" s="181"/>
      <c r="B24" s="196"/>
      <c r="C24" s="214"/>
      <c r="D24" s="214"/>
      <c r="E24" s="930"/>
      <c r="F24" s="248"/>
      <c r="G24" s="181"/>
      <c r="H24" s="198"/>
      <c r="I24" s="199"/>
      <c r="J24" s="200"/>
      <c r="K24" s="181"/>
      <c r="L24" s="252"/>
      <c r="M24" s="181"/>
      <c r="N24" s="256"/>
      <c r="O24" s="181"/>
      <c r="P24" s="215" t="s">
        <v>493</v>
      </c>
    </row>
    <row r="25" spans="1:16" ht="13.5" thickBot="1" x14ac:dyDescent="0.25">
      <c r="A25" s="181"/>
      <c r="B25" s="196" t="s">
        <v>494</v>
      </c>
      <c r="C25" s="216">
        <f>C23/C26</f>
        <v>0.70481927710843373</v>
      </c>
      <c r="D25" s="216">
        <f>D23/D26</f>
        <v>0.80350282485875701</v>
      </c>
      <c r="E25" s="931">
        <v>0.75067016191809233</v>
      </c>
      <c r="F25" s="939" t="str">
        <f>_xll.ThomsonONEAddinShim.SpreadsheetFormulas.TF($A$1,"TF.ES.EPS.Mean(period=#1)",,F$1)</f>
        <v xml:space="preserve">$0.72 </v>
      </c>
      <c r="G25" s="181"/>
      <c r="H25" s="217">
        <f>IF(ISERROR(C25-D25)=TRUE,"NA",C25-D25)</f>
        <v>-9.8683547750323286E-2</v>
      </c>
      <c r="I25" s="218">
        <f>IF(ISERROR(C25-E25)=TRUE,"NA",C25-E25)</f>
        <v>-4.5850884809658599E-2</v>
      </c>
      <c r="J25" s="219">
        <f>IF(ISERROR(C25-F25)=TRUE,"NA",C25-F25)</f>
        <v>-1.5180722891566245E-2</v>
      </c>
      <c r="K25" s="181"/>
      <c r="L25" s="253"/>
      <c r="M25" s="181"/>
      <c r="N25" s="256"/>
      <c r="O25" s="181"/>
      <c r="P25" s="220">
        <f>C25-E25-L27</f>
        <v>0</v>
      </c>
    </row>
    <row r="26" spans="1:16" x14ac:dyDescent="0.2">
      <c r="A26" s="181"/>
      <c r="B26" s="196" t="s">
        <v>495</v>
      </c>
      <c r="C26" s="207">
        <f>sumry!EJ36</f>
        <v>166</v>
      </c>
      <c r="D26" s="207">
        <f>sumry!EE36</f>
        <v>177</v>
      </c>
      <c r="E26" s="927">
        <v>167.875</v>
      </c>
      <c r="F26" s="227">
        <f>F23/F25</f>
        <v>166.66666666666669</v>
      </c>
      <c r="G26" s="181"/>
      <c r="H26" s="221">
        <f>IF(ISERROR(C26-D26)=TRUE,"NA",C26-D26)</f>
        <v>-11</v>
      </c>
      <c r="I26" s="222">
        <f>IF(ISERROR(C26-E26)=TRUE,"NA",C26-E26)</f>
        <v>-1.875</v>
      </c>
      <c r="J26" s="223">
        <f>IF(ISERROR(C26-F26)=TRUE,"NA",C26-F26)</f>
        <v>-0.66666666666668561</v>
      </c>
      <c r="K26" s="181"/>
      <c r="L26" s="251">
        <f>-C23/E26+C23/C26</f>
        <v>7.8721438247405517E-3</v>
      </c>
      <c r="M26" s="181"/>
      <c r="N26" s="256"/>
      <c r="O26" s="181"/>
      <c r="P26" s="201"/>
    </row>
    <row r="27" spans="1:16" x14ac:dyDescent="0.2">
      <c r="A27" s="181"/>
      <c r="B27" s="196"/>
      <c r="C27" s="224"/>
      <c r="D27" s="214"/>
      <c r="E27" s="930"/>
      <c r="F27" s="248"/>
      <c r="G27" s="181"/>
      <c r="H27" s="208"/>
      <c r="I27" s="209"/>
      <c r="J27" s="210"/>
      <c r="K27" s="181"/>
      <c r="L27" s="251">
        <f>L15+L17+L21+L26</f>
        <v>-4.5850884809658599E-2</v>
      </c>
      <c r="M27" s="181"/>
      <c r="N27" s="256"/>
      <c r="O27" s="181"/>
      <c r="P27" s="184"/>
    </row>
    <row r="28" spans="1:16" x14ac:dyDescent="0.2">
      <c r="A28" s="181"/>
      <c r="B28" s="225" t="s">
        <v>191</v>
      </c>
      <c r="C28" s="207"/>
      <c r="D28" s="207"/>
      <c r="E28" s="932"/>
      <c r="F28" s="227"/>
      <c r="G28" s="181"/>
      <c r="H28" s="226"/>
      <c r="I28" s="207"/>
      <c r="J28" s="227"/>
      <c r="K28" s="181"/>
      <c r="L28" s="228"/>
      <c r="M28" s="181"/>
      <c r="N28" s="256"/>
      <c r="O28" s="181"/>
      <c r="P28" s="229"/>
    </row>
    <row r="29" spans="1:16" x14ac:dyDescent="0.2">
      <c r="A29" s="181"/>
      <c r="B29" s="196" t="s">
        <v>496</v>
      </c>
      <c r="C29" s="202">
        <f>C8/C4</f>
        <v>0.36819021237303784</v>
      </c>
      <c r="D29" s="202">
        <f>D8/D4</f>
        <v>0.37138895308527847</v>
      </c>
      <c r="E29" s="926">
        <v>0.37189999999999984</v>
      </c>
      <c r="F29" s="246">
        <f>F8/F4</f>
        <v>0.37101651546871367</v>
      </c>
      <c r="G29" s="181"/>
      <c r="H29" s="203">
        <f t="shared" ref="H29:H36" si="0">IF(ISERROR((C29-D29)*10000)=TRUE,"NA",(C29-D29)*10000)</f>
        <v>-31.987407122406331</v>
      </c>
      <c r="I29" s="204">
        <f t="shared" ref="I29:I36" si="1">IF(ISERROR((C29-E29)*10000)=TRUE,"NA",(C29-E29)*10000)</f>
        <v>-37.097876269620023</v>
      </c>
      <c r="J29" s="205">
        <f t="shared" ref="J29:J36" si="2">IF(ISERROR((C29-F29)*10000)=TRUE,"NA",(C29-F29)*10000)</f>
        <v>-28.263030956758307</v>
      </c>
      <c r="K29" s="181"/>
      <c r="L29" s="228"/>
      <c r="M29" s="181"/>
      <c r="N29" s="181"/>
      <c r="O29" s="181"/>
      <c r="P29" s="201"/>
    </row>
    <row r="30" spans="1:16" x14ac:dyDescent="0.2">
      <c r="A30" s="181"/>
      <c r="B30" s="196" t="s">
        <v>157</v>
      </c>
      <c r="C30" s="202">
        <f t="shared" ref="C30:F31" si="3">C9/C$4</f>
        <v>0.25277008310249305</v>
      </c>
      <c r="D30" s="202">
        <f t="shared" si="3"/>
        <v>0.2495955627455512</v>
      </c>
      <c r="E30" s="926">
        <v>0.25060914878715745</v>
      </c>
      <c r="F30" s="246">
        <f t="shared" si="3"/>
        <v>0.25331472435450103</v>
      </c>
      <c r="G30" s="181"/>
      <c r="H30" s="203">
        <f t="shared" si="0"/>
        <v>31.745203569418511</v>
      </c>
      <c r="I30" s="204">
        <f>IF(ISERROR((C30-E30)*10000)=TRUE,"NA",(C30-E30)*10000)</f>
        <v>21.609343153355944</v>
      </c>
      <c r="J30" s="205">
        <f t="shared" si="2"/>
        <v>-5.4464125200798241</v>
      </c>
      <c r="K30" s="181"/>
      <c r="L30" s="228"/>
      <c r="M30" s="181"/>
      <c r="N30" s="181"/>
      <c r="O30" s="181"/>
      <c r="P30" s="201"/>
    </row>
    <row r="31" spans="1:16" x14ac:dyDescent="0.2">
      <c r="A31" s="181"/>
      <c r="B31" s="196" t="s">
        <v>497</v>
      </c>
      <c r="C31" s="202">
        <f t="shared" si="3"/>
        <v>5.6094182825484763E-2</v>
      </c>
      <c r="D31" s="202">
        <f t="shared" si="3"/>
        <v>5.3616824589785068E-2</v>
      </c>
      <c r="E31" s="926">
        <v>5.6310335644794401E-2</v>
      </c>
      <c r="F31" s="246">
        <f t="shared" si="3"/>
        <v>5.5826936496859735E-2</v>
      </c>
      <c r="G31" s="181"/>
      <c r="H31" s="203">
        <f t="shared" si="0"/>
        <v>24.773582356996947</v>
      </c>
      <c r="I31" s="204">
        <f>IF(ISERROR((C31-E31)*10000)=TRUE,"NA",(C31-E31)*10000)</f>
        <v>-2.1615281930963821</v>
      </c>
      <c r="J31" s="205">
        <f t="shared" si="2"/>
        <v>2.6724632862502871</v>
      </c>
      <c r="K31" s="181"/>
      <c r="L31" s="228"/>
      <c r="M31" s="181"/>
      <c r="N31" s="181"/>
      <c r="O31" s="181"/>
      <c r="P31" s="201"/>
    </row>
    <row r="32" spans="1:16" x14ac:dyDescent="0.2">
      <c r="A32" s="181"/>
      <c r="B32" s="196" t="s">
        <v>193</v>
      </c>
      <c r="C32" s="297">
        <f>C11/C4</f>
        <v>0.30886426592797783</v>
      </c>
      <c r="D32" s="297">
        <f>D11/D4</f>
        <v>0.30321238733533629</v>
      </c>
      <c r="E32" s="926">
        <v>0.30691948443195183</v>
      </c>
      <c r="F32" s="294">
        <f>F11/F4</f>
        <v>0.3091416608513608</v>
      </c>
      <c r="G32" s="181"/>
      <c r="H32" s="203">
        <f t="shared" si="0"/>
        <v>56.518785926415461</v>
      </c>
      <c r="I32" s="204">
        <f t="shared" si="1"/>
        <v>19.447814960260047</v>
      </c>
      <c r="J32" s="205">
        <f t="shared" si="2"/>
        <v>-2.7739492338296756</v>
      </c>
      <c r="K32" s="181"/>
      <c r="L32" s="228"/>
      <c r="M32" s="181"/>
      <c r="N32" s="181"/>
      <c r="O32" s="181"/>
      <c r="P32" s="201"/>
    </row>
    <row r="33" spans="1:18" x14ac:dyDescent="0.2">
      <c r="A33" s="181"/>
      <c r="B33" s="196" t="s">
        <v>194</v>
      </c>
      <c r="C33" s="202">
        <f>C15/C4</f>
        <v>5.9325946445060021E-2</v>
      </c>
      <c r="D33" s="202">
        <f>D15/D4</f>
        <v>6.8176565749942228E-2</v>
      </c>
      <c r="E33" s="926">
        <v>6.4980515568048014E-2</v>
      </c>
      <c r="F33" s="246">
        <f>F15/F4</f>
        <v>6.187485461735287E-2</v>
      </c>
      <c r="G33" s="181"/>
      <c r="H33" s="203">
        <f t="shared" si="0"/>
        <v>-88.50619304882207</v>
      </c>
      <c r="I33" s="204">
        <f t="shared" si="1"/>
        <v>-56.545691229879928</v>
      </c>
      <c r="J33" s="205">
        <f t="shared" si="2"/>
        <v>-25.489081722928493</v>
      </c>
      <c r="K33" s="181"/>
      <c r="L33" s="228"/>
      <c r="M33" s="181"/>
      <c r="N33" s="181"/>
      <c r="O33" s="181"/>
      <c r="P33" s="201"/>
    </row>
    <row r="34" spans="1:18" x14ac:dyDescent="0.2">
      <c r="A34" s="181"/>
      <c r="B34" s="196" t="s">
        <v>195</v>
      </c>
      <c r="C34" s="202">
        <f>C19/C4</f>
        <v>4.224376731301939E-2</v>
      </c>
      <c r="D34" s="202">
        <f>D19/D4</f>
        <v>5.0612433556736766E-2</v>
      </c>
      <c r="E34" s="926">
        <v>4.7383535679049758E-2</v>
      </c>
      <c r="F34" s="246">
        <f>F19/F4</f>
        <v>4.4661549197487785E-2</v>
      </c>
      <c r="G34" s="181"/>
      <c r="H34" s="203">
        <f t="shared" si="0"/>
        <v>-83.686662437173766</v>
      </c>
      <c r="I34" s="204">
        <f>IF(ISERROR((C34-E34)*10000)=TRUE,"NA",(C34-E34)*10000)</f>
        <v>-51.397683660303684</v>
      </c>
      <c r="J34" s="205">
        <f t="shared" si="2"/>
        <v>-24.177818844683951</v>
      </c>
      <c r="K34" s="181"/>
      <c r="L34" s="228"/>
      <c r="M34" s="181"/>
      <c r="N34" s="181"/>
      <c r="O34" s="181"/>
      <c r="P34" s="201"/>
    </row>
    <row r="35" spans="1:18" x14ac:dyDescent="0.2">
      <c r="A35" s="181"/>
      <c r="B35" s="196" t="s">
        <v>196</v>
      </c>
      <c r="C35" s="202">
        <f>C21/C19</f>
        <v>0.36065573770491804</v>
      </c>
      <c r="D35" s="202">
        <f>D21/D19</f>
        <v>0.35059360730593608</v>
      </c>
      <c r="E35" s="926">
        <v>0.376</v>
      </c>
      <c r="F35" s="246">
        <f>F21/F19</f>
        <v>0.375</v>
      </c>
      <c r="G35" s="206"/>
      <c r="H35" s="203">
        <f t="shared" si="0"/>
        <v>100.62130398981961</v>
      </c>
      <c r="I35" s="204">
        <f>IF(ISERROR((C35-E35)*10000)=TRUE,"NA",(C35-E35)*10000)</f>
        <v>-153.44262295081955</v>
      </c>
      <c r="J35" s="205">
        <f t="shared" si="2"/>
        <v>-143.44262295081955</v>
      </c>
      <c r="K35" s="206"/>
      <c r="L35" s="230"/>
      <c r="M35" s="206"/>
      <c r="N35" s="206"/>
      <c r="O35" s="181"/>
      <c r="P35" s="201"/>
    </row>
    <row r="36" spans="1:18" x14ac:dyDescent="0.2">
      <c r="A36" s="181"/>
      <c r="B36" s="196" t="s">
        <v>197</v>
      </c>
      <c r="C36" s="202">
        <f>C23/C4</f>
        <v>2.7008310249307478E-2</v>
      </c>
      <c r="D36" s="202">
        <f>D23/D4</f>
        <v>3.2868037901548415E-2</v>
      </c>
      <c r="E36" s="926">
        <v>2.9567326263727049E-2</v>
      </c>
      <c r="F36" s="246">
        <f>F23/F4</f>
        <v>2.7913468248429867E-2</v>
      </c>
      <c r="G36" s="206"/>
      <c r="H36" s="203">
        <f t="shared" si="0"/>
        <v>-58.597276522409366</v>
      </c>
      <c r="I36" s="204">
        <f t="shared" si="1"/>
        <v>-25.590160144195703</v>
      </c>
      <c r="J36" s="205">
        <f t="shared" si="2"/>
        <v>-9.0515799912238926</v>
      </c>
      <c r="K36" s="206"/>
      <c r="L36" s="230"/>
      <c r="M36" s="206"/>
      <c r="N36" s="206"/>
      <c r="O36" s="181"/>
      <c r="P36" s="201"/>
    </row>
    <row r="37" spans="1:18" x14ac:dyDescent="0.2">
      <c r="A37" s="181"/>
      <c r="B37" s="196"/>
      <c r="C37" s="202"/>
      <c r="D37" s="202"/>
      <c r="E37" s="926"/>
      <c r="F37" s="246"/>
      <c r="G37" s="206"/>
      <c r="H37" s="203"/>
      <c r="I37" s="204"/>
      <c r="J37" s="205"/>
      <c r="K37" s="206"/>
      <c r="L37" s="230"/>
      <c r="M37" s="206"/>
      <c r="N37" s="206"/>
      <c r="O37" s="181"/>
      <c r="P37" s="201"/>
    </row>
    <row r="38" spans="1:18" x14ac:dyDescent="0.2">
      <c r="A38" s="181"/>
      <c r="B38" s="225" t="s">
        <v>199</v>
      </c>
      <c r="C38" s="202"/>
      <c r="D38" s="202"/>
      <c r="E38" s="926"/>
      <c r="F38" s="246"/>
      <c r="G38" s="206"/>
      <c r="H38" s="203"/>
      <c r="I38" s="204"/>
      <c r="J38" s="205"/>
      <c r="K38" s="206"/>
      <c r="L38" s="230"/>
      <c r="M38" s="206"/>
      <c r="N38" s="206"/>
      <c r="O38" s="181"/>
      <c r="P38" s="229"/>
    </row>
    <row r="39" spans="1:18" x14ac:dyDescent="0.2">
      <c r="A39" s="181"/>
      <c r="B39" s="196" t="s">
        <v>98</v>
      </c>
      <c r="C39" s="202">
        <f>sumry!EJ54</f>
        <v>1.1555350127108177E-3</v>
      </c>
      <c r="D39" s="202">
        <f>sumry!EE54</f>
        <v>-2.2588660492432799E-2</v>
      </c>
      <c r="E39" s="926">
        <v>-1.4999999999999902E-2</v>
      </c>
      <c r="F39" s="246">
        <f>F4/D4-1</f>
        <v>-6.4709960711809567E-3</v>
      </c>
      <c r="G39" s="206"/>
      <c r="H39" s="203"/>
      <c r="I39" s="204"/>
      <c r="J39" s="205"/>
      <c r="K39" s="206"/>
      <c r="L39" s="230"/>
      <c r="M39" s="206"/>
      <c r="N39" s="206"/>
      <c r="O39" s="181"/>
      <c r="P39" s="201"/>
    </row>
    <row r="40" spans="1:18" x14ac:dyDescent="0.2">
      <c r="A40" s="181"/>
      <c r="B40" s="196" t="s">
        <v>498</v>
      </c>
      <c r="C40" s="202">
        <f>sumry!EJ55</f>
        <v>1E-3</v>
      </c>
      <c r="D40" s="202">
        <f>sumry!EE55</f>
        <v>-1.7000000000000001E-2</v>
      </c>
      <c r="E40" s="926">
        <v>-0.01</v>
      </c>
      <c r="F40" s="934">
        <v>-1.4999999999999999E-2</v>
      </c>
      <c r="G40" s="206"/>
      <c r="H40" s="203"/>
      <c r="I40" s="204"/>
      <c r="J40" s="205"/>
      <c r="K40" s="206"/>
      <c r="L40" s="230"/>
      <c r="M40" s="206"/>
      <c r="N40" s="206"/>
      <c r="O40" s="181"/>
      <c r="P40" s="201"/>
    </row>
    <row r="41" spans="1:18" x14ac:dyDescent="0.2">
      <c r="A41" s="181"/>
      <c r="B41" s="196" t="s">
        <v>499</v>
      </c>
      <c r="C41" s="202">
        <f>sumry!EJ56</f>
        <v>1.388888888888884E-2</v>
      </c>
      <c r="D41" s="202">
        <f>sumry!EE56</f>
        <v>-1.7288444040036377E-2</v>
      </c>
      <c r="E41" s="926">
        <v>-1.1000000000000121E-2</v>
      </c>
      <c r="F41" s="294">
        <f>F9/D9-1</f>
        <v>8.3333333333333037E-3</v>
      </c>
      <c r="G41" s="206"/>
      <c r="H41" s="203"/>
      <c r="I41" s="204"/>
      <c r="J41" s="205"/>
      <c r="K41" s="206"/>
      <c r="L41" s="230"/>
      <c r="M41" s="206"/>
      <c r="N41" s="206"/>
      <c r="O41" s="181"/>
      <c r="P41" s="201"/>
    </row>
    <row r="42" spans="1:18" x14ac:dyDescent="0.2">
      <c r="A42" s="181"/>
      <c r="B42" s="196" t="s">
        <v>180</v>
      </c>
      <c r="C42" s="202">
        <f>sumry!EJ57</f>
        <v>-0.12881355932203387</v>
      </c>
      <c r="D42" s="202">
        <f>sumry!EE57</f>
        <v>-4.220779220779225E-2</v>
      </c>
      <c r="E42" s="926">
        <v>-6.1175828813560762E-2</v>
      </c>
      <c r="F42" s="246">
        <f>F15/D15-1</f>
        <v>-9.8305084745762716E-2</v>
      </c>
      <c r="G42" s="206"/>
      <c r="H42" s="203"/>
      <c r="I42" s="204"/>
      <c r="J42" s="205"/>
      <c r="K42" s="206"/>
      <c r="L42" s="230"/>
      <c r="M42" s="206"/>
      <c r="N42" s="206"/>
      <c r="O42" s="181"/>
      <c r="P42" s="201"/>
    </row>
    <row r="43" spans="1:18" x14ac:dyDescent="0.2">
      <c r="A43" s="181"/>
      <c r="B43" s="196" t="s">
        <v>500</v>
      </c>
      <c r="C43" s="202">
        <f>sumry!EJ58</f>
        <v>-0.12281667804673901</v>
      </c>
      <c r="D43" s="202">
        <f>sumry!EE58</f>
        <v>6.8961629523845325E-2</v>
      </c>
      <c r="E43" s="926">
        <v>-6.5752927439865383E-2</v>
      </c>
      <c r="F43" s="246">
        <f>F25/D25-1</f>
        <v>-0.10392349880466878</v>
      </c>
      <c r="G43" s="206"/>
      <c r="H43" s="203"/>
      <c r="I43" s="204"/>
      <c r="J43" s="205"/>
      <c r="K43" s="206"/>
      <c r="L43" s="230"/>
      <c r="M43" s="206"/>
      <c r="N43" s="206"/>
      <c r="O43" s="181"/>
      <c r="P43" s="201"/>
    </row>
    <row r="44" spans="1:18" ht="13.5" thickBot="1" x14ac:dyDescent="0.25">
      <c r="A44" s="181"/>
      <c r="B44" s="231"/>
      <c r="C44" s="232"/>
      <c r="D44" s="232"/>
      <c r="E44" s="232"/>
      <c r="F44" s="233"/>
      <c r="G44" s="181"/>
      <c r="H44" s="231"/>
      <c r="I44" s="234"/>
      <c r="J44" s="235"/>
      <c r="K44" s="181"/>
      <c r="L44" s="236"/>
      <c r="M44" s="181"/>
      <c r="N44" s="181"/>
      <c r="O44" s="237"/>
      <c r="P44" s="181"/>
    </row>
    <row r="45" spans="1:18" x14ac:dyDescent="0.2">
      <c r="A45" s="181"/>
      <c r="B45" s="238"/>
      <c r="C45" s="301" t="s">
        <v>539</v>
      </c>
      <c r="D45" s="301" t="s">
        <v>549</v>
      </c>
      <c r="E45" s="181"/>
      <c r="F45" s="181"/>
      <c r="G45" s="181"/>
      <c r="H45" s="181"/>
      <c r="I45" s="181"/>
      <c r="J45" s="181"/>
      <c r="K45" s="181"/>
      <c r="L45" s="181"/>
      <c r="M45" s="181"/>
      <c r="N45" s="181"/>
      <c r="O45" s="237"/>
      <c r="P45" s="238"/>
    </row>
    <row r="46" spans="1:18" x14ac:dyDescent="0.2">
      <c r="A46" s="239"/>
      <c r="B46" s="240" t="s">
        <v>501</v>
      </c>
      <c r="C46" s="241">
        <f>turn!N104</f>
        <v>3.3617929562433257</v>
      </c>
      <c r="D46" s="241">
        <f>turn!$N$111</f>
        <v>-1.548786783686118</v>
      </c>
      <c r="E46" s="290">
        <v>-1.0000000000000009</v>
      </c>
      <c r="F46" s="239"/>
      <c r="G46" s="239"/>
      <c r="H46" s="239"/>
      <c r="I46" s="239"/>
      <c r="J46" s="239"/>
      <c r="K46" s="239"/>
      <c r="L46" s="239"/>
      <c r="M46" s="239"/>
      <c r="N46" s="239"/>
      <c r="O46" s="239"/>
      <c r="P46" s="239"/>
      <c r="Q46" s="241"/>
      <c r="R46" s="241"/>
    </row>
    <row r="47" spans="1:18" x14ac:dyDescent="0.2">
      <c r="A47" s="239"/>
      <c r="B47" s="242" t="s">
        <v>502</v>
      </c>
      <c r="C47" s="243">
        <f>D39*100</f>
        <v>-2.2588660492432799</v>
      </c>
      <c r="D47" s="243">
        <f>C39*100</f>
        <v>0.11555350127108177</v>
      </c>
      <c r="E47" s="291">
        <v>-1.1405966277561741</v>
      </c>
      <c r="F47" s="244"/>
      <c r="G47" s="239"/>
      <c r="H47" s="244"/>
      <c r="I47" s="244"/>
      <c r="J47" s="244"/>
      <c r="K47" s="239"/>
      <c r="L47" s="244"/>
      <c r="M47" s="239"/>
      <c r="N47" s="239"/>
      <c r="O47" s="239"/>
      <c r="P47" s="239"/>
      <c r="Q47" s="241"/>
      <c r="R47" s="241"/>
    </row>
    <row r="48" spans="1:18" x14ac:dyDescent="0.2">
      <c r="A48" s="239"/>
      <c r="B48" s="240" t="s">
        <v>50</v>
      </c>
      <c r="C48" s="245">
        <f>C47-C46</f>
        <v>-5.6206590054866057</v>
      </c>
      <c r="D48" s="245">
        <f>D47-D46</f>
        <v>1.6643402849571998</v>
      </c>
      <c r="E48" s="245">
        <v>-0.14059662775617321</v>
      </c>
      <c r="F48" s="244"/>
      <c r="G48" s="239"/>
      <c r="H48" s="244"/>
      <c r="I48" s="244"/>
      <c r="J48" s="244"/>
      <c r="K48" s="239"/>
      <c r="L48" s="244"/>
      <c r="M48" s="239"/>
      <c r="N48" s="239"/>
      <c r="O48" s="239"/>
      <c r="P48" s="244"/>
      <c r="Q48" s="258"/>
      <c r="R48" s="258"/>
    </row>
    <row r="49" spans="1:16" x14ac:dyDescent="0.2">
      <c r="A49" s="184"/>
      <c r="B49" s="184"/>
      <c r="C49" s="184"/>
      <c r="D49" s="184"/>
      <c r="E49" s="184"/>
      <c r="F49" s="184"/>
      <c r="G49" s="184"/>
      <c r="H49" s="184"/>
      <c r="I49" s="184"/>
      <c r="J49" s="184"/>
      <c r="K49" s="184"/>
      <c r="L49" s="184"/>
      <c r="M49" s="184"/>
      <c r="N49" s="184"/>
      <c r="O49" s="184"/>
      <c r="P49" s="184"/>
    </row>
    <row r="50" spans="1:16" x14ac:dyDescent="0.2">
      <c r="A50" s="184"/>
      <c r="B50" s="184"/>
      <c r="D50" s="184"/>
      <c r="E50" s="184"/>
      <c r="F50" s="184"/>
      <c r="G50" s="184"/>
      <c r="H50" s="184"/>
      <c r="I50" s="184"/>
      <c r="J50" s="184"/>
      <c r="K50" s="184"/>
      <c r="L50" s="184"/>
      <c r="M50" s="184"/>
      <c r="N50" s="184"/>
      <c r="O50" s="184"/>
      <c r="P50" s="184"/>
    </row>
    <row r="51" spans="1:16" x14ac:dyDescent="0.2">
      <c r="A51" s="184"/>
      <c r="B51" s="184"/>
      <c r="D51" s="184"/>
      <c r="E51" s="184"/>
      <c r="F51" s="184"/>
      <c r="G51" s="184"/>
      <c r="H51" s="184"/>
      <c r="I51" s="184"/>
      <c r="J51" s="184"/>
      <c r="K51" s="184"/>
      <c r="L51" s="184"/>
      <c r="M51" s="184"/>
      <c r="N51" s="184"/>
      <c r="O51" s="184"/>
      <c r="P51" s="184"/>
    </row>
    <row r="52" spans="1:16" x14ac:dyDescent="0.2">
      <c r="A52" s="184"/>
      <c r="B52" s="184"/>
      <c r="D52" s="184"/>
      <c r="E52" s="184"/>
      <c r="F52" s="184"/>
      <c r="G52" s="184"/>
      <c r="H52" s="184"/>
      <c r="I52" s="184"/>
      <c r="J52" s="184"/>
      <c r="K52" s="184"/>
      <c r="L52" s="184"/>
      <c r="M52" s="184"/>
      <c r="N52" s="184"/>
      <c r="O52" s="184"/>
      <c r="P52" s="184"/>
    </row>
  </sheetData>
  <phoneticPr fontId="57" type="noConversion"/>
  <pageMargins left="0.75" right="0.75" top="1" bottom="1" header="0.5" footer="0.5"/>
  <pageSetup scale="74" orientation="portrait" r:id="rId1"/>
  <headerFooter alignWithMargins="0"/>
  <colBreaks count="1" manualBreakCount="1">
    <brk id="14" max="1048575" man="1"/>
  </col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fitToPage="1"/>
  </sheetPr>
  <dimension ref="A1:AB183"/>
  <sheetViews>
    <sheetView topLeftCell="A94" zoomScale="85" zoomScaleNormal="85" workbookViewId="0">
      <selection activeCell="J57" sqref="J57"/>
    </sheetView>
  </sheetViews>
  <sheetFormatPr defaultRowHeight="12.75" outlineLevelRow="2" outlineLevelCol="1" x14ac:dyDescent="0.2"/>
  <cols>
    <col min="1" max="1" width="24.28515625" customWidth="1"/>
    <col min="2" max="2" width="1" customWidth="1"/>
    <col min="3" max="9" width="0" hidden="1" customWidth="1" outlineLevel="1"/>
    <col min="10" max="10" width="9.140625" collapsed="1"/>
    <col min="17" max="19" width="9.7109375" customWidth="1"/>
    <col min="20" max="20" width="9.7109375" hidden="1" customWidth="1" outlineLevel="1"/>
    <col min="21" max="21" width="0" style="1" hidden="1" customWidth="1" outlineLevel="1"/>
    <col min="22" max="22" width="9.140625" collapsed="1"/>
    <col min="28" max="28" width="21.42578125" bestFit="1" customWidth="1"/>
  </cols>
  <sheetData>
    <row r="1" spans="1:25" x14ac:dyDescent="0.2">
      <c r="A1" s="7"/>
      <c r="B1" s="7"/>
      <c r="C1" s="7"/>
      <c r="D1" s="7"/>
      <c r="E1" s="7"/>
      <c r="F1" s="7"/>
      <c r="G1" s="7"/>
      <c r="H1" s="7"/>
      <c r="I1" s="7"/>
      <c r="J1" s="7"/>
      <c r="K1" s="7"/>
      <c r="L1" s="7"/>
      <c r="M1" s="7"/>
      <c r="N1" s="7"/>
      <c r="O1" s="7"/>
      <c r="P1" s="7"/>
      <c r="Q1" s="7"/>
      <c r="R1" s="7"/>
      <c r="S1" s="7"/>
      <c r="T1" s="7"/>
    </row>
    <row r="2" spans="1:25" x14ac:dyDescent="0.2">
      <c r="A2" s="7"/>
      <c r="B2" s="7"/>
      <c r="C2" s="7"/>
      <c r="D2" s="7"/>
      <c r="E2" s="7"/>
      <c r="F2" s="7"/>
      <c r="G2" s="7"/>
      <c r="H2" s="7"/>
      <c r="I2" s="7"/>
      <c r="J2" s="7"/>
      <c r="K2" s="7"/>
      <c r="L2" s="7"/>
      <c r="M2" s="7"/>
      <c r="N2" s="7"/>
      <c r="O2" s="7"/>
      <c r="P2" s="7"/>
      <c r="Q2" s="7"/>
      <c r="R2" s="7"/>
      <c r="S2" s="7"/>
      <c r="T2" s="7"/>
    </row>
    <row r="3" spans="1:25" x14ac:dyDescent="0.2">
      <c r="A3" s="263" t="s">
        <v>522</v>
      </c>
      <c r="B3" s="2"/>
      <c r="C3" s="264" t="s">
        <v>523</v>
      </c>
      <c r="D3" s="264" t="s">
        <v>524</v>
      </c>
      <c r="E3" s="264" t="s">
        <v>525</v>
      </c>
      <c r="F3" s="264" t="s">
        <v>526</v>
      </c>
      <c r="G3" s="264" t="s">
        <v>527</v>
      </c>
      <c r="H3" s="264" t="s">
        <v>528</v>
      </c>
      <c r="I3" s="264" t="s">
        <v>473</v>
      </c>
      <c r="J3" s="264" t="s">
        <v>474</v>
      </c>
      <c r="K3" s="264" t="s">
        <v>529</v>
      </c>
      <c r="L3" s="264" t="s">
        <v>543</v>
      </c>
      <c r="M3" s="264" t="s">
        <v>550</v>
      </c>
      <c r="N3" s="264" t="s">
        <v>562</v>
      </c>
      <c r="O3" s="264" t="s">
        <v>626</v>
      </c>
      <c r="P3" s="264" t="s">
        <v>627</v>
      </c>
      <c r="Q3" s="264" t="s">
        <v>545</v>
      </c>
      <c r="R3" s="264" t="s">
        <v>551</v>
      </c>
      <c r="S3" s="264" t="s">
        <v>568</v>
      </c>
      <c r="T3" s="264" t="s">
        <v>569</v>
      </c>
      <c r="U3" s="1172" t="s">
        <v>619</v>
      </c>
    </row>
    <row r="4" spans="1:25" x14ac:dyDescent="0.2">
      <c r="A4" s="4" t="s">
        <v>175</v>
      </c>
      <c r="B4" s="2"/>
      <c r="C4" s="8" t="s">
        <v>92</v>
      </c>
      <c r="D4" s="8" t="s">
        <v>92</v>
      </c>
      <c r="E4" s="8" t="s">
        <v>92</v>
      </c>
      <c r="F4" s="8" t="s">
        <v>92</v>
      </c>
      <c r="G4" s="8" t="s">
        <v>92</v>
      </c>
      <c r="H4" s="8" t="s">
        <v>92</v>
      </c>
      <c r="I4" s="8" t="s">
        <v>92</v>
      </c>
      <c r="J4" s="8" t="s">
        <v>92</v>
      </c>
      <c r="K4" s="8" t="s">
        <v>92</v>
      </c>
      <c r="L4" s="8" t="s">
        <v>92</v>
      </c>
      <c r="M4" s="8" t="s">
        <v>92</v>
      </c>
      <c r="N4" s="8" t="s">
        <v>92</v>
      </c>
      <c r="O4" s="8" t="s">
        <v>92</v>
      </c>
      <c r="P4" s="8" t="s">
        <v>92</v>
      </c>
      <c r="Q4" s="8" t="s">
        <v>92</v>
      </c>
      <c r="R4" s="8" t="s">
        <v>92</v>
      </c>
      <c r="S4" s="8" t="s">
        <v>92</v>
      </c>
      <c r="T4" s="8" t="s">
        <v>92</v>
      </c>
      <c r="U4" s="1173" t="s">
        <v>92</v>
      </c>
    </row>
    <row r="5" spans="1:25" x14ac:dyDescent="0.2">
      <c r="A5" s="7"/>
      <c r="B5" s="7"/>
      <c r="C5" s="2"/>
      <c r="D5" s="2"/>
      <c r="E5" s="2"/>
      <c r="F5" s="2"/>
      <c r="G5" s="2"/>
      <c r="H5" s="2"/>
      <c r="I5" s="2"/>
      <c r="J5" s="2"/>
      <c r="K5" s="2"/>
      <c r="L5" s="2"/>
      <c r="M5" s="2"/>
      <c r="N5" s="7"/>
      <c r="O5" s="7"/>
      <c r="P5" s="7"/>
      <c r="Q5" s="7"/>
      <c r="R5" s="7"/>
      <c r="S5" s="7"/>
      <c r="T5" s="7"/>
    </row>
    <row r="6" spans="1:25" x14ac:dyDescent="0.2">
      <c r="A6" s="265" t="s">
        <v>176</v>
      </c>
      <c r="B6" s="7"/>
      <c r="C6" s="266">
        <f>'yrP&amp;L'!Q7</f>
        <v>11700.7</v>
      </c>
      <c r="D6" s="266">
        <f>'yrP&amp;L'!R7</f>
        <v>13402.199999999999</v>
      </c>
      <c r="E6" s="266">
        <f>'yrP&amp;L'!S7</f>
        <v>15585.301000000001</v>
      </c>
      <c r="F6" s="266">
        <f>'yrP&amp;L'!T7</f>
        <v>16473.7</v>
      </c>
      <c r="G6" s="266">
        <f>'yrP&amp;L'!U7</f>
        <v>16388.398000000001</v>
      </c>
      <c r="H6" s="266">
        <f>'yrP&amp;L'!V7</f>
        <v>17178</v>
      </c>
      <c r="I6" s="266">
        <f>'yrP&amp;L'!W7</f>
        <v>18391</v>
      </c>
      <c r="J6" s="266">
        <f>'yrP&amp;L'!X7</f>
        <v>18804</v>
      </c>
      <c r="K6" s="266">
        <f>'yrP&amp;L'!Y7</f>
        <v>19280</v>
      </c>
      <c r="L6" s="266">
        <f>'yrP&amp;L'!Z7</f>
        <v>19031</v>
      </c>
      <c r="M6" s="266">
        <f>'yrP&amp;L'!AA7</f>
        <v>19023</v>
      </c>
      <c r="N6" s="266">
        <f>'yrP&amp;L'!AB7</f>
        <v>19204</v>
      </c>
      <c r="O6" s="266">
        <f>'yrP&amp;L'!AC7</f>
        <v>18686</v>
      </c>
      <c r="P6" s="266">
        <f>'yrP&amp;L'!AD7</f>
        <v>19095</v>
      </c>
      <c r="Q6" s="266">
        <f>'yrP&amp;L'!AE7</f>
        <v>18785.039199999999</v>
      </c>
      <c r="R6" s="266">
        <f>'yrP&amp;L'!AF7</f>
        <v>18511.202673515378</v>
      </c>
      <c r="S6" s="266">
        <f>'yrP&amp;L'!AG7</f>
        <v>18233.534633412648</v>
      </c>
      <c r="T6" s="266">
        <f>'yrP&amp;L'!AH7</f>
        <v>17960.031613911458</v>
      </c>
      <c r="U6" s="266">
        <f>'yrP&amp;L'!AI7</f>
        <v>17690.631139702786</v>
      </c>
    </row>
    <row r="7" spans="1:25" outlineLevel="1" x14ac:dyDescent="0.2">
      <c r="A7" s="265"/>
      <c r="B7" s="7"/>
      <c r="C7" s="267"/>
      <c r="D7" s="267"/>
      <c r="E7" s="267"/>
      <c r="F7" s="267"/>
      <c r="G7" s="267"/>
      <c r="H7" s="267"/>
      <c r="I7" s="267"/>
      <c r="J7" s="267"/>
      <c r="K7" s="267"/>
      <c r="L7" s="267"/>
      <c r="M7" s="267"/>
      <c r="N7" s="7"/>
      <c r="O7" s="7"/>
      <c r="P7" s="7"/>
      <c r="Q7" s="7"/>
      <c r="R7" s="7"/>
      <c r="S7" s="7"/>
      <c r="T7" s="7"/>
      <c r="U7" s="7"/>
    </row>
    <row r="8" spans="1:25" outlineLevel="1" x14ac:dyDescent="0.2">
      <c r="A8" s="265" t="s">
        <v>177</v>
      </c>
      <c r="B8" s="7"/>
      <c r="C8" s="266">
        <f>'yrP&amp;L'!Q11</f>
        <v>7587.0249999999996</v>
      </c>
      <c r="D8" s="266">
        <f>'yrP&amp;L'!R11</f>
        <v>8641.6</v>
      </c>
      <c r="E8" s="266">
        <f>'yrP&amp;L'!S11</f>
        <v>9917.7179999999989</v>
      </c>
      <c r="F8" s="266">
        <f>'yrP&amp;L'!T11</f>
        <v>10459.6</v>
      </c>
      <c r="G8" s="266">
        <f>'yrP&amp;L'!U11</f>
        <v>10333.613000000001</v>
      </c>
      <c r="H8" s="266">
        <f>'yrP&amp;L'!V11</f>
        <v>10680</v>
      </c>
      <c r="I8" s="266">
        <f>'yrP&amp;L'!W11</f>
        <v>11358</v>
      </c>
      <c r="J8" s="266">
        <f>'yrP&amp;L'!X11</f>
        <v>11625</v>
      </c>
      <c r="K8" s="266">
        <f>'yrP&amp;L'!Y11</f>
        <v>12290</v>
      </c>
      <c r="L8" s="266">
        <f>'yrP&amp;L'!Z11</f>
        <v>12086</v>
      </c>
      <c r="M8" s="266">
        <f>'yrP&amp;L'!AA11</f>
        <v>12098</v>
      </c>
      <c r="N8" s="266">
        <f>'yrP&amp;L'!AB11</f>
        <v>12264</v>
      </c>
      <c r="O8" s="266">
        <f>'yrP&amp;L'!AC11</f>
        <v>11945</v>
      </c>
      <c r="P8" s="266">
        <f>'yrP&amp;L'!AD11</f>
        <v>12176</v>
      </c>
      <c r="Q8" s="266">
        <f>'yrP&amp;L'!AE11</f>
        <v>11976.401156960001</v>
      </c>
      <c r="R8" s="266">
        <f>'yrP&amp;L'!AF11</f>
        <v>11851.796935245982</v>
      </c>
      <c r="S8" s="266">
        <f>'yrP&amp;L'!AG11</f>
        <v>11701.370283167413</v>
      </c>
      <c r="T8" s="266">
        <f>'yrP&amp;L'!AH11</f>
        <v>11556.381782663553</v>
      </c>
      <c r="U8" s="266">
        <f>'yrP&amp;L'!AI11</f>
        <v>11391.881371493449</v>
      </c>
    </row>
    <row r="9" spans="1:25" outlineLevel="1" x14ac:dyDescent="0.2">
      <c r="A9" s="265"/>
      <c r="B9" s="7"/>
      <c r="C9" s="267"/>
      <c r="D9" s="267"/>
      <c r="E9" s="267"/>
      <c r="F9" s="267"/>
      <c r="G9" s="267"/>
      <c r="H9" s="267"/>
      <c r="I9" s="267"/>
      <c r="J9" s="267"/>
      <c r="K9" s="267"/>
      <c r="L9" s="267"/>
      <c r="M9" s="267"/>
      <c r="N9" s="7"/>
      <c r="O9" s="7"/>
      <c r="P9" s="7"/>
      <c r="Q9" s="7"/>
      <c r="R9" s="7"/>
      <c r="S9" s="7"/>
      <c r="T9" s="7"/>
      <c r="U9" s="7"/>
    </row>
    <row r="10" spans="1:25" x14ac:dyDescent="0.2">
      <c r="A10" s="265" t="s">
        <v>178</v>
      </c>
      <c r="B10" s="7"/>
      <c r="C10" s="266">
        <f t="shared" ref="C10:P10" si="0">C6-C8</f>
        <v>4113.6750000000011</v>
      </c>
      <c r="D10" s="266">
        <f t="shared" si="0"/>
        <v>4760.5999999999985</v>
      </c>
      <c r="E10" s="266">
        <f t="shared" si="0"/>
        <v>5667.5830000000024</v>
      </c>
      <c r="F10" s="266">
        <f t="shared" si="0"/>
        <v>6014.1</v>
      </c>
      <c r="G10" s="266">
        <f t="shared" si="0"/>
        <v>6054.7849999999999</v>
      </c>
      <c r="H10" s="266">
        <f t="shared" si="0"/>
        <v>6498</v>
      </c>
      <c r="I10" s="266">
        <f t="shared" si="0"/>
        <v>7033</v>
      </c>
      <c r="J10" s="266">
        <f t="shared" si="0"/>
        <v>7179</v>
      </c>
      <c r="K10" s="266">
        <f>K6-K8</f>
        <v>6990</v>
      </c>
      <c r="L10" s="266">
        <f t="shared" si="0"/>
        <v>6945</v>
      </c>
      <c r="M10" s="266">
        <f t="shared" si="0"/>
        <v>6925</v>
      </c>
      <c r="N10" s="266">
        <f t="shared" si="0"/>
        <v>6940</v>
      </c>
      <c r="O10" s="266">
        <f t="shared" si="0"/>
        <v>6741</v>
      </c>
      <c r="P10" s="266">
        <f t="shared" si="0"/>
        <v>6919</v>
      </c>
      <c r="Q10" s="266">
        <f>Q6-Q8</f>
        <v>6808.6380430399986</v>
      </c>
      <c r="R10" s="266">
        <f>R6-R8</f>
        <v>6659.4057382693954</v>
      </c>
      <c r="S10" s="266">
        <f>S6-S8</f>
        <v>6532.1643502452353</v>
      </c>
      <c r="T10" s="266">
        <f>T6-T8</f>
        <v>6403.6498312479052</v>
      </c>
      <c r="U10" s="266">
        <f>U6-U8</f>
        <v>6298.7497682093363</v>
      </c>
    </row>
    <row r="11" spans="1:25" x14ac:dyDescent="0.2">
      <c r="A11" s="265" t="s">
        <v>179</v>
      </c>
      <c r="B11" s="7"/>
      <c r="C11" s="267">
        <f>'yrP&amp;L'!Q24</f>
        <v>2632.0819999999999</v>
      </c>
      <c r="D11" s="267">
        <f>'yrP&amp;L'!R24</f>
        <v>3008</v>
      </c>
      <c r="E11" s="267">
        <f>'yrP&amp;L'!S24</f>
        <v>3465.1119999999996</v>
      </c>
      <c r="F11" s="267">
        <f>'yrP&amp;L'!T24</f>
        <v>3757.4</v>
      </c>
      <c r="G11" s="267">
        <f>'yrP&amp;L'!U24</f>
        <v>3977.3209999999999</v>
      </c>
      <c r="H11" s="267">
        <f>'yrP&amp;L'!V24</f>
        <v>3951</v>
      </c>
      <c r="I11" s="267">
        <f>'yrP&amp;L'!W24</f>
        <v>4188</v>
      </c>
      <c r="J11" s="267">
        <f>'yrP&amp;L'!X24</f>
        <v>4243</v>
      </c>
      <c r="K11" s="267">
        <f>'yrP&amp;L'!Y24</f>
        <v>4266</v>
      </c>
      <c r="L11" s="267">
        <f>'yrP&amp;L'!Z24</f>
        <v>4312</v>
      </c>
      <c r="M11" s="267">
        <f>'yrP&amp;L'!AA24</f>
        <v>4350</v>
      </c>
      <c r="N11" s="267">
        <f>'yrP&amp;L'!AB24</f>
        <v>4452</v>
      </c>
      <c r="O11" s="267">
        <f>'yrP&amp;L'!AC24</f>
        <v>4434</v>
      </c>
      <c r="P11" s="267">
        <f>'yrP&amp;L'!AD24</f>
        <v>4512</v>
      </c>
      <c r="Q11" s="267">
        <f>'yrP&amp;L'!AE24</f>
        <v>4511.8289999999997</v>
      </c>
      <c r="R11" s="267">
        <f>'yrP&amp;L'!AF24</f>
        <v>4520.4356928724555</v>
      </c>
      <c r="S11" s="267">
        <f>'yrP&amp;L'!AG24</f>
        <v>4485.4495198195109</v>
      </c>
      <c r="T11" s="267">
        <f>'yrP&amp;L'!AH24</f>
        <v>4454.0878402500421</v>
      </c>
      <c r="U11" s="267">
        <f>'yrP&amp;L'!AI24</f>
        <v>4399.659964444083</v>
      </c>
    </row>
    <row r="12" spans="1:25" x14ac:dyDescent="0.2">
      <c r="A12" s="265" t="s">
        <v>476</v>
      </c>
      <c r="B12" s="7"/>
      <c r="C12" s="267">
        <f>'yrP&amp;L'!Q37</f>
        <v>288.13799999999998</v>
      </c>
      <c r="D12" s="267">
        <f>'yrP&amp;L'!R37</f>
        <v>338.9</v>
      </c>
      <c r="E12" s="267">
        <f>'yrP&amp;L'!S37</f>
        <v>387.82499999999999</v>
      </c>
      <c r="F12" s="267">
        <f>'yrP&amp;L'!T37</f>
        <v>452.279</v>
      </c>
      <c r="G12" s="267">
        <f>'yrP&amp;L'!U37</f>
        <v>541.149</v>
      </c>
      <c r="H12" s="267">
        <f>'yrP&amp;L'!V37</f>
        <v>688</v>
      </c>
      <c r="I12" s="267">
        <f>'yrP&amp;L'!W37</f>
        <v>752</v>
      </c>
      <c r="J12" s="267">
        <f>'yrP&amp;L'!X37</f>
        <v>777</v>
      </c>
      <c r="K12" s="267">
        <f>'yrP&amp;L'!Y37</f>
        <v>835</v>
      </c>
      <c r="L12" s="267">
        <f>'yrP&amp;L'!Z37</f>
        <v>891</v>
      </c>
      <c r="M12" s="267">
        <f>'yrP&amp;L'!AA37</f>
        <v>886</v>
      </c>
      <c r="N12" s="267">
        <f>'yrP&amp;L'!AB37</f>
        <v>935</v>
      </c>
      <c r="O12" s="267">
        <f>'yrP&amp;L'!AC37</f>
        <v>939</v>
      </c>
      <c r="P12" s="267">
        <f>'yrP&amp;L'!AD37</f>
        <v>991</v>
      </c>
      <c r="Q12" s="267">
        <f>'yrP&amp;L'!AE37</f>
        <v>960</v>
      </c>
      <c r="R12" s="267">
        <f>'yrP&amp;L'!AF37</f>
        <v>965</v>
      </c>
      <c r="S12" s="267">
        <f>'yrP&amp;L'!AG37</f>
        <v>970</v>
      </c>
      <c r="T12" s="267">
        <f>'yrP&amp;L'!AH37</f>
        <v>975</v>
      </c>
      <c r="U12" s="267">
        <f>'yrP&amp;L'!AI37</f>
        <v>980</v>
      </c>
    </row>
    <row r="13" spans="1:25" x14ac:dyDescent="0.2">
      <c r="A13" s="268" t="s">
        <v>180</v>
      </c>
      <c r="B13" s="7"/>
      <c r="C13" s="266">
        <f>C10-C11-C12</f>
        <v>1193.4550000000013</v>
      </c>
      <c r="D13" s="266">
        <f t="shared" ref="D13:P13" si="1">D10-D11-D12</f>
        <v>1413.6999999999985</v>
      </c>
      <c r="E13" s="266">
        <f t="shared" si="1"/>
        <v>1814.6460000000027</v>
      </c>
      <c r="F13" s="266">
        <f t="shared" si="1"/>
        <v>1804.4210000000003</v>
      </c>
      <c r="G13" s="266">
        <f t="shared" si="1"/>
        <v>1536.3150000000001</v>
      </c>
      <c r="H13" s="266">
        <f t="shared" si="1"/>
        <v>1859</v>
      </c>
      <c r="I13" s="266">
        <f t="shared" si="1"/>
        <v>2093</v>
      </c>
      <c r="J13" s="266">
        <f t="shared" si="1"/>
        <v>2159</v>
      </c>
      <c r="K13" s="266">
        <f t="shared" si="1"/>
        <v>1889</v>
      </c>
      <c r="L13" s="266">
        <f t="shared" si="1"/>
        <v>1742</v>
      </c>
      <c r="M13" s="266">
        <f t="shared" si="1"/>
        <v>1689</v>
      </c>
      <c r="N13" s="266">
        <f t="shared" si="1"/>
        <v>1553</v>
      </c>
      <c r="O13" s="266">
        <f t="shared" si="1"/>
        <v>1368</v>
      </c>
      <c r="P13" s="266">
        <f t="shared" si="1"/>
        <v>1416</v>
      </c>
      <c r="Q13" s="266">
        <f>Q10-Q11-Q12</f>
        <v>1336.8090430399989</v>
      </c>
      <c r="R13" s="266">
        <f>R10-R11-R12</f>
        <v>1173.9700453969399</v>
      </c>
      <c r="S13" s="266">
        <f>S10-S11-S12</f>
        <v>1076.7148304257244</v>
      </c>
      <c r="T13" s="266">
        <f>T10-T11-T12</f>
        <v>974.56199099786318</v>
      </c>
      <c r="U13" s="266">
        <f>U10-U11-U12</f>
        <v>919.08980376525324</v>
      </c>
    </row>
    <row r="14" spans="1:25" outlineLevel="1" x14ac:dyDescent="0.2">
      <c r="A14" s="265"/>
      <c r="B14" s="7"/>
      <c r="C14" s="267"/>
      <c r="D14" s="267"/>
      <c r="E14" s="267"/>
      <c r="F14" s="267"/>
      <c r="G14" s="267"/>
      <c r="H14" s="267"/>
      <c r="I14" s="267"/>
      <c r="J14" s="267"/>
      <c r="K14" s="267"/>
      <c r="L14" s="267"/>
      <c r="M14" s="267"/>
      <c r="N14" s="7"/>
      <c r="O14" s="7"/>
      <c r="P14" s="7"/>
      <c r="Q14" s="7"/>
      <c r="R14" s="7"/>
      <c r="S14" s="7"/>
      <c r="T14" s="7"/>
      <c r="U14" s="7"/>
    </row>
    <row r="15" spans="1:25" outlineLevel="1" x14ac:dyDescent="0.2">
      <c r="A15" s="265" t="s">
        <v>530</v>
      </c>
      <c r="B15" s="7"/>
      <c r="C15" s="267">
        <f>'yrP&amp;L'!Q47</f>
        <v>62.470999999999997</v>
      </c>
      <c r="D15" s="267">
        <f>'yrP&amp;L'!R47</f>
        <v>70.3</v>
      </c>
      <c r="E15" s="267">
        <f>'yrP&amp;L'!S47</f>
        <v>40.408500000000004</v>
      </c>
      <c r="F15" s="267">
        <f>'yrP&amp;L'!T47</f>
        <v>62.4</v>
      </c>
      <c r="G15" s="267">
        <f>'yrP&amp;L'!U47</f>
        <v>111.456</v>
      </c>
      <c r="H15" s="267">
        <f>'yrP&amp;L'!V47</f>
        <v>301</v>
      </c>
      <c r="I15" s="267">
        <f>'yrP&amp;L'!W47</f>
        <v>305</v>
      </c>
      <c r="J15" s="267">
        <f>'yrP&amp;L'!X47</f>
        <v>299</v>
      </c>
      <c r="K15" s="267">
        <f>'yrP&amp;L'!Y47</f>
        <v>328.5</v>
      </c>
      <c r="L15" s="267">
        <f>'yrP&amp;L'!Z47</f>
        <v>338</v>
      </c>
      <c r="M15" s="267">
        <f>'yrP&amp;L'!AA47</f>
        <v>340</v>
      </c>
      <c r="N15" s="267">
        <f>'yrP&amp;L'!AB47</f>
        <v>328</v>
      </c>
      <c r="O15" s="267">
        <f>'yrP&amp;L'!AC47</f>
        <v>308</v>
      </c>
      <c r="P15" s="267">
        <f>'yrP&amp;L'!AD47</f>
        <v>299</v>
      </c>
      <c r="Q15" s="267">
        <f>'yrP&amp;L'!AE47</f>
        <v>280</v>
      </c>
      <c r="R15" s="267">
        <f>'yrP&amp;L'!AF47</f>
        <v>280</v>
      </c>
      <c r="S15" s="267">
        <f>'yrP&amp;L'!AG47</f>
        <v>280</v>
      </c>
      <c r="T15" s="267">
        <f>'yrP&amp;L'!AH47</f>
        <v>280</v>
      </c>
      <c r="U15" s="267">
        <f>'yrP&amp;L'!AI47</f>
        <v>280</v>
      </c>
      <c r="X15" s="7" t="s">
        <v>509</v>
      </c>
      <c r="Y15" s="7" t="s">
        <v>566</v>
      </c>
    </row>
    <row r="16" spans="1:25" outlineLevel="1" x14ac:dyDescent="0.2">
      <c r="A16" s="268" t="s">
        <v>181</v>
      </c>
      <c r="B16" s="7"/>
      <c r="C16" s="266">
        <f t="shared" ref="C16:M16" si="2">C13-C15</f>
        <v>1130.9840000000013</v>
      </c>
      <c r="D16" s="266">
        <f t="shared" si="2"/>
        <v>1343.3999999999985</v>
      </c>
      <c r="E16" s="266">
        <f t="shared" si="2"/>
        <v>1774.2375000000027</v>
      </c>
      <c r="F16" s="266">
        <f t="shared" si="2"/>
        <v>1742.0210000000002</v>
      </c>
      <c r="G16" s="266">
        <f t="shared" si="2"/>
        <v>1424.8590000000002</v>
      </c>
      <c r="H16" s="266">
        <f t="shared" si="2"/>
        <v>1558</v>
      </c>
      <c r="I16" s="266">
        <f t="shared" si="2"/>
        <v>1788</v>
      </c>
      <c r="J16" s="266">
        <f t="shared" si="2"/>
        <v>1860</v>
      </c>
      <c r="K16" s="266">
        <f t="shared" si="2"/>
        <v>1560.5</v>
      </c>
      <c r="L16" s="266">
        <f t="shared" si="2"/>
        <v>1404</v>
      </c>
      <c r="M16" s="266">
        <f t="shared" si="2"/>
        <v>1349</v>
      </c>
      <c r="N16" s="266">
        <f t="shared" ref="N16:T16" si="3">N13-N15</f>
        <v>1225</v>
      </c>
      <c r="O16" s="266">
        <f t="shared" si="3"/>
        <v>1060</v>
      </c>
      <c r="P16" s="266">
        <f t="shared" si="3"/>
        <v>1117</v>
      </c>
      <c r="Q16" s="266">
        <f t="shared" si="3"/>
        <v>1056.8090430399989</v>
      </c>
      <c r="R16" s="266">
        <f t="shared" si="3"/>
        <v>893.97004539693989</v>
      </c>
      <c r="S16" s="266">
        <f t="shared" si="3"/>
        <v>796.71483042572436</v>
      </c>
      <c r="T16" s="266">
        <f t="shared" si="3"/>
        <v>694.56199099786318</v>
      </c>
      <c r="U16" s="266">
        <f>U13-U15</f>
        <v>639.08980376525324</v>
      </c>
      <c r="V16" s="7" t="s">
        <v>475</v>
      </c>
      <c r="W16" s="298">
        <v>12</v>
      </c>
      <c r="X16" s="876">
        <f>R62</f>
        <v>5.2430128912104204</v>
      </c>
      <c r="Y16" s="896">
        <f>X16*W16</f>
        <v>62.916154694525048</v>
      </c>
    </row>
    <row r="17" spans="1:28" outlineLevel="1" x14ac:dyDescent="0.2">
      <c r="A17" s="265"/>
      <c r="B17" s="7"/>
      <c r="C17" s="267"/>
      <c r="D17" s="267"/>
      <c r="E17" s="267"/>
      <c r="F17" s="267"/>
      <c r="G17" s="267"/>
      <c r="H17" s="267"/>
      <c r="I17" s="267"/>
      <c r="J17" s="267"/>
      <c r="K17" s="267"/>
      <c r="L17" s="267"/>
      <c r="M17" s="267"/>
      <c r="N17" s="7"/>
      <c r="O17" s="7"/>
      <c r="P17" s="7"/>
      <c r="Q17" s="7"/>
      <c r="R17" s="7"/>
      <c r="S17" s="7"/>
      <c r="T17" s="7"/>
      <c r="U17" s="7"/>
      <c r="V17" s="7" t="s">
        <v>537</v>
      </c>
      <c r="W17" s="292">
        <v>10</v>
      </c>
      <c r="X17" s="876">
        <f>R23</f>
        <v>4.1468526018412808</v>
      </c>
      <c r="Y17">
        <f>X17*W17</f>
        <v>41.46852601841281</v>
      </c>
      <c r="Z17" s="309"/>
      <c r="AA17" s="309"/>
    </row>
    <row r="18" spans="1:28" x14ac:dyDescent="0.2">
      <c r="A18" s="265" t="s">
        <v>182</v>
      </c>
      <c r="B18" s="7"/>
      <c r="C18" s="267">
        <f>'yrP&amp;L'!Q56</f>
        <v>427.47111200000012</v>
      </c>
      <c r="D18" s="267">
        <f>'yrP&amp;L'!R56</f>
        <v>511.77803390083386</v>
      </c>
      <c r="E18" s="267">
        <f>'yrP&amp;L'!S56</f>
        <v>665.6397244599957</v>
      </c>
      <c r="F18" s="267">
        <f>'yrP&amp;L'!T56</f>
        <v>658.19999999999993</v>
      </c>
      <c r="G18" s="267">
        <f>'yrP&amp;L'!U56</f>
        <v>539.73199999999997</v>
      </c>
      <c r="H18" s="267">
        <f>'yrP&amp;L'!V56</f>
        <v>585</v>
      </c>
      <c r="I18" s="267">
        <f>'yrP&amp;L'!W56</f>
        <v>668</v>
      </c>
      <c r="J18" s="267">
        <f>'yrP&amp;L'!X56</f>
        <v>693</v>
      </c>
      <c r="K18" s="267">
        <f>'yrP&amp;L'!Y56</f>
        <v>575</v>
      </c>
      <c r="L18" s="267">
        <f>'yrP&amp;L'!Z56</f>
        <v>515</v>
      </c>
      <c r="M18" s="267">
        <f>'yrP&amp;L'!AA56</f>
        <v>482</v>
      </c>
      <c r="N18" s="267">
        <f>'yrP&amp;L'!AB56</f>
        <v>442.84000000000003</v>
      </c>
      <c r="O18" s="267">
        <f>'yrP&amp;L'!AC56</f>
        <v>386.86</v>
      </c>
      <c r="P18" s="267">
        <f>'yrP&amp;L'!AD56</f>
        <v>400</v>
      </c>
      <c r="Q18" s="267">
        <f>'yrP&amp;L'!AE56</f>
        <v>258.91821554479998</v>
      </c>
      <c r="R18" s="267">
        <f>'yrP&amp;L'!AF56</f>
        <v>219.0226611222505</v>
      </c>
      <c r="S18" s="267">
        <f>'yrP&amp;L'!AG56</f>
        <v>195.19513345430266</v>
      </c>
      <c r="T18" s="267">
        <f>'yrP&amp;L'!AH56</f>
        <v>170.16768779447665</v>
      </c>
      <c r="U18" s="267">
        <f>'yrP&amp;L'!AI56</f>
        <v>156.5770019224872</v>
      </c>
      <c r="V18" s="7" t="s">
        <v>472</v>
      </c>
      <c r="W18" s="292">
        <v>9</v>
      </c>
      <c r="X18" s="876">
        <f>R103</f>
        <v>3.3407389444931055</v>
      </c>
      <c r="Y18">
        <f>X18*W18</f>
        <v>30.066650500437948</v>
      </c>
    </row>
    <row r="19" spans="1:28" outlineLevel="1" x14ac:dyDescent="0.2">
      <c r="A19" s="265"/>
      <c r="B19" s="7"/>
      <c r="C19" s="267"/>
      <c r="D19" s="267"/>
      <c r="E19" s="267"/>
      <c r="F19" s="267"/>
      <c r="G19" s="267"/>
      <c r="H19" s="267"/>
      <c r="I19" s="267"/>
      <c r="J19" s="267"/>
      <c r="K19" s="267"/>
      <c r="L19" s="267"/>
      <c r="M19" s="267"/>
      <c r="N19" s="7"/>
      <c r="O19" s="7"/>
      <c r="P19" s="7"/>
      <c r="Q19" s="7"/>
      <c r="R19" s="7"/>
      <c r="S19" s="7"/>
      <c r="T19" s="7"/>
      <c r="U19" s="7"/>
    </row>
    <row r="20" spans="1:28" outlineLevel="1" x14ac:dyDescent="0.2">
      <c r="A20" s="265"/>
      <c r="B20" s="7"/>
      <c r="C20" s="267"/>
      <c r="D20" s="267"/>
      <c r="E20" s="267"/>
      <c r="F20" s="267"/>
      <c r="G20" s="267"/>
      <c r="H20" s="267"/>
      <c r="I20" s="267"/>
      <c r="J20" s="267"/>
      <c r="K20" s="267"/>
      <c r="L20" s="267"/>
      <c r="M20" s="267"/>
      <c r="N20" s="7"/>
      <c r="O20" s="7"/>
      <c r="P20" s="7"/>
      <c r="Q20" s="7"/>
      <c r="R20" s="7"/>
      <c r="S20" s="7"/>
      <c r="T20" s="7"/>
      <c r="U20" s="7"/>
    </row>
    <row r="21" spans="1:28" outlineLevel="1" x14ac:dyDescent="0.2">
      <c r="A21" s="265" t="s">
        <v>183</v>
      </c>
      <c r="B21" s="7"/>
      <c r="C21" s="266">
        <f>C16-C18</f>
        <v>703.51288800000111</v>
      </c>
      <c r="D21" s="266">
        <f t="shared" ref="D21:P21" si="4">D16-D18</f>
        <v>831.62196609916464</v>
      </c>
      <c r="E21" s="266">
        <f t="shared" si="4"/>
        <v>1108.597775540007</v>
      </c>
      <c r="F21" s="266">
        <f t="shared" si="4"/>
        <v>1083.8210000000004</v>
      </c>
      <c r="G21" s="266">
        <f t="shared" si="4"/>
        <v>885.12700000000018</v>
      </c>
      <c r="H21" s="266">
        <f t="shared" si="4"/>
        <v>973</v>
      </c>
      <c r="I21" s="266">
        <f t="shared" si="4"/>
        <v>1120</v>
      </c>
      <c r="J21" s="266">
        <f>J16-J18</f>
        <v>1167</v>
      </c>
      <c r="K21" s="266">
        <f>K16-K18</f>
        <v>985.5</v>
      </c>
      <c r="L21" s="266">
        <f t="shared" si="4"/>
        <v>889</v>
      </c>
      <c r="M21" s="266">
        <f t="shared" si="4"/>
        <v>867</v>
      </c>
      <c r="N21" s="266">
        <f t="shared" si="4"/>
        <v>782.16</v>
      </c>
      <c r="O21" s="266">
        <f t="shared" si="4"/>
        <v>673.14</v>
      </c>
      <c r="P21" s="266">
        <f t="shared" si="4"/>
        <v>717</v>
      </c>
      <c r="Q21" s="266">
        <f>Q16-Q18</f>
        <v>797.89082749519889</v>
      </c>
      <c r="R21" s="266">
        <f>R16-R18</f>
        <v>674.9473842746894</v>
      </c>
      <c r="S21" s="266">
        <f>S16-S18</f>
        <v>601.51969697142169</v>
      </c>
      <c r="T21" s="266">
        <f>T16-T18</f>
        <v>524.39430320338647</v>
      </c>
      <c r="U21" s="266">
        <f>U16-U18</f>
        <v>482.51280184276607</v>
      </c>
    </row>
    <row r="22" spans="1:28" outlineLevel="1" x14ac:dyDescent="0.2">
      <c r="A22" s="265"/>
      <c r="B22" s="7"/>
      <c r="C22" s="267"/>
      <c r="D22" s="267"/>
      <c r="E22" s="267"/>
      <c r="F22" s="267"/>
      <c r="G22" s="267"/>
      <c r="H22" s="267"/>
      <c r="I22" s="267"/>
      <c r="J22" s="267"/>
      <c r="K22" s="267"/>
      <c r="L22" s="267"/>
      <c r="M22" s="267"/>
      <c r="N22" s="7"/>
      <c r="O22" s="7"/>
      <c r="P22" s="7"/>
      <c r="Q22" s="7"/>
      <c r="R22" s="7"/>
      <c r="S22" s="7"/>
      <c r="T22" s="7"/>
      <c r="U22" s="7"/>
    </row>
    <row r="23" spans="1:28" x14ac:dyDescent="0.2">
      <c r="A23" s="13" t="s">
        <v>187</v>
      </c>
      <c r="B23" s="13"/>
      <c r="C23" s="269">
        <f t="shared" ref="C23:P23" si="5">C21/C24</f>
        <v>2.0411986360342604</v>
      </c>
      <c r="D23" s="269">
        <f t="shared" si="5"/>
        <v>2.3999387220841761</v>
      </c>
      <c r="E23" s="269">
        <f t="shared" si="5"/>
        <v>3.3115107806231929</v>
      </c>
      <c r="F23" s="269">
        <f t="shared" si="5"/>
        <v>3.3850550435577689</v>
      </c>
      <c r="G23" s="269">
        <f t="shared" si="5"/>
        <v>2.8866994431263202</v>
      </c>
      <c r="H23" s="269">
        <f t="shared" si="5"/>
        <v>3.1797385620915031</v>
      </c>
      <c r="I23" s="269">
        <f t="shared" si="5"/>
        <v>3.6601307189542482</v>
      </c>
      <c r="J23" s="269">
        <f t="shared" si="5"/>
        <v>4.3062730627306269</v>
      </c>
      <c r="K23" s="269">
        <f>K21/K24</f>
        <v>4.1599831152384974</v>
      </c>
      <c r="L23" s="269">
        <f t="shared" si="5"/>
        <v>4.0501138952164011</v>
      </c>
      <c r="M23" s="269">
        <f>M21/M24</f>
        <v>4.2416829745596871</v>
      </c>
      <c r="N23" s="269">
        <f>N21/N24</f>
        <v>4.0110769230769225</v>
      </c>
      <c r="O23" s="269">
        <f t="shared" si="5"/>
        <v>3.7605586592178768</v>
      </c>
      <c r="P23" s="269">
        <f t="shared" si="5"/>
        <v>4.2678571428571432</v>
      </c>
      <c r="Q23" s="269">
        <f>Q21/Q24</f>
        <v>4.8241289482012268</v>
      </c>
      <c r="R23" s="269">
        <f>R21/R24</f>
        <v>4.1468526018412808</v>
      </c>
      <c r="S23" s="269">
        <f>S21/S24</f>
        <v>3.8022554770850068</v>
      </c>
      <c r="T23" s="269">
        <f>T21/T24</f>
        <v>3.4467844154287071</v>
      </c>
      <c r="U23" s="269">
        <f>U21/U24</f>
        <v>3.3030825797093279</v>
      </c>
      <c r="AA23" s="309"/>
      <c r="AB23" s="896"/>
    </row>
    <row r="24" spans="1:28" x14ac:dyDescent="0.2">
      <c r="A24" s="265" t="s">
        <v>185</v>
      </c>
      <c r="B24" s="7"/>
      <c r="C24" s="267">
        <f>'yrP&amp;L'!Q73</f>
        <v>344.65674999999999</v>
      </c>
      <c r="D24" s="267">
        <f>'yrP&amp;L'!R73</f>
        <v>346.51800000000003</v>
      </c>
      <c r="E24" s="267">
        <f>'yrP&amp;L'!S73</f>
        <v>334.77100000000002</v>
      </c>
      <c r="F24" s="267">
        <f>'yrP&amp;L'!T73</f>
        <v>320.17825000000005</v>
      </c>
      <c r="G24" s="267">
        <f>'yrP&amp;L'!U73</f>
        <v>306.6225</v>
      </c>
      <c r="H24" s="267">
        <f>'yrP&amp;L'!V73</f>
        <v>306</v>
      </c>
      <c r="I24" s="267">
        <f>'yrP&amp;L'!W73</f>
        <v>306</v>
      </c>
      <c r="J24" s="267">
        <f>'yrP&amp;L'!X73</f>
        <v>271</v>
      </c>
      <c r="K24" s="267">
        <f>'yrP&amp;L'!Y73</f>
        <v>236.9</v>
      </c>
      <c r="L24" s="267">
        <f>'yrP&amp;L'!Z73</f>
        <v>219.5</v>
      </c>
      <c r="M24" s="267">
        <f>'yrP&amp;L'!AA73</f>
        <v>204.4</v>
      </c>
      <c r="N24" s="267">
        <f>'yrP&amp;L'!AB73</f>
        <v>195</v>
      </c>
      <c r="O24" s="267">
        <f>'yrP&amp;L'!AC73</f>
        <v>179</v>
      </c>
      <c r="P24" s="267">
        <f>'yrP&amp;L'!AD73</f>
        <v>168</v>
      </c>
      <c r="Q24" s="267">
        <f>'yrP&amp;L'!AE73</f>
        <v>165.39583333333337</v>
      </c>
      <c r="R24" s="267">
        <f>'yrP&amp;L'!AF73</f>
        <v>162.76136363636365</v>
      </c>
      <c r="S24" s="267">
        <f>'yrP&amp;L'!AG73</f>
        <v>158.20075757575759</v>
      </c>
      <c r="T24" s="267">
        <f>'yrP&amp;L'!AH73</f>
        <v>152.14015151515153</v>
      </c>
      <c r="U24" s="267">
        <f>'yrP&amp;L'!AI73</f>
        <v>146.07954545454547</v>
      </c>
      <c r="AA24" s="309"/>
    </row>
    <row r="25" spans="1:28" outlineLevel="1" x14ac:dyDescent="0.2">
      <c r="A25" s="265"/>
      <c r="B25" s="7"/>
      <c r="C25" s="267"/>
      <c r="D25" s="267"/>
      <c r="E25" s="267"/>
      <c r="F25" s="267"/>
      <c r="G25" s="267"/>
      <c r="H25" s="267"/>
      <c r="I25" s="267"/>
      <c r="J25" s="267"/>
      <c r="K25" s="267"/>
      <c r="L25" s="267"/>
      <c r="M25" s="267"/>
      <c r="N25" s="7"/>
      <c r="O25" s="7"/>
      <c r="P25" s="7"/>
      <c r="Q25" s="7"/>
      <c r="R25" s="7"/>
      <c r="S25" s="7"/>
      <c r="T25" s="7"/>
      <c r="AA25" s="309"/>
    </row>
    <row r="26" spans="1:28" outlineLevel="1" x14ac:dyDescent="0.2">
      <c r="A26" s="265" t="s">
        <v>190</v>
      </c>
      <c r="B26" s="7"/>
      <c r="C26" s="266">
        <f>C13+C12</f>
        <v>1481.5930000000012</v>
      </c>
      <c r="D26" s="266">
        <f t="shared" ref="D26:P26" si="6">D13+D12</f>
        <v>1752.5999999999985</v>
      </c>
      <c r="E26" s="266">
        <f t="shared" si="6"/>
        <v>2202.4710000000027</v>
      </c>
      <c r="F26" s="266">
        <f t="shared" si="6"/>
        <v>2256.7000000000003</v>
      </c>
      <c r="G26" s="266">
        <f t="shared" si="6"/>
        <v>2077.4639999999999</v>
      </c>
      <c r="H26" s="266">
        <f t="shared" si="6"/>
        <v>2547</v>
      </c>
      <c r="I26" s="266">
        <f t="shared" si="6"/>
        <v>2845</v>
      </c>
      <c r="J26" s="266">
        <f t="shared" si="6"/>
        <v>2936</v>
      </c>
      <c r="K26" s="266">
        <f t="shared" si="6"/>
        <v>2724</v>
      </c>
      <c r="L26" s="266">
        <f t="shared" si="6"/>
        <v>2633</v>
      </c>
      <c r="M26" s="266">
        <f t="shared" si="6"/>
        <v>2575</v>
      </c>
      <c r="N26" s="266">
        <f t="shared" si="6"/>
        <v>2488</v>
      </c>
      <c r="O26" s="266">
        <f t="shared" si="6"/>
        <v>2307</v>
      </c>
      <c r="P26" s="266">
        <f t="shared" si="6"/>
        <v>2407</v>
      </c>
      <c r="Q26" s="266">
        <f>Q13+Q12</f>
        <v>2296.8090430399989</v>
      </c>
      <c r="R26" s="266">
        <f>R13+R12</f>
        <v>2138.9700453969399</v>
      </c>
      <c r="S26" s="266">
        <f>S13+S12</f>
        <v>2046.7148304257244</v>
      </c>
      <c r="T26" s="266">
        <f>T13+T12</f>
        <v>1949.5619909978632</v>
      </c>
      <c r="U26" s="1174">
        <f>U13+U12</f>
        <v>1899.0898037652532</v>
      </c>
    </row>
    <row r="27" spans="1:28" x14ac:dyDescent="0.2">
      <c r="A27" s="265"/>
      <c r="B27" s="7"/>
      <c r="C27" s="267"/>
      <c r="D27" s="267"/>
      <c r="E27" s="267"/>
      <c r="F27" s="267"/>
      <c r="G27" s="267"/>
      <c r="H27" s="267"/>
      <c r="I27" s="267"/>
      <c r="J27" s="267"/>
      <c r="K27" s="267"/>
      <c r="L27" s="267"/>
      <c r="M27" s="267"/>
      <c r="N27" s="7"/>
      <c r="O27" s="7"/>
      <c r="P27" s="7"/>
      <c r="Q27" s="7"/>
      <c r="R27" s="7"/>
      <c r="S27" s="7"/>
      <c r="T27" s="7"/>
    </row>
    <row r="28" spans="1:28" x14ac:dyDescent="0.2">
      <c r="A28" s="270" t="s">
        <v>191</v>
      </c>
      <c r="B28" s="7"/>
      <c r="C28" s="267"/>
      <c r="D28" s="267"/>
      <c r="E28" s="267"/>
      <c r="F28" s="267"/>
      <c r="G28" s="267"/>
      <c r="H28" s="267"/>
      <c r="I28" s="267"/>
      <c r="J28" s="267"/>
      <c r="K28" s="267"/>
      <c r="L28" s="267"/>
      <c r="M28" s="267"/>
      <c r="N28" s="7"/>
      <c r="O28" s="7"/>
      <c r="P28" s="7"/>
      <c r="Q28" s="7"/>
      <c r="R28" s="7"/>
      <c r="S28" s="7"/>
      <c r="T28" s="7"/>
    </row>
    <row r="29" spans="1:28" x14ac:dyDescent="0.2">
      <c r="A29" s="265" t="s">
        <v>192</v>
      </c>
      <c r="B29" s="7"/>
      <c r="C29" s="271">
        <f>C10/C6</f>
        <v>0.35157511943729869</v>
      </c>
      <c r="D29" s="271">
        <f t="shared" ref="D29:M29" si="7">D10/D6</f>
        <v>0.35521033860112511</v>
      </c>
      <c r="E29" s="271">
        <f t="shared" si="7"/>
        <v>0.36364924873764082</v>
      </c>
      <c r="F29" s="271">
        <f t="shared" si="7"/>
        <v>0.36507281302925271</v>
      </c>
      <c r="G29" s="271">
        <f t="shared" si="7"/>
        <v>0.36945557460832962</v>
      </c>
      <c r="H29" s="271">
        <f t="shared" si="7"/>
        <v>0.3782745371987426</v>
      </c>
      <c r="I29" s="271">
        <f t="shared" si="7"/>
        <v>0.38241531183731176</v>
      </c>
      <c r="J29" s="271">
        <f t="shared" si="7"/>
        <v>0.38178047223994893</v>
      </c>
      <c r="K29" s="271">
        <f>K10/K6</f>
        <v>0.362551867219917</v>
      </c>
      <c r="L29" s="271">
        <f t="shared" si="7"/>
        <v>0.36493090221218011</v>
      </c>
      <c r="M29" s="271">
        <f t="shared" si="7"/>
        <v>0.3640330126688745</v>
      </c>
      <c r="N29" s="271">
        <f t="shared" ref="N29:T29" si="8">N10/N6</f>
        <v>0.3613830451989169</v>
      </c>
      <c r="O29" s="271">
        <f t="shared" si="8"/>
        <v>0.36075136465803276</v>
      </c>
      <c r="P29" s="271">
        <f t="shared" si="8"/>
        <v>0.36234616391725583</v>
      </c>
      <c r="Q29" s="271">
        <f t="shared" si="8"/>
        <v>0.36245003114180346</v>
      </c>
      <c r="R29" s="271">
        <f t="shared" si="8"/>
        <v>0.35975003114180359</v>
      </c>
      <c r="S29" s="271">
        <f t="shared" si="8"/>
        <v>0.35825003114180359</v>
      </c>
      <c r="T29" s="271">
        <f t="shared" si="8"/>
        <v>0.35655003114180345</v>
      </c>
      <c r="U29" s="1175">
        <f>U10/U6</f>
        <v>0.35605003114180356</v>
      </c>
    </row>
    <row r="30" spans="1:28" x14ac:dyDescent="0.2">
      <c r="A30" s="265" t="s">
        <v>193</v>
      </c>
      <c r="B30" s="7"/>
      <c r="C30" s="271">
        <f>C11/C6</f>
        <v>0.22495081490850971</v>
      </c>
      <c r="D30" s="271">
        <f t="shared" ref="D30:M30" si="9">D11/D6</f>
        <v>0.22444076345674593</v>
      </c>
      <c r="E30" s="271">
        <f t="shared" si="9"/>
        <v>0.22233205505623532</v>
      </c>
      <c r="F30" s="271">
        <f t="shared" si="9"/>
        <v>0.22808476541396286</v>
      </c>
      <c r="G30" s="271">
        <f t="shared" si="9"/>
        <v>0.24269126244066075</v>
      </c>
      <c r="H30" s="271">
        <f t="shared" si="9"/>
        <v>0.23000349283967866</v>
      </c>
      <c r="I30" s="271">
        <f t="shared" si="9"/>
        <v>0.22772008047414496</v>
      </c>
      <c r="J30" s="271">
        <f t="shared" si="9"/>
        <v>0.22564348011061477</v>
      </c>
      <c r="K30" s="271">
        <f>K11/K6</f>
        <v>0.22126556016597509</v>
      </c>
      <c r="L30" s="271">
        <f t="shared" si="9"/>
        <v>0.22657768903368189</v>
      </c>
      <c r="M30" s="271">
        <f t="shared" si="9"/>
        <v>0.22867055669452768</v>
      </c>
      <c r="N30" s="271">
        <f t="shared" ref="N30:T30" si="10">N11/N6</f>
        <v>0.23182670277025619</v>
      </c>
      <c r="O30" s="271">
        <f t="shared" si="10"/>
        <v>0.23728994969495878</v>
      </c>
      <c r="P30" s="271">
        <f t="shared" si="10"/>
        <v>0.23629222309505107</v>
      </c>
      <c r="Q30" s="271">
        <f t="shared" si="10"/>
        <v>0.24018203805504967</v>
      </c>
      <c r="R30" s="271">
        <f t="shared" si="10"/>
        <v>0.24420000000000003</v>
      </c>
      <c r="S30" s="271">
        <f t="shared" si="10"/>
        <v>0.24599999999999997</v>
      </c>
      <c r="T30" s="271">
        <f t="shared" si="10"/>
        <v>0.24800000000000003</v>
      </c>
      <c r="U30" s="1175">
        <f>U11/U6</f>
        <v>0.2487</v>
      </c>
    </row>
    <row r="31" spans="1:28" x14ac:dyDescent="0.2">
      <c r="A31" s="265" t="s">
        <v>194</v>
      </c>
      <c r="B31" s="7"/>
      <c r="C31" s="271">
        <f>C13/C6</f>
        <v>0.10199859837445634</v>
      </c>
      <c r="D31" s="271">
        <f t="shared" ref="D31:P31" si="11">D13/D6</f>
        <v>0.10548268194773981</v>
      </c>
      <c r="E31" s="271">
        <f t="shared" si="11"/>
        <v>0.11643316994647729</v>
      </c>
      <c r="F31" s="271">
        <f t="shared" si="11"/>
        <v>0.10953343814686441</v>
      </c>
      <c r="G31" s="271">
        <f t="shared" si="11"/>
        <v>9.374406211028069E-2</v>
      </c>
      <c r="H31" s="271">
        <f t="shared" si="11"/>
        <v>0.10821981604377692</v>
      </c>
      <c r="I31" s="271">
        <f t="shared" si="11"/>
        <v>0.11380566581480071</v>
      </c>
      <c r="J31" s="271">
        <f t="shared" si="11"/>
        <v>0.11481599659646884</v>
      </c>
      <c r="K31" s="271">
        <f t="shared" si="11"/>
        <v>9.7977178423236513E-2</v>
      </c>
      <c r="L31" s="271">
        <f t="shared" si="11"/>
        <v>9.1534864168987443E-2</v>
      </c>
      <c r="M31" s="271">
        <f t="shared" si="11"/>
        <v>8.8787257530357988E-2</v>
      </c>
      <c r="N31" s="271">
        <f t="shared" si="11"/>
        <v>8.0868569048114972E-2</v>
      </c>
      <c r="O31" s="271">
        <f t="shared" si="11"/>
        <v>7.320988975703735E-2</v>
      </c>
      <c r="P31" s="271">
        <f t="shared" si="11"/>
        <v>7.415553809897879E-2</v>
      </c>
      <c r="Q31" s="271">
        <f>Q13/Q6</f>
        <v>7.1163494992334056E-2</v>
      </c>
      <c r="R31" s="271">
        <f>R13/R6</f>
        <v>6.3419436656948269E-2</v>
      </c>
      <c r="S31" s="271">
        <f>S13/S6</f>
        <v>5.9051349728574426E-2</v>
      </c>
      <c r="T31" s="271">
        <f>T13/T6</f>
        <v>5.4262821577829974E-2</v>
      </c>
      <c r="U31" s="1175">
        <f>U13/U6</f>
        <v>5.1953477324082321E-2</v>
      </c>
    </row>
    <row r="32" spans="1:28" x14ac:dyDescent="0.2">
      <c r="A32" s="265" t="s">
        <v>196</v>
      </c>
      <c r="B32" s="7"/>
      <c r="C32" s="271">
        <f>C18/C16</f>
        <v>0.37796388985166868</v>
      </c>
      <c r="D32" s="271">
        <f t="shared" ref="D32:M32" si="12">D18/D16</f>
        <v>0.38095729782703175</v>
      </c>
      <c r="E32" s="271">
        <f t="shared" si="12"/>
        <v>0.37516945981583338</v>
      </c>
      <c r="F32" s="271">
        <f t="shared" si="12"/>
        <v>0.37783700655732616</v>
      </c>
      <c r="G32" s="271">
        <f t="shared" si="12"/>
        <v>0.3787967791900812</v>
      </c>
      <c r="H32" s="271">
        <f t="shared" si="12"/>
        <v>0.37548138639281131</v>
      </c>
      <c r="I32" s="271">
        <f t="shared" si="12"/>
        <v>0.37360178970917224</v>
      </c>
      <c r="J32" s="271">
        <f t="shared" si="12"/>
        <v>0.3725806451612903</v>
      </c>
      <c r="K32" s="271">
        <f>K18/K16</f>
        <v>0.36847164370394103</v>
      </c>
      <c r="L32" s="271">
        <f t="shared" si="12"/>
        <v>0.36680911680911682</v>
      </c>
      <c r="M32" s="271">
        <f t="shared" si="12"/>
        <v>0.35730170496664193</v>
      </c>
      <c r="N32" s="271">
        <f t="shared" ref="N32:T32" si="13">N18/N16</f>
        <v>0.36150204081632653</v>
      </c>
      <c r="O32" s="271">
        <f t="shared" si="13"/>
        <v>0.36496226415094341</v>
      </c>
      <c r="P32" s="271">
        <f t="shared" si="13"/>
        <v>0.35810205908683973</v>
      </c>
      <c r="Q32" s="271">
        <f t="shared" si="13"/>
        <v>0.24500000000000025</v>
      </c>
      <c r="R32" s="271">
        <f t="shared" si="13"/>
        <v>0.24500000000000025</v>
      </c>
      <c r="S32" s="271">
        <f t="shared" si="13"/>
        <v>0.24500000000000025</v>
      </c>
      <c r="T32" s="271">
        <f t="shared" si="13"/>
        <v>0.24500000000000025</v>
      </c>
      <c r="U32" s="1175">
        <f>U18/U16</f>
        <v>0.24500000000000025</v>
      </c>
    </row>
    <row r="33" spans="1:21" x14ac:dyDescent="0.2">
      <c r="A33" s="265"/>
      <c r="B33" s="7"/>
      <c r="C33" s="267"/>
      <c r="D33" s="267"/>
      <c r="E33" s="267"/>
      <c r="F33" s="267"/>
      <c r="G33" s="267"/>
      <c r="H33" s="267"/>
      <c r="I33" s="267"/>
      <c r="J33" s="267"/>
      <c r="K33" s="267"/>
      <c r="L33" s="267"/>
      <c r="M33" s="267"/>
      <c r="N33" s="7"/>
      <c r="O33" s="7"/>
      <c r="P33" s="7"/>
      <c r="Q33" s="7"/>
      <c r="R33" s="7"/>
      <c r="S33" s="7"/>
      <c r="T33" s="7"/>
    </row>
    <row r="34" spans="1:21" x14ac:dyDescent="0.2">
      <c r="A34" s="270" t="s">
        <v>199</v>
      </c>
      <c r="B34" s="7"/>
      <c r="C34" s="267"/>
      <c r="D34" s="267"/>
      <c r="E34" s="267"/>
      <c r="F34" s="267"/>
      <c r="G34" s="267"/>
      <c r="H34" s="267"/>
      <c r="I34" s="267"/>
      <c r="J34" s="267"/>
      <c r="K34" s="267"/>
      <c r="L34" s="267"/>
      <c r="M34" s="267"/>
      <c r="N34" s="7"/>
      <c r="O34" s="7"/>
      <c r="P34" s="7"/>
      <c r="Q34" s="7"/>
      <c r="R34" s="7"/>
      <c r="S34" s="7"/>
      <c r="T34" s="7"/>
    </row>
    <row r="35" spans="1:21" x14ac:dyDescent="0.2">
      <c r="A35" s="265" t="s">
        <v>98</v>
      </c>
      <c r="B35" s="7"/>
      <c r="C35" s="272" t="s">
        <v>94</v>
      </c>
      <c r="D35" s="271">
        <f>((D6/C6)-1)</f>
        <v>0.14541865016622912</v>
      </c>
      <c r="E35" s="271">
        <f t="shared" ref="E35:M35" si="14">((E6/D6)-1)</f>
        <v>0.16289124173643144</v>
      </c>
      <c r="F35" s="271">
        <f t="shared" si="14"/>
        <v>5.700236395819358E-2</v>
      </c>
      <c r="G35" s="271">
        <f t="shared" si="14"/>
        <v>-5.1780717143082855E-3</v>
      </c>
      <c r="H35" s="271">
        <f t="shared" si="14"/>
        <v>4.8180548214657559E-2</v>
      </c>
      <c r="I35" s="271">
        <f t="shared" si="14"/>
        <v>7.0613575503551074E-2</v>
      </c>
      <c r="J35" s="271">
        <f t="shared" si="14"/>
        <v>2.2456636398238361E-2</v>
      </c>
      <c r="K35" s="271">
        <f t="shared" si="14"/>
        <v>2.5313763029142677E-2</v>
      </c>
      <c r="L35" s="271">
        <f t="shared" si="14"/>
        <v>-1.2914937759336054E-2</v>
      </c>
      <c r="M35" s="271">
        <f t="shared" si="14"/>
        <v>-4.2036677000678591E-4</v>
      </c>
      <c r="N35" s="271">
        <f t="shared" ref="N35:U35" si="15">((N6/M6)-1)</f>
        <v>9.5147978762550878E-3</v>
      </c>
      <c r="O35" s="271">
        <f t="shared" si="15"/>
        <v>-2.6973547177671309E-2</v>
      </c>
      <c r="P35" s="271">
        <f t="shared" si="15"/>
        <v>2.1888044525313122E-2</v>
      </c>
      <c r="Q35" s="271">
        <f t="shared" si="15"/>
        <v>-1.6232563498298047E-2</v>
      </c>
      <c r="R35" s="271">
        <f t="shared" si="15"/>
        <v>-1.4577373172829033E-2</v>
      </c>
      <c r="S35" s="271">
        <f t="shared" si="15"/>
        <v>-1.4999999999999902E-2</v>
      </c>
      <c r="T35" s="271">
        <f t="shared" si="15"/>
        <v>-1.5000000000000013E-2</v>
      </c>
      <c r="U35" s="271">
        <f t="shared" si="15"/>
        <v>-1.5000000000000013E-2</v>
      </c>
    </row>
    <row r="36" spans="1:21" x14ac:dyDescent="0.2">
      <c r="A36" s="265" t="s">
        <v>200</v>
      </c>
      <c r="B36" s="7"/>
      <c r="C36" s="271">
        <f>yrSales!Q41</f>
        <v>5.4574854495884851E-3</v>
      </c>
      <c r="D36" s="271">
        <f>yrSales!R41</f>
        <v>3.6890876124815335E-2</v>
      </c>
      <c r="E36" s="271">
        <f>yrSales!S41</f>
        <v>5.9000000000000004E-2</v>
      </c>
      <c r="F36" s="271">
        <f>yrSales!T41</f>
        <v>-7.9988102247825314E-3</v>
      </c>
      <c r="G36" s="271">
        <f>yrSales!U41</f>
        <v>-6.9000000000000006E-2</v>
      </c>
      <c r="H36" s="271">
        <f>yrSales!V41</f>
        <v>6.5541130581591653E-3</v>
      </c>
      <c r="I36" s="271">
        <f>yrSales!W41</f>
        <v>4.4736447175248759E-2</v>
      </c>
      <c r="J36" s="271">
        <f>yrSales!X41</f>
        <v>5.0000000000000001E-3</v>
      </c>
      <c r="K36" s="271">
        <f>yrSales!Y41</f>
        <v>3.0000000000000001E-3</v>
      </c>
      <c r="L36" s="271">
        <f>yrSales!Z41</f>
        <v>-1.2309600126110033E-2</v>
      </c>
      <c r="M36" s="271">
        <f>yrSales!AA41</f>
        <v>-3.0000000000000001E-3</v>
      </c>
      <c r="N36" s="271">
        <f>yrSales!AB41</f>
        <v>6.9999999999999993E-3</v>
      </c>
      <c r="O36" s="271">
        <f>yrSales!AC41</f>
        <v>-2.4E-2</v>
      </c>
      <c r="P36" s="271">
        <f>yrSales!AD41</f>
        <v>1.4999999999999999E-2</v>
      </c>
      <c r="Q36" s="271">
        <f>yrSales!AE41</f>
        <v>4.3939297182834743E-4</v>
      </c>
      <c r="R36" s="271">
        <f>yrSales!AF41</f>
        <v>-1.4999999999999999E-2</v>
      </c>
      <c r="S36" s="271">
        <f>yrSales!AG41</f>
        <v>-1.4999999999999999E-2</v>
      </c>
      <c r="T36" s="271">
        <f>yrSales!AH41</f>
        <v>-1.4999999999999999E-2</v>
      </c>
      <c r="U36" s="271">
        <f>yrSales!AI41</f>
        <v>-1.4999999999999999E-2</v>
      </c>
    </row>
    <row r="37" spans="1:21" x14ac:dyDescent="0.2">
      <c r="A37" s="265" t="s">
        <v>179</v>
      </c>
      <c r="B37" s="7"/>
      <c r="C37" s="273" t="s">
        <v>94</v>
      </c>
      <c r="D37" s="271">
        <f t="shared" ref="D37:U37" si="16">((D11/C11)-1)</f>
        <v>0.14282153823475108</v>
      </c>
      <c r="E37" s="271">
        <f t="shared" si="16"/>
        <v>0.15196542553191472</v>
      </c>
      <c r="F37" s="271">
        <f t="shared" si="16"/>
        <v>8.4351674635625207E-2</v>
      </c>
      <c r="G37" s="271">
        <f t="shared" si="16"/>
        <v>5.8530100601479784E-2</v>
      </c>
      <c r="H37" s="271">
        <f t="shared" si="16"/>
        <v>-6.6177711077380907E-3</v>
      </c>
      <c r="I37" s="271">
        <f t="shared" si="16"/>
        <v>5.9984813971146522E-2</v>
      </c>
      <c r="J37" s="271">
        <f t="shared" si="16"/>
        <v>1.313276026743071E-2</v>
      </c>
      <c r="K37" s="271">
        <f t="shared" si="16"/>
        <v>5.4206929059628095E-3</v>
      </c>
      <c r="L37" s="271">
        <f t="shared" si="16"/>
        <v>1.0782934833567737E-2</v>
      </c>
      <c r="M37" s="271">
        <f t="shared" si="16"/>
        <v>8.8126159554731132E-3</v>
      </c>
      <c r="N37" s="271">
        <f t="shared" si="16"/>
        <v>2.3448275862068879E-2</v>
      </c>
      <c r="O37" s="271">
        <f t="shared" si="16"/>
        <v>-4.0431266846361336E-3</v>
      </c>
      <c r="P37" s="271">
        <f t="shared" si="16"/>
        <v>1.7591339648173276E-2</v>
      </c>
      <c r="Q37" s="271">
        <f t="shared" si="16"/>
        <v>-3.78989361702331E-5</v>
      </c>
      <c r="R37" s="271">
        <f t="shared" si="16"/>
        <v>1.9075840135909239E-3</v>
      </c>
      <c r="S37" s="271">
        <f t="shared" si="16"/>
        <v>-7.7395577395579229E-3</v>
      </c>
      <c r="T37" s="271">
        <f t="shared" si="16"/>
        <v>-6.9918699186989341E-3</v>
      </c>
      <c r="U37" s="271">
        <f t="shared" si="16"/>
        <v>-1.2219758064516251E-2</v>
      </c>
    </row>
    <row r="38" spans="1:21" x14ac:dyDescent="0.2">
      <c r="A38" s="265" t="s">
        <v>180</v>
      </c>
      <c r="B38" s="7"/>
      <c r="C38" s="273" t="s">
        <v>94</v>
      </c>
      <c r="D38" s="271">
        <f>((D13/C13)-1)</f>
        <v>0.18454403391832708</v>
      </c>
      <c r="E38" s="271">
        <f t="shared" ref="E38:U38" si="17">((E13/D13)-1)</f>
        <v>0.28361462828040218</v>
      </c>
      <c r="F38" s="271">
        <f t="shared" si="17"/>
        <v>-5.6347078162916064E-3</v>
      </c>
      <c r="G38" s="271">
        <f t="shared" si="17"/>
        <v>-0.14858284180909009</v>
      </c>
      <c r="H38" s="271">
        <f t="shared" si="17"/>
        <v>0.21003830594637174</v>
      </c>
      <c r="I38" s="271">
        <f t="shared" si="17"/>
        <v>0.12587412587412583</v>
      </c>
      <c r="J38" s="271">
        <f t="shared" si="17"/>
        <v>3.1533683707596794E-2</v>
      </c>
      <c r="K38" s="271">
        <f t="shared" si="17"/>
        <v>-0.1250578971746179</v>
      </c>
      <c r="L38" s="271">
        <f t="shared" si="17"/>
        <v>-7.7818951826363114E-2</v>
      </c>
      <c r="M38" s="271">
        <f t="shared" si="17"/>
        <v>-3.0424799081515519E-2</v>
      </c>
      <c r="N38" s="271">
        <f t="shared" si="17"/>
        <v>-8.0521018354055673E-2</v>
      </c>
      <c r="O38" s="271">
        <f t="shared" si="17"/>
        <v>-0.11912427559562133</v>
      </c>
      <c r="P38" s="271">
        <f t="shared" si="17"/>
        <v>3.5087719298245723E-2</v>
      </c>
      <c r="Q38" s="271">
        <f t="shared" si="17"/>
        <v>-5.592581706214772E-2</v>
      </c>
      <c r="R38" s="271">
        <f t="shared" si="17"/>
        <v>-0.1218117116209444</v>
      </c>
      <c r="S38" s="271">
        <f t="shared" si="17"/>
        <v>-8.2843012351590195E-2</v>
      </c>
      <c r="T38" s="271">
        <f t="shared" si="17"/>
        <v>-9.4874554098480113E-2</v>
      </c>
      <c r="U38" s="271">
        <f t="shared" si="17"/>
        <v>-5.6920121803448742E-2</v>
      </c>
    </row>
    <row r="39" spans="1:21" x14ac:dyDescent="0.2">
      <c r="A39" s="265" t="s">
        <v>500</v>
      </c>
      <c r="B39" s="7"/>
      <c r="C39" s="273" t="s">
        <v>94</v>
      </c>
      <c r="D39" s="271">
        <f>((D23/C23)-1)</f>
        <v>0.17574971867847866</v>
      </c>
      <c r="E39" s="271">
        <f t="shared" ref="E39:M39" si="18">((E23/D23)-1)</f>
        <v>0.37983138908954373</v>
      </c>
      <c r="F39" s="271">
        <f t="shared" si="18"/>
        <v>2.2208673867199602E-2</v>
      </c>
      <c r="G39" s="271">
        <f t="shared" si="18"/>
        <v>-0.14722230333592023</v>
      </c>
      <c r="H39" s="271">
        <f t="shared" si="18"/>
        <v>0.1015135537102605</v>
      </c>
      <c r="I39" s="271">
        <f t="shared" si="18"/>
        <v>0.15107913669064743</v>
      </c>
      <c r="J39" s="271">
        <f t="shared" si="18"/>
        <v>0.17653531892461771</v>
      </c>
      <c r="K39" s="271">
        <f t="shared" si="18"/>
        <v>-3.397135884350222E-2</v>
      </c>
      <c r="L39" s="271">
        <f t="shared" si="18"/>
        <v>-2.6410977395468938E-2</v>
      </c>
      <c r="M39" s="271">
        <f t="shared" si="18"/>
        <v>4.729967707069882E-2</v>
      </c>
      <c r="N39" s="271">
        <f t="shared" ref="N39:U39" si="19">((N23/M23)-1)</f>
        <v>-5.4366640049685167E-2</v>
      </c>
      <c r="O39" s="271">
        <f t="shared" si="19"/>
        <v>-6.2456609200820745E-2</v>
      </c>
      <c r="P39" s="271">
        <f t="shared" si="19"/>
        <v>0.13489976612803978</v>
      </c>
      <c r="Q39" s="271">
        <f t="shared" si="19"/>
        <v>0.13033983723543385</v>
      </c>
      <c r="R39" s="271">
        <f t="shared" si="19"/>
        <v>-0.14039349976589699</v>
      </c>
      <c r="S39" s="271">
        <f t="shared" si="19"/>
        <v>-8.3098474395561173E-2</v>
      </c>
      <c r="T39" s="271">
        <f t="shared" si="19"/>
        <v>-9.3489525835023901E-2</v>
      </c>
      <c r="U39" s="271">
        <f t="shared" si="19"/>
        <v>-4.1691564774440804E-2</v>
      </c>
    </row>
    <row r="40" spans="1:21" x14ac:dyDescent="0.2">
      <c r="A40" s="265" t="s">
        <v>190</v>
      </c>
      <c r="B40" s="7"/>
      <c r="C40" s="273" t="s">
        <v>94</v>
      </c>
      <c r="D40" s="271">
        <f>((D26/C26)-1)</f>
        <v>0.18291595600140997</v>
      </c>
      <c r="E40" s="271">
        <f t="shared" ref="E40:M40" si="20">((E26/D26)-1)</f>
        <v>0.25668777815816757</v>
      </c>
      <c r="F40" s="271">
        <f t="shared" si="20"/>
        <v>2.4621890594699103E-2</v>
      </c>
      <c r="G40" s="271">
        <f t="shared" si="20"/>
        <v>-7.9423937608011808E-2</v>
      </c>
      <c r="H40" s="271">
        <f t="shared" si="20"/>
        <v>0.22601402479176547</v>
      </c>
      <c r="I40" s="271">
        <f t="shared" si="20"/>
        <v>0.11700039261876727</v>
      </c>
      <c r="J40" s="271">
        <f t="shared" si="20"/>
        <v>3.1985940246045619E-2</v>
      </c>
      <c r="K40" s="271">
        <f t="shared" si="20"/>
        <v>-7.2207084468664862E-2</v>
      </c>
      <c r="L40" s="271">
        <f t="shared" si="20"/>
        <v>-3.3406754772393521E-2</v>
      </c>
      <c r="M40" s="271">
        <f t="shared" si="20"/>
        <v>-2.2028104823395345E-2</v>
      </c>
      <c r="N40" s="271">
        <f t="shared" ref="N40:U40" si="21">((N26/M26)-1)</f>
        <v>-3.3786407766990267E-2</v>
      </c>
      <c r="O40" s="271">
        <f t="shared" si="21"/>
        <v>-7.2749196141479122E-2</v>
      </c>
      <c r="P40" s="271">
        <f t="shared" si="21"/>
        <v>4.3346337234503762E-2</v>
      </c>
      <c r="Q40" s="271">
        <f t="shared" si="21"/>
        <v>-4.577937555463274E-2</v>
      </c>
      <c r="R40" s="271">
        <f t="shared" si="21"/>
        <v>-6.8720992770973766E-2</v>
      </c>
      <c r="S40" s="271">
        <f t="shared" si="21"/>
        <v>-4.3130671778105811E-2</v>
      </c>
      <c r="T40" s="271">
        <f t="shared" si="21"/>
        <v>-4.7467697005768472E-2</v>
      </c>
      <c r="U40" s="271">
        <f t="shared" si="21"/>
        <v>-2.5888988124340817E-2</v>
      </c>
    </row>
    <row r="41" spans="1:21" outlineLevel="1" x14ac:dyDescent="0.2">
      <c r="A41" s="262"/>
      <c r="B41" s="262"/>
      <c r="C41" s="262"/>
      <c r="D41" s="262"/>
      <c r="E41" s="262"/>
      <c r="F41" s="262"/>
      <c r="G41" s="262"/>
      <c r="H41" s="262"/>
      <c r="I41" s="262"/>
      <c r="J41" s="262"/>
      <c r="K41" s="262"/>
      <c r="L41" s="262"/>
      <c r="M41" s="262"/>
      <c r="N41" s="262"/>
      <c r="O41" s="262"/>
      <c r="P41" s="262"/>
      <c r="Q41" s="262"/>
      <c r="R41" s="262"/>
      <c r="S41" s="262"/>
      <c r="T41" s="262"/>
      <c r="U41" s="262"/>
    </row>
    <row r="42" spans="1:21" outlineLevel="1" x14ac:dyDescent="0.2">
      <c r="A42" s="263" t="s">
        <v>531</v>
      </c>
      <c r="B42" s="7"/>
      <c r="C42" s="257" t="s">
        <v>523</v>
      </c>
      <c r="D42" s="257" t="s">
        <v>524</v>
      </c>
      <c r="E42" s="257" t="s">
        <v>525</v>
      </c>
      <c r="F42" s="257" t="s">
        <v>526</v>
      </c>
      <c r="G42" s="257" t="s">
        <v>527</v>
      </c>
      <c r="H42" s="257" t="s">
        <v>528</v>
      </c>
      <c r="I42" s="257" t="s">
        <v>473</v>
      </c>
      <c r="J42" s="257" t="s">
        <v>474</v>
      </c>
      <c r="K42" s="257" t="s">
        <v>529</v>
      </c>
      <c r="L42" s="257" t="s">
        <v>543</v>
      </c>
      <c r="M42" s="257" t="s">
        <v>550</v>
      </c>
      <c r="N42" s="257" t="s">
        <v>562</v>
      </c>
      <c r="O42" s="257" t="s">
        <v>626</v>
      </c>
      <c r="P42" s="257" t="s">
        <v>627</v>
      </c>
      <c r="Q42" s="257" t="s">
        <v>545</v>
      </c>
      <c r="R42" s="257" t="str">
        <f>R3</f>
        <v>2019E</v>
      </c>
      <c r="S42" s="257" t="str">
        <f>S3</f>
        <v>2020E</v>
      </c>
      <c r="T42" s="257" t="str">
        <f>T3</f>
        <v>2021E</v>
      </c>
      <c r="U42" s="257" t="str">
        <f>U3</f>
        <v>2022E</v>
      </c>
    </row>
    <row r="43" spans="1:21" outlineLevel="1" x14ac:dyDescent="0.2">
      <c r="A43" s="4" t="s">
        <v>175</v>
      </c>
      <c r="B43" s="7"/>
      <c r="C43" s="8" t="s">
        <v>92</v>
      </c>
      <c r="D43" s="8" t="s">
        <v>92</v>
      </c>
      <c r="E43" s="8" t="s">
        <v>92</v>
      </c>
      <c r="F43" s="8" t="s">
        <v>92</v>
      </c>
      <c r="G43" s="8" t="s">
        <v>92</v>
      </c>
      <c r="H43" s="8" t="s">
        <v>92</v>
      </c>
      <c r="I43" s="8" t="s">
        <v>92</v>
      </c>
      <c r="J43" s="8" t="s">
        <v>92</v>
      </c>
      <c r="K43" s="8" t="s">
        <v>92</v>
      </c>
      <c r="L43" s="8" t="s">
        <v>92</v>
      </c>
      <c r="M43" s="8" t="s">
        <v>92</v>
      </c>
      <c r="N43" s="8" t="s">
        <v>92</v>
      </c>
      <c r="O43" s="8" t="s">
        <v>92</v>
      </c>
      <c r="P43" s="8" t="s">
        <v>92</v>
      </c>
      <c r="Q43" s="8" t="s">
        <v>92</v>
      </c>
      <c r="R43" s="8" t="s">
        <v>92</v>
      </c>
      <c r="S43" s="8" t="s">
        <v>92</v>
      </c>
      <c r="T43" s="8" t="s">
        <v>92</v>
      </c>
      <c r="U43" s="8" t="s">
        <v>92</v>
      </c>
    </row>
    <row r="44" spans="1:21" outlineLevel="1" x14ac:dyDescent="0.2">
      <c r="A44" s="2"/>
      <c r="B44" s="7"/>
      <c r="C44" s="7"/>
      <c r="D44" s="7"/>
      <c r="E44" s="7"/>
      <c r="F44" s="7"/>
      <c r="G44" s="7"/>
      <c r="H44" s="7"/>
      <c r="I44" s="7"/>
      <c r="J44" s="7"/>
      <c r="K44" s="7"/>
      <c r="L44" s="7"/>
      <c r="M44" s="7"/>
      <c r="N44" s="7"/>
      <c r="O44" s="7"/>
      <c r="P44" s="7"/>
      <c r="Q44" s="7"/>
      <c r="R44" s="7"/>
      <c r="S44" s="7"/>
      <c r="T44" s="7"/>
    </row>
    <row r="45" spans="1:21" outlineLevel="1" x14ac:dyDescent="0.2">
      <c r="A45" s="2" t="s">
        <v>176</v>
      </c>
      <c r="B45" s="7"/>
      <c r="C45" s="274">
        <f>C6</f>
        <v>11700.7</v>
      </c>
      <c r="D45" s="274">
        <f t="shared" ref="D45:J45" si="22">D6</f>
        <v>13402.199999999999</v>
      </c>
      <c r="E45" s="274">
        <f t="shared" si="22"/>
        <v>15585.301000000001</v>
      </c>
      <c r="F45" s="274">
        <f t="shared" si="22"/>
        <v>16473.7</v>
      </c>
      <c r="G45" s="274">
        <f t="shared" si="22"/>
        <v>16388.398000000001</v>
      </c>
      <c r="H45" s="274">
        <f t="shared" si="22"/>
        <v>17178</v>
      </c>
      <c r="I45" s="274">
        <f t="shared" si="22"/>
        <v>18391</v>
      </c>
      <c r="J45" s="274">
        <f t="shared" si="22"/>
        <v>18804</v>
      </c>
      <c r="K45" s="274">
        <f t="shared" ref="K45:P45" si="23">K6</f>
        <v>19280</v>
      </c>
      <c r="L45" s="274">
        <f t="shared" si="23"/>
        <v>19031</v>
      </c>
      <c r="M45" s="274">
        <f t="shared" si="23"/>
        <v>19023</v>
      </c>
      <c r="N45" s="274">
        <f t="shared" si="23"/>
        <v>19204</v>
      </c>
      <c r="O45" s="274">
        <f t="shared" si="23"/>
        <v>18686</v>
      </c>
      <c r="P45" s="274">
        <f t="shared" si="23"/>
        <v>19095</v>
      </c>
      <c r="Q45" s="274">
        <f t="shared" ref="Q45:U45" si="24">(P45*(1+Q74))</f>
        <v>19063.073991202935</v>
      </c>
      <c r="R45" s="274">
        <f t="shared" si="24"/>
        <v>19357.076667548004</v>
      </c>
      <c r="S45" s="274">
        <f t="shared" si="24"/>
        <v>19453.862050885746</v>
      </c>
      <c r="T45" s="274">
        <f t="shared" si="24"/>
        <v>19453.862050885746</v>
      </c>
      <c r="U45" s="1176">
        <f t="shared" si="24"/>
        <v>19453.862050885746</v>
      </c>
    </row>
    <row r="46" spans="1:21" outlineLevel="2" x14ac:dyDescent="0.2">
      <c r="A46" s="2"/>
      <c r="B46" s="7"/>
      <c r="C46" s="275"/>
      <c r="D46" s="275"/>
      <c r="E46" s="275"/>
      <c r="F46" s="275"/>
      <c r="G46" s="275"/>
      <c r="H46" s="275"/>
      <c r="I46" s="275"/>
      <c r="J46" s="275"/>
      <c r="K46" s="275"/>
      <c r="L46" s="275"/>
      <c r="M46" s="275"/>
      <c r="N46" s="275"/>
      <c r="O46" s="275"/>
      <c r="P46" s="275"/>
      <c r="Q46" s="7"/>
      <c r="R46" s="7"/>
      <c r="S46" s="7"/>
      <c r="T46" s="7"/>
    </row>
    <row r="47" spans="1:21" outlineLevel="2" x14ac:dyDescent="0.2">
      <c r="A47" s="2" t="s">
        <v>177</v>
      </c>
      <c r="B47" s="7"/>
      <c r="C47" s="274">
        <f>C8</f>
        <v>7587.0249999999996</v>
      </c>
      <c r="D47" s="274">
        <f t="shared" ref="D47:J47" si="25">D8</f>
        <v>8641.6</v>
      </c>
      <c r="E47" s="274">
        <f t="shared" si="25"/>
        <v>9917.7179999999989</v>
      </c>
      <c r="F47" s="274">
        <f t="shared" si="25"/>
        <v>10459.6</v>
      </c>
      <c r="G47" s="274">
        <f t="shared" si="25"/>
        <v>10333.613000000001</v>
      </c>
      <c r="H47" s="274">
        <f t="shared" si="25"/>
        <v>10680</v>
      </c>
      <c r="I47" s="274">
        <f t="shared" si="25"/>
        <v>11358</v>
      </c>
      <c r="J47" s="274">
        <f t="shared" si="25"/>
        <v>11625</v>
      </c>
      <c r="K47" s="274">
        <f t="shared" ref="K47:P47" si="26">K8</f>
        <v>12290</v>
      </c>
      <c r="L47" s="274">
        <f t="shared" si="26"/>
        <v>12086</v>
      </c>
      <c r="M47" s="274">
        <f t="shared" si="26"/>
        <v>12098</v>
      </c>
      <c r="N47" s="274">
        <f t="shared" si="26"/>
        <v>12264</v>
      </c>
      <c r="O47" s="274">
        <f t="shared" si="26"/>
        <v>11945</v>
      </c>
      <c r="P47" s="274">
        <f t="shared" si="26"/>
        <v>12176</v>
      </c>
      <c r="Q47" s="274">
        <f t="shared" ref="Q47:U47" si="27">Q45-Q49</f>
        <v>12127.047647032936</v>
      </c>
      <c r="R47" s="274">
        <f t="shared" si="27"/>
        <v>12285.042962407122</v>
      </c>
      <c r="S47" s="274">
        <f t="shared" si="27"/>
        <v>12317.28738414283</v>
      </c>
      <c r="T47" s="274">
        <f t="shared" si="27"/>
        <v>12433.935323995276</v>
      </c>
      <c r="U47" s="1176">
        <f t="shared" si="27"/>
        <v>12443.662255020718</v>
      </c>
    </row>
    <row r="48" spans="1:21" outlineLevel="2" x14ac:dyDescent="0.2">
      <c r="A48" s="2"/>
      <c r="B48" s="7"/>
      <c r="C48" s="275"/>
      <c r="D48" s="275"/>
      <c r="E48" s="275"/>
      <c r="F48" s="275"/>
      <c r="G48" s="275"/>
      <c r="H48" s="275"/>
      <c r="I48" s="275"/>
      <c r="J48" s="275"/>
      <c r="K48" s="275"/>
      <c r="L48" s="275"/>
      <c r="M48" s="275"/>
      <c r="N48" s="275"/>
      <c r="O48" s="275"/>
      <c r="P48" s="275"/>
      <c r="Q48" s="7"/>
      <c r="R48" s="7"/>
      <c r="S48" s="7"/>
      <c r="T48" s="7"/>
    </row>
    <row r="49" spans="1:22" outlineLevel="1" x14ac:dyDescent="0.2">
      <c r="A49" s="2" t="s">
        <v>178</v>
      </c>
      <c r="B49" s="7"/>
      <c r="C49" s="274">
        <f>C45-C47</f>
        <v>4113.6750000000011</v>
      </c>
      <c r="D49" s="274">
        <f t="shared" ref="D49:J49" si="28">D45-D47</f>
        <v>4760.5999999999985</v>
      </c>
      <c r="E49" s="274">
        <f t="shared" si="28"/>
        <v>5667.5830000000024</v>
      </c>
      <c r="F49" s="274">
        <f t="shared" si="28"/>
        <v>6014.1</v>
      </c>
      <c r="G49" s="274">
        <f t="shared" si="28"/>
        <v>6054.7849999999999</v>
      </c>
      <c r="H49" s="274">
        <f t="shared" si="28"/>
        <v>6498</v>
      </c>
      <c r="I49" s="274">
        <f t="shared" si="28"/>
        <v>7033</v>
      </c>
      <c r="J49" s="274">
        <f t="shared" si="28"/>
        <v>7179</v>
      </c>
      <c r="K49" s="274">
        <f t="shared" ref="K49:P49" si="29">K45-K47</f>
        <v>6990</v>
      </c>
      <c r="L49" s="274">
        <f t="shared" si="29"/>
        <v>6945</v>
      </c>
      <c r="M49" s="274">
        <f t="shared" si="29"/>
        <v>6925</v>
      </c>
      <c r="N49" s="274">
        <f t="shared" si="29"/>
        <v>6940</v>
      </c>
      <c r="O49" s="274">
        <f t="shared" si="29"/>
        <v>6741</v>
      </c>
      <c r="P49" s="274">
        <f t="shared" si="29"/>
        <v>6919</v>
      </c>
      <c r="Q49" s="274">
        <f t="shared" ref="Q49:U49" si="30">Q45*Q68</f>
        <v>6936.026344169999</v>
      </c>
      <c r="R49" s="274">
        <f t="shared" si="30"/>
        <v>7072.0337051408815</v>
      </c>
      <c r="S49" s="274">
        <f t="shared" si="30"/>
        <v>7136.5746667429148</v>
      </c>
      <c r="T49" s="274">
        <f t="shared" si="30"/>
        <v>7019.9267268904705</v>
      </c>
      <c r="U49" s="1176">
        <f t="shared" si="30"/>
        <v>7010.199795865029</v>
      </c>
    </row>
    <row r="50" spans="1:22" outlineLevel="1" x14ac:dyDescent="0.2">
      <c r="A50" s="2" t="s">
        <v>179</v>
      </c>
      <c r="B50" s="7"/>
      <c r="C50" s="275">
        <f>C11</f>
        <v>2632.0819999999999</v>
      </c>
      <c r="D50" s="275">
        <f t="shared" ref="D50:J51" si="31">D11</f>
        <v>3008</v>
      </c>
      <c r="E50" s="275">
        <f t="shared" si="31"/>
        <v>3465.1119999999996</v>
      </c>
      <c r="F50" s="275">
        <f t="shared" si="31"/>
        <v>3757.4</v>
      </c>
      <c r="G50" s="275">
        <f t="shared" si="31"/>
        <v>3977.3209999999999</v>
      </c>
      <c r="H50" s="275">
        <f t="shared" si="31"/>
        <v>3951</v>
      </c>
      <c r="I50" s="275">
        <f t="shared" si="31"/>
        <v>4188</v>
      </c>
      <c r="J50" s="275">
        <f t="shared" si="31"/>
        <v>4243</v>
      </c>
      <c r="K50" s="275">
        <f t="shared" ref="K50:M51" si="32">K11</f>
        <v>4266</v>
      </c>
      <c r="L50" s="275">
        <f t="shared" si="32"/>
        <v>4312</v>
      </c>
      <c r="M50" s="275">
        <f t="shared" si="32"/>
        <v>4350</v>
      </c>
      <c r="N50" s="275">
        <f t="shared" ref="N50:P51" si="33">N11</f>
        <v>4452</v>
      </c>
      <c r="O50" s="275">
        <f t="shared" si="33"/>
        <v>4434</v>
      </c>
      <c r="P50" s="275">
        <f t="shared" si="33"/>
        <v>4512</v>
      </c>
      <c r="Q50" s="275">
        <f t="shared" ref="Q50:U50" si="34">Q45*Q69</f>
        <v>4559.5448888101282</v>
      </c>
      <c r="R50" s="275">
        <f t="shared" si="34"/>
        <v>4707.6410455476753</v>
      </c>
      <c r="S50" s="275">
        <f t="shared" si="34"/>
        <v>4766.1962024670074</v>
      </c>
      <c r="T50" s="275">
        <f t="shared" si="34"/>
        <v>4785.650064517894</v>
      </c>
      <c r="U50" s="283">
        <f t="shared" si="34"/>
        <v>4799.2677679535136</v>
      </c>
    </row>
    <row r="51" spans="1:22" outlineLevel="1" x14ac:dyDescent="0.2">
      <c r="A51" s="2" t="s">
        <v>476</v>
      </c>
      <c r="B51" s="7"/>
      <c r="C51" s="275">
        <f>C12</f>
        <v>288.13799999999998</v>
      </c>
      <c r="D51" s="275">
        <f t="shared" si="31"/>
        <v>338.9</v>
      </c>
      <c r="E51" s="275">
        <f t="shared" si="31"/>
        <v>387.82499999999999</v>
      </c>
      <c r="F51" s="275">
        <f t="shared" si="31"/>
        <v>452.279</v>
      </c>
      <c r="G51" s="275">
        <f t="shared" si="31"/>
        <v>541.149</v>
      </c>
      <c r="H51" s="275">
        <f t="shared" si="31"/>
        <v>688</v>
      </c>
      <c r="I51" s="275">
        <f t="shared" si="31"/>
        <v>752</v>
      </c>
      <c r="J51" s="275">
        <f t="shared" si="31"/>
        <v>777</v>
      </c>
      <c r="K51" s="275">
        <f t="shared" si="32"/>
        <v>835</v>
      </c>
      <c r="L51" s="275">
        <f t="shared" si="32"/>
        <v>891</v>
      </c>
      <c r="M51" s="275">
        <f t="shared" si="32"/>
        <v>886</v>
      </c>
      <c r="N51" s="275">
        <f t="shared" si="33"/>
        <v>935</v>
      </c>
      <c r="O51" s="275">
        <f t="shared" si="33"/>
        <v>939</v>
      </c>
      <c r="P51" s="275">
        <f t="shared" si="33"/>
        <v>991</v>
      </c>
      <c r="Q51" s="275">
        <f t="shared" ref="Q51:U51" si="35">Q12</f>
        <v>960</v>
      </c>
      <c r="R51" s="275">
        <f t="shared" si="35"/>
        <v>965</v>
      </c>
      <c r="S51" s="275">
        <f t="shared" si="35"/>
        <v>970</v>
      </c>
      <c r="T51" s="275">
        <f t="shared" si="35"/>
        <v>975</v>
      </c>
      <c r="U51" s="283">
        <f t="shared" si="35"/>
        <v>980</v>
      </c>
    </row>
    <row r="52" spans="1:22" outlineLevel="1" x14ac:dyDescent="0.2">
      <c r="A52" s="3" t="s">
        <v>180</v>
      </c>
      <c r="B52" s="7"/>
      <c r="C52" s="274">
        <f>C49-C50-C51</f>
        <v>1193.4550000000013</v>
      </c>
      <c r="D52" s="274">
        <f t="shared" ref="D52:L52" si="36">D49-D50-D51</f>
        <v>1413.6999999999985</v>
      </c>
      <c r="E52" s="274">
        <f t="shared" si="36"/>
        <v>1814.6460000000027</v>
      </c>
      <c r="F52" s="274">
        <f t="shared" si="36"/>
        <v>1804.4210000000003</v>
      </c>
      <c r="G52" s="274">
        <f t="shared" si="36"/>
        <v>1536.3150000000001</v>
      </c>
      <c r="H52" s="274">
        <f t="shared" si="36"/>
        <v>1859</v>
      </c>
      <c r="I52" s="274">
        <f t="shared" si="36"/>
        <v>2093</v>
      </c>
      <c r="J52" s="274">
        <f t="shared" si="36"/>
        <v>2159</v>
      </c>
      <c r="K52" s="274">
        <f t="shared" si="36"/>
        <v>1889</v>
      </c>
      <c r="L52" s="274">
        <f t="shared" si="36"/>
        <v>1742</v>
      </c>
      <c r="M52" s="274">
        <f t="shared" ref="M52:U52" si="37">M49-M50-M51</f>
        <v>1689</v>
      </c>
      <c r="N52" s="274">
        <f t="shared" si="37"/>
        <v>1553</v>
      </c>
      <c r="O52" s="274">
        <f t="shared" si="37"/>
        <v>1368</v>
      </c>
      <c r="P52" s="274">
        <f t="shared" si="37"/>
        <v>1416</v>
      </c>
      <c r="Q52" s="274">
        <f t="shared" si="37"/>
        <v>1416.4814553598708</v>
      </c>
      <c r="R52" s="274">
        <f t="shared" si="37"/>
        <v>1399.3926595932062</v>
      </c>
      <c r="S52" s="274">
        <f t="shared" si="37"/>
        <v>1400.3784642759074</v>
      </c>
      <c r="T52" s="274">
        <f t="shared" si="37"/>
        <v>1259.2766623725765</v>
      </c>
      <c r="U52" s="1176">
        <f t="shared" si="37"/>
        <v>1230.9320279115154</v>
      </c>
    </row>
    <row r="53" spans="1:22" outlineLevel="2" x14ac:dyDescent="0.2">
      <c r="A53" s="2"/>
      <c r="B53" s="7"/>
      <c r="C53" s="275"/>
      <c r="D53" s="275"/>
      <c r="E53" s="275"/>
      <c r="F53" s="275"/>
      <c r="G53" s="275"/>
      <c r="H53" s="275"/>
      <c r="I53" s="275"/>
      <c r="J53" s="275"/>
      <c r="K53" s="275"/>
      <c r="L53" s="275"/>
      <c r="M53" s="275"/>
      <c r="N53" s="275"/>
      <c r="O53" s="275"/>
      <c r="P53" s="275"/>
      <c r="Q53" s="7"/>
      <c r="R53" s="7"/>
      <c r="S53" s="7"/>
      <c r="T53" s="7"/>
    </row>
    <row r="54" spans="1:22" outlineLevel="2" x14ac:dyDescent="0.2">
      <c r="A54" s="2" t="s">
        <v>530</v>
      </c>
      <c r="B54" s="7"/>
      <c r="C54" s="275">
        <f>C15</f>
        <v>62.470999999999997</v>
      </c>
      <c r="D54" s="275">
        <f t="shared" ref="D54:K54" si="38">D15</f>
        <v>70.3</v>
      </c>
      <c r="E54" s="275">
        <f t="shared" si="38"/>
        <v>40.408500000000004</v>
      </c>
      <c r="F54" s="275">
        <f t="shared" si="38"/>
        <v>62.4</v>
      </c>
      <c r="G54" s="275">
        <f t="shared" si="38"/>
        <v>111.456</v>
      </c>
      <c r="H54" s="275">
        <f t="shared" si="38"/>
        <v>301</v>
      </c>
      <c r="I54" s="275">
        <f t="shared" si="38"/>
        <v>305</v>
      </c>
      <c r="J54" s="275">
        <f t="shared" si="38"/>
        <v>299</v>
      </c>
      <c r="K54" s="275">
        <f t="shared" si="38"/>
        <v>328.5</v>
      </c>
      <c r="L54" s="275">
        <f t="shared" ref="L54:U54" si="39">L15</f>
        <v>338</v>
      </c>
      <c r="M54" s="275">
        <f t="shared" si="39"/>
        <v>340</v>
      </c>
      <c r="N54" s="275">
        <f t="shared" si="39"/>
        <v>328</v>
      </c>
      <c r="O54" s="275">
        <f t="shared" si="39"/>
        <v>308</v>
      </c>
      <c r="P54" s="275">
        <f t="shared" si="39"/>
        <v>299</v>
      </c>
      <c r="Q54" s="275">
        <f t="shared" si="39"/>
        <v>280</v>
      </c>
      <c r="R54" s="275">
        <f t="shared" si="39"/>
        <v>280</v>
      </c>
      <c r="S54" s="275">
        <f t="shared" si="39"/>
        <v>280</v>
      </c>
      <c r="T54" s="275">
        <f t="shared" si="39"/>
        <v>280</v>
      </c>
      <c r="U54" s="283">
        <f t="shared" si="39"/>
        <v>280</v>
      </c>
    </row>
    <row r="55" spans="1:22" outlineLevel="2" x14ac:dyDescent="0.2">
      <c r="A55" s="3" t="s">
        <v>181</v>
      </c>
      <c r="B55" s="7"/>
      <c r="C55" s="274">
        <f>C52-C54</f>
        <v>1130.9840000000013</v>
      </c>
      <c r="D55" s="274">
        <f t="shared" ref="D55:L55" si="40">D52-D54</f>
        <v>1343.3999999999985</v>
      </c>
      <c r="E55" s="274">
        <f t="shared" si="40"/>
        <v>1774.2375000000027</v>
      </c>
      <c r="F55" s="274">
        <f t="shared" si="40"/>
        <v>1742.0210000000002</v>
      </c>
      <c r="G55" s="274">
        <f t="shared" si="40"/>
        <v>1424.8590000000002</v>
      </c>
      <c r="H55" s="274">
        <f t="shared" si="40"/>
        <v>1558</v>
      </c>
      <c r="I55" s="274">
        <f t="shared" si="40"/>
        <v>1788</v>
      </c>
      <c r="J55" s="274">
        <f t="shared" si="40"/>
        <v>1860</v>
      </c>
      <c r="K55" s="274">
        <f t="shared" si="40"/>
        <v>1560.5</v>
      </c>
      <c r="L55" s="274">
        <f t="shared" si="40"/>
        <v>1404</v>
      </c>
      <c r="M55" s="274">
        <f t="shared" ref="M55:R55" si="41">M52-M54</f>
        <v>1349</v>
      </c>
      <c r="N55" s="274">
        <f>N52-N54</f>
        <v>1225</v>
      </c>
      <c r="O55" s="274">
        <f>O52-O54</f>
        <v>1060</v>
      </c>
      <c r="P55" s="274">
        <f>P52-P54</f>
        <v>1117</v>
      </c>
      <c r="Q55" s="274">
        <f t="shared" si="41"/>
        <v>1136.4814553598708</v>
      </c>
      <c r="R55" s="274">
        <f t="shared" si="41"/>
        <v>1119.3926595932062</v>
      </c>
      <c r="S55" s="274">
        <f>S52-S54</f>
        <v>1120.3784642759074</v>
      </c>
      <c r="T55" s="274">
        <f>T52-T54</f>
        <v>979.27666237257654</v>
      </c>
      <c r="U55" s="1176">
        <f>U52-U54</f>
        <v>950.93202791151543</v>
      </c>
    </row>
    <row r="56" spans="1:22" outlineLevel="2" x14ac:dyDescent="0.2">
      <c r="A56" s="2"/>
      <c r="B56" s="7"/>
      <c r="C56" s="275"/>
      <c r="D56" s="275"/>
      <c r="E56" s="275"/>
      <c r="F56" s="275"/>
      <c r="G56" s="275"/>
      <c r="H56" s="275"/>
      <c r="I56" s="275"/>
      <c r="J56" s="275"/>
      <c r="K56" s="275"/>
      <c r="L56" s="275"/>
      <c r="M56" s="275"/>
      <c r="N56" s="275"/>
      <c r="O56" s="275"/>
      <c r="P56" s="275"/>
      <c r="Q56" s="7"/>
      <c r="R56" s="7"/>
      <c r="S56" s="7"/>
      <c r="T56" s="7"/>
    </row>
    <row r="57" spans="1:22" outlineLevel="1" x14ac:dyDescent="0.2">
      <c r="A57" s="2" t="s">
        <v>182</v>
      </c>
      <c r="B57" s="7"/>
      <c r="C57" s="275">
        <f>C18</f>
        <v>427.47111200000012</v>
      </c>
      <c r="D57" s="275">
        <f t="shared" ref="D57:K57" si="42">D18</f>
        <v>511.77803390083386</v>
      </c>
      <c r="E57" s="275">
        <f t="shared" si="42"/>
        <v>665.6397244599957</v>
      </c>
      <c r="F57" s="275">
        <f t="shared" si="42"/>
        <v>658.19999999999993</v>
      </c>
      <c r="G57" s="275">
        <f t="shared" si="42"/>
        <v>539.73199999999997</v>
      </c>
      <c r="H57" s="275">
        <f t="shared" si="42"/>
        <v>585</v>
      </c>
      <c r="I57" s="275">
        <f t="shared" si="42"/>
        <v>668</v>
      </c>
      <c r="J57" s="275">
        <f t="shared" si="42"/>
        <v>693</v>
      </c>
      <c r="K57" s="275">
        <f t="shared" si="42"/>
        <v>575</v>
      </c>
      <c r="L57" s="275">
        <f>L18</f>
        <v>515</v>
      </c>
      <c r="M57" s="275">
        <f>M18</f>
        <v>482</v>
      </c>
      <c r="N57" s="275">
        <f>N18</f>
        <v>442.84000000000003</v>
      </c>
      <c r="O57" s="275">
        <f>O18</f>
        <v>386.86</v>
      </c>
      <c r="P57" s="275">
        <f>P18</f>
        <v>400</v>
      </c>
      <c r="Q57" s="275">
        <f t="shared" ref="Q57:U57" si="43">Q55*Q71</f>
        <v>272.75554928636927</v>
      </c>
      <c r="R57" s="275">
        <f t="shared" si="43"/>
        <v>268.65423830236978</v>
      </c>
      <c r="S57" s="275">
        <f t="shared" si="43"/>
        <v>268.89083142621803</v>
      </c>
      <c r="T57" s="275">
        <f t="shared" si="43"/>
        <v>235.02639896941861</v>
      </c>
      <c r="U57" s="283">
        <f t="shared" si="43"/>
        <v>228.22368669876394</v>
      </c>
    </row>
    <row r="58" spans="1:22" outlineLevel="2" x14ac:dyDescent="0.2">
      <c r="A58" s="2"/>
      <c r="B58" s="7"/>
      <c r="C58" s="275"/>
      <c r="D58" s="275"/>
      <c r="E58" s="275"/>
      <c r="F58" s="275"/>
      <c r="G58" s="275"/>
      <c r="H58" s="275"/>
      <c r="I58" s="275"/>
      <c r="J58" s="275"/>
      <c r="K58" s="275"/>
      <c r="L58" s="275"/>
      <c r="M58" s="275"/>
      <c r="N58" s="275"/>
      <c r="O58" s="275"/>
      <c r="P58" s="7"/>
      <c r="Q58" s="7"/>
      <c r="R58" s="7"/>
      <c r="S58" s="7"/>
      <c r="T58" s="7"/>
    </row>
    <row r="59" spans="1:22" outlineLevel="2" x14ac:dyDescent="0.2">
      <c r="A59" s="2"/>
      <c r="B59" s="7"/>
      <c r="C59" s="275"/>
      <c r="D59" s="275"/>
      <c r="E59" s="275"/>
      <c r="F59" s="275"/>
      <c r="G59" s="275"/>
      <c r="H59" s="275"/>
      <c r="I59" s="275"/>
      <c r="J59" s="275"/>
      <c r="K59" s="275"/>
      <c r="L59" s="275"/>
      <c r="M59" s="275"/>
      <c r="N59" s="275"/>
      <c r="O59" s="275"/>
      <c r="P59" s="7"/>
      <c r="Q59" s="7"/>
      <c r="R59" s="7"/>
      <c r="S59" s="7"/>
      <c r="T59" s="7"/>
    </row>
    <row r="60" spans="1:22" outlineLevel="2" x14ac:dyDescent="0.2">
      <c r="A60" s="2" t="s">
        <v>183</v>
      </c>
      <c r="B60" s="7"/>
      <c r="C60" s="274">
        <f>C55-C57</f>
        <v>703.51288800000111</v>
      </c>
      <c r="D60" s="274">
        <f t="shared" ref="D60:P60" si="44">D55-D57</f>
        <v>831.62196609916464</v>
      </c>
      <c r="E60" s="274">
        <f t="shared" si="44"/>
        <v>1108.597775540007</v>
      </c>
      <c r="F60" s="274">
        <f t="shared" si="44"/>
        <v>1083.8210000000004</v>
      </c>
      <c r="G60" s="274">
        <f t="shared" si="44"/>
        <v>885.12700000000018</v>
      </c>
      <c r="H60" s="274">
        <f t="shared" si="44"/>
        <v>973</v>
      </c>
      <c r="I60" s="274">
        <f t="shared" si="44"/>
        <v>1120</v>
      </c>
      <c r="J60" s="274">
        <f t="shared" si="44"/>
        <v>1167</v>
      </c>
      <c r="K60" s="274">
        <f>K55-K57</f>
        <v>985.5</v>
      </c>
      <c r="L60" s="274">
        <f>L55-L57</f>
        <v>889</v>
      </c>
      <c r="M60" s="274">
        <f>M55-M57</f>
        <v>867</v>
      </c>
      <c r="N60" s="274">
        <f>N55-N57</f>
        <v>782.16</v>
      </c>
      <c r="O60" s="274">
        <f>O55-O57</f>
        <v>673.14</v>
      </c>
      <c r="P60" s="274">
        <f t="shared" si="44"/>
        <v>717</v>
      </c>
      <c r="Q60" s="274">
        <f>Q55-Q57</f>
        <v>863.72590607350151</v>
      </c>
      <c r="R60" s="274">
        <f>R55-R57</f>
        <v>850.73842129083641</v>
      </c>
      <c r="S60" s="274">
        <f>S55-S57</f>
        <v>851.48763284968936</v>
      </c>
      <c r="T60" s="274">
        <f>T55-T57</f>
        <v>744.25026340315799</v>
      </c>
      <c r="U60" s="1176">
        <f>U55-U57</f>
        <v>722.70834121275152</v>
      </c>
    </row>
    <row r="61" spans="1:22" outlineLevel="2" x14ac:dyDescent="0.2">
      <c r="A61" s="2"/>
      <c r="B61" s="7"/>
      <c r="C61" s="275"/>
      <c r="D61" s="275"/>
      <c r="E61" s="275"/>
      <c r="F61" s="275"/>
      <c r="G61" s="275"/>
      <c r="H61" s="275"/>
      <c r="I61" s="275"/>
      <c r="J61" s="275"/>
      <c r="K61" s="275"/>
      <c r="L61" s="275"/>
      <c r="M61" s="275"/>
      <c r="N61" s="275"/>
      <c r="O61" s="275"/>
      <c r="P61" s="7"/>
      <c r="Q61" s="7"/>
      <c r="R61" s="7"/>
      <c r="S61" s="7"/>
      <c r="T61" s="7"/>
    </row>
    <row r="62" spans="1:22" outlineLevel="1" x14ac:dyDescent="0.2">
      <c r="A62" s="13" t="s">
        <v>187</v>
      </c>
      <c r="B62" s="13"/>
      <c r="C62" s="269">
        <f>C60/C63</f>
        <v>2.0411986360342604</v>
      </c>
      <c r="D62" s="269">
        <f t="shared" ref="D62:J62" si="45">D60/D63</f>
        <v>2.3999387220841761</v>
      </c>
      <c r="E62" s="269">
        <f t="shared" si="45"/>
        <v>3.3115107806231929</v>
      </c>
      <c r="F62" s="269">
        <f t="shared" si="45"/>
        <v>3.3850550435577689</v>
      </c>
      <c r="G62" s="269">
        <f t="shared" si="45"/>
        <v>2.8866994431263202</v>
      </c>
      <c r="H62" s="269">
        <f t="shared" si="45"/>
        <v>3.1797385620915031</v>
      </c>
      <c r="I62" s="269">
        <f t="shared" si="45"/>
        <v>3.6601307189542482</v>
      </c>
      <c r="J62" s="269">
        <f t="shared" si="45"/>
        <v>4.3062730627306269</v>
      </c>
      <c r="K62" s="269">
        <f t="shared" ref="K62:U62" si="46">K60/K63</f>
        <v>4.1599831152384974</v>
      </c>
      <c r="L62" s="269">
        <f t="shared" si="46"/>
        <v>4.0501138952164011</v>
      </c>
      <c r="M62" s="269">
        <f t="shared" si="46"/>
        <v>4.2416829745596871</v>
      </c>
      <c r="N62" s="269">
        <f t="shared" si="46"/>
        <v>4.0110769230769225</v>
      </c>
      <c r="O62" s="269">
        <f t="shared" si="46"/>
        <v>3.7605586592178768</v>
      </c>
      <c r="P62" s="269">
        <f t="shared" si="46"/>
        <v>4.2805970149253731</v>
      </c>
      <c r="Q62" s="269">
        <f t="shared" si="46"/>
        <v>5.2380092850951439</v>
      </c>
      <c r="R62" s="269">
        <f t="shared" si="46"/>
        <v>5.2430128912104204</v>
      </c>
      <c r="S62" s="269">
        <f t="shared" si="46"/>
        <v>5.3993883475204276</v>
      </c>
      <c r="T62" s="269">
        <f t="shared" si="46"/>
        <v>4.9080026362859064</v>
      </c>
      <c r="U62" s="1177">
        <f t="shared" si="46"/>
        <v>4.9643536044588341</v>
      </c>
      <c r="V62" s="422">
        <f>0.3/4.3</f>
        <v>6.9767441860465115E-2</v>
      </c>
    </row>
    <row r="63" spans="1:22" outlineLevel="1" x14ac:dyDescent="0.2">
      <c r="A63" s="2" t="s">
        <v>185</v>
      </c>
      <c r="B63" s="7"/>
      <c r="C63" s="275">
        <f>C24</f>
        <v>344.65674999999999</v>
      </c>
      <c r="D63" s="275">
        <f t="shared" ref="D63:K63" si="47">D24</f>
        <v>346.51800000000003</v>
      </c>
      <c r="E63" s="275">
        <f t="shared" si="47"/>
        <v>334.77100000000002</v>
      </c>
      <c r="F63" s="275">
        <f t="shared" si="47"/>
        <v>320.17825000000005</v>
      </c>
      <c r="G63" s="275">
        <f t="shared" si="47"/>
        <v>306.6225</v>
      </c>
      <c r="H63" s="275">
        <f t="shared" si="47"/>
        <v>306</v>
      </c>
      <c r="I63" s="275">
        <f t="shared" si="47"/>
        <v>306</v>
      </c>
      <c r="J63" s="275">
        <f t="shared" si="47"/>
        <v>271</v>
      </c>
      <c r="K63" s="275">
        <f t="shared" si="47"/>
        <v>236.9</v>
      </c>
      <c r="L63" s="275">
        <f>L24</f>
        <v>219.5</v>
      </c>
      <c r="M63" s="275">
        <f>M24</f>
        <v>204.4</v>
      </c>
      <c r="N63" s="275">
        <f>N24</f>
        <v>195</v>
      </c>
      <c r="O63" s="275">
        <f>O24</f>
        <v>179</v>
      </c>
      <c r="P63" s="276">
        <f t="shared" ref="P63:U63" si="48">P24-0.5</f>
        <v>167.5</v>
      </c>
      <c r="Q63" s="276">
        <f t="shared" si="48"/>
        <v>164.89583333333337</v>
      </c>
      <c r="R63" s="276">
        <f t="shared" si="48"/>
        <v>162.26136363636365</v>
      </c>
      <c r="S63" s="276">
        <f t="shared" si="48"/>
        <v>157.70075757575759</v>
      </c>
      <c r="T63" s="276">
        <f t="shared" si="48"/>
        <v>151.64015151515153</v>
      </c>
      <c r="U63" s="279">
        <f t="shared" si="48"/>
        <v>145.57954545454547</v>
      </c>
    </row>
    <row r="64" spans="1:22" outlineLevel="2" x14ac:dyDescent="0.2">
      <c r="A64" s="2"/>
      <c r="B64" s="7"/>
      <c r="C64" s="7"/>
      <c r="D64" s="7"/>
      <c r="E64" s="7"/>
      <c r="F64" s="7"/>
      <c r="G64" s="7"/>
      <c r="H64" s="7"/>
      <c r="I64" s="7"/>
      <c r="J64" s="7"/>
      <c r="K64" s="7"/>
      <c r="L64" s="7"/>
      <c r="M64" s="7"/>
      <c r="N64" s="7"/>
      <c r="O64" s="7"/>
      <c r="P64" s="299">
        <f t="shared" ref="P64:U64" si="49">P50/O50-1</f>
        <v>1.7591339648173276E-2</v>
      </c>
      <c r="Q64" s="299">
        <f t="shared" si="49"/>
        <v>1.0537431030613442E-2</v>
      </c>
      <c r="R64" s="299">
        <f t="shared" si="49"/>
        <v>3.2480469070717888E-2</v>
      </c>
      <c r="S64" s="299">
        <f t="shared" si="49"/>
        <v>1.2438322368421018E-2</v>
      </c>
      <c r="T64" s="299">
        <f t="shared" si="49"/>
        <v>4.0816326530614955E-3</v>
      </c>
      <c r="U64" s="1178">
        <f t="shared" si="49"/>
        <v>2.8455284552844073E-3</v>
      </c>
    </row>
    <row r="65" spans="1:26" outlineLevel="2" x14ac:dyDescent="0.2">
      <c r="A65" s="2" t="s">
        <v>190</v>
      </c>
      <c r="B65" s="7"/>
      <c r="C65" s="274">
        <f>C52+C51</f>
        <v>1481.5930000000012</v>
      </c>
      <c r="D65" s="274">
        <f t="shared" ref="D65:P65" si="50">D52+D51</f>
        <v>1752.5999999999985</v>
      </c>
      <c r="E65" s="274">
        <f t="shared" si="50"/>
        <v>2202.4710000000027</v>
      </c>
      <c r="F65" s="274">
        <f t="shared" si="50"/>
        <v>2256.7000000000003</v>
      </c>
      <c r="G65" s="274">
        <f t="shared" si="50"/>
        <v>2077.4639999999999</v>
      </c>
      <c r="H65" s="274">
        <f t="shared" si="50"/>
        <v>2547</v>
      </c>
      <c r="I65" s="274">
        <f t="shared" si="50"/>
        <v>2845</v>
      </c>
      <c r="J65" s="274">
        <f t="shared" si="50"/>
        <v>2936</v>
      </c>
      <c r="K65" s="274">
        <f t="shared" si="50"/>
        <v>2724</v>
      </c>
      <c r="L65" s="274">
        <f>L52+L51</f>
        <v>2633</v>
      </c>
      <c r="M65" s="274">
        <f>M52+M51</f>
        <v>2575</v>
      </c>
      <c r="N65" s="274">
        <f>N52+N51</f>
        <v>2488</v>
      </c>
      <c r="O65" s="274">
        <f>O52+O51</f>
        <v>2307</v>
      </c>
      <c r="P65" s="274">
        <f t="shared" si="50"/>
        <v>2407</v>
      </c>
      <c r="Q65" s="274">
        <f>Q52+Q51</f>
        <v>2376.4814553598708</v>
      </c>
      <c r="R65" s="274">
        <f>R52+R51</f>
        <v>2364.3926595932062</v>
      </c>
      <c r="S65" s="274">
        <f>S52+S51</f>
        <v>2370.3784642759074</v>
      </c>
      <c r="T65" s="274">
        <f>T52+T51</f>
        <v>2234.2766623725765</v>
      </c>
      <c r="U65" s="1176">
        <f>U52+U51</f>
        <v>2210.9320279115154</v>
      </c>
    </row>
    <row r="66" spans="1:26" outlineLevel="1" x14ac:dyDescent="0.2">
      <c r="A66" s="2"/>
      <c r="B66" s="7"/>
      <c r="C66" s="7"/>
      <c r="D66" s="7"/>
      <c r="E66" s="7"/>
      <c r="F66" s="7"/>
      <c r="G66" s="7"/>
      <c r="H66" s="7"/>
      <c r="I66" s="7"/>
      <c r="J66" s="7"/>
      <c r="K66" s="7"/>
      <c r="L66" s="7"/>
      <c r="M66" s="7"/>
      <c r="N66" s="7"/>
      <c r="O66" s="7"/>
      <c r="P66" s="299"/>
      <c r="Q66" s="299"/>
      <c r="R66" s="299"/>
      <c r="S66" s="299"/>
      <c r="T66" s="299"/>
      <c r="X66">
        <f>12*4.6</f>
        <v>55.199999999999996</v>
      </c>
    </row>
    <row r="67" spans="1:26" outlineLevel="1" x14ac:dyDescent="0.2">
      <c r="A67" s="4" t="s">
        <v>191</v>
      </c>
      <c r="B67" s="7"/>
      <c r="C67" s="7"/>
      <c r="D67" s="7"/>
      <c r="E67" s="7"/>
      <c r="F67" s="7"/>
      <c r="G67" s="7"/>
      <c r="H67" s="7"/>
      <c r="I67" s="7"/>
      <c r="J67" s="7"/>
      <c r="K67" s="7"/>
      <c r="L67" s="7"/>
      <c r="M67" s="7"/>
      <c r="N67" s="7"/>
      <c r="O67" s="7"/>
      <c r="P67" s="7"/>
      <c r="Q67" s="7"/>
      <c r="R67" s="7"/>
      <c r="S67" s="7"/>
      <c r="T67" s="7"/>
      <c r="X67">
        <f>12.5*4.6</f>
        <v>57.499999999999993</v>
      </c>
    </row>
    <row r="68" spans="1:26" outlineLevel="1" x14ac:dyDescent="0.2">
      <c r="A68" s="2" t="s">
        <v>192</v>
      </c>
      <c r="B68" s="7"/>
      <c r="C68" s="6">
        <f t="shared" ref="C68:K68" si="51">C49/C45</f>
        <v>0.35157511943729869</v>
      </c>
      <c r="D68" s="6">
        <f t="shared" si="51"/>
        <v>0.35521033860112511</v>
      </c>
      <c r="E68" s="6">
        <f t="shared" si="51"/>
        <v>0.36364924873764082</v>
      </c>
      <c r="F68" s="6">
        <f t="shared" si="51"/>
        <v>0.36507281302925271</v>
      </c>
      <c r="G68" s="6">
        <f t="shared" si="51"/>
        <v>0.36945557460832962</v>
      </c>
      <c r="H68" s="6">
        <f t="shared" si="51"/>
        <v>0.3782745371987426</v>
      </c>
      <c r="I68" s="6">
        <f t="shared" si="51"/>
        <v>0.38241531183731176</v>
      </c>
      <c r="J68" s="6">
        <f t="shared" si="51"/>
        <v>0.38178047223994893</v>
      </c>
      <c r="K68" s="6">
        <f t="shared" si="51"/>
        <v>0.362551867219917</v>
      </c>
      <c r="L68" s="6">
        <f>L49/L45</f>
        <v>0.36493090221218011</v>
      </c>
      <c r="M68" s="6">
        <f>M49/M45</f>
        <v>0.3640330126688745</v>
      </c>
      <c r="N68" s="6">
        <f>N49/N45</f>
        <v>0.3613830451989169</v>
      </c>
      <c r="O68" s="6">
        <f>O49/O45</f>
        <v>0.36075136465803276</v>
      </c>
      <c r="P68" s="6">
        <f>P49/P45</f>
        <v>0.36234616391725583</v>
      </c>
      <c r="Q68" s="308">
        <f>P68+0.0015</f>
        <v>0.36384616391725583</v>
      </c>
      <c r="R68" s="308">
        <f>Q68+0.0015</f>
        <v>0.36534616391725583</v>
      </c>
      <c r="S68" s="308">
        <f>R68+0.0015</f>
        <v>0.36684616391725583</v>
      </c>
      <c r="T68" s="277">
        <f>T29+0.0043</f>
        <v>0.36085003114180347</v>
      </c>
      <c r="U68" s="277">
        <f>U29+0.0043</f>
        <v>0.36035003114180358</v>
      </c>
    </row>
    <row r="69" spans="1:26" outlineLevel="1" x14ac:dyDescent="0.2">
      <c r="A69" s="2" t="s">
        <v>193</v>
      </c>
      <c r="B69" s="7"/>
      <c r="C69" s="6">
        <f>C50/C45</f>
        <v>0.22495081490850971</v>
      </c>
      <c r="D69" s="6">
        <f t="shared" ref="D69:J69" si="52">D50/D45</f>
        <v>0.22444076345674593</v>
      </c>
      <c r="E69" s="6">
        <f>E50/E45</f>
        <v>0.22233205505623532</v>
      </c>
      <c r="F69" s="6">
        <f t="shared" si="52"/>
        <v>0.22808476541396286</v>
      </c>
      <c r="G69" s="6">
        <f t="shared" si="52"/>
        <v>0.24269126244066075</v>
      </c>
      <c r="H69" s="6">
        <f t="shared" si="52"/>
        <v>0.23000349283967866</v>
      </c>
      <c r="I69" s="6">
        <f t="shared" si="52"/>
        <v>0.22772008047414496</v>
      </c>
      <c r="J69" s="6">
        <f t="shared" si="52"/>
        <v>0.22564348011061477</v>
      </c>
      <c r="K69" s="6">
        <f t="shared" ref="K69:P69" si="53">K50/K45</f>
        <v>0.22126556016597509</v>
      </c>
      <c r="L69" s="6">
        <f t="shared" si="53"/>
        <v>0.22657768903368189</v>
      </c>
      <c r="M69" s="6">
        <f t="shared" si="53"/>
        <v>0.22867055669452768</v>
      </c>
      <c r="N69" s="6">
        <f t="shared" si="53"/>
        <v>0.23182670277025619</v>
      </c>
      <c r="O69" s="6">
        <f t="shared" si="53"/>
        <v>0.23728994969495878</v>
      </c>
      <c r="P69" s="6">
        <f t="shared" si="53"/>
        <v>0.23629222309505107</v>
      </c>
      <c r="Q69" s="277">
        <f>Q30-0.001</f>
        <v>0.23918203805504967</v>
      </c>
      <c r="R69" s="277">
        <f t="shared" ref="R69:S69" si="54">R30-0.001</f>
        <v>0.24320000000000003</v>
      </c>
      <c r="S69" s="277">
        <f t="shared" si="54"/>
        <v>0.24499999999999997</v>
      </c>
      <c r="T69" s="277">
        <f>T30-0.002</f>
        <v>0.24600000000000002</v>
      </c>
      <c r="U69" s="277">
        <f>U30-0.002</f>
        <v>0.2467</v>
      </c>
    </row>
    <row r="70" spans="1:26" outlineLevel="1" x14ac:dyDescent="0.2">
      <c r="A70" s="2" t="s">
        <v>194</v>
      </c>
      <c r="B70" s="7"/>
      <c r="C70" s="6">
        <f t="shared" ref="C70:K70" si="55">C52/C45</f>
        <v>0.10199859837445634</v>
      </c>
      <c r="D70" s="6">
        <f t="shared" si="55"/>
        <v>0.10548268194773981</v>
      </c>
      <c r="E70" s="6">
        <f>E52/E45</f>
        <v>0.11643316994647729</v>
      </c>
      <c r="F70" s="6">
        <f t="shared" si="55"/>
        <v>0.10953343814686441</v>
      </c>
      <c r="G70" s="6">
        <f t="shared" si="55"/>
        <v>9.374406211028069E-2</v>
      </c>
      <c r="H70" s="6">
        <f t="shared" si="55"/>
        <v>0.10821981604377692</v>
      </c>
      <c r="I70" s="6">
        <f t="shared" si="55"/>
        <v>0.11380566581480071</v>
      </c>
      <c r="J70" s="6">
        <f t="shared" si="55"/>
        <v>0.11481599659646884</v>
      </c>
      <c r="K70" s="6">
        <f t="shared" si="55"/>
        <v>9.7977178423236513E-2</v>
      </c>
      <c r="L70" s="6">
        <f t="shared" ref="L70:U70" si="56">L52/L45</f>
        <v>9.1534864168987443E-2</v>
      </c>
      <c r="M70" s="6">
        <f t="shared" si="56"/>
        <v>8.8787257530357988E-2</v>
      </c>
      <c r="N70" s="6">
        <f t="shared" si="56"/>
        <v>8.0868569048114972E-2</v>
      </c>
      <c r="O70" s="6">
        <f t="shared" si="56"/>
        <v>7.320988975703735E-2</v>
      </c>
      <c r="P70" s="6">
        <f t="shared" si="56"/>
        <v>7.415553809897879E-2</v>
      </c>
      <c r="Q70" s="6">
        <f t="shared" si="56"/>
        <v>7.430498648924809E-2</v>
      </c>
      <c r="R70" s="6">
        <f t="shared" si="56"/>
        <v>7.2293594927961294E-2</v>
      </c>
      <c r="S70" s="6">
        <f t="shared" si="56"/>
        <v>7.1984599284857551E-2</v>
      </c>
      <c r="T70" s="6">
        <f t="shared" si="56"/>
        <v>6.4731448135011374E-2</v>
      </c>
      <c r="U70" s="6">
        <f t="shared" si="56"/>
        <v>6.3274429760617659E-2</v>
      </c>
      <c r="V70" s="423">
        <f>12.5*P62</f>
        <v>53.507462686567166</v>
      </c>
    </row>
    <row r="71" spans="1:26" outlineLevel="1" x14ac:dyDescent="0.2">
      <c r="A71" s="2" t="s">
        <v>196</v>
      </c>
      <c r="B71" s="7"/>
      <c r="C71" s="6">
        <f>C57/C55</f>
        <v>0.37796388985166868</v>
      </c>
      <c r="D71" s="6">
        <f t="shared" ref="D71:J71" si="57">D57/D55</f>
        <v>0.38095729782703175</v>
      </c>
      <c r="E71" s="6">
        <f t="shared" si="57"/>
        <v>0.37516945981583338</v>
      </c>
      <c r="F71" s="6">
        <f t="shared" si="57"/>
        <v>0.37783700655732616</v>
      </c>
      <c r="G71" s="6">
        <f t="shared" si="57"/>
        <v>0.3787967791900812</v>
      </c>
      <c r="H71" s="6">
        <f t="shared" si="57"/>
        <v>0.37548138639281131</v>
      </c>
      <c r="I71" s="6">
        <f t="shared" si="57"/>
        <v>0.37360178970917224</v>
      </c>
      <c r="J71" s="6">
        <f t="shared" si="57"/>
        <v>0.3725806451612903</v>
      </c>
      <c r="K71" s="6">
        <f t="shared" ref="K71:P71" si="58">K57/K55</f>
        <v>0.36847164370394103</v>
      </c>
      <c r="L71" s="6">
        <f t="shared" si="58"/>
        <v>0.36680911680911682</v>
      </c>
      <c r="M71" s="6">
        <f t="shared" si="58"/>
        <v>0.35730170496664193</v>
      </c>
      <c r="N71" s="6">
        <f t="shared" si="58"/>
        <v>0.36150204081632653</v>
      </c>
      <c r="O71" s="1297">
        <f t="shared" si="58"/>
        <v>0.36496226415094341</v>
      </c>
      <c r="P71" s="1297">
        <f t="shared" si="58"/>
        <v>0.35810205908683973</v>
      </c>
      <c r="Q71" s="277">
        <f t="shared" ref="Q71:U71" si="59">Q32-0.005</f>
        <v>0.24000000000000024</v>
      </c>
      <c r="R71" s="277">
        <f t="shared" si="59"/>
        <v>0.24000000000000024</v>
      </c>
      <c r="S71" s="277">
        <f t="shared" si="59"/>
        <v>0.24000000000000024</v>
      </c>
      <c r="T71" s="277">
        <f t="shared" si="59"/>
        <v>0.24000000000000024</v>
      </c>
      <c r="U71" s="277">
        <f t="shared" si="59"/>
        <v>0.24000000000000024</v>
      </c>
    </row>
    <row r="72" spans="1:26" outlineLevel="1" x14ac:dyDescent="0.2">
      <c r="A72" s="2"/>
      <c r="B72" s="7"/>
      <c r="C72" s="7"/>
      <c r="D72" s="7"/>
      <c r="E72" s="7"/>
      <c r="F72" s="7"/>
      <c r="G72" s="7"/>
      <c r="H72" s="7"/>
      <c r="I72" s="7"/>
      <c r="J72" s="7"/>
      <c r="K72" s="7"/>
      <c r="L72" s="7"/>
      <c r="M72" s="7"/>
      <c r="N72" s="7"/>
      <c r="O72" s="7"/>
      <c r="P72" s="7"/>
      <c r="Q72" s="7"/>
      <c r="R72" s="7"/>
      <c r="S72" s="7"/>
      <c r="T72" s="7"/>
    </row>
    <row r="73" spans="1:26" outlineLevel="1" x14ac:dyDescent="0.2">
      <c r="A73" s="4" t="s">
        <v>199</v>
      </c>
      <c r="B73" s="7"/>
      <c r="C73" s="7"/>
      <c r="D73" s="7"/>
      <c r="E73" s="7"/>
      <c r="F73" s="7"/>
      <c r="G73" s="7"/>
      <c r="H73" s="7"/>
      <c r="I73" s="7"/>
      <c r="J73" s="7"/>
      <c r="K73" s="7"/>
      <c r="L73" s="7"/>
      <c r="M73" s="7"/>
      <c r="N73" s="7"/>
      <c r="O73" s="7"/>
      <c r="P73" s="7"/>
      <c r="Q73" s="7"/>
      <c r="R73" s="7"/>
      <c r="S73" s="7"/>
      <c r="T73" s="7"/>
    </row>
    <row r="74" spans="1:26" outlineLevel="1" x14ac:dyDescent="0.2">
      <c r="A74" s="2" t="s">
        <v>98</v>
      </c>
      <c r="B74" s="7"/>
      <c r="C74" s="278" t="s">
        <v>94</v>
      </c>
      <c r="D74" s="6">
        <f>((D45/C45)-1)</f>
        <v>0.14541865016622912</v>
      </c>
      <c r="E74" s="6">
        <f>((E45/D45)-1)</f>
        <v>0.16289124173643144</v>
      </c>
      <c r="F74" s="6">
        <f t="shared" ref="F74:O74" si="60">((F45/E45)-1)</f>
        <v>5.700236395819358E-2</v>
      </c>
      <c r="G74" s="6">
        <f t="shared" si="60"/>
        <v>-5.1780717143082855E-3</v>
      </c>
      <c r="H74" s="6">
        <f t="shared" si="60"/>
        <v>4.8180548214657559E-2</v>
      </c>
      <c r="I74" s="6">
        <f t="shared" si="60"/>
        <v>7.0613575503551074E-2</v>
      </c>
      <c r="J74" s="6">
        <f t="shared" si="60"/>
        <v>2.2456636398238361E-2</v>
      </c>
      <c r="K74" s="6">
        <f t="shared" si="60"/>
        <v>2.5313763029142677E-2</v>
      </c>
      <c r="L74" s="6">
        <f t="shared" si="60"/>
        <v>-1.2914937759336054E-2</v>
      </c>
      <c r="M74" s="6">
        <f t="shared" si="60"/>
        <v>-4.2036677000678591E-4</v>
      </c>
      <c r="N74" s="6">
        <f t="shared" si="60"/>
        <v>9.5147978762550878E-3</v>
      </c>
      <c r="O74" s="6">
        <f t="shared" si="60"/>
        <v>-2.6973547177671309E-2</v>
      </c>
      <c r="P74" s="6">
        <f t="shared" ref="P74:U74" si="61">P75+P81</f>
        <v>2.1888044525313122E-2</v>
      </c>
      <c r="Q74" s="6">
        <f t="shared" si="61"/>
        <v>-1.6719564701263932E-3</v>
      </c>
      <c r="R74" s="6">
        <f t="shared" si="61"/>
        <v>1.5422626827170965E-2</v>
      </c>
      <c r="S74" s="6">
        <f t="shared" si="61"/>
        <v>5.0000000000000972E-3</v>
      </c>
      <c r="T74" s="6">
        <f t="shared" si="61"/>
        <v>-1.3877787807814457E-17</v>
      </c>
      <c r="U74" s="6">
        <f t="shared" si="61"/>
        <v>-1.3877787807814457E-17</v>
      </c>
    </row>
    <row r="75" spans="1:26" outlineLevel="1" x14ac:dyDescent="0.2">
      <c r="A75" s="2" t="s">
        <v>200</v>
      </c>
      <c r="B75" s="7"/>
      <c r="C75" s="6">
        <f>C36</f>
        <v>5.4574854495884851E-3</v>
      </c>
      <c r="D75" s="6">
        <f t="shared" ref="D75:J75" si="62">D36</f>
        <v>3.6890876124815335E-2</v>
      </c>
      <c r="E75" s="6">
        <f t="shared" si="62"/>
        <v>5.9000000000000004E-2</v>
      </c>
      <c r="F75" s="6">
        <f t="shared" si="62"/>
        <v>-7.9988102247825314E-3</v>
      </c>
      <c r="G75" s="6">
        <f t="shared" si="62"/>
        <v>-6.9000000000000006E-2</v>
      </c>
      <c r="H75" s="6">
        <f t="shared" si="62"/>
        <v>6.5541130581591653E-3</v>
      </c>
      <c r="I75" s="6">
        <f t="shared" si="62"/>
        <v>4.4736447175248759E-2</v>
      </c>
      <c r="J75" s="6">
        <f t="shared" si="62"/>
        <v>5.0000000000000001E-3</v>
      </c>
      <c r="K75" s="6">
        <f t="shared" ref="K75:P75" si="63">K36</f>
        <v>3.0000000000000001E-3</v>
      </c>
      <c r="L75" s="6">
        <f t="shared" si="63"/>
        <v>-1.2309600126110033E-2</v>
      </c>
      <c r="M75" s="6">
        <f t="shared" si="63"/>
        <v>-3.0000000000000001E-3</v>
      </c>
      <c r="N75" s="6">
        <f t="shared" si="63"/>
        <v>6.9999999999999993E-3</v>
      </c>
      <c r="O75" s="6">
        <f t="shared" si="63"/>
        <v>-2.4E-2</v>
      </c>
      <c r="P75" s="6">
        <f t="shared" si="63"/>
        <v>1.4999999999999999E-2</v>
      </c>
      <c r="Q75" s="277">
        <v>0.01</v>
      </c>
      <c r="R75" s="277">
        <v>0.01</v>
      </c>
      <c r="S75" s="277">
        <v>0</v>
      </c>
      <c r="T75" s="277">
        <v>-5.0000000000000001E-3</v>
      </c>
      <c r="U75" s="277">
        <v>-5.0000000000000001E-3</v>
      </c>
    </row>
    <row r="76" spans="1:26" outlineLevel="1" x14ac:dyDescent="0.2">
      <c r="A76" s="2" t="s">
        <v>179</v>
      </c>
      <c r="B76" s="7"/>
      <c r="C76" s="278" t="s">
        <v>94</v>
      </c>
      <c r="D76" s="6">
        <f t="shared" ref="D76:U76" si="64">((D50/C50)-1)</f>
        <v>0.14282153823475108</v>
      </c>
      <c r="E76" s="6">
        <f t="shared" si="64"/>
        <v>0.15196542553191472</v>
      </c>
      <c r="F76" s="6">
        <f t="shared" si="64"/>
        <v>8.4351674635625207E-2</v>
      </c>
      <c r="G76" s="6">
        <f t="shared" si="64"/>
        <v>5.8530100601479784E-2</v>
      </c>
      <c r="H76" s="6">
        <f t="shared" si="64"/>
        <v>-6.6177711077380907E-3</v>
      </c>
      <c r="I76" s="6">
        <f t="shared" si="64"/>
        <v>5.9984813971146522E-2</v>
      </c>
      <c r="J76" s="6">
        <f t="shared" si="64"/>
        <v>1.313276026743071E-2</v>
      </c>
      <c r="K76" s="6">
        <f t="shared" si="64"/>
        <v>5.4206929059628095E-3</v>
      </c>
      <c r="L76" s="6">
        <f t="shared" si="64"/>
        <v>1.0782934833567737E-2</v>
      </c>
      <c r="M76" s="6">
        <f t="shared" si="64"/>
        <v>8.8126159554731132E-3</v>
      </c>
      <c r="N76" s="6">
        <f t="shared" si="64"/>
        <v>2.3448275862068879E-2</v>
      </c>
      <c r="O76" s="6">
        <f t="shared" si="64"/>
        <v>-4.0431266846361336E-3</v>
      </c>
      <c r="P76" s="6">
        <f t="shared" si="64"/>
        <v>1.7591339648173276E-2</v>
      </c>
      <c r="Q76" s="6">
        <f t="shared" si="64"/>
        <v>1.0537431030613442E-2</v>
      </c>
      <c r="R76" s="6">
        <f t="shared" si="64"/>
        <v>3.2480469070717888E-2</v>
      </c>
      <c r="S76" s="6">
        <f t="shared" si="64"/>
        <v>1.2438322368421018E-2</v>
      </c>
      <c r="T76" s="6">
        <f t="shared" si="64"/>
        <v>4.0816326530614955E-3</v>
      </c>
      <c r="U76" s="6">
        <f t="shared" si="64"/>
        <v>2.8455284552844073E-3</v>
      </c>
      <c r="X76">
        <f>12</f>
        <v>12</v>
      </c>
      <c r="Y76">
        <v>4.45</v>
      </c>
      <c r="Z76">
        <f>Y76*X76</f>
        <v>53.400000000000006</v>
      </c>
    </row>
    <row r="77" spans="1:26" outlineLevel="1" x14ac:dyDescent="0.2">
      <c r="A77" s="2" t="s">
        <v>180</v>
      </c>
      <c r="B77" s="7"/>
      <c r="C77" s="278" t="s">
        <v>94</v>
      </c>
      <c r="D77" s="6">
        <f>((D52/C52)-1)</f>
        <v>0.18454403391832708</v>
      </c>
      <c r="E77" s="6">
        <f t="shared" ref="E77:O77" si="65">((E52/D52)-1)</f>
        <v>0.28361462828040218</v>
      </c>
      <c r="F77" s="6">
        <f t="shared" si="65"/>
        <v>-5.6347078162916064E-3</v>
      </c>
      <c r="G77" s="6">
        <f t="shared" si="65"/>
        <v>-0.14858284180909009</v>
      </c>
      <c r="H77" s="6">
        <f t="shared" si="65"/>
        <v>0.21003830594637174</v>
      </c>
      <c r="I77" s="6">
        <f t="shared" si="65"/>
        <v>0.12587412587412583</v>
      </c>
      <c r="J77" s="6">
        <f t="shared" si="65"/>
        <v>3.1533683707596794E-2</v>
      </c>
      <c r="K77" s="6">
        <f t="shared" si="65"/>
        <v>-0.1250578971746179</v>
      </c>
      <c r="L77" s="6">
        <f t="shared" si="65"/>
        <v>-7.7818951826363114E-2</v>
      </c>
      <c r="M77" s="6">
        <f t="shared" si="65"/>
        <v>-3.0424799081515519E-2</v>
      </c>
      <c r="N77" s="6">
        <f t="shared" si="65"/>
        <v>-8.0521018354055673E-2</v>
      </c>
      <c r="O77" s="6">
        <f t="shared" si="65"/>
        <v>-0.11912427559562133</v>
      </c>
      <c r="P77" s="6">
        <f t="shared" ref="P77:U77" si="66">((P52/O52)-1)</f>
        <v>3.5087719298245723E-2</v>
      </c>
      <c r="Q77" s="6">
        <f t="shared" si="66"/>
        <v>3.4001084736634546E-4</v>
      </c>
      <c r="R77" s="6">
        <f t="shared" si="66"/>
        <v>-1.2064256614162994E-2</v>
      </c>
      <c r="S77" s="6">
        <f t="shared" si="66"/>
        <v>7.0445180339007152E-4</v>
      </c>
      <c r="T77" s="6">
        <f t="shared" si="66"/>
        <v>-0.10075976280904198</v>
      </c>
      <c r="U77" s="6">
        <f t="shared" si="66"/>
        <v>-2.25086633525452E-2</v>
      </c>
    </row>
    <row r="78" spans="1:26" outlineLevel="1" x14ac:dyDescent="0.2">
      <c r="A78" s="2" t="s">
        <v>500</v>
      </c>
      <c r="B78" s="7"/>
      <c r="C78" s="278" t="s">
        <v>94</v>
      </c>
      <c r="D78" s="6">
        <f>((D62/C62)-1)</f>
        <v>0.17574971867847866</v>
      </c>
      <c r="E78" s="6">
        <f t="shared" ref="E78:O78" si="67">((E62/D62)-1)</f>
        <v>0.37983138908954373</v>
      </c>
      <c r="F78" s="6">
        <f t="shared" si="67"/>
        <v>2.2208673867199602E-2</v>
      </c>
      <c r="G78" s="6">
        <f t="shared" si="67"/>
        <v>-0.14722230333592023</v>
      </c>
      <c r="H78" s="6">
        <f t="shared" si="67"/>
        <v>0.1015135537102605</v>
      </c>
      <c r="I78" s="6">
        <f t="shared" si="67"/>
        <v>0.15107913669064743</v>
      </c>
      <c r="J78" s="6">
        <f t="shared" si="67"/>
        <v>0.17653531892461771</v>
      </c>
      <c r="K78" s="6">
        <f t="shared" si="67"/>
        <v>-3.397135884350222E-2</v>
      </c>
      <c r="L78" s="6">
        <f t="shared" si="67"/>
        <v>-2.6410977395468938E-2</v>
      </c>
      <c r="M78" s="6">
        <f t="shared" si="67"/>
        <v>4.729967707069882E-2</v>
      </c>
      <c r="N78" s="6">
        <f t="shared" si="67"/>
        <v>-5.4366640049685167E-2</v>
      </c>
      <c r="O78" s="6">
        <f t="shared" si="67"/>
        <v>-6.2456609200820745E-2</v>
      </c>
      <c r="P78" s="6">
        <f t="shared" ref="P78:U78" si="68">((P62/O62)-1)</f>
        <v>0.13828752662394428</v>
      </c>
      <c r="Q78" s="6">
        <f t="shared" si="68"/>
        <v>0.2236632569782937</v>
      </c>
      <c r="R78" s="6">
        <f t="shared" si="68"/>
        <v>9.5524956962456109E-4</v>
      </c>
      <c r="S78" s="6">
        <f t="shared" si="68"/>
        <v>2.9825495293395399E-2</v>
      </c>
      <c r="T78" s="6">
        <f t="shared" si="68"/>
        <v>-9.1007662277187595E-2</v>
      </c>
      <c r="U78" s="6">
        <f t="shared" si="68"/>
        <v>1.1481446190821698E-2</v>
      </c>
    </row>
    <row r="79" spans="1:26" outlineLevel="2" x14ac:dyDescent="0.2">
      <c r="A79" s="2" t="s">
        <v>190</v>
      </c>
      <c r="B79" s="7"/>
      <c r="C79" s="278" t="s">
        <v>94</v>
      </c>
      <c r="D79" s="6">
        <f>((D65/C65)-1)</f>
        <v>0.18291595600140997</v>
      </c>
      <c r="E79" s="6">
        <f t="shared" ref="E79:O79" si="69">((E65/D65)-1)</f>
        <v>0.25668777815816757</v>
      </c>
      <c r="F79" s="6">
        <f t="shared" si="69"/>
        <v>2.4621890594699103E-2</v>
      </c>
      <c r="G79" s="6">
        <f t="shared" si="69"/>
        <v>-7.9423937608011808E-2</v>
      </c>
      <c r="H79" s="6">
        <f t="shared" si="69"/>
        <v>0.22601402479176547</v>
      </c>
      <c r="I79" s="6">
        <f t="shared" si="69"/>
        <v>0.11700039261876727</v>
      </c>
      <c r="J79" s="6">
        <f t="shared" si="69"/>
        <v>3.1985940246045619E-2</v>
      </c>
      <c r="K79" s="6">
        <f t="shared" si="69"/>
        <v>-7.2207084468664862E-2</v>
      </c>
      <c r="L79" s="6">
        <f t="shared" si="69"/>
        <v>-3.3406754772393521E-2</v>
      </c>
      <c r="M79" s="6">
        <f t="shared" si="69"/>
        <v>-2.2028104823395345E-2</v>
      </c>
      <c r="N79" s="6">
        <f t="shared" si="69"/>
        <v>-3.3786407766990267E-2</v>
      </c>
      <c r="O79" s="6">
        <f t="shared" si="69"/>
        <v>-7.2749196141479122E-2</v>
      </c>
      <c r="P79" s="6">
        <f t="shared" ref="P79:U79" si="70">((P65/O65)-1)</f>
        <v>4.3346337234503762E-2</v>
      </c>
      <c r="Q79" s="6">
        <f t="shared" si="70"/>
        <v>-1.2679079617835209E-2</v>
      </c>
      <c r="R79" s="6">
        <f t="shared" si="70"/>
        <v>-5.0868462446445051E-3</v>
      </c>
      <c r="S79" s="6">
        <f t="shared" si="70"/>
        <v>2.5316457731394681E-3</v>
      </c>
      <c r="T79" s="6">
        <f t="shared" si="70"/>
        <v>-5.7417751618371482E-2</v>
      </c>
      <c r="U79" s="6">
        <f t="shared" si="70"/>
        <v>-1.0448408137724297E-2</v>
      </c>
    </row>
    <row r="80" spans="1:26" outlineLevel="1" x14ac:dyDescent="0.2">
      <c r="A80" s="2" t="s">
        <v>532</v>
      </c>
      <c r="B80" s="7"/>
      <c r="C80" s="278" t="s">
        <v>94</v>
      </c>
      <c r="D80" s="6">
        <f>D35-D36</f>
        <v>0.10852777404141378</v>
      </c>
      <c r="E80" s="6">
        <f t="shared" ref="E80:P80" si="71">E35-E36</f>
        <v>0.10389124173643144</v>
      </c>
      <c r="F80" s="6">
        <f t="shared" si="71"/>
        <v>6.5001174182976115E-2</v>
      </c>
      <c r="G80" s="6">
        <f t="shared" si="71"/>
        <v>6.382192828569172E-2</v>
      </c>
      <c r="H80" s="6">
        <f t="shared" si="71"/>
        <v>4.1626435156498394E-2</v>
      </c>
      <c r="I80" s="6">
        <f t="shared" si="71"/>
        <v>2.5877128328302315E-2</v>
      </c>
      <c r="J80" s="6">
        <f t="shared" si="71"/>
        <v>1.745663639823836E-2</v>
      </c>
      <c r="K80" s="6">
        <f t="shared" si="71"/>
        <v>2.2313763029142678E-2</v>
      </c>
      <c r="L80" s="6">
        <f>L35-L36</f>
        <v>-6.0533763322602116E-4</v>
      </c>
      <c r="M80" s="6">
        <f>M35-M36</f>
        <v>2.5796332299932142E-3</v>
      </c>
      <c r="N80" s="6">
        <f>N35-N36</f>
        <v>2.5147978762550885E-3</v>
      </c>
      <c r="O80" s="6">
        <f>O35-O36</f>
        <v>-2.9735471776713082E-3</v>
      </c>
      <c r="P80" s="6">
        <f t="shared" si="71"/>
        <v>6.8880445253131223E-3</v>
      </c>
      <c r="Q80" s="6">
        <f>Q35-Q36</f>
        <v>-1.6671956470126394E-2</v>
      </c>
      <c r="R80" s="6">
        <f>R35-R36</f>
        <v>4.22626827170966E-4</v>
      </c>
      <c r="S80" s="6">
        <f>S35-S36</f>
        <v>9.7144514654701197E-17</v>
      </c>
      <c r="T80" s="6">
        <f>T35-T36</f>
        <v>-1.3877787807814457E-17</v>
      </c>
      <c r="U80" s="6">
        <f>U35-U36</f>
        <v>-1.3877787807814457E-17</v>
      </c>
    </row>
    <row r="81" spans="1:27" outlineLevel="1" x14ac:dyDescent="0.2">
      <c r="A81" s="2" t="s">
        <v>533</v>
      </c>
      <c r="B81" s="7"/>
      <c r="C81" s="278" t="s">
        <v>94</v>
      </c>
      <c r="D81" s="6">
        <f>D80</f>
        <v>0.10852777404141378</v>
      </c>
      <c r="E81" s="6">
        <f t="shared" ref="E81:L81" si="72">E80</f>
        <v>0.10389124173643144</v>
      </c>
      <c r="F81" s="6">
        <f t="shared" si="72"/>
        <v>6.5001174182976115E-2</v>
      </c>
      <c r="G81" s="6">
        <f t="shared" si="72"/>
        <v>6.382192828569172E-2</v>
      </c>
      <c r="H81" s="6">
        <f t="shared" si="72"/>
        <v>4.1626435156498394E-2</v>
      </c>
      <c r="I81" s="6">
        <f t="shared" si="72"/>
        <v>2.5877128328302315E-2</v>
      </c>
      <c r="J81" s="6">
        <f t="shared" si="72"/>
        <v>1.745663639823836E-2</v>
      </c>
      <c r="K81" s="6">
        <f t="shared" si="72"/>
        <v>2.2313763029142678E-2</v>
      </c>
      <c r="L81" s="6">
        <f t="shared" si="72"/>
        <v>-6.0533763322602116E-4</v>
      </c>
      <c r="M81" s="6">
        <f>M80</f>
        <v>2.5796332299932142E-3</v>
      </c>
      <c r="N81" s="6">
        <f>N80</f>
        <v>2.5147978762550885E-3</v>
      </c>
      <c r="O81" s="6">
        <f>O80</f>
        <v>-2.9735471776713082E-3</v>
      </c>
      <c r="P81" s="6">
        <f>P80</f>
        <v>6.8880445253131223E-3</v>
      </c>
      <c r="Q81" s="277">
        <f t="shared" ref="Q81:U81" si="73">Q80+0.005</f>
        <v>-1.1671956470126393E-2</v>
      </c>
      <c r="R81" s="277">
        <f t="shared" si="73"/>
        <v>5.4226268271709661E-3</v>
      </c>
      <c r="S81" s="277">
        <f t="shared" si="73"/>
        <v>5.0000000000000972E-3</v>
      </c>
      <c r="T81" s="277">
        <f t="shared" si="73"/>
        <v>4.9999999999999862E-3</v>
      </c>
      <c r="U81" s="277">
        <f t="shared" si="73"/>
        <v>4.9999999999999862E-3</v>
      </c>
    </row>
    <row r="82" spans="1:27" outlineLevel="1" x14ac:dyDescent="0.2">
      <c r="A82" s="262"/>
      <c r="B82" s="262"/>
      <c r="C82" s="262"/>
      <c r="D82" s="262"/>
      <c r="E82" s="262"/>
      <c r="F82" s="262"/>
      <c r="G82" s="262"/>
      <c r="H82" s="262"/>
      <c r="I82" s="262"/>
      <c r="J82" s="262"/>
      <c r="K82" s="262"/>
      <c r="L82" s="262"/>
      <c r="M82" s="262"/>
      <c r="N82" s="262"/>
      <c r="O82" s="262"/>
      <c r="P82" s="262" t="s">
        <v>491</v>
      </c>
      <c r="Q82" s="262"/>
      <c r="R82" s="262"/>
      <c r="S82" s="262"/>
      <c r="T82" s="262"/>
      <c r="U82" s="262"/>
    </row>
    <row r="83" spans="1:27" x14ac:dyDescent="0.2">
      <c r="A83" s="263" t="s">
        <v>534</v>
      </c>
      <c r="B83" s="7"/>
      <c r="C83" s="257" t="s">
        <v>523</v>
      </c>
      <c r="D83" s="257" t="s">
        <v>524</v>
      </c>
      <c r="E83" s="257" t="s">
        <v>525</v>
      </c>
      <c r="F83" s="257" t="s">
        <v>526</v>
      </c>
      <c r="G83" s="257" t="s">
        <v>527</v>
      </c>
      <c r="H83" s="257" t="s">
        <v>528</v>
      </c>
      <c r="I83" s="257" t="s">
        <v>473</v>
      </c>
      <c r="J83" s="257" t="s">
        <v>474</v>
      </c>
      <c r="K83" s="257" t="s">
        <v>529</v>
      </c>
      <c r="L83" s="257" t="s">
        <v>543</v>
      </c>
      <c r="M83" s="257" t="s">
        <v>550</v>
      </c>
      <c r="N83" s="257" t="s">
        <v>562</v>
      </c>
      <c r="O83" s="257" t="s">
        <v>626</v>
      </c>
      <c r="P83" s="257" t="s">
        <v>627</v>
      </c>
      <c r="Q83" s="257" t="s">
        <v>545</v>
      </c>
      <c r="R83" s="257" t="str">
        <f>R42</f>
        <v>2019E</v>
      </c>
      <c r="S83" s="257" t="str">
        <f>S42</f>
        <v>2020E</v>
      </c>
      <c r="T83" s="257" t="str">
        <f>T42</f>
        <v>2021E</v>
      </c>
      <c r="U83" s="257" t="str">
        <f>U42</f>
        <v>2022E</v>
      </c>
    </row>
    <row r="84" spans="1:27" x14ac:dyDescent="0.2">
      <c r="A84" s="4" t="s">
        <v>175</v>
      </c>
      <c r="B84" s="7"/>
      <c r="C84" s="8" t="s">
        <v>92</v>
      </c>
      <c r="D84" s="8" t="s">
        <v>92</v>
      </c>
      <c r="E84" s="8" t="s">
        <v>92</v>
      </c>
      <c r="F84" s="8" t="s">
        <v>92</v>
      </c>
      <c r="G84" s="8" t="s">
        <v>92</v>
      </c>
      <c r="H84" s="8" t="s">
        <v>92</v>
      </c>
      <c r="I84" s="8" t="s">
        <v>92</v>
      </c>
      <c r="J84" s="8" t="s">
        <v>92</v>
      </c>
      <c r="K84" s="8" t="s">
        <v>92</v>
      </c>
      <c r="L84" s="8" t="s">
        <v>544</v>
      </c>
      <c r="M84" s="8" t="s">
        <v>92</v>
      </c>
      <c r="N84" s="8" t="s">
        <v>92</v>
      </c>
      <c r="O84" s="8" t="s">
        <v>92</v>
      </c>
      <c r="P84" s="8" t="s">
        <v>92</v>
      </c>
      <c r="Q84" s="8" t="s">
        <v>92</v>
      </c>
      <c r="R84" s="8" t="s">
        <v>92</v>
      </c>
      <c r="S84" s="8" t="s">
        <v>92</v>
      </c>
      <c r="T84" s="8" t="s">
        <v>92</v>
      </c>
      <c r="U84" s="8" t="s">
        <v>92</v>
      </c>
    </row>
    <row r="85" spans="1:27" x14ac:dyDescent="0.2">
      <c r="A85" s="2"/>
      <c r="B85" s="7"/>
      <c r="C85" s="7"/>
      <c r="D85" s="7"/>
      <c r="E85" s="7"/>
      <c r="F85" s="7"/>
      <c r="G85" s="7"/>
      <c r="H85" s="7"/>
      <c r="I85" s="7"/>
      <c r="J85" s="7"/>
      <c r="K85" s="7"/>
      <c r="L85" s="7"/>
      <c r="M85" s="7"/>
      <c r="N85" s="7"/>
      <c r="O85" s="7"/>
      <c r="P85" s="7"/>
      <c r="Q85" s="7"/>
      <c r="R85" s="7"/>
      <c r="S85" s="7"/>
      <c r="T85" s="7"/>
    </row>
    <row r="86" spans="1:27" x14ac:dyDescent="0.2">
      <c r="A86" s="2" t="s">
        <v>176</v>
      </c>
      <c r="B86" s="7"/>
      <c r="C86" s="274">
        <f>C6</f>
        <v>11700.7</v>
      </c>
      <c r="D86" s="274">
        <f t="shared" ref="D86:J86" si="74">D6</f>
        <v>13402.199999999999</v>
      </c>
      <c r="E86" s="274">
        <f t="shared" si="74"/>
        <v>15585.301000000001</v>
      </c>
      <c r="F86" s="274">
        <f t="shared" si="74"/>
        <v>16473.7</v>
      </c>
      <c r="G86" s="274">
        <f t="shared" si="74"/>
        <v>16388.398000000001</v>
      </c>
      <c r="H86" s="274">
        <f t="shared" si="74"/>
        <v>17178</v>
      </c>
      <c r="I86" s="274">
        <f t="shared" si="74"/>
        <v>18391</v>
      </c>
      <c r="J86" s="274">
        <f t="shared" si="74"/>
        <v>18804</v>
      </c>
      <c r="K86" s="274">
        <f t="shared" ref="K86:P86" si="75">K6</f>
        <v>19280</v>
      </c>
      <c r="L86" s="274">
        <f t="shared" si="75"/>
        <v>19031</v>
      </c>
      <c r="M86" s="274">
        <f t="shared" si="75"/>
        <v>19023</v>
      </c>
      <c r="N86" s="274">
        <f t="shared" si="75"/>
        <v>19204</v>
      </c>
      <c r="O86" s="274">
        <f t="shared" si="75"/>
        <v>18686</v>
      </c>
      <c r="P86" s="274">
        <f t="shared" si="75"/>
        <v>19095</v>
      </c>
      <c r="Q86" s="274">
        <f t="shared" ref="Q86:U86" si="76">(P86*(1+Q115))</f>
        <v>18108.323991202938</v>
      </c>
      <c r="R86" s="274">
        <f t="shared" si="76"/>
        <v>17482.185715024621</v>
      </c>
      <c r="S86" s="274">
        <f t="shared" si="76"/>
        <v>16870.309214998761</v>
      </c>
      <c r="T86" s="274">
        <f t="shared" si="76"/>
        <v>16279.848392473803</v>
      </c>
      <c r="U86" s="1176">
        <f t="shared" si="76"/>
        <v>15710.05369873722</v>
      </c>
    </row>
    <row r="87" spans="1:27" outlineLevel="1" x14ac:dyDescent="0.2">
      <c r="A87" s="2"/>
      <c r="B87" s="7"/>
      <c r="C87" s="275"/>
      <c r="D87" s="275"/>
      <c r="E87" s="275"/>
      <c r="F87" s="275"/>
      <c r="G87" s="275"/>
      <c r="H87" s="275"/>
      <c r="I87" s="275"/>
      <c r="J87" s="275"/>
      <c r="K87" s="275"/>
      <c r="L87" s="275"/>
      <c r="M87" s="275"/>
      <c r="N87" s="275"/>
      <c r="O87" s="275"/>
      <c r="P87" s="275"/>
      <c r="Q87" s="7"/>
      <c r="R87" s="7"/>
      <c r="S87" s="7"/>
      <c r="T87" s="7"/>
    </row>
    <row r="88" spans="1:27" outlineLevel="1" x14ac:dyDescent="0.2">
      <c r="A88" s="2" t="s">
        <v>177</v>
      </c>
      <c r="B88" s="7"/>
      <c r="C88" s="274">
        <f>C8</f>
        <v>7587.0249999999996</v>
      </c>
      <c r="D88" s="274">
        <f t="shared" ref="D88:J88" si="77">D8</f>
        <v>8641.6</v>
      </c>
      <c r="E88" s="274">
        <f t="shared" si="77"/>
        <v>9917.7179999999989</v>
      </c>
      <c r="F88" s="274">
        <f t="shared" si="77"/>
        <v>10459.6</v>
      </c>
      <c r="G88" s="274">
        <f t="shared" si="77"/>
        <v>10333.613000000001</v>
      </c>
      <c r="H88" s="274">
        <f t="shared" si="77"/>
        <v>10680</v>
      </c>
      <c r="I88" s="274">
        <f t="shared" si="77"/>
        <v>11358</v>
      </c>
      <c r="J88" s="274">
        <f t="shared" si="77"/>
        <v>11625</v>
      </c>
      <c r="K88" s="274">
        <f t="shared" ref="K88:P88" si="78">K8</f>
        <v>12290</v>
      </c>
      <c r="L88" s="274">
        <f t="shared" si="78"/>
        <v>12086</v>
      </c>
      <c r="M88" s="274">
        <f t="shared" si="78"/>
        <v>12098</v>
      </c>
      <c r="N88" s="274">
        <f t="shared" si="78"/>
        <v>12264</v>
      </c>
      <c r="O88" s="274">
        <f t="shared" si="78"/>
        <v>11945</v>
      </c>
      <c r="P88" s="274">
        <f t="shared" si="78"/>
        <v>12176</v>
      </c>
      <c r="Q88" s="274">
        <f t="shared" ref="Q88:U88" si="79">Q86-Q90</f>
        <v>11583.058906002148</v>
      </c>
      <c r="R88" s="274">
        <f t="shared" si="79"/>
        <v>11215.763308584999</v>
      </c>
      <c r="S88" s="274">
        <f t="shared" si="79"/>
        <v>10856.952211214521</v>
      </c>
      <c r="T88" s="274">
        <f t="shared" si="79"/>
        <v>10498.122686732229</v>
      </c>
      <c r="U88" s="1176">
        <f t="shared" si="79"/>
        <v>10151.111462504959</v>
      </c>
    </row>
    <row r="89" spans="1:27" outlineLevel="1" x14ac:dyDescent="0.2">
      <c r="A89" s="2"/>
      <c r="B89" s="7"/>
      <c r="C89" s="275"/>
      <c r="D89" s="275"/>
      <c r="E89" s="275"/>
      <c r="F89" s="275"/>
      <c r="G89" s="275"/>
      <c r="H89" s="275"/>
      <c r="I89" s="275"/>
      <c r="J89" s="275"/>
      <c r="K89" s="275"/>
      <c r="L89" s="275"/>
      <c r="M89" s="275"/>
      <c r="N89" s="275"/>
      <c r="O89" s="275"/>
      <c r="P89" s="275"/>
      <c r="Q89" s="7"/>
      <c r="R89" s="7"/>
      <c r="S89" s="7"/>
      <c r="T89" s="7"/>
      <c r="AA89">
        <f>9.5*3.95</f>
        <v>37.524999999999999</v>
      </c>
    </row>
    <row r="90" spans="1:27" x14ac:dyDescent="0.2">
      <c r="A90" s="2" t="s">
        <v>178</v>
      </c>
      <c r="B90" s="7"/>
      <c r="C90" s="274">
        <f>C86-C88</f>
        <v>4113.6750000000011</v>
      </c>
      <c r="D90" s="274">
        <f t="shared" ref="D90:J90" si="80">D86-D88</f>
        <v>4760.5999999999985</v>
      </c>
      <c r="E90" s="274">
        <f t="shared" si="80"/>
        <v>5667.5830000000024</v>
      </c>
      <c r="F90" s="274">
        <f t="shared" si="80"/>
        <v>6014.1</v>
      </c>
      <c r="G90" s="274">
        <f t="shared" si="80"/>
        <v>6054.7849999999999</v>
      </c>
      <c r="H90" s="274">
        <f t="shared" si="80"/>
        <v>6498</v>
      </c>
      <c r="I90" s="274">
        <f t="shared" si="80"/>
        <v>7033</v>
      </c>
      <c r="J90" s="274">
        <f t="shared" si="80"/>
        <v>7179</v>
      </c>
      <c r="K90" s="274">
        <f t="shared" ref="K90:P90" si="81">K86-K88</f>
        <v>6990</v>
      </c>
      <c r="L90" s="274">
        <f t="shared" si="81"/>
        <v>6945</v>
      </c>
      <c r="M90" s="274">
        <f t="shared" si="81"/>
        <v>6925</v>
      </c>
      <c r="N90" s="274">
        <f t="shared" si="81"/>
        <v>6940</v>
      </c>
      <c r="O90" s="274">
        <f t="shared" si="81"/>
        <v>6741</v>
      </c>
      <c r="P90" s="274">
        <f t="shared" si="81"/>
        <v>6919</v>
      </c>
      <c r="Q90" s="274">
        <f t="shared" ref="Q90:U90" si="82">Q86*Q109</f>
        <v>6525.2650852007901</v>
      </c>
      <c r="R90" s="274">
        <f t="shared" si="82"/>
        <v>6266.422406439623</v>
      </c>
      <c r="S90" s="274">
        <f t="shared" si="82"/>
        <v>6013.3570037842392</v>
      </c>
      <c r="T90" s="274">
        <f t="shared" si="82"/>
        <v>5781.7257057415745</v>
      </c>
      <c r="U90" s="274">
        <f t="shared" si="82"/>
        <v>5558.9422362322603</v>
      </c>
    </row>
    <row r="91" spans="1:27" x14ac:dyDescent="0.2">
      <c r="A91" s="2" t="s">
        <v>179</v>
      </c>
      <c r="B91" s="7"/>
      <c r="C91" s="275">
        <f>C11</f>
        <v>2632.0819999999999</v>
      </c>
      <c r="D91" s="275">
        <f t="shared" ref="D91:J91" si="83">D11</f>
        <v>3008</v>
      </c>
      <c r="E91" s="275">
        <f t="shared" si="83"/>
        <v>3465.1119999999996</v>
      </c>
      <c r="F91" s="275">
        <f t="shared" si="83"/>
        <v>3757.4</v>
      </c>
      <c r="G91" s="275">
        <f t="shared" si="83"/>
        <v>3977.3209999999999</v>
      </c>
      <c r="H91" s="275">
        <f t="shared" si="83"/>
        <v>3951</v>
      </c>
      <c r="I91" s="275">
        <f t="shared" si="83"/>
        <v>4188</v>
      </c>
      <c r="J91" s="275">
        <f t="shared" si="83"/>
        <v>4243</v>
      </c>
      <c r="K91" s="275">
        <f t="shared" ref="K91:P91" si="84">K11</f>
        <v>4266</v>
      </c>
      <c r="L91" s="275">
        <f t="shared" si="84"/>
        <v>4312</v>
      </c>
      <c r="M91" s="275">
        <f t="shared" si="84"/>
        <v>4350</v>
      </c>
      <c r="N91" s="275">
        <f t="shared" si="84"/>
        <v>4452</v>
      </c>
      <c r="O91" s="275">
        <f t="shared" si="84"/>
        <v>4434</v>
      </c>
      <c r="P91" s="275">
        <f t="shared" si="84"/>
        <v>4512</v>
      </c>
      <c r="Q91" s="275">
        <f t="shared" ref="Q91:U91" si="85">Q86*Q110</f>
        <v>4367.4024859594765</v>
      </c>
      <c r="R91" s="275">
        <f t="shared" si="85"/>
        <v>4286.6319373240376</v>
      </c>
      <c r="S91" s="275">
        <f t="shared" si="85"/>
        <v>4166.9663761046932</v>
      </c>
      <c r="T91" s="275">
        <f t="shared" si="85"/>
        <v>4053.6822497259773</v>
      </c>
      <c r="U91" s="275">
        <f t="shared" si="85"/>
        <v>3922.8004085746838</v>
      </c>
    </row>
    <row r="92" spans="1:27" x14ac:dyDescent="0.2">
      <c r="A92" s="2" t="str">
        <f>A12</f>
        <v>Depreciation &amp; Amortization</v>
      </c>
      <c r="B92" s="7"/>
      <c r="C92" s="275">
        <f>C12</f>
        <v>288.13799999999998</v>
      </c>
      <c r="D92" s="275">
        <f t="shared" ref="D92:K92" si="86">D12</f>
        <v>338.9</v>
      </c>
      <c r="E92" s="275">
        <f t="shared" si="86"/>
        <v>387.82499999999999</v>
      </c>
      <c r="F92" s="275">
        <f t="shared" si="86"/>
        <v>452.279</v>
      </c>
      <c r="G92" s="275">
        <f t="shared" si="86"/>
        <v>541.149</v>
      </c>
      <c r="H92" s="275">
        <f t="shared" si="86"/>
        <v>688</v>
      </c>
      <c r="I92" s="275">
        <f t="shared" si="86"/>
        <v>752</v>
      </c>
      <c r="J92" s="275">
        <f t="shared" si="86"/>
        <v>777</v>
      </c>
      <c r="K92" s="275">
        <f t="shared" si="86"/>
        <v>835</v>
      </c>
      <c r="L92" s="275">
        <f t="shared" ref="L92:U92" si="87">L12</f>
        <v>891</v>
      </c>
      <c r="M92" s="275">
        <f t="shared" si="87"/>
        <v>886</v>
      </c>
      <c r="N92" s="275">
        <f t="shared" si="87"/>
        <v>935</v>
      </c>
      <c r="O92" s="275">
        <f t="shared" si="87"/>
        <v>939</v>
      </c>
      <c r="P92" s="275">
        <f t="shared" si="87"/>
        <v>991</v>
      </c>
      <c r="Q92" s="275">
        <f t="shared" si="87"/>
        <v>960</v>
      </c>
      <c r="R92" s="275">
        <f t="shared" si="87"/>
        <v>965</v>
      </c>
      <c r="S92" s="275">
        <f t="shared" si="87"/>
        <v>970</v>
      </c>
      <c r="T92" s="275">
        <f t="shared" si="87"/>
        <v>975</v>
      </c>
      <c r="U92" s="275">
        <f t="shared" si="87"/>
        <v>980</v>
      </c>
    </row>
    <row r="93" spans="1:27" x14ac:dyDescent="0.2">
      <c r="A93" s="3" t="s">
        <v>180</v>
      </c>
      <c r="B93" s="7"/>
      <c r="C93" s="274">
        <f>C90-C91-C92</f>
        <v>1193.4550000000013</v>
      </c>
      <c r="D93" s="274">
        <f t="shared" ref="D93:L93" si="88">D90-D91-D92</f>
        <v>1413.6999999999985</v>
      </c>
      <c r="E93" s="274">
        <f t="shared" si="88"/>
        <v>1814.6460000000027</v>
      </c>
      <c r="F93" s="274">
        <f t="shared" si="88"/>
        <v>1804.4210000000003</v>
      </c>
      <c r="G93" s="274">
        <f t="shared" si="88"/>
        <v>1536.3150000000001</v>
      </c>
      <c r="H93" s="274">
        <f t="shared" si="88"/>
        <v>1859</v>
      </c>
      <c r="I93" s="274">
        <f t="shared" si="88"/>
        <v>2093</v>
      </c>
      <c r="J93" s="274">
        <f t="shared" si="88"/>
        <v>2159</v>
      </c>
      <c r="K93" s="274">
        <f t="shared" si="88"/>
        <v>1889</v>
      </c>
      <c r="L93" s="274">
        <f t="shared" si="88"/>
        <v>1742</v>
      </c>
      <c r="M93" s="274">
        <f t="shared" ref="M93:U93" si="89">M90-M91-M92</f>
        <v>1689</v>
      </c>
      <c r="N93" s="274">
        <f t="shared" si="89"/>
        <v>1553</v>
      </c>
      <c r="O93" s="274">
        <f t="shared" si="89"/>
        <v>1368</v>
      </c>
      <c r="P93" s="274">
        <f t="shared" si="89"/>
        <v>1416</v>
      </c>
      <c r="Q93" s="274">
        <f t="shared" si="89"/>
        <v>1197.8625992413135</v>
      </c>
      <c r="R93" s="274">
        <f t="shared" si="89"/>
        <v>1014.7904691155854</v>
      </c>
      <c r="S93" s="274">
        <f t="shared" si="89"/>
        <v>876.39062767954601</v>
      </c>
      <c r="T93" s="274">
        <f t="shared" si="89"/>
        <v>753.04345601559726</v>
      </c>
      <c r="U93" s="274">
        <f t="shared" si="89"/>
        <v>656.14182765757641</v>
      </c>
    </row>
    <row r="94" spans="1:27" outlineLevel="1" x14ac:dyDescent="0.2">
      <c r="A94" s="2"/>
      <c r="B94" s="7"/>
      <c r="C94" s="275"/>
      <c r="D94" s="275"/>
      <c r="E94" s="275"/>
      <c r="F94" s="275"/>
      <c r="G94" s="275"/>
      <c r="H94" s="275"/>
      <c r="I94" s="275"/>
      <c r="J94" s="275"/>
      <c r="K94" s="275"/>
      <c r="L94" s="275"/>
      <c r="M94" s="275"/>
      <c r="N94" s="275"/>
      <c r="O94" s="275"/>
      <c r="P94" s="275"/>
      <c r="Q94" s="7"/>
      <c r="R94" s="7"/>
      <c r="S94" s="7"/>
      <c r="T94" s="7"/>
    </row>
    <row r="95" spans="1:27" outlineLevel="1" x14ac:dyDescent="0.2">
      <c r="A95" s="2" t="s">
        <v>530</v>
      </c>
      <c r="B95" s="7"/>
      <c r="C95" s="275">
        <f>C15</f>
        <v>62.470999999999997</v>
      </c>
      <c r="D95" s="275">
        <f t="shared" ref="D95:K95" si="90">D15</f>
        <v>70.3</v>
      </c>
      <c r="E95" s="275">
        <f t="shared" si="90"/>
        <v>40.408500000000004</v>
      </c>
      <c r="F95" s="275">
        <f t="shared" si="90"/>
        <v>62.4</v>
      </c>
      <c r="G95" s="275">
        <f t="shared" si="90"/>
        <v>111.456</v>
      </c>
      <c r="H95" s="275">
        <f t="shared" si="90"/>
        <v>301</v>
      </c>
      <c r="I95" s="275">
        <f t="shared" si="90"/>
        <v>305</v>
      </c>
      <c r="J95" s="275">
        <f t="shared" si="90"/>
        <v>299</v>
      </c>
      <c r="K95" s="275">
        <f t="shared" si="90"/>
        <v>328.5</v>
      </c>
      <c r="L95" s="275">
        <f t="shared" ref="L95:U95" si="91">L15</f>
        <v>338</v>
      </c>
      <c r="M95" s="275">
        <f t="shared" si="91"/>
        <v>340</v>
      </c>
      <c r="N95" s="275">
        <f t="shared" si="91"/>
        <v>328</v>
      </c>
      <c r="O95" s="275">
        <f t="shared" si="91"/>
        <v>308</v>
      </c>
      <c r="P95" s="275">
        <f t="shared" si="91"/>
        <v>299</v>
      </c>
      <c r="Q95" s="275">
        <f t="shared" si="91"/>
        <v>280</v>
      </c>
      <c r="R95" s="275">
        <f t="shared" si="91"/>
        <v>280</v>
      </c>
      <c r="S95" s="275">
        <f t="shared" si="91"/>
        <v>280</v>
      </c>
      <c r="T95" s="275">
        <f t="shared" si="91"/>
        <v>280</v>
      </c>
      <c r="U95" s="283">
        <f t="shared" si="91"/>
        <v>280</v>
      </c>
    </row>
    <row r="96" spans="1:27" outlineLevel="1" x14ac:dyDescent="0.2">
      <c r="A96" s="3" t="s">
        <v>181</v>
      </c>
      <c r="B96" s="7"/>
      <c r="C96" s="274">
        <f>C93-C95</f>
        <v>1130.9840000000013</v>
      </c>
      <c r="D96" s="274">
        <f t="shared" ref="D96:L96" si="92">D93-D95</f>
        <v>1343.3999999999985</v>
      </c>
      <c r="E96" s="274">
        <f t="shared" si="92"/>
        <v>1774.2375000000027</v>
      </c>
      <c r="F96" s="274">
        <f t="shared" si="92"/>
        <v>1742.0210000000002</v>
      </c>
      <c r="G96" s="274">
        <f t="shared" si="92"/>
        <v>1424.8590000000002</v>
      </c>
      <c r="H96" s="274">
        <f t="shared" si="92"/>
        <v>1558</v>
      </c>
      <c r="I96" s="274">
        <f t="shared" si="92"/>
        <v>1788</v>
      </c>
      <c r="J96" s="274">
        <f t="shared" si="92"/>
        <v>1860</v>
      </c>
      <c r="K96" s="274">
        <f t="shared" si="92"/>
        <v>1560.5</v>
      </c>
      <c r="L96" s="274">
        <f t="shared" si="92"/>
        <v>1404</v>
      </c>
      <c r="M96" s="274">
        <f t="shared" ref="M96:R96" si="93">M93-M95</f>
        <v>1349</v>
      </c>
      <c r="N96" s="274">
        <f>N93-N95</f>
        <v>1225</v>
      </c>
      <c r="O96" s="274">
        <f>O93-O95</f>
        <v>1060</v>
      </c>
      <c r="P96" s="274">
        <f>P93-P95</f>
        <v>1117</v>
      </c>
      <c r="Q96" s="274">
        <f t="shared" si="93"/>
        <v>917.86259924131355</v>
      </c>
      <c r="R96" s="274">
        <f t="shared" si="93"/>
        <v>734.79046911558544</v>
      </c>
      <c r="S96" s="274">
        <f>S93-S95</f>
        <v>596.39062767954601</v>
      </c>
      <c r="T96" s="274">
        <f>T93-T95</f>
        <v>473.04345601559726</v>
      </c>
      <c r="U96" s="1176">
        <f>U93-U95</f>
        <v>376.14182765757641</v>
      </c>
    </row>
    <row r="97" spans="1:23" outlineLevel="1" x14ac:dyDescent="0.2">
      <c r="A97" s="2"/>
      <c r="B97" s="7"/>
      <c r="C97" s="275"/>
      <c r="D97" s="275"/>
      <c r="E97" s="275"/>
      <c r="F97" s="275"/>
      <c r="G97" s="275"/>
      <c r="H97" s="275"/>
      <c r="I97" s="275"/>
      <c r="J97" s="275"/>
      <c r="K97" s="275"/>
      <c r="L97" s="275"/>
      <c r="M97" s="275"/>
      <c r="N97" s="275"/>
      <c r="O97" s="275"/>
      <c r="P97" s="275"/>
      <c r="Q97" s="7"/>
      <c r="R97" s="7"/>
      <c r="S97" s="7"/>
      <c r="T97" s="7"/>
    </row>
    <row r="98" spans="1:23" x14ac:dyDescent="0.2">
      <c r="A98" s="2" t="s">
        <v>182</v>
      </c>
      <c r="B98" s="7"/>
      <c r="C98" s="275">
        <f>C18</f>
        <v>427.47111200000012</v>
      </c>
      <c r="D98" s="275">
        <f t="shared" ref="D98:K98" si="94">D18</f>
        <v>511.77803390083386</v>
      </c>
      <c r="E98" s="275">
        <f t="shared" si="94"/>
        <v>665.6397244599957</v>
      </c>
      <c r="F98" s="275">
        <f t="shared" si="94"/>
        <v>658.19999999999993</v>
      </c>
      <c r="G98" s="275">
        <f t="shared" si="94"/>
        <v>539.73199999999997</v>
      </c>
      <c r="H98" s="275">
        <f t="shared" si="94"/>
        <v>585</v>
      </c>
      <c r="I98" s="275">
        <f t="shared" si="94"/>
        <v>668</v>
      </c>
      <c r="J98" s="275">
        <f t="shared" si="94"/>
        <v>693</v>
      </c>
      <c r="K98" s="275">
        <f t="shared" si="94"/>
        <v>575</v>
      </c>
      <c r="L98" s="275">
        <f>L18</f>
        <v>515</v>
      </c>
      <c r="M98" s="275">
        <f>M18</f>
        <v>482</v>
      </c>
      <c r="N98" s="275">
        <f>N18</f>
        <v>442.84000000000003</v>
      </c>
      <c r="O98" s="275">
        <f>O18</f>
        <v>386.86</v>
      </c>
      <c r="P98" s="275">
        <f>P18</f>
        <v>400</v>
      </c>
      <c r="Q98" s="275">
        <f t="shared" ref="Q98:U98" si="95">Q96*Q112</f>
        <v>229.46564981032859</v>
      </c>
      <c r="R98" s="275">
        <f t="shared" si="95"/>
        <v>183.69761727889653</v>
      </c>
      <c r="S98" s="275">
        <f t="shared" si="95"/>
        <v>149.09765691988665</v>
      </c>
      <c r="T98" s="275">
        <f t="shared" si="95"/>
        <v>118.26086400389941</v>
      </c>
      <c r="U98" s="283">
        <f t="shared" si="95"/>
        <v>94.035456914394189</v>
      </c>
    </row>
    <row r="99" spans="1:23" outlineLevel="1" x14ac:dyDescent="0.2">
      <c r="A99" s="2"/>
      <c r="B99" s="7"/>
      <c r="C99" s="275"/>
      <c r="D99" s="275"/>
      <c r="E99" s="275"/>
      <c r="F99" s="275"/>
      <c r="G99" s="275"/>
      <c r="H99" s="275"/>
      <c r="I99" s="275"/>
      <c r="J99" s="275"/>
      <c r="K99" s="275"/>
      <c r="L99" s="275"/>
      <c r="M99" s="275"/>
      <c r="N99" s="275"/>
      <c r="O99" s="275"/>
      <c r="P99" s="7"/>
      <c r="Q99" s="7"/>
      <c r="R99" s="7"/>
      <c r="S99" s="7"/>
      <c r="T99" s="7"/>
    </row>
    <row r="100" spans="1:23" outlineLevel="1" x14ac:dyDescent="0.2">
      <c r="A100" s="2"/>
      <c r="B100" s="7"/>
      <c r="C100" s="275"/>
      <c r="D100" s="275"/>
      <c r="E100" s="275"/>
      <c r="F100" s="275"/>
      <c r="G100" s="275"/>
      <c r="H100" s="275"/>
      <c r="I100" s="275"/>
      <c r="J100" s="275"/>
      <c r="K100" s="275"/>
      <c r="L100" s="275"/>
      <c r="M100" s="275"/>
      <c r="N100" s="275"/>
      <c r="O100" s="275"/>
      <c r="P100" s="7"/>
      <c r="Q100" s="7"/>
      <c r="R100" s="7"/>
      <c r="S100" s="7"/>
      <c r="T100" s="7"/>
    </row>
    <row r="101" spans="1:23" outlineLevel="1" x14ac:dyDescent="0.2">
      <c r="A101" s="2" t="s">
        <v>183</v>
      </c>
      <c r="B101" s="7"/>
      <c r="C101" s="274">
        <f>C96-C98</f>
        <v>703.51288800000111</v>
      </c>
      <c r="D101" s="274">
        <f t="shared" ref="D101:J101" si="96">D96-D98</f>
        <v>831.62196609916464</v>
      </c>
      <c r="E101" s="274">
        <f t="shared" si="96"/>
        <v>1108.597775540007</v>
      </c>
      <c r="F101" s="274">
        <f t="shared" si="96"/>
        <v>1083.8210000000004</v>
      </c>
      <c r="G101" s="274">
        <f t="shared" si="96"/>
        <v>885.12700000000018</v>
      </c>
      <c r="H101" s="274">
        <f t="shared" si="96"/>
        <v>973</v>
      </c>
      <c r="I101" s="274">
        <f t="shared" si="96"/>
        <v>1120</v>
      </c>
      <c r="J101" s="274">
        <f t="shared" si="96"/>
        <v>1167</v>
      </c>
      <c r="K101" s="274">
        <f t="shared" ref="K101:U101" si="97">K96-K98</f>
        <v>985.5</v>
      </c>
      <c r="L101" s="274">
        <f t="shared" si="97"/>
        <v>889</v>
      </c>
      <c r="M101" s="274">
        <f t="shared" si="97"/>
        <v>867</v>
      </c>
      <c r="N101" s="274">
        <f t="shared" si="97"/>
        <v>782.16</v>
      </c>
      <c r="O101" s="274">
        <f t="shared" si="97"/>
        <v>673.14</v>
      </c>
      <c r="P101" s="274">
        <f t="shared" si="97"/>
        <v>717</v>
      </c>
      <c r="Q101" s="274">
        <f t="shared" si="97"/>
        <v>688.39694943098493</v>
      </c>
      <c r="R101" s="274">
        <f t="shared" si="97"/>
        <v>551.09285183668885</v>
      </c>
      <c r="S101" s="274">
        <f t="shared" si="97"/>
        <v>447.2929707596594</v>
      </c>
      <c r="T101" s="274">
        <f t="shared" si="97"/>
        <v>354.78259201169783</v>
      </c>
      <c r="U101" s="1176">
        <f t="shared" si="97"/>
        <v>282.1063707431822</v>
      </c>
    </row>
    <row r="102" spans="1:23" outlineLevel="1" x14ac:dyDescent="0.2">
      <c r="A102" s="2"/>
      <c r="B102" s="7"/>
      <c r="C102" s="7"/>
      <c r="D102" s="7"/>
      <c r="E102" s="7"/>
      <c r="F102" s="7"/>
      <c r="G102" s="7"/>
      <c r="H102" s="7"/>
      <c r="I102" s="7"/>
      <c r="J102" s="7"/>
      <c r="K102" s="7"/>
      <c r="L102" s="7"/>
      <c r="M102" s="7"/>
      <c r="N102" s="7"/>
      <c r="O102" s="7"/>
      <c r="P102" s="7"/>
      <c r="Q102" s="7"/>
      <c r="R102" s="7"/>
      <c r="S102" s="7"/>
      <c r="T102" s="7"/>
    </row>
    <row r="103" spans="1:23" x14ac:dyDescent="0.2">
      <c r="A103" s="13" t="s">
        <v>187</v>
      </c>
      <c r="B103" s="13"/>
      <c r="C103" s="269">
        <f t="shared" ref="C103:J103" si="98">C101/C104</f>
        <v>2.0411986360342604</v>
      </c>
      <c r="D103" s="269">
        <f t="shared" si="98"/>
        <v>2.3999387220841761</v>
      </c>
      <c r="E103" s="269">
        <f t="shared" si="98"/>
        <v>3.3115107806231929</v>
      </c>
      <c r="F103" s="269">
        <f t="shared" si="98"/>
        <v>3.3850550435577689</v>
      </c>
      <c r="G103" s="269">
        <f t="shared" si="98"/>
        <v>2.8866994431263202</v>
      </c>
      <c r="H103" s="269">
        <f t="shared" si="98"/>
        <v>3.1797385620915031</v>
      </c>
      <c r="I103" s="269">
        <f t="shared" si="98"/>
        <v>3.6601307189542482</v>
      </c>
      <c r="J103" s="269">
        <f t="shared" si="98"/>
        <v>4.3062730627306269</v>
      </c>
      <c r="K103" s="269">
        <f t="shared" ref="K103:U103" si="99">K101/K104</f>
        <v>4.1599831152384974</v>
      </c>
      <c r="L103" s="269">
        <f t="shared" si="99"/>
        <v>4.0501138952164011</v>
      </c>
      <c r="M103" s="269">
        <f t="shared" si="99"/>
        <v>4.2416829745596871</v>
      </c>
      <c r="N103" s="269">
        <f t="shared" si="99"/>
        <v>4.0110769230769225</v>
      </c>
      <c r="O103" s="269">
        <f t="shared" si="99"/>
        <v>3.7605586592178768</v>
      </c>
      <c r="P103" s="269">
        <f t="shared" si="99"/>
        <v>4.2176470588235295</v>
      </c>
      <c r="Q103" s="269">
        <f t="shared" si="99"/>
        <v>4.1123899903780048</v>
      </c>
      <c r="R103" s="269">
        <f t="shared" si="99"/>
        <v>3.3407389444931055</v>
      </c>
      <c r="S103" s="269">
        <f t="shared" si="99"/>
        <v>2.788596372734724</v>
      </c>
      <c r="T103" s="269">
        <f t="shared" si="99"/>
        <v>2.2987057387776955</v>
      </c>
      <c r="U103" s="269">
        <f t="shared" si="99"/>
        <v>1.9025305876032703</v>
      </c>
      <c r="V103" s="422"/>
    </row>
    <row r="104" spans="1:23" x14ac:dyDescent="0.2">
      <c r="A104" s="2" t="s">
        <v>185</v>
      </c>
      <c r="B104" s="7"/>
      <c r="C104" s="275">
        <f>C63</f>
        <v>344.65674999999999</v>
      </c>
      <c r="D104" s="275">
        <f t="shared" ref="D104:K104" si="100">D63</f>
        <v>346.51800000000003</v>
      </c>
      <c r="E104" s="275">
        <f t="shared" si="100"/>
        <v>334.77100000000002</v>
      </c>
      <c r="F104" s="275">
        <f t="shared" si="100"/>
        <v>320.17825000000005</v>
      </c>
      <c r="G104" s="275">
        <f t="shared" si="100"/>
        <v>306.6225</v>
      </c>
      <c r="H104" s="275">
        <f t="shared" si="100"/>
        <v>306</v>
      </c>
      <c r="I104" s="275">
        <f t="shared" si="100"/>
        <v>306</v>
      </c>
      <c r="J104" s="275">
        <f t="shared" si="100"/>
        <v>271</v>
      </c>
      <c r="K104" s="275">
        <f t="shared" si="100"/>
        <v>236.9</v>
      </c>
      <c r="L104" s="275">
        <f>L63</f>
        <v>219.5</v>
      </c>
      <c r="M104" s="275">
        <f>M63</f>
        <v>204.4</v>
      </c>
      <c r="N104" s="275">
        <f>N63</f>
        <v>195</v>
      </c>
      <c r="O104" s="275">
        <f>O63</f>
        <v>179</v>
      </c>
      <c r="P104" s="279">
        <f>P24+2</f>
        <v>170</v>
      </c>
      <c r="Q104" s="279">
        <f>Q24+2</f>
        <v>167.39583333333337</v>
      </c>
      <c r="R104" s="279">
        <f>R24+2.2</f>
        <v>164.96136363636364</v>
      </c>
      <c r="S104" s="279">
        <f>S24+2.2</f>
        <v>160.40075757575758</v>
      </c>
      <c r="T104" s="279">
        <f>T24+2.2</f>
        <v>154.34015151515152</v>
      </c>
      <c r="U104" s="279">
        <f>U24+2.2</f>
        <v>148.27954545454546</v>
      </c>
      <c r="V104" s="307"/>
    </row>
    <row r="105" spans="1:23" outlineLevel="1" x14ac:dyDescent="0.2">
      <c r="A105" s="2"/>
      <c r="B105" s="7"/>
      <c r="C105" s="7"/>
      <c r="D105" s="7"/>
      <c r="E105" s="7"/>
      <c r="F105" s="7"/>
      <c r="G105" s="7"/>
      <c r="H105" s="7"/>
      <c r="I105" s="7"/>
      <c r="J105" s="7"/>
      <c r="K105" s="7"/>
      <c r="L105" s="7"/>
      <c r="M105" s="7"/>
      <c r="N105" s="7"/>
      <c r="O105" s="7"/>
      <c r="P105" s="299">
        <f t="shared" ref="P105:U105" si="101">P91/O91-1</f>
        <v>1.7591339648173276E-2</v>
      </c>
      <c r="Q105" s="299">
        <f t="shared" si="101"/>
        <v>-3.2047321374229498E-2</v>
      </c>
      <c r="R105" s="299">
        <f t="shared" si="101"/>
        <v>-1.8493955822735275E-2</v>
      </c>
      <c r="S105" s="299">
        <f t="shared" si="101"/>
        <v>-2.7915986949429206E-2</v>
      </c>
      <c r="T105" s="299">
        <f t="shared" si="101"/>
        <v>-2.718623481781357E-2</v>
      </c>
      <c r="U105" s="299">
        <f t="shared" si="101"/>
        <v>-3.2287148594377535E-2</v>
      </c>
    </row>
    <row r="106" spans="1:23" outlineLevel="1" x14ac:dyDescent="0.2">
      <c r="A106" s="2" t="s">
        <v>190</v>
      </c>
      <c r="B106" s="7"/>
      <c r="C106" s="274">
        <f>C92+C93</f>
        <v>1481.5930000000012</v>
      </c>
      <c r="D106" s="274">
        <f t="shared" ref="D106:P106" si="102">D92+D93</f>
        <v>1752.5999999999985</v>
      </c>
      <c r="E106" s="274">
        <f t="shared" si="102"/>
        <v>2202.4710000000027</v>
      </c>
      <c r="F106" s="274">
        <f t="shared" si="102"/>
        <v>2256.7000000000003</v>
      </c>
      <c r="G106" s="274">
        <f t="shared" si="102"/>
        <v>2077.4639999999999</v>
      </c>
      <c r="H106" s="274">
        <f t="shared" si="102"/>
        <v>2547</v>
      </c>
      <c r="I106" s="274">
        <f t="shared" si="102"/>
        <v>2845</v>
      </c>
      <c r="J106" s="274">
        <f t="shared" si="102"/>
        <v>2936</v>
      </c>
      <c r="K106" s="274">
        <f t="shared" si="102"/>
        <v>2724</v>
      </c>
      <c r="L106" s="274">
        <f>L92+L93</f>
        <v>2633</v>
      </c>
      <c r="M106" s="274">
        <f>M92+M93</f>
        <v>2575</v>
      </c>
      <c r="N106" s="274">
        <f>N92+N93</f>
        <v>2488</v>
      </c>
      <c r="O106" s="274">
        <f>O92+O93</f>
        <v>2307</v>
      </c>
      <c r="P106" s="274">
        <f t="shared" si="102"/>
        <v>2407</v>
      </c>
      <c r="Q106" s="274">
        <f>Q92+Q93</f>
        <v>2157.8625992413135</v>
      </c>
      <c r="R106" s="274">
        <f>R92+R93</f>
        <v>1979.7904691155854</v>
      </c>
      <c r="S106" s="274">
        <f>S92+S93</f>
        <v>1846.390627679546</v>
      </c>
      <c r="T106" s="274">
        <f>T92+T93</f>
        <v>1728.0434560155973</v>
      </c>
      <c r="U106" s="274">
        <f>U92+U93</f>
        <v>1636.1418276575764</v>
      </c>
    </row>
    <row r="107" spans="1:23" x14ac:dyDescent="0.2">
      <c r="A107" s="2"/>
      <c r="B107" s="7"/>
      <c r="C107" s="7"/>
      <c r="D107" s="7"/>
      <c r="E107" s="7"/>
      <c r="F107" s="7"/>
      <c r="G107" s="7"/>
      <c r="H107" s="7"/>
      <c r="I107" s="7"/>
      <c r="J107" s="7"/>
      <c r="K107" s="7"/>
      <c r="L107" s="7"/>
      <c r="M107" s="7"/>
      <c r="N107" s="7"/>
      <c r="O107" s="7"/>
      <c r="P107" s="7"/>
      <c r="Q107" s="7"/>
      <c r="R107" s="7"/>
      <c r="S107" s="7"/>
      <c r="T107" s="7"/>
    </row>
    <row r="108" spans="1:23" x14ac:dyDescent="0.2">
      <c r="A108" s="4" t="s">
        <v>191</v>
      </c>
      <c r="B108" s="7"/>
      <c r="C108" s="7"/>
      <c r="D108" s="7"/>
      <c r="E108" s="7"/>
      <c r="F108" s="7"/>
      <c r="G108" s="7"/>
      <c r="H108" s="7"/>
      <c r="I108" s="7"/>
      <c r="J108" s="7"/>
      <c r="K108" s="7"/>
      <c r="L108" s="7"/>
      <c r="M108" s="7"/>
      <c r="N108" s="7"/>
      <c r="O108" s="7"/>
      <c r="P108" s="7"/>
      <c r="Q108" s="7"/>
      <c r="R108" s="7"/>
      <c r="S108" s="7"/>
      <c r="T108" s="7"/>
    </row>
    <row r="109" spans="1:23" x14ac:dyDescent="0.2">
      <c r="A109" s="2" t="s">
        <v>192</v>
      </c>
      <c r="B109" s="7"/>
      <c r="C109" s="6">
        <f>C90/C86</f>
        <v>0.35157511943729869</v>
      </c>
      <c r="D109" s="6">
        <f t="shared" ref="D109:J109" si="103">D90/D86</f>
        <v>0.35521033860112511</v>
      </c>
      <c r="E109" s="6">
        <f t="shared" si="103"/>
        <v>0.36364924873764082</v>
      </c>
      <c r="F109" s="6">
        <f t="shared" si="103"/>
        <v>0.36507281302925271</v>
      </c>
      <c r="G109" s="6">
        <f t="shared" si="103"/>
        <v>0.36945557460832962</v>
      </c>
      <c r="H109" s="6">
        <f t="shared" si="103"/>
        <v>0.3782745371987426</v>
      </c>
      <c r="I109" s="6">
        <f t="shared" si="103"/>
        <v>0.38241531183731176</v>
      </c>
      <c r="J109" s="6">
        <f t="shared" si="103"/>
        <v>0.38178047223994893</v>
      </c>
      <c r="K109" s="6">
        <f t="shared" ref="K109:P109" si="104">K90/K86</f>
        <v>0.362551867219917</v>
      </c>
      <c r="L109" s="6">
        <f t="shared" si="104"/>
        <v>0.36493090221218011</v>
      </c>
      <c r="M109" s="6">
        <f t="shared" si="104"/>
        <v>0.3640330126688745</v>
      </c>
      <c r="N109" s="6">
        <f t="shared" si="104"/>
        <v>0.3613830451989169</v>
      </c>
      <c r="O109" s="6">
        <f t="shared" si="104"/>
        <v>0.36075136465803276</v>
      </c>
      <c r="P109" s="6">
        <f t="shared" si="104"/>
        <v>0.36234616391725583</v>
      </c>
      <c r="Q109" s="277">
        <f>P109-0.002</f>
        <v>0.36034616391725582</v>
      </c>
      <c r="R109" s="277">
        <f>Q109-0.0019</f>
        <v>0.35844616391725581</v>
      </c>
      <c r="S109" s="277">
        <f t="shared" ref="S109" si="105">R109-0.002</f>
        <v>0.35644616391725581</v>
      </c>
      <c r="T109" s="277">
        <f>S109-0.0013</f>
        <v>0.35514616391725579</v>
      </c>
      <c r="U109" s="1179">
        <f>T109-0.0013</f>
        <v>0.35384616391725576</v>
      </c>
      <c r="V109" s="308"/>
      <c r="W109" s="876">
        <f>P103*9</f>
        <v>37.958823529411767</v>
      </c>
    </row>
    <row r="110" spans="1:23" x14ac:dyDescent="0.2">
      <c r="A110" s="2" t="s">
        <v>193</v>
      </c>
      <c r="B110" s="7"/>
      <c r="C110" s="6">
        <f>C91/C86</f>
        <v>0.22495081490850971</v>
      </c>
      <c r="D110" s="6">
        <f t="shared" ref="D110:J110" si="106">D91/D86</f>
        <v>0.22444076345674593</v>
      </c>
      <c r="E110" s="6">
        <f t="shared" si="106"/>
        <v>0.22233205505623532</v>
      </c>
      <c r="F110" s="6">
        <f t="shared" si="106"/>
        <v>0.22808476541396286</v>
      </c>
      <c r="G110" s="6">
        <f t="shared" si="106"/>
        <v>0.24269126244066075</v>
      </c>
      <c r="H110" s="6">
        <f t="shared" si="106"/>
        <v>0.23000349283967866</v>
      </c>
      <c r="I110" s="6">
        <f t="shared" si="106"/>
        <v>0.22772008047414496</v>
      </c>
      <c r="J110" s="6">
        <f t="shared" si="106"/>
        <v>0.22564348011061477</v>
      </c>
      <c r="K110" s="6">
        <f t="shared" ref="K110:P110" si="107">K91/K86</f>
        <v>0.22126556016597509</v>
      </c>
      <c r="L110" s="6">
        <f t="shared" si="107"/>
        <v>0.22657768903368189</v>
      </c>
      <c r="M110" s="6">
        <f t="shared" si="107"/>
        <v>0.22867055669452768</v>
      </c>
      <c r="N110" s="6">
        <f t="shared" si="107"/>
        <v>0.23182670277025619</v>
      </c>
      <c r="O110" s="6">
        <f t="shared" si="107"/>
        <v>0.23728994969495878</v>
      </c>
      <c r="P110" s="6">
        <f t="shared" si="107"/>
        <v>0.23629222309505107</v>
      </c>
      <c r="Q110" s="277">
        <f t="shared" ref="Q110:U110" si="108">Q30+0.001</f>
        <v>0.24118203805504967</v>
      </c>
      <c r="R110" s="277">
        <f t="shared" si="108"/>
        <v>0.24520000000000003</v>
      </c>
      <c r="S110" s="277">
        <f t="shared" si="108"/>
        <v>0.24699999999999997</v>
      </c>
      <c r="T110" s="277">
        <f t="shared" si="108"/>
        <v>0.24900000000000003</v>
      </c>
      <c r="U110" s="1179">
        <f t="shared" si="108"/>
        <v>0.24970000000000001</v>
      </c>
    </row>
    <row r="111" spans="1:23" x14ac:dyDescent="0.2">
      <c r="A111" s="2" t="s">
        <v>194</v>
      </c>
      <c r="B111" s="7"/>
      <c r="C111" s="6">
        <f t="shared" ref="C111:K111" si="109">C93/C86</f>
        <v>0.10199859837445634</v>
      </c>
      <c r="D111" s="6">
        <f t="shared" si="109"/>
        <v>0.10548268194773981</v>
      </c>
      <c r="E111" s="6">
        <f t="shared" si="109"/>
        <v>0.11643316994647729</v>
      </c>
      <c r="F111" s="6">
        <f t="shared" si="109"/>
        <v>0.10953343814686441</v>
      </c>
      <c r="G111" s="6">
        <f t="shared" si="109"/>
        <v>9.374406211028069E-2</v>
      </c>
      <c r="H111" s="6">
        <f t="shared" si="109"/>
        <v>0.10821981604377692</v>
      </c>
      <c r="I111" s="6">
        <f t="shared" si="109"/>
        <v>0.11380566581480071</v>
      </c>
      <c r="J111" s="6">
        <f t="shared" si="109"/>
        <v>0.11481599659646884</v>
      </c>
      <c r="K111" s="6">
        <f t="shared" si="109"/>
        <v>9.7977178423236513E-2</v>
      </c>
      <c r="L111" s="6">
        <f t="shared" ref="L111:U111" si="110">L93/L86</f>
        <v>9.1534864168987443E-2</v>
      </c>
      <c r="M111" s="6">
        <f t="shared" si="110"/>
        <v>8.8787257530357988E-2</v>
      </c>
      <c r="N111" s="6">
        <f t="shared" si="110"/>
        <v>8.0868569048114972E-2</v>
      </c>
      <c r="O111" s="6">
        <f t="shared" si="110"/>
        <v>7.320988975703735E-2</v>
      </c>
      <c r="P111" s="6">
        <f t="shared" si="110"/>
        <v>7.415553809897879E-2</v>
      </c>
      <c r="Q111" s="6">
        <f t="shared" si="110"/>
        <v>6.6149832520294966E-2</v>
      </c>
      <c r="R111" s="6">
        <f t="shared" si="110"/>
        <v>5.8047116399378457E-2</v>
      </c>
      <c r="S111" s="6">
        <f t="shared" si="110"/>
        <v>5.194869972509928E-2</v>
      </c>
      <c r="T111" s="6">
        <f t="shared" si="110"/>
        <v>4.6256171302168289E-2</v>
      </c>
      <c r="U111" s="15">
        <f t="shared" si="110"/>
        <v>4.176572787337559E-2</v>
      </c>
    </row>
    <row r="112" spans="1:23" x14ac:dyDescent="0.2">
      <c r="A112" s="2" t="s">
        <v>196</v>
      </c>
      <c r="B112" s="7"/>
      <c r="C112" s="6">
        <f>C98/C96</f>
        <v>0.37796388985166868</v>
      </c>
      <c r="D112" s="6">
        <f t="shared" ref="D112:J112" si="111">D98/D96</f>
        <v>0.38095729782703175</v>
      </c>
      <c r="E112" s="6">
        <f t="shared" si="111"/>
        <v>0.37516945981583338</v>
      </c>
      <c r="F112" s="6">
        <f t="shared" si="111"/>
        <v>0.37783700655732616</v>
      </c>
      <c r="G112" s="6">
        <f t="shared" si="111"/>
        <v>0.3787967791900812</v>
      </c>
      <c r="H112" s="6">
        <f t="shared" si="111"/>
        <v>0.37548138639281131</v>
      </c>
      <c r="I112" s="6">
        <f t="shared" si="111"/>
        <v>0.37360178970917224</v>
      </c>
      <c r="J112" s="6">
        <f t="shared" si="111"/>
        <v>0.3725806451612903</v>
      </c>
      <c r="K112" s="6">
        <f t="shared" ref="K112:P112" si="112">K98/K96</f>
        <v>0.36847164370394103</v>
      </c>
      <c r="L112" s="6">
        <f t="shared" si="112"/>
        <v>0.36680911680911682</v>
      </c>
      <c r="M112" s="6">
        <f t="shared" si="112"/>
        <v>0.35730170496664193</v>
      </c>
      <c r="N112" s="6">
        <f t="shared" si="112"/>
        <v>0.36150204081632653</v>
      </c>
      <c r="O112" s="6">
        <f t="shared" si="112"/>
        <v>0.36496226415094341</v>
      </c>
      <c r="P112" s="6">
        <f t="shared" si="112"/>
        <v>0.35810205908683973</v>
      </c>
      <c r="Q112" s="277">
        <f t="shared" ref="Q112:U112" si="113">Q32+0.005</f>
        <v>0.25000000000000022</v>
      </c>
      <c r="R112" s="277">
        <f t="shared" si="113"/>
        <v>0.25000000000000022</v>
      </c>
      <c r="S112" s="277">
        <f t="shared" si="113"/>
        <v>0.25000000000000022</v>
      </c>
      <c r="T112" s="277">
        <f t="shared" si="113"/>
        <v>0.25000000000000022</v>
      </c>
      <c r="U112" s="1179">
        <f t="shared" si="113"/>
        <v>0.25000000000000022</v>
      </c>
    </row>
    <row r="113" spans="1:27" x14ac:dyDescent="0.2">
      <c r="A113" s="2"/>
      <c r="B113" s="7"/>
      <c r="C113" s="7"/>
      <c r="D113" s="7"/>
      <c r="E113" s="7"/>
      <c r="F113" s="7"/>
      <c r="G113" s="7"/>
      <c r="H113" s="7"/>
      <c r="I113" s="7"/>
      <c r="J113" s="7"/>
      <c r="K113" s="7"/>
      <c r="L113" s="7"/>
      <c r="M113" s="7"/>
      <c r="N113" s="7"/>
      <c r="O113" s="7"/>
      <c r="P113" s="7"/>
      <c r="Q113" s="7"/>
      <c r="R113" s="7"/>
      <c r="S113" s="7"/>
      <c r="T113" s="7"/>
    </row>
    <row r="114" spans="1:27" x14ac:dyDescent="0.2">
      <c r="A114" s="4" t="s">
        <v>199</v>
      </c>
      <c r="B114" s="7"/>
      <c r="C114" s="7"/>
      <c r="D114" s="7"/>
      <c r="E114" s="7"/>
      <c r="F114" s="7"/>
      <c r="G114" s="7"/>
      <c r="H114" s="7"/>
      <c r="I114" s="7"/>
      <c r="J114" s="7"/>
      <c r="K114" s="7"/>
      <c r="L114" s="7"/>
      <c r="M114" s="7"/>
      <c r="N114" s="7"/>
      <c r="O114" s="7"/>
      <c r="P114" s="7"/>
      <c r="Q114" s="7"/>
      <c r="R114" s="7"/>
      <c r="S114" s="7"/>
      <c r="T114" s="7"/>
    </row>
    <row r="115" spans="1:27" x14ac:dyDescent="0.2">
      <c r="A115" s="2" t="s">
        <v>98</v>
      </c>
      <c r="B115" s="7"/>
      <c r="C115" s="5" t="s">
        <v>94</v>
      </c>
      <c r="D115" s="280">
        <f>((D86/C86)-1)</f>
        <v>0.14541865016622912</v>
      </c>
      <c r="E115" s="280">
        <f t="shared" ref="E115:M115" si="114">((E86/D86)-1)</f>
        <v>0.16289124173643144</v>
      </c>
      <c r="F115" s="280">
        <f t="shared" si="114"/>
        <v>5.700236395819358E-2</v>
      </c>
      <c r="G115" s="280">
        <f t="shared" si="114"/>
        <v>-5.1780717143082855E-3</v>
      </c>
      <c r="H115" s="280">
        <f t="shared" si="114"/>
        <v>4.8180548214657559E-2</v>
      </c>
      <c r="I115" s="280">
        <f t="shared" si="114"/>
        <v>7.0613575503551074E-2</v>
      </c>
      <c r="J115" s="280">
        <f t="shared" si="114"/>
        <v>2.2456636398238361E-2</v>
      </c>
      <c r="K115" s="280">
        <f t="shared" si="114"/>
        <v>2.5313763029142677E-2</v>
      </c>
      <c r="L115" s="280">
        <f t="shared" si="114"/>
        <v>-1.2914937759336054E-2</v>
      </c>
      <c r="M115" s="280">
        <f t="shared" si="114"/>
        <v>-4.2036677000678591E-4</v>
      </c>
      <c r="N115" s="280">
        <f>((N86/M86)-1)</f>
        <v>9.5147978762550878E-3</v>
      </c>
      <c r="O115" s="280">
        <f>((O86/N86)-1)</f>
        <v>-2.6973547177671309E-2</v>
      </c>
      <c r="P115" s="280">
        <f>((P86/O86)-1)</f>
        <v>2.1888044525313122E-2</v>
      </c>
      <c r="Q115" s="280">
        <f t="shared" ref="Q115:U115" si="115">Q116+Q122</f>
        <v>-5.1671956470126394E-2</v>
      </c>
      <c r="R115" s="280">
        <f t="shared" si="115"/>
        <v>-3.457737317282903E-2</v>
      </c>
      <c r="S115" s="280">
        <f t="shared" si="115"/>
        <v>-3.4999999999999899E-2</v>
      </c>
      <c r="T115" s="280">
        <f t="shared" si="115"/>
        <v>-3.500000000000001E-2</v>
      </c>
      <c r="U115" s="1180">
        <f t="shared" si="115"/>
        <v>-3.500000000000001E-2</v>
      </c>
    </row>
    <row r="116" spans="1:27" x14ac:dyDescent="0.2">
      <c r="A116" s="2" t="s">
        <v>200</v>
      </c>
      <c r="B116" s="7"/>
      <c r="C116" s="6">
        <f>C36</f>
        <v>5.4574854495884851E-3</v>
      </c>
      <c r="D116" s="6">
        <f t="shared" ref="D116:J116" si="116">D36</f>
        <v>3.6890876124815335E-2</v>
      </c>
      <c r="E116" s="6">
        <f t="shared" si="116"/>
        <v>5.9000000000000004E-2</v>
      </c>
      <c r="F116" s="6">
        <f t="shared" si="116"/>
        <v>-7.9988102247825314E-3</v>
      </c>
      <c r="G116" s="6">
        <f t="shared" si="116"/>
        <v>-6.9000000000000006E-2</v>
      </c>
      <c r="H116" s="6">
        <f t="shared" si="116"/>
        <v>6.5541130581591653E-3</v>
      </c>
      <c r="I116" s="6">
        <f t="shared" si="116"/>
        <v>4.4736447175248759E-2</v>
      </c>
      <c r="J116" s="6">
        <f t="shared" si="116"/>
        <v>5.0000000000000001E-3</v>
      </c>
      <c r="K116" s="6">
        <f t="shared" ref="K116:P116" si="117">K36</f>
        <v>3.0000000000000001E-3</v>
      </c>
      <c r="L116" s="6">
        <f t="shared" si="117"/>
        <v>-1.2309600126110033E-2</v>
      </c>
      <c r="M116" s="6">
        <f t="shared" si="117"/>
        <v>-3.0000000000000001E-3</v>
      </c>
      <c r="N116" s="6">
        <f t="shared" si="117"/>
        <v>6.9999999999999993E-3</v>
      </c>
      <c r="O116" s="6">
        <f t="shared" si="117"/>
        <v>-2.4E-2</v>
      </c>
      <c r="P116" s="6">
        <f t="shared" si="117"/>
        <v>1.4999999999999999E-2</v>
      </c>
      <c r="Q116" s="277">
        <v>-0.03</v>
      </c>
      <c r="R116" s="277">
        <v>-0.03</v>
      </c>
      <c r="S116" s="277">
        <v>-0.03</v>
      </c>
      <c r="T116" s="277">
        <v>-0.03</v>
      </c>
      <c r="U116" s="1179">
        <v>-0.03</v>
      </c>
    </row>
    <row r="117" spans="1:27" x14ac:dyDescent="0.2">
      <c r="A117" s="2" t="s">
        <v>179</v>
      </c>
      <c r="B117" s="7"/>
      <c r="C117" s="5" t="s">
        <v>94</v>
      </c>
      <c r="D117" s="280">
        <f t="shared" ref="D117:U117" si="118">((D91/C91)-1)</f>
        <v>0.14282153823475108</v>
      </c>
      <c r="E117" s="280">
        <f t="shared" si="118"/>
        <v>0.15196542553191472</v>
      </c>
      <c r="F117" s="280">
        <f t="shared" si="118"/>
        <v>8.4351674635625207E-2</v>
      </c>
      <c r="G117" s="280">
        <f t="shared" si="118"/>
        <v>5.8530100601479784E-2</v>
      </c>
      <c r="H117" s="280">
        <f t="shared" si="118"/>
        <v>-6.6177711077380907E-3</v>
      </c>
      <c r="I117" s="280">
        <f t="shared" si="118"/>
        <v>5.9984813971146522E-2</v>
      </c>
      <c r="J117" s="280">
        <f t="shared" si="118"/>
        <v>1.313276026743071E-2</v>
      </c>
      <c r="K117" s="280">
        <f t="shared" si="118"/>
        <v>5.4206929059628095E-3</v>
      </c>
      <c r="L117" s="280">
        <f t="shared" si="118"/>
        <v>1.0782934833567737E-2</v>
      </c>
      <c r="M117" s="280">
        <f t="shared" si="118"/>
        <v>8.8126159554731132E-3</v>
      </c>
      <c r="N117" s="280">
        <f>((N91/M91)-1)</f>
        <v>2.3448275862068879E-2</v>
      </c>
      <c r="O117" s="280">
        <f>((O91/N91)-1)</f>
        <v>-4.0431266846361336E-3</v>
      </c>
      <c r="P117" s="280">
        <f>((P91/O91)-1)</f>
        <v>1.7591339648173276E-2</v>
      </c>
      <c r="Q117" s="280">
        <f t="shared" si="118"/>
        <v>-3.2047321374229498E-2</v>
      </c>
      <c r="R117" s="280">
        <f t="shared" si="118"/>
        <v>-1.8493955822735275E-2</v>
      </c>
      <c r="S117" s="280">
        <f t="shared" si="118"/>
        <v>-2.7915986949429206E-2</v>
      </c>
      <c r="T117" s="280">
        <f t="shared" si="118"/>
        <v>-2.718623481781357E-2</v>
      </c>
      <c r="U117" s="1180">
        <f t="shared" si="118"/>
        <v>-3.2287148594377535E-2</v>
      </c>
    </row>
    <row r="118" spans="1:27" x14ac:dyDescent="0.2">
      <c r="A118" s="2" t="s">
        <v>180</v>
      </c>
      <c r="B118" s="7"/>
      <c r="C118" s="5" t="s">
        <v>94</v>
      </c>
      <c r="D118" s="280">
        <f t="shared" ref="D118:U118" si="119">((D93/C93)-1)</f>
        <v>0.18454403391832708</v>
      </c>
      <c r="E118" s="280">
        <f t="shared" si="119"/>
        <v>0.28361462828040218</v>
      </c>
      <c r="F118" s="280">
        <f t="shared" si="119"/>
        <v>-5.6347078162916064E-3</v>
      </c>
      <c r="G118" s="280">
        <f t="shared" si="119"/>
        <v>-0.14858284180909009</v>
      </c>
      <c r="H118" s="280">
        <f t="shared" si="119"/>
        <v>0.21003830594637174</v>
      </c>
      <c r="I118" s="280">
        <f t="shared" si="119"/>
        <v>0.12587412587412583</v>
      </c>
      <c r="J118" s="280">
        <f t="shared" si="119"/>
        <v>3.1533683707596794E-2</v>
      </c>
      <c r="K118" s="280">
        <f t="shared" si="119"/>
        <v>-0.1250578971746179</v>
      </c>
      <c r="L118" s="280">
        <f t="shared" si="119"/>
        <v>-7.7818951826363114E-2</v>
      </c>
      <c r="M118" s="280">
        <f t="shared" si="119"/>
        <v>-3.0424799081515519E-2</v>
      </c>
      <c r="N118" s="280">
        <f>((N93/M93)-1)</f>
        <v>-8.0521018354055673E-2</v>
      </c>
      <c r="O118" s="280">
        <f>((O93/N93)-1)</f>
        <v>-0.11912427559562133</v>
      </c>
      <c r="P118" s="280">
        <f>((P93/O93)-1)</f>
        <v>3.5087719298245723E-2</v>
      </c>
      <c r="Q118" s="280">
        <f t="shared" si="119"/>
        <v>-0.15405183669398759</v>
      </c>
      <c r="R118" s="280">
        <f t="shared" si="119"/>
        <v>-0.15283232838363925</v>
      </c>
      <c r="S118" s="280">
        <f t="shared" si="119"/>
        <v>-0.13638267765429279</v>
      </c>
      <c r="T118" s="280">
        <f t="shared" si="119"/>
        <v>-0.14074451251326126</v>
      </c>
      <c r="U118" s="1180">
        <f t="shared" si="119"/>
        <v>-0.12867999526977336</v>
      </c>
    </row>
    <row r="119" spans="1:27" x14ac:dyDescent="0.2">
      <c r="A119" s="2" t="s">
        <v>500</v>
      </c>
      <c r="B119" s="7"/>
      <c r="C119" s="5" t="s">
        <v>94</v>
      </c>
      <c r="D119" s="280">
        <f t="shared" ref="D119:U119" si="120">((D103/C103)-1)</f>
        <v>0.17574971867847866</v>
      </c>
      <c r="E119" s="280">
        <f t="shared" si="120"/>
        <v>0.37983138908954373</v>
      </c>
      <c r="F119" s="280">
        <f t="shared" si="120"/>
        <v>2.2208673867199602E-2</v>
      </c>
      <c r="G119" s="280">
        <f t="shared" si="120"/>
        <v>-0.14722230333592023</v>
      </c>
      <c r="H119" s="280">
        <f t="shared" si="120"/>
        <v>0.1015135537102605</v>
      </c>
      <c r="I119" s="280">
        <f t="shared" si="120"/>
        <v>0.15107913669064743</v>
      </c>
      <c r="J119" s="280">
        <f t="shared" si="120"/>
        <v>0.17653531892461771</v>
      </c>
      <c r="K119" s="280">
        <f t="shared" si="120"/>
        <v>-3.397135884350222E-2</v>
      </c>
      <c r="L119" s="280">
        <f t="shared" si="120"/>
        <v>-2.6410977395468938E-2</v>
      </c>
      <c r="M119" s="280">
        <f t="shared" si="120"/>
        <v>4.729967707069882E-2</v>
      </c>
      <c r="N119" s="280">
        <f>((N103/M103)-1)</f>
        <v>-5.4366640049685167E-2</v>
      </c>
      <c r="O119" s="280">
        <f>((O103/N103)-1)</f>
        <v>-6.2456609200820745E-2</v>
      </c>
      <c r="P119" s="280">
        <f>((P103/O103)-1)</f>
        <v>0.12154800417359213</v>
      </c>
      <c r="Q119" s="280">
        <f t="shared" si="120"/>
        <v>-2.495634816700032E-2</v>
      </c>
      <c r="R119" s="280">
        <f t="shared" si="120"/>
        <v>-0.18764053207268172</v>
      </c>
      <c r="S119" s="280">
        <f t="shared" si="120"/>
        <v>-0.16527558152023125</v>
      </c>
      <c r="T119" s="280">
        <f t="shared" si="120"/>
        <v>-0.17567642228430569</v>
      </c>
      <c r="U119" s="1180">
        <f t="shared" si="120"/>
        <v>-0.17234704925089095</v>
      </c>
    </row>
    <row r="120" spans="1:27" x14ac:dyDescent="0.2">
      <c r="A120" s="2" t="s">
        <v>190</v>
      </c>
      <c r="B120" s="7"/>
      <c r="C120" s="5" t="s">
        <v>94</v>
      </c>
      <c r="D120" s="280">
        <f>((D106/C106)-1)</f>
        <v>0.18291595600140997</v>
      </c>
      <c r="E120" s="280">
        <f t="shared" ref="E120:M120" si="121">((E106/D106)-1)</f>
        <v>0.25668777815816757</v>
      </c>
      <c r="F120" s="280">
        <f t="shared" si="121"/>
        <v>2.4621890594699103E-2</v>
      </c>
      <c r="G120" s="280">
        <f t="shared" si="121"/>
        <v>-7.9423937608011808E-2</v>
      </c>
      <c r="H120" s="280">
        <f t="shared" si="121"/>
        <v>0.22601402479176547</v>
      </c>
      <c r="I120" s="280">
        <f t="shared" si="121"/>
        <v>0.11700039261876727</v>
      </c>
      <c r="J120" s="280">
        <f t="shared" si="121"/>
        <v>3.1985940246045619E-2</v>
      </c>
      <c r="K120" s="280">
        <f t="shared" si="121"/>
        <v>-7.2207084468664862E-2</v>
      </c>
      <c r="L120" s="280">
        <f t="shared" si="121"/>
        <v>-3.3406754772393521E-2</v>
      </c>
      <c r="M120" s="280">
        <f t="shared" si="121"/>
        <v>-2.2028104823395345E-2</v>
      </c>
      <c r="N120" s="280">
        <f t="shared" ref="N120:U120" si="122">((N106/M106)-1)</f>
        <v>-3.3786407766990267E-2</v>
      </c>
      <c r="O120" s="280">
        <f t="shared" si="122"/>
        <v>-7.2749196141479122E-2</v>
      </c>
      <c r="P120" s="280">
        <f t="shared" si="122"/>
        <v>4.3346337234503762E-2</v>
      </c>
      <c r="Q120" s="280">
        <f t="shared" si="122"/>
        <v>-0.10350535968370855</v>
      </c>
      <c r="R120" s="280">
        <f t="shared" si="122"/>
        <v>-8.2522460043719548E-2</v>
      </c>
      <c r="S120" s="280">
        <f t="shared" si="122"/>
        <v>-6.7380787773784978E-2</v>
      </c>
      <c r="T120" s="280">
        <f t="shared" si="122"/>
        <v>-6.4096497182008383E-2</v>
      </c>
      <c r="U120" s="1180">
        <f t="shared" si="122"/>
        <v>-5.3182475265941109E-2</v>
      </c>
    </row>
    <row r="121" spans="1:27" outlineLevel="1" x14ac:dyDescent="0.2">
      <c r="A121" s="2" t="s">
        <v>532</v>
      </c>
      <c r="B121" s="7"/>
      <c r="C121" s="5" t="s">
        <v>94</v>
      </c>
      <c r="D121" s="6">
        <f t="shared" ref="D121:M121" si="123">D35-D36</f>
        <v>0.10852777404141378</v>
      </c>
      <c r="E121" s="6">
        <f t="shared" si="123"/>
        <v>0.10389124173643144</v>
      </c>
      <c r="F121" s="6">
        <f t="shared" si="123"/>
        <v>6.5001174182976115E-2</v>
      </c>
      <c r="G121" s="6">
        <f t="shared" si="123"/>
        <v>6.382192828569172E-2</v>
      </c>
      <c r="H121" s="6">
        <f t="shared" si="123"/>
        <v>4.1626435156498394E-2</v>
      </c>
      <c r="I121" s="6">
        <f t="shared" si="123"/>
        <v>2.5877128328302315E-2</v>
      </c>
      <c r="J121" s="6">
        <f t="shared" si="123"/>
        <v>1.745663639823836E-2</v>
      </c>
      <c r="K121" s="6">
        <f t="shared" si="123"/>
        <v>2.2313763029142678E-2</v>
      </c>
      <c r="L121" s="6">
        <f t="shared" si="123"/>
        <v>-6.0533763322602116E-4</v>
      </c>
      <c r="M121" s="6">
        <f t="shared" si="123"/>
        <v>2.5796332299932142E-3</v>
      </c>
      <c r="N121" s="6">
        <f t="shared" ref="N121:U121" si="124">N35-N36</f>
        <v>2.5147978762550885E-3</v>
      </c>
      <c r="O121" s="6">
        <f t="shared" si="124"/>
        <v>-2.9735471776713082E-3</v>
      </c>
      <c r="P121" s="6">
        <f t="shared" si="124"/>
        <v>6.8880445253131223E-3</v>
      </c>
      <c r="Q121" s="6">
        <f t="shared" si="124"/>
        <v>-1.6671956470126394E-2</v>
      </c>
      <c r="R121" s="6">
        <f t="shared" si="124"/>
        <v>4.22626827170966E-4</v>
      </c>
      <c r="S121" s="6">
        <f t="shared" si="124"/>
        <v>9.7144514654701197E-17</v>
      </c>
      <c r="T121" s="6">
        <f t="shared" si="124"/>
        <v>-1.3877787807814457E-17</v>
      </c>
      <c r="U121" s="15">
        <f t="shared" si="124"/>
        <v>-1.3877787807814457E-17</v>
      </c>
    </row>
    <row r="122" spans="1:27" outlineLevel="1" x14ac:dyDescent="0.2">
      <c r="A122" s="2" t="s">
        <v>535</v>
      </c>
      <c r="B122" s="7"/>
      <c r="C122" s="5" t="s">
        <v>94</v>
      </c>
      <c r="D122" s="6">
        <f t="shared" ref="D122:M122" si="125">D121</f>
        <v>0.10852777404141378</v>
      </c>
      <c r="E122" s="6">
        <f t="shared" si="125"/>
        <v>0.10389124173643144</v>
      </c>
      <c r="F122" s="6">
        <f t="shared" si="125"/>
        <v>6.5001174182976115E-2</v>
      </c>
      <c r="G122" s="6">
        <f t="shared" si="125"/>
        <v>6.382192828569172E-2</v>
      </c>
      <c r="H122" s="6">
        <f t="shared" si="125"/>
        <v>4.1626435156498394E-2</v>
      </c>
      <c r="I122" s="6">
        <f t="shared" si="125"/>
        <v>2.5877128328302315E-2</v>
      </c>
      <c r="J122" s="6">
        <f t="shared" si="125"/>
        <v>1.745663639823836E-2</v>
      </c>
      <c r="K122" s="6">
        <f t="shared" si="125"/>
        <v>2.2313763029142678E-2</v>
      </c>
      <c r="L122" s="6">
        <f t="shared" si="125"/>
        <v>-6.0533763322602116E-4</v>
      </c>
      <c r="M122" s="6">
        <f t="shared" si="125"/>
        <v>2.5796332299932142E-3</v>
      </c>
      <c r="N122" s="6">
        <f>N121</f>
        <v>2.5147978762550885E-3</v>
      </c>
      <c r="O122" s="6">
        <f>O121</f>
        <v>-2.9735471776713082E-3</v>
      </c>
      <c r="P122" s="6">
        <f>P121</f>
        <v>6.8880445253131223E-3</v>
      </c>
      <c r="Q122" s="277">
        <f t="shared" ref="Q122:U122" si="126">Q121-0.005</f>
        <v>-2.1671956470126395E-2</v>
      </c>
      <c r="R122" s="277">
        <f t="shared" si="126"/>
        <v>-4.5773731728290341E-3</v>
      </c>
      <c r="S122" s="277">
        <f t="shared" si="126"/>
        <v>-4.999999999999903E-3</v>
      </c>
      <c r="T122" s="277">
        <f t="shared" si="126"/>
        <v>-5.000000000000014E-3</v>
      </c>
      <c r="U122" s="1179">
        <f t="shared" si="126"/>
        <v>-5.000000000000014E-3</v>
      </c>
    </row>
    <row r="123" spans="1:27" x14ac:dyDescent="0.2">
      <c r="A123" s="281"/>
      <c r="B123" s="281"/>
      <c r="C123" s="281"/>
      <c r="D123" s="281"/>
      <c r="E123" s="281"/>
      <c r="F123" s="281"/>
      <c r="G123" s="281"/>
      <c r="H123" s="281"/>
      <c r="I123" s="281"/>
      <c r="J123" s="281"/>
      <c r="K123" s="281"/>
      <c r="L123" s="281"/>
      <c r="M123" s="281"/>
      <c r="N123" s="281"/>
      <c r="O123" s="281"/>
      <c r="P123" s="281"/>
      <c r="Q123" s="281"/>
      <c r="R123" s="281"/>
      <c r="S123" s="281"/>
      <c r="T123" s="281"/>
    </row>
    <row r="124" spans="1:27" hidden="1" outlineLevel="1" x14ac:dyDescent="0.2">
      <c r="A124" s="282" t="s">
        <v>536</v>
      </c>
      <c r="B124" s="7"/>
      <c r="C124" s="257" t="str">
        <f>C83</f>
        <v>2004A</v>
      </c>
      <c r="D124" s="257" t="str">
        <f t="shared" ref="D124:P124" si="127">D83</f>
        <v>2005A</v>
      </c>
      <c r="E124" s="257" t="str">
        <f t="shared" si="127"/>
        <v>2006A</v>
      </c>
      <c r="F124" s="257" t="str">
        <f t="shared" si="127"/>
        <v>2007A</v>
      </c>
      <c r="G124" s="257" t="str">
        <f t="shared" si="127"/>
        <v>2008A</v>
      </c>
      <c r="H124" s="257" t="str">
        <f t="shared" si="127"/>
        <v>2009A</v>
      </c>
      <c r="I124" s="257" t="str">
        <f t="shared" si="127"/>
        <v>2010A</v>
      </c>
      <c r="J124" s="257" t="str">
        <f t="shared" si="127"/>
        <v>2011A</v>
      </c>
      <c r="K124" s="257" t="str">
        <f t="shared" si="127"/>
        <v>2012A</v>
      </c>
      <c r="L124" s="257" t="str">
        <f t="shared" si="127"/>
        <v>2013A</v>
      </c>
      <c r="M124" s="257" t="str">
        <f t="shared" si="127"/>
        <v>2014A</v>
      </c>
      <c r="N124" s="257" t="str">
        <f t="shared" si="127"/>
        <v>2015A</v>
      </c>
      <c r="O124" s="257" t="str">
        <f t="shared" si="127"/>
        <v>2016A</v>
      </c>
      <c r="P124" s="257" t="str">
        <f t="shared" si="127"/>
        <v>2017A</v>
      </c>
      <c r="Q124" s="257" t="str">
        <f t="shared" ref="Q124:T125" si="128">Q83</f>
        <v>2018E</v>
      </c>
      <c r="R124" s="257" t="str">
        <f t="shared" si="128"/>
        <v>2019E</v>
      </c>
      <c r="S124" s="257" t="str">
        <f t="shared" si="128"/>
        <v>2020E</v>
      </c>
      <c r="T124" s="257" t="str">
        <f t="shared" si="128"/>
        <v>2021E</v>
      </c>
      <c r="U124" s="14"/>
      <c r="V124" s="7"/>
      <c r="W124" s="7"/>
      <c r="X124" s="7"/>
      <c r="Y124" s="7"/>
      <c r="Z124" s="7"/>
      <c r="AA124" s="7"/>
    </row>
    <row r="125" spans="1:27" hidden="1" outlineLevel="1" x14ac:dyDescent="0.2">
      <c r="A125" s="4" t="s">
        <v>175</v>
      </c>
      <c r="B125" s="7"/>
      <c r="C125" s="257" t="str">
        <f>C84</f>
        <v>Jan</v>
      </c>
      <c r="D125" s="257" t="str">
        <f t="shared" ref="D125:P125" si="129">D84</f>
        <v>Jan</v>
      </c>
      <c r="E125" s="257" t="str">
        <f t="shared" si="129"/>
        <v>Jan</v>
      </c>
      <c r="F125" s="257" t="str">
        <f t="shared" si="129"/>
        <v>Jan</v>
      </c>
      <c r="G125" s="257" t="str">
        <f t="shared" si="129"/>
        <v>Jan</v>
      </c>
      <c r="H125" s="257" t="str">
        <f t="shared" si="129"/>
        <v>Jan</v>
      </c>
      <c r="I125" s="257" t="str">
        <f t="shared" si="129"/>
        <v>Jan</v>
      </c>
      <c r="J125" s="257" t="str">
        <f t="shared" si="129"/>
        <v>Jan</v>
      </c>
      <c r="K125" s="257" t="str">
        <f t="shared" si="129"/>
        <v>Jan</v>
      </c>
      <c r="L125" s="257" t="str">
        <f t="shared" si="129"/>
        <v>Feb</v>
      </c>
      <c r="M125" s="257" t="str">
        <f t="shared" si="129"/>
        <v>Jan</v>
      </c>
      <c r="N125" s="257" t="str">
        <f t="shared" si="129"/>
        <v>Jan</v>
      </c>
      <c r="O125" s="257" t="str">
        <f t="shared" si="129"/>
        <v>Jan</v>
      </c>
      <c r="P125" s="257" t="str">
        <f t="shared" si="129"/>
        <v>Jan</v>
      </c>
      <c r="Q125" s="257" t="str">
        <f t="shared" si="128"/>
        <v>Jan</v>
      </c>
      <c r="R125" s="257" t="str">
        <f t="shared" si="128"/>
        <v>Jan</v>
      </c>
      <c r="S125" s="257" t="str">
        <f t="shared" si="128"/>
        <v>Jan</v>
      </c>
      <c r="T125" s="257" t="str">
        <f t="shared" si="128"/>
        <v>Jan</v>
      </c>
      <c r="U125" s="14"/>
      <c r="V125" s="7"/>
      <c r="W125" s="7"/>
      <c r="X125" s="7"/>
      <c r="Y125" s="7"/>
      <c r="Z125" s="7"/>
      <c r="AA125" s="7"/>
    </row>
    <row r="126" spans="1:27" hidden="1" outlineLevel="1" x14ac:dyDescent="0.2">
      <c r="A126" s="2"/>
      <c r="B126" s="7"/>
      <c r="C126" s="7"/>
      <c r="D126" s="7"/>
      <c r="E126" s="7"/>
      <c r="F126" s="7"/>
      <c r="G126" s="7"/>
      <c r="H126" s="7"/>
      <c r="I126" s="7"/>
      <c r="J126" s="7"/>
      <c r="K126" s="7"/>
      <c r="L126" s="7"/>
      <c r="M126" s="7"/>
      <c r="N126" s="7"/>
      <c r="O126" s="7"/>
      <c r="P126" s="7"/>
      <c r="Q126" s="7"/>
      <c r="R126" s="7"/>
      <c r="S126" s="7"/>
      <c r="T126" s="7"/>
      <c r="U126" s="14"/>
      <c r="V126" s="7"/>
      <c r="W126" s="7"/>
      <c r="X126" s="7"/>
      <c r="Y126" s="7"/>
      <c r="Z126" s="7"/>
      <c r="AA126" s="7"/>
    </row>
    <row r="127" spans="1:27" hidden="1" outlineLevel="1" x14ac:dyDescent="0.2">
      <c r="A127" s="2" t="s">
        <v>176</v>
      </c>
      <c r="B127" s="7"/>
      <c r="C127" s="274">
        <f>C6</f>
        <v>11700.7</v>
      </c>
      <c r="D127" s="274">
        <f t="shared" ref="D127:K127" si="130">D6</f>
        <v>13402.199999999999</v>
      </c>
      <c r="E127" s="274">
        <f t="shared" si="130"/>
        <v>15585.301000000001</v>
      </c>
      <c r="F127" s="274">
        <f t="shared" si="130"/>
        <v>16473.7</v>
      </c>
      <c r="G127" s="274">
        <f t="shared" si="130"/>
        <v>16388.398000000001</v>
      </c>
      <c r="H127" s="274">
        <f t="shared" si="130"/>
        <v>17178</v>
      </c>
      <c r="I127" s="274">
        <f t="shared" si="130"/>
        <v>18391</v>
      </c>
      <c r="J127" s="274">
        <f t="shared" si="130"/>
        <v>18804</v>
      </c>
      <c r="K127" s="274">
        <f t="shared" si="130"/>
        <v>19280</v>
      </c>
      <c r="L127" s="274">
        <f t="shared" ref="L127:T127" si="131">(K127*(1+L168))</f>
        <v>19031</v>
      </c>
      <c r="M127" s="274">
        <f t="shared" si="131"/>
        <v>19023</v>
      </c>
      <c r="N127" s="274">
        <f t="shared" si="131"/>
        <v>19204</v>
      </c>
      <c r="O127" s="274">
        <f t="shared" si="131"/>
        <v>18686</v>
      </c>
      <c r="P127" s="274">
        <f t="shared" si="131"/>
        <v>19095</v>
      </c>
      <c r="Q127" s="274">
        <f t="shared" si="131"/>
        <v>18785.039199999999</v>
      </c>
      <c r="R127" s="274">
        <f t="shared" si="131"/>
        <v>18511.202673515378</v>
      </c>
      <c r="S127" s="274">
        <f t="shared" si="131"/>
        <v>18233.534633412648</v>
      </c>
      <c r="T127" s="274">
        <f t="shared" si="131"/>
        <v>17960.031613911458</v>
      </c>
      <c r="U127" s="14"/>
      <c r="V127" s="7"/>
      <c r="W127" s="7"/>
      <c r="X127" s="7"/>
      <c r="Y127" s="7"/>
      <c r="Z127" s="7"/>
      <c r="AA127" s="7"/>
    </row>
    <row r="128" spans="1:27" hidden="1" outlineLevel="1" x14ac:dyDescent="0.2">
      <c r="A128" s="2"/>
      <c r="B128" s="7"/>
      <c r="C128" s="275"/>
      <c r="D128" s="275"/>
      <c r="E128" s="275"/>
      <c r="F128" s="275"/>
      <c r="G128" s="275"/>
      <c r="H128" s="275"/>
      <c r="I128" s="275"/>
      <c r="J128" s="275"/>
      <c r="K128" s="275"/>
      <c r="L128" s="275"/>
      <c r="M128" s="275"/>
      <c r="U128" s="14"/>
      <c r="V128" s="7"/>
      <c r="W128" s="7"/>
      <c r="X128" s="7"/>
      <c r="Y128" s="7"/>
      <c r="Z128" s="7"/>
      <c r="AA128" s="7"/>
    </row>
    <row r="129" spans="1:27" hidden="1" outlineLevel="1" x14ac:dyDescent="0.2">
      <c r="A129" s="2" t="s">
        <v>177</v>
      </c>
      <c r="B129" s="7"/>
      <c r="C129" s="274">
        <f>C8</f>
        <v>7587.0249999999996</v>
      </c>
      <c r="D129" s="274">
        <f t="shared" ref="D129:K129" si="132">D8</f>
        <v>8641.6</v>
      </c>
      <c r="E129" s="274">
        <f t="shared" si="132"/>
        <v>9917.7179999999989</v>
      </c>
      <c r="F129" s="274">
        <f t="shared" si="132"/>
        <v>10459.6</v>
      </c>
      <c r="G129" s="274">
        <f t="shared" si="132"/>
        <v>10333.613000000001</v>
      </c>
      <c r="H129" s="274">
        <f t="shared" si="132"/>
        <v>10680</v>
      </c>
      <c r="I129" s="274">
        <f t="shared" si="132"/>
        <v>11358</v>
      </c>
      <c r="J129" s="274">
        <f t="shared" si="132"/>
        <v>11625</v>
      </c>
      <c r="K129" s="274">
        <f t="shared" si="132"/>
        <v>12290</v>
      </c>
      <c r="L129" s="274">
        <f t="shared" ref="L129:Q129" si="133">L127-L131</f>
        <v>12086</v>
      </c>
      <c r="M129" s="274">
        <f t="shared" si="133"/>
        <v>12098</v>
      </c>
      <c r="N129" s="274">
        <f t="shared" si="133"/>
        <v>12264</v>
      </c>
      <c r="O129" s="274">
        <f t="shared" si="133"/>
        <v>11945</v>
      </c>
      <c r="P129" s="274">
        <f t="shared" si="133"/>
        <v>12176</v>
      </c>
      <c r="Q129" s="274">
        <f t="shared" si="133"/>
        <v>11976.401156960001</v>
      </c>
      <c r="R129" s="274">
        <f>R127-R131</f>
        <v>11851.796935245982</v>
      </c>
      <c r="S129" s="274">
        <f>S127-S131</f>
        <v>11701.370283167413</v>
      </c>
      <c r="T129" s="274">
        <f>T127-T131</f>
        <v>11556.381782663553</v>
      </c>
      <c r="U129" s="14"/>
      <c r="V129" s="7"/>
      <c r="W129" s="7"/>
      <c r="X129" s="7"/>
      <c r="Y129" s="7"/>
      <c r="Z129" s="7"/>
      <c r="AA129" s="7"/>
    </row>
    <row r="130" spans="1:27" hidden="1" outlineLevel="1" x14ac:dyDescent="0.2">
      <c r="A130" s="2"/>
      <c r="B130" s="7"/>
      <c r="C130" s="275"/>
      <c r="D130" s="275"/>
      <c r="E130" s="275"/>
      <c r="F130" s="275"/>
      <c r="G130" s="275"/>
      <c r="H130" s="275"/>
      <c r="I130" s="275"/>
      <c r="J130" s="275"/>
      <c r="K130" s="275"/>
      <c r="L130" s="275"/>
      <c r="M130" s="275"/>
      <c r="U130" s="14"/>
      <c r="V130" s="7"/>
      <c r="W130" s="7"/>
      <c r="X130" s="7"/>
      <c r="Y130" s="7"/>
      <c r="Z130" s="7"/>
      <c r="AA130" s="7"/>
    </row>
    <row r="131" spans="1:27" hidden="1" outlineLevel="1" x14ac:dyDescent="0.2">
      <c r="A131" s="2" t="s">
        <v>178</v>
      </c>
      <c r="B131" s="7"/>
      <c r="C131" s="274">
        <f t="shared" ref="C131:J131" si="134">C127-C129</f>
        <v>4113.6750000000011</v>
      </c>
      <c r="D131" s="274">
        <f t="shared" si="134"/>
        <v>4760.5999999999985</v>
      </c>
      <c r="E131" s="274">
        <f t="shared" si="134"/>
        <v>5667.5830000000024</v>
      </c>
      <c r="F131" s="274">
        <f t="shared" si="134"/>
        <v>6014.1</v>
      </c>
      <c r="G131" s="274">
        <f t="shared" si="134"/>
        <v>6054.7849999999999</v>
      </c>
      <c r="H131" s="274">
        <f t="shared" si="134"/>
        <v>6498</v>
      </c>
      <c r="I131" s="274">
        <f t="shared" si="134"/>
        <v>7033</v>
      </c>
      <c r="J131" s="274">
        <f t="shared" si="134"/>
        <v>7179</v>
      </c>
      <c r="K131" s="274">
        <f>K127-K129</f>
        <v>6990</v>
      </c>
      <c r="L131" s="274">
        <f t="shared" ref="L131:Q131" si="135">L127*L153</f>
        <v>6945</v>
      </c>
      <c r="M131" s="274">
        <f t="shared" si="135"/>
        <v>6925</v>
      </c>
      <c r="N131" s="274">
        <f t="shared" si="135"/>
        <v>6940</v>
      </c>
      <c r="O131" s="274">
        <f t="shared" si="135"/>
        <v>6741</v>
      </c>
      <c r="P131" s="274">
        <f t="shared" si="135"/>
        <v>6919</v>
      </c>
      <c r="Q131" s="274">
        <f t="shared" si="135"/>
        <v>6808.6380430399986</v>
      </c>
      <c r="R131" s="274">
        <f>R127*R153</f>
        <v>6659.4057382693954</v>
      </c>
      <c r="S131" s="274">
        <f>S127*S153</f>
        <v>6532.1643502452353</v>
      </c>
      <c r="T131" s="274">
        <f>T127*T153</f>
        <v>6403.6498312479052</v>
      </c>
      <c r="U131" s="14"/>
      <c r="V131" s="7"/>
      <c r="W131" s="7"/>
      <c r="X131" s="7"/>
      <c r="Y131" s="7"/>
      <c r="Z131" s="7"/>
      <c r="AA131" s="7"/>
    </row>
    <row r="132" spans="1:27" hidden="1" outlineLevel="1" x14ac:dyDescent="0.2">
      <c r="A132" s="2" t="s">
        <v>179</v>
      </c>
      <c r="B132" s="7"/>
      <c r="C132" s="275">
        <f>C11</f>
        <v>2632.0819999999999</v>
      </c>
      <c r="D132" s="275">
        <f t="shared" ref="D132:K132" si="136">D11</f>
        <v>3008</v>
      </c>
      <c r="E132" s="275">
        <f t="shared" si="136"/>
        <v>3465.1119999999996</v>
      </c>
      <c r="F132" s="275">
        <f t="shared" si="136"/>
        <v>3757.4</v>
      </c>
      <c r="G132" s="275">
        <f t="shared" si="136"/>
        <v>3977.3209999999999</v>
      </c>
      <c r="H132" s="275">
        <f t="shared" si="136"/>
        <v>3951</v>
      </c>
      <c r="I132" s="275">
        <f t="shared" si="136"/>
        <v>4188</v>
      </c>
      <c r="J132" s="275">
        <f t="shared" si="136"/>
        <v>4243</v>
      </c>
      <c r="K132" s="275">
        <f t="shared" si="136"/>
        <v>4266</v>
      </c>
      <c r="L132" s="275">
        <f t="shared" ref="L132:Q132" si="137">L127*L157</f>
        <v>4312</v>
      </c>
      <c r="M132" s="275">
        <f t="shared" si="137"/>
        <v>4350</v>
      </c>
      <c r="N132" s="275">
        <f t="shared" si="137"/>
        <v>4452</v>
      </c>
      <c r="O132" s="275">
        <f t="shared" si="137"/>
        <v>4434</v>
      </c>
      <c r="P132" s="275">
        <f t="shared" si="137"/>
        <v>4512</v>
      </c>
      <c r="Q132" s="275">
        <f t="shared" si="137"/>
        <v>4511.8289999999997</v>
      </c>
      <c r="R132" s="275">
        <f>R127*R157</f>
        <v>4520.4356928724555</v>
      </c>
      <c r="S132" s="275">
        <f>S127*S157</f>
        <v>4485.4495198195109</v>
      </c>
      <c r="T132" s="275">
        <f>T127*T157</f>
        <v>4454.0878402500421</v>
      </c>
      <c r="U132" s="14"/>
      <c r="V132" s="7"/>
      <c r="W132" s="7"/>
      <c r="X132" s="7"/>
      <c r="Y132" s="7"/>
      <c r="Z132" s="7"/>
      <c r="AA132" s="7"/>
    </row>
    <row r="133" spans="1:27" hidden="1" outlineLevel="1" x14ac:dyDescent="0.2">
      <c r="A133" s="275" t="s">
        <v>476</v>
      </c>
      <c r="B133" s="7"/>
      <c r="C133" s="275">
        <f>C12</f>
        <v>288.13799999999998</v>
      </c>
      <c r="D133" s="275">
        <f t="shared" ref="D133:P133" si="138">D12</f>
        <v>338.9</v>
      </c>
      <c r="E133" s="275">
        <f t="shared" si="138"/>
        <v>387.82499999999999</v>
      </c>
      <c r="F133" s="275">
        <f t="shared" si="138"/>
        <v>452.279</v>
      </c>
      <c r="G133" s="275">
        <f t="shared" si="138"/>
        <v>541.149</v>
      </c>
      <c r="H133" s="275">
        <f t="shared" si="138"/>
        <v>688</v>
      </c>
      <c r="I133" s="275">
        <f t="shared" si="138"/>
        <v>752</v>
      </c>
      <c r="J133" s="275">
        <f t="shared" si="138"/>
        <v>777</v>
      </c>
      <c r="K133" s="275">
        <f t="shared" si="138"/>
        <v>835</v>
      </c>
      <c r="L133" s="275">
        <f t="shared" si="138"/>
        <v>891</v>
      </c>
      <c r="M133" s="275">
        <f t="shared" si="138"/>
        <v>886</v>
      </c>
      <c r="N133" s="275">
        <f t="shared" si="138"/>
        <v>935</v>
      </c>
      <c r="O133" s="275">
        <f t="shared" si="138"/>
        <v>939</v>
      </c>
      <c r="P133" s="275">
        <f t="shared" si="138"/>
        <v>991</v>
      </c>
      <c r="Q133" s="275">
        <f>Q12</f>
        <v>960</v>
      </c>
      <c r="R133" s="275">
        <f>R12</f>
        <v>965</v>
      </c>
      <c r="S133" s="275">
        <f>S12</f>
        <v>970</v>
      </c>
      <c r="T133" s="275">
        <f>T12</f>
        <v>975</v>
      </c>
      <c r="U133" s="14"/>
      <c r="V133" s="7"/>
      <c r="W133" s="7"/>
      <c r="X133" s="7"/>
      <c r="Y133" s="7"/>
      <c r="Z133" s="7"/>
      <c r="AA133" s="7"/>
    </row>
    <row r="134" spans="1:27" hidden="1" outlineLevel="1" x14ac:dyDescent="0.2">
      <c r="A134" s="3" t="s">
        <v>180</v>
      </c>
      <c r="B134" s="7"/>
      <c r="C134" s="274">
        <f>C131-C132-C133</f>
        <v>1193.4550000000013</v>
      </c>
      <c r="D134" s="274">
        <f t="shared" ref="D134:P134" si="139">D131-D132-D133</f>
        <v>1413.6999999999985</v>
      </c>
      <c r="E134" s="274">
        <f t="shared" si="139"/>
        <v>1814.6460000000027</v>
      </c>
      <c r="F134" s="274">
        <f t="shared" si="139"/>
        <v>1804.4210000000003</v>
      </c>
      <c r="G134" s="274">
        <f t="shared" si="139"/>
        <v>1536.3150000000001</v>
      </c>
      <c r="H134" s="274">
        <f t="shared" si="139"/>
        <v>1859</v>
      </c>
      <c r="I134" s="274">
        <f t="shared" si="139"/>
        <v>2093</v>
      </c>
      <c r="J134" s="274">
        <f t="shared" si="139"/>
        <v>2159</v>
      </c>
      <c r="K134" s="274">
        <f t="shared" si="139"/>
        <v>1889</v>
      </c>
      <c r="L134" s="274">
        <f t="shared" si="139"/>
        <v>1742</v>
      </c>
      <c r="M134" s="274">
        <f t="shared" si="139"/>
        <v>1689</v>
      </c>
      <c r="N134" s="274">
        <f t="shared" si="139"/>
        <v>1553</v>
      </c>
      <c r="O134" s="274">
        <f t="shared" si="139"/>
        <v>1368</v>
      </c>
      <c r="P134" s="274">
        <f t="shared" si="139"/>
        <v>1416</v>
      </c>
      <c r="Q134" s="274">
        <f>Q131-Q132-Q133</f>
        <v>1336.8090430399989</v>
      </c>
      <c r="R134" s="274">
        <f>R131-R132-R133</f>
        <v>1173.9700453969399</v>
      </c>
      <c r="S134" s="274">
        <f>S131-S132-S133</f>
        <v>1076.7148304257244</v>
      </c>
      <c r="T134" s="274">
        <f>T131-T132-T133</f>
        <v>974.56199099786318</v>
      </c>
      <c r="U134" s="14"/>
      <c r="V134" s="7"/>
      <c r="W134" s="7"/>
      <c r="X134" s="7"/>
      <c r="Y134" s="7"/>
      <c r="Z134" s="7"/>
      <c r="AA134" s="7"/>
    </row>
    <row r="135" spans="1:27" hidden="1" outlineLevel="1" x14ac:dyDescent="0.2">
      <c r="A135" s="2"/>
      <c r="B135" s="7"/>
      <c r="C135" s="275"/>
      <c r="D135" s="275"/>
      <c r="E135" s="275"/>
      <c r="F135" s="275"/>
      <c r="G135" s="275"/>
      <c r="H135" s="275"/>
      <c r="I135" s="275"/>
      <c r="J135" s="275"/>
      <c r="K135" s="275"/>
      <c r="L135" s="275"/>
      <c r="M135" s="275"/>
      <c r="U135" s="14"/>
      <c r="V135" s="7"/>
      <c r="W135" s="7"/>
      <c r="X135" s="7"/>
      <c r="Y135" s="7"/>
      <c r="Z135" s="7"/>
      <c r="AA135" s="7"/>
    </row>
    <row r="136" spans="1:27" hidden="1" outlineLevel="1" x14ac:dyDescent="0.2">
      <c r="A136" s="2" t="s">
        <v>530</v>
      </c>
      <c r="B136" s="7"/>
      <c r="C136" s="275">
        <f>C15</f>
        <v>62.470999999999997</v>
      </c>
      <c r="D136" s="275">
        <f t="shared" ref="D136:P136" si="140">D15</f>
        <v>70.3</v>
      </c>
      <c r="E136" s="275">
        <f t="shared" si="140"/>
        <v>40.408500000000004</v>
      </c>
      <c r="F136" s="275">
        <f t="shared" si="140"/>
        <v>62.4</v>
      </c>
      <c r="G136" s="275">
        <f t="shared" si="140"/>
        <v>111.456</v>
      </c>
      <c r="H136" s="275">
        <f t="shared" si="140"/>
        <v>301</v>
      </c>
      <c r="I136" s="275">
        <f t="shared" si="140"/>
        <v>305</v>
      </c>
      <c r="J136" s="275">
        <f t="shared" si="140"/>
        <v>299</v>
      </c>
      <c r="K136" s="275">
        <f>K15</f>
        <v>328.5</v>
      </c>
      <c r="L136" s="275">
        <f t="shared" si="140"/>
        <v>338</v>
      </c>
      <c r="M136" s="275">
        <f t="shared" si="140"/>
        <v>340</v>
      </c>
      <c r="N136" s="275">
        <f t="shared" si="140"/>
        <v>328</v>
      </c>
      <c r="O136" s="275">
        <f t="shared" si="140"/>
        <v>308</v>
      </c>
      <c r="P136" s="275">
        <f t="shared" si="140"/>
        <v>299</v>
      </c>
      <c r="Q136" s="275">
        <f>Q15</f>
        <v>280</v>
      </c>
      <c r="R136" s="275">
        <f>R15</f>
        <v>280</v>
      </c>
      <c r="S136" s="275">
        <f>S15</f>
        <v>280</v>
      </c>
      <c r="T136" s="275">
        <f>T15</f>
        <v>280</v>
      </c>
      <c r="U136" s="14"/>
      <c r="V136" s="7"/>
      <c r="W136" s="7"/>
      <c r="X136" s="7"/>
      <c r="Y136" s="7"/>
      <c r="Z136" s="7"/>
      <c r="AA136" s="7"/>
    </row>
    <row r="137" spans="1:27" hidden="1" outlineLevel="1" x14ac:dyDescent="0.2">
      <c r="A137" s="3" t="s">
        <v>181</v>
      </c>
      <c r="B137" s="7"/>
      <c r="C137" s="274">
        <f>C134-C136</f>
        <v>1130.9840000000013</v>
      </c>
      <c r="D137" s="274">
        <f>D134-D136</f>
        <v>1343.3999999999985</v>
      </c>
      <c r="E137" s="274">
        <f>E134-E136</f>
        <v>1774.2375000000027</v>
      </c>
      <c r="F137" s="274">
        <f>F134-F136</f>
        <v>1742.0210000000002</v>
      </c>
      <c r="G137" s="274">
        <f>G134-G136</f>
        <v>1424.8590000000002</v>
      </c>
      <c r="H137" s="274">
        <f t="shared" ref="H137:P137" si="141">H134-H136</f>
        <v>1558</v>
      </c>
      <c r="I137" s="274">
        <f t="shared" si="141"/>
        <v>1788</v>
      </c>
      <c r="J137" s="274">
        <f t="shared" si="141"/>
        <v>1860</v>
      </c>
      <c r="K137" s="274">
        <f t="shared" si="141"/>
        <v>1560.5</v>
      </c>
      <c r="L137" s="274">
        <f t="shared" si="141"/>
        <v>1404</v>
      </c>
      <c r="M137" s="274">
        <f t="shared" si="141"/>
        <v>1349</v>
      </c>
      <c r="N137" s="274">
        <f t="shared" si="141"/>
        <v>1225</v>
      </c>
      <c r="O137" s="274">
        <f t="shared" si="141"/>
        <v>1060</v>
      </c>
      <c r="P137" s="274">
        <f t="shared" si="141"/>
        <v>1117</v>
      </c>
      <c r="Q137" s="274">
        <f>Q134-Q136</f>
        <v>1056.8090430399989</v>
      </c>
      <c r="R137" s="274">
        <f>R134-R136</f>
        <v>893.97004539693989</v>
      </c>
      <c r="S137" s="274">
        <f>S134-S136</f>
        <v>796.71483042572436</v>
      </c>
      <c r="T137" s="274">
        <f>T134-T136</f>
        <v>694.56199099786318</v>
      </c>
      <c r="U137" s="14"/>
      <c r="V137" s="7"/>
      <c r="W137" s="7"/>
      <c r="X137" s="7"/>
      <c r="Y137" s="7"/>
      <c r="Z137" s="7"/>
      <c r="AA137" s="7"/>
    </row>
    <row r="138" spans="1:27" hidden="1" outlineLevel="1" x14ac:dyDescent="0.2">
      <c r="A138" s="2"/>
      <c r="B138" s="7"/>
      <c r="C138" s="275"/>
      <c r="D138" s="275"/>
      <c r="E138" s="275"/>
      <c r="F138" s="275"/>
      <c r="G138" s="275"/>
      <c r="H138" s="275"/>
      <c r="I138" s="275"/>
      <c r="J138" s="275"/>
      <c r="K138" s="275"/>
      <c r="L138" s="275"/>
      <c r="M138" s="275"/>
      <c r="U138" s="14"/>
      <c r="V138" s="7"/>
      <c r="W138" s="7"/>
      <c r="X138" s="7"/>
      <c r="Y138" s="7"/>
      <c r="Z138" s="7"/>
      <c r="AA138" s="7"/>
    </row>
    <row r="139" spans="1:27" hidden="1" outlineLevel="1" x14ac:dyDescent="0.2">
      <c r="A139" s="2" t="s">
        <v>182</v>
      </c>
      <c r="B139" s="7"/>
      <c r="C139" s="275">
        <f>C18</f>
        <v>427.47111200000012</v>
      </c>
      <c r="D139" s="275">
        <f t="shared" ref="D139:J139" si="142">D18</f>
        <v>511.77803390083386</v>
      </c>
      <c r="E139" s="275">
        <f t="shared" si="142"/>
        <v>665.6397244599957</v>
      </c>
      <c r="F139" s="275">
        <f t="shared" si="142"/>
        <v>658.19999999999993</v>
      </c>
      <c r="G139" s="275">
        <f t="shared" si="142"/>
        <v>539.73199999999997</v>
      </c>
      <c r="H139" s="275">
        <f t="shared" si="142"/>
        <v>585</v>
      </c>
      <c r="I139" s="275">
        <f t="shared" si="142"/>
        <v>668</v>
      </c>
      <c r="J139" s="275">
        <f t="shared" si="142"/>
        <v>693</v>
      </c>
      <c r="K139" s="275">
        <f>K18</f>
        <v>575</v>
      </c>
      <c r="L139" s="275">
        <f t="shared" ref="L139:Q139" si="143">L137*L162</f>
        <v>515</v>
      </c>
      <c r="M139" s="275">
        <f t="shared" si="143"/>
        <v>481.99999999999994</v>
      </c>
      <c r="N139" s="275">
        <f t="shared" si="143"/>
        <v>442.84</v>
      </c>
      <c r="O139" s="275">
        <f t="shared" si="143"/>
        <v>386.86</v>
      </c>
      <c r="P139" s="275">
        <f t="shared" si="143"/>
        <v>400</v>
      </c>
      <c r="Q139" s="275">
        <f t="shared" si="143"/>
        <v>258.91821554479998</v>
      </c>
      <c r="R139" s="275">
        <f>R137*R162</f>
        <v>219.0226611222505</v>
      </c>
      <c r="S139" s="275">
        <f>S137*S162</f>
        <v>195.19513345430266</v>
      </c>
      <c r="T139" s="275">
        <f>T137*T162</f>
        <v>170.16768779447665</v>
      </c>
      <c r="U139" s="14"/>
      <c r="V139" s="7"/>
      <c r="W139" s="7"/>
      <c r="X139" s="7"/>
      <c r="Y139" s="7"/>
      <c r="Z139" s="7"/>
      <c r="AA139" s="7"/>
    </row>
    <row r="140" spans="1:27" hidden="1" outlineLevel="1" x14ac:dyDescent="0.2">
      <c r="A140" s="2"/>
      <c r="B140" s="7"/>
      <c r="C140" s="275"/>
      <c r="D140" s="275"/>
      <c r="E140" s="275"/>
      <c r="F140" s="275"/>
      <c r="G140" s="275"/>
      <c r="H140" s="275"/>
      <c r="I140" s="275"/>
      <c r="J140" s="275"/>
      <c r="K140" s="275"/>
      <c r="L140" s="275"/>
      <c r="M140" s="275"/>
      <c r="U140" s="14"/>
      <c r="V140" s="7"/>
      <c r="W140" s="7"/>
      <c r="X140" s="7"/>
      <c r="Y140" s="7"/>
      <c r="Z140" s="7"/>
      <c r="AA140" s="7"/>
    </row>
    <row r="141" spans="1:27" hidden="1" outlineLevel="1" x14ac:dyDescent="0.2">
      <c r="A141" s="2"/>
      <c r="B141" s="7"/>
      <c r="C141" s="275"/>
      <c r="D141" s="275"/>
      <c r="E141" s="275"/>
      <c r="F141" s="275"/>
      <c r="G141" s="275"/>
      <c r="H141" s="275"/>
      <c r="I141" s="275"/>
      <c r="J141" s="275"/>
      <c r="K141" s="275"/>
      <c r="L141" s="275"/>
      <c r="M141" s="275"/>
      <c r="U141" s="14"/>
      <c r="V141" s="7"/>
      <c r="W141" s="7"/>
      <c r="X141" s="7"/>
      <c r="Y141" s="7"/>
      <c r="Z141" s="7"/>
      <c r="AA141" s="7"/>
    </row>
    <row r="142" spans="1:27" hidden="1" outlineLevel="1" x14ac:dyDescent="0.2">
      <c r="A142" s="2" t="s">
        <v>183</v>
      </c>
      <c r="B142" s="7"/>
      <c r="C142" s="274">
        <f t="shared" ref="C142:P142" si="144">C137-C139</f>
        <v>703.51288800000111</v>
      </c>
      <c r="D142" s="274">
        <f t="shared" si="144"/>
        <v>831.62196609916464</v>
      </c>
      <c r="E142" s="274">
        <f t="shared" si="144"/>
        <v>1108.597775540007</v>
      </c>
      <c r="F142" s="274">
        <f t="shared" si="144"/>
        <v>1083.8210000000004</v>
      </c>
      <c r="G142" s="274">
        <f t="shared" si="144"/>
        <v>885.12700000000018</v>
      </c>
      <c r="H142" s="274">
        <f t="shared" si="144"/>
        <v>973</v>
      </c>
      <c r="I142" s="274">
        <f t="shared" si="144"/>
        <v>1120</v>
      </c>
      <c r="J142" s="274">
        <f t="shared" si="144"/>
        <v>1167</v>
      </c>
      <c r="K142" s="274">
        <f>K137-K139</f>
        <v>985.5</v>
      </c>
      <c r="L142" s="274">
        <f t="shared" si="144"/>
        <v>889</v>
      </c>
      <c r="M142" s="274">
        <f t="shared" si="144"/>
        <v>867</v>
      </c>
      <c r="N142" s="274">
        <f t="shared" si="144"/>
        <v>782.16000000000008</v>
      </c>
      <c r="O142" s="274">
        <f t="shared" si="144"/>
        <v>673.14</v>
      </c>
      <c r="P142" s="274">
        <f t="shared" si="144"/>
        <v>717</v>
      </c>
      <c r="Q142" s="274">
        <f>Q137-Q139</f>
        <v>797.89082749519889</v>
      </c>
      <c r="R142" s="274">
        <f>R137-R139</f>
        <v>674.9473842746894</v>
      </c>
      <c r="S142" s="274">
        <f>S137-S139</f>
        <v>601.51969697142169</v>
      </c>
      <c r="T142" s="274">
        <f>T137-T139</f>
        <v>524.39430320338647</v>
      </c>
      <c r="U142" s="14"/>
      <c r="V142" s="7"/>
      <c r="W142" s="7"/>
      <c r="X142" s="7"/>
      <c r="Y142" s="7"/>
      <c r="Z142" s="7"/>
      <c r="AA142" s="7"/>
    </row>
    <row r="143" spans="1:27" hidden="1" outlineLevel="1" x14ac:dyDescent="0.2">
      <c r="A143" s="2"/>
      <c r="B143" s="7"/>
      <c r="U143" s="14"/>
      <c r="V143" s="7"/>
      <c r="W143" s="7"/>
      <c r="X143" s="7"/>
      <c r="Y143" s="7"/>
      <c r="Z143" s="7"/>
      <c r="AA143" s="7"/>
    </row>
    <row r="144" spans="1:27" hidden="1" outlineLevel="1" x14ac:dyDescent="0.2">
      <c r="A144" s="13" t="s">
        <v>187</v>
      </c>
      <c r="B144" s="7"/>
      <c r="C144" s="269">
        <f t="shared" ref="C144:P144" si="145">C142/C145</f>
        <v>2.0411986360342604</v>
      </c>
      <c r="D144" s="269">
        <f t="shared" si="145"/>
        <v>2.3999387220841761</v>
      </c>
      <c r="E144" s="269">
        <f t="shared" si="145"/>
        <v>3.3115107806231929</v>
      </c>
      <c r="F144" s="269">
        <f t="shared" si="145"/>
        <v>3.3850550435577689</v>
      </c>
      <c r="G144" s="269">
        <f t="shared" si="145"/>
        <v>2.8866994431263202</v>
      </c>
      <c r="H144" s="269">
        <f t="shared" si="145"/>
        <v>3.1797385620915031</v>
      </c>
      <c r="I144" s="269">
        <f t="shared" si="145"/>
        <v>3.6601307189542482</v>
      </c>
      <c r="J144" s="269">
        <f t="shared" si="145"/>
        <v>4.3062730627306269</v>
      </c>
      <c r="K144" s="269">
        <f t="shared" si="145"/>
        <v>4.1599831152384974</v>
      </c>
      <c r="L144" s="269">
        <f t="shared" si="145"/>
        <v>4.0501138952164011</v>
      </c>
      <c r="M144" s="269">
        <f t="shared" si="145"/>
        <v>4.2416829745596871</v>
      </c>
      <c r="N144" s="269">
        <f t="shared" si="145"/>
        <v>4.0110769230769234</v>
      </c>
      <c r="O144" s="269">
        <f t="shared" si="145"/>
        <v>3.7605586592178768</v>
      </c>
      <c r="P144" s="269">
        <f t="shared" si="145"/>
        <v>4.2678571428571432</v>
      </c>
      <c r="Q144" s="269">
        <f>Q142/Q145</f>
        <v>4.8241289482012268</v>
      </c>
      <c r="R144" s="269">
        <f>R142/R145</f>
        <v>4.1468526018412808</v>
      </c>
      <c r="S144" s="269">
        <f>S142/S145</f>
        <v>3.8022554770850068</v>
      </c>
      <c r="T144" s="269">
        <f>T142/T145</f>
        <v>3.4467844154287071</v>
      </c>
      <c r="U144" s="14"/>
      <c r="V144" s="7"/>
      <c r="W144" s="7"/>
      <c r="X144" s="7"/>
      <c r="Y144" s="7"/>
      <c r="Z144" s="7"/>
      <c r="AA144" s="7"/>
    </row>
    <row r="145" spans="1:27" hidden="1" outlineLevel="1" x14ac:dyDescent="0.2">
      <c r="A145" s="2" t="s">
        <v>185</v>
      </c>
      <c r="B145" s="7"/>
      <c r="C145" s="275">
        <f>C24</f>
        <v>344.65674999999999</v>
      </c>
      <c r="D145" s="275">
        <f t="shared" ref="D145:J145" si="146">D24</f>
        <v>346.51800000000003</v>
      </c>
      <c r="E145" s="275">
        <f t="shared" si="146"/>
        <v>334.77100000000002</v>
      </c>
      <c r="F145" s="275">
        <f t="shared" si="146"/>
        <v>320.17825000000005</v>
      </c>
      <c r="G145" s="275">
        <f t="shared" si="146"/>
        <v>306.6225</v>
      </c>
      <c r="H145" s="275">
        <f t="shared" si="146"/>
        <v>306</v>
      </c>
      <c r="I145" s="275">
        <f t="shared" si="146"/>
        <v>306</v>
      </c>
      <c r="J145" s="275">
        <f t="shared" si="146"/>
        <v>271</v>
      </c>
      <c r="K145" s="275">
        <f>K24</f>
        <v>236.9</v>
      </c>
      <c r="L145" s="283">
        <f t="shared" ref="L145:Q145" si="147">INDEX(L146:L148,MATCH($Y$150,$AA$150:$AA$152,0))</f>
        <v>219.5</v>
      </c>
      <c r="M145" s="283">
        <f t="shared" si="147"/>
        <v>204.4</v>
      </c>
      <c r="N145" s="283">
        <f t="shared" si="147"/>
        <v>195</v>
      </c>
      <c r="O145" s="283">
        <f t="shared" si="147"/>
        <v>179</v>
      </c>
      <c r="P145" s="283">
        <f t="shared" si="147"/>
        <v>168</v>
      </c>
      <c r="Q145" s="283">
        <f t="shared" si="147"/>
        <v>165.39583333333337</v>
      </c>
      <c r="R145" s="283">
        <f>INDEX(R146:R148,MATCH($Y$150,$AA$150:$AA$152,0))</f>
        <v>162.76136363636365</v>
      </c>
      <c r="S145" s="283">
        <f>INDEX(S146:S148,MATCH($Y$150,$AA$150:$AA$152,0))</f>
        <v>158.20075757575759</v>
      </c>
      <c r="T145" s="283">
        <f>INDEX(T146:T148,MATCH($Y$150,$AA$150:$AA$152,0))</f>
        <v>152.14015151515153</v>
      </c>
      <c r="U145" s="14"/>
      <c r="V145" s="7"/>
      <c r="W145" s="7"/>
      <c r="X145" s="7"/>
      <c r="Y145" s="7"/>
      <c r="Z145" s="7"/>
      <c r="AA145" s="7"/>
    </row>
    <row r="146" spans="1:27" hidden="1" outlineLevel="2" x14ac:dyDescent="0.2">
      <c r="A146" s="3" t="s">
        <v>475</v>
      </c>
      <c r="B146" s="7"/>
      <c r="C146" s="275"/>
      <c r="D146" s="275"/>
      <c r="E146" s="275"/>
      <c r="F146" s="275"/>
      <c r="G146" s="275"/>
      <c r="H146" s="275"/>
      <c r="I146" s="275"/>
      <c r="J146" s="275"/>
      <c r="K146" s="275"/>
      <c r="L146" s="283">
        <f t="shared" ref="L146:Q146" si="148">L63</f>
        <v>219.5</v>
      </c>
      <c r="M146" s="283">
        <f t="shared" si="148"/>
        <v>204.4</v>
      </c>
      <c r="N146" s="283">
        <f t="shared" si="148"/>
        <v>195</v>
      </c>
      <c r="O146" s="283">
        <f t="shared" si="148"/>
        <v>179</v>
      </c>
      <c r="P146" s="283">
        <f t="shared" si="148"/>
        <v>167.5</v>
      </c>
      <c r="Q146" s="283">
        <f t="shared" si="148"/>
        <v>164.89583333333337</v>
      </c>
      <c r="R146" s="283">
        <f>R63</f>
        <v>162.26136363636365</v>
      </c>
      <c r="S146" s="283">
        <f>S63</f>
        <v>157.70075757575759</v>
      </c>
      <c r="T146" s="283">
        <f>T63</f>
        <v>151.64015151515153</v>
      </c>
      <c r="U146" s="14"/>
      <c r="V146" s="7"/>
      <c r="W146" s="7"/>
      <c r="X146" s="7"/>
      <c r="Y146" s="7"/>
      <c r="Z146" s="7"/>
      <c r="AA146" s="7"/>
    </row>
    <row r="147" spans="1:27" hidden="1" outlineLevel="2" x14ac:dyDescent="0.2">
      <c r="A147" s="3" t="s">
        <v>537</v>
      </c>
      <c r="B147" s="7"/>
      <c r="C147" s="275"/>
      <c r="D147" s="275"/>
      <c r="E147" s="275"/>
      <c r="F147" s="275"/>
      <c r="G147" s="275"/>
      <c r="H147" s="275"/>
      <c r="I147" s="275"/>
      <c r="J147" s="275"/>
      <c r="K147" s="275"/>
      <c r="L147" s="283">
        <f t="shared" ref="L147:Q147" si="149">L24</f>
        <v>219.5</v>
      </c>
      <c r="M147" s="283">
        <f t="shared" si="149"/>
        <v>204.4</v>
      </c>
      <c r="N147" s="283">
        <f t="shared" si="149"/>
        <v>195</v>
      </c>
      <c r="O147" s="283">
        <f t="shared" si="149"/>
        <v>179</v>
      </c>
      <c r="P147" s="283">
        <f t="shared" si="149"/>
        <v>168</v>
      </c>
      <c r="Q147" s="283">
        <f t="shared" si="149"/>
        <v>165.39583333333337</v>
      </c>
      <c r="R147" s="283">
        <f>R24</f>
        <v>162.76136363636365</v>
      </c>
      <c r="S147" s="283">
        <f>S24</f>
        <v>158.20075757575759</v>
      </c>
      <c r="T147" s="283">
        <f>T24</f>
        <v>152.14015151515153</v>
      </c>
      <c r="U147" s="14"/>
      <c r="V147" s="7"/>
      <c r="W147" s="7"/>
      <c r="X147" s="7"/>
      <c r="Y147" s="7"/>
      <c r="Z147" s="7"/>
      <c r="AA147" s="7"/>
    </row>
    <row r="148" spans="1:27" hidden="1" outlineLevel="2" x14ac:dyDescent="0.2">
      <c r="A148" s="3" t="s">
        <v>472</v>
      </c>
      <c r="B148" s="7"/>
      <c r="C148" s="275"/>
      <c r="D148" s="275"/>
      <c r="E148" s="275"/>
      <c r="F148" s="275"/>
      <c r="G148" s="275"/>
      <c r="H148" s="275"/>
      <c r="I148" s="275"/>
      <c r="J148" s="275"/>
      <c r="K148" s="275"/>
      <c r="L148" s="283">
        <f t="shared" ref="L148:Q148" si="150">L104</f>
        <v>219.5</v>
      </c>
      <c r="M148" s="283">
        <f t="shared" si="150"/>
        <v>204.4</v>
      </c>
      <c r="N148" s="283">
        <f t="shared" si="150"/>
        <v>195</v>
      </c>
      <c r="O148" s="283">
        <f t="shared" si="150"/>
        <v>179</v>
      </c>
      <c r="P148" s="283">
        <f t="shared" si="150"/>
        <v>170</v>
      </c>
      <c r="Q148" s="283">
        <f t="shared" si="150"/>
        <v>167.39583333333337</v>
      </c>
      <c r="R148" s="283">
        <f>R104</f>
        <v>164.96136363636364</v>
      </c>
      <c r="S148" s="283">
        <f>S104</f>
        <v>160.40075757575758</v>
      </c>
      <c r="T148" s="283">
        <f>T104</f>
        <v>154.34015151515152</v>
      </c>
      <c r="U148" s="14"/>
      <c r="V148" s="7"/>
      <c r="W148" s="7"/>
      <c r="X148" s="7"/>
      <c r="Y148" s="7"/>
      <c r="Z148" s="7"/>
      <c r="AA148" s="7"/>
    </row>
    <row r="149" spans="1:27" ht="13.5" hidden="1" outlineLevel="1" collapsed="1" thickBot="1" x14ac:dyDescent="0.25">
      <c r="A149" s="2"/>
      <c r="B149" s="7"/>
      <c r="L149" s="1"/>
      <c r="M149" s="1"/>
      <c r="N149" s="1"/>
      <c r="O149" s="1"/>
      <c r="P149" s="1"/>
      <c r="Q149" s="1"/>
      <c r="R149" s="1"/>
      <c r="S149" s="1"/>
      <c r="T149" s="1"/>
      <c r="U149" s="14"/>
      <c r="V149" s="7"/>
      <c r="W149" s="7"/>
      <c r="X149" s="7"/>
      <c r="Y149" s="7"/>
      <c r="Z149" s="7"/>
      <c r="AA149" s="7"/>
    </row>
    <row r="150" spans="1:27" ht="13.5" hidden="1" outlineLevel="1" thickBot="1" x14ac:dyDescent="0.25">
      <c r="A150" s="2" t="s">
        <v>190</v>
      </c>
      <c r="B150" s="7"/>
      <c r="C150" s="274">
        <f>C133+C134</f>
        <v>1481.5930000000012</v>
      </c>
      <c r="D150" s="274">
        <f t="shared" ref="D150:P150" si="151">D133+D134</f>
        <v>1752.5999999999985</v>
      </c>
      <c r="E150" s="274">
        <f t="shared" si="151"/>
        <v>2202.4710000000027</v>
      </c>
      <c r="F150" s="274">
        <f t="shared" si="151"/>
        <v>2256.7000000000003</v>
      </c>
      <c r="G150" s="274">
        <f t="shared" si="151"/>
        <v>2077.4639999999999</v>
      </c>
      <c r="H150" s="274">
        <f t="shared" si="151"/>
        <v>2547</v>
      </c>
      <c r="I150" s="274">
        <f t="shared" si="151"/>
        <v>2845</v>
      </c>
      <c r="J150" s="274">
        <f t="shared" si="151"/>
        <v>2936</v>
      </c>
      <c r="K150" s="274">
        <f t="shared" si="151"/>
        <v>2724</v>
      </c>
      <c r="L150" s="274">
        <f t="shared" si="151"/>
        <v>2633</v>
      </c>
      <c r="M150" s="274">
        <f t="shared" si="151"/>
        <v>2575</v>
      </c>
      <c r="N150" s="274">
        <f t="shared" si="151"/>
        <v>2488</v>
      </c>
      <c r="O150" s="274">
        <f t="shared" si="151"/>
        <v>2307</v>
      </c>
      <c r="P150" s="274">
        <f t="shared" si="151"/>
        <v>2407</v>
      </c>
      <c r="Q150" s="274">
        <f>Q133+Q134</f>
        <v>2296.8090430399989</v>
      </c>
      <c r="R150" s="274">
        <f>R133+R134</f>
        <v>2138.9700453969399</v>
      </c>
      <c r="S150" s="274">
        <f>S133+S134</f>
        <v>2046.7148304257244</v>
      </c>
      <c r="T150" s="274">
        <f>T133+T134</f>
        <v>1949.5619909978632</v>
      </c>
      <c r="U150" s="14"/>
      <c r="V150" s="7"/>
      <c r="W150" s="7"/>
      <c r="X150" s="284" t="s">
        <v>538</v>
      </c>
      <c r="Y150" s="285" t="str">
        <f>AA151</f>
        <v>Base</v>
      </c>
      <c r="Z150" s="7"/>
      <c r="AA150" s="286" t="s">
        <v>475</v>
      </c>
    </row>
    <row r="151" spans="1:27" hidden="1" outlineLevel="1" x14ac:dyDescent="0.2">
      <c r="A151" s="2"/>
      <c r="B151" s="7"/>
      <c r="L151" s="1"/>
      <c r="M151" s="1"/>
      <c r="N151" s="1"/>
      <c r="O151" s="1"/>
      <c r="P151" s="1"/>
      <c r="Q151" s="1"/>
      <c r="R151" s="1"/>
      <c r="S151" s="1"/>
      <c r="T151" s="1"/>
      <c r="U151" s="14"/>
      <c r="V151" s="7"/>
      <c r="W151" s="7"/>
      <c r="X151" s="7"/>
      <c r="Y151" s="7"/>
      <c r="Z151" s="7"/>
      <c r="AA151" s="286" t="s">
        <v>537</v>
      </c>
    </row>
    <row r="152" spans="1:27" hidden="1" outlineLevel="1" x14ac:dyDescent="0.2">
      <c r="A152" s="4" t="s">
        <v>191</v>
      </c>
      <c r="B152" s="7"/>
      <c r="L152" s="1"/>
      <c r="M152" s="1"/>
      <c r="N152" s="1"/>
      <c r="O152" s="1"/>
      <c r="P152" s="1"/>
      <c r="Q152" s="1"/>
      <c r="R152" s="1"/>
      <c r="S152" s="1"/>
      <c r="T152" s="1"/>
      <c r="U152" s="14"/>
      <c r="V152" s="7"/>
      <c r="W152" s="7"/>
      <c r="X152" s="7"/>
      <c r="Y152" s="7"/>
      <c r="Z152" s="7"/>
      <c r="AA152" s="287" t="s">
        <v>472</v>
      </c>
    </row>
    <row r="153" spans="1:27" hidden="1" outlineLevel="1" x14ac:dyDescent="0.2">
      <c r="A153" s="2" t="s">
        <v>192</v>
      </c>
      <c r="B153" s="7"/>
      <c r="C153" s="6">
        <f>C131/C127</f>
        <v>0.35157511943729869</v>
      </c>
      <c r="D153" s="6">
        <f t="shared" ref="D153:J153" si="152">D131/D127</f>
        <v>0.35521033860112511</v>
      </c>
      <c r="E153" s="6">
        <f t="shared" si="152"/>
        <v>0.36364924873764082</v>
      </c>
      <c r="F153" s="6">
        <f t="shared" si="152"/>
        <v>0.36507281302925271</v>
      </c>
      <c r="G153" s="6">
        <f t="shared" si="152"/>
        <v>0.36945557460832962</v>
      </c>
      <c r="H153" s="6">
        <f t="shared" si="152"/>
        <v>0.3782745371987426</v>
      </c>
      <c r="I153" s="6">
        <f t="shared" si="152"/>
        <v>0.38241531183731176</v>
      </c>
      <c r="J153" s="6">
        <f t="shared" si="152"/>
        <v>0.38178047223994893</v>
      </c>
      <c r="K153" s="6">
        <f>K131/K127</f>
        <v>0.362551867219917</v>
      </c>
      <c r="L153" s="15">
        <f t="shared" ref="L153:Q153" si="153">INDEX(L154:L156,MATCH($Y$150,$AA$150:$AA$152,0))</f>
        <v>0.36493090221218011</v>
      </c>
      <c r="M153" s="15">
        <f t="shared" si="153"/>
        <v>0.3640330126688745</v>
      </c>
      <c r="N153" s="15">
        <f t="shared" si="153"/>
        <v>0.3613830451989169</v>
      </c>
      <c r="O153" s="15">
        <f t="shared" si="153"/>
        <v>0.36075136465803276</v>
      </c>
      <c r="P153" s="15">
        <f t="shared" si="153"/>
        <v>0.36234616391725583</v>
      </c>
      <c r="Q153" s="15">
        <f t="shared" si="153"/>
        <v>0.36245003114180346</v>
      </c>
      <c r="R153" s="15">
        <f>INDEX(R154:R156,MATCH($Y$150,$AA$150:$AA$152,0))</f>
        <v>0.35975003114180359</v>
      </c>
      <c r="S153" s="15">
        <f>INDEX(S154:S156,MATCH($Y$150,$AA$150:$AA$152,0))</f>
        <v>0.35825003114180359</v>
      </c>
      <c r="T153" s="15">
        <f>INDEX(T154:T156,MATCH($Y$150,$AA$150:$AA$152,0))</f>
        <v>0.35655003114180345</v>
      </c>
      <c r="U153" s="14"/>
      <c r="V153" s="7"/>
      <c r="W153" s="7"/>
      <c r="X153" s="7"/>
      <c r="Y153" s="7"/>
      <c r="Z153" s="7"/>
      <c r="AA153" s="7"/>
    </row>
    <row r="154" spans="1:27" hidden="1" outlineLevel="2" x14ac:dyDescent="0.2">
      <c r="A154" s="3" t="s">
        <v>475</v>
      </c>
      <c r="B154" s="7"/>
      <c r="C154" s="6"/>
      <c r="D154" s="6"/>
      <c r="E154" s="6"/>
      <c r="F154" s="6"/>
      <c r="G154" s="6"/>
      <c r="H154" s="6"/>
      <c r="I154" s="6"/>
      <c r="J154" s="6"/>
      <c r="K154" s="6"/>
      <c r="L154" s="15">
        <f t="shared" ref="L154:Q154" si="154">L68</f>
        <v>0.36493090221218011</v>
      </c>
      <c r="M154" s="15">
        <f t="shared" si="154"/>
        <v>0.3640330126688745</v>
      </c>
      <c r="N154" s="15">
        <f t="shared" si="154"/>
        <v>0.3613830451989169</v>
      </c>
      <c r="O154" s="15">
        <f t="shared" si="154"/>
        <v>0.36075136465803276</v>
      </c>
      <c r="P154" s="15">
        <f t="shared" si="154"/>
        <v>0.36234616391725583</v>
      </c>
      <c r="Q154" s="15">
        <f t="shared" si="154"/>
        <v>0.36384616391725583</v>
      </c>
      <c r="R154" s="15">
        <f>R68</f>
        <v>0.36534616391725583</v>
      </c>
      <c r="S154" s="15">
        <f>S68</f>
        <v>0.36684616391725583</v>
      </c>
      <c r="T154" s="15">
        <f>T68</f>
        <v>0.36085003114180347</v>
      </c>
      <c r="U154" s="14"/>
      <c r="V154" s="7"/>
      <c r="W154" s="7"/>
      <c r="X154" s="7"/>
      <c r="Y154" s="7"/>
      <c r="Z154" s="7"/>
      <c r="AA154" s="7"/>
    </row>
    <row r="155" spans="1:27" hidden="1" outlineLevel="2" x14ac:dyDescent="0.2">
      <c r="A155" s="3" t="s">
        <v>537</v>
      </c>
      <c r="B155" s="7"/>
      <c r="C155" s="6"/>
      <c r="D155" s="6"/>
      <c r="E155" s="6"/>
      <c r="F155" s="6"/>
      <c r="G155" s="6"/>
      <c r="H155" s="6"/>
      <c r="I155" s="6"/>
      <c r="J155" s="6"/>
      <c r="K155" s="6"/>
      <c r="L155" s="15">
        <f t="shared" ref="L155:Q155" si="155">L29</f>
        <v>0.36493090221218011</v>
      </c>
      <c r="M155" s="15">
        <f t="shared" si="155"/>
        <v>0.3640330126688745</v>
      </c>
      <c r="N155" s="15">
        <f t="shared" si="155"/>
        <v>0.3613830451989169</v>
      </c>
      <c r="O155" s="15">
        <f t="shared" si="155"/>
        <v>0.36075136465803276</v>
      </c>
      <c r="P155" s="15">
        <f t="shared" si="155"/>
        <v>0.36234616391725583</v>
      </c>
      <c r="Q155" s="15">
        <f t="shared" si="155"/>
        <v>0.36245003114180346</v>
      </c>
      <c r="R155" s="15">
        <f>R29</f>
        <v>0.35975003114180359</v>
      </c>
      <c r="S155" s="15">
        <f>S29</f>
        <v>0.35825003114180359</v>
      </c>
      <c r="T155" s="15">
        <f>T29</f>
        <v>0.35655003114180345</v>
      </c>
      <c r="U155" s="14"/>
      <c r="V155" s="7"/>
      <c r="W155" s="7"/>
      <c r="X155" s="7"/>
      <c r="Y155" s="7"/>
      <c r="Z155" s="7"/>
      <c r="AA155" s="7"/>
    </row>
    <row r="156" spans="1:27" hidden="1" outlineLevel="2" x14ac:dyDescent="0.2">
      <c r="A156" s="3" t="s">
        <v>472</v>
      </c>
      <c r="B156" s="7"/>
      <c r="C156" s="6"/>
      <c r="D156" s="6"/>
      <c r="E156" s="6"/>
      <c r="F156" s="6"/>
      <c r="G156" s="6"/>
      <c r="H156" s="6"/>
      <c r="I156" s="6"/>
      <c r="J156" s="6"/>
      <c r="K156" s="6"/>
      <c r="L156" s="15">
        <f t="shared" ref="L156:Q156" si="156">L109</f>
        <v>0.36493090221218011</v>
      </c>
      <c r="M156" s="15">
        <f t="shared" si="156"/>
        <v>0.3640330126688745</v>
      </c>
      <c r="N156" s="15">
        <f t="shared" si="156"/>
        <v>0.3613830451989169</v>
      </c>
      <c r="O156" s="15">
        <f t="shared" si="156"/>
        <v>0.36075136465803276</v>
      </c>
      <c r="P156" s="15">
        <f t="shared" si="156"/>
        <v>0.36234616391725583</v>
      </c>
      <c r="Q156" s="15">
        <f t="shared" si="156"/>
        <v>0.36034616391725582</v>
      </c>
      <c r="R156" s="15">
        <f>R109</f>
        <v>0.35844616391725581</v>
      </c>
      <c r="S156" s="15">
        <f>S109</f>
        <v>0.35644616391725581</v>
      </c>
      <c r="T156" s="15">
        <f>T109</f>
        <v>0.35514616391725579</v>
      </c>
      <c r="U156" s="14"/>
      <c r="V156" s="7"/>
      <c r="W156" s="7"/>
      <c r="X156" s="7"/>
      <c r="Y156" s="7"/>
      <c r="Z156" s="7"/>
      <c r="AA156" s="7"/>
    </row>
    <row r="157" spans="1:27" hidden="1" outlineLevel="1" collapsed="1" x14ac:dyDescent="0.2">
      <c r="A157" s="2" t="s">
        <v>193</v>
      </c>
      <c r="B157" s="7"/>
      <c r="C157" s="6">
        <f>C132/C127</f>
        <v>0.22495081490850971</v>
      </c>
      <c r="D157" s="6">
        <f t="shared" ref="D157:J157" si="157">D132/D127</f>
        <v>0.22444076345674593</v>
      </c>
      <c r="E157" s="6">
        <f t="shared" si="157"/>
        <v>0.22233205505623532</v>
      </c>
      <c r="F157" s="6">
        <f t="shared" si="157"/>
        <v>0.22808476541396286</v>
      </c>
      <c r="G157" s="6">
        <f t="shared" si="157"/>
        <v>0.24269126244066075</v>
      </c>
      <c r="H157" s="6">
        <f t="shared" si="157"/>
        <v>0.23000349283967866</v>
      </c>
      <c r="I157" s="6">
        <f t="shared" si="157"/>
        <v>0.22772008047414496</v>
      </c>
      <c r="J157" s="6">
        <f t="shared" si="157"/>
        <v>0.22564348011061477</v>
      </c>
      <c r="K157" s="6">
        <f>K132/K127</f>
        <v>0.22126556016597509</v>
      </c>
      <c r="L157" s="15">
        <f t="shared" ref="L157:Q157" si="158">INDEX(L158:L160,MATCH($Y$150,$AA$150:$AA$152,0))</f>
        <v>0.22657768903368189</v>
      </c>
      <c r="M157" s="15">
        <f t="shared" si="158"/>
        <v>0.22867055669452768</v>
      </c>
      <c r="N157" s="15">
        <f t="shared" si="158"/>
        <v>0.23182670277025619</v>
      </c>
      <c r="O157" s="15">
        <f t="shared" si="158"/>
        <v>0.23728994969495878</v>
      </c>
      <c r="P157" s="15">
        <f t="shared" si="158"/>
        <v>0.23629222309505107</v>
      </c>
      <c r="Q157" s="15">
        <f t="shared" si="158"/>
        <v>0.24018203805504967</v>
      </c>
      <c r="R157" s="15">
        <f>INDEX(R158:R160,MATCH($Y$150,$AA$150:$AA$152,0))</f>
        <v>0.24420000000000003</v>
      </c>
      <c r="S157" s="15">
        <f>INDEX(S158:S160,MATCH($Y$150,$AA$150:$AA$152,0))</f>
        <v>0.24599999999999997</v>
      </c>
      <c r="T157" s="15">
        <f>INDEX(T158:T160,MATCH($Y$150,$AA$150:$AA$152,0))</f>
        <v>0.24800000000000003</v>
      </c>
      <c r="U157" s="14"/>
      <c r="V157" s="7"/>
      <c r="W157" s="300">
        <f>10*3.95</f>
        <v>39.5</v>
      </c>
      <c r="X157" s="7"/>
      <c r="Y157" s="7"/>
      <c r="Z157" s="7"/>
      <c r="AA157" s="7"/>
    </row>
    <row r="158" spans="1:27" hidden="1" outlineLevel="2" x14ac:dyDescent="0.2">
      <c r="A158" s="3" t="s">
        <v>475</v>
      </c>
      <c r="B158" s="7"/>
      <c r="C158" s="6"/>
      <c r="D158" s="6"/>
      <c r="E158" s="6"/>
      <c r="F158" s="6"/>
      <c r="G158" s="6"/>
      <c r="H158" s="6"/>
      <c r="I158" s="6"/>
      <c r="J158" s="6"/>
      <c r="K158" s="6"/>
      <c r="L158" s="15">
        <f t="shared" ref="L158:Q158" si="159">L69</f>
        <v>0.22657768903368189</v>
      </c>
      <c r="M158" s="15">
        <f t="shared" si="159"/>
        <v>0.22867055669452768</v>
      </c>
      <c r="N158" s="15">
        <f t="shared" si="159"/>
        <v>0.23182670277025619</v>
      </c>
      <c r="O158" s="15">
        <f t="shared" si="159"/>
        <v>0.23728994969495878</v>
      </c>
      <c r="P158" s="15">
        <f t="shared" si="159"/>
        <v>0.23629222309505107</v>
      </c>
      <c r="Q158" s="15">
        <f t="shared" si="159"/>
        <v>0.23918203805504967</v>
      </c>
      <c r="R158" s="15">
        <f>R69</f>
        <v>0.24320000000000003</v>
      </c>
      <c r="S158" s="15">
        <f>S69</f>
        <v>0.24499999999999997</v>
      </c>
      <c r="T158" s="15">
        <f>T69</f>
        <v>0.24600000000000002</v>
      </c>
      <c r="U158" s="14"/>
      <c r="V158" s="7"/>
      <c r="W158" s="7"/>
      <c r="X158" s="7"/>
      <c r="Y158" s="7"/>
      <c r="Z158" s="7"/>
      <c r="AA158" s="7"/>
    </row>
    <row r="159" spans="1:27" hidden="1" outlineLevel="2" x14ac:dyDescent="0.2">
      <c r="A159" s="3" t="s">
        <v>537</v>
      </c>
      <c r="B159" s="7"/>
      <c r="C159" s="6"/>
      <c r="D159" s="6"/>
      <c r="E159" s="6"/>
      <c r="F159" s="6"/>
      <c r="G159" s="6"/>
      <c r="H159" s="6"/>
      <c r="I159" s="6"/>
      <c r="J159" s="6"/>
      <c r="K159" s="6"/>
      <c r="L159" s="15">
        <f t="shared" ref="L159:Q159" si="160">L30</f>
        <v>0.22657768903368189</v>
      </c>
      <c r="M159" s="15">
        <f t="shared" si="160"/>
        <v>0.22867055669452768</v>
      </c>
      <c r="N159" s="15">
        <f t="shared" si="160"/>
        <v>0.23182670277025619</v>
      </c>
      <c r="O159" s="15">
        <f t="shared" si="160"/>
        <v>0.23728994969495878</v>
      </c>
      <c r="P159" s="15">
        <f t="shared" si="160"/>
        <v>0.23629222309505107</v>
      </c>
      <c r="Q159" s="15">
        <f t="shared" si="160"/>
        <v>0.24018203805504967</v>
      </c>
      <c r="R159" s="15">
        <f>R30</f>
        <v>0.24420000000000003</v>
      </c>
      <c r="S159" s="15">
        <f>S30</f>
        <v>0.24599999999999997</v>
      </c>
      <c r="T159" s="15">
        <f>T30</f>
        <v>0.24800000000000003</v>
      </c>
      <c r="U159" s="14"/>
      <c r="V159" s="7"/>
      <c r="W159" s="7"/>
      <c r="X159" s="7"/>
      <c r="Y159" s="7"/>
      <c r="Z159" s="7"/>
      <c r="AA159" s="7"/>
    </row>
    <row r="160" spans="1:27" hidden="1" outlineLevel="2" x14ac:dyDescent="0.2">
      <c r="A160" s="3" t="s">
        <v>472</v>
      </c>
      <c r="B160" s="7"/>
      <c r="C160" s="6"/>
      <c r="D160" s="6"/>
      <c r="E160" s="6"/>
      <c r="F160" s="6"/>
      <c r="G160" s="6"/>
      <c r="H160" s="6"/>
      <c r="I160" s="6"/>
      <c r="J160" s="6"/>
      <c r="K160" s="6"/>
      <c r="L160" s="15">
        <f t="shared" ref="L160:Q160" si="161">L110</f>
        <v>0.22657768903368189</v>
      </c>
      <c r="M160" s="15">
        <f t="shared" si="161"/>
        <v>0.22867055669452768</v>
      </c>
      <c r="N160" s="15">
        <f t="shared" si="161"/>
        <v>0.23182670277025619</v>
      </c>
      <c r="O160" s="15">
        <f t="shared" si="161"/>
        <v>0.23728994969495878</v>
      </c>
      <c r="P160" s="15">
        <f t="shared" si="161"/>
        <v>0.23629222309505107</v>
      </c>
      <c r="Q160" s="15">
        <f t="shared" si="161"/>
        <v>0.24118203805504967</v>
      </c>
      <c r="R160" s="15">
        <f>R110</f>
        <v>0.24520000000000003</v>
      </c>
      <c r="S160" s="15">
        <f>S110</f>
        <v>0.24699999999999997</v>
      </c>
      <c r="T160" s="15">
        <f>T110</f>
        <v>0.24900000000000003</v>
      </c>
      <c r="U160" s="14"/>
      <c r="V160" s="7"/>
      <c r="W160" s="7"/>
      <c r="X160" s="7"/>
      <c r="Y160" s="7"/>
      <c r="Z160" s="7"/>
      <c r="AA160" s="7"/>
    </row>
    <row r="161" spans="1:27" hidden="1" outlineLevel="1" collapsed="1" x14ac:dyDescent="0.2">
      <c r="A161" s="2" t="s">
        <v>194</v>
      </c>
      <c r="B161" s="7"/>
      <c r="C161" s="6">
        <f>C134/C127</f>
        <v>0.10199859837445634</v>
      </c>
      <c r="D161" s="6">
        <f t="shared" ref="D161:P161" si="162">D134/D127</f>
        <v>0.10548268194773981</v>
      </c>
      <c r="E161" s="6">
        <f t="shared" si="162"/>
        <v>0.11643316994647729</v>
      </c>
      <c r="F161" s="6">
        <f t="shared" si="162"/>
        <v>0.10953343814686441</v>
      </c>
      <c r="G161" s="6">
        <f t="shared" si="162"/>
        <v>9.374406211028069E-2</v>
      </c>
      <c r="H161" s="6">
        <f t="shared" si="162"/>
        <v>0.10821981604377692</v>
      </c>
      <c r="I161" s="6">
        <f t="shared" si="162"/>
        <v>0.11380566581480071</v>
      </c>
      <c r="J161" s="6">
        <f t="shared" si="162"/>
        <v>0.11481599659646884</v>
      </c>
      <c r="K161" s="6">
        <f t="shared" si="162"/>
        <v>9.7977178423236513E-2</v>
      </c>
      <c r="L161" s="15">
        <f t="shared" si="162"/>
        <v>9.1534864168987443E-2</v>
      </c>
      <c r="M161" s="15">
        <f t="shared" si="162"/>
        <v>8.8787257530357988E-2</v>
      </c>
      <c r="N161" s="15">
        <f t="shared" si="162"/>
        <v>8.0868569048114972E-2</v>
      </c>
      <c r="O161" s="15">
        <f t="shared" si="162"/>
        <v>7.320988975703735E-2</v>
      </c>
      <c r="P161" s="15">
        <f t="shared" si="162"/>
        <v>7.415553809897879E-2</v>
      </c>
      <c r="Q161" s="15">
        <f>Q134/Q127</f>
        <v>7.1163494992334056E-2</v>
      </c>
      <c r="R161" s="15">
        <f>R134/R127</f>
        <v>6.3419436656948269E-2</v>
      </c>
      <c r="S161" s="15">
        <f>S134/S127</f>
        <v>5.9051349728574426E-2</v>
      </c>
      <c r="T161" s="15">
        <f>T134/T127</f>
        <v>5.4262821577829974E-2</v>
      </c>
      <c r="U161" s="14"/>
      <c r="V161" s="7"/>
      <c r="W161" s="7"/>
      <c r="X161" s="7"/>
      <c r="Y161" s="7"/>
      <c r="Z161" s="7"/>
      <c r="AA161" s="7"/>
    </row>
    <row r="162" spans="1:27" hidden="1" outlineLevel="1" x14ac:dyDescent="0.2">
      <c r="A162" s="2" t="s">
        <v>196</v>
      </c>
      <c r="B162" s="7"/>
      <c r="C162" s="6">
        <f>C139/C137</f>
        <v>0.37796388985166868</v>
      </c>
      <c r="D162" s="6">
        <f t="shared" ref="D162:J162" si="163">D139/D137</f>
        <v>0.38095729782703175</v>
      </c>
      <c r="E162" s="6">
        <f t="shared" si="163"/>
        <v>0.37516945981583338</v>
      </c>
      <c r="F162" s="6">
        <f t="shared" si="163"/>
        <v>0.37783700655732616</v>
      </c>
      <c r="G162" s="6">
        <f t="shared" si="163"/>
        <v>0.3787967791900812</v>
      </c>
      <c r="H162" s="6">
        <f t="shared" si="163"/>
        <v>0.37548138639281131</v>
      </c>
      <c r="I162" s="6">
        <f t="shared" si="163"/>
        <v>0.37360178970917224</v>
      </c>
      <c r="J162" s="6">
        <f t="shared" si="163"/>
        <v>0.3725806451612903</v>
      </c>
      <c r="K162" s="6">
        <f>K139/K137</f>
        <v>0.36847164370394103</v>
      </c>
      <c r="L162" s="15">
        <f t="shared" ref="L162:Q162" si="164">INDEX(L163:L165,MATCH($Y$150,$AA$150:$AA$152,0))</f>
        <v>0.36680911680911682</v>
      </c>
      <c r="M162" s="15">
        <f t="shared" si="164"/>
        <v>0.35730170496664193</v>
      </c>
      <c r="N162" s="15">
        <f t="shared" si="164"/>
        <v>0.36150204081632653</v>
      </c>
      <c r="O162" s="15">
        <f t="shared" si="164"/>
        <v>0.36496226415094341</v>
      </c>
      <c r="P162" s="15">
        <f t="shared" si="164"/>
        <v>0.35810205908683973</v>
      </c>
      <c r="Q162" s="15">
        <f t="shared" si="164"/>
        <v>0.24500000000000025</v>
      </c>
      <c r="R162" s="15">
        <f>INDEX(R163:R165,MATCH($Y$150,$AA$150:$AA$152,0))</f>
        <v>0.24500000000000025</v>
      </c>
      <c r="S162" s="15">
        <f>INDEX(S163:S165,MATCH($Y$150,$AA$150:$AA$152,0))</f>
        <v>0.24500000000000025</v>
      </c>
      <c r="T162" s="15">
        <f>INDEX(T163:T165,MATCH($Y$150,$AA$150:$AA$152,0))</f>
        <v>0.24500000000000025</v>
      </c>
      <c r="U162" s="14"/>
      <c r="V162" s="7"/>
      <c r="W162" s="7"/>
      <c r="X162" s="7"/>
      <c r="Y162" s="7"/>
      <c r="Z162" s="7"/>
      <c r="AA162" s="7"/>
    </row>
    <row r="163" spans="1:27" hidden="1" outlineLevel="2" x14ac:dyDescent="0.2">
      <c r="A163" s="3" t="s">
        <v>475</v>
      </c>
      <c r="B163" s="7"/>
      <c r="C163" s="6"/>
      <c r="D163" s="6"/>
      <c r="E163" s="6"/>
      <c r="F163" s="6"/>
      <c r="G163" s="6"/>
      <c r="H163" s="6"/>
      <c r="I163" s="6"/>
      <c r="J163" s="6"/>
      <c r="K163" s="6"/>
      <c r="L163" s="15">
        <f t="shared" ref="L163:Q163" si="165">L71</f>
        <v>0.36680911680911682</v>
      </c>
      <c r="M163" s="15">
        <f t="shared" si="165"/>
        <v>0.35730170496664193</v>
      </c>
      <c r="N163" s="15">
        <f t="shared" si="165"/>
        <v>0.36150204081632653</v>
      </c>
      <c r="O163" s="15">
        <f t="shared" si="165"/>
        <v>0.36496226415094341</v>
      </c>
      <c r="P163" s="15">
        <f t="shared" si="165"/>
        <v>0.35810205908683973</v>
      </c>
      <c r="Q163" s="15">
        <f t="shared" si="165"/>
        <v>0.24000000000000024</v>
      </c>
      <c r="R163" s="15">
        <f>R71</f>
        <v>0.24000000000000024</v>
      </c>
      <c r="S163" s="15">
        <f>S71</f>
        <v>0.24000000000000024</v>
      </c>
      <c r="T163" s="15">
        <f>T71</f>
        <v>0.24000000000000024</v>
      </c>
      <c r="U163" s="14"/>
      <c r="V163" s="7"/>
      <c r="W163" s="7"/>
      <c r="X163" s="7"/>
      <c r="Y163" s="7"/>
      <c r="Z163" s="7"/>
      <c r="AA163" s="7"/>
    </row>
    <row r="164" spans="1:27" hidden="1" outlineLevel="2" x14ac:dyDescent="0.2">
      <c r="A164" s="3" t="s">
        <v>537</v>
      </c>
      <c r="B164" s="7"/>
      <c r="C164" s="6"/>
      <c r="D164" s="6"/>
      <c r="E164" s="6"/>
      <c r="F164" s="6"/>
      <c r="G164" s="6"/>
      <c r="H164" s="6"/>
      <c r="I164" s="6"/>
      <c r="J164" s="6"/>
      <c r="K164" s="6"/>
      <c r="L164" s="15">
        <f t="shared" ref="L164:Q164" si="166">L32</f>
        <v>0.36680911680911682</v>
      </c>
      <c r="M164" s="15">
        <f t="shared" si="166"/>
        <v>0.35730170496664193</v>
      </c>
      <c r="N164" s="15">
        <f t="shared" si="166"/>
        <v>0.36150204081632653</v>
      </c>
      <c r="O164" s="15">
        <f t="shared" si="166"/>
        <v>0.36496226415094341</v>
      </c>
      <c r="P164" s="15">
        <f t="shared" si="166"/>
        <v>0.35810205908683973</v>
      </c>
      <c r="Q164" s="15">
        <f t="shared" si="166"/>
        <v>0.24500000000000025</v>
      </c>
      <c r="R164" s="15">
        <f>R32</f>
        <v>0.24500000000000025</v>
      </c>
      <c r="S164" s="15">
        <f>S32</f>
        <v>0.24500000000000025</v>
      </c>
      <c r="T164" s="15">
        <f>T32</f>
        <v>0.24500000000000025</v>
      </c>
      <c r="U164" s="14"/>
      <c r="V164" s="7"/>
      <c r="W164" s="7"/>
      <c r="X164" s="7"/>
      <c r="Y164" s="7"/>
      <c r="Z164" s="7"/>
      <c r="AA164" s="7"/>
    </row>
    <row r="165" spans="1:27" hidden="1" outlineLevel="2" x14ac:dyDescent="0.2">
      <c r="A165" s="3" t="s">
        <v>472</v>
      </c>
      <c r="B165" s="7"/>
      <c r="C165" s="6"/>
      <c r="D165" s="6"/>
      <c r="E165" s="6"/>
      <c r="F165" s="6"/>
      <c r="G165" s="6"/>
      <c r="H165" s="6"/>
      <c r="I165" s="6"/>
      <c r="J165" s="6"/>
      <c r="K165" s="6"/>
      <c r="L165" s="15">
        <f t="shared" ref="L165:Q165" si="167">L112</f>
        <v>0.36680911680911682</v>
      </c>
      <c r="M165" s="15">
        <f t="shared" si="167"/>
        <v>0.35730170496664193</v>
      </c>
      <c r="N165" s="15">
        <f t="shared" si="167"/>
        <v>0.36150204081632653</v>
      </c>
      <c r="O165" s="15">
        <f t="shared" si="167"/>
        <v>0.36496226415094341</v>
      </c>
      <c r="P165" s="15">
        <f t="shared" si="167"/>
        <v>0.35810205908683973</v>
      </c>
      <c r="Q165" s="15">
        <f t="shared" si="167"/>
        <v>0.25000000000000022</v>
      </c>
      <c r="R165" s="15">
        <f>R112</f>
        <v>0.25000000000000022</v>
      </c>
      <c r="S165" s="15">
        <f>S112</f>
        <v>0.25000000000000022</v>
      </c>
      <c r="T165" s="15">
        <f>T112</f>
        <v>0.25000000000000022</v>
      </c>
      <c r="U165" s="14"/>
      <c r="V165" s="7"/>
      <c r="W165" s="7"/>
      <c r="X165" s="7"/>
      <c r="Y165" s="7"/>
      <c r="Z165" s="7"/>
      <c r="AA165" s="7"/>
    </row>
    <row r="166" spans="1:27" hidden="1" outlineLevel="1" collapsed="1" x14ac:dyDescent="0.2">
      <c r="A166" s="2"/>
      <c r="B166" s="7"/>
      <c r="L166" s="1"/>
      <c r="M166" s="1"/>
      <c r="N166" s="1"/>
      <c r="O166" s="1"/>
      <c r="P166" s="1"/>
      <c r="Q166" s="1"/>
      <c r="R166" s="1"/>
      <c r="S166" s="1"/>
      <c r="T166" s="1"/>
      <c r="U166" s="14"/>
      <c r="V166" s="7"/>
      <c r="W166" s="7"/>
      <c r="X166" s="7"/>
      <c r="Y166" s="7"/>
      <c r="Z166" s="7"/>
      <c r="AA166" s="7"/>
    </row>
    <row r="167" spans="1:27" hidden="1" outlineLevel="1" x14ac:dyDescent="0.2">
      <c r="A167" s="4" t="s">
        <v>199</v>
      </c>
      <c r="B167" s="7"/>
      <c r="L167" s="1"/>
      <c r="M167" s="1"/>
      <c r="N167" s="1"/>
      <c r="O167" s="1"/>
      <c r="P167" s="1"/>
      <c r="Q167" s="1"/>
      <c r="R167" s="1"/>
      <c r="S167" s="1"/>
      <c r="T167" s="1"/>
      <c r="U167" s="14"/>
      <c r="V167" s="7"/>
      <c r="W167" s="7"/>
      <c r="X167" s="7"/>
      <c r="Y167" s="7"/>
      <c r="Z167" s="7"/>
      <c r="AA167" s="7"/>
    </row>
    <row r="168" spans="1:27" hidden="1" outlineLevel="1" x14ac:dyDescent="0.2">
      <c r="A168" s="2" t="s">
        <v>98</v>
      </c>
      <c r="B168" s="7"/>
      <c r="C168" s="288" t="s">
        <v>94</v>
      </c>
      <c r="D168" s="9">
        <f>((D127/C127)-1)</f>
        <v>0.14541865016622912</v>
      </c>
      <c r="E168" s="9">
        <f t="shared" ref="E168:K168" si="168">((E127/D127)-1)</f>
        <v>0.16289124173643144</v>
      </c>
      <c r="F168" s="9">
        <f t="shared" si="168"/>
        <v>5.700236395819358E-2</v>
      </c>
      <c r="G168" s="9">
        <f t="shared" si="168"/>
        <v>-5.1780717143082855E-3</v>
      </c>
      <c r="H168" s="9">
        <f t="shared" si="168"/>
        <v>4.8180548214657559E-2</v>
      </c>
      <c r="I168" s="9">
        <f t="shared" si="168"/>
        <v>7.0613575503551074E-2</v>
      </c>
      <c r="J168" s="9">
        <f t="shared" si="168"/>
        <v>2.2456636398238361E-2</v>
      </c>
      <c r="K168" s="9">
        <f t="shared" si="168"/>
        <v>2.5313763029142677E-2</v>
      </c>
      <c r="L168" s="289">
        <f t="shared" ref="L168:Q168" si="169">L169+L178</f>
        <v>-1.2914937759336054E-2</v>
      </c>
      <c r="M168" s="289">
        <f t="shared" si="169"/>
        <v>-4.2036677000678591E-4</v>
      </c>
      <c r="N168" s="289">
        <f t="shared" si="169"/>
        <v>9.5147978762550878E-3</v>
      </c>
      <c r="O168" s="289">
        <f t="shared" si="169"/>
        <v>-2.6973547177671309E-2</v>
      </c>
      <c r="P168" s="289">
        <f t="shared" si="169"/>
        <v>2.1888044525313122E-2</v>
      </c>
      <c r="Q168" s="289">
        <f t="shared" si="169"/>
        <v>-1.6232563498298047E-2</v>
      </c>
      <c r="R168" s="289">
        <f>R169+R178</f>
        <v>-1.4577373172829033E-2</v>
      </c>
      <c r="S168" s="289">
        <f>S169+S178</f>
        <v>-1.4999999999999902E-2</v>
      </c>
      <c r="T168" s="289">
        <f>T169+T178</f>
        <v>-1.5000000000000013E-2</v>
      </c>
      <c r="U168" s="14"/>
      <c r="V168" s="7"/>
      <c r="W168" s="7"/>
      <c r="X168" s="7"/>
      <c r="Y168" s="7"/>
      <c r="Z168" s="7"/>
      <c r="AA168" s="7"/>
    </row>
    <row r="169" spans="1:27" hidden="1" outlineLevel="1" x14ac:dyDescent="0.2">
      <c r="A169" s="2" t="s">
        <v>200</v>
      </c>
      <c r="B169" s="7"/>
      <c r="C169" s="6">
        <f t="shared" ref="C169:J169" si="170">C36</f>
        <v>5.4574854495884851E-3</v>
      </c>
      <c r="D169" s="6">
        <f t="shared" si="170"/>
        <v>3.6890876124815335E-2</v>
      </c>
      <c r="E169" s="6">
        <f t="shared" si="170"/>
        <v>5.9000000000000004E-2</v>
      </c>
      <c r="F169" s="6">
        <f t="shared" si="170"/>
        <v>-7.9988102247825314E-3</v>
      </c>
      <c r="G169" s="6">
        <f t="shared" si="170"/>
        <v>-6.9000000000000006E-2</v>
      </c>
      <c r="H169" s="6">
        <f t="shared" si="170"/>
        <v>6.5541130581591653E-3</v>
      </c>
      <c r="I169" s="6">
        <f t="shared" si="170"/>
        <v>4.4736447175248759E-2</v>
      </c>
      <c r="J169" s="6">
        <f t="shared" si="170"/>
        <v>5.0000000000000001E-3</v>
      </c>
      <c r="K169" s="6">
        <f>K36</f>
        <v>3.0000000000000001E-3</v>
      </c>
      <c r="L169" s="15">
        <f t="shared" ref="L169:Q169" si="171">INDEX(L170:L172,MATCH($Y$150,$AA$150:$AA$152,0))</f>
        <v>-1.2309600126110033E-2</v>
      </c>
      <c r="M169" s="15">
        <f t="shared" si="171"/>
        <v>-3.0000000000000001E-3</v>
      </c>
      <c r="N169" s="15">
        <f t="shared" si="171"/>
        <v>6.9999999999999993E-3</v>
      </c>
      <c r="O169" s="15">
        <f t="shared" si="171"/>
        <v>-2.4E-2</v>
      </c>
      <c r="P169" s="15">
        <f t="shared" si="171"/>
        <v>1.4999999999999999E-2</v>
      </c>
      <c r="Q169" s="15">
        <f t="shared" si="171"/>
        <v>4.3939297182834743E-4</v>
      </c>
      <c r="R169" s="15">
        <f>INDEX(R170:R172,MATCH($Y$150,$AA$150:$AA$152,0))</f>
        <v>-1.4999999999999999E-2</v>
      </c>
      <c r="S169" s="15">
        <f>INDEX(S170:S172,MATCH($Y$150,$AA$150:$AA$152,0))</f>
        <v>-1.4999999999999999E-2</v>
      </c>
      <c r="T169" s="15">
        <f>INDEX(T170:T172,MATCH($Y$150,$AA$150:$AA$152,0))</f>
        <v>-1.4999999999999999E-2</v>
      </c>
      <c r="U169" s="14"/>
      <c r="V169" s="7"/>
      <c r="W169" s="7"/>
      <c r="X169" s="7"/>
      <c r="Y169" s="7"/>
      <c r="Z169" s="7"/>
      <c r="AA169" s="7"/>
    </row>
    <row r="170" spans="1:27" hidden="1" outlineLevel="2" x14ac:dyDescent="0.2">
      <c r="A170" s="3" t="s">
        <v>475</v>
      </c>
      <c r="B170" s="7"/>
      <c r="C170" s="278"/>
      <c r="D170" s="278"/>
      <c r="E170" s="278"/>
      <c r="F170" s="278"/>
      <c r="G170" s="278"/>
      <c r="H170" s="6"/>
      <c r="I170" s="6"/>
      <c r="J170" s="6"/>
      <c r="K170" s="6"/>
      <c r="L170" s="15">
        <f t="shared" ref="L170:Q170" si="172">L75</f>
        <v>-1.2309600126110033E-2</v>
      </c>
      <c r="M170" s="15">
        <f t="shared" si="172"/>
        <v>-3.0000000000000001E-3</v>
      </c>
      <c r="N170" s="15">
        <f t="shared" si="172"/>
        <v>6.9999999999999993E-3</v>
      </c>
      <c r="O170" s="15">
        <f t="shared" si="172"/>
        <v>-2.4E-2</v>
      </c>
      <c r="P170" s="15">
        <f t="shared" si="172"/>
        <v>1.4999999999999999E-2</v>
      </c>
      <c r="Q170" s="15">
        <f t="shared" si="172"/>
        <v>0.01</v>
      </c>
      <c r="R170" s="15">
        <f>R75</f>
        <v>0.01</v>
      </c>
      <c r="S170" s="15">
        <f>S75</f>
        <v>0</v>
      </c>
      <c r="T170" s="15">
        <f>T75</f>
        <v>-5.0000000000000001E-3</v>
      </c>
      <c r="U170" s="14"/>
      <c r="V170" s="7"/>
      <c r="W170" s="7"/>
      <c r="X170" s="7"/>
      <c r="Y170" s="7"/>
      <c r="Z170" s="7"/>
      <c r="AA170" s="7"/>
    </row>
    <row r="171" spans="1:27" hidden="1" outlineLevel="2" x14ac:dyDescent="0.2">
      <c r="A171" s="3" t="s">
        <v>537</v>
      </c>
      <c r="B171" s="7"/>
      <c r="C171" s="278"/>
      <c r="D171" s="278"/>
      <c r="E171" s="278"/>
      <c r="F171" s="278"/>
      <c r="G171" s="278"/>
      <c r="H171" s="6"/>
      <c r="I171" s="6"/>
      <c r="J171" s="6"/>
      <c r="K171" s="6"/>
      <c r="L171" s="15">
        <f t="shared" ref="L171:Q171" si="173">L36</f>
        <v>-1.2309600126110033E-2</v>
      </c>
      <c r="M171" s="15">
        <f t="shared" si="173"/>
        <v>-3.0000000000000001E-3</v>
      </c>
      <c r="N171" s="15">
        <f t="shared" si="173"/>
        <v>6.9999999999999993E-3</v>
      </c>
      <c r="O171" s="15">
        <f t="shared" si="173"/>
        <v>-2.4E-2</v>
      </c>
      <c r="P171" s="15">
        <f t="shared" si="173"/>
        <v>1.4999999999999999E-2</v>
      </c>
      <c r="Q171" s="15">
        <f t="shared" si="173"/>
        <v>4.3939297182834743E-4</v>
      </c>
      <c r="R171" s="15">
        <f>R36</f>
        <v>-1.4999999999999999E-2</v>
      </c>
      <c r="S171" s="15">
        <f>S36</f>
        <v>-1.4999999999999999E-2</v>
      </c>
      <c r="T171" s="15">
        <f>T36</f>
        <v>-1.4999999999999999E-2</v>
      </c>
      <c r="U171" s="14"/>
      <c r="V171" s="7"/>
      <c r="W171" s="7"/>
      <c r="X171" s="7"/>
      <c r="Y171" s="7"/>
      <c r="Z171" s="7"/>
      <c r="AA171" s="7"/>
    </row>
    <row r="172" spans="1:27" hidden="1" outlineLevel="2" x14ac:dyDescent="0.2">
      <c r="A172" s="3" t="s">
        <v>472</v>
      </c>
      <c r="B172" s="7"/>
      <c r="C172" s="278"/>
      <c r="D172" s="278"/>
      <c r="E172" s="278"/>
      <c r="F172" s="278"/>
      <c r="G172" s="278"/>
      <c r="H172" s="6"/>
      <c r="I172" s="6"/>
      <c r="J172" s="6"/>
      <c r="K172" s="6"/>
      <c r="L172" s="15">
        <f t="shared" ref="L172:Q172" si="174">L116</f>
        <v>-1.2309600126110033E-2</v>
      </c>
      <c r="M172" s="15">
        <f t="shared" si="174"/>
        <v>-3.0000000000000001E-3</v>
      </c>
      <c r="N172" s="15">
        <f t="shared" si="174"/>
        <v>6.9999999999999993E-3</v>
      </c>
      <c r="O172" s="15">
        <f t="shared" si="174"/>
        <v>-2.4E-2</v>
      </c>
      <c r="P172" s="15">
        <f t="shared" si="174"/>
        <v>1.4999999999999999E-2</v>
      </c>
      <c r="Q172" s="15">
        <f t="shared" si="174"/>
        <v>-0.03</v>
      </c>
      <c r="R172" s="15">
        <f>R116</f>
        <v>-0.03</v>
      </c>
      <c r="S172" s="15">
        <f>S116</f>
        <v>-0.03</v>
      </c>
      <c r="T172" s="15">
        <f>T116</f>
        <v>-0.03</v>
      </c>
      <c r="U172" s="14"/>
      <c r="V172" s="7"/>
      <c r="W172" s="7"/>
      <c r="X172" s="7"/>
      <c r="Y172" s="7"/>
      <c r="Z172" s="7"/>
      <c r="AA172" s="7"/>
    </row>
    <row r="173" spans="1:27" hidden="1" outlineLevel="1" collapsed="1" x14ac:dyDescent="0.2">
      <c r="A173" s="2" t="s">
        <v>179</v>
      </c>
      <c r="B173" s="7"/>
      <c r="C173" s="288" t="s">
        <v>94</v>
      </c>
      <c r="D173" s="9">
        <f t="shared" ref="D173:T173" si="175">((D132/C132)-1)</f>
        <v>0.14282153823475108</v>
      </c>
      <c r="E173" s="9">
        <f t="shared" si="175"/>
        <v>0.15196542553191472</v>
      </c>
      <c r="F173" s="9">
        <f t="shared" si="175"/>
        <v>8.4351674635625207E-2</v>
      </c>
      <c r="G173" s="9">
        <f t="shared" si="175"/>
        <v>5.8530100601479784E-2</v>
      </c>
      <c r="H173" s="9">
        <f t="shared" si="175"/>
        <v>-6.6177711077380907E-3</v>
      </c>
      <c r="I173" s="9">
        <f t="shared" si="175"/>
        <v>5.9984813971146522E-2</v>
      </c>
      <c r="J173" s="9">
        <f t="shared" si="175"/>
        <v>1.313276026743071E-2</v>
      </c>
      <c r="K173" s="9">
        <f t="shared" si="175"/>
        <v>5.4206929059628095E-3</v>
      </c>
      <c r="L173" s="289">
        <f t="shared" si="175"/>
        <v>1.0782934833567737E-2</v>
      </c>
      <c r="M173" s="289">
        <f t="shared" si="175"/>
        <v>8.8126159554731132E-3</v>
      </c>
      <c r="N173" s="289">
        <f t="shared" si="175"/>
        <v>2.3448275862068879E-2</v>
      </c>
      <c r="O173" s="289">
        <f t="shared" si="175"/>
        <v>-4.0431266846361336E-3</v>
      </c>
      <c r="P173" s="289">
        <f t="shared" si="175"/>
        <v>1.7591339648173276E-2</v>
      </c>
      <c r="Q173" s="289">
        <f t="shared" si="175"/>
        <v>-3.78989361702331E-5</v>
      </c>
      <c r="R173" s="289">
        <f t="shared" si="175"/>
        <v>1.9075840135909239E-3</v>
      </c>
      <c r="S173" s="289">
        <f t="shared" si="175"/>
        <v>-7.7395577395579229E-3</v>
      </c>
      <c r="T173" s="289">
        <f t="shared" si="175"/>
        <v>-6.9918699186989341E-3</v>
      </c>
      <c r="U173" s="14"/>
      <c r="V173" s="7"/>
      <c r="W173" s="7"/>
      <c r="X173" s="7"/>
      <c r="Y173" s="7"/>
      <c r="Z173" s="7"/>
      <c r="AA173" s="7"/>
    </row>
    <row r="174" spans="1:27" hidden="1" outlineLevel="1" x14ac:dyDescent="0.2">
      <c r="A174" s="2" t="s">
        <v>180</v>
      </c>
      <c r="B174" s="7"/>
      <c r="C174" s="288" t="s">
        <v>94</v>
      </c>
      <c r="D174" s="9">
        <f>((D134/C134)-1)</f>
        <v>0.18454403391832708</v>
      </c>
      <c r="E174" s="9">
        <f t="shared" ref="E174:T174" si="176">((E134/D134)-1)</f>
        <v>0.28361462828040218</v>
      </c>
      <c r="F174" s="9">
        <f t="shared" si="176"/>
        <v>-5.6347078162916064E-3</v>
      </c>
      <c r="G174" s="9">
        <f t="shared" si="176"/>
        <v>-0.14858284180909009</v>
      </c>
      <c r="H174" s="9">
        <f t="shared" si="176"/>
        <v>0.21003830594637174</v>
      </c>
      <c r="I174" s="9">
        <f t="shared" si="176"/>
        <v>0.12587412587412583</v>
      </c>
      <c r="J174" s="9">
        <f t="shared" si="176"/>
        <v>3.1533683707596794E-2</v>
      </c>
      <c r="K174" s="9">
        <f t="shared" si="176"/>
        <v>-0.1250578971746179</v>
      </c>
      <c r="L174" s="289">
        <f t="shared" si="176"/>
        <v>-7.7818951826363114E-2</v>
      </c>
      <c r="M174" s="289">
        <f t="shared" si="176"/>
        <v>-3.0424799081515519E-2</v>
      </c>
      <c r="N174" s="289">
        <f t="shared" si="176"/>
        <v>-8.0521018354055673E-2</v>
      </c>
      <c r="O174" s="289">
        <f t="shared" si="176"/>
        <v>-0.11912427559562133</v>
      </c>
      <c r="P174" s="289">
        <f t="shared" si="176"/>
        <v>3.5087719298245723E-2</v>
      </c>
      <c r="Q174" s="289">
        <f t="shared" si="176"/>
        <v>-5.592581706214772E-2</v>
      </c>
      <c r="R174" s="289">
        <f t="shared" si="176"/>
        <v>-0.1218117116209444</v>
      </c>
      <c r="S174" s="289">
        <f t="shared" si="176"/>
        <v>-8.2843012351590195E-2</v>
      </c>
      <c r="T174" s="289">
        <f t="shared" si="176"/>
        <v>-9.4874554098480113E-2</v>
      </c>
      <c r="U174" s="14"/>
      <c r="V174" s="7"/>
      <c r="W174" s="7"/>
      <c r="X174" s="7"/>
      <c r="Y174" s="7"/>
      <c r="Z174" s="7"/>
      <c r="AA174" s="7"/>
    </row>
    <row r="175" spans="1:27" hidden="1" outlineLevel="1" x14ac:dyDescent="0.2">
      <c r="A175" s="2" t="s">
        <v>500</v>
      </c>
      <c r="B175" s="7"/>
      <c r="C175" s="288" t="s">
        <v>94</v>
      </c>
      <c r="D175" s="9">
        <f>((D144/C144)-1)</f>
        <v>0.17574971867847866</v>
      </c>
      <c r="E175" s="9">
        <f>((E144/D144)-1)</f>
        <v>0.37983138908954373</v>
      </c>
      <c r="F175" s="9">
        <f>((F144/E144)-1)</f>
        <v>2.2208673867199602E-2</v>
      </c>
      <c r="G175" s="9">
        <f>((G144/F144)-1)</f>
        <v>-0.14722230333592023</v>
      </c>
      <c r="H175" s="9">
        <f t="shared" ref="H175:T175" si="177">((H144/G144)-1)</f>
        <v>0.1015135537102605</v>
      </c>
      <c r="I175" s="9">
        <f t="shared" si="177"/>
        <v>0.15107913669064743</v>
      </c>
      <c r="J175" s="9">
        <f t="shared" si="177"/>
        <v>0.17653531892461771</v>
      </c>
      <c r="K175" s="9">
        <f t="shared" si="177"/>
        <v>-3.397135884350222E-2</v>
      </c>
      <c r="L175" s="289">
        <f t="shared" si="177"/>
        <v>-2.6410977395468938E-2</v>
      </c>
      <c r="M175" s="289">
        <f t="shared" si="177"/>
        <v>4.729967707069882E-2</v>
      </c>
      <c r="N175" s="289">
        <f t="shared" si="177"/>
        <v>-5.4366640049685055E-2</v>
      </c>
      <c r="O175" s="289">
        <f t="shared" si="177"/>
        <v>-6.2456609200820967E-2</v>
      </c>
      <c r="P175" s="289">
        <f t="shared" si="177"/>
        <v>0.13489976612803978</v>
      </c>
      <c r="Q175" s="289">
        <f t="shared" si="177"/>
        <v>0.13033983723543385</v>
      </c>
      <c r="R175" s="289">
        <f t="shared" si="177"/>
        <v>-0.14039349976589699</v>
      </c>
      <c r="S175" s="289">
        <f t="shared" si="177"/>
        <v>-8.3098474395561173E-2</v>
      </c>
      <c r="T175" s="289">
        <f t="shared" si="177"/>
        <v>-9.3489525835023901E-2</v>
      </c>
      <c r="U175" s="14"/>
      <c r="V175" s="7"/>
      <c r="W175" s="7"/>
      <c r="X175" s="7"/>
      <c r="Y175" s="7"/>
      <c r="Z175" s="7"/>
      <c r="AA175" s="7"/>
    </row>
    <row r="176" spans="1:27" hidden="1" outlineLevel="1" x14ac:dyDescent="0.2">
      <c r="A176" s="2" t="s">
        <v>190</v>
      </c>
      <c r="B176" s="7"/>
      <c r="C176" s="288" t="s">
        <v>94</v>
      </c>
      <c r="D176" s="9">
        <f>((D150/C150)-1)</f>
        <v>0.18291595600140997</v>
      </c>
      <c r="E176" s="9">
        <f>((E150/D150)-1)</f>
        <v>0.25668777815816757</v>
      </c>
      <c r="F176" s="9">
        <f>((F150/E150)-1)</f>
        <v>2.4621890594699103E-2</v>
      </c>
      <c r="G176" s="9">
        <f>((G150/F150)-1)</f>
        <v>-7.9423937608011808E-2</v>
      </c>
      <c r="H176" s="9">
        <f t="shared" ref="H176:T176" si="178">((H150/G150)-1)</f>
        <v>0.22601402479176547</v>
      </c>
      <c r="I176" s="9">
        <f t="shared" si="178"/>
        <v>0.11700039261876727</v>
      </c>
      <c r="J176" s="9">
        <f t="shared" si="178"/>
        <v>3.1985940246045619E-2</v>
      </c>
      <c r="K176" s="9">
        <f t="shared" si="178"/>
        <v>-7.2207084468664862E-2</v>
      </c>
      <c r="L176" s="289">
        <f>((L150/K150)-1)</f>
        <v>-3.3406754772393521E-2</v>
      </c>
      <c r="M176" s="289">
        <f t="shared" si="178"/>
        <v>-2.2028104823395345E-2</v>
      </c>
      <c r="N176" s="289">
        <f t="shared" si="178"/>
        <v>-3.3786407766990267E-2</v>
      </c>
      <c r="O176" s="289">
        <f t="shared" si="178"/>
        <v>-7.2749196141479122E-2</v>
      </c>
      <c r="P176" s="289">
        <f t="shared" si="178"/>
        <v>4.3346337234503762E-2</v>
      </c>
      <c r="Q176" s="289">
        <f t="shared" si="178"/>
        <v>-4.577937555463274E-2</v>
      </c>
      <c r="R176" s="289">
        <f t="shared" si="178"/>
        <v>-6.8720992770973766E-2</v>
      </c>
      <c r="S176" s="289">
        <f t="shared" si="178"/>
        <v>-4.3130671778105811E-2</v>
      </c>
      <c r="T176" s="289">
        <f t="shared" si="178"/>
        <v>-4.7467697005768472E-2</v>
      </c>
      <c r="U176" s="14"/>
      <c r="V176" s="7"/>
      <c r="W176" s="7"/>
      <c r="X176" s="7"/>
      <c r="Y176" s="7"/>
      <c r="Z176" s="7"/>
      <c r="AA176" s="7"/>
    </row>
    <row r="177" spans="1:27" hidden="1" outlineLevel="1" x14ac:dyDescent="0.2">
      <c r="A177" s="2" t="s">
        <v>532</v>
      </c>
      <c r="B177" s="7"/>
      <c r="C177" s="288" t="s">
        <v>94</v>
      </c>
      <c r="D177" s="6">
        <f>D35-D36</f>
        <v>0.10852777404141378</v>
      </c>
      <c r="E177" s="6">
        <f t="shared" ref="E177:P177" si="179">E35-E36</f>
        <v>0.10389124173643144</v>
      </c>
      <c r="F177" s="6">
        <f t="shared" si="179"/>
        <v>6.5001174182976115E-2</v>
      </c>
      <c r="G177" s="6">
        <f t="shared" si="179"/>
        <v>6.382192828569172E-2</v>
      </c>
      <c r="H177" s="6">
        <f t="shared" si="179"/>
        <v>4.1626435156498394E-2</v>
      </c>
      <c r="I177" s="6">
        <f t="shared" si="179"/>
        <v>2.5877128328302315E-2</v>
      </c>
      <c r="J177" s="6">
        <f t="shared" si="179"/>
        <v>1.745663639823836E-2</v>
      </c>
      <c r="K177" s="6">
        <f t="shared" si="179"/>
        <v>2.2313763029142678E-2</v>
      </c>
      <c r="L177" s="6">
        <f t="shared" si="179"/>
        <v>-6.0533763322602116E-4</v>
      </c>
      <c r="M177" s="6">
        <f t="shared" si="179"/>
        <v>2.5796332299932142E-3</v>
      </c>
      <c r="N177" s="6">
        <f t="shared" si="179"/>
        <v>2.5147978762550885E-3</v>
      </c>
      <c r="O177" s="6">
        <f t="shared" si="179"/>
        <v>-2.9735471776713082E-3</v>
      </c>
      <c r="P177" s="6">
        <f t="shared" si="179"/>
        <v>6.8880445253131223E-3</v>
      </c>
      <c r="Q177" s="6">
        <f>Q35-Q36</f>
        <v>-1.6671956470126394E-2</v>
      </c>
      <c r="R177" s="6">
        <f>R35-R36</f>
        <v>4.22626827170966E-4</v>
      </c>
      <c r="S177" s="6">
        <f>S35-S36</f>
        <v>9.7144514654701197E-17</v>
      </c>
      <c r="T177" s="6">
        <f>T35-T36</f>
        <v>-1.3877787807814457E-17</v>
      </c>
      <c r="U177" s="14"/>
      <c r="V177" s="7"/>
      <c r="W177" s="7"/>
      <c r="X177" s="7"/>
      <c r="Y177" s="7"/>
      <c r="Z177" s="7"/>
      <c r="AA177" s="7"/>
    </row>
    <row r="178" spans="1:27" hidden="1" outlineLevel="1" x14ac:dyDescent="0.2">
      <c r="A178" s="2" t="s">
        <v>535</v>
      </c>
      <c r="B178" s="7"/>
      <c r="C178" s="288" t="s">
        <v>94</v>
      </c>
      <c r="D178" s="6">
        <f t="shared" ref="D178:K178" si="180">D177</f>
        <v>0.10852777404141378</v>
      </c>
      <c r="E178" s="6">
        <f t="shared" si="180"/>
        <v>0.10389124173643144</v>
      </c>
      <c r="F178" s="6">
        <f t="shared" si="180"/>
        <v>6.5001174182976115E-2</v>
      </c>
      <c r="G178" s="6">
        <f t="shared" si="180"/>
        <v>6.382192828569172E-2</v>
      </c>
      <c r="H178" s="6">
        <f t="shared" si="180"/>
        <v>4.1626435156498394E-2</v>
      </c>
      <c r="I178" s="6">
        <f t="shared" si="180"/>
        <v>2.5877128328302315E-2</v>
      </c>
      <c r="J178" s="6">
        <f t="shared" si="180"/>
        <v>1.745663639823836E-2</v>
      </c>
      <c r="K178" s="6">
        <f t="shared" si="180"/>
        <v>2.2313763029142678E-2</v>
      </c>
      <c r="L178" s="15">
        <f t="shared" ref="L178:Q178" si="181">INDEX(L179:L181,MATCH($Y$150,$AA$150:$AA$152,0))</f>
        <v>-6.0533763322602116E-4</v>
      </c>
      <c r="M178" s="15">
        <f t="shared" si="181"/>
        <v>2.5796332299932142E-3</v>
      </c>
      <c r="N178" s="15">
        <f t="shared" si="181"/>
        <v>2.5147978762550885E-3</v>
      </c>
      <c r="O178" s="15">
        <f t="shared" si="181"/>
        <v>-2.9735471776713082E-3</v>
      </c>
      <c r="P178" s="15">
        <f t="shared" si="181"/>
        <v>6.8880445253131223E-3</v>
      </c>
      <c r="Q178" s="15">
        <f t="shared" si="181"/>
        <v>-1.6671956470126394E-2</v>
      </c>
      <c r="R178" s="15">
        <f>INDEX(R179:R181,MATCH($Y$150,$AA$150:$AA$152,0))</f>
        <v>4.22626827170966E-4</v>
      </c>
      <c r="S178" s="15">
        <f>INDEX(S179:S181,MATCH($Y$150,$AA$150:$AA$152,0))</f>
        <v>9.7144514654701197E-17</v>
      </c>
      <c r="T178" s="15">
        <f>INDEX(T179:T181,MATCH($Y$150,$AA$150:$AA$152,0))</f>
        <v>-1.3877787807814457E-17</v>
      </c>
      <c r="U178" s="14"/>
      <c r="V178" s="7"/>
      <c r="W178" s="7"/>
      <c r="X178" s="7"/>
      <c r="Y178" s="7"/>
      <c r="Z178" s="7"/>
      <c r="AA178" s="7"/>
    </row>
    <row r="179" spans="1:27" hidden="1" outlineLevel="2" x14ac:dyDescent="0.2">
      <c r="A179" s="3" t="s">
        <v>475</v>
      </c>
      <c r="B179" s="7"/>
      <c r="C179" s="288"/>
      <c r="D179" s="288"/>
      <c r="E179" s="288"/>
      <c r="F179" s="288"/>
      <c r="G179" s="288"/>
      <c r="H179" s="6"/>
      <c r="I179" s="6"/>
      <c r="J179" s="6"/>
      <c r="K179" s="6"/>
      <c r="L179" s="15">
        <f t="shared" ref="L179:Q179" si="182">L81</f>
        <v>-6.0533763322602116E-4</v>
      </c>
      <c r="M179" s="15">
        <f t="shared" si="182"/>
        <v>2.5796332299932142E-3</v>
      </c>
      <c r="N179" s="15">
        <f t="shared" si="182"/>
        <v>2.5147978762550885E-3</v>
      </c>
      <c r="O179" s="15">
        <f t="shared" si="182"/>
        <v>-2.9735471776713082E-3</v>
      </c>
      <c r="P179" s="15">
        <f t="shared" si="182"/>
        <v>6.8880445253131223E-3</v>
      </c>
      <c r="Q179" s="15">
        <f t="shared" si="182"/>
        <v>-1.1671956470126393E-2</v>
      </c>
      <c r="R179" s="15">
        <f>R81</f>
        <v>5.4226268271709661E-3</v>
      </c>
      <c r="S179" s="15">
        <f>S81</f>
        <v>5.0000000000000972E-3</v>
      </c>
      <c r="T179" s="15">
        <f>T81</f>
        <v>4.9999999999999862E-3</v>
      </c>
      <c r="U179" s="14"/>
      <c r="V179" s="7"/>
      <c r="W179" s="7"/>
      <c r="X179" s="7"/>
      <c r="Y179" s="7"/>
      <c r="Z179" s="7"/>
      <c r="AA179" s="7"/>
    </row>
    <row r="180" spans="1:27" hidden="1" outlineLevel="2" x14ac:dyDescent="0.2">
      <c r="A180" s="3" t="s">
        <v>537</v>
      </c>
      <c r="B180" s="7"/>
      <c r="C180" s="288"/>
      <c r="D180" s="288"/>
      <c r="E180" s="288"/>
      <c r="F180" s="288"/>
      <c r="G180" s="288"/>
      <c r="H180" s="6"/>
      <c r="I180" s="6"/>
      <c r="J180" s="6"/>
      <c r="K180" s="6"/>
      <c r="L180" s="15">
        <f t="shared" ref="L180:P181" si="183">L121</f>
        <v>-6.0533763322602116E-4</v>
      </c>
      <c r="M180" s="15">
        <f t="shared" si="183"/>
        <v>2.5796332299932142E-3</v>
      </c>
      <c r="N180" s="15">
        <f t="shared" si="183"/>
        <v>2.5147978762550885E-3</v>
      </c>
      <c r="O180" s="15">
        <f t="shared" si="183"/>
        <v>-2.9735471776713082E-3</v>
      </c>
      <c r="P180" s="15">
        <f t="shared" si="183"/>
        <v>6.8880445253131223E-3</v>
      </c>
      <c r="Q180" s="15">
        <f t="shared" ref="Q180:T181" si="184">Q121</f>
        <v>-1.6671956470126394E-2</v>
      </c>
      <c r="R180" s="15">
        <f t="shared" si="184"/>
        <v>4.22626827170966E-4</v>
      </c>
      <c r="S180" s="15">
        <f t="shared" si="184"/>
        <v>9.7144514654701197E-17</v>
      </c>
      <c r="T180" s="15">
        <f t="shared" si="184"/>
        <v>-1.3877787807814457E-17</v>
      </c>
      <c r="U180" s="14"/>
      <c r="V180" s="7"/>
      <c r="W180" s="7"/>
      <c r="X180" s="7"/>
      <c r="Y180" s="7"/>
      <c r="Z180" s="7"/>
      <c r="AA180" s="7"/>
    </row>
    <row r="181" spans="1:27" hidden="1" outlineLevel="2" x14ac:dyDescent="0.2">
      <c r="A181" s="3" t="s">
        <v>472</v>
      </c>
      <c r="B181" s="7"/>
      <c r="C181" s="288"/>
      <c r="D181" s="288"/>
      <c r="E181" s="288"/>
      <c r="F181" s="288"/>
      <c r="G181" s="288"/>
      <c r="H181" s="6"/>
      <c r="I181" s="6"/>
      <c r="J181" s="6"/>
      <c r="K181" s="6"/>
      <c r="L181" s="15">
        <f t="shared" si="183"/>
        <v>-6.0533763322602116E-4</v>
      </c>
      <c r="M181" s="15">
        <f t="shared" si="183"/>
        <v>2.5796332299932142E-3</v>
      </c>
      <c r="N181" s="15">
        <f t="shared" si="183"/>
        <v>2.5147978762550885E-3</v>
      </c>
      <c r="O181" s="15">
        <f t="shared" si="183"/>
        <v>-2.9735471776713082E-3</v>
      </c>
      <c r="P181" s="15">
        <f t="shared" si="183"/>
        <v>6.8880445253131223E-3</v>
      </c>
      <c r="Q181" s="15">
        <f t="shared" si="184"/>
        <v>-2.1671956470126395E-2</v>
      </c>
      <c r="R181" s="15">
        <f t="shared" si="184"/>
        <v>-4.5773731728290341E-3</v>
      </c>
      <c r="S181" s="15">
        <f t="shared" si="184"/>
        <v>-4.999999999999903E-3</v>
      </c>
      <c r="T181" s="15">
        <f t="shared" si="184"/>
        <v>-5.000000000000014E-3</v>
      </c>
      <c r="U181" s="14"/>
      <c r="V181" s="7"/>
      <c r="W181" s="7"/>
      <c r="X181" s="7"/>
      <c r="Y181" s="7"/>
      <c r="Z181" s="7"/>
      <c r="AA181" s="7"/>
    </row>
    <row r="182" spans="1:27" hidden="1" outlineLevel="1" collapsed="1" x14ac:dyDescent="0.2"/>
    <row r="183" spans="1:27" collapsed="1" x14ac:dyDescent="0.2"/>
  </sheetData>
  <phoneticPr fontId="11" type="noConversion"/>
  <printOptions horizontalCentered="1" verticalCentered="1"/>
  <pageMargins left="0.75" right="0.75" top="0.25" bottom="0.25" header="0.5" footer="0.5"/>
  <pageSetup scale="55" orientation="landscape"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JC92"/>
  <sheetViews>
    <sheetView showGridLines="0" zoomScale="85" zoomScaleNormal="85" workbookViewId="0">
      <pane xSplit="1" topLeftCell="EB1" activePane="topRight" state="frozen"/>
      <selection activeCell="AJ64" sqref="AJ64"/>
      <selection pane="topRight"/>
    </sheetView>
  </sheetViews>
  <sheetFormatPr defaultRowHeight="12.75" outlineLevelRow="2" outlineLevelCol="2" x14ac:dyDescent="0.2"/>
  <cols>
    <col min="1" max="1" width="20" style="303" customWidth="1"/>
    <col min="2" max="2" width="1" style="303" hidden="1" customWidth="1" outlineLevel="1"/>
    <col min="3" max="6" width="7.28515625" style="303" hidden="1" customWidth="1" outlineLevel="1"/>
    <col min="7" max="7" width="1" style="303" hidden="1" customWidth="1" outlineLevel="1"/>
    <col min="8" max="11" width="7.28515625" style="303" hidden="1" customWidth="1" outlineLevel="1"/>
    <col min="12" max="12" width="1" style="303" hidden="1" customWidth="1" outlineLevel="1"/>
    <col min="13" max="16" width="7.28515625" style="303" hidden="1" customWidth="1" outlineLevel="1"/>
    <col min="17" max="17" width="1" style="303" hidden="1" customWidth="1" outlineLevel="1"/>
    <col min="18" max="21" width="7.28515625" style="303" hidden="1" customWidth="1" outlineLevel="1"/>
    <col min="22" max="22" width="1" style="303" hidden="1" customWidth="1" outlineLevel="1"/>
    <col min="23" max="26" width="7.28515625" style="303" hidden="1" customWidth="1" outlineLevel="1"/>
    <col min="27" max="27" width="1" style="303" hidden="1" customWidth="1" outlineLevel="1"/>
    <col min="28" max="31" width="7.28515625" style="303" hidden="1" customWidth="1" outlineLevel="1"/>
    <col min="32" max="32" width="1" style="303" hidden="1" customWidth="1" outlineLevel="1"/>
    <col min="33" max="36" width="7.28515625" style="303" hidden="1" customWidth="1" outlineLevel="1"/>
    <col min="37" max="37" width="1" style="303" hidden="1" customWidth="1" outlineLevel="1"/>
    <col min="38" max="41" width="7.28515625" style="303" hidden="1" customWidth="1" outlineLevel="1"/>
    <col min="42" max="42" width="1" style="303" hidden="1" customWidth="1" outlineLevel="1"/>
    <col min="43" max="46" width="7.28515625" style="303" hidden="1" customWidth="1" outlineLevel="1"/>
    <col min="47" max="47" width="1" style="303" hidden="1" customWidth="1" outlineLevel="1"/>
    <col min="48" max="51" width="7.28515625" style="303" hidden="1" customWidth="1" outlineLevel="1"/>
    <col min="52" max="52" width="1" style="303" hidden="1" customWidth="1" outlineLevel="1"/>
    <col min="53" max="56" width="7.28515625" style="303" hidden="1" customWidth="1" outlineLevel="1"/>
    <col min="57" max="57" width="1" style="303" hidden="1" customWidth="1" outlineLevel="1"/>
    <col min="58" max="61" width="7.28515625" style="303" hidden="1" customWidth="1" outlineLevel="1"/>
    <col min="62" max="62" width="1" style="303" hidden="1" customWidth="1" outlineLevel="1"/>
    <col min="63" max="66" width="7.28515625" style="303" hidden="1" customWidth="1" outlineLevel="1"/>
    <col min="67" max="67" width="1" style="303" hidden="1" customWidth="1" outlineLevel="1"/>
    <col min="68" max="71" width="7.28515625" style="303" hidden="1" customWidth="1" outlineLevel="1"/>
    <col min="72" max="72" width="1" style="303" hidden="1" customWidth="1" outlineLevel="1"/>
    <col min="73" max="76" width="7.28515625" style="303" hidden="1" customWidth="1" outlineLevel="1"/>
    <col min="77" max="77" width="1" style="303" hidden="1" customWidth="1" outlineLevel="1"/>
    <col min="78" max="81" width="7.28515625" style="303" hidden="1" customWidth="1" outlineLevel="1"/>
    <col min="82" max="82" width="1" style="303" hidden="1" customWidth="1" outlineLevel="1"/>
    <col min="83" max="86" width="7.28515625" style="303" hidden="1" customWidth="1" outlineLevel="1"/>
    <col min="87" max="87" width="1" style="303" hidden="1" customWidth="1" outlineLevel="1"/>
    <col min="88" max="91" width="7.28515625" style="303" hidden="1" customWidth="1" outlineLevel="1"/>
    <col min="92" max="92" width="1" style="303" hidden="1" customWidth="1" outlineLevel="1"/>
    <col min="93" max="96" width="7.28515625" style="303" hidden="1" customWidth="1" outlineLevel="1"/>
    <col min="97" max="97" width="1" style="303" hidden="1" customWidth="1" outlineLevel="1"/>
    <col min="98" max="101" width="7.28515625" style="303" hidden="1" customWidth="1" outlineLevel="1"/>
    <col min="102" max="102" width="1" style="303" hidden="1" customWidth="1" outlineLevel="1"/>
    <col min="103" max="103" width="7.28515625" style="303" hidden="1" customWidth="1" outlineLevel="1" collapsed="1"/>
    <col min="104" max="106" width="7.28515625" style="303" hidden="1" customWidth="1" outlineLevel="1"/>
    <col min="107" max="107" width="1" style="303" hidden="1" customWidth="1" outlineLevel="1"/>
    <col min="108" max="108" width="7.28515625" style="303" hidden="1" customWidth="1" outlineLevel="1"/>
    <col min="109" max="111" width="7.28515625" style="303" hidden="1" customWidth="1" outlineLevel="2"/>
    <col min="112" max="112" width="1" style="303" hidden="1" customWidth="1" outlineLevel="1"/>
    <col min="113" max="113" width="7.28515625" style="303" hidden="1" customWidth="1" outlineLevel="1" collapsed="1"/>
    <col min="114" max="116" width="7.28515625" style="303" hidden="1" customWidth="1" outlineLevel="1"/>
    <col min="117" max="117" width="1" style="303" hidden="1" customWidth="1" outlineLevel="2"/>
    <col min="118" max="121" width="7.28515625" style="303" hidden="1" customWidth="1" outlineLevel="1"/>
    <col min="122" max="122" width="1" style="303" hidden="1" customWidth="1" outlineLevel="1"/>
    <col min="123" max="123" width="7.85546875" style="303" hidden="1" customWidth="1" outlineLevel="1"/>
    <col min="124" max="124" width="7.28515625" style="303" hidden="1" customWidth="1" outlineLevel="1"/>
    <col min="125" max="125" width="7.5703125" style="303" hidden="1" customWidth="1" outlineLevel="1"/>
    <col min="126" max="126" width="7" style="303" hidden="1" customWidth="1" outlineLevel="1"/>
    <col min="127" max="127" width="1" style="303" hidden="1" customWidth="1" outlineLevel="1"/>
    <col min="128" max="130" width="7" style="303" hidden="1" customWidth="1" outlineLevel="1"/>
    <col min="131" max="131" width="7.5703125" style="303" hidden="1" customWidth="1" outlineLevel="1"/>
    <col min="132" max="132" width="1" style="303" customWidth="1" collapsed="1"/>
    <col min="133" max="133" width="8.140625" style="303" bestFit="1" customWidth="1"/>
    <col min="134" max="134" width="8" style="303" customWidth="1"/>
    <col min="135" max="135" width="7.28515625" style="303" customWidth="1"/>
    <col min="136" max="136" width="8.42578125" style="303" bestFit="1" customWidth="1"/>
    <col min="137" max="137" width="1" style="303" customWidth="1"/>
    <col min="138" max="138" width="8.140625" style="303" customWidth="1"/>
    <col min="139" max="139" width="9.42578125" style="303" customWidth="1"/>
    <col min="140" max="141" width="8.140625" style="303" customWidth="1"/>
    <col min="142" max="142" width="1" style="303" customWidth="1"/>
    <col min="143" max="143" width="8.140625" style="14" customWidth="1"/>
    <col min="144" max="144" width="9.42578125" style="14" customWidth="1"/>
    <col min="145" max="146" width="8.140625" style="14" customWidth="1"/>
    <col min="147" max="157" width="8.140625" style="303" hidden="1" customWidth="1" outlineLevel="1"/>
    <col min="158" max="160" width="8.140625" style="303" hidden="1" customWidth="1" outlineLevel="1" collapsed="1"/>
    <col min="161" max="165" width="8.140625" style="303" hidden="1" customWidth="1" outlineLevel="1"/>
    <col min="166" max="166" width="9.42578125" style="303" hidden="1" customWidth="1" outlineLevel="1"/>
    <col min="167" max="167" width="2.42578125" style="303" customWidth="1" outlineLevel="1"/>
    <col min="168" max="168" width="8.7109375" style="303" customWidth="1"/>
    <col min="169" max="169" width="8.42578125" style="303" customWidth="1"/>
    <col min="170" max="170" width="8.5703125" style="303" customWidth="1"/>
    <col min="171" max="173" width="8.7109375" style="303" customWidth="1"/>
    <col min="174" max="175" width="8.140625" style="303" customWidth="1"/>
    <col min="176" max="176" width="8.42578125" style="303" customWidth="1"/>
    <col min="177" max="177" width="8.7109375" style="303" customWidth="1"/>
    <col min="178" max="178" width="8.85546875" style="303" customWidth="1"/>
    <col min="179" max="179" width="8.7109375" style="303" hidden="1" customWidth="1" outlineLevel="1"/>
    <col min="180" max="180" width="8.85546875" style="303" hidden="1" customWidth="1" outlineLevel="1"/>
    <col min="181" max="181" width="9.140625" style="303" customWidth="1" collapsed="1"/>
    <col min="182" max="182" width="21.7109375" hidden="1" customWidth="1" outlineLevel="1"/>
    <col min="183" max="187" width="9.140625" hidden="1" customWidth="1" outlineLevel="1"/>
    <col min="188" max="188" width="9.140625" style="303" collapsed="1"/>
    <col min="189" max="189" width="12.7109375" style="303" customWidth="1"/>
    <col min="190" max="16384" width="9.140625" style="303"/>
  </cols>
  <sheetData>
    <row r="1" spans="1:263" x14ac:dyDescent="0.2">
      <c r="A1" s="310" t="s">
        <v>452</v>
      </c>
      <c r="ED1" s="311"/>
    </row>
    <row r="2" spans="1:263" x14ac:dyDescent="0.2">
      <c r="A2" s="312" t="s">
        <v>570</v>
      </c>
      <c r="B2" s="313"/>
      <c r="C2" s="313"/>
      <c r="D2" s="313"/>
      <c r="E2" s="313"/>
      <c r="F2" s="313"/>
      <c r="G2" s="313"/>
      <c r="H2" s="313"/>
      <c r="I2" s="313"/>
      <c r="J2" s="313"/>
      <c r="K2" s="313"/>
      <c r="L2" s="313"/>
      <c r="M2" s="313"/>
      <c r="N2" s="313"/>
      <c r="O2" s="313"/>
      <c r="P2" s="313"/>
      <c r="Q2" s="313"/>
      <c r="R2" s="313"/>
      <c r="S2" s="313"/>
      <c r="T2" s="313"/>
      <c r="U2" s="313"/>
      <c r="V2" s="313"/>
      <c r="W2" s="313"/>
      <c r="X2" s="313"/>
      <c r="Y2" s="313"/>
      <c r="Z2" s="313"/>
      <c r="AA2" s="313"/>
      <c r="AB2" s="313"/>
      <c r="AC2" s="313"/>
      <c r="AD2" s="313"/>
      <c r="AE2" s="313"/>
      <c r="AF2" s="313"/>
      <c r="AG2" s="313"/>
      <c r="AH2" s="313"/>
      <c r="AI2" s="313"/>
      <c r="AJ2" s="313"/>
      <c r="AK2" s="313"/>
      <c r="AL2" s="313"/>
      <c r="AM2" s="313"/>
      <c r="AN2" s="313"/>
      <c r="AO2" s="313"/>
      <c r="AP2" s="313"/>
      <c r="AQ2" s="313"/>
      <c r="AR2" s="313"/>
      <c r="AS2" s="313"/>
      <c r="AT2" s="313"/>
      <c r="AU2" s="313"/>
      <c r="AV2" s="313"/>
      <c r="AW2" s="313"/>
      <c r="AX2" s="313"/>
      <c r="AY2" s="313"/>
      <c r="AZ2" s="313"/>
      <c r="BA2" s="313"/>
      <c r="BB2" s="313"/>
      <c r="BC2" s="313"/>
      <c r="BD2" s="313"/>
      <c r="BE2" s="313"/>
      <c r="BF2" s="313"/>
      <c r="BG2" s="313"/>
      <c r="BH2" s="313"/>
      <c r="BI2" s="313"/>
      <c r="BJ2" s="313"/>
      <c r="BK2" s="313"/>
      <c r="BL2" s="313"/>
      <c r="BM2" s="313"/>
      <c r="BN2" s="313"/>
      <c r="BO2" s="313"/>
      <c r="BP2" s="313"/>
      <c r="BQ2" s="313"/>
      <c r="BR2" s="313"/>
      <c r="BS2" s="313"/>
      <c r="BT2" s="313"/>
      <c r="BU2" s="313"/>
      <c r="BV2" s="313"/>
      <c r="BW2" s="313"/>
      <c r="BX2" s="313"/>
      <c r="BY2" s="313"/>
      <c r="BZ2" s="313"/>
      <c r="CA2" s="313"/>
      <c r="CB2" s="313"/>
      <c r="CC2" s="313"/>
      <c r="CD2" s="313"/>
      <c r="CE2" s="313"/>
      <c r="CF2" s="313"/>
      <c r="CG2" s="313"/>
      <c r="CH2" s="313"/>
      <c r="CI2" s="313"/>
      <c r="CJ2" s="313"/>
      <c r="CK2" s="313"/>
      <c r="CL2" s="313"/>
      <c r="CM2" s="313"/>
      <c r="CN2" s="313"/>
      <c r="CO2" s="313"/>
      <c r="CP2" s="313"/>
      <c r="CQ2" s="313"/>
      <c r="CR2" s="313"/>
      <c r="CS2" s="313"/>
      <c r="CT2" s="313"/>
      <c r="CU2" s="313"/>
      <c r="CV2" s="313"/>
      <c r="CW2" s="313"/>
      <c r="CX2" s="313"/>
      <c r="CY2" s="313"/>
      <c r="CZ2" s="313"/>
      <c r="DA2" s="313"/>
      <c r="DB2" s="313"/>
      <c r="DC2" s="313"/>
      <c r="DD2" s="313"/>
      <c r="DE2" s="313"/>
      <c r="DF2" s="313"/>
      <c r="DG2" s="313"/>
      <c r="DH2" s="313"/>
      <c r="DI2" s="313"/>
      <c r="DJ2" s="313"/>
      <c r="DK2" s="313"/>
      <c r="DL2" s="313"/>
      <c r="DM2" s="313"/>
      <c r="DN2" s="313"/>
      <c r="DO2" s="313"/>
      <c r="DP2" s="313"/>
      <c r="DQ2" s="313"/>
      <c r="DR2" s="313"/>
      <c r="DS2" s="313"/>
      <c r="DT2" s="313"/>
      <c r="DU2" s="313"/>
      <c r="DV2" s="313"/>
      <c r="DW2" s="313"/>
      <c r="DX2" s="313"/>
      <c r="DY2" s="313"/>
      <c r="DZ2" s="313"/>
      <c r="EA2" s="313"/>
      <c r="EB2" s="313"/>
      <c r="EC2" s="313"/>
      <c r="ED2" s="313"/>
      <c r="EE2" s="313"/>
      <c r="EF2" s="903"/>
      <c r="EG2" s="313"/>
      <c r="EH2" s="313"/>
      <c r="EI2" s="313"/>
      <c r="EJ2" s="313"/>
      <c r="EK2" s="313"/>
      <c r="EL2" s="313"/>
      <c r="EM2" s="1187"/>
      <c r="EN2" s="1187"/>
      <c r="EO2" s="1187"/>
      <c r="EP2" s="1187"/>
      <c r="EQ2" s="313"/>
      <c r="ER2" s="313"/>
      <c r="ES2" s="313"/>
      <c r="ET2" s="313"/>
      <c r="EU2" s="313"/>
      <c r="EV2" s="313"/>
      <c r="EW2" s="313"/>
      <c r="EX2" s="313"/>
      <c r="EY2" s="313"/>
      <c r="EZ2" s="313"/>
      <c r="FA2" s="313"/>
      <c r="FB2" s="313"/>
      <c r="FC2" s="313"/>
      <c r="FD2" s="313"/>
      <c r="FE2" s="313"/>
      <c r="FF2" s="313"/>
      <c r="FG2" s="313"/>
      <c r="FH2" s="313"/>
      <c r="FI2" s="313"/>
      <c r="FJ2" s="313"/>
      <c r="FK2" s="313"/>
      <c r="FL2" s="313"/>
      <c r="FM2" s="313"/>
      <c r="FN2" s="313"/>
      <c r="FO2" s="313"/>
      <c r="FP2" s="399"/>
      <c r="FQ2" s="872"/>
      <c r="FR2" s="873"/>
      <c r="FS2" s="874"/>
      <c r="FT2" s="399"/>
      <c r="FU2" s="399"/>
      <c r="FV2" s="399"/>
      <c r="FW2" s="399"/>
      <c r="FX2" s="396"/>
    </row>
    <row r="3" spans="1:263" x14ac:dyDescent="0.2">
      <c r="A3" s="314" t="s">
        <v>96</v>
      </c>
      <c r="EB3" s="311"/>
      <c r="EC3" s="311"/>
      <c r="ED3" s="311"/>
      <c r="EE3" s="311"/>
      <c r="EF3" s="311"/>
      <c r="EH3" s="311"/>
      <c r="EI3" s="426"/>
      <c r="EJ3" s="311"/>
      <c r="EK3" s="320"/>
      <c r="EL3" s="320"/>
      <c r="EM3" s="1158"/>
      <c r="EN3" s="1158"/>
      <c r="EO3" s="1158"/>
      <c r="EP3" s="1158"/>
      <c r="FQ3" s="311"/>
      <c r="FR3" s="316"/>
      <c r="FS3" s="316"/>
      <c r="FT3" s="316"/>
      <c r="FU3" s="316"/>
      <c r="FV3" s="316"/>
      <c r="FW3" s="316"/>
      <c r="FX3" s="316"/>
    </row>
    <row r="4" spans="1:263" x14ac:dyDescent="0.2">
      <c r="CT4" s="317" t="s">
        <v>201</v>
      </c>
      <c r="CU4" s="318"/>
      <c r="CV4" s="318"/>
      <c r="CW4" s="318"/>
      <c r="CX4" s="318"/>
      <c r="CY4" s="318"/>
      <c r="CZ4" s="318"/>
      <c r="DA4" s="318"/>
      <c r="DB4" s="318"/>
      <c r="DC4" s="318"/>
      <c r="DD4" s="318"/>
      <c r="DE4" s="318"/>
      <c r="DF4" s="318"/>
      <c r="DG4" s="318"/>
      <c r="DH4" s="318"/>
      <c r="DI4" s="318"/>
      <c r="DJ4" s="318"/>
      <c r="DK4" s="318"/>
      <c r="DL4" s="318"/>
      <c r="DM4" s="318"/>
      <c r="DN4" s="318"/>
      <c r="DO4" s="318"/>
      <c r="DP4" s="318"/>
      <c r="DQ4" s="318"/>
      <c r="DR4" s="318"/>
      <c r="DS4" s="318"/>
      <c r="DT4" s="318"/>
      <c r="DU4" s="318"/>
      <c r="DV4" s="318"/>
      <c r="DW4" s="318"/>
      <c r="DX4" s="318"/>
      <c r="DY4" s="318"/>
      <c r="DZ4" s="318"/>
      <c r="EA4" s="318"/>
      <c r="EB4" s="318"/>
      <c r="EC4" s="1348"/>
      <c r="ED4" s="1348"/>
      <c r="EE4" s="1348"/>
      <c r="EF4" s="1348"/>
      <c r="EI4" s="426"/>
      <c r="FP4" s="319"/>
      <c r="FQ4" s="426"/>
      <c r="FR4" s="320"/>
      <c r="FS4" s="320"/>
      <c r="FT4" s="320"/>
      <c r="FU4" s="320"/>
      <c r="FV4" s="320"/>
      <c r="FW4" s="320"/>
      <c r="FX4" s="320"/>
    </row>
    <row r="5" spans="1:263" hidden="1" outlineLevel="1" x14ac:dyDescent="0.2">
      <c r="C5" s="321">
        <f>C6</f>
        <v>1990</v>
      </c>
      <c r="D5" s="321">
        <f>C5</f>
        <v>1990</v>
      </c>
      <c r="E5" s="321">
        <f>D5</f>
        <v>1990</v>
      </c>
      <c r="F5" s="321">
        <f>E5</f>
        <v>1990</v>
      </c>
      <c r="H5" s="321">
        <f>H6</f>
        <v>1991</v>
      </c>
      <c r="I5" s="321">
        <f>H5</f>
        <v>1991</v>
      </c>
      <c r="J5" s="321">
        <f>I5</f>
        <v>1991</v>
      </c>
      <c r="K5" s="321">
        <f>J5</f>
        <v>1991</v>
      </c>
      <c r="M5" s="321">
        <f>M6</f>
        <v>1992</v>
      </c>
      <c r="N5" s="321">
        <f>M5</f>
        <v>1992</v>
      </c>
      <c r="O5" s="321">
        <f>N5</f>
        <v>1992</v>
      </c>
      <c r="P5" s="321">
        <f>O5</f>
        <v>1992</v>
      </c>
      <c r="R5" s="321">
        <f>R6</f>
        <v>1993</v>
      </c>
      <c r="S5" s="321">
        <f>R5</f>
        <v>1993</v>
      </c>
      <c r="T5" s="321">
        <f>S5</f>
        <v>1993</v>
      </c>
      <c r="U5" s="321">
        <f>T5</f>
        <v>1993</v>
      </c>
      <c r="W5" s="321">
        <f>W6</f>
        <v>1994</v>
      </c>
      <c r="X5" s="321">
        <f>W5</f>
        <v>1994</v>
      </c>
      <c r="Y5" s="321">
        <f>X5</f>
        <v>1994</v>
      </c>
      <c r="Z5" s="321">
        <f>Y5</f>
        <v>1994</v>
      </c>
      <c r="AB5" s="321">
        <f>AB6</f>
        <v>1995</v>
      </c>
      <c r="AC5" s="321">
        <f>AB5</f>
        <v>1995</v>
      </c>
      <c r="AD5" s="321">
        <f>AC5</f>
        <v>1995</v>
      </c>
      <c r="AE5" s="321">
        <f>AD5</f>
        <v>1995</v>
      </c>
      <c r="AG5" s="321">
        <f>AG6</f>
        <v>1996</v>
      </c>
      <c r="AH5" s="321">
        <f>AG5</f>
        <v>1996</v>
      </c>
      <c r="AI5" s="321">
        <f>AH5</f>
        <v>1996</v>
      </c>
      <c r="AJ5" s="321">
        <f>AI5</f>
        <v>1996</v>
      </c>
      <c r="AL5" s="321">
        <f>AL6</f>
        <v>1997</v>
      </c>
      <c r="AM5" s="321">
        <f>AL5</f>
        <v>1997</v>
      </c>
      <c r="AN5" s="321">
        <f>AM5</f>
        <v>1997</v>
      </c>
      <c r="AO5" s="321">
        <f>AN5</f>
        <v>1997</v>
      </c>
      <c r="AQ5" s="321">
        <f>AQ6</f>
        <v>1998</v>
      </c>
      <c r="AR5" s="321">
        <f>AQ5</f>
        <v>1998</v>
      </c>
      <c r="AS5" s="321">
        <f>AR5</f>
        <v>1998</v>
      </c>
      <c r="AT5" s="321">
        <f>AS5</f>
        <v>1998</v>
      </c>
      <c r="AV5" s="321">
        <f>AV6</f>
        <v>1999</v>
      </c>
      <c r="AW5" s="321">
        <f>AV5</f>
        <v>1999</v>
      </c>
      <c r="AX5" s="321">
        <f>AW5</f>
        <v>1999</v>
      </c>
      <c r="AY5" s="321">
        <f>AX5</f>
        <v>1999</v>
      </c>
      <c r="BA5" s="321">
        <f>BA6</f>
        <v>2000</v>
      </c>
      <c r="BB5" s="321">
        <f>BA5</f>
        <v>2000</v>
      </c>
      <c r="BC5" s="321">
        <f>BB5</f>
        <v>2000</v>
      </c>
      <c r="BD5" s="321">
        <f>BC5</f>
        <v>2000</v>
      </c>
      <c r="BF5" s="321">
        <f>BF6</f>
        <v>2001</v>
      </c>
      <c r="BG5" s="321">
        <f>BF5</f>
        <v>2001</v>
      </c>
      <c r="BH5" s="321">
        <f>BG5</f>
        <v>2001</v>
      </c>
      <c r="BI5" s="321">
        <f>BH5</f>
        <v>2001</v>
      </c>
      <c r="BK5" s="321">
        <f>BK6</f>
        <v>2002</v>
      </c>
      <c r="BL5" s="321">
        <f>BK5</f>
        <v>2002</v>
      </c>
      <c r="BM5" s="321">
        <f>BL5</f>
        <v>2002</v>
      </c>
      <c r="BN5" s="321">
        <f>BM5</f>
        <v>2002</v>
      </c>
      <c r="BP5" s="321">
        <f>BP6</f>
        <v>2003</v>
      </c>
      <c r="BQ5" s="321">
        <f>BP5</f>
        <v>2003</v>
      </c>
      <c r="BR5" s="321">
        <f>BQ5</f>
        <v>2003</v>
      </c>
      <c r="BS5" s="321">
        <f>BR5</f>
        <v>2003</v>
      </c>
      <c r="BU5" s="321">
        <f>BU6</f>
        <v>2004</v>
      </c>
      <c r="BV5" s="321">
        <f>BU5</f>
        <v>2004</v>
      </c>
      <c r="BW5" s="321">
        <f>BV5</f>
        <v>2004</v>
      </c>
      <c r="BX5" s="321">
        <f>BW5</f>
        <v>2004</v>
      </c>
      <c r="BZ5" s="321">
        <f>BZ6</f>
        <v>2005</v>
      </c>
      <c r="CA5" s="321">
        <f>BZ5</f>
        <v>2005</v>
      </c>
      <c r="CB5" s="321">
        <f>CA5</f>
        <v>2005</v>
      </c>
      <c r="CC5" s="321">
        <f>CB5</f>
        <v>2005</v>
      </c>
      <c r="CE5" s="321">
        <f>CE6</f>
        <v>2006</v>
      </c>
      <c r="CF5" s="321">
        <f>CE5</f>
        <v>2006</v>
      </c>
      <c r="CG5" s="321">
        <f>CF5</f>
        <v>2006</v>
      </c>
      <c r="CH5" s="321">
        <f>CG5</f>
        <v>2006</v>
      </c>
      <c r="CJ5" s="321">
        <f>CJ6</f>
        <v>2007</v>
      </c>
      <c r="CK5" s="321">
        <f>CJ5</f>
        <v>2007</v>
      </c>
      <c r="CL5" s="321">
        <f>CK5</f>
        <v>2007</v>
      </c>
      <c r="CM5" s="321">
        <f>CL5</f>
        <v>2007</v>
      </c>
      <c r="CO5" s="321">
        <f>CO6</f>
        <v>2008</v>
      </c>
      <c r="CP5" s="321">
        <f>CO5</f>
        <v>2008</v>
      </c>
      <c r="CQ5" s="321">
        <f>CP5</f>
        <v>2008</v>
      </c>
      <c r="CR5" s="321">
        <f>CQ5</f>
        <v>2008</v>
      </c>
      <c r="CT5" s="321">
        <f>CT6</f>
        <v>2009</v>
      </c>
      <c r="CU5" s="321">
        <f>CT5</f>
        <v>2009</v>
      </c>
      <c r="CV5" s="321">
        <f>CU5</f>
        <v>2009</v>
      </c>
      <c r="CW5" s="321">
        <f>CV5</f>
        <v>2009</v>
      </c>
      <c r="CY5" s="321">
        <f>CY6</f>
        <v>2010</v>
      </c>
      <c r="CZ5" s="321">
        <f>CY5</f>
        <v>2010</v>
      </c>
      <c r="DA5" s="321">
        <f>CZ5</f>
        <v>2010</v>
      </c>
      <c r="DB5" s="321">
        <f>DA5</f>
        <v>2010</v>
      </c>
      <c r="DD5" s="321">
        <f>DD6</f>
        <v>2011</v>
      </c>
      <c r="DE5" s="321">
        <f>DD5</f>
        <v>2011</v>
      </c>
      <c r="DF5" s="321">
        <f>DE5</f>
        <v>2011</v>
      </c>
      <c r="DG5" s="321">
        <f>DF5</f>
        <v>2011</v>
      </c>
      <c r="DI5" s="322">
        <f>DI6</f>
        <v>2012</v>
      </c>
      <c r="DJ5" s="322">
        <f>DI5</f>
        <v>2012</v>
      </c>
      <c r="DK5" s="322">
        <f>DJ5</f>
        <v>2012</v>
      </c>
      <c r="DL5" s="322">
        <f>DK5</f>
        <v>2012</v>
      </c>
      <c r="DN5" s="322">
        <f>DN6</f>
        <v>2013</v>
      </c>
      <c r="DO5" s="322">
        <f>DN5</f>
        <v>2013</v>
      </c>
      <c r="DP5" s="322">
        <f>DO5</f>
        <v>2013</v>
      </c>
      <c r="DQ5" s="322">
        <f>DP5</f>
        <v>2013</v>
      </c>
      <c r="DS5" s="322">
        <f>DS6</f>
        <v>2014</v>
      </c>
      <c r="DT5" s="322">
        <f>DS5</f>
        <v>2014</v>
      </c>
      <c r="DU5" s="322">
        <f>DT5</f>
        <v>2014</v>
      </c>
      <c r="DV5" s="322">
        <f>DU5</f>
        <v>2014</v>
      </c>
      <c r="DX5" s="322">
        <f>DX6</f>
        <v>2015</v>
      </c>
      <c r="DY5" s="322">
        <f>DX5</f>
        <v>2015</v>
      </c>
      <c r="DZ5" s="322">
        <f>DY5</f>
        <v>2015</v>
      </c>
      <c r="EA5" s="322">
        <f>DZ5</f>
        <v>2015</v>
      </c>
      <c r="EC5" s="322">
        <f>EC6</f>
        <v>2016</v>
      </c>
      <c r="ED5" s="322">
        <f>EC5</f>
        <v>2016</v>
      </c>
      <c r="EE5" s="322">
        <f>ED5</f>
        <v>2016</v>
      </c>
      <c r="EF5" s="322">
        <f>EE5</f>
        <v>2016</v>
      </c>
      <c r="EH5" s="322">
        <f>+EH6</f>
        <v>2017</v>
      </c>
      <c r="EI5" s="322">
        <f>+EH5</f>
        <v>2017</v>
      </c>
      <c r="EJ5" s="322">
        <f>+EI5</f>
        <v>2017</v>
      </c>
      <c r="EK5" s="322">
        <f>+EJ5</f>
        <v>2017</v>
      </c>
      <c r="EL5" s="322"/>
      <c r="EM5" s="1188"/>
      <c r="EN5" s="1188"/>
      <c r="EO5" s="1188"/>
      <c r="EP5" s="1188"/>
      <c r="ER5" s="321"/>
      <c r="ES5" s="321"/>
      <c r="EU5" s="321"/>
      <c r="EV5" s="321"/>
      <c r="EW5" s="321"/>
      <c r="EX5" s="321"/>
      <c r="EZ5" s="321"/>
      <c r="FA5" s="321"/>
      <c r="FB5" s="321"/>
      <c r="FC5" s="321"/>
      <c r="FE5" s="321"/>
      <c r="FF5" s="321"/>
      <c r="FG5" s="321"/>
      <c r="FH5" s="321"/>
      <c r="FJ5" s="321"/>
      <c r="FK5" s="321"/>
      <c r="FL5" s="321"/>
      <c r="FM5" s="321"/>
      <c r="FN5" s="321"/>
      <c r="FO5" s="321"/>
      <c r="FP5" s="321"/>
      <c r="FQ5" s="321"/>
      <c r="FR5" s="321"/>
      <c r="FS5" s="321"/>
      <c r="FT5" s="321"/>
      <c r="FU5" s="321"/>
      <c r="FV5" s="321"/>
      <c r="FW5" s="321"/>
      <c r="FX5" s="321"/>
    </row>
    <row r="6" spans="1:263" collapsed="1" x14ac:dyDescent="0.2">
      <c r="A6" s="323"/>
      <c r="B6" s="324"/>
      <c r="C6" s="325">
        <f>H6-1</f>
        <v>1990</v>
      </c>
      <c r="D6" s="326"/>
      <c r="E6" s="326"/>
      <c r="F6" s="326"/>
      <c r="G6" s="324"/>
      <c r="H6" s="325">
        <f>M6-1</f>
        <v>1991</v>
      </c>
      <c r="I6" s="326"/>
      <c r="J6" s="326"/>
      <c r="K6" s="326"/>
      <c r="L6" s="324"/>
      <c r="M6" s="325">
        <f>R6-1</f>
        <v>1992</v>
      </c>
      <c r="N6" s="326"/>
      <c r="O6" s="326"/>
      <c r="P6" s="326"/>
      <c r="Q6" s="324"/>
      <c r="R6" s="325">
        <f>W6-1</f>
        <v>1993</v>
      </c>
      <c r="S6" s="326"/>
      <c r="T6" s="326"/>
      <c r="U6" s="326"/>
      <c r="V6" s="324"/>
      <c r="W6" s="325">
        <f>AB6-1</f>
        <v>1994</v>
      </c>
      <c r="X6" s="326"/>
      <c r="Y6" s="326"/>
      <c r="Z6" s="326"/>
      <c r="AA6" s="324"/>
      <c r="AB6" s="325">
        <f>AG6-1</f>
        <v>1995</v>
      </c>
      <c r="AC6" s="326"/>
      <c r="AD6" s="326"/>
      <c r="AE6" s="326"/>
      <c r="AF6" s="324"/>
      <c r="AG6" s="325">
        <f>AL6-1</f>
        <v>1996</v>
      </c>
      <c r="AH6" s="326"/>
      <c r="AI6" s="326"/>
      <c r="AJ6" s="326"/>
      <c r="AK6" s="324"/>
      <c r="AL6" s="325">
        <f>AQ6-1</f>
        <v>1997</v>
      </c>
      <c r="AM6" s="326"/>
      <c r="AN6" s="326"/>
      <c r="AO6" s="326"/>
      <c r="AP6" s="324"/>
      <c r="AQ6" s="325">
        <f>AV6-1</f>
        <v>1998</v>
      </c>
      <c r="AR6" s="326"/>
      <c r="AS6" s="326"/>
      <c r="AT6" s="326"/>
      <c r="AU6" s="324"/>
      <c r="AV6" s="325">
        <f>BA6-1</f>
        <v>1999</v>
      </c>
      <c r="AW6" s="326"/>
      <c r="AX6" s="326"/>
      <c r="AY6" s="326"/>
      <c r="AZ6" s="324"/>
      <c r="BA6" s="325">
        <v>2000</v>
      </c>
      <c r="BB6" s="326"/>
      <c r="BC6" s="326"/>
      <c r="BD6" s="326"/>
      <c r="BE6" s="324"/>
      <c r="BF6" s="325">
        <f>BK6-1</f>
        <v>2001</v>
      </c>
      <c r="BG6" s="326"/>
      <c r="BH6" s="326"/>
      <c r="BI6" s="326"/>
      <c r="BJ6" s="324"/>
      <c r="BK6" s="325">
        <f>BP6-1</f>
        <v>2002</v>
      </c>
      <c r="BL6" s="326"/>
      <c r="BM6" s="326"/>
      <c r="BN6" s="326"/>
      <c r="BO6" s="324"/>
      <c r="BP6" s="325">
        <f>BU6-1</f>
        <v>2003</v>
      </c>
      <c r="BQ6" s="326"/>
      <c r="BR6" s="326"/>
      <c r="BS6" s="326"/>
      <c r="BT6" s="324"/>
      <c r="BU6" s="325">
        <v>2004</v>
      </c>
      <c r="BV6" s="326"/>
      <c r="BW6" s="326"/>
      <c r="BX6" s="326"/>
      <c r="BY6" s="324"/>
      <c r="BZ6" s="325">
        <v>2005</v>
      </c>
      <c r="CA6" s="326"/>
      <c r="CB6" s="326"/>
      <c r="CC6" s="326"/>
      <c r="CD6" s="324"/>
      <c r="CE6" s="325">
        <f>BZ6+1</f>
        <v>2006</v>
      </c>
      <c r="CF6" s="326"/>
      <c r="CG6" s="326"/>
      <c r="CH6" s="326"/>
      <c r="CI6" s="324"/>
      <c r="CJ6" s="325">
        <f>CE6+1</f>
        <v>2007</v>
      </c>
      <c r="CK6" s="326"/>
      <c r="CL6" s="326"/>
      <c r="CM6" s="326"/>
      <c r="CN6" s="324"/>
      <c r="CO6" s="325">
        <f>CJ6+1</f>
        <v>2008</v>
      </c>
      <c r="CP6" s="326"/>
      <c r="CQ6" s="326"/>
      <c r="CR6" s="326"/>
      <c r="CS6" s="324"/>
      <c r="CT6" s="325">
        <f>CO6+1</f>
        <v>2009</v>
      </c>
      <c r="CU6" s="326"/>
      <c r="CV6" s="326"/>
      <c r="CW6" s="326"/>
      <c r="CX6" s="324"/>
      <c r="CY6" s="325">
        <f>CT6+1</f>
        <v>2010</v>
      </c>
      <c r="CZ6" s="326"/>
      <c r="DA6" s="326"/>
      <c r="DB6" s="326"/>
      <c r="DC6" s="324"/>
      <c r="DD6" s="325">
        <f>CY6+1</f>
        <v>2011</v>
      </c>
      <c r="DE6" s="326"/>
      <c r="DF6" s="326"/>
      <c r="DG6" s="326"/>
      <c r="DH6" s="324"/>
      <c r="DI6" s="325">
        <f>DD6+1</f>
        <v>2012</v>
      </c>
      <c r="DJ6" s="326"/>
      <c r="DK6" s="326"/>
      <c r="DL6" s="326"/>
      <c r="DM6" s="324"/>
      <c r="DN6" s="325">
        <f>DI6+1</f>
        <v>2013</v>
      </c>
      <c r="DO6" s="326"/>
      <c r="DP6" s="326"/>
      <c r="DQ6" s="326"/>
      <c r="DR6" s="324"/>
      <c r="DS6" s="325">
        <f>DN6+1</f>
        <v>2014</v>
      </c>
      <c r="DT6" s="326"/>
      <c r="DU6" s="326"/>
      <c r="DV6" s="326"/>
      <c r="DW6" s="324"/>
      <c r="DX6" s="325">
        <f>DS6+1</f>
        <v>2015</v>
      </c>
      <c r="DY6" s="327"/>
      <c r="DZ6" s="327"/>
      <c r="EA6" s="327"/>
      <c r="EB6" s="324"/>
      <c r="EC6" s="325">
        <f>DX6+1</f>
        <v>2016</v>
      </c>
      <c r="ED6" s="327"/>
      <c r="EE6" s="327"/>
      <c r="EF6" s="327"/>
      <c r="EG6" s="564"/>
      <c r="EH6" s="325">
        <f>EC6+1</f>
        <v>2017</v>
      </c>
      <c r="EI6" s="1185"/>
      <c r="EJ6" s="1185"/>
      <c r="EK6" s="1185"/>
      <c r="EL6" s="1186">
        <f>EH6+1</f>
        <v>2018</v>
      </c>
      <c r="EM6" s="1189">
        <f>EH6+1</f>
        <v>2018</v>
      </c>
      <c r="EN6" s="1190"/>
      <c r="EO6" s="1190"/>
      <c r="EP6" s="1191"/>
      <c r="EQ6" s="329">
        <v>1990</v>
      </c>
      <c r="ER6" s="329">
        <f t="shared" ref="ER6:FA6" si="0">EQ6+1</f>
        <v>1991</v>
      </c>
      <c r="ES6" s="329">
        <f t="shared" si="0"/>
        <v>1992</v>
      </c>
      <c r="ET6" s="329">
        <f t="shared" si="0"/>
        <v>1993</v>
      </c>
      <c r="EU6" s="329">
        <f t="shared" si="0"/>
        <v>1994</v>
      </c>
      <c r="EV6" s="329">
        <f t="shared" si="0"/>
        <v>1995</v>
      </c>
      <c r="EW6" s="329">
        <f t="shared" si="0"/>
        <v>1996</v>
      </c>
      <c r="EX6" s="329">
        <f t="shared" si="0"/>
        <v>1997</v>
      </c>
      <c r="EY6" s="329">
        <f t="shared" si="0"/>
        <v>1998</v>
      </c>
      <c r="EZ6" s="329">
        <f t="shared" si="0"/>
        <v>1999</v>
      </c>
      <c r="FA6" s="329">
        <f t="shared" si="0"/>
        <v>2000</v>
      </c>
      <c r="FB6" s="329">
        <v>2001</v>
      </c>
      <c r="FC6" s="329">
        <v>2002</v>
      </c>
      <c r="FD6" s="329">
        <v>2003</v>
      </c>
      <c r="FE6" s="329">
        <f>FD6+1</f>
        <v>2004</v>
      </c>
      <c r="FF6" s="329">
        <f>FE6+1</f>
        <v>2005</v>
      </c>
      <c r="FG6" s="329">
        <f t="shared" ref="FG6:FM6" si="1">FF6+1</f>
        <v>2006</v>
      </c>
      <c r="FH6" s="328">
        <f t="shared" si="1"/>
        <v>2007</v>
      </c>
      <c r="FI6" s="329">
        <f t="shared" si="1"/>
        <v>2008</v>
      </c>
      <c r="FJ6" s="329">
        <f t="shared" si="1"/>
        <v>2009</v>
      </c>
      <c r="FK6" s="1251"/>
      <c r="FL6" s="329">
        <f>FJ6+1</f>
        <v>2010</v>
      </c>
      <c r="FM6" s="329">
        <f t="shared" si="1"/>
        <v>2011</v>
      </c>
      <c r="FN6" s="329">
        <v>2012</v>
      </c>
      <c r="FO6" s="329">
        <v>2013</v>
      </c>
      <c r="FP6" s="329">
        <f>FO6+1</f>
        <v>2014</v>
      </c>
      <c r="FQ6" s="329">
        <f>FP6+1</f>
        <v>2015</v>
      </c>
      <c r="FR6" s="329">
        <v>2016</v>
      </c>
      <c r="FS6" s="329">
        <v>2017</v>
      </c>
      <c r="FT6" s="1229">
        <v>2018</v>
      </c>
      <c r="FU6" s="1229">
        <v>2019</v>
      </c>
      <c r="FV6" s="1230">
        <v>2020</v>
      </c>
      <c r="FW6" s="1229">
        <v>2021</v>
      </c>
      <c r="FX6" s="1230">
        <v>2022</v>
      </c>
    </row>
    <row r="7" spans="1:263" x14ac:dyDescent="0.2">
      <c r="A7" s="330" t="s">
        <v>175</v>
      </c>
      <c r="B7" s="305"/>
      <c r="C7" s="331" t="s">
        <v>89</v>
      </c>
      <c r="D7" s="331" t="s">
        <v>90</v>
      </c>
      <c r="E7" s="331" t="s">
        <v>91</v>
      </c>
      <c r="F7" s="331" t="s">
        <v>92</v>
      </c>
      <c r="G7" s="305"/>
      <c r="H7" s="331" t="s">
        <v>89</v>
      </c>
      <c r="I7" s="331" t="s">
        <v>90</v>
      </c>
      <c r="J7" s="331" t="s">
        <v>91</v>
      </c>
      <c r="K7" s="331" t="s">
        <v>92</v>
      </c>
      <c r="L7" s="305"/>
      <c r="M7" s="331" t="s">
        <v>89</v>
      </c>
      <c r="N7" s="331" t="s">
        <v>90</v>
      </c>
      <c r="O7" s="331" t="s">
        <v>91</v>
      </c>
      <c r="P7" s="331" t="s">
        <v>92</v>
      </c>
      <c r="Q7" s="305"/>
      <c r="R7" s="331" t="s">
        <v>89</v>
      </c>
      <c r="S7" s="331" t="s">
        <v>90</v>
      </c>
      <c r="T7" s="331" t="s">
        <v>91</v>
      </c>
      <c r="U7" s="331" t="s">
        <v>92</v>
      </c>
      <c r="V7" s="305"/>
      <c r="W7" s="331" t="s">
        <v>89</v>
      </c>
      <c r="X7" s="331" t="s">
        <v>90</v>
      </c>
      <c r="Y7" s="331" t="s">
        <v>91</v>
      </c>
      <c r="Z7" s="331" t="s">
        <v>92</v>
      </c>
      <c r="AA7" s="305"/>
      <c r="AB7" s="331" t="s">
        <v>89</v>
      </c>
      <c r="AC7" s="331" t="s">
        <v>90</v>
      </c>
      <c r="AD7" s="331" t="s">
        <v>91</v>
      </c>
      <c r="AE7" s="331" t="s">
        <v>92</v>
      </c>
      <c r="AF7" s="305"/>
      <c r="AG7" s="331" t="s">
        <v>89</v>
      </c>
      <c r="AH7" s="331" t="s">
        <v>90</v>
      </c>
      <c r="AI7" s="331" t="s">
        <v>91</v>
      </c>
      <c r="AJ7" s="331" t="s">
        <v>92</v>
      </c>
      <c r="AK7" s="305"/>
      <c r="AL7" s="331" t="s">
        <v>89</v>
      </c>
      <c r="AM7" s="331" t="s">
        <v>90</v>
      </c>
      <c r="AN7" s="331" t="s">
        <v>91</v>
      </c>
      <c r="AO7" s="331" t="s">
        <v>92</v>
      </c>
      <c r="AP7" s="305"/>
      <c r="AQ7" s="331" t="s">
        <v>89</v>
      </c>
      <c r="AR7" s="331" t="s">
        <v>90</v>
      </c>
      <c r="AS7" s="331" t="s">
        <v>91</v>
      </c>
      <c r="AT7" s="331" t="s">
        <v>92</v>
      </c>
      <c r="AU7" s="305"/>
      <c r="AV7" s="331" t="s">
        <v>89</v>
      </c>
      <c r="AW7" s="331" t="s">
        <v>90</v>
      </c>
      <c r="AX7" s="331" t="s">
        <v>91</v>
      </c>
      <c r="AY7" s="331" t="s">
        <v>92</v>
      </c>
      <c r="AZ7" s="305"/>
      <c r="BA7" s="331" t="s">
        <v>89</v>
      </c>
      <c r="BB7" s="331" t="s">
        <v>90</v>
      </c>
      <c r="BC7" s="331" t="s">
        <v>91</v>
      </c>
      <c r="BD7" s="331" t="s">
        <v>92</v>
      </c>
      <c r="BE7" s="305"/>
      <c r="BF7" s="331" t="s">
        <v>89</v>
      </c>
      <c r="BG7" s="331" t="s">
        <v>90</v>
      </c>
      <c r="BH7" s="331" t="s">
        <v>91</v>
      </c>
      <c r="BI7" s="331" t="s">
        <v>92</v>
      </c>
      <c r="BJ7" s="305"/>
      <c r="BK7" s="331" t="s">
        <v>89</v>
      </c>
      <c r="BL7" s="331" t="s">
        <v>90</v>
      </c>
      <c r="BM7" s="331" t="s">
        <v>91</v>
      </c>
      <c r="BN7" s="331" t="s">
        <v>92</v>
      </c>
      <c r="BO7" s="305"/>
      <c r="BP7" s="331" t="s">
        <v>89</v>
      </c>
      <c r="BQ7" s="331" t="s">
        <v>90</v>
      </c>
      <c r="BR7" s="331" t="s">
        <v>91</v>
      </c>
      <c r="BS7" s="331" t="s">
        <v>92</v>
      </c>
      <c r="BT7" s="305"/>
      <c r="BU7" s="331" t="s">
        <v>89</v>
      </c>
      <c r="BV7" s="331" t="s">
        <v>90</v>
      </c>
      <c r="BW7" s="331" t="s">
        <v>91</v>
      </c>
      <c r="BX7" s="331" t="s">
        <v>92</v>
      </c>
      <c r="BY7" s="305"/>
      <c r="BZ7" s="331" t="s">
        <v>89</v>
      </c>
      <c r="CA7" s="331" t="s">
        <v>90</v>
      </c>
      <c r="CB7" s="331" t="s">
        <v>91</v>
      </c>
      <c r="CC7" s="331" t="s">
        <v>92</v>
      </c>
      <c r="CD7" s="305"/>
      <c r="CE7" s="331" t="s">
        <v>89</v>
      </c>
      <c r="CF7" s="331" t="s">
        <v>90</v>
      </c>
      <c r="CG7" s="331" t="s">
        <v>91</v>
      </c>
      <c r="CH7" s="331" t="s">
        <v>92</v>
      </c>
      <c r="CI7" s="305"/>
      <c r="CJ7" s="331" t="s">
        <v>89</v>
      </c>
      <c r="CK7" s="331" t="s">
        <v>90</v>
      </c>
      <c r="CL7" s="331" t="s">
        <v>91</v>
      </c>
      <c r="CM7" s="331" t="s">
        <v>92</v>
      </c>
      <c r="CN7" s="305"/>
      <c r="CO7" s="331" t="s">
        <v>89</v>
      </c>
      <c r="CP7" s="331" t="s">
        <v>90</v>
      </c>
      <c r="CQ7" s="331" t="s">
        <v>91</v>
      </c>
      <c r="CR7" s="331" t="s">
        <v>92</v>
      </c>
      <c r="CS7" s="305"/>
      <c r="CT7" s="331" t="s">
        <v>89</v>
      </c>
      <c r="CU7" s="331" t="s">
        <v>90</v>
      </c>
      <c r="CV7" s="331" t="s">
        <v>91</v>
      </c>
      <c r="CW7" s="331" t="s">
        <v>92</v>
      </c>
      <c r="CX7" s="305"/>
      <c r="CY7" s="331" t="s">
        <v>89</v>
      </c>
      <c r="CZ7" s="331" t="s">
        <v>90</v>
      </c>
      <c r="DA7" s="331" t="s">
        <v>91</v>
      </c>
      <c r="DB7" s="331" t="s">
        <v>92</v>
      </c>
      <c r="DC7" s="305"/>
      <c r="DD7" s="331" t="s">
        <v>89</v>
      </c>
      <c r="DE7" s="331" t="s">
        <v>90</v>
      </c>
      <c r="DF7" s="331" t="s">
        <v>91</v>
      </c>
      <c r="DG7" s="331" t="s">
        <v>92</v>
      </c>
      <c r="DH7" s="305"/>
      <c r="DI7" s="331" t="s">
        <v>89</v>
      </c>
      <c r="DJ7" s="331" t="s">
        <v>90</v>
      </c>
      <c r="DK7" s="331" t="s">
        <v>91</v>
      </c>
      <c r="DL7" s="331" t="s">
        <v>92</v>
      </c>
      <c r="DM7" s="305"/>
      <c r="DN7" s="331" t="s">
        <v>89</v>
      </c>
      <c r="DO7" s="331" t="s">
        <v>90</v>
      </c>
      <c r="DP7" s="331" t="s">
        <v>91</v>
      </c>
      <c r="DQ7" s="331" t="s">
        <v>92</v>
      </c>
      <c r="DR7" s="305"/>
      <c r="DS7" s="331" t="s">
        <v>89</v>
      </c>
      <c r="DT7" s="331" t="s">
        <v>90</v>
      </c>
      <c r="DU7" s="331" t="s">
        <v>91</v>
      </c>
      <c r="DV7" s="331" t="s">
        <v>92</v>
      </c>
      <c r="DW7" s="305"/>
      <c r="DX7" s="331" t="s">
        <v>89</v>
      </c>
      <c r="DY7" s="331" t="s">
        <v>90</v>
      </c>
      <c r="DZ7" s="331" t="s">
        <v>91</v>
      </c>
      <c r="EA7" s="331" t="s">
        <v>92</v>
      </c>
      <c r="EB7" s="305"/>
      <c r="EC7" s="331" t="s">
        <v>89</v>
      </c>
      <c r="ED7" s="331" t="s">
        <v>90</v>
      </c>
      <c r="EE7" s="331" t="s">
        <v>91</v>
      </c>
      <c r="EF7" s="331" t="s">
        <v>92</v>
      </c>
      <c r="EG7" s="305"/>
      <c r="EH7" s="331" t="s">
        <v>89</v>
      </c>
      <c r="EI7" s="331" t="s">
        <v>90</v>
      </c>
      <c r="EJ7" s="331" t="s">
        <v>91</v>
      </c>
      <c r="EK7" s="331" t="s">
        <v>92</v>
      </c>
      <c r="EL7" s="1184"/>
      <c r="EM7" s="1192" t="s">
        <v>89</v>
      </c>
      <c r="EN7" s="1192" t="s">
        <v>90</v>
      </c>
      <c r="EO7" s="1192" t="s">
        <v>91</v>
      </c>
      <c r="EP7" s="1192" t="s">
        <v>92</v>
      </c>
      <c r="EQ7" s="332" t="s">
        <v>92</v>
      </c>
      <c r="ER7" s="331" t="s">
        <v>92</v>
      </c>
      <c r="ES7" s="331" t="s">
        <v>92</v>
      </c>
      <c r="ET7" s="331" t="s">
        <v>92</v>
      </c>
      <c r="EU7" s="331" t="s">
        <v>92</v>
      </c>
      <c r="EV7" s="331" t="s">
        <v>92</v>
      </c>
      <c r="EW7" s="331" t="s">
        <v>92</v>
      </c>
      <c r="EX7" s="331" t="s">
        <v>92</v>
      </c>
      <c r="EY7" s="331" t="s">
        <v>92</v>
      </c>
      <c r="EZ7" s="331" t="s">
        <v>92</v>
      </c>
      <c r="FA7" s="331" t="s">
        <v>92</v>
      </c>
      <c r="FB7" s="331" t="s">
        <v>92</v>
      </c>
      <c r="FC7" s="331" t="s">
        <v>92</v>
      </c>
      <c r="FD7" s="331" t="s">
        <v>92</v>
      </c>
      <c r="FE7" s="331" t="s">
        <v>92</v>
      </c>
      <c r="FF7" s="331" t="s">
        <v>92</v>
      </c>
      <c r="FG7" s="331" t="s">
        <v>92</v>
      </c>
      <c r="FH7" s="332" t="s">
        <v>92</v>
      </c>
      <c r="FI7" s="331" t="s">
        <v>92</v>
      </c>
      <c r="FJ7" s="331" t="s">
        <v>92</v>
      </c>
      <c r="FK7" s="1252"/>
      <c r="FL7" s="331" t="s">
        <v>92</v>
      </c>
      <c r="FM7" s="331" t="s">
        <v>92</v>
      </c>
      <c r="FN7" s="331" t="s">
        <v>92</v>
      </c>
      <c r="FO7" s="331" t="s">
        <v>92</v>
      </c>
      <c r="FP7" s="331" t="s">
        <v>92</v>
      </c>
      <c r="FQ7" s="331" t="s">
        <v>92</v>
      </c>
      <c r="FR7" s="331" t="s">
        <v>92</v>
      </c>
      <c r="FS7" s="331" t="s">
        <v>92</v>
      </c>
      <c r="FT7" s="331" t="s">
        <v>92</v>
      </c>
      <c r="FU7" s="331" t="s">
        <v>92</v>
      </c>
      <c r="FV7" s="333" t="s">
        <v>92</v>
      </c>
      <c r="FW7" s="331" t="s">
        <v>92</v>
      </c>
      <c r="FX7" s="1210" t="s">
        <v>92</v>
      </c>
      <c r="GG7" s="311"/>
      <c r="GH7" s="319"/>
    </row>
    <row r="8" spans="1:263" ht="9" customHeight="1" x14ac:dyDescent="0.2">
      <c r="A8" s="334"/>
      <c r="B8" s="305"/>
      <c r="C8" s="305"/>
      <c r="D8" s="305"/>
      <c r="E8" s="305"/>
      <c r="F8" s="305"/>
      <c r="G8" s="305"/>
      <c r="H8" s="305"/>
      <c r="I8" s="305"/>
      <c r="J8" s="305"/>
      <c r="K8" s="305"/>
      <c r="L8" s="305"/>
      <c r="M8" s="305"/>
      <c r="N8" s="305"/>
      <c r="O8" s="305"/>
      <c r="P8" s="305"/>
      <c r="Q8" s="305"/>
      <c r="R8" s="305"/>
      <c r="S8" s="305"/>
      <c r="T8" s="305"/>
      <c r="U8" s="305"/>
      <c r="V8" s="305"/>
      <c r="W8" s="305"/>
      <c r="X8" s="305"/>
      <c r="Y8" s="305"/>
      <c r="Z8" s="305"/>
      <c r="AA8" s="305"/>
      <c r="AB8" s="305"/>
      <c r="AC8" s="305"/>
      <c r="AD8" s="305"/>
      <c r="AE8" s="305"/>
      <c r="AF8" s="305"/>
      <c r="AG8" s="305"/>
      <c r="AH8" s="305"/>
      <c r="AI8" s="305"/>
      <c r="AJ8" s="305"/>
      <c r="AK8" s="305"/>
      <c r="AL8" s="305"/>
      <c r="AM8" s="305"/>
      <c r="AN8" s="305"/>
      <c r="AO8" s="305"/>
      <c r="AP8" s="305"/>
      <c r="AQ8" s="305"/>
      <c r="AR8" s="305"/>
      <c r="AS8" s="305"/>
      <c r="AT8" s="305"/>
      <c r="AU8" s="305"/>
      <c r="AV8" s="305"/>
      <c r="AW8" s="305"/>
      <c r="AX8" s="305"/>
      <c r="AY8" s="305"/>
      <c r="AZ8" s="305"/>
      <c r="BA8" s="305"/>
      <c r="BB8" s="305"/>
      <c r="BC8" s="305"/>
      <c r="BD8" s="305"/>
      <c r="BE8" s="305"/>
      <c r="BF8" s="305"/>
      <c r="BG8" s="305"/>
      <c r="BH8" s="305"/>
      <c r="BI8" s="305"/>
      <c r="BJ8" s="305"/>
      <c r="BK8" s="305"/>
      <c r="BL8" s="305"/>
      <c r="BM8" s="305"/>
      <c r="BN8" s="305"/>
      <c r="BO8" s="305"/>
      <c r="BP8" s="305"/>
      <c r="BQ8" s="305"/>
      <c r="BR8" s="305"/>
      <c r="BS8" s="305"/>
      <c r="BT8" s="305"/>
      <c r="BU8" s="305"/>
      <c r="BV8" s="305"/>
      <c r="BW8" s="305"/>
      <c r="BX8" s="305"/>
      <c r="BY8" s="305"/>
      <c r="BZ8" s="305"/>
      <c r="CA8" s="305"/>
      <c r="CB8" s="305"/>
      <c r="CC8" s="305"/>
      <c r="CD8" s="305"/>
      <c r="CE8" s="305"/>
      <c r="CF8" s="305"/>
      <c r="CG8" s="305"/>
      <c r="CH8" s="305"/>
      <c r="CI8" s="305"/>
      <c r="CJ8" s="305"/>
      <c r="CK8" s="305"/>
      <c r="CL8" s="305"/>
      <c r="CM8" s="305"/>
      <c r="CN8" s="305"/>
      <c r="CO8" s="305"/>
      <c r="CP8" s="305"/>
      <c r="CQ8" s="305"/>
      <c r="CR8" s="305"/>
      <c r="CS8" s="305"/>
      <c r="CT8" s="305"/>
      <c r="CU8" s="305"/>
      <c r="CV8" s="305"/>
      <c r="CW8" s="305"/>
      <c r="CX8" s="305"/>
      <c r="CY8" s="305"/>
      <c r="CZ8" s="305"/>
      <c r="DA8" s="305"/>
      <c r="DB8" s="305"/>
      <c r="DC8" s="305"/>
      <c r="DD8" s="305"/>
      <c r="DE8" s="305"/>
      <c r="DF8" s="305"/>
      <c r="DG8" s="305"/>
      <c r="DH8" s="305"/>
      <c r="DI8" s="305"/>
      <c r="DJ8" s="305"/>
      <c r="DK8" s="305"/>
      <c r="DL8" s="305"/>
      <c r="DM8" s="305"/>
      <c r="DN8" s="305"/>
      <c r="DO8" s="305"/>
      <c r="DP8" s="305"/>
      <c r="DQ8" s="305"/>
      <c r="DR8" s="305"/>
      <c r="DS8" s="305"/>
      <c r="DT8" s="305"/>
      <c r="DU8" s="305"/>
      <c r="DV8" s="305"/>
      <c r="DW8" s="305"/>
      <c r="DX8" s="305"/>
      <c r="DY8" s="305"/>
      <c r="DZ8" s="305"/>
      <c r="EA8" s="305"/>
      <c r="EB8" s="305"/>
      <c r="EC8" s="305"/>
      <c r="ED8" s="305"/>
      <c r="EE8" s="305"/>
      <c r="EF8" s="305"/>
      <c r="EG8" s="305"/>
      <c r="EH8" s="305"/>
      <c r="EI8" s="305"/>
      <c r="EJ8" s="305"/>
      <c r="EK8" s="305"/>
      <c r="EL8" s="305"/>
      <c r="EM8" s="1193"/>
      <c r="EN8" s="1193"/>
      <c r="EO8" s="1193"/>
      <c r="EP8" s="1193"/>
      <c r="EQ8" s="334"/>
      <c r="ER8" s="305"/>
      <c r="ES8" s="305"/>
      <c r="ET8" s="305"/>
      <c r="EU8" s="305"/>
      <c r="EV8" s="305"/>
      <c r="EW8" s="305"/>
      <c r="EX8" s="305"/>
      <c r="EY8" s="305"/>
      <c r="EZ8" s="305"/>
      <c r="FA8" s="305"/>
      <c r="FB8" s="305"/>
      <c r="FC8" s="305"/>
      <c r="FD8" s="305"/>
      <c r="FE8" s="305"/>
      <c r="FF8" s="305"/>
      <c r="FG8" s="305"/>
      <c r="FH8" s="334"/>
      <c r="FI8" s="305"/>
      <c r="FJ8" s="305"/>
      <c r="FK8" s="1253"/>
      <c r="FL8" s="305"/>
      <c r="FM8" s="305"/>
      <c r="FN8" s="305"/>
      <c r="FO8" s="305"/>
      <c r="FP8" s="305"/>
      <c r="FQ8" s="305"/>
      <c r="FR8" s="305"/>
      <c r="FS8" s="305"/>
      <c r="FT8" s="305"/>
      <c r="FU8" s="305"/>
      <c r="FV8" s="335"/>
      <c r="FW8" s="305"/>
      <c r="FX8" s="1214"/>
    </row>
    <row r="9" spans="1:263" ht="11.25" customHeight="1" x14ac:dyDescent="0.2">
      <c r="A9" s="334" t="s">
        <v>176</v>
      </c>
      <c r="B9" s="305"/>
      <c r="C9" s="336">
        <f>INDEX('qtrP&amp;L'!$10:$10,MATCH(C$6,'qtrP&amp;L'!$6:$6,0))</f>
        <v>161.37200000000001</v>
      </c>
      <c r="D9" s="336">
        <f>INDEX('qtrP&amp;L'!$11:$11,MATCH(C$6,'qtrP&amp;L'!$6:$6,0))</f>
        <v>156.04499999999999</v>
      </c>
      <c r="E9" s="336">
        <f>INDEX('qtrP&amp;L'!$12:$12,MATCH(C$6,'qtrP&amp;L'!$6:$6,0))</f>
        <v>199.64400000000001</v>
      </c>
      <c r="F9" s="336">
        <f>INDEX('qtrP&amp;L'!$13:$13,MATCH(C$6,'qtrP&amp;L'!$6:$6,0))</f>
        <v>272.73399999999998</v>
      </c>
      <c r="G9" s="337"/>
      <c r="H9" s="336">
        <f>INDEX('qtrP&amp;L'!$10:$10,MATCH(H$6,'qtrP&amp;L'!$6:$6,0))</f>
        <v>191.126</v>
      </c>
      <c r="I9" s="336">
        <f>INDEX('qtrP&amp;L'!$11:$11,MATCH(H$6,'qtrP&amp;L'!$6:$6,0))</f>
        <v>178.6</v>
      </c>
      <c r="J9" s="336">
        <f>INDEX('qtrP&amp;L'!$12:$12,MATCH(H$6,'qtrP&amp;L'!$6:$6,0))</f>
        <v>239.6</v>
      </c>
      <c r="K9" s="336">
        <f>INDEX('qtrP&amp;L'!$13:$13,MATCH(H$6,'qtrP&amp;L'!$6:$6,0))</f>
        <v>321.10000000000002</v>
      </c>
      <c r="L9" s="337"/>
      <c r="M9" s="336">
        <f>INDEX('qtrP&amp;L'!$10:$10,MATCH(M$6,'qtrP&amp;L'!$6:$6,0))</f>
        <v>211.6</v>
      </c>
      <c r="N9" s="336">
        <f>INDEX('qtrP&amp;L'!$11:$11,MATCH(M$6,'qtrP&amp;L'!$6:$6,0))</f>
        <v>217.6</v>
      </c>
      <c r="O9" s="336">
        <f>INDEX('qtrP&amp;L'!$12:$12,MATCH(M$6,'qtrP&amp;L'!$6:$6,0))</f>
        <v>285.2</v>
      </c>
      <c r="P9" s="336">
        <f>INDEX('qtrP&amp;L'!$13:$13,MATCH(M$6,'qtrP&amp;L'!$6:$6,0))</f>
        <v>379.4</v>
      </c>
      <c r="Q9" s="337"/>
      <c r="R9" s="336">
        <f>INDEX('qtrP&amp;L'!$10:$10,MATCH(R$6,'qtrP&amp;L'!$6:$6,0))</f>
        <v>250.2</v>
      </c>
      <c r="S9" s="336">
        <f>INDEX('qtrP&amp;L'!$11:$11,MATCH(R$6,'qtrP&amp;L'!$6:$6,0))</f>
        <v>257.39999999999998</v>
      </c>
      <c r="T9" s="336">
        <f>INDEX('qtrP&amp;L'!$12:$12,MATCH(R$6,'qtrP&amp;L'!$6:$6,0))</f>
        <v>340.9</v>
      </c>
      <c r="U9" s="336">
        <f>INDEX('qtrP&amp;L'!$13:$13,MATCH(R$6,'qtrP&amp;L'!$6:$6,0))</f>
        <v>457.1</v>
      </c>
      <c r="V9" s="337"/>
      <c r="W9" s="336">
        <f>INDEX('qtrP&amp;L'!$10:$10,MATCH(W$6,'qtrP&amp;L'!$6:$6,0))</f>
        <v>307.8</v>
      </c>
      <c r="X9" s="336">
        <f>INDEX('qtrP&amp;L'!$11:$11,MATCH(W$6,'qtrP&amp;L'!$6:$6,0))</f>
        <v>292.39999999999998</v>
      </c>
      <c r="Y9" s="336">
        <f>INDEX('qtrP&amp;L'!$12:$12,MATCH(W$6,'qtrP&amp;L'!$6:$6,0))</f>
        <v>389.5</v>
      </c>
      <c r="Z9" s="336">
        <f>INDEX('qtrP&amp;L'!$13:$13,MATCH(W$6,'qtrP&amp;L'!$6:$6,0))</f>
        <v>564.34</v>
      </c>
      <c r="AA9" s="337"/>
      <c r="AB9" s="336">
        <f>INDEX('qtrP&amp;L'!$10:$10,MATCH(AB$6,'qtrP&amp;L'!$6:$6,0))</f>
        <v>368.4</v>
      </c>
      <c r="AC9" s="336">
        <f>INDEX('qtrP&amp;L'!$11:$11,MATCH(AB$6,'qtrP&amp;L'!$6:$6,0))</f>
        <v>363.3</v>
      </c>
      <c r="AD9" s="336">
        <f>INDEX('qtrP&amp;L'!$12:$12,MATCH(AB$6,'qtrP&amp;L'!$6:$6,0))</f>
        <v>486.7</v>
      </c>
      <c r="AE9" s="336">
        <f>INDEX('qtrP&amp;L'!$13:$13,MATCH(AB$6,'qtrP&amp;L'!$6:$6,0))</f>
        <v>707</v>
      </c>
      <c r="AF9" s="337"/>
      <c r="AG9" s="336">
        <f>INDEX('qtrP&amp;L'!$10:$10,MATCH(AG$6,'qtrP&amp;L'!$6:$6,0))</f>
        <v>468.7</v>
      </c>
      <c r="AH9" s="336">
        <f>INDEX('qtrP&amp;L'!$11:$11,MATCH(AG$6,'qtrP&amp;L'!$6:$6,0))</f>
        <v>474.6</v>
      </c>
      <c r="AI9" s="336">
        <f>INDEX('qtrP&amp;L'!$12:$12,MATCH(AG$6,'qtrP&amp;L'!$6:$6,0))</f>
        <v>598.20000000000005</v>
      </c>
      <c r="AJ9" s="336">
        <f>INDEX('qtrP&amp;L'!$13:$13,MATCH(AG$6,'qtrP&amp;L'!$6:$6,0))</f>
        <v>847</v>
      </c>
      <c r="AK9" s="337"/>
      <c r="AL9" s="336">
        <f>INDEX('qtrP&amp;L'!$10:$10,MATCH(AL$6,'qtrP&amp;L'!$6:$6,0))</f>
        <v>600.54700000000003</v>
      </c>
      <c r="AM9" s="336">
        <f>INDEX('qtrP&amp;L'!$11:$11,MATCH(AL$6,'qtrP&amp;L'!$6:$6,0))</f>
        <v>623.93700000000001</v>
      </c>
      <c r="AN9" s="336">
        <f>INDEX('qtrP&amp;L'!$12:$12,MATCH(AL$6,'qtrP&amp;L'!$6:$6,0))</f>
        <v>757.8</v>
      </c>
      <c r="AO9" s="336">
        <f>INDEX('qtrP&amp;L'!$13:$13,MATCH(AL$6,'qtrP&amp;L'!$6:$6,0))</f>
        <v>1077.8</v>
      </c>
      <c r="AP9" s="337"/>
      <c r="AQ9" s="336">
        <f>INDEX('qtrP&amp;L'!$10:$10,MATCH(AQ$6,'qtrP&amp;L'!$6:$6,0))</f>
        <v>744.6</v>
      </c>
      <c r="AR9" s="336">
        <f>INDEX('qtrP&amp;L'!$11:$11,MATCH(AQ$6,'qtrP&amp;L'!$6:$6,0))</f>
        <v>758.75</v>
      </c>
      <c r="AS9" s="336">
        <f>INDEX('qtrP&amp;L'!$12:$12,MATCH(AQ$6,'qtrP&amp;L'!$6:$6,0))</f>
        <v>888.85</v>
      </c>
      <c r="AT9" s="336">
        <f>INDEX('qtrP&amp;L'!$13:$13,MATCH(AQ$6,'qtrP&amp;L'!$6:$6,0))</f>
        <v>1289.5</v>
      </c>
      <c r="AU9" s="337"/>
      <c r="AV9" s="336">
        <f>INDEX('qtrP&amp;L'!$10:$10,MATCH(AV$6,'qtrP&amp;L'!$6:$6,0))</f>
        <v>910.3</v>
      </c>
      <c r="AW9" s="336">
        <f>INDEX('qtrP&amp;L'!$11:$11,MATCH(AV$6,'qtrP&amp;L'!$6:$6,0))</f>
        <v>939.5</v>
      </c>
      <c r="AX9" s="336">
        <f>INDEX('qtrP&amp;L'!$12:$12,MATCH(AV$6,'qtrP&amp;L'!$6:$6,0))</f>
        <v>1099.68</v>
      </c>
      <c r="AY9" s="336">
        <f>INDEX('qtrP&amp;L'!$13:$13,MATCH(AV$6,'qtrP&amp;L'!$6:$6,0))</f>
        <v>1607.5</v>
      </c>
      <c r="AZ9" s="337"/>
      <c r="BA9" s="336">
        <f>INDEX('qtrP&amp;L'!$10:$10,MATCH(BA$6,'qtrP&amp;L'!$6:$6,0))</f>
        <v>1228.7</v>
      </c>
      <c r="BB9" s="336">
        <f>INDEX('qtrP&amp;L'!$11:$11,MATCH(BA$6,'qtrP&amp;L'!$6:$6,0))</f>
        <v>1255.4000000000001</v>
      </c>
      <c r="BC9" s="336">
        <f>INDEX('qtrP&amp;L'!$12:$12,MATCH(BA$6,'qtrP&amp;L'!$6:$6,0))</f>
        <v>1445</v>
      </c>
      <c r="BD9" s="336">
        <f>INDEX('qtrP&amp;L'!$13:$13,MATCH(BA$6,'qtrP&amp;L'!$6:$6,0))</f>
        <v>2223.1</v>
      </c>
      <c r="BE9" s="337"/>
      <c r="BF9" s="336">
        <f>INDEX('qtrP&amp;L'!$10:$10,MATCH(BF$6,'qtrP&amp;L'!$6:$6,0))</f>
        <v>1488.3</v>
      </c>
      <c r="BG9" s="336">
        <f>INDEX('qtrP&amp;L'!$11:$11,MATCH(BF$6,'qtrP&amp;L'!$6:$6,0))</f>
        <v>1515.8</v>
      </c>
      <c r="BH9" s="336">
        <f>INDEX('qtrP&amp;L'!$12:$12,MATCH(BF$6,'qtrP&amp;L'!$6:$6,0))</f>
        <v>1760.346</v>
      </c>
      <c r="BI9" s="336">
        <f>INDEX('qtrP&amp;L'!$13:$13,MATCH(BF$6,'qtrP&amp;L'!$6:$6,0))</f>
        <v>2724.2</v>
      </c>
      <c r="BJ9" s="337"/>
      <c r="BK9" s="336">
        <f>INDEX('qtrP&amp;L'!$10:$10,MATCH(BK$6,'qtrP&amp;L'!$6:$6,0))</f>
        <v>1870.5</v>
      </c>
      <c r="BL9" s="336">
        <f>INDEX('qtrP&amp;L'!$11:$11,MATCH(BK$6,'qtrP&amp;L'!$6:$6,0))</f>
        <v>1921.9</v>
      </c>
      <c r="BM9" s="336">
        <f>INDEX('qtrP&amp;L'!$12:$12,MATCH(BK$6,'qtrP&amp;L'!$6:$6,0))</f>
        <v>2143.4</v>
      </c>
      <c r="BN9" s="336">
        <f>INDEX('qtrP&amp;L'!$13:$13,MATCH(BK$6,'qtrP&amp;L'!$6:$6,0))</f>
        <v>3184.4</v>
      </c>
      <c r="BO9" s="337"/>
      <c r="BP9" s="336">
        <f>INDEX('qtrP&amp;L'!$10:$10,MATCH(BP$6,'qtrP&amp;L'!$6:$6,0))</f>
        <v>2117.6999999999998</v>
      </c>
      <c r="BQ9" s="336">
        <f>INDEX('qtrP&amp;L'!$11:$11,MATCH(BP$6,'qtrP&amp;L'!$6:$6,0))</f>
        <v>2208.4</v>
      </c>
      <c r="BR9" s="336">
        <f>INDEX('qtrP&amp;L'!$12:$12,MATCH(BP$6,'qtrP&amp;L'!$6:$6,0))</f>
        <v>2394</v>
      </c>
      <c r="BS9" s="336">
        <f>INDEX('qtrP&amp;L'!$13:$13,MATCH(BP$6,'qtrP&amp;L'!$6:$6,0))</f>
        <v>3561.9</v>
      </c>
      <c r="BT9" s="337"/>
      <c r="BU9" s="336">
        <f>INDEX('qtrP&amp;L'!$10:$10,MATCH(BU$6,'qtrP&amp;L'!$6:$6,0))</f>
        <v>2380.1999999999998</v>
      </c>
      <c r="BV9" s="336">
        <f>INDEX('qtrP&amp;L'!$11:$11,MATCH(BU$6,'qtrP&amp;L'!$6:$6,0))</f>
        <v>2497.9</v>
      </c>
      <c r="BW9" s="336">
        <f>INDEX('qtrP&amp;L'!$12:$12,MATCH(BU$6,'qtrP&amp;L'!$6:$6,0))</f>
        <v>2743.9</v>
      </c>
      <c r="BX9" s="336">
        <f>INDEX('qtrP&amp;L'!$13:$13,MATCH(BU$6,'qtrP&amp;L'!$6:$6,0))</f>
        <v>4078.7</v>
      </c>
      <c r="BY9" s="337"/>
      <c r="BZ9" s="336">
        <f>INDEX('qtrP&amp;L'!$10:$10,MATCH(BZ$6,'qtrP&amp;L'!$6:$6,0))</f>
        <v>2742.8</v>
      </c>
      <c r="CA9" s="336">
        <f>INDEX('qtrP&amp;L'!$11:$11,MATCH(BZ$6,'qtrP&amp;L'!$6:$6,0))</f>
        <v>2888.1</v>
      </c>
      <c r="CB9" s="336">
        <f>INDEX('qtrP&amp;L'!$12:$12,MATCH(BZ$6,'qtrP&amp;L'!$6:$6,0))</f>
        <v>3119.4</v>
      </c>
      <c r="CC9" s="336">
        <f>INDEX('qtrP&amp;L'!$13:$13,MATCH(BZ$6,'qtrP&amp;L'!$6:$6,0))</f>
        <v>4651.8999999999996</v>
      </c>
      <c r="CD9" s="337"/>
      <c r="CE9" s="336">
        <f>INDEX('qtrP&amp;L'!$10:$10,MATCH(CE$6,'qtrP&amp;L'!$6:$6,0))</f>
        <v>3184.7</v>
      </c>
      <c r="CF9" s="336">
        <f>INDEX('qtrP&amp;L'!$11:$11,MATCH(CE$6,'qtrP&amp;L'!$6:$6,0))</f>
        <v>3301.5070000000001</v>
      </c>
      <c r="CG9" s="336">
        <f>INDEX('qtrP&amp;L'!$12:$12,MATCH(CE$6,'qtrP&amp;L'!$6:$6,0))</f>
        <v>3650.4940000000001</v>
      </c>
      <c r="CH9" s="336">
        <f>INDEX('qtrP&amp;L'!$13:$13,MATCH(CE$6,'qtrP&amp;L'!$6:$6,0))</f>
        <v>5448.6</v>
      </c>
      <c r="CI9" s="337"/>
      <c r="CJ9" s="336">
        <f>INDEX('qtrP&amp;L'!$10:$10,MATCH(CJ$6,'qtrP&amp;L'!$6:$6,0))</f>
        <v>3572</v>
      </c>
      <c r="CK9" s="336">
        <f>INDEX('qtrP&amp;L'!$11:$11,MATCH(CJ$6,'qtrP&amp;L'!$6:$6,0))</f>
        <v>3589.2</v>
      </c>
      <c r="CL9" s="336">
        <f>INDEX('qtrP&amp;L'!$12:$12,MATCH(CJ$6,'qtrP&amp;L'!$6:$6,0))</f>
        <v>3825.2</v>
      </c>
      <c r="CM9" s="336">
        <f>INDEX('qtrP&amp;L'!$13:$13,MATCH(CJ$6,'qtrP&amp;L'!$6:$6,0))</f>
        <v>5487.3</v>
      </c>
      <c r="CN9" s="337"/>
      <c r="CO9" s="336">
        <f>INDEX('qtrP&amp;L'!$10:$10,MATCH(CO$6,'qtrP&amp;L'!$6:$6,0))</f>
        <v>3624.259</v>
      </c>
      <c r="CP9" s="336">
        <f>INDEX('qtrP&amp;L'!$11:$11,MATCH(CO$6,'qtrP&amp;L'!$6:$6,0))</f>
        <v>3725.49</v>
      </c>
      <c r="CQ9" s="336">
        <f>INDEX('qtrP&amp;L'!$12:$12,MATCH(CO$6,'qtrP&amp;L'!$6:$6,0))</f>
        <v>3803.6489999999999</v>
      </c>
      <c r="CR9" s="336">
        <f>INDEX('qtrP&amp;L'!$13:$13,MATCH(CO$6,'qtrP&amp;L'!$6:$6,0))</f>
        <v>5235</v>
      </c>
      <c r="CS9" s="337"/>
      <c r="CT9" s="336">
        <f>INDEX('qtrP&amp;L'!$10:$10,MATCH(CT$6,'qtrP&amp;L'!$6:$6,0))</f>
        <v>3638</v>
      </c>
      <c r="CU9" s="336">
        <f>INDEX('qtrP&amp;L'!$11:$11,MATCH(CT$6,'qtrP&amp;L'!$6:$6,0))</f>
        <v>3806</v>
      </c>
      <c r="CV9" s="336">
        <f>INDEX('qtrP&amp;L'!$12:$12,MATCH(CT$6,'qtrP&amp;L'!$6:$6,0))</f>
        <v>4051</v>
      </c>
      <c r="CW9" s="336">
        <f>INDEX('qtrP&amp;L'!$13:$13,MATCH(CT$6,'qtrP&amp;L'!$6:$6,0))</f>
        <v>5683</v>
      </c>
      <c r="CX9" s="337"/>
      <c r="CY9" s="336">
        <f>INDEX('qtrP&amp;L'!$10:$10,MATCH(CY$6,'qtrP&amp;L'!$6:$6,0))</f>
        <v>4035</v>
      </c>
      <c r="CZ9" s="336">
        <f>INDEX('qtrP&amp;L'!$11:$11,MATCH(CY$6,'qtrP&amp;L'!$6:$6,0))</f>
        <v>4100</v>
      </c>
      <c r="DA9" s="336">
        <f>INDEX('qtrP&amp;L'!$12:$12,MATCH(CY$6,'qtrP&amp;L'!$6:$6,0))</f>
        <v>4218</v>
      </c>
      <c r="DB9" s="336">
        <f>INDEX('qtrP&amp;L'!$13:$13,MATCH(CY$6,'qtrP&amp;L'!$6:$6,0))</f>
        <v>6038</v>
      </c>
      <c r="DC9" s="337"/>
      <c r="DD9" s="336">
        <f>INDEX('qtrP&amp;L'!$10:$10,MATCH(DD$6,'qtrP&amp;L'!$6:$6,0))</f>
        <v>4162</v>
      </c>
      <c r="DE9" s="336">
        <f>INDEX('qtrP&amp;L'!$11:$11,MATCH(DD$6,'qtrP&amp;L'!$6:$6,0))</f>
        <v>4248</v>
      </c>
      <c r="DF9" s="336">
        <f>INDEX('qtrP&amp;L'!$12:$12,MATCH(DD$6,'qtrP&amp;L'!$6:$6,0))</f>
        <v>4376</v>
      </c>
      <c r="DG9" s="336">
        <f>INDEX('qtrP&amp;L'!$13:$13,MATCH(DD$6,'qtrP&amp;L'!$6:$6,0))</f>
        <v>6018</v>
      </c>
      <c r="DH9" s="337"/>
      <c r="DI9" s="336">
        <f>INDEX('qtrP&amp;L'!$10:$10,MATCH(DI$6,'qtrP&amp;L'!$6:$6,0))</f>
        <v>4243</v>
      </c>
      <c r="DJ9" s="336">
        <f>INDEX('qtrP&amp;L'!$11:$11,MATCH(DI$6,'qtrP&amp;L'!$6:$6,0))</f>
        <v>4205</v>
      </c>
      <c r="DK9" s="336">
        <f>INDEX('qtrP&amp;L'!$12:$12,MATCH(DI$6,'qtrP&amp;L'!$6:$6,0))</f>
        <v>4490</v>
      </c>
      <c r="DL9" s="336">
        <f>INDEX('qtrP&amp;L'!$13:$13,MATCH(DI$6,'qtrP&amp;L'!$6:$6,0))</f>
        <v>6342</v>
      </c>
      <c r="DM9" s="337"/>
      <c r="DN9" s="336">
        <f>INDEX('qtrP&amp;L'!$10:$10,MATCH(DN$6,'qtrP&amp;L'!$6:$6,0))</f>
        <v>4199</v>
      </c>
      <c r="DO9" s="336">
        <f>INDEX('qtrP&amp;L'!$11:$11,MATCH(DN$6,'qtrP&amp;L'!$6:$6,0))</f>
        <v>4289</v>
      </c>
      <c r="DP9" s="336">
        <f>INDEX('qtrP&amp;L'!$12:$12,MATCH(DN$6,'qtrP&amp;L'!$6:$6,0))</f>
        <v>4444</v>
      </c>
      <c r="DQ9" s="336">
        <f>INDEX('qtrP&amp;L'!$13:$13,MATCH(DN$6,'qtrP&amp;L'!$6:$6,0))</f>
        <v>6099</v>
      </c>
      <c r="DR9" s="337"/>
      <c r="DS9" s="336">
        <f>INDEX('qtrP&amp;L'!$10:$10,MATCH(DS$6,'qtrP&amp;L'!$6:$6,0))</f>
        <v>4070</v>
      </c>
      <c r="DT9" s="336">
        <f>INDEX('qtrP&amp;L'!$11:$11,MATCH(DS$6,'qtrP&amp;L'!$6:$6,0))</f>
        <v>4242</v>
      </c>
      <c r="DU9" s="336">
        <f>INDEX('qtrP&amp;L'!$12:$12,MATCH(DS$6,'qtrP&amp;L'!$6:$6,0))</f>
        <v>4374</v>
      </c>
      <c r="DV9" s="336">
        <f>INDEX('qtrP&amp;L'!$13:$13,MATCH(DS$6,'qtrP&amp;L'!$6:$6,0))</f>
        <v>6337</v>
      </c>
      <c r="DW9" s="337"/>
      <c r="DX9" s="336">
        <f>INDEX('qtrP&amp;L'!$10:$10,MATCH(DX$6,'qtrP&amp;L'!$6:$6,0))</f>
        <v>4123</v>
      </c>
      <c r="DY9" s="336">
        <f>INDEX('qtrP&amp;L'!$11:$11,MATCH(DX$6,'qtrP&amp;L'!$6:$6,0))</f>
        <v>4267</v>
      </c>
      <c r="DZ9" s="336">
        <f>INDEX('qtrP&amp;L'!$12:$12,MATCH(DX$6,'qtrP&amp;L'!$6:$6,0))</f>
        <v>4427</v>
      </c>
      <c r="EA9" s="336">
        <f>INDEX('qtrP&amp;L'!$13:$13,MATCH(DX$6,'qtrP&amp;L'!$6:$6,0))</f>
        <v>6387</v>
      </c>
      <c r="EB9" s="337"/>
      <c r="EC9" s="336">
        <f>INDEX('qtrP&amp;L'!$10:$10,MATCH(EC$6,'qtrP&amp;L'!$6:$6,0))</f>
        <v>3972</v>
      </c>
      <c r="ED9" s="336">
        <f>INDEX('qtrP&amp;L'!$11:$11,MATCH(EC$6,'qtrP&amp;L'!$6:$6,0))</f>
        <v>4182</v>
      </c>
      <c r="EE9" s="336">
        <f>INDEX('qtrP&amp;L'!$12:$12,MATCH(EC$6,'qtrP&amp;L'!$6:$6,0))</f>
        <v>4327</v>
      </c>
      <c r="EF9" s="336">
        <f>INDEX('qtrP&amp;L'!$13:$13,MATCH(EC$6,'qtrP&amp;L'!$6:$6,0))</f>
        <v>6205</v>
      </c>
      <c r="EG9" s="305"/>
      <c r="EH9" s="336">
        <f>INDEX('qtrP&amp;L'!$10:$10,MATCH(EH$6,'qtrP&amp;L'!$6:$6,0))</f>
        <v>3843</v>
      </c>
      <c r="EI9" s="336">
        <f>INDEX('qtrP&amp;L'!$11:$11,MATCH(EH$6,'qtrP&amp;L'!$6:$6,0))</f>
        <v>4144</v>
      </c>
      <c r="EJ9" s="336">
        <f>INDEX('qtrP&amp;L'!$12:$12,MATCH(EH$6,'qtrP&amp;L'!$6:$6,0))</f>
        <v>4332</v>
      </c>
      <c r="EK9" s="336">
        <f>INDEX('qtrP&amp;L'!$13:$13,MATCH(EH$6,'qtrP&amp;L'!$6:$6,0))</f>
        <v>6776</v>
      </c>
      <c r="EL9" s="336"/>
      <c r="EM9" s="1194">
        <f>INDEX('qtrP&amp;L'!$10:$10,MATCH(EM$6,'qtrP&amp;L'!$6:$6,0))</f>
        <v>3975.9677999999999</v>
      </c>
      <c r="EN9" s="1194">
        <f>INDEX('qtrP&amp;L'!$11:$11,MATCH(EM$6,'qtrP&amp;L'!$6:$6,0))</f>
        <v>4175.4944000000005</v>
      </c>
      <c r="EO9" s="1194">
        <f>INDEX('qtrP&amp;L'!$12:$12,MATCH(EM$6,'qtrP&amp;L'!$6:$6,0))</f>
        <v>4276.3337999999994</v>
      </c>
      <c r="EP9" s="1194">
        <f>INDEX('qtrP&amp;L'!$13:$13,MATCH(EM$6,'qtrP&amp;L'!$6:$6,0))</f>
        <v>6357.2431999999999</v>
      </c>
      <c r="EQ9" s="338">
        <f>'yrP&amp;L'!C7</f>
        <v>789.79500000000007</v>
      </c>
      <c r="ER9" s="336">
        <f>'yrP&amp;L'!D7</f>
        <v>930.42600000000004</v>
      </c>
      <c r="ES9" s="336">
        <f>'yrP&amp;L'!E7</f>
        <v>1096.856</v>
      </c>
      <c r="ET9" s="336">
        <f>'yrP&amp;L'!F7</f>
        <v>1305.5999999999999</v>
      </c>
      <c r="EU9" s="336">
        <f>'yrP&amp;L'!G7</f>
        <v>1554.04</v>
      </c>
      <c r="EV9" s="336">
        <f>'yrP&amp;L'!H7</f>
        <v>1925.6690000000001</v>
      </c>
      <c r="EW9" s="336">
        <f>'yrP&amp;L'!I7</f>
        <v>2388.5</v>
      </c>
      <c r="EX9" s="336">
        <f>'yrP&amp;L'!J7</f>
        <v>3060.0839999999998</v>
      </c>
      <c r="EY9" s="336">
        <f>'yrP&amp;L'!K7</f>
        <v>3681.7</v>
      </c>
      <c r="EZ9" s="336">
        <f>'yrP&amp;L'!L7</f>
        <v>4556.9799999999996</v>
      </c>
      <c r="FA9" s="336">
        <f>'yrP&amp;L'!M7</f>
        <v>6152.2000000000007</v>
      </c>
      <c r="FB9" s="336">
        <f>'yrP&amp;L'!N7</f>
        <v>7488.6459999999997</v>
      </c>
      <c r="FC9" s="336">
        <f>'yrP&amp;L'!O7</f>
        <v>9120.2000000000007</v>
      </c>
      <c r="FD9" s="336">
        <f>'yrP&amp;L'!P7</f>
        <v>10282</v>
      </c>
      <c r="FE9" s="336">
        <f>'yrP&amp;L'!Q7</f>
        <v>11700.7</v>
      </c>
      <c r="FF9" s="336">
        <f>'yrP&amp;L'!R7</f>
        <v>13402.199999999999</v>
      </c>
      <c r="FG9" s="336">
        <f>'yrP&amp;L'!S7</f>
        <v>15585.301000000001</v>
      </c>
      <c r="FH9" s="338">
        <f>'yrP&amp;L'!T7</f>
        <v>16473.7</v>
      </c>
      <c r="FI9" s="336">
        <f>'yrP&amp;L'!U7</f>
        <v>16388.398000000001</v>
      </c>
      <c r="FJ9" s="336">
        <f>'yrP&amp;L'!V7</f>
        <v>17178</v>
      </c>
      <c r="FK9" s="1254"/>
      <c r="FL9" s="336">
        <f>'yrP&amp;L'!W7</f>
        <v>18391</v>
      </c>
      <c r="FM9" s="336">
        <f>'yrP&amp;L'!X7</f>
        <v>18804</v>
      </c>
      <c r="FN9" s="336">
        <f>'yrP&amp;L'!Y7</f>
        <v>19280</v>
      </c>
      <c r="FO9" s="336">
        <f>'yrP&amp;L'!Z7</f>
        <v>19031</v>
      </c>
      <c r="FP9" s="336">
        <f>'yrP&amp;L'!AA7</f>
        <v>19023</v>
      </c>
      <c r="FQ9" s="336">
        <f>'yrP&amp;L'!AB7</f>
        <v>19204</v>
      </c>
      <c r="FR9" s="336">
        <f>'yrP&amp;L'!AC7</f>
        <v>18686</v>
      </c>
      <c r="FS9" s="336">
        <f>'yrP&amp;L'!AD7</f>
        <v>19095</v>
      </c>
      <c r="FT9" s="336">
        <f>'yrP&amp;L'!AE7</f>
        <v>18785.039199999999</v>
      </c>
      <c r="FU9" s="336">
        <f>'yrP&amp;L'!AF7</f>
        <v>18511.202673515378</v>
      </c>
      <c r="FV9" s="339">
        <f>'yrP&amp;L'!AG7</f>
        <v>18233.534633412648</v>
      </c>
      <c r="FW9" s="336">
        <f>'yrP&amp;L'!AH7</f>
        <v>17960.031613911458</v>
      </c>
      <c r="FX9" s="339">
        <f>'yrP&amp;L'!AI7</f>
        <v>17690.631139702786</v>
      </c>
    </row>
    <row r="10" spans="1:263" ht="9" customHeight="1" x14ac:dyDescent="0.2">
      <c r="A10" s="334"/>
      <c r="B10" s="305"/>
      <c r="C10" s="305"/>
      <c r="D10" s="305"/>
      <c r="E10" s="305"/>
      <c r="F10" s="305"/>
      <c r="G10" s="305"/>
      <c r="H10" s="305"/>
      <c r="I10" s="305"/>
      <c r="J10" s="305"/>
      <c r="K10" s="305"/>
      <c r="L10" s="305"/>
      <c r="M10" s="305"/>
      <c r="N10" s="305"/>
      <c r="O10" s="305"/>
      <c r="P10" s="305"/>
      <c r="Q10" s="305"/>
      <c r="R10" s="305"/>
      <c r="S10" s="305"/>
      <c r="T10" s="305"/>
      <c r="U10" s="305"/>
      <c r="V10" s="305"/>
      <c r="W10" s="305"/>
      <c r="X10" s="305"/>
      <c r="Y10" s="305"/>
      <c r="Z10" s="305"/>
      <c r="AA10" s="305"/>
      <c r="AB10" s="305"/>
      <c r="AC10" s="305"/>
      <c r="AD10" s="305"/>
      <c r="AE10" s="305"/>
      <c r="AF10" s="305"/>
      <c r="AG10" s="305"/>
      <c r="AH10" s="305"/>
      <c r="AI10" s="305"/>
      <c r="AJ10" s="305"/>
      <c r="AK10" s="305"/>
      <c r="AL10" s="305"/>
      <c r="AM10" s="305"/>
      <c r="AN10" s="305"/>
      <c r="AO10" s="305"/>
      <c r="AP10" s="305"/>
      <c r="AQ10" s="305"/>
      <c r="AR10" s="305"/>
      <c r="AS10" s="305"/>
      <c r="AT10" s="305"/>
      <c r="AU10" s="305"/>
      <c r="AV10" s="305"/>
      <c r="AW10" s="305"/>
      <c r="AX10" s="305"/>
      <c r="AY10" s="305"/>
      <c r="AZ10" s="305"/>
      <c r="BA10" s="305"/>
      <c r="BB10" s="305"/>
      <c r="BC10" s="305"/>
      <c r="BD10" s="305"/>
      <c r="BE10" s="305"/>
      <c r="BF10" s="305"/>
      <c r="BG10" s="305"/>
      <c r="BH10" s="305"/>
      <c r="BI10" s="305"/>
      <c r="BJ10" s="305"/>
      <c r="BK10" s="305"/>
      <c r="BL10" s="305"/>
      <c r="BM10" s="305"/>
      <c r="BN10" s="305"/>
      <c r="BO10" s="305"/>
      <c r="BP10" s="305"/>
      <c r="BQ10" s="305"/>
      <c r="BR10" s="305"/>
      <c r="BS10" s="305"/>
      <c r="BT10" s="305"/>
      <c r="BU10" s="305"/>
      <c r="BV10" s="305"/>
      <c r="BW10" s="305"/>
      <c r="BX10" s="305"/>
      <c r="BY10" s="305"/>
      <c r="BZ10" s="305"/>
      <c r="CA10" s="305"/>
      <c r="CB10" s="305"/>
      <c r="CC10" s="305"/>
      <c r="CD10" s="305"/>
      <c r="CE10" s="305"/>
      <c r="CF10" s="305"/>
      <c r="CG10" s="305"/>
      <c r="CH10" s="305"/>
      <c r="CI10" s="305"/>
      <c r="CJ10" s="305"/>
      <c r="CK10" s="305"/>
      <c r="CL10" s="305"/>
      <c r="CM10" s="305"/>
      <c r="CN10" s="305"/>
      <c r="CO10" s="305"/>
      <c r="CP10" s="305"/>
      <c r="CQ10" s="305"/>
      <c r="CR10" s="305"/>
      <c r="CS10" s="305"/>
      <c r="CT10" s="305"/>
      <c r="CU10" s="305"/>
      <c r="CV10" s="305"/>
      <c r="CW10" s="305"/>
      <c r="CX10" s="305"/>
      <c r="CY10" s="305"/>
      <c r="CZ10" s="305"/>
      <c r="DA10" s="305"/>
      <c r="DB10" s="305"/>
      <c r="DC10" s="305"/>
      <c r="DD10" s="305"/>
      <c r="DE10" s="305"/>
      <c r="DF10" s="305"/>
      <c r="DG10" s="305"/>
      <c r="DH10" s="305"/>
      <c r="DI10" s="305"/>
      <c r="DJ10" s="305"/>
      <c r="DK10" s="305"/>
      <c r="DL10" s="305"/>
      <c r="DM10" s="305"/>
      <c r="DN10" s="305"/>
      <c r="DO10" s="305"/>
      <c r="DP10" s="305"/>
      <c r="DQ10" s="305"/>
      <c r="DR10" s="305"/>
      <c r="DS10" s="305"/>
      <c r="DT10" s="305"/>
      <c r="DU10" s="305"/>
      <c r="DV10" s="305"/>
      <c r="DW10" s="305"/>
      <c r="DX10" s="305"/>
      <c r="DY10" s="305"/>
      <c r="DZ10" s="305"/>
      <c r="EA10" s="305"/>
      <c r="EB10" s="305"/>
      <c r="EC10" s="305"/>
      <c r="ED10" s="305"/>
      <c r="EE10" s="305"/>
      <c r="EF10" s="305"/>
      <c r="EG10" s="305"/>
      <c r="EH10" s="305"/>
      <c r="EI10" s="305"/>
      <c r="EJ10" s="305"/>
      <c r="EK10" s="305"/>
      <c r="EL10" s="305"/>
      <c r="EM10" s="1193"/>
      <c r="EN10" s="1193"/>
      <c r="EO10" s="1193"/>
      <c r="EP10" s="1193"/>
      <c r="EQ10" s="340"/>
      <c r="ER10" s="341"/>
      <c r="ES10" s="341"/>
      <c r="ET10" s="341"/>
      <c r="EU10" s="341"/>
      <c r="EV10" s="341"/>
      <c r="EW10" s="341"/>
      <c r="EX10" s="341"/>
      <c r="EY10" s="341"/>
      <c r="EZ10" s="341"/>
      <c r="FA10" s="341"/>
      <c r="FB10" s="341"/>
      <c r="FC10" s="341"/>
      <c r="FD10" s="341"/>
      <c r="FE10" s="341"/>
      <c r="FF10" s="341"/>
      <c r="FG10" s="341"/>
      <c r="FH10" s="340"/>
      <c r="FI10" s="341"/>
      <c r="FJ10" s="341"/>
      <c r="FK10" s="1255"/>
      <c r="FL10" s="341"/>
      <c r="FM10" s="341"/>
      <c r="FN10" s="341"/>
      <c r="FO10" s="341"/>
      <c r="FP10" s="341"/>
      <c r="FQ10" s="341"/>
      <c r="FR10" s="341"/>
      <c r="FS10" s="341"/>
      <c r="FT10" s="341"/>
      <c r="FU10" s="341"/>
      <c r="FV10" s="342"/>
      <c r="FW10" s="341"/>
      <c r="FX10" s="342"/>
    </row>
    <row r="11" spans="1:263" x14ac:dyDescent="0.2">
      <c r="A11" s="334" t="s">
        <v>177</v>
      </c>
      <c r="B11" s="305"/>
      <c r="C11" s="343">
        <f>INDEX('qtrP&amp;L'!$20:$20,MATCH(C$6,'qtrP&amp;L'!$6:$6,0))</f>
        <v>106.989</v>
      </c>
      <c r="D11" s="343">
        <f>INDEX('qtrP&amp;L'!$21:$21,MATCH(C$6,'qtrP&amp;L'!$6:$6,0))</f>
        <v>102.91</v>
      </c>
      <c r="E11" s="343">
        <f>INDEX('qtrP&amp;L'!$22:$22,MATCH(C$6,'qtrP&amp;L'!$6:$6,0))</f>
        <v>130.49900000000002</v>
      </c>
      <c r="F11" s="343">
        <f>INDEX('qtrP&amp;L'!$23:$23,MATCH(C$6,'qtrP&amp;L'!$6:$6,0))</f>
        <v>184.83600000000001</v>
      </c>
      <c r="G11" s="343"/>
      <c r="H11" s="343">
        <f>INDEX('qtrP&amp;L'!$20:$20,MATCH(H$6,'qtrP&amp;L'!$6:$6,0))</f>
        <v>126.461</v>
      </c>
      <c r="I11" s="343">
        <f>INDEX('qtrP&amp;L'!$21:$21,MATCH(H$6,'qtrP&amp;L'!$6:$6,0))</f>
        <v>116.98399999999998</v>
      </c>
      <c r="J11" s="343">
        <f>INDEX('qtrP&amp;L'!$22:$22,MATCH(H$6,'qtrP&amp;L'!$6:$6,0))</f>
        <v>160.53100000000001</v>
      </c>
      <c r="K11" s="343">
        <f>INDEX('qtrP&amp;L'!$23:$23,MATCH(H$6,'qtrP&amp;L'!$6:$6,0))</f>
        <v>216.39700000000005</v>
      </c>
      <c r="L11" s="343"/>
      <c r="M11" s="343">
        <f>INDEX('qtrP&amp;L'!$20:$20,MATCH(M$6,'qtrP&amp;L'!$6:$6,0))</f>
        <v>137.976</v>
      </c>
      <c r="N11" s="343">
        <f>INDEX('qtrP&amp;L'!$21:$21,MATCH(M$6,'qtrP&amp;L'!$6:$6,0))</f>
        <v>141.577</v>
      </c>
      <c r="O11" s="343">
        <f>INDEX('qtrP&amp;L'!$22:$22,MATCH(M$6,'qtrP&amp;L'!$6:$6,0))</f>
        <v>188.95400000000001</v>
      </c>
      <c r="P11" s="343">
        <f>INDEX('qtrP&amp;L'!$23:$23,MATCH(M$6,'qtrP&amp;L'!$6:$6,0))</f>
        <v>255.863</v>
      </c>
      <c r="Q11" s="343"/>
      <c r="R11" s="343">
        <f>INDEX('qtrP&amp;L'!$20:$20,MATCH(R$6,'qtrP&amp;L'!$6:$6,0))</f>
        <v>163.25</v>
      </c>
      <c r="S11" s="343">
        <f>INDEX('qtrP&amp;L'!$21:$21,MATCH(R$6,'qtrP&amp;L'!$6:$6,0))</f>
        <v>168.44299999999998</v>
      </c>
      <c r="T11" s="343">
        <f>INDEX('qtrP&amp;L'!$22:$22,MATCH(R$6,'qtrP&amp;L'!$6:$6,0))</f>
        <v>227.66499999999999</v>
      </c>
      <c r="U11" s="343">
        <f>INDEX('qtrP&amp;L'!$23:$23,MATCH(R$6,'qtrP&amp;L'!$6:$6,0))</f>
        <v>309.51799999999997</v>
      </c>
      <c r="V11" s="343"/>
      <c r="W11" s="343">
        <f>INDEX('qtrP&amp;L'!$20:$20,MATCH(W$6,'qtrP&amp;L'!$6:$6,0))</f>
        <v>201.90899999999999</v>
      </c>
      <c r="X11" s="343">
        <f>INDEX('qtrP&amp;L'!$21:$21,MATCH(W$6,'qtrP&amp;L'!$6:$6,0))</f>
        <v>191.67700000000002</v>
      </c>
      <c r="Y11" s="343">
        <f>INDEX('qtrP&amp;L'!$22:$22,MATCH(W$6,'qtrP&amp;L'!$6:$6,0))</f>
        <v>259.37</v>
      </c>
      <c r="Z11" s="343">
        <f>INDEX('qtrP&amp;L'!$23:$23,MATCH(W$6,'qtrP&amp;L'!$6:$6,0))</f>
        <v>385.596</v>
      </c>
      <c r="AA11" s="343"/>
      <c r="AB11" s="343">
        <f>INDEX('qtrP&amp;L'!$20:$20,MATCH(AB$6,'qtrP&amp;L'!$6:$6,0))</f>
        <v>242.88299999999998</v>
      </c>
      <c r="AC11" s="343">
        <f>INDEX('qtrP&amp;L'!$21:$21,MATCH(AB$6,'qtrP&amp;L'!$6:$6,0))</f>
        <v>241.18899999999999</v>
      </c>
      <c r="AD11" s="343">
        <f>INDEX('qtrP&amp;L'!$22:$22,MATCH(AB$6,'qtrP&amp;L'!$6:$6,0))</f>
        <v>324.68099999999998</v>
      </c>
      <c r="AE11" s="343">
        <f>INDEX('qtrP&amp;L'!$23:$23,MATCH(AB$6,'qtrP&amp;L'!$6:$6,0))</f>
        <v>487.298</v>
      </c>
      <c r="AF11" s="343"/>
      <c r="AG11" s="343">
        <f>INDEX('qtrP&amp;L'!$20:$20,MATCH(AG$6,'qtrP&amp;L'!$6:$6,0))</f>
        <v>310.66500000000002</v>
      </c>
      <c r="AH11" s="343">
        <f>INDEX('qtrP&amp;L'!$21:$21,MATCH(AG$6,'qtrP&amp;L'!$6:$6,0))</f>
        <v>316.85599999999999</v>
      </c>
      <c r="AI11" s="343">
        <f>INDEX('qtrP&amp;L'!$22:$22,MATCH(AG$6,'qtrP&amp;L'!$6:$6,0))</f>
        <v>398.077</v>
      </c>
      <c r="AJ11" s="343">
        <f>INDEX('qtrP&amp;L'!$23:$23,MATCH(AG$6,'qtrP&amp;L'!$6:$6,0))</f>
        <v>577.84</v>
      </c>
      <c r="AK11" s="343"/>
      <c r="AL11" s="343">
        <f>INDEX('qtrP&amp;L'!$20:$20,MATCH(AL$6,'qtrP&amp;L'!$6:$6,0))</f>
        <v>395.87600000000003</v>
      </c>
      <c r="AM11" s="343">
        <f>INDEX('qtrP&amp;L'!$21:$21,MATCH(AL$6,'qtrP&amp;L'!$6:$6,0))</f>
        <v>414.29199999999997</v>
      </c>
      <c r="AN11" s="343">
        <f>INDEX('qtrP&amp;L'!$22:$22,MATCH(AL$6,'qtrP&amp;L'!$6:$6,0))</f>
        <v>501.99700000000001</v>
      </c>
      <c r="AO11" s="343">
        <f>INDEX('qtrP&amp;L'!$23:$23,MATCH(AL$6,'qtrP&amp;L'!$6:$6,0))</f>
        <v>734.39599999999996</v>
      </c>
      <c r="AP11" s="343"/>
      <c r="AQ11" s="343">
        <f>INDEX('qtrP&amp;L'!$20:$20,MATCH(AQ$6,'qtrP&amp;L'!$6:$6,0))</f>
        <v>491.10199999999998</v>
      </c>
      <c r="AR11" s="343">
        <f>INDEX('qtrP&amp;L'!$21:$21,MATCH(AQ$6,'qtrP&amp;L'!$6:$6,0))</f>
        <v>500.27312499999999</v>
      </c>
      <c r="AS11" s="343">
        <f>INDEX('qtrP&amp;L'!$22:$22,MATCH(AQ$6,'qtrP&amp;L'!$6:$6,0))</f>
        <v>587.375</v>
      </c>
      <c r="AT11" s="343">
        <f>INDEX('qtrP&amp;L'!$23:$23,MATCH(AQ$6,'qtrP&amp;L'!$6:$6,0))</f>
        <v>873.27300000000002</v>
      </c>
      <c r="AU11" s="343"/>
      <c r="AV11" s="343">
        <f>INDEX('qtrP&amp;L'!$20:$20,MATCH(AV$6,'qtrP&amp;L'!$6:$6,0))</f>
        <v>597.12800000000004</v>
      </c>
      <c r="AW11" s="343">
        <f>INDEX('qtrP&amp;L'!$21:$21,MATCH(AV$6,'qtrP&amp;L'!$6:$6,0))</f>
        <v>612.79</v>
      </c>
      <c r="AX11" s="343">
        <f>INDEX('qtrP&amp;L'!$22:$22,MATCH(AV$6,'qtrP&amp;L'!$6:$6,0))</f>
        <v>722.54200000000003</v>
      </c>
      <c r="AY11" s="343">
        <f>INDEX('qtrP&amp;L'!$23:$23,MATCH(AV$6,'qtrP&amp;L'!$6:$6,0))</f>
        <v>1081.913</v>
      </c>
      <c r="AZ11" s="343"/>
      <c r="BA11" s="343">
        <f>INDEX('qtrP&amp;L'!$20:$20,MATCH(BA$6,'qtrP&amp;L'!$6:$6,0))</f>
        <v>800.90199999999993</v>
      </c>
      <c r="BB11" s="343">
        <f>INDEX('qtrP&amp;L'!$21:$21,MATCH(BA$6,'qtrP&amp;L'!$6:$6,0))</f>
        <v>815.52300000000002</v>
      </c>
      <c r="BC11" s="343">
        <f>INDEX('qtrP&amp;L'!$22:$22,MATCH(BA$6,'qtrP&amp;L'!$6:$6,0))</f>
        <v>947.44100000000003</v>
      </c>
      <c r="BD11" s="343">
        <f>INDEX('qtrP&amp;L'!$23:$23,MATCH(BA$6,'qtrP&amp;L'!$6:$6,0))</f>
        <v>1490.405</v>
      </c>
      <c r="BE11" s="343"/>
      <c r="BF11" s="343">
        <f>INDEX('qtrP&amp;L'!$20:$20,MATCH(BF$6,'qtrP&amp;L'!$6:$6,0))</f>
        <v>965.74900000000002</v>
      </c>
      <c r="BG11" s="343">
        <f>INDEX('qtrP&amp;L'!$21:$21,MATCH(BF$6,'qtrP&amp;L'!$6:$6,0))</f>
        <v>977.096</v>
      </c>
      <c r="BH11" s="343">
        <f>INDEX('qtrP&amp;L'!$22:$22,MATCH(BF$6,'qtrP&amp;L'!$6:$6,0))</f>
        <v>1149.9259999999999</v>
      </c>
      <c r="BI11" s="343">
        <f>INDEX('qtrP&amp;L'!$23:$23,MATCH(BF$6,'qtrP&amp;L'!$6:$6,0))</f>
        <v>1828.4970000000001</v>
      </c>
      <c r="BJ11" s="343"/>
      <c r="BK11" s="343">
        <f>INDEX('qtrP&amp;L'!$20:$20,MATCH(BK$6,'qtrP&amp;L'!$6:$6,0))</f>
        <v>1211.578</v>
      </c>
      <c r="BL11" s="343">
        <f>INDEX('qtrP&amp;L'!$21:$21,MATCH(BK$6,'qtrP&amp;L'!$6:$6,0))</f>
        <v>1232.4000000000001</v>
      </c>
      <c r="BM11" s="343">
        <f>INDEX('qtrP&amp;L'!$22:$22,MATCH(BK$6,'qtrP&amp;L'!$6:$6,0))</f>
        <v>1396.5</v>
      </c>
      <c r="BN11" s="343">
        <f>INDEX('qtrP&amp;L'!$23:$23,MATCH(BK$6,'qtrP&amp;L'!$6:$6,0))</f>
        <v>2142.7769999999996</v>
      </c>
      <c r="BO11" s="343"/>
      <c r="BP11" s="343">
        <f>INDEX('qtrP&amp;L'!$20:$20,MATCH(BP$6,'qtrP&amp;L'!$6:$6,0))</f>
        <v>1376.479</v>
      </c>
      <c r="BQ11" s="343">
        <f>INDEX('qtrP&amp;L'!$21:$21,MATCH(BP$6,'qtrP&amp;L'!$6:$6,0))</f>
        <v>1471.7</v>
      </c>
      <c r="BR11" s="343">
        <f>INDEX('qtrP&amp;L'!$22:$22,MATCH(BP$6,'qtrP&amp;L'!$6:$6,0))</f>
        <v>1578.7</v>
      </c>
      <c r="BS11" s="343">
        <f>INDEX('qtrP&amp;L'!$23:$23,MATCH(BP$6,'qtrP&amp;L'!$6:$6,0))</f>
        <v>2465.1999999999998</v>
      </c>
      <c r="BT11" s="343"/>
      <c r="BU11" s="343">
        <f>INDEX('qtrP&amp;L'!$20:$20,MATCH(BU$6,'qtrP&amp;L'!$6:$6,0))</f>
        <v>1532.8</v>
      </c>
      <c r="BV11" s="343">
        <f>INDEX('qtrP&amp;L'!$21:$21,MATCH(BU$6,'qtrP&amp;L'!$6:$6,0))</f>
        <v>1587.809</v>
      </c>
      <c r="BW11" s="343">
        <f>INDEX('qtrP&amp;L'!$22:$22,MATCH(BU$6,'qtrP&amp;L'!$6:$6,0))</f>
        <v>1758.3</v>
      </c>
      <c r="BX11" s="343">
        <f>INDEX('qtrP&amp;L'!$23:$23,MATCH(BU$6,'qtrP&amp;L'!$6:$6,0))</f>
        <v>2708.116</v>
      </c>
      <c r="BY11" s="343"/>
      <c r="BZ11" s="343">
        <f>INDEX('qtrP&amp;L'!$20:$20,MATCH(BZ$6,'qtrP&amp;L'!$6:$6,0))</f>
        <v>1759.6</v>
      </c>
      <c r="CA11" s="343">
        <f>INDEX('qtrP&amp;L'!$21:$21,MATCH(BZ$6,'qtrP&amp;L'!$6:$6,0))</f>
        <v>1821.9</v>
      </c>
      <c r="CB11" s="343">
        <f>INDEX('qtrP&amp;L'!$22:$22,MATCH(BZ$6,'qtrP&amp;L'!$6:$6,0))</f>
        <v>1986.8</v>
      </c>
      <c r="CC11" s="343">
        <f>INDEX('qtrP&amp;L'!$23:$23,MATCH(BZ$6,'qtrP&amp;L'!$6:$6,0))</f>
        <v>3073.3</v>
      </c>
      <c r="CD11" s="343"/>
      <c r="CE11" s="343">
        <f>INDEX('qtrP&amp;L'!$20:$20,MATCH(CE$6,'qtrP&amp;L'!$6:$6,0))</f>
        <v>2036.5319999999999</v>
      </c>
      <c r="CF11" s="343">
        <f>INDEX('qtrP&amp;L'!$21:$21,MATCH(CE$6,'qtrP&amp;L'!$6:$6,0))</f>
        <v>2062.1999999999998</v>
      </c>
      <c r="CG11" s="343">
        <f>INDEX('qtrP&amp;L'!$22:$22,MATCH(CE$6,'qtrP&amp;L'!$6:$6,0))</f>
        <v>2299.5859999999998</v>
      </c>
      <c r="CH11" s="343">
        <f>INDEX('qtrP&amp;L'!$23:$23,MATCH(CE$6,'qtrP&amp;L'!$6:$6,0))</f>
        <v>3519.4</v>
      </c>
      <c r="CI11" s="343"/>
      <c r="CJ11" s="343">
        <f>INDEX('qtrP&amp;L'!$20:$20,MATCH(CJ$6,'qtrP&amp;L'!$6:$6,0))</f>
        <v>2254.1999999999998</v>
      </c>
      <c r="CK11" s="343">
        <f>INDEX('qtrP&amp;L'!$21:$21,MATCH(CJ$6,'qtrP&amp;L'!$6:$6,0))</f>
        <v>2192.8000000000002</v>
      </c>
      <c r="CL11" s="343">
        <f>INDEX('qtrP&amp;L'!$22:$22,MATCH(CJ$6,'qtrP&amp;L'!$6:$6,0))</f>
        <v>2407.1999999999998</v>
      </c>
      <c r="CM11" s="343">
        <f>INDEX('qtrP&amp;L'!$23:$23,MATCH(CJ$6,'qtrP&amp;L'!$6:$6,0))</f>
        <v>3605.4</v>
      </c>
      <c r="CN11" s="343"/>
      <c r="CO11" s="343">
        <f>INDEX('qtrP&amp;L'!$20:$20,MATCH(CO$6,'qtrP&amp;L'!$6:$6,0))</f>
        <v>2289.2089999999998</v>
      </c>
      <c r="CP11" s="343">
        <f>INDEX('qtrP&amp;L'!$21:$21,MATCH(CO$6,'qtrP&amp;L'!$6:$6,0))</f>
        <v>2250.5520000000001</v>
      </c>
      <c r="CQ11" s="343">
        <f>INDEX('qtrP&amp;L'!$22:$22,MATCH(CO$6,'qtrP&amp;L'!$6:$6,0))</f>
        <v>2380.8519999999999</v>
      </c>
      <c r="CR11" s="343">
        <f>INDEX('qtrP&amp;L'!$23:$23,MATCH(CO$6,'qtrP&amp;L'!$6:$6,0))</f>
        <v>3413</v>
      </c>
      <c r="CS11" s="343"/>
      <c r="CT11" s="343">
        <f>INDEX('qtrP&amp;L'!$20:$20,MATCH(CT$6,'qtrP&amp;L'!$6:$6,0))</f>
        <v>2270</v>
      </c>
      <c r="CU11" s="343">
        <f>INDEX('qtrP&amp;L'!$21:$21,MATCH(CT$6,'qtrP&amp;L'!$6:$6,0))</f>
        <v>2286</v>
      </c>
      <c r="CV11" s="343">
        <f>INDEX('qtrP&amp;L'!$22:$22,MATCH(CT$6,'qtrP&amp;L'!$6:$6,0))</f>
        <v>2512</v>
      </c>
      <c r="CW11" s="343">
        <f>INDEX('qtrP&amp;L'!$23:$23,MATCH(CT$6,'qtrP&amp;L'!$6:$6,0))</f>
        <v>3612</v>
      </c>
      <c r="CX11" s="343"/>
      <c r="CY11" s="343">
        <f>INDEX('qtrP&amp;L'!$20:$20,MATCH(CY$6,'qtrP&amp;L'!$6:$6,0))</f>
        <v>2498</v>
      </c>
      <c r="CZ11" s="343">
        <f>INDEX('qtrP&amp;L'!$21:$21,MATCH(CY$6,'qtrP&amp;L'!$6:$6,0))</f>
        <v>2449</v>
      </c>
      <c r="DA11" s="343">
        <f>INDEX('qtrP&amp;L'!$22:$22,MATCH(CY$6,'qtrP&amp;L'!$6:$6,0))</f>
        <v>2596</v>
      </c>
      <c r="DB11" s="343">
        <f>INDEX('qtrP&amp;L'!$23:$23,MATCH(CY$6,'qtrP&amp;L'!$6:$6,0))</f>
        <v>3815</v>
      </c>
      <c r="DC11" s="343"/>
      <c r="DD11" s="343">
        <f>INDEX('qtrP&amp;L'!$20:$20,MATCH(DD$6,'qtrP&amp;L'!$6:$6,0))</f>
        <v>2576</v>
      </c>
      <c r="DE11" s="343">
        <f>INDEX('qtrP&amp;L'!$21:$21,MATCH(DD$6,'qtrP&amp;L'!$6:$6,0))</f>
        <v>2520</v>
      </c>
      <c r="DF11" s="343">
        <f>INDEX('qtrP&amp;L'!$22:$22,MATCH(DD$6,'qtrP&amp;L'!$6:$6,0))</f>
        <v>2688</v>
      </c>
      <c r="DG11" s="343">
        <f>INDEX('qtrP&amp;L'!$23:$23,MATCH(DD$6,'qtrP&amp;L'!$6:$6,0))</f>
        <v>3841</v>
      </c>
      <c r="DH11" s="343"/>
      <c r="DI11" s="343">
        <f>INDEX('qtrP&amp;L'!$20:$20,MATCH(DI$6,'qtrP&amp;L'!$6:$6,0))</f>
        <v>2719</v>
      </c>
      <c r="DJ11" s="343">
        <f>INDEX('qtrP&amp;L'!$21:$21,MATCH(DI$6,'qtrP&amp;L'!$6:$6,0))</f>
        <v>2563</v>
      </c>
      <c r="DK11" s="343">
        <f>INDEX('qtrP&amp;L'!$22:$22,MATCH(DI$6,'qtrP&amp;L'!$6:$6,0))</f>
        <v>2778</v>
      </c>
      <c r="DL11" s="343">
        <f>INDEX('qtrP&amp;L'!$23:$23,MATCH(DI$6,'qtrP&amp;L'!$6:$6,0))</f>
        <v>4230</v>
      </c>
      <c r="DM11" s="343"/>
      <c r="DN11" s="343">
        <f>INDEX('qtrP&amp;L'!$20:$20,MATCH(DN$6,'qtrP&amp;L'!$6:$6,0))</f>
        <v>2671</v>
      </c>
      <c r="DO11" s="343">
        <f>INDEX('qtrP&amp;L'!$21:$21,MATCH(DN$6,'qtrP&amp;L'!$6:$6,0))</f>
        <v>2613</v>
      </c>
      <c r="DP11" s="343">
        <f>INDEX('qtrP&amp;L'!$22:$22,MATCH(DN$6,'qtrP&amp;L'!$6:$6,0))</f>
        <v>2778</v>
      </c>
      <c r="DQ11" s="343">
        <f>INDEX('qtrP&amp;L'!$23:$23,MATCH(DN$6,'qtrP&amp;L'!$6:$6,0))</f>
        <v>4024</v>
      </c>
      <c r="DR11" s="343"/>
      <c r="DS11" s="343">
        <f>INDEX('qtrP&amp;L'!$20:$20,MATCH(DS$6,'qtrP&amp;L'!$6:$6,0))</f>
        <v>2574</v>
      </c>
      <c r="DT11" s="343">
        <f>INDEX('qtrP&amp;L'!$21:$21,MATCH(DS$6,'qtrP&amp;L'!$6:$6,0))</f>
        <v>2588</v>
      </c>
      <c r="DU11" s="343">
        <f>INDEX('qtrP&amp;L'!$22:$22,MATCH(DS$6,'qtrP&amp;L'!$6:$6,0))</f>
        <v>2746</v>
      </c>
      <c r="DV11" s="343">
        <f>INDEX('qtrP&amp;L'!$23:$23,MATCH(DS$6,'qtrP&amp;L'!$6:$6,0))</f>
        <v>4190</v>
      </c>
      <c r="DW11" s="343"/>
      <c r="DX11" s="343">
        <f>INDEX('qtrP&amp;L'!$20:$20,MATCH(DX$6,'qtrP&amp;L'!$6:$6,0))</f>
        <v>2600</v>
      </c>
      <c r="DY11" s="343">
        <f>INDEX('qtrP&amp;L'!$21:$21,MATCH(DX$6,'qtrP&amp;L'!$6:$6,0))</f>
        <v>2605</v>
      </c>
      <c r="DZ11" s="343">
        <f>INDEX('qtrP&amp;L'!$22:$22,MATCH(DX$6,'qtrP&amp;L'!$6:$6,0))</f>
        <v>2784</v>
      </c>
      <c r="EA11" s="343">
        <f>INDEX('qtrP&amp;L'!$23:$23,MATCH(DX$6,'qtrP&amp;L'!$6:$6,0))</f>
        <v>4275</v>
      </c>
      <c r="EB11" s="343"/>
      <c r="EC11" s="343">
        <f>INDEX('qtrP&amp;L'!$20:$20,MATCH(EC$6,'qtrP&amp;L'!$6:$6,0))</f>
        <v>2560</v>
      </c>
      <c r="ED11" s="343">
        <f>INDEX('qtrP&amp;L'!$21:$21,MATCH(EC$6,'qtrP&amp;L'!$6:$6,0))</f>
        <v>2532</v>
      </c>
      <c r="EE11" s="343">
        <f>INDEX('qtrP&amp;L'!$22:$22,MATCH(EC$6,'qtrP&amp;L'!$6:$6,0))</f>
        <v>2720</v>
      </c>
      <c r="EF11" s="343">
        <f>INDEX('qtrP&amp;L'!$23:$23,MATCH(EC$6,'qtrP&amp;L'!$6:$6,0))</f>
        <v>4133</v>
      </c>
      <c r="EG11" s="305"/>
      <c r="EH11" s="343">
        <f>INDEX('qtrP&amp;L'!$20:$20,MATCH(EH$6,'qtrP&amp;L'!$6:$6,0))</f>
        <v>2445</v>
      </c>
      <c r="EI11" s="343">
        <f>INDEX('qtrP&amp;L'!$21:$21,MATCH(EH$6,'qtrP&amp;L'!$6:$6,0))</f>
        <v>2511</v>
      </c>
      <c r="EJ11" s="343">
        <f>INDEX('qtrP&amp;L'!$22:$22,MATCH(EH$6,'qtrP&amp;L'!$6:$6,0))</f>
        <v>2737</v>
      </c>
      <c r="EK11" s="343">
        <f>INDEX('qtrP&amp;L'!$23:$23,MATCH(EH$6,'qtrP&amp;L'!$6:$6,0))</f>
        <v>4483</v>
      </c>
      <c r="EL11" s="343"/>
      <c r="EM11" s="1195">
        <f>INDEX('qtrP&amp;L'!$20:$20,MATCH(EM$6,'qtrP&amp;L'!$6:$6,0))</f>
        <v>2527.5227304599998</v>
      </c>
      <c r="EN11" s="1195">
        <f>INDEX('qtrP&amp;L'!$21:$21,MATCH(EM$6,'qtrP&amp;L'!$6:$6,0))</f>
        <v>2528.2618591999999</v>
      </c>
      <c r="EO11" s="1195">
        <f>INDEX('qtrP&amp;L'!$22:$22,MATCH(EM$6,'qtrP&amp;L'!$6:$6,0))</f>
        <v>2696.2284608999994</v>
      </c>
      <c r="EP11" s="1195">
        <f>INDEX('qtrP&amp;L'!$23:$23,MATCH(EM$6,'qtrP&amp;L'!$6:$6,0))</f>
        <v>4224.3881064000007</v>
      </c>
      <c r="EQ11" s="344">
        <f>'yrP&amp;L'!C11</f>
        <v>525.23400000000004</v>
      </c>
      <c r="ER11" s="343">
        <f>'yrP&amp;L'!D11</f>
        <v>620.37300000000005</v>
      </c>
      <c r="ES11" s="343">
        <f>'yrP&amp;L'!E11</f>
        <v>724.37</v>
      </c>
      <c r="ET11" s="343">
        <f>'yrP&amp;L'!F11</f>
        <v>868.87599999999998</v>
      </c>
      <c r="EU11" s="343">
        <f>'yrP&amp;L'!G11</f>
        <v>1038.5520000000001</v>
      </c>
      <c r="EV11" s="343">
        <f>'yrP&amp;L'!H11</f>
        <v>1296.0509999999999</v>
      </c>
      <c r="EW11" s="343">
        <f>'yrP&amp;L'!I11</f>
        <v>1603.4380000000001</v>
      </c>
      <c r="EX11" s="343">
        <f>'yrP&amp;L'!J11</f>
        <v>2046.5609999999999</v>
      </c>
      <c r="EY11" s="343">
        <f>'yrP&amp;L'!K11</f>
        <v>2452.0231250000002</v>
      </c>
      <c r="EZ11" s="343">
        <f>'yrP&amp;L'!L11</f>
        <v>3014.373</v>
      </c>
      <c r="FA11" s="343">
        <f>'yrP&amp;L'!M11</f>
        <v>4054.2709999999997</v>
      </c>
      <c r="FB11" s="343">
        <f>'yrP&amp;L'!N11</f>
        <v>4921.268</v>
      </c>
      <c r="FC11" s="343">
        <f>'yrP&amp;L'!O11</f>
        <v>5983.2549999999992</v>
      </c>
      <c r="FD11" s="343">
        <f>'yrP&amp;L'!P11</f>
        <v>6892.0789999999997</v>
      </c>
      <c r="FE11" s="343">
        <f>'yrP&amp;L'!Q11</f>
        <v>7587.0249999999996</v>
      </c>
      <c r="FF11" s="343">
        <f>'yrP&amp;L'!R11</f>
        <v>8641.6</v>
      </c>
      <c r="FG11" s="343">
        <f>'yrP&amp;L'!S11</f>
        <v>9917.7179999999989</v>
      </c>
      <c r="FH11" s="344">
        <f>'yrP&amp;L'!T11</f>
        <v>10459.6</v>
      </c>
      <c r="FI11" s="343">
        <f>'yrP&amp;L'!U11</f>
        <v>10333.613000000001</v>
      </c>
      <c r="FJ11" s="343">
        <f>'yrP&amp;L'!V11</f>
        <v>10680</v>
      </c>
      <c r="FK11" s="1256"/>
      <c r="FL11" s="343">
        <f>'yrP&amp;L'!W11</f>
        <v>11358</v>
      </c>
      <c r="FM11" s="343">
        <f>'yrP&amp;L'!X11</f>
        <v>11625</v>
      </c>
      <c r="FN11" s="343">
        <f>'yrP&amp;L'!Y11</f>
        <v>12290</v>
      </c>
      <c r="FO11" s="343">
        <f>'yrP&amp;L'!Z11</f>
        <v>12086</v>
      </c>
      <c r="FP11" s="343">
        <f>'yrP&amp;L'!AA11</f>
        <v>12098</v>
      </c>
      <c r="FQ11" s="343">
        <f>'yrP&amp;L'!AB11</f>
        <v>12264</v>
      </c>
      <c r="FR11" s="343">
        <f>'yrP&amp;L'!AC11</f>
        <v>11945</v>
      </c>
      <c r="FS11" s="343">
        <f>'yrP&amp;L'!AD11</f>
        <v>12176</v>
      </c>
      <c r="FT11" s="343">
        <f>'yrP&amp;L'!AE11</f>
        <v>11976.401156960001</v>
      </c>
      <c r="FU11" s="343">
        <f>'yrP&amp;L'!AF11</f>
        <v>11851.796935245982</v>
      </c>
      <c r="FV11" s="345">
        <f>'yrP&amp;L'!AG11</f>
        <v>11701.370283167413</v>
      </c>
      <c r="FW11" s="343">
        <f>'yrP&amp;L'!AH11</f>
        <v>11556.381782663553</v>
      </c>
      <c r="FX11" s="345">
        <f>'yrP&amp;L'!AI11</f>
        <v>11391.881371493449</v>
      </c>
    </row>
    <row r="12" spans="1:263" ht="9" customHeight="1" x14ac:dyDescent="0.2">
      <c r="A12" s="334"/>
      <c r="B12" s="305"/>
      <c r="C12" s="305"/>
      <c r="D12" s="305"/>
      <c r="E12" s="305"/>
      <c r="F12" s="305"/>
      <c r="G12" s="305"/>
      <c r="H12" s="305"/>
      <c r="I12" s="305"/>
      <c r="J12" s="305"/>
      <c r="K12" s="305"/>
      <c r="L12" s="305"/>
      <c r="M12" s="305"/>
      <c r="N12" s="305"/>
      <c r="O12" s="305"/>
      <c r="P12" s="305"/>
      <c r="Q12" s="305"/>
      <c r="R12" s="305"/>
      <c r="S12" s="305"/>
      <c r="T12" s="305"/>
      <c r="U12" s="305"/>
      <c r="V12" s="305"/>
      <c r="W12" s="305"/>
      <c r="X12" s="305"/>
      <c r="Y12" s="305"/>
      <c r="Z12" s="305"/>
      <c r="AA12" s="305"/>
      <c r="AB12" s="305"/>
      <c r="AC12" s="305"/>
      <c r="AD12" s="305"/>
      <c r="AE12" s="305"/>
      <c r="AF12" s="305"/>
      <c r="AG12" s="305"/>
      <c r="AH12" s="305"/>
      <c r="AI12" s="305"/>
      <c r="AJ12" s="305"/>
      <c r="AK12" s="305"/>
      <c r="AL12" s="305"/>
      <c r="AM12" s="305"/>
      <c r="AN12" s="305"/>
      <c r="AO12" s="305"/>
      <c r="AP12" s="305"/>
      <c r="AQ12" s="305"/>
      <c r="AR12" s="305"/>
      <c r="AS12" s="305"/>
      <c r="AT12" s="305"/>
      <c r="AU12" s="305"/>
      <c r="AV12" s="305"/>
      <c r="AW12" s="305"/>
      <c r="AX12" s="305"/>
      <c r="AY12" s="305"/>
      <c r="AZ12" s="305"/>
      <c r="BA12" s="305"/>
      <c r="BB12" s="305"/>
      <c r="BC12" s="305"/>
      <c r="BD12" s="305"/>
      <c r="BE12" s="305"/>
      <c r="BF12" s="305"/>
      <c r="BG12" s="305"/>
      <c r="BH12" s="305"/>
      <c r="BI12" s="305"/>
      <c r="BJ12" s="305"/>
      <c r="BK12" s="305"/>
      <c r="BL12" s="305"/>
      <c r="BM12" s="305"/>
      <c r="BN12" s="305"/>
      <c r="BO12" s="305"/>
      <c r="BP12" s="305"/>
      <c r="BQ12" s="305"/>
      <c r="BR12" s="305"/>
      <c r="BS12" s="305"/>
      <c r="BT12" s="305"/>
      <c r="BU12" s="305"/>
      <c r="BV12" s="305"/>
      <c r="BW12" s="305"/>
      <c r="BX12" s="305"/>
      <c r="BY12" s="305"/>
      <c r="BZ12" s="305"/>
      <c r="CA12" s="305"/>
      <c r="CB12" s="305"/>
      <c r="CC12" s="305"/>
      <c r="CD12" s="305"/>
      <c r="CE12" s="305"/>
      <c r="CF12" s="305"/>
      <c r="CG12" s="305"/>
      <c r="CH12" s="305"/>
      <c r="CI12" s="305"/>
      <c r="CJ12" s="305"/>
      <c r="CK12" s="305"/>
      <c r="CL12" s="305"/>
      <c r="CM12" s="305"/>
      <c r="CN12" s="305"/>
      <c r="CO12" s="305"/>
      <c r="CP12" s="305"/>
      <c r="CQ12" s="305"/>
      <c r="CR12" s="305"/>
      <c r="CS12" s="305"/>
      <c r="CT12" s="305"/>
      <c r="CU12" s="305"/>
      <c r="CV12" s="305"/>
      <c r="CW12" s="305"/>
      <c r="CX12" s="305"/>
      <c r="CY12" s="305"/>
      <c r="CZ12" s="305"/>
      <c r="DA12" s="305"/>
      <c r="DB12" s="305"/>
      <c r="DC12" s="305"/>
      <c r="DD12" s="305"/>
      <c r="DE12" s="305"/>
      <c r="DF12" s="305"/>
      <c r="DG12" s="305"/>
      <c r="DH12" s="305"/>
      <c r="DI12" s="305"/>
      <c r="DJ12" s="305"/>
      <c r="DK12" s="305"/>
      <c r="DL12" s="305"/>
      <c r="DM12" s="305"/>
      <c r="DN12" s="305"/>
      <c r="DO12" s="305"/>
      <c r="DP12" s="305"/>
      <c r="DQ12" s="305"/>
      <c r="DR12" s="305"/>
      <c r="DS12" s="305"/>
      <c r="DT12" s="305"/>
      <c r="DU12" s="305"/>
      <c r="DV12" s="305"/>
      <c r="DW12" s="305"/>
      <c r="DX12" s="305"/>
      <c r="DY12" s="305"/>
      <c r="DZ12" s="305"/>
      <c r="EA12" s="305"/>
      <c r="EB12" s="305"/>
      <c r="EC12" s="305"/>
      <c r="ED12" s="305"/>
      <c r="EE12" s="305"/>
      <c r="EF12" s="305"/>
      <c r="EG12" s="305"/>
      <c r="EH12" s="305"/>
      <c r="EI12" s="305"/>
      <c r="EJ12" s="305"/>
      <c r="EK12" s="305"/>
      <c r="EL12" s="305"/>
      <c r="EM12" s="1193"/>
      <c r="EN12" s="1193"/>
      <c r="EO12" s="1193"/>
      <c r="EP12" s="1193"/>
      <c r="EQ12" s="340"/>
      <c r="ER12" s="341"/>
      <c r="ES12" s="341"/>
      <c r="ET12" s="341"/>
      <c r="EU12" s="341"/>
      <c r="EV12" s="341"/>
      <c r="EW12" s="341"/>
      <c r="EX12" s="341"/>
      <c r="EY12" s="341"/>
      <c r="EZ12" s="341"/>
      <c r="FA12" s="341"/>
      <c r="FB12" s="341"/>
      <c r="FC12" s="341"/>
      <c r="FD12" s="341"/>
      <c r="FE12" s="341"/>
      <c r="FF12" s="341"/>
      <c r="FG12" s="341"/>
      <c r="FH12" s="340"/>
      <c r="FI12" s="341"/>
      <c r="FJ12" s="341"/>
      <c r="FK12" s="1255"/>
      <c r="FL12" s="341"/>
      <c r="FM12" s="341"/>
      <c r="FN12" s="341"/>
      <c r="FO12" s="341"/>
      <c r="FP12" s="341"/>
      <c r="FQ12" s="341"/>
      <c r="FR12" s="341"/>
      <c r="FS12" s="341"/>
      <c r="FT12" s="341"/>
      <c r="FU12" s="341"/>
      <c r="FV12" s="342"/>
      <c r="FW12" s="341"/>
      <c r="FX12" s="342"/>
    </row>
    <row r="13" spans="1:263" s="315" customFormat="1" x14ac:dyDescent="0.2">
      <c r="A13" s="346" t="s">
        <v>178</v>
      </c>
      <c r="B13" s="347"/>
      <c r="C13" s="348">
        <f>C9-C11</f>
        <v>54.38300000000001</v>
      </c>
      <c r="D13" s="348">
        <f>D9-D11</f>
        <v>53.134999999999991</v>
      </c>
      <c r="E13" s="348">
        <f>E9-E11</f>
        <v>69.144999999999982</v>
      </c>
      <c r="F13" s="348">
        <f>F9-F11</f>
        <v>87.897999999999968</v>
      </c>
      <c r="G13" s="348"/>
      <c r="H13" s="348">
        <f>H9-H11</f>
        <v>64.665000000000006</v>
      </c>
      <c r="I13" s="348">
        <f>I9-I11</f>
        <v>61.616000000000014</v>
      </c>
      <c r="J13" s="348">
        <f>J9-J11</f>
        <v>79.068999999999988</v>
      </c>
      <c r="K13" s="348">
        <f>K9-K11</f>
        <v>104.70299999999997</v>
      </c>
      <c r="L13" s="348"/>
      <c r="M13" s="348">
        <f>M9-M11</f>
        <v>73.623999999999995</v>
      </c>
      <c r="N13" s="348">
        <f>N9-N11</f>
        <v>76.022999999999996</v>
      </c>
      <c r="O13" s="348">
        <f>O9-O11</f>
        <v>96.245999999999981</v>
      </c>
      <c r="P13" s="348">
        <f>P9-P11</f>
        <v>123.53699999999998</v>
      </c>
      <c r="Q13" s="348"/>
      <c r="R13" s="348">
        <f>R9-R11</f>
        <v>86.949999999999989</v>
      </c>
      <c r="S13" s="348">
        <f>S9-S11</f>
        <v>88.956999999999994</v>
      </c>
      <c r="T13" s="348">
        <f>T9-T11</f>
        <v>113.23499999999999</v>
      </c>
      <c r="U13" s="348">
        <f>U9-U11</f>
        <v>147.58200000000005</v>
      </c>
      <c r="V13" s="348"/>
      <c r="W13" s="348">
        <f>W9-W11</f>
        <v>105.89100000000002</v>
      </c>
      <c r="X13" s="348">
        <f>X9-X11</f>
        <v>100.72299999999996</v>
      </c>
      <c r="Y13" s="348">
        <f>Y9-Y11</f>
        <v>130.13</v>
      </c>
      <c r="Z13" s="348">
        <f>Z9-Z11</f>
        <v>178.74400000000003</v>
      </c>
      <c r="AA13" s="348"/>
      <c r="AB13" s="348">
        <f>AB9-AB11</f>
        <v>125.517</v>
      </c>
      <c r="AC13" s="348">
        <f>AC9-AC11</f>
        <v>122.11100000000002</v>
      </c>
      <c r="AD13" s="348">
        <f>AD9-AD11</f>
        <v>162.01900000000001</v>
      </c>
      <c r="AE13" s="348">
        <f>AE9-AE11</f>
        <v>219.702</v>
      </c>
      <c r="AF13" s="348"/>
      <c r="AG13" s="348">
        <f>AG9-AG11</f>
        <v>158.03499999999997</v>
      </c>
      <c r="AH13" s="348">
        <f>AH9-AH11</f>
        <v>157.74400000000003</v>
      </c>
      <c r="AI13" s="348">
        <f>AI9-AI11</f>
        <v>200.12300000000005</v>
      </c>
      <c r="AJ13" s="348">
        <f>AJ9-AJ11</f>
        <v>269.15999999999997</v>
      </c>
      <c r="AK13" s="348"/>
      <c r="AL13" s="348">
        <f>AL9-AL11</f>
        <v>204.67099999999999</v>
      </c>
      <c r="AM13" s="348">
        <f>AM9-AM11</f>
        <v>209.64500000000004</v>
      </c>
      <c r="AN13" s="348">
        <f>AN9-AN11</f>
        <v>255.80299999999994</v>
      </c>
      <c r="AO13" s="348">
        <f>AO9-AO11</f>
        <v>343.404</v>
      </c>
      <c r="AP13" s="348"/>
      <c r="AQ13" s="348">
        <f>AQ9-AQ11</f>
        <v>253.49800000000005</v>
      </c>
      <c r="AR13" s="348">
        <f>AR9-AR11</f>
        <v>258.47687500000001</v>
      </c>
      <c r="AS13" s="348">
        <f>AS9-AS11</f>
        <v>301.47500000000002</v>
      </c>
      <c r="AT13" s="348">
        <f>AT9-AT11</f>
        <v>416.22699999999998</v>
      </c>
      <c r="AU13" s="348"/>
      <c r="AV13" s="348">
        <f>AV9-AV11</f>
        <v>313.17199999999991</v>
      </c>
      <c r="AW13" s="348">
        <f>AW9-AW11</f>
        <v>326.71000000000004</v>
      </c>
      <c r="AX13" s="348">
        <f>AX9-AX11</f>
        <v>377.13800000000003</v>
      </c>
      <c r="AY13" s="348">
        <f>AY9-AY11</f>
        <v>525.58699999999999</v>
      </c>
      <c r="AZ13" s="348"/>
      <c r="BA13" s="348">
        <f>BA9-BA11</f>
        <v>427.79800000000012</v>
      </c>
      <c r="BB13" s="348">
        <f>BB9-BB11</f>
        <v>439.87700000000007</v>
      </c>
      <c r="BC13" s="348">
        <f>BC9-BC11</f>
        <v>497.55899999999997</v>
      </c>
      <c r="BD13" s="348">
        <f>BD9-BD11</f>
        <v>732.69499999999994</v>
      </c>
      <c r="BE13" s="348"/>
      <c r="BF13" s="348">
        <f>BF9-BF11</f>
        <v>522.55099999999993</v>
      </c>
      <c r="BG13" s="348">
        <f>BG9-BG11</f>
        <v>538.70399999999995</v>
      </c>
      <c r="BH13" s="348">
        <f>BH9-BH11</f>
        <v>610.42000000000007</v>
      </c>
      <c r="BI13" s="348">
        <f>BI9-BI11</f>
        <v>895.70299999999975</v>
      </c>
      <c r="BJ13" s="348"/>
      <c r="BK13" s="348">
        <f>BK9-BK11</f>
        <v>658.92200000000003</v>
      </c>
      <c r="BL13" s="348">
        <f>BL9-BL11</f>
        <v>689.5</v>
      </c>
      <c r="BM13" s="348">
        <f>BM9-BM11</f>
        <v>746.90000000000009</v>
      </c>
      <c r="BN13" s="348">
        <f>BN9-BN11</f>
        <v>1041.6230000000005</v>
      </c>
      <c r="BO13" s="348"/>
      <c r="BP13" s="348">
        <f>BP9-BP11</f>
        <v>741.22099999999978</v>
      </c>
      <c r="BQ13" s="348">
        <f>BQ9-BQ11</f>
        <v>736.7</v>
      </c>
      <c r="BR13" s="348">
        <f>BR9-BR11</f>
        <v>815.3</v>
      </c>
      <c r="BS13" s="348">
        <f>BS9-BS11</f>
        <v>1096.7000000000003</v>
      </c>
      <c r="BT13" s="348"/>
      <c r="BU13" s="348">
        <f>BU9-BU11</f>
        <v>847.39999999999986</v>
      </c>
      <c r="BV13" s="348">
        <f>BV9-BV11</f>
        <v>910.09100000000012</v>
      </c>
      <c r="BW13" s="348">
        <f>BW9-BW11</f>
        <v>985.60000000000014</v>
      </c>
      <c r="BX13" s="348">
        <f>BX9-BX11</f>
        <v>1370.5839999999998</v>
      </c>
      <c r="BY13" s="348"/>
      <c r="BZ13" s="348">
        <f>BZ9-BZ11</f>
        <v>983.20000000000027</v>
      </c>
      <c r="CA13" s="348">
        <f>CA9-CA11</f>
        <v>1066.1999999999998</v>
      </c>
      <c r="CB13" s="348">
        <f>CB9-CB11</f>
        <v>1132.6000000000001</v>
      </c>
      <c r="CC13" s="348">
        <f>CC9-CC11</f>
        <v>1578.5999999999995</v>
      </c>
      <c r="CD13" s="348"/>
      <c r="CE13" s="348">
        <f>CE9-CE11</f>
        <v>1148.1679999999999</v>
      </c>
      <c r="CF13" s="348">
        <f>CF9-CF11</f>
        <v>1239.3070000000002</v>
      </c>
      <c r="CG13" s="348">
        <f>CG9-CG11</f>
        <v>1350.9080000000004</v>
      </c>
      <c r="CH13" s="348">
        <f>CH9-CH11</f>
        <v>1929.2000000000003</v>
      </c>
      <c r="CI13" s="348"/>
      <c r="CJ13" s="348">
        <f>CJ9-CJ11</f>
        <v>1317.8000000000002</v>
      </c>
      <c r="CK13" s="348">
        <f>CK9-CK11</f>
        <v>1396.3999999999996</v>
      </c>
      <c r="CL13" s="348">
        <f>CL9-CL11</f>
        <v>1418</v>
      </c>
      <c r="CM13" s="348">
        <f>CM9-CM11</f>
        <v>1881.9</v>
      </c>
      <c r="CN13" s="348"/>
      <c r="CO13" s="348">
        <f>CO9-CO11</f>
        <v>1335.0500000000002</v>
      </c>
      <c r="CP13" s="348">
        <f>CP9-CP11</f>
        <v>1474.9379999999996</v>
      </c>
      <c r="CQ13" s="348">
        <f>CQ9-CQ11</f>
        <v>1422.797</v>
      </c>
      <c r="CR13" s="348">
        <f>CR9-CR11</f>
        <v>1822</v>
      </c>
      <c r="CS13" s="348"/>
      <c r="CT13" s="348">
        <f>CT9-CT11</f>
        <v>1368</v>
      </c>
      <c r="CU13" s="348">
        <f>CU9-CU11</f>
        <v>1520</v>
      </c>
      <c r="CV13" s="348">
        <f>CV9-CV11</f>
        <v>1539</v>
      </c>
      <c r="CW13" s="348">
        <f>CW9-CW11</f>
        <v>2071</v>
      </c>
      <c r="CX13" s="348"/>
      <c r="CY13" s="348">
        <f>CY9-CY11</f>
        <v>1537</v>
      </c>
      <c r="CZ13" s="348">
        <f>CZ9-CZ11</f>
        <v>1651</v>
      </c>
      <c r="DA13" s="348">
        <f>DA9-DA11</f>
        <v>1622</v>
      </c>
      <c r="DB13" s="348">
        <f>DB9-DB11</f>
        <v>2223</v>
      </c>
      <c r="DC13" s="348"/>
      <c r="DD13" s="348">
        <f>DD9-DD11</f>
        <v>1586</v>
      </c>
      <c r="DE13" s="348">
        <f>DE9-DE11</f>
        <v>1728</v>
      </c>
      <c r="DF13" s="348">
        <f>DF9-DF11</f>
        <v>1688</v>
      </c>
      <c r="DG13" s="348">
        <f>DG9-DG11</f>
        <v>2177</v>
      </c>
      <c r="DH13" s="348"/>
      <c r="DI13" s="348">
        <f>DI9-DI11</f>
        <v>1524</v>
      </c>
      <c r="DJ13" s="348">
        <f>DJ9-DJ11</f>
        <v>1642</v>
      </c>
      <c r="DK13" s="348">
        <f>DK9-DK11</f>
        <v>1712</v>
      </c>
      <c r="DL13" s="348">
        <f>DL9-DL11</f>
        <v>2112</v>
      </c>
      <c r="DM13" s="348"/>
      <c r="DN13" s="348">
        <f>DN9-DN11</f>
        <v>1528</v>
      </c>
      <c r="DO13" s="348">
        <f>DO9-DO11</f>
        <v>1676</v>
      </c>
      <c r="DP13" s="348">
        <f>DP9-DP11</f>
        <v>1666</v>
      </c>
      <c r="DQ13" s="348">
        <f>DQ9-DQ11</f>
        <v>2075</v>
      </c>
      <c r="DR13" s="348"/>
      <c r="DS13" s="348">
        <f>DS9-DS11</f>
        <v>1496</v>
      </c>
      <c r="DT13" s="348">
        <f>DT9-DT11</f>
        <v>1654</v>
      </c>
      <c r="DU13" s="348">
        <f>DU9-DU11</f>
        <v>1628</v>
      </c>
      <c r="DV13" s="348">
        <f>DV9-DV11</f>
        <v>2147</v>
      </c>
      <c r="DW13" s="348"/>
      <c r="DX13" s="348">
        <f>DX9-DX11</f>
        <v>1523</v>
      </c>
      <c r="DY13" s="348">
        <f>DY9-DY11</f>
        <v>1662</v>
      </c>
      <c r="DZ13" s="348">
        <f>DZ9-DZ11</f>
        <v>1643</v>
      </c>
      <c r="EA13" s="348">
        <f>EA9-EA11</f>
        <v>2112</v>
      </c>
      <c r="EB13" s="348"/>
      <c r="EC13" s="348">
        <f>EC9-EC11</f>
        <v>1412</v>
      </c>
      <c r="ED13" s="348">
        <f>ED9-ED11</f>
        <v>1650</v>
      </c>
      <c r="EE13" s="348">
        <f>EE9-EE11</f>
        <v>1607</v>
      </c>
      <c r="EF13" s="348">
        <f>EF9-EF11</f>
        <v>2072</v>
      </c>
      <c r="EG13" s="305"/>
      <c r="EH13" s="348">
        <f>EH9-EH11</f>
        <v>1398</v>
      </c>
      <c r="EI13" s="348">
        <f>EI9-EI11</f>
        <v>1633</v>
      </c>
      <c r="EJ13" s="348">
        <f>EJ9-EJ11</f>
        <v>1595</v>
      </c>
      <c r="EK13" s="348">
        <f>EK9-EK11</f>
        <v>2293</v>
      </c>
      <c r="EL13" s="348"/>
      <c r="EM13" s="1196">
        <f>EM9-EM11</f>
        <v>1448.4450695400001</v>
      </c>
      <c r="EN13" s="1196">
        <f>EN9-EN11</f>
        <v>1647.2325408000006</v>
      </c>
      <c r="EO13" s="1196">
        <f>EO9-EO11</f>
        <v>1580.1053391</v>
      </c>
      <c r="EP13" s="1196">
        <f>EP9-EP11</f>
        <v>2132.8550935999992</v>
      </c>
      <c r="EQ13" s="349">
        <f t="shared" ref="EQ13:FF13" si="2">EQ9-EQ11</f>
        <v>264.56100000000004</v>
      </c>
      <c r="ER13" s="350">
        <f t="shared" si="2"/>
        <v>310.053</v>
      </c>
      <c r="ES13" s="350">
        <f t="shared" si="2"/>
        <v>372.48599999999999</v>
      </c>
      <c r="ET13" s="350">
        <f t="shared" si="2"/>
        <v>436.72399999999993</v>
      </c>
      <c r="EU13" s="350">
        <f t="shared" si="2"/>
        <v>515.48799999999983</v>
      </c>
      <c r="EV13" s="350">
        <f t="shared" si="2"/>
        <v>629.61800000000017</v>
      </c>
      <c r="EW13" s="350">
        <f t="shared" si="2"/>
        <v>785.0619999999999</v>
      </c>
      <c r="EX13" s="350">
        <f t="shared" si="2"/>
        <v>1013.5229999999999</v>
      </c>
      <c r="EY13" s="350">
        <f t="shared" si="2"/>
        <v>1229.6768749999997</v>
      </c>
      <c r="EZ13" s="350">
        <f t="shared" si="2"/>
        <v>1542.6069999999995</v>
      </c>
      <c r="FA13" s="350">
        <f t="shared" si="2"/>
        <v>2097.929000000001</v>
      </c>
      <c r="FB13" s="350">
        <f t="shared" si="2"/>
        <v>2567.3779999999997</v>
      </c>
      <c r="FC13" s="350">
        <f t="shared" si="2"/>
        <v>3136.9450000000015</v>
      </c>
      <c r="FD13" s="350">
        <f t="shared" si="2"/>
        <v>3389.9210000000003</v>
      </c>
      <c r="FE13" s="350">
        <f t="shared" si="2"/>
        <v>4113.6750000000011</v>
      </c>
      <c r="FF13" s="350">
        <f t="shared" si="2"/>
        <v>4760.5999999999985</v>
      </c>
      <c r="FG13" s="350">
        <f t="shared" ref="FG13:FQ13" si="3">FG9-FG11</f>
        <v>5667.5830000000024</v>
      </c>
      <c r="FH13" s="349">
        <f t="shared" si="3"/>
        <v>6014.1</v>
      </c>
      <c r="FI13" s="350">
        <f t="shared" si="3"/>
        <v>6054.7849999999999</v>
      </c>
      <c r="FJ13" s="350">
        <f t="shared" si="3"/>
        <v>6498</v>
      </c>
      <c r="FK13" s="1257"/>
      <c r="FL13" s="350">
        <f t="shared" si="3"/>
        <v>7033</v>
      </c>
      <c r="FM13" s="350">
        <f t="shared" si="3"/>
        <v>7179</v>
      </c>
      <c r="FN13" s="350">
        <f t="shared" si="3"/>
        <v>6990</v>
      </c>
      <c r="FO13" s="350">
        <f t="shared" si="3"/>
        <v>6945</v>
      </c>
      <c r="FP13" s="350">
        <f t="shared" si="3"/>
        <v>6925</v>
      </c>
      <c r="FQ13" s="350">
        <f t="shared" si="3"/>
        <v>6940</v>
      </c>
      <c r="FR13" s="350">
        <f t="shared" ref="FR13:FW13" si="4">FR9-FR11</f>
        <v>6741</v>
      </c>
      <c r="FS13" s="350">
        <f t="shared" si="4"/>
        <v>6919</v>
      </c>
      <c r="FT13" s="350">
        <f t="shared" si="4"/>
        <v>6808.6380430399986</v>
      </c>
      <c r="FU13" s="350">
        <f t="shared" si="4"/>
        <v>6659.4057382693954</v>
      </c>
      <c r="FV13" s="351">
        <f t="shared" si="4"/>
        <v>6532.1643502452353</v>
      </c>
      <c r="FW13" s="350">
        <f t="shared" si="4"/>
        <v>6403.6498312479052</v>
      </c>
      <c r="FX13" s="351">
        <f>FX9-FX11</f>
        <v>6298.7497682093363</v>
      </c>
      <c r="FZ13"/>
      <c r="GA13"/>
      <c r="GB13"/>
      <c r="GC13"/>
      <c r="GD13"/>
      <c r="GE13"/>
      <c r="GF13" s="303"/>
      <c r="GG13" s="311"/>
      <c r="GI13" s="303"/>
      <c r="GJ13" s="303"/>
      <c r="GK13" s="303"/>
      <c r="GL13" s="303"/>
      <c r="GM13" s="303"/>
      <c r="GN13" s="303"/>
      <c r="GO13" s="303"/>
      <c r="GP13" s="303"/>
      <c r="GQ13" s="303"/>
      <c r="GR13" s="303"/>
      <c r="GS13" s="303"/>
      <c r="GT13" s="303"/>
      <c r="GU13" s="303"/>
      <c r="GV13" s="303"/>
      <c r="GW13" s="303"/>
      <c r="GX13" s="303"/>
      <c r="GY13" s="303"/>
      <c r="GZ13" s="303"/>
      <c r="HA13" s="303"/>
      <c r="HB13" s="303"/>
      <c r="HC13" s="303"/>
      <c r="HD13" s="303"/>
      <c r="HE13" s="303"/>
      <c r="HF13" s="303"/>
      <c r="HG13" s="303"/>
      <c r="HH13" s="303"/>
      <c r="HI13" s="303"/>
      <c r="HJ13" s="303"/>
      <c r="HK13" s="303"/>
      <c r="HL13" s="303"/>
      <c r="HM13" s="303"/>
      <c r="HN13" s="303"/>
      <c r="HO13" s="303"/>
      <c r="HP13" s="303"/>
      <c r="HQ13" s="303"/>
      <c r="HR13" s="303"/>
      <c r="HS13" s="303"/>
      <c r="HT13" s="303"/>
      <c r="HU13" s="303"/>
      <c r="HV13" s="303"/>
      <c r="HW13" s="303"/>
      <c r="HX13" s="303"/>
      <c r="HY13" s="303"/>
      <c r="HZ13" s="303"/>
      <c r="IA13" s="303"/>
      <c r="IB13" s="303"/>
      <c r="IC13" s="303"/>
      <c r="ID13" s="303"/>
      <c r="IE13" s="303"/>
      <c r="IF13" s="303"/>
      <c r="IG13" s="303"/>
      <c r="IH13" s="303"/>
      <c r="II13" s="303"/>
      <c r="IJ13" s="303"/>
      <c r="IK13" s="303"/>
      <c r="IL13" s="303"/>
      <c r="IM13" s="303"/>
      <c r="IN13" s="303"/>
      <c r="IO13" s="303"/>
      <c r="IP13" s="303"/>
      <c r="IQ13" s="303"/>
      <c r="IR13" s="303"/>
      <c r="IS13" s="303"/>
      <c r="IT13" s="303"/>
      <c r="IU13" s="303"/>
      <c r="IV13" s="303"/>
      <c r="IW13" s="303"/>
      <c r="IX13" s="303"/>
      <c r="IY13" s="303"/>
      <c r="IZ13" s="303"/>
      <c r="JA13" s="303"/>
      <c r="JB13" s="303"/>
      <c r="JC13" s="303"/>
    </row>
    <row r="14" spans="1:263" s="356" customFormat="1" x14ac:dyDescent="0.2">
      <c r="A14" s="346" t="s">
        <v>179</v>
      </c>
      <c r="B14" s="352"/>
      <c r="C14" s="353">
        <f>INDEX('qtrP&amp;L'!$30:$30,MATCH(C$6,'qtrP&amp;L'!$6:$6,0))</f>
        <v>43.71</v>
      </c>
      <c r="D14" s="353">
        <f>INDEX('qtrP&amp;L'!$31:$31,MATCH(C$6,'qtrP&amp;L'!$6:$6,0))</f>
        <v>43.877000000000002</v>
      </c>
      <c r="E14" s="353">
        <f>INDEX('qtrP&amp;L'!$32:$32,MATCH(C$6,'qtrP&amp;L'!$6:$6,0))</f>
        <v>50.789000000000001</v>
      </c>
      <c r="F14" s="353">
        <f>INDEX('qtrP&amp;L'!$33:$33,MATCH(C$6,'qtrP&amp;L'!$6:$6,0))</f>
        <v>55.362000000000002</v>
      </c>
      <c r="G14" s="353"/>
      <c r="H14" s="353">
        <f>INDEX('qtrP&amp;L'!$30:$30,MATCH(H$6,'qtrP&amp;L'!$6:$6,0))</f>
        <v>50.442</v>
      </c>
      <c r="I14" s="353">
        <f>INDEX('qtrP&amp;L'!$31:$31,MATCH(H$6,'qtrP&amp;L'!$6:$6,0))</f>
        <v>50.085000000000001</v>
      </c>
      <c r="J14" s="353">
        <f>INDEX('qtrP&amp;L'!$32:$32,MATCH(H$6,'qtrP&amp;L'!$6:$6,0))</f>
        <v>61.353999999999999</v>
      </c>
      <c r="K14" s="353">
        <f>INDEX('qtrP&amp;L'!$33:$33,MATCH(H$6,'qtrP&amp;L'!$6:$6,0))</f>
        <v>67.686000000000007</v>
      </c>
      <c r="L14" s="353"/>
      <c r="M14" s="353">
        <f>INDEX('qtrP&amp;L'!$30:$30,MATCH(M$6,'qtrP&amp;L'!$6:$6,0))</f>
        <v>56.881999999999998</v>
      </c>
      <c r="N14" s="353">
        <f>INDEX('qtrP&amp;L'!$31:$31,MATCH(M$6,'qtrP&amp;L'!$6:$6,0))</f>
        <v>59.273000000000003</v>
      </c>
      <c r="O14" s="353">
        <f>INDEX('qtrP&amp;L'!$32:$32,MATCH(M$6,'qtrP&amp;L'!$6:$6,0))</f>
        <v>72.465999999999994</v>
      </c>
      <c r="P14" s="353">
        <f>INDEX('qtrP&amp;L'!$33:$33,MATCH(M$6,'qtrP&amp;L'!$6:$6,0))</f>
        <v>80.537000000000006</v>
      </c>
      <c r="Q14" s="353"/>
      <c r="R14" s="353">
        <f>INDEX('qtrP&amp;L'!$30:$30,MATCH(R$6,'qtrP&amp;L'!$6:$6,0))</f>
        <v>64.704999999999998</v>
      </c>
      <c r="S14" s="353">
        <f>INDEX('qtrP&amp;L'!$31:$31,MATCH(R$6,'qtrP&amp;L'!$6:$6,0))</f>
        <v>67.978999999999999</v>
      </c>
      <c r="T14" s="353">
        <f>INDEX('qtrP&amp;L'!$32:$32,MATCH(R$6,'qtrP&amp;L'!$6:$6,0))</f>
        <v>81.165000000000006</v>
      </c>
      <c r="U14" s="353">
        <f>INDEX('qtrP&amp;L'!$33:$33,MATCH(R$6,'qtrP&amp;L'!$6:$6,0))</f>
        <v>91.697999999999993</v>
      </c>
      <c r="V14" s="353"/>
      <c r="W14" s="353">
        <f>INDEX('qtrP&amp;L'!$30:$30,MATCH(W$6,'qtrP&amp;L'!$6:$6,0))</f>
        <v>77.855000000000004</v>
      </c>
      <c r="X14" s="353">
        <f>INDEX('qtrP&amp;L'!$31:$31,MATCH(W$6,'qtrP&amp;L'!$6:$6,0))</f>
        <v>76.113</v>
      </c>
      <c r="Y14" s="353">
        <f>INDEX('qtrP&amp;L'!$32:$32,MATCH(W$6,'qtrP&amp;L'!$6:$6,0))</f>
        <v>91.334999999999994</v>
      </c>
      <c r="Z14" s="353">
        <f>INDEX('qtrP&amp;L'!$33:$33,MATCH(W$6,'qtrP&amp;L'!$6:$6,0))</f>
        <v>111.59</v>
      </c>
      <c r="AA14" s="353"/>
      <c r="AB14" s="353">
        <f>INDEX('qtrP&amp;L'!$30:$30,MATCH(AB$6,'qtrP&amp;L'!$6:$6,0))</f>
        <v>92.551000000000002</v>
      </c>
      <c r="AC14" s="353">
        <f>INDEX('qtrP&amp;L'!$31:$31,MATCH(AB$6,'qtrP&amp;L'!$6:$6,0))</f>
        <v>91.388999999999996</v>
      </c>
      <c r="AD14" s="353">
        <f>INDEX('qtrP&amp;L'!$32:$32,MATCH(AB$6,'qtrP&amp;L'!$6:$6,0))</f>
        <v>113.53400000000001</v>
      </c>
      <c r="AE14" s="353">
        <f>INDEX('qtrP&amp;L'!$33:$33,MATCH(AB$6,'qtrP&amp;L'!$6:$6,0))</f>
        <v>138.96799999999999</v>
      </c>
      <c r="AF14" s="353"/>
      <c r="AG14" s="353">
        <f>INDEX('qtrP&amp;L'!$30:$30,MATCH(AG$6,'qtrP&amp;L'!$6:$6,0))</f>
        <v>115.89</v>
      </c>
      <c r="AH14" s="353">
        <f>INDEX('qtrP&amp;L'!$31:$31,MATCH(AG$6,'qtrP&amp;L'!$6:$6,0))</f>
        <v>117.43899999999999</v>
      </c>
      <c r="AI14" s="353">
        <f>INDEX('qtrP&amp;L'!$32:$32,MATCH(AG$6,'qtrP&amp;L'!$6:$6,0))</f>
        <v>138.32400000000001</v>
      </c>
      <c r="AJ14" s="353">
        <f>INDEX('qtrP&amp;L'!$33:$33,MATCH(AG$6,'qtrP&amp;L'!$6:$6,0))</f>
        <v>164.57300000000001</v>
      </c>
      <c r="AK14" s="353"/>
      <c r="AL14" s="353">
        <f>INDEX('qtrP&amp;L'!$30:$30,MATCH(AL$6,'qtrP&amp;L'!$6:$6,0))</f>
        <v>146.751</v>
      </c>
      <c r="AM14" s="353">
        <f>INDEX('qtrP&amp;L'!$31:$31,MATCH(AL$6,'qtrP&amp;L'!$6:$6,0))</f>
        <v>152.245</v>
      </c>
      <c r="AN14" s="353">
        <f>INDEX('qtrP&amp;L'!$32:$32,MATCH(AL$6,'qtrP&amp;L'!$6:$6,0))</f>
        <v>173.065</v>
      </c>
      <c r="AO14" s="353">
        <f>INDEX('qtrP&amp;L'!$33:$33,MATCH(AL$6,'qtrP&amp;L'!$6:$6,0))</f>
        <v>206.732</v>
      </c>
      <c r="AP14" s="353"/>
      <c r="AQ14" s="353">
        <f>INDEX('qtrP&amp;L'!$30:$30,MATCH(AQ$6,'qtrP&amp;L'!$6:$6,0))</f>
        <v>180.49200000000002</v>
      </c>
      <c r="AR14" s="353">
        <f>INDEX('qtrP&amp;L'!$31:$31,MATCH(AQ$6,'qtrP&amp;L'!$6:$6,0))</f>
        <v>184.77099999999999</v>
      </c>
      <c r="AS14" s="353">
        <f>INDEX('qtrP&amp;L'!$32:$32,MATCH(AQ$6,'qtrP&amp;L'!$6:$6,0))</f>
        <v>204.15600000000001</v>
      </c>
      <c r="AT14" s="353">
        <f>INDEX('qtrP&amp;L'!$33:$33,MATCH(AQ$6,'qtrP&amp;L'!$6:$6,0))</f>
        <v>246.88200000000001</v>
      </c>
      <c r="AU14" s="353"/>
      <c r="AV14" s="353">
        <f>INDEX('qtrP&amp;L'!$30:$30,MATCH(AV$6,'qtrP&amp;L'!$6:$6,0))</f>
        <v>215.16900000000001</v>
      </c>
      <c r="AW14" s="353">
        <f>INDEX('qtrP&amp;L'!$31:$31,MATCH(AV$6,'qtrP&amp;L'!$6:$6,0))</f>
        <v>219.37</v>
      </c>
      <c r="AX14" s="353">
        <f>INDEX('qtrP&amp;L'!$32:$32,MATCH(AV$6,'qtrP&amp;L'!$6:$6,0))</f>
        <v>247.251</v>
      </c>
      <c r="AY14" s="353">
        <f>INDEX('qtrP&amp;L'!$33:$33,MATCH(AV$6,'qtrP&amp;L'!$6:$6,0))</f>
        <v>294.11599999999999</v>
      </c>
      <c r="AZ14" s="353"/>
      <c r="BA14" s="353">
        <f>INDEX('qtrP&amp;L'!$30:$30,MATCH(BA$6,'qtrP&amp;L'!$6:$6,0))</f>
        <v>285.75599999999997</v>
      </c>
      <c r="BB14" s="353">
        <f>INDEX('qtrP&amp;L'!$31:$31,MATCH(BA$6,'qtrP&amp;L'!$6:$6,0))</f>
        <v>290.83100000000002</v>
      </c>
      <c r="BC14" s="353">
        <f>INDEX('qtrP&amp;L'!$32:$32,MATCH(BA$6,'qtrP&amp;L'!$6:$6,0))</f>
        <v>319.29000000000002</v>
      </c>
      <c r="BD14" s="353">
        <f>INDEX('qtrP&amp;L'!$33:$33,MATCH(BA$6,'qtrP&amp;L'!$6:$6,0))</f>
        <v>400.07600000000002</v>
      </c>
      <c r="BE14" s="353"/>
      <c r="BF14" s="353">
        <f>INDEX('qtrP&amp;L'!$30:$30,MATCH(BF$6,'qtrP&amp;L'!$6:$6,0))</f>
        <v>339.49099999999999</v>
      </c>
      <c r="BG14" s="353">
        <f>INDEX('qtrP&amp;L'!$31:$31,MATCH(BF$6,'qtrP&amp;L'!$6:$6,0))</f>
        <v>345.14800000000002</v>
      </c>
      <c r="BH14" s="353">
        <f>INDEX('qtrP&amp;L'!$32:$32,MATCH(BF$6,'qtrP&amp;L'!$6:$6,0))</f>
        <v>382.25200000000001</v>
      </c>
      <c r="BI14" s="353">
        <f>INDEX('qtrP&amp;L'!$33:$33,MATCH(BF$6,'qtrP&amp;L'!$6:$6,0))</f>
        <v>465.584</v>
      </c>
      <c r="BJ14" s="353"/>
      <c r="BK14" s="353">
        <f>INDEX('qtrP&amp;L'!$30:$30,MATCH(BK$6,'qtrP&amp;L'!$6:$6,0))</f>
        <v>413.52699999999999</v>
      </c>
      <c r="BL14" s="353">
        <f>INDEX('qtrP&amp;L'!$31:$31,MATCH(BK$6,'qtrP&amp;L'!$6:$6,0))</f>
        <v>425.4</v>
      </c>
      <c r="BM14" s="353">
        <f>INDEX('qtrP&amp;L'!$32:$32,MATCH(BK$6,'qtrP&amp;L'!$6:$6,0))</f>
        <v>456.9</v>
      </c>
      <c r="BN14" s="353">
        <f>INDEX('qtrP&amp;L'!$33:$33,MATCH(BK$6,'qtrP&amp;L'!$6:$6,0))</f>
        <v>528.92600000000004</v>
      </c>
      <c r="BO14" s="353"/>
      <c r="BP14" s="353">
        <f>INDEX('qtrP&amp;L'!$30:$30,MATCH(BP$6,'qtrP&amp;L'!$6:$6,0))</f>
        <v>493.10699999999997</v>
      </c>
      <c r="BQ14" s="353">
        <f>INDEX('qtrP&amp;L'!$31:$31,MATCH(BP$6,'qtrP&amp;L'!$6:$6,0))</f>
        <v>478.5</v>
      </c>
      <c r="BR14" s="353">
        <f>INDEX('qtrP&amp;L'!$32:$32,MATCH(BP$6,'qtrP&amp;L'!$6:$6,0))</f>
        <v>548.69000000000005</v>
      </c>
      <c r="BS14" s="353">
        <f>INDEX('qtrP&amp;L'!$33:$33,MATCH(BP$6,'qtrP&amp;L'!$6:$6,0))</f>
        <v>626.79999999999995</v>
      </c>
      <c r="BT14" s="353"/>
      <c r="BU14" s="353">
        <f>INDEX('qtrP&amp;L'!$30:$30,MATCH(BU$6,'qtrP&amp;L'!$6:$6,0))</f>
        <v>600</v>
      </c>
      <c r="BV14" s="353">
        <f>INDEX('qtrP&amp;L'!$31:$31,MATCH(BU$6,'qtrP&amp;L'!$6:$6,0))</f>
        <v>587.51099999999997</v>
      </c>
      <c r="BW14" s="353">
        <f>INDEX('qtrP&amp;L'!$32:$32,MATCH(BU$6,'qtrP&amp;L'!$6:$6,0))</f>
        <v>681.97</v>
      </c>
      <c r="BX14" s="353">
        <f>INDEX('qtrP&amp;L'!$33:$33,MATCH(BU$6,'qtrP&amp;L'!$6:$6,0))</f>
        <v>762.601</v>
      </c>
      <c r="BY14" s="353"/>
      <c r="BZ14" s="353">
        <f>INDEX('qtrP&amp;L'!$30:$30,MATCH(BZ$6,'qtrP&amp;L'!$6:$6,0))</f>
        <v>685.5</v>
      </c>
      <c r="CA14" s="353">
        <f>INDEX('qtrP&amp;L'!$31:$31,MATCH(BZ$6,'qtrP&amp;L'!$6:$6,0))</f>
        <v>676.6</v>
      </c>
      <c r="CB14" s="353">
        <f>INDEX('qtrP&amp;L'!$32:$32,MATCH(BZ$6,'qtrP&amp;L'!$6:$6,0))</f>
        <v>780.1</v>
      </c>
      <c r="CC14" s="353">
        <f>INDEX('qtrP&amp;L'!$33:$33,MATCH(BZ$6,'qtrP&amp;L'!$6:$6,0))</f>
        <v>865.8</v>
      </c>
      <c r="CD14" s="353"/>
      <c r="CE14" s="353">
        <f>INDEX('qtrP&amp;L'!$30:$30,MATCH(CE$6,'qtrP&amp;L'!$6:$6,0))</f>
        <v>772.7059999999999</v>
      </c>
      <c r="CF14" s="353">
        <f>INDEX('qtrP&amp;L'!$31:$31,MATCH(CE$6,'qtrP&amp;L'!$6:$6,0))</f>
        <v>767.8</v>
      </c>
      <c r="CG14" s="353">
        <f>INDEX('qtrP&amp;L'!$32:$32,MATCH(CE$6,'qtrP&amp;L'!$6:$6,0))</f>
        <v>887.2059999999999</v>
      </c>
      <c r="CH14" s="353">
        <f>INDEX('qtrP&amp;L'!$33:$33,MATCH(CE$6,'qtrP&amp;L'!$6:$6,0))</f>
        <v>1037.4000000000001</v>
      </c>
      <c r="CI14" s="353"/>
      <c r="CJ14" s="353">
        <f>INDEX('qtrP&amp;L'!$30:$30,MATCH(CJ$6,'qtrP&amp;L'!$6:$6,0))</f>
        <v>867</v>
      </c>
      <c r="CK14" s="353">
        <f>INDEX('qtrP&amp;L'!$31:$31,MATCH(CJ$6,'qtrP&amp;L'!$6:$6,0))</f>
        <v>846.5</v>
      </c>
      <c r="CL14" s="353">
        <f>INDEX('qtrP&amp;L'!$32:$32,MATCH(CJ$6,'qtrP&amp;L'!$6:$6,0))</f>
        <v>971.9</v>
      </c>
      <c r="CM14" s="353">
        <f>INDEX('qtrP&amp;L'!$33:$33,MATCH(CJ$6,'qtrP&amp;L'!$6:$6,0))</f>
        <v>1072</v>
      </c>
      <c r="CN14" s="353"/>
      <c r="CO14" s="353">
        <f>INDEX('qtrP&amp;L'!$30:$30,MATCH(CO$6,'qtrP&amp;L'!$6:$6,0))</f>
        <v>933.64599999999996</v>
      </c>
      <c r="CP14" s="353">
        <f>INDEX('qtrP&amp;L'!$31:$31,MATCH(CO$6,'qtrP&amp;L'!$6:$6,0))</f>
        <v>935.70799999999997</v>
      </c>
      <c r="CQ14" s="353">
        <f>INDEX('qtrP&amp;L'!$32:$32,MATCH(CO$6,'qtrP&amp;L'!$6:$6,0))</f>
        <v>1001.9670000000001</v>
      </c>
      <c r="CR14" s="353">
        <f>INDEX('qtrP&amp;L'!$33:$33,MATCH(CO$6,'qtrP&amp;L'!$6:$6,0))</f>
        <v>1106</v>
      </c>
      <c r="CS14" s="353"/>
      <c r="CT14" s="353">
        <f>INDEX('qtrP&amp;L'!$30:$30,MATCH(CT$6,'qtrP&amp;L'!$6:$6,0))</f>
        <v>976</v>
      </c>
      <c r="CU14" s="353">
        <f>INDEX('qtrP&amp;L'!$31:$31,MATCH(CT$6,'qtrP&amp;L'!$6:$6,0))</f>
        <v>977</v>
      </c>
      <c r="CV14" s="353">
        <f>INDEX('qtrP&amp;L'!$32:$32,MATCH(CT$6,'qtrP&amp;L'!$6:$6,0))</f>
        <v>1050</v>
      </c>
      <c r="CW14" s="353">
        <f>INDEX('qtrP&amp;L'!$33:$33,MATCH(CT$6,'qtrP&amp;L'!$6:$6,0))</f>
        <v>1193</v>
      </c>
      <c r="CX14" s="353"/>
      <c r="CY14" s="353">
        <f>INDEX('qtrP&amp;L'!$30:$30,MATCH(CY$6,'qtrP&amp;L'!$6:$6,0))</f>
        <v>973</v>
      </c>
      <c r="CZ14" s="353">
        <f>INDEX('qtrP&amp;L'!$31:$31,MATCH(CY$6,'qtrP&amp;L'!$6:$6,0))</f>
        <v>983</v>
      </c>
      <c r="DA14" s="353">
        <f>INDEX('qtrP&amp;L'!$32:$32,MATCH(CY$6,'qtrP&amp;L'!$6:$6,0))</f>
        <v>1059</v>
      </c>
      <c r="DB14" s="353">
        <f>INDEX('qtrP&amp;L'!$33:$33,MATCH(CY$6,'qtrP&amp;L'!$6:$6,0))</f>
        <v>1173</v>
      </c>
      <c r="DC14" s="353"/>
      <c r="DD14" s="353">
        <f>INDEX('qtrP&amp;L'!$30:$30,MATCH(DD$6,'qtrP&amp;L'!$6:$6,0))</f>
        <v>1004</v>
      </c>
      <c r="DE14" s="353">
        <f>INDEX('qtrP&amp;L'!$31:$31,MATCH(DD$6,'qtrP&amp;L'!$6:$6,0))</f>
        <v>991</v>
      </c>
      <c r="DF14" s="353">
        <f>INDEX('qtrP&amp;L'!$32:$32,MATCH(DD$6,'qtrP&amp;L'!$6:$6,0))</f>
        <v>1070</v>
      </c>
      <c r="DG14" s="353">
        <f>INDEX('qtrP&amp;L'!$33:$33,MATCH(DD$6,'qtrP&amp;L'!$6:$6,0))</f>
        <v>1178</v>
      </c>
      <c r="DH14" s="353"/>
      <c r="DI14" s="353">
        <f>INDEX('qtrP&amp;L'!$30:$30,MATCH(DI$6,'qtrP&amp;L'!$6:$6,0))</f>
        <v>1002</v>
      </c>
      <c r="DJ14" s="353">
        <f>INDEX('qtrP&amp;L'!$31:$31,MATCH(DI$6,'qtrP&amp;L'!$6:$6,0))</f>
        <v>975</v>
      </c>
      <c r="DK14" s="353">
        <f>INDEX('qtrP&amp;L'!$32:$32,MATCH(DI$6,'qtrP&amp;L'!$6:$6,0))</f>
        <v>1077</v>
      </c>
      <c r="DL14" s="353">
        <f>INDEX('qtrP&amp;L'!$33:$33,MATCH(DI$6,'qtrP&amp;L'!$6:$6,0))</f>
        <v>1212</v>
      </c>
      <c r="DM14" s="353"/>
      <c r="DN14" s="353">
        <f>INDEX('qtrP&amp;L'!$30:$30,MATCH(DN$6,'qtrP&amp;L'!$6:$6,0))</f>
        <v>997</v>
      </c>
      <c r="DO14" s="353">
        <f>INDEX('qtrP&amp;L'!$31:$31,MATCH(DN$6,'qtrP&amp;L'!$6:$6,0))</f>
        <v>1000</v>
      </c>
      <c r="DP14" s="353">
        <f>INDEX('qtrP&amp;L'!$32:$32,MATCH(DN$6,'qtrP&amp;L'!$6:$6,0))</f>
        <v>1073</v>
      </c>
      <c r="DQ14" s="353">
        <f>INDEX('qtrP&amp;L'!$33:$33,MATCH(DN$6,'qtrP&amp;L'!$6:$6,0))</f>
        <v>1242</v>
      </c>
      <c r="DR14" s="353"/>
      <c r="DS14" s="353">
        <f>INDEX('qtrP&amp;L'!$30:$30,MATCH(DS$6,'qtrP&amp;L'!$6:$6,0))</f>
        <v>1000</v>
      </c>
      <c r="DT14" s="353">
        <f>INDEX('qtrP&amp;L'!$31:$31,MATCH(DS$6,'qtrP&amp;L'!$6:$6,0))</f>
        <v>981</v>
      </c>
      <c r="DU14" s="353">
        <f>INDEX('qtrP&amp;L'!$32:$32,MATCH(DS$6,'qtrP&amp;L'!$6:$6,0))</f>
        <v>1097</v>
      </c>
      <c r="DV14" s="353">
        <f>INDEX('qtrP&amp;L'!$33:$33,MATCH(DS$6,'qtrP&amp;L'!$6:$6,0))</f>
        <v>1272</v>
      </c>
      <c r="DW14" s="353"/>
      <c r="DX14" s="353">
        <f>INDEX('qtrP&amp;L'!$30:$30,MATCH(DX$6,'qtrP&amp;L'!$6:$6,0))</f>
        <v>1016</v>
      </c>
      <c r="DY14" s="353">
        <f>INDEX('qtrP&amp;L'!$31:$31,MATCH(DX$6,'qtrP&amp;L'!$6:$6,0))</f>
        <v>1005</v>
      </c>
      <c r="DZ14" s="353">
        <f>INDEX('qtrP&amp;L'!$32:$32,MATCH(DX$6,'qtrP&amp;L'!$6:$6,0))</f>
        <v>1099</v>
      </c>
      <c r="EA14" s="353">
        <f>INDEX('qtrP&amp;L'!$33:$33,MATCH(DX$6,'qtrP&amp;L'!$6:$6,0))</f>
        <v>1332</v>
      </c>
      <c r="EB14" s="353"/>
      <c r="EC14" s="353">
        <f>INDEX('qtrP&amp;L'!$30:$30,MATCH(EC$6,'qtrP&amp;L'!$6:$6,0))</f>
        <v>1008</v>
      </c>
      <c r="ED14" s="353">
        <f>INDEX('qtrP&amp;L'!$31:$31,MATCH(EC$6,'qtrP&amp;L'!$6:$6,0))</f>
        <v>986</v>
      </c>
      <c r="EE14" s="353">
        <f>INDEX('qtrP&amp;L'!$32:$32,MATCH(EC$6,'qtrP&amp;L'!$6:$6,0))</f>
        <v>1080</v>
      </c>
      <c r="EF14" s="353">
        <f>INDEX('qtrP&amp;L'!$33:$33,MATCH(EC$6,'qtrP&amp;L'!$6:$6,0))</f>
        <v>1360</v>
      </c>
      <c r="EG14" s="305"/>
      <c r="EH14" s="353">
        <f>INDEX('qtrP&amp;L'!$30:$30,MATCH(EH$6,'qtrP&amp;L'!$6:$6,0))</f>
        <v>975</v>
      </c>
      <c r="EI14" s="353">
        <f>INDEX('qtrP&amp;L'!$31:$31,MATCH(EH$6,'qtrP&amp;L'!$6:$6,0))</f>
        <v>983</v>
      </c>
      <c r="EJ14" s="353">
        <f>INDEX('qtrP&amp;L'!$32:$32,MATCH(EH$6,'qtrP&amp;L'!$6:$6,0))</f>
        <v>1095</v>
      </c>
      <c r="EK14" s="353">
        <f>INDEX('qtrP&amp;L'!$33:$33,MATCH(EH$6,'qtrP&amp;L'!$6:$6,0))</f>
        <v>1459</v>
      </c>
      <c r="EL14" s="353"/>
      <c r="EM14" s="1197">
        <f>INDEX('qtrP&amp;L'!$30:$30,MATCH(EM$6,'qtrP&amp;L'!$6:$6,0))</f>
        <v>1023.75</v>
      </c>
      <c r="EN14" s="1197">
        <f>INDEX('qtrP&amp;L'!$31:$31,MATCH(EM$6,'qtrP&amp;L'!$6:$6,0))</f>
        <v>973.66150000000005</v>
      </c>
      <c r="EO14" s="1197">
        <f>INDEX('qtrP&amp;L'!$32:$32,MATCH(EM$6,'qtrP&amp;L'!$6:$6,0))</f>
        <v>1084.5975000000001</v>
      </c>
      <c r="EP14" s="1197">
        <f>INDEX('qtrP&amp;L'!$33:$33,MATCH(EM$6,'qtrP&amp;L'!$6:$6,0))</f>
        <v>1429.82</v>
      </c>
      <c r="EQ14" s="354">
        <f>'yrP&amp;L'!C24</f>
        <v>193.738</v>
      </c>
      <c r="ER14" s="355">
        <f>'yrP&amp;L'!D24</f>
        <v>229.56700000000001</v>
      </c>
      <c r="ES14" s="355">
        <f>'yrP&amp;L'!E24</f>
        <v>269.15800000000002</v>
      </c>
      <c r="ET14" s="355">
        <f>'yrP&amp;L'!F24</f>
        <v>305.54699999999997</v>
      </c>
      <c r="EU14" s="355">
        <f>'yrP&amp;L'!G24</f>
        <v>356.89300000000003</v>
      </c>
      <c r="EV14" s="355">
        <f>'yrP&amp;L'!H24</f>
        <v>436.44200000000001</v>
      </c>
      <c r="EW14" s="355">
        <f>'yrP&amp;L'!I24</f>
        <v>536.226</v>
      </c>
      <c r="EX14" s="355">
        <f>'yrP&amp;L'!J24</f>
        <v>678.79300000000001</v>
      </c>
      <c r="EY14" s="355">
        <f>'yrP&amp;L'!K24</f>
        <v>816.30100000000016</v>
      </c>
      <c r="EZ14" s="355">
        <f>'yrP&amp;L'!L24</f>
        <v>975.26900000000001</v>
      </c>
      <c r="FA14" s="355">
        <f>'yrP&amp;L'!M24</f>
        <v>1295.953</v>
      </c>
      <c r="FB14" s="355">
        <f>'yrP&amp;L'!N24</f>
        <v>1532.4750000000001</v>
      </c>
      <c r="FC14" s="355">
        <f>'yrP&amp;L'!O24</f>
        <v>1826.7070000000001</v>
      </c>
      <c r="FD14" s="355">
        <f>'yrP&amp;L'!P24</f>
        <v>2148.701</v>
      </c>
      <c r="FE14" s="355">
        <f>'yrP&amp;L'!Q24</f>
        <v>2632.0819999999999</v>
      </c>
      <c r="FF14" s="355">
        <f>'yrP&amp;L'!R24</f>
        <v>3008</v>
      </c>
      <c r="FG14" s="355">
        <f>'yrP&amp;L'!S24</f>
        <v>3465.1119999999996</v>
      </c>
      <c r="FH14" s="354">
        <f>'yrP&amp;L'!T24</f>
        <v>3757.4</v>
      </c>
      <c r="FI14" s="355">
        <f>'yrP&amp;L'!U24</f>
        <v>3977.3209999999999</v>
      </c>
      <c r="FJ14" s="355">
        <f>'yrP&amp;L'!V24</f>
        <v>3951</v>
      </c>
      <c r="FK14" s="1258"/>
      <c r="FL14" s="355">
        <f>'yrP&amp;L'!W24</f>
        <v>4188</v>
      </c>
      <c r="FM14" s="355">
        <f>'yrP&amp;L'!X24</f>
        <v>4243</v>
      </c>
      <c r="FN14" s="355">
        <f>'yrP&amp;L'!Y24</f>
        <v>4266</v>
      </c>
      <c r="FO14" s="355">
        <f>'yrP&amp;L'!Z24</f>
        <v>4312</v>
      </c>
      <c r="FP14" s="355">
        <f>'yrP&amp;L'!AA24</f>
        <v>4350</v>
      </c>
      <c r="FQ14" s="355">
        <f>'yrP&amp;L'!AB24</f>
        <v>4452</v>
      </c>
      <c r="FR14" s="355">
        <f>'yrP&amp;L'!AC24</f>
        <v>4434</v>
      </c>
      <c r="FS14" s="355">
        <f>'yrP&amp;L'!AD24</f>
        <v>4512</v>
      </c>
      <c r="FT14" s="355">
        <f>'yrP&amp;L'!AE24</f>
        <v>4511.8289999999997</v>
      </c>
      <c r="FU14" s="355">
        <f>'yrP&amp;L'!AF24</f>
        <v>4520.4356928724555</v>
      </c>
      <c r="FV14" s="357">
        <f>'yrP&amp;L'!AG24</f>
        <v>4485.4495198195109</v>
      </c>
      <c r="FW14" s="355">
        <f>'yrP&amp;L'!AH24</f>
        <v>4454.0878402500421</v>
      </c>
      <c r="FX14" s="357">
        <f>'yrP&amp;L'!AI24</f>
        <v>4399.659964444083</v>
      </c>
      <c r="FZ14"/>
      <c r="GA14"/>
      <c r="GB14"/>
      <c r="GC14"/>
      <c r="GD14"/>
      <c r="GE14"/>
      <c r="GF14" s="303"/>
      <c r="GG14" s="426"/>
      <c r="GH14" s="315"/>
      <c r="GI14" s="303"/>
      <c r="GJ14" s="303"/>
      <c r="GK14" s="303"/>
      <c r="GL14" s="303"/>
      <c r="GM14" s="303"/>
      <c r="GN14" s="303"/>
      <c r="GO14" s="303"/>
      <c r="GP14" s="303"/>
      <c r="GQ14" s="303"/>
      <c r="GR14" s="303"/>
      <c r="GS14" s="303"/>
      <c r="GT14" s="303"/>
      <c r="GU14" s="303"/>
      <c r="GV14" s="303"/>
      <c r="GW14" s="303"/>
      <c r="GX14" s="303"/>
      <c r="GY14" s="303"/>
      <c r="GZ14" s="303"/>
      <c r="HA14" s="303"/>
      <c r="HB14" s="303"/>
      <c r="HC14" s="303"/>
      <c r="HD14" s="303"/>
      <c r="HE14" s="303"/>
      <c r="HF14" s="303"/>
      <c r="HG14" s="303"/>
      <c r="HH14" s="303"/>
      <c r="HI14" s="303"/>
      <c r="HJ14" s="303"/>
      <c r="HK14" s="303"/>
      <c r="HL14" s="303"/>
      <c r="HM14" s="303"/>
      <c r="HN14" s="303"/>
      <c r="HO14" s="303"/>
      <c r="HP14" s="303"/>
      <c r="HQ14" s="303"/>
      <c r="HR14" s="303"/>
      <c r="HS14" s="303"/>
      <c r="HT14" s="303"/>
      <c r="HU14" s="303"/>
      <c r="HV14" s="303"/>
      <c r="HW14" s="303"/>
      <c r="HX14" s="303"/>
      <c r="HY14" s="303"/>
      <c r="HZ14" s="303"/>
      <c r="IA14" s="303"/>
      <c r="IB14" s="303"/>
      <c r="IC14" s="303"/>
      <c r="ID14" s="303"/>
      <c r="IE14" s="303"/>
      <c r="IF14" s="303"/>
      <c r="IG14" s="303"/>
      <c r="IH14" s="303"/>
      <c r="II14" s="303"/>
      <c r="IJ14" s="303"/>
      <c r="IK14" s="303"/>
      <c r="IL14" s="303"/>
      <c r="IM14" s="303"/>
      <c r="IN14" s="303"/>
      <c r="IO14" s="303"/>
      <c r="IP14" s="303"/>
      <c r="IQ14" s="303"/>
      <c r="IR14" s="303"/>
      <c r="IS14" s="303"/>
      <c r="IT14" s="303"/>
      <c r="IU14" s="303"/>
      <c r="IV14" s="303"/>
      <c r="IW14" s="303"/>
      <c r="IX14" s="303"/>
      <c r="IY14" s="303"/>
      <c r="IZ14" s="303"/>
      <c r="JA14" s="303"/>
      <c r="JB14" s="303"/>
      <c r="JC14" s="303"/>
    </row>
    <row r="15" spans="1:263" s="356" customFormat="1" x14ac:dyDescent="0.2">
      <c r="A15" s="346" t="s">
        <v>356</v>
      </c>
      <c r="B15" s="352"/>
      <c r="C15" s="353">
        <f>INDEX('qtrP&amp;L'!$50:$50,MATCH(C$6,'qtrP&amp;L'!$6:$6,0))</f>
        <v>2.9860000000000002</v>
      </c>
      <c r="D15" s="353">
        <f>INDEX('qtrP&amp;L'!$51:$51,MATCH(C$6,'qtrP&amp;L'!$6:$6,0))</f>
        <v>2.9670000000000001</v>
      </c>
      <c r="E15" s="353">
        <f>INDEX('qtrP&amp;L'!$52:$52,MATCH(C$6,'qtrP&amp;L'!$6:$6,0))</f>
        <v>2.1589999999999998</v>
      </c>
      <c r="F15" s="353">
        <f>INDEX('qtrP&amp;L'!$53:$53,MATCH(C$6,'qtrP&amp;L'!$6:$6,0))</f>
        <v>2.875</v>
      </c>
      <c r="G15" s="353"/>
      <c r="H15" s="353">
        <f>INDEX('qtrP&amp;L'!$50:$50,MATCH(H$6,'qtrP&amp;L'!$6:$6,0))</f>
        <v>2.9089999999999998</v>
      </c>
      <c r="I15" s="353">
        <f>INDEX('qtrP&amp;L'!$51:$51,MATCH(H$6,'qtrP&amp;L'!$6:$6,0))</f>
        <v>3.0270000000000001</v>
      </c>
      <c r="J15" s="353">
        <f>INDEX('qtrP&amp;L'!$52:$52,MATCH(H$6,'qtrP&amp;L'!$6:$6,0))</f>
        <v>3.2329999999999997</v>
      </c>
      <c r="K15" s="353">
        <f>INDEX('qtrP&amp;L'!$53:$53,MATCH(H$6,'qtrP&amp;L'!$6:$6,0))</f>
        <v>3.3359999999999999</v>
      </c>
      <c r="L15" s="353"/>
      <c r="M15" s="353">
        <f>INDEX('qtrP&amp;L'!$50:$50,MATCH(M$6,'qtrP&amp;L'!$6:$6,0))</f>
        <v>3.4489999999999998</v>
      </c>
      <c r="N15" s="353">
        <f>INDEX('qtrP&amp;L'!$51:$51,MATCH(M$6,'qtrP&amp;L'!$6:$6,0))</f>
        <v>3.5249999999999999</v>
      </c>
      <c r="O15" s="353">
        <f>INDEX('qtrP&amp;L'!$52:$52,MATCH(M$6,'qtrP&amp;L'!$6:$6,0))</f>
        <v>3.8879999999999999</v>
      </c>
      <c r="P15" s="353">
        <f>INDEX('qtrP&amp;L'!$53:$53,MATCH(M$6,'qtrP&amp;L'!$6:$6,0))</f>
        <v>3.9280000000000004</v>
      </c>
      <c r="Q15" s="353"/>
      <c r="R15" s="353">
        <f>INDEX('qtrP&amp;L'!$50:$50,MATCH(R$6,'qtrP&amp;L'!$6:$6,0))</f>
        <v>4.1950000000000003</v>
      </c>
      <c r="S15" s="353">
        <f>INDEX('qtrP&amp;L'!$51:$51,MATCH(R$6,'qtrP&amp;L'!$6:$6,0))</f>
        <v>4.3389999999999995</v>
      </c>
      <c r="T15" s="353">
        <f>INDEX('qtrP&amp;L'!$52:$52,MATCH(R$6,'qtrP&amp;L'!$6:$6,0))</f>
        <v>4.6719999999999997</v>
      </c>
      <c r="U15" s="353">
        <f>INDEX('qtrP&amp;L'!$53:$53,MATCH(R$6,'qtrP&amp;L'!$6:$6,0))</f>
        <v>4.9119999999999999</v>
      </c>
      <c r="V15" s="353"/>
      <c r="W15" s="353">
        <f>INDEX('qtrP&amp;L'!$50:$50,MATCH(W$6,'qtrP&amp;L'!$6:$6,0))</f>
        <v>4.9889999999999999</v>
      </c>
      <c r="X15" s="353">
        <f>INDEX('qtrP&amp;L'!$51:$51,MATCH(W$6,'qtrP&amp;L'!$6:$6,0))</f>
        <v>4.8650000000000002</v>
      </c>
      <c r="Y15" s="353">
        <f>INDEX('qtrP&amp;L'!$52:$52,MATCH(W$6,'qtrP&amp;L'!$6:$6,0))</f>
        <v>6.1139999999999999</v>
      </c>
      <c r="Z15" s="353">
        <f>INDEX('qtrP&amp;L'!$53:$53,MATCH(W$6,'qtrP&amp;L'!$6:$6,0))</f>
        <v>6.39</v>
      </c>
      <c r="AA15" s="353"/>
      <c r="AB15" s="353">
        <f>INDEX('qtrP&amp;L'!$50:$50,MATCH(AB$6,'qtrP&amp;L'!$6:$6,0))</f>
        <v>6.6950000000000003</v>
      </c>
      <c r="AC15" s="353">
        <f>INDEX('qtrP&amp;L'!$51:$51,MATCH(AB$6,'qtrP&amp;L'!$6:$6,0))</f>
        <v>6.5460000000000003</v>
      </c>
      <c r="AD15" s="353">
        <f>INDEX('qtrP&amp;L'!$52:$52,MATCH(AB$6,'qtrP&amp;L'!$6:$6,0))</f>
        <v>7.4980000000000002</v>
      </c>
      <c r="AE15" s="353">
        <f>INDEX('qtrP&amp;L'!$53:$53,MATCH(AB$6,'qtrP&amp;L'!$6:$6,0))</f>
        <v>8.1480000000000015</v>
      </c>
      <c r="AF15" s="353"/>
      <c r="AG15" s="353">
        <f>INDEX('qtrP&amp;L'!$50:$50,MATCH(AG$6,'qtrP&amp;L'!$6:$6,0))</f>
        <v>8.625</v>
      </c>
      <c r="AH15" s="353">
        <f>INDEX('qtrP&amp;L'!$51:$51,MATCH(AG$6,'qtrP&amp;L'!$6:$6,0))</f>
        <v>9.0640000000000001</v>
      </c>
      <c r="AI15" s="353">
        <f>INDEX('qtrP&amp;L'!$52:$52,MATCH(AG$6,'qtrP&amp;L'!$6:$6,0))</f>
        <v>10.334</v>
      </c>
      <c r="AJ15" s="353">
        <f>INDEX('qtrP&amp;L'!$53:$53,MATCH(AG$6,'qtrP&amp;L'!$6:$6,0))</f>
        <v>10.712</v>
      </c>
      <c r="AK15" s="353"/>
      <c r="AL15" s="353">
        <f>INDEX('qtrP&amp;L'!$50:$50,MATCH(AL$6,'qtrP&amp;L'!$6:$6,0))</f>
        <v>11.7</v>
      </c>
      <c r="AM15" s="353">
        <f>INDEX('qtrP&amp;L'!$51:$51,MATCH(AL$6,'qtrP&amp;L'!$6:$6,0))</f>
        <v>12.781000000000001</v>
      </c>
      <c r="AN15" s="353">
        <f>INDEX('qtrP&amp;L'!$52:$52,MATCH(AL$6,'qtrP&amp;L'!$6:$6,0))</f>
        <v>13.352</v>
      </c>
      <c r="AO15" s="353">
        <f>INDEX('qtrP&amp;L'!$53:$53,MATCH(AL$6,'qtrP&amp;L'!$6:$6,0))</f>
        <v>14.227</v>
      </c>
      <c r="AP15" s="353"/>
      <c r="AQ15" s="353">
        <f>INDEX('qtrP&amp;L'!$50:$50,MATCH(AQ$6,'qtrP&amp;L'!$6:$6,0))</f>
        <v>15.193999999999999</v>
      </c>
      <c r="AR15" s="353">
        <f>INDEX('qtrP&amp;L'!$51:$51,MATCH(AQ$6,'qtrP&amp;L'!$6:$6,0))</f>
        <v>15.87</v>
      </c>
      <c r="AS15" s="353">
        <f>INDEX('qtrP&amp;L'!$52:$52,MATCH(AQ$6,'qtrP&amp;L'!$6:$6,0))</f>
        <v>17.048999999999999</v>
      </c>
      <c r="AT15" s="353">
        <f>INDEX('qtrP&amp;L'!$53:$53,MATCH(AQ$6,'qtrP&amp;L'!$6:$6,0))</f>
        <v>17.576000000000001</v>
      </c>
      <c r="AU15" s="353"/>
      <c r="AV15" s="353">
        <f>INDEX('qtrP&amp;L'!$50:$50,MATCH(AV$6,'qtrP&amp;L'!$6:$6,0))</f>
        <v>18.786999999999999</v>
      </c>
      <c r="AW15" s="353">
        <f>INDEX('qtrP&amp;L'!$51:$51,MATCH(AV$6,'qtrP&amp;L'!$6:$6,0))</f>
        <v>19.954999999999998</v>
      </c>
      <c r="AX15" s="353">
        <f>INDEX('qtrP&amp;L'!$52:$52,MATCH(AV$6,'qtrP&amp;L'!$6:$6,0))</f>
        <v>22.27</v>
      </c>
      <c r="AY15" s="353">
        <f>INDEX('qtrP&amp;L'!$53:$53,MATCH(AV$6,'qtrP&amp;L'!$6:$6,0))</f>
        <v>23.151</v>
      </c>
      <c r="AZ15" s="353"/>
      <c r="BA15" s="353">
        <f>INDEX('qtrP&amp;L'!$50:$50,MATCH(BA$6,'qtrP&amp;L'!$6:$6,0))</f>
        <v>27.45</v>
      </c>
      <c r="BB15" s="353">
        <f>INDEX('qtrP&amp;L'!$51:$51,MATCH(BA$6,'qtrP&amp;L'!$6:$6,0))</f>
        <v>30.113</v>
      </c>
      <c r="BC15" s="353">
        <f>INDEX('qtrP&amp;L'!$52:$52,MATCH(BA$6,'qtrP&amp;L'!$6:$6,0))</f>
        <v>32.096999999999994</v>
      </c>
      <c r="BD15" s="353">
        <f>INDEX('qtrP&amp;L'!$53:$53,MATCH(BA$6,'qtrP&amp;L'!$6:$6,0))</f>
        <v>32.965999999999994</v>
      </c>
      <c r="BE15" s="353"/>
      <c r="BF15" s="353">
        <f>INDEX('qtrP&amp;L'!$50:$50,MATCH(BF$6,'qtrP&amp;L'!$6:$6,0))</f>
        <v>35.721999999999994</v>
      </c>
      <c r="BG15" s="353">
        <f>INDEX('qtrP&amp;L'!$51:$51,MATCH(BF$6,'qtrP&amp;L'!$6:$6,0))</f>
        <v>37.288999999999994</v>
      </c>
      <c r="BH15" s="353">
        <f>INDEX('qtrP&amp;L'!$52:$52,MATCH(BF$6,'qtrP&amp;L'!$6:$6,0))</f>
        <v>39.172999999999995</v>
      </c>
      <c r="BI15" s="353">
        <f>INDEX('qtrP&amp;L'!$53:$53,MATCH(BF$6,'qtrP&amp;L'!$6:$6,0))</f>
        <v>40.664000000000001</v>
      </c>
      <c r="BJ15" s="353"/>
      <c r="BK15" s="353">
        <f>INDEX('qtrP&amp;L'!$50:$50,MATCH(BK$6,'qtrP&amp;L'!$6:$6,0))</f>
        <v>44.419000000000004</v>
      </c>
      <c r="BL15" s="353">
        <f>INDEX('qtrP&amp;L'!$51:$51,MATCH(BK$6,'qtrP&amp;L'!$6:$6,0))</f>
        <v>47.85</v>
      </c>
      <c r="BM15" s="353">
        <f>INDEX('qtrP&amp;L'!$52:$52,MATCH(BK$6,'qtrP&amp;L'!$6:$6,0))</f>
        <v>49.55</v>
      </c>
      <c r="BN15" s="353">
        <f>INDEX('qtrP&amp;L'!$53:$53,MATCH(BK$6,'qtrP&amp;L'!$6:$6,0))</f>
        <v>51.429000000000002</v>
      </c>
      <c r="BO15" s="353"/>
      <c r="BP15" s="353">
        <f>INDEX('qtrP&amp;L'!$50:$50,MATCH(BP$6,'qtrP&amp;L'!$6:$6,0))</f>
        <v>55.917000000000002</v>
      </c>
      <c r="BQ15" s="353">
        <f>INDEX('qtrP&amp;L'!$51:$51,MATCH(BP$6,'qtrP&amp;L'!$6:$6,0))</f>
        <v>57.5</v>
      </c>
      <c r="BR15" s="353">
        <f>INDEX('qtrP&amp;L'!$52:$52,MATCH(BP$6,'qtrP&amp;L'!$6:$6,0))</f>
        <v>60.4</v>
      </c>
      <c r="BS15" s="353">
        <f>INDEX('qtrP&amp;L'!$53:$53,MATCH(BP$6,'qtrP&amp;L'!$6:$6,0))</f>
        <v>65.2</v>
      </c>
      <c r="BT15" s="353"/>
      <c r="BU15" s="353">
        <f>INDEX('qtrP&amp;L'!$50:$50,MATCH(BU$6,'qtrP&amp;L'!$6:$6,0))</f>
        <v>66.7</v>
      </c>
      <c r="BV15" s="353">
        <f>INDEX('qtrP&amp;L'!$51:$51,MATCH(BU$6,'qtrP&amp;L'!$6:$6,0))</f>
        <v>71.3</v>
      </c>
      <c r="BW15" s="353">
        <f>INDEX('qtrP&amp;L'!$52:$52,MATCH(BU$6,'qtrP&amp;L'!$6:$6,0))</f>
        <v>72.123999999999995</v>
      </c>
      <c r="BX15" s="353">
        <f>INDEX('qtrP&amp;L'!$53:$53,MATCH(BU$6,'qtrP&amp;L'!$6:$6,0))</f>
        <v>78.013999999999996</v>
      </c>
      <c r="BY15" s="353"/>
      <c r="BZ15" s="353">
        <f>INDEX('qtrP&amp;L'!$50:$50,MATCH(BZ$6,'qtrP&amp;L'!$6:$6,0))</f>
        <v>80</v>
      </c>
      <c r="CA15" s="353">
        <f>INDEX('qtrP&amp;L'!$51:$51,MATCH(BZ$6,'qtrP&amp;L'!$6:$6,0))</f>
        <v>82.6</v>
      </c>
      <c r="CB15" s="353">
        <f>INDEX('qtrP&amp;L'!$52:$52,MATCH(BZ$6,'qtrP&amp;L'!$6:$6,0))</f>
        <v>85.1</v>
      </c>
      <c r="CC15" s="353">
        <f>INDEX('qtrP&amp;L'!$53:$53,MATCH(BZ$6,'qtrP&amp;L'!$6:$6,0))</f>
        <v>91.2</v>
      </c>
      <c r="CD15" s="353"/>
      <c r="CE15" s="353">
        <f>INDEX('qtrP&amp;L'!$50:$50,MATCH(CE$6,'qtrP&amp;L'!$6:$6,0))</f>
        <v>93.406999999999996</v>
      </c>
      <c r="CF15" s="353">
        <f>INDEX('qtrP&amp;L'!$51:$51,MATCH(CE$6,'qtrP&amp;L'!$6:$6,0))</f>
        <v>96.1</v>
      </c>
      <c r="CG15" s="353">
        <f>INDEX('qtrP&amp;L'!$52:$52,MATCH(CE$6,'qtrP&amp;L'!$6:$6,0))</f>
        <v>94.317999999999998</v>
      </c>
      <c r="CH15" s="353">
        <f>INDEX('qtrP&amp;L'!$53:$53,MATCH(CE$6,'qtrP&amp;L'!$6:$6,0))</f>
        <v>104</v>
      </c>
      <c r="CI15" s="353"/>
      <c r="CJ15" s="353">
        <f>INDEX('qtrP&amp;L'!$50:$50,MATCH(CJ$6,'qtrP&amp;L'!$6:$6,0))</f>
        <v>104.7</v>
      </c>
      <c r="CK15" s="353">
        <f>INDEX('qtrP&amp;L'!$51:$51,MATCH(CJ$6,'qtrP&amp;L'!$6:$6,0))</f>
        <v>106.279</v>
      </c>
      <c r="CL15" s="353">
        <f>INDEX('qtrP&amp;L'!$52:$52,MATCH(CJ$6,'qtrP&amp;L'!$6:$6,0))</f>
        <v>115.2</v>
      </c>
      <c r="CM15" s="353">
        <f>INDEX('qtrP&amp;L'!$53:$53,MATCH(CJ$6,'qtrP&amp;L'!$6:$6,0))</f>
        <v>126.1</v>
      </c>
      <c r="CN15" s="353"/>
      <c r="CO15" s="353">
        <f>INDEX('qtrP&amp;L'!$50:$50,MATCH(CO$6,'qtrP&amp;L'!$6:$6,0))</f>
        <v>129.977</v>
      </c>
      <c r="CP15" s="353">
        <f>INDEX('qtrP&amp;L'!$51:$51,MATCH(CO$6,'qtrP&amp;L'!$6:$6,0))</f>
        <v>132.68100000000001</v>
      </c>
      <c r="CQ15" s="353">
        <f>INDEX('qtrP&amp;L'!$52:$52,MATCH(CO$6,'qtrP&amp;L'!$6:$6,0))</f>
        <v>135.49100000000001</v>
      </c>
      <c r="CR15" s="353">
        <f>INDEX('qtrP&amp;L'!$53:$53,MATCH(CO$6,'qtrP&amp;L'!$6:$6,0))</f>
        <v>143</v>
      </c>
      <c r="CS15" s="353"/>
      <c r="CT15" s="353">
        <f>INDEX('qtrP&amp;L'!$50:$50,MATCH(CT$6,'qtrP&amp;L'!$6:$6,0))</f>
        <v>141</v>
      </c>
      <c r="CU15" s="353">
        <f>INDEX('qtrP&amp;L'!$51:$51,MATCH(CT$6,'qtrP&amp;L'!$6:$6,0))</f>
        <v>144</v>
      </c>
      <c r="CV15" s="353">
        <f>INDEX('qtrP&amp;L'!$52:$52,MATCH(CT$6,'qtrP&amp;L'!$6:$6,0))</f>
        <v>150</v>
      </c>
      <c r="CW15" s="353">
        <f>INDEX('qtrP&amp;L'!$53:$53,MATCH(CT$6,'qtrP&amp;L'!$6:$6,0))</f>
        <v>155</v>
      </c>
      <c r="CX15" s="353"/>
      <c r="CY15" s="353">
        <f>INDEX('qtrP&amp;L'!$50:$50,MATCH(CY$6,'qtrP&amp;L'!$6:$6,0))</f>
        <v>176</v>
      </c>
      <c r="CZ15" s="353">
        <f>INDEX('qtrP&amp;L'!$51:$51,MATCH(CY$6,'qtrP&amp;L'!$6:$6,0))</f>
        <v>180</v>
      </c>
      <c r="DA15" s="353">
        <f>INDEX('qtrP&amp;L'!$52:$52,MATCH(CY$6,'qtrP&amp;L'!$6:$6,0))</f>
        <v>207</v>
      </c>
      <c r="DB15" s="353">
        <f>INDEX('qtrP&amp;L'!$53:$53,MATCH(CY$6,'qtrP&amp;L'!$6:$6,0))</f>
        <v>189</v>
      </c>
      <c r="DC15" s="353"/>
      <c r="DD15" s="353">
        <f>INDEX('qtrP&amp;L'!$50:$50,MATCH(DD$6,'qtrP&amp;L'!$6:$6,0))</f>
        <v>191</v>
      </c>
      <c r="DE15" s="353">
        <f>INDEX('qtrP&amp;L'!$51:$51,MATCH(DD$6,'qtrP&amp;L'!$6:$6,0))</f>
        <v>190</v>
      </c>
      <c r="DF15" s="353">
        <f>INDEX('qtrP&amp;L'!$52:$52,MATCH(DD$6,'qtrP&amp;L'!$6:$6,0))</f>
        <v>202</v>
      </c>
      <c r="DG15" s="353">
        <f>INDEX('qtrP&amp;L'!$53:$53,MATCH(DD$6,'qtrP&amp;L'!$6:$6,0))</f>
        <v>194</v>
      </c>
      <c r="DH15" s="353"/>
      <c r="DI15" s="353">
        <f>INDEX('qtrP&amp;L'!$50:$50,MATCH(DI$6,'qtrP&amp;L'!$6:$6,0))</f>
        <v>201</v>
      </c>
      <c r="DJ15" s="353">
        <f>INDEX('qtrP&amp;L'!$51:$51,MATCH(DI$6,'qtrP&amp;L'!$6:$6,0))</f>
        <v>210</v>
      </c>
      <c r="DK15" s="353">
        <f>INDEX('qtrP&amp;L'!$52:$52,MATCH(DI$6,'qtrP&amp;L'!$6:$6,0))</f>
        <v>210</v>
      </c>
      <c r="DL15" s="353">
        <f>INDEX('qtrP&amp;L'!$53:$53,MATCH(DI$6,'qtrP&amp;L'!$6:$6,0))</f>
        <v>214</v>
      </c>
      <c r="DM15" s="353"/>
      <c r="DN15" s="353">
        <f>INDEX('qtrP&amp;L'!$50:$50,MATCH(DN$6,'qtrP&amp;L'!$6:$6,0))</f>
        <v>214</v>
      </c>
      <c r="DO15" s="353">
        <f>INDEX('qtrP&amp;L'!$51:$51,MATCH(DN$6,'qtrP&amp;L'!$6:$6,0))</f>
        <v>225</v>
      </c>
      <c r="DP15" s="353">
        <f>INDEX('qtrP&amp;L'!$52:$52,MATCH(DN$6,'qtrP&amp;L'!$6:$6,0))</f>
        <v>228</v>
      </c>
      <c r="DQ15" s="353">
        <f>INDEX('qtrP&amp;L'!$53:$53,MATCH(DN$6,'qtrP&amp;L'!$6:$6,0))</f>
        <v>224</v>
      </c>
      <c r="DR15" s="353"/>
      <c r="DS15" s="353">
        <f>INDEX('qtrP&amp;L'!$50:$50,MATCH(DS$6,'qtrP&amp;L'!$6:$6,0))</f>
        <v>216</v>
      </c>
      <c r="DT15" s="353">
        <f>INDEX('qtrP&amp;L'!$51:$51,MATCH(DS$6,'qtrP&amp;L'!$6:$6,0))</f>
        <v>222</v>
      </c>
      <c r="DU15" s="353">
        <f>INDEX('qtrP&amp;L'!$52:$52,MATCH(DS$6,'qtrP&amp;L'!$6:$6,0))</f>
        <v>227</v>
      </c>
      <c r="DV15" s="353">
        <f>INDEX('qtrP&amp;L'!$53:$53,MATCH(DS$6,'qtrP&amp;L'!$6:$6,0))</f>
        <v>221</v>
      </c>
      <c r="DW15" s="353"/>
      <c r="DX15" s="353">
        <f>INDEX('qtrP&amp;L'!$50:$50,MATCH(DX$6,'qtrP&amp;L'!$6:$6,0))</f>
        <v>227</v>
      </c>
      <c r="DY15" s="353">
        <f>INDEX('qtrP&amp;L'!$51:$51,MATCH(DX$6,'qtrP&amp;L'!$6:$6,0))</f>
        <v>233</v>
      </c>
      <c r="DZ15" s="353">
        <f>INDEX('qtrP&amp;L'!$52:$52,MATCH(DX$6,'qtrP&amp;L'!$6:$6,0))</f>
        <v>236</v>
      </c>
      <c r="EA15" s="353">
        <f>INDEX('qtrP&amp;L'!$53:$53,MATCH(DX$6,'qtrP&amp;L'!$6:$6,0))</f>
        <v>239</v>
      </c>
      <c r="EB15" s="353"/>
      <c r="EC15" s="353">
        <f>INDEX('qtrP&amp;L'!$50:$50,MATCH(EC$6,'qtrP&amp;L'!$6:$6,0))</f>
        <v>234</v>
      </c>
      <c r="ED15" s="353">
        <f>INDEX('qtrP&amp;L'!$51:$51,MATCH(EC$6,'qtrP&amp;L'!$6:$6,0))</f>
        <v>234</v>
      </c>
      <c r="EE15" s="353">
        <f>INDEX('qtrP&amp;L'!$52:$52,MATCH(EC$6,'qtrP&amp;L'!$6:$6,0))</f>
        <v>232</v>
      </c>
      <c r="EF15" s="353">
        <f>INDEX('qtrP&amp;L'!$53:$53,MATCH(EC$6,'qtrP&amp;L'!$6:$6,0))</f>
        <v>239</v>
      </c>
      <c r="EG15" s="305"/>
      <c r="EH15" s="353">
        <f>INDEX('qtrP&amp;L'!$50:$50,MATCH(EH$6,'qtrP&amp;L'!$6:$6,0))</f>
        <v>238</v>
      </c>
      <c r="EI15" s="353">
        <f>INDEX('qtrP&amp;L'!$51:$51,MATCH(EH$6,'qtrP&amp;L'!$6:$6,0))</f>
        <v>243</v>
      </c>
      <c r="EJ15" s="353">
        <f>INDEX('qtrP&amp;L'!$52:$52,MATCH(EH$6,'qtrP&amp;L'!$6:$6,0))</f>
        <v>243</v>
      </c>
      <c r="EK15" s="353">
        <f>INDEX('qtrP&amp;L'!$53:$53,MATCH(EH$6,'qtrP&amp;L'!$6:$6,0))</f>
        <v>267</v>
      </c>
      <c r="EL15" s="353"/>
      <c r="EM15" s="1197">
        <f>INDEX('qtrP&amp;L'!$50:$50,MATCH(EM$6,'qtrP&amp;L'!$6:$6,0))</f>
        <v>245</v>
      </c>
      <c r="EN15" s="1197">
        <f>INDEX('qtrP&amp;L'!$51:$51,MATCH(EM$6,'qtrP&amp;L'!$6:$6,0))</f>
        <v>240</v>
      </c>
      <c r="EO15" s="1197">
        <f>INDEX('qtrP&amp;L'!$52:$52,MATCH(EM$6,'qtrP&amp;L'!$6:$6,0))</f>
        <v>240</v>
      </c>
      <c r="EP15" s="1197">
        <f>INDEX('qtrP&amp;L'!$53:$53,MATCH(EM$6,'qtrP&amp;L'!$6:$6,0))</f>
        <v>235</v>
      </c>
      <c r="EQ15" s="354">
        <f>'yrP&amp;L'!C37</f>
        <v>10.987</v>
      </c>
      <c r="ER15" s="355">
        <f>'yrP&amp;L'!D37</f>
        <v>12.505000000000001</v>
      </c>
      <c r="ES15" s="355">
        <f>'yrP&amp;L'!E37</f>
        <v>14.678000000000001</v>
      </c>
      <c r="ET15" s="355">
        <f>'yrP&amp;L'!F37</f>
        <v>18.117999999999999</v>
      </c>
      <c r="EU15" s="355">
        <f>'yrP&amp;L'!G37</f>
        <v>22.358000000000001</v>
      </c>
      <c r="EV15" s="355">
        <f>'yrP&amp;L'!H37</f>
        <v>28.887</v>
      </c>
      <c r="EW15" s="355">
        <f>'yrP&amp;L'!I37</f>
        <v>38.734999999999999</v>
      </c>
      <c r="EX15" s="355">
        <f>'yrP&amp;L'!J37</f>
        <v>52.06</v>
      </c>
      <c r="EY15" s="355">
        <f>'yrP&amp;L'!K37</f>
        <v>65.688999999999993</v>
      </c>
      <c r="EZ15" s="355">
        <f>'yrP&amp;L'!L37</f>
        <v>83.322999999999993</v>
      </c>
      <c r="FA15" s="355">
        <f>'yrP&amp;L'!M37</f>
        <v>122.62599999999999</v>
      </c>
      <c r="FB15" s="355">
        <f>'yrP&amp;L'!N37</f>
        <v>152.84800000000001</v>
      </c>
      <c r="FC15" s="355">
        <f>'yrP&amp;L'!O37</f>
        <v>193.49700000000001</v>
      </c>
      <c r="FD15" s="355">
        <f>'yrP&amp;L'!P37</f>
        <v>239.55799999999999</v>
      </c>
      <c r="FE15" s="355">
        <f>'yrP&amp;L'!Q37</f>
        <v>288.13799999999998</v>
      </c>
      <c r="FF15" s="355">
        <f>'yrP&amp;L'!R37</f>
        <v>338.9</v>
      </c>
      <c r="FG15" s="355">
        <f>'yrP&amp;L'!S37</f>
        <v>387.82499999999999</v>
      </c>
      <c r="FH15" s="354">
        <f>'yrP&amp;L'!T37</f>
        <v>452.279</v>
      </c>
      <c r="FI15" s="355">
        <f>'yrP&amp;L'!U37</f>
        <v>541.149</v>
      </c>
      <c r="FJ15" s="355">
        <f>'yrP&amp;L'!V37</f>
        <v>688</v>
      </c>
      <c r="FK15" s="1258"/>
      <c r="FL15" s="355">
        <f>'yrP&amp;L'!W37</f>
        <v>752</v>
      </c>
      <c r="FM15" s="355">
        <f>'yrP&amp;L'!X37</f>
        <v>777</v>
      </c>
      <c r="FN15" s="355">
        <f>'yrP&amp;L'!Y37</f>
        <v>835</v>
      </c>
      <c r="FO15" s="355">
        <f>'yrP&amp;L'!Z37</f>
        <v>891</v>
      </c>
      <c r="FP15" s="355">
        <f>'yrP&amp;L'!AA37</f>
        <v>886</v>
      </c>
      <c r="FQ15" s="355">
        <f>'yrP&amp;L'!AB37</f>
        <v>935</v>
      </c>
      <c r="FR15" s="355">
        <f>'yrP&amp;L'!AC37</f>
        <v>939</v>
      </c>
      <c r="FS15" s="355">
        <f>'yrP&amp;L'!AD37</f>
        <v>991</v>
      </c>
      <c r="FT15" s="355">
        <f>'yrP&amp;L'!AE37</f>
        <v>960</v>
      </c>
      <c r="FU15" s="355">
        <f>'yrP&amp;L'!AF37</f>
        <v>965</v>
      </c>
      <c r="FV15" s="357">
        <f>'yrP&amp;L'!AG37</f>
        <v>970</v>
      </c>
      <c r="FW15" s="355">
        <f>'yrP&amp;L'!AH37</f>
        <v>975</v>
      </c>
      <c r="FX15" s="357">
        <f>'yrP&amp;L'!AI37</f>
        <v>980</v>
      </c>
      <c r="FZ15"/>
      <c r="GA15"/>
      <c r="GB15"/>
      <c r="GC15"/>
      <c r="GD15"/>
      <c r="GE15"/>
      <c r="GF15" s="303"/>
      <c r="GG15" s="303"/>
      <c r="GH15" s="303"/>
      <c r="GI15" s="303"/>
      <c r="GJ15" s="303"/>
      <c r="GK15" s="303"/>
      <c r="GL15" s="303"/>
      <c r="GM15" s="303"/>
      <c r="GN15" s="303"/>
      <c r="GO15" s="303"/>
      <c r="GP15" s="303"/>
      <c r="GQ15" s="303"/>
      <c r="GR15" s="303"/>
      <c r="GS15" s="303"/>
      <c r="GT15" s="303"/>
      <c r="GU15" s="303"/>
      <c r="GV15" s="303"/>
      <c r="GW15" s="303"/>
      <c r="GX15" s="303"/>
      <c r="GY15" s="303"/>
      <c r="GZ15" s="303"/>
      <c r="HA15" s="303"/>
      <c r="HB15" s="303"/>
      <c r="HC15" s="303"/>
      <c r="HD15" s="303"/>
      <c r="HE15" s="303"/>
      <c r="HF15" s="303"/>
      <c r="HG15" s="303"/>
      <c r="HH15" s="303"/>
      <c r="HI15" s="303"/>
      <c r="HJ15" s="303"/>
      <c r="HK15" s="303"/>
      <c r="HL15" s="303"/>
      <c r="HM15" s="303"/>
      <c r="HN15" s="303"/>
      <c r="HO15" s="303"/>
      <c r="HP15" s="303"/>
      <c r="HQ15" s="303"/>
      <c r="HR15" s="303"/>
      <c r="HS15" s="303"/>
      <c r="HT15" s="303"/>
      <c r="HU15" s="303"/>
      <c r="HV15" s="303"/>
      <c r="HW15" s="303"/>
      <c r="HX15" s="303"/>
      <c r="HY15" s="303"/>
      <c r="HZ15" s="303"/>
      <c r="IA15" s="303"/>
      <c r="IB15" s="303"/>
      <c r="IC15" s="303"/>
      <c r="ID15" s="303"/>
      <c r="IE15" s="303"/>
      <c r="IF15" s="303"/>
      <c r="IG15" s="303"/>
      <c r="IH15" s="303"/>
      <c r="II15" s="303"/>
      <c r="IJ15" s="303"/>
      <c r="IK15" s="303"/>
      <c r="IL15" s="303"/>
      <c r="IM15" s="303"/>
      <c r="IN15" s="303"/>
      <c r="IO15" s="303"/>
      <c r="IP15" s="303"/>
      <c r="IQ15" s="303"/>
      <c r="IR15" s="303"/>
      <c r="IS15" s="303"/>
      <c r="IT15" s="303"/>
      <c r="IU15" s="303"/>
      <c r="IV15" s="303"/>
      <c r="IW15" s="303"/>
      <c r="IX15" s="303"/>
      <c r="IY15" s="303"/>
      <c r="IZ15" s="303"/>
      <c r="JA15" s="303"/>
      <c r="JB15" s="303"/>
      <c r="JC15" s="303"/>
    </row>
    <row r="16" spans="1:263" s="356" customFormat="1" x14ac:dyDescent="0.2">
      <c r="A16" s="346" t="s">
        <v>358</v>
      </c>
      <c r="B16" s="352"/>
      <c r="C16" s="353">
        <f>SUM(C17:C19)</f>
        <v>2.161</v>
      </c>
      <c r="D16" s="353">
        <f>SUM(D17:D19)</f>
        <v>1.9609999999999999</v>
      </c>
      <c r="E16" s="353">
        <f>SUM(E17:E19)</f>
        <v>2.5299999999999998</v>
      </c>
      <c r="F16" s="353">
        <f>SUM(F17:F19)</f>
        <v>2.258</v>
      </c>
      <c r="G16" s="353"/>
      <c r="H16" s="353">
        <f>SUM(H17:H19)</f>
        <v>3.484</v>
      </c>
      <c r="I16" s="353">
        <f>SUM(I17:I19)</f>
        <v>2.1659999999999999</v>
      </c>
      <c r="J16" s="353">
        <f>SUM(J17:J19)</f>
        <v>-0.91800000000000015</v>
      </c>
      <c r="K16" s="353">
        <f>SUM(K17:K19)</f>
        <v>3.9380000000000002</v>
      </c>
      <c r="L16" s="353"/>
      <c r="M16" s="353">
        <f>SUM(M17:M19)</f>
        <v>2.8659999999999997</v>
      </c>
      <c r="N16" s="353">
        <f>SUM(N17:N19)</f>
        <v>3.2539999999999996</v>
      </c>
      <c r="O16" s="353">
        <f>SUM(O17:O19)</f>
        <v>-0.57699999999999996</v>
      </c>
      <c r="P16" s="353">
        <f>SUM(P17:P19)</f>
        <v>0.73400000000000021</v>
      </c>
      <c r="Q16" s="353"/>
      <c r="R16" s="353">
        <f>SUM(R17:R19)</f>
        <v>3.7389999999999999</v>
      </c>
      <c r="S16" s="353">
        <f>SUM(S17:S19)</f>
        <v>3.4339999999999997</v>
      </c>
      <c r="T16" s="353">
        <f>SUM(T17:T19)</f>
        <v>2.7129999999999996</v>
      </c>
      <c r="U16" s="353">
        <f>SUM(U17:U19)</f>
        <v>0.91699999999999982</v>
      </c>
      <c r="V16" s="353"/>
      <c r="W16" s="353"/>
      <c r="X16" s="353"/>
      <c r="Y16" s="353"/>
      <c r="Z16" s="353"/>
      <c r="AA16" s="353"/>
      <c r="AB16" s="353"/>
      <c r="AC16" s="353"/>
      <c r="AD16" s="353"/>
      <c r="AE16" s="353"/>
      <c r="AF16" s="353"/>
      <c r="AG16" s="353"/>
      <c r="AH16" s="353"/>
      <c r="AI16" s="353"/>
      <c r="AJ16" s="353"/>
      <c r="AK16" s="353"/>
      <c r="AL16" s="353"/>
      <c r="AM16" s="353"/>
      <c r="AN16" s="353"/>
      <c r="AO16" s="353"/>
      <c r="AP16" s="353"/>
      <c r="AQ16" s="353"/>
      <c r="AR16" s="353"/>
      <c r="AS16" s="353"/>
      <c r="AT16" s="353"/>
      <c r="AU16" s="353"/>
      <c r="AV16" s="353"/>
      <c r="AW16" s="353"/>
      <c r="AX16" s="353"/>
      <c r="AY16" s="353"/>
      <c r="AZ16" s="353"/>
      <c r="BA16" s="353"/>
      <c r="BB16" s="353"/>
      <c r="BC16" s="353"/>
      <c r="BD16" s="353"/>
      <c r="BE16" s="353"/>
      <c r="BF16" s="353"/>
      <c r="BG16" s="353"/>
      <c r="BH16" s="353"/>
      <c r="BI16" s="353"/>
      <c r="BJ16" s="353"/>
      <c r="BK16" s="353"/>
      <c r="BL16" s="353"/>
      <c r="BM16" s="353"/>
      <c r="BN16" s="353"/>
      <c r="BO16" s="353"/>
      <c r="BP16" s="353"/>
      <c r="BQ16" s="353"/>
      <c r="BR16" s="353"/>
      <c r="BS16" s="353"/>
      <c r="BT16" s="353"/>
      <c r="BU16" s="353"/>
      <c r="BV16" s="353"/>
      <c r="BW16" s="353"/>
      <c r="BX16" s="353"/>
      <c r="BY16" s="353"/>
      <c r="BZ16" s="353"/>
      <c r="CA16" s="353"/>
      <c r="CB16" s="353"/>
      <c r="CC16" s="353"/>
      <c r="CD16" s="353"/>
      <c r="CE16" s="353"/>
      <c r="CF16" s="353"/>
      <c r="CG16" s="353"/>
      <c r="CH16" s="353"/>
      <c r="CI16" s="353"/>
      <c r="CJ16" s="353"/>
      <c r="CK16" s="353"/>
      <c r="CL16" s="353"/>
      <c r="CM16" s="353"/>
      <c r="CN16" s="353"/>
      <c r="CO16" s="353"/>
      <c r="CP16" s="353"/>
      <c r="CQ16" s="353"/>
      <c r="CR16" s="353"/>
      <c r="CS16" s="353"/>
      <c r="CT16" s="353"/>
      <c r="CU16" s="353"/>
      <c r="CV16" s="353"/>
      <c r="CW16" s="353"/>
      <c r="CX16" s="353"/>
      <c r="CY16" s="353"/>
      <c r="CZ16" s="353"/>
      <c r="DA16" s="353"/>
      <c r="DB16" s="353"/>
      <c r="DC16" s="353"/>
      <c r="DD16" s="353"/>
      <c r="DE16" s="353"/>
      <c r="DF16" s="353"/>
      <c r="DG16" s="353"/>
      <c r="DH16" s="353"/>
      <c r="DI16" s="353"/>
      <c r="DJ16" s="353"/>
      <c r="DK16" s="353"/>
      <c r="DL16" s="353"/>
      <c r="DM16" s="353"/>
      <c r="DN16" s="353"/>
      <c r="DO16" s="353"/>
      <c r="DP16" s="353"/>
      <c r="DQ16" s="353"/>
      <c r="DR16" s="353"/>
      <c r="DS16" s="353"/>
      <c r="DT16" s="353"/>
      <c r="DU16" s="353"/>
      <c r="DV16" s="353"/>
      <c r="DW16" s="353"/>
      <c r="DX16" s="353"/>
      <c r="DY16" s="353"/>
      <c r="DZ16" s="353"/>
      <c r="EA16" s="353"/>
      <c r="EB16" s="353"/>
      <c r="EC16" s="353"/>
      <c r="ED16" s="353"/>
      <c r="EE16" s="353"/>
      <c r="EF16" s="353"/>
      <c r="EG16" s="305"/>
      <c r="EH16" s="353"/>
      <c r="EI16" s="353"/>
      <c r="EJ16" s="353"/>
      <c r="EK16" s="353"/>
      <c r="EL16" s="353"/>
      <c r="EM16" s="1197"/>
      <c r="EN16" s="1197"/>
      <c r="EO16" s="1197"/>
      <c r="EP16" s="1197"/>
      <c r="EQ16" s="354">
        <f t="shared" ref="EQ16:FQ16" si="5">SUM(EQ17:EQ19)</f>
        <v>8.91</v>
      </c>
      <c r="ER16" s="355">
        <f t="shared" si="5"/>
        <v>8.67</v>
      </c>
      <c r="ES16" s="355">
        <f t="shared" si="5"/>
        <v>6.3879999999999999</v>
      </c>
      <c r="ET16" s="355">
        <f t="shared" si="5"/>
        <v>10.802999999999997</v>
      </c>
      <c r="EU16" s="355">
        <f t="shared" si="5"/>
        <v>12.421999999999997</v>
      </c>
      <c r="EV16" s="355">
        <f t="shared" si="5"/>
        <v>14.358000000000001</v>
      </c>
      <c r="EW16" s="355">
        <f t="shared" si="5"/>
        <v>20.832999999999998</v>
      </c>
      <c r="EX16" s="355">
        <f t="shared" si="5"/>
        <v>23.843999999999998</v>
      </c>
      <c r="EY16" s="355">
        <f t="shared" si="5"/>
        <v>24.886875000000003</v>
      </c>
      <c r="EZ16" s="355">
        <f t="shared" si="5"/>
        <v>35.072000000000003</v>
      </c>
      <c r="FA16" s="355">
        <f t="shared" si="5"/>
        <v>44.417000000000009</v>
      </c>
      <c r="FB16" s="355">
        <f t="shared" si="5"/>
        <v>41.087000000000003</v>
      </c>
      <c r="FC16" s="355">
        <f t="shared" si="5"/>
        <v>39.091999999999999</v>
      </c>
      <c r="FD16" s="355">
        <f t="shared" si="5"/>
        <v>-5</v>
      </c>
      <c r="FE16" s="355">
        <f t="shared" si="5"/>
        <v>0</v>
      </c>
      <c r="FF16" s="355">
        <f t="shared" si="5"/>
        <v>0</v>
      </c>
      <c r="FG16" s="355">
        <f t="shared" si="5"/>
        <v>0</v>
      </c>
      <c r="FH16" s="354">
        <f t="shared" si="5"/>
        <v>0</v>
      </c>
      <c r="FI16" s="355">
        <f t="shared" si="5"/>
        <v>0</v>
      </c>
      <c r="FJ16" s="355">
        <f t="shared" si="5"/>
        <v>0</v>
      </c>
      <c r="FK16" s="1258"/>
      <c r="FL16" s="355">
        <f t="shared" si="5"/>
        <v>0</v>
      </c>
      <c r="FM16" s="355">
        <f t="shared" si="5"/>
        <v>0</v>
      </c>
      <c r="FN16" s="355">
        <f t="shared" si="5"/>
        <v>0</v>
      </c>
      <c r="FO16" s="355">
        <f t="shared" si="5"/>
        <v>0</v>
      </c>
      <c r="FP16" s="355">
        <f t="shared" si="5"/>
        <v>0</v>
      </c>
      <c r="FQ16" s="355">
        <f t="shared" si="5"/>
        <v>0</v>
      </c>
      <c r="FR16" s="355">
        <f t="shared" ref="FR16:FW16" si="6">SUM(FR17:FR19)</f>
        <v>0</v>
      </c>
      <c r="FS16" s="355">
        <f t="shared" si="6"/>
        <v>0</v>
      </c>
      <c r="FT16" s="355">
        <f t="shared" si="6"/>
        <v>0</v>
      </c>
      <c r="FU16" s="355">
        <f t="shared" si="6"/>
        <v>0</v>
      </c>
      <c r="FV16" s="357">
        <f t="shared" si="6"/>
        <v>0</v>
      </c>
      <c r="FW16" s="355">
        <f t="shared" si="6"/>
        <v>0</v>
      </c>
      <c r="FX16" s="357">
        <f>SUM(FX17:FX19)</f>
        <v>0</v>
      </c>
      <c r="FZ16"/>
      <c r="GA16"/>
      <c r="GB16"/>
      <c r="GC16"/>
      <c r="GD16"/>
      <c r="GE16"/>
      <c r="GF16" s="303"/>
      <c r="GG16" s="303"/>
      <c r="GH16" s="303"/>
      <c r="GI16" s="303"/>
      <c r="GJ16" s="303"/>
      <c r="GK16" s="303"/>
      <c r="GL16" s="303"/>
      <c r="GM16" s="303"/>
      <c r="GN16" s="303"/>
      <c r="GO16" s="303"/>
      <c r="GP16" s="303"/>
      <c r="GQ16" s="303"/>
      <c r="GR16" s="303"/>
      <c r="GS16" s="303"/>
      <c r="GT16" s="303"/>
      <c r="GU16" s="303"/>
      <c r="GV16" s="303"/>
      <c r="GW16" s="303"/>
      <c r="GX16" s="303"/>
      <c r="GY16" s="303"/>
      <c r="GZ16" s="303"/>
      <c r="HA16" s="303"/>
      <c r="HB16" s="303"/>
      <c r="HC16" s="303"/>
      <c r="HD16" s="303"/>
      <c r="HE16" s="303"/>
      <c r="HF16" s="303"/>
      <c r="HG16" s="303"/>
      <c r="HH16" s="303"/>
      <c r="HI16" s="303"/>
      <c r="HJ16" s="303"/>
      <c r="HK16" s="303"/>
      <c r="HL16" s="303"/>
      <c r="HM16" s="303"/>
      <c r="HN16" s="303"/>
      <c r="HO16" s="303"/>
      <c r="HP16" s="303"/>
      <c r="HQ16" s="303"/>
      <c r="HR16" s="303"/>
      <c r="HS16" s="303"/>
      <c r="HT16" s="303"/>
      <c r="HU16" s="303"/>
      <c r="HV16" s="303"/>
      <c r="HW16" s="303"/>
      <c r="HX16" s="303"/>
      <c r="HY16" s="303"/>
      <c r="HZ16" s="303"/>
      <c r="IA16" s="303"/>
      <c r="IB16" s="303"/>
      <c r="IC16" s="303"/>
      <c r="ID16" s="303"/>
      <c r="IE16" s="303"/>
      <c r="IF16" s="303"/>
      <c r="IG16" s="303"/>
      <c r="IH16" s="303"/>
      <c r="II16" s="303"/>
      <c r="IJ16" s="303"/>
      <c r="IK16" s="303"/>
      <c r="IL16" s="303"/>
      <c r="IM16" s="303"/>
      <c r="IN16" s="303"/>
      <c r="IO16" s="303"/>
      <c r="IP16" s="303"/>
      <c r="IQ16" s="303"/>
      <c r="IR16" s="303"/>
      <c r="IS16" s="303"/>
      <c r="IT16" s="303"/>
      <c r="IU16" s="303"/>
      <c r="IV16" s="303"/>
      <c r="IW16" s="303"/>
      <c r="IX16" s="303"/>
      <c r="IY16" s="303"/>
      <c r="IZ16" s="303"/>
      <c r="JA16" s="303"/>
      <c r="JB16" s="303"/>
      <c r="JC16" s="303"/>
    </row>
    <row r="17" spans="1:263" s="356" customFormat="1" hidden="1" outlineLevel="1" x14ac:dyDescent="0.2">
      <c r="A17" s="346" t="s">
        <v>355</v>
      </c>
      <c r="B17" s="352"/>
      <c r="C17" s="353">
        <f>INDEX('qtrP&amp;L'!$40:$40,MATCH(C$6,'qtrP&amp;L'!$6:$6,0))</f>
        <v>0</v>
      </c>
      <c r="D17" s="353">
        <f>INDEX('qtrP&amp;L'!$41:$41,MATCH(C$6,'qtrP&amp;L'!$6:$6,0))</f>
        <v>0</v>
      </c>
      <c r="E17" s="353">
        <f>INDEX('qtrP&amp;L'!$42:$42,MATCH(C$6,'qtrP&amp;L'!$6:$6,0))</f>
        <v>1.9E-2</v>
      </c>
      <c r="F17" s="353">
        <f>INDEX('qtrP&amp;L'!$43:$43,MATCH(C$6,'qtrP&amp;L'!$6:$6,0))</f>
        <v>4.7E-2</v>
      </c>
      <c r="G17" s="353"/>
      <c r="H17" s="353">
        <f>INDEX('qtrP&amp;L'!$40:$40,MATCH(H$6,'qtrP&amp;L'!$6:$6,0))</f>
        <v>1.0229999999999999</v>
      </c>
      <c r="I17" s="353">
        <f>INDEX('qtrP&amp;L'!$41:$41,MATCH(H$6,'qtrP&amp;L'!$6:$6,0))</f>
        <v>5.0000000000000001E-3</v>
      </c>
      <c r="J17" s="353">
        <f>INDEX('qtrP&amp;L'!$42:$42,MATCH(H$6,'qtrP&amp;L'!$6:$6,0))</f>
        <v>2.08</v>
      </c>
      <c r="K17" s="353">
        <f>INDEX('qtrP&amp;L'!$43:$43,MATCH(H$6,'qtrP&amp;L'!$6:$6,0))</f>
        <v>2.226</v>
      </c>
      <c r="L17" s="353"/>
      <c r="M17" s="353">
        <f>INDEX('qtrP&amp;L'!$40:$40,MATCH(M$6,'qtrP&amp;L'!$6:$6,0))</f>
        <v>0.40500000000000003</v>
      </c>
      <c r="N17" s="353">
        <f>INDEX('qtrP&amp;L'!$41:$41,MATCH(M$6,'qtrP&amp;L'!$6:$6,0))</f>
        <v>0.79300000000000004</v>
      </c>
      <c r="O17" s="353">
        <f>INDEX('qtrP&amp;L'!$42:$42,MATCH(M$6,'qtrP&amp;L'!$6:$6,0))</f>
        <v>0.82399999999999995</v>
      </c>
      <c r="P17" s="353">
        <f>INDEX('qtrP&amp;L'!$43:$43,MATCH(M$6,'qtrP&amp;L'!$6:$6,0))</f>
        <v>0.97</v>
      </c>
      <c r="Q17" s="353"/>
      <c r="R17" s="353">
        <f>INDEX('qtrP&amp;L'!$40:$40,MATCH(R$6,'qtrP&amp;L'!$6:$6,0))</f>
        <v>1.53</v>
      </c>
      <c r="S17" s="353">
        <f>INDEX('qtrP&amp;L'!$41:$41,MATCH(R$6,'qtrP&amp;L'!$6:$6,0))</f>
        <v>1.2729999999999999</v>
      </c>
      <c r="T17" s="353">
        <f>INDEX('qtrP&amp;L'!$42:$42,MATCH(R$6,'qtrP&amp;L'!$6:$6,0))</f>
        <v>1.012</v>
      </c>
      <c r="U17" s="353">
        <f>INDEX('qtrP&amp;L'!$43:$43,MATCH(R$6,'qtrP&amp;L'!$6:$6,0))</f>
        <v>1.5449999999999999</v>
      </c>
      <c r="V17" s="353"/>
      <c r="W17" s="353">
        <f>INDEX('qtrP&amp;L'!$40:$40,MATCH(W$6,'qtrP&amp;L'!$6:$6,0))</f>
        <v>0.79</v>
      </c>
      <c r="X17" s="353">
        <f>INDEX('qtrP&amp;L'!$41:$41,MATCH(W$6,'qtrP&amp;L'!$6:$6,0))</f>
        <v>0</v>
      </c>
      <c r="Y17" s="353">
        <f>INDEX('qtrP&amp;L'!$42:$42,MATCH(W$6,'qtrP&amp;L'!$6:$6,0))</f>
        <v>4.7539999999999996</v>
      </c>
      <c r="Z17" s="353">
        <f>INDEX('qtrP&amp;L'!$43:$43,MATCH(W$6,'qtrP&amp;L'!$6:$6,0))</f>
        <v>2.6459999999999999</v>
      </c>
      <c r="AA17" s="353"/>
      <c r="AB17" s="353">
        <f>INDEX('qtrP&amp;L'!$40:$40,MATCH(AB$6,'qtrP&amp;L'!$6:$6,0))</f>
        <v>1.492</v>
      </c>
      <c r="AC17" s="353">
        <f>INDEX('qtrP&amp;L'!$41:$41,MATCH(AB$6,'qtrP&amp;L'!$6:$6,0))</f>
        <v>0</v>
      </c>
      <c r="AD17" s="353">
        <f>INDEX('qtrP&amp;L'!$42:$42,MATCH(AB$6,'qtrP&amp;L'!$6:$6,0))</f>
        <v>7.452</v>
      </c>
      <c r="AE17" s="353">
        <f>INDEX('qtrP&amp;L'!$43:$43,MATCH(AB$6,'qtrP&amp;L'!$6:$6,0))</f>
        <v>1.768</v>
      </c>
      <c r="AF17" s="353"/>
      <c r="AG17" s="353">
        <f>INDEX('qtrP&amp;L'!$40:$40,MATCH(AG$6,'qtrP&amp;L'!$6:$6,0))</f>
        <v>3.6</v>
      </c>
      <c r="AH17" s="353">
        <f>INDEX('qtrP&amp;L'!$41:$41,MATCH(AG$6,'qtrP&amp;L'!$6:$6,0))</f>
        <v>0.111</v>
      </c>
      <c r="AI17" s="353">
        <f>INDEX('qtrP&amp;L'!$42:$42,MATCH(AG$6,'qtrP&amp;L'!$6:$6,0))</f>
        <v>6.5519999999999996</v>
      </c>
      <c r="AJ17" s="353">
        <f>INDEX('qtrP&amp;L'!$43:$43,MATCH(AG$6,'qtrP&amp;L'!$6:$6,0))</f>
        <v>0</v>
      </c>
      <c r="AK17" s="353"/>
      <c r="AL17" s="353">
        <f>INDEX('qtrP&amp;L'!$40:$40,MATCH(AL$6,'qtrP&amp;L'!$6:$6,0))</f>
        <v>12.1</v>
      </c>
      <c r="AM17" s="353">
        <f>INDEX('qtrP&amp;L'!$41:$41,MATCH(AL$6,'qtrP&amp;L'!$6:$6,0))</f>
        <v>5.6000000000000001E-2</v>
      </c>
      <c r="AN17" s="353">
        <f>INDEX('qtrP&amp;L'!$42:$42,MATCH(AL$6,'qtrP&amp;L'!$6:$6,0))</f>
        <v>6.4210000000000003</v>
      </c>
      <c r="AO17" s="353">
        <f>INDEX('qtrP&amp;L'!$43:$43,MATCH(AL$6,'qtrP&amp;L'!$6:$6,0))</f>
        <v>0</v>
      </c>
      <c r="AP17" s="353"/>
      <c r="AQ17" s="353">
        <f>INDEX('qtrP&amp;L'!$40:$40,MATCH(AQ$6,'qtrP&amp;L'!$6:$6,0))</f>
        <v>10.422000000000001</v>
      </c>
      <c r="AR17" s="353">
        <f>INDEX('qtrP&amp;L'!$41:$41,MATCH(AQ$6,'qtrP&amp;L'!$6:$6,0))</f>
        <v>0</v>
      </c>
      <c r="AS17" s="353">
        <f>INDEX('qtrP&amp;L'!$42:$42,MATCH(AQ$6,'qtrP&amp;L'!$6:$6,0))</f>
        <v>11.169</v>
      </c>
      <c r="AT17" s="353">
        <f>INDEX('qtrP&amp;L'!$43:$43,MATCH(AQ$6,'qtrP&amp;L'!$6:$6,0))</f>
        <v>0.79700000000000004</v>
      </c>
      <c r="AU17" s="353"/>
      <c r="AV17" s="353">
        <f>INDEX('qtrP&amp;L'!$40:$40,MATCH(AV$6,'qtrP&amp;L'!$6:$6,0))</f>
        <v>8.8849999999999998</v>
      </c>
      <c r="AW17" s="353">
        <f>INDEX('qtrP&amp;L'!$41:$41,MATCH(AV$6,'qtrP&amp;L'!$6:$6,0))</f>
        <v>5.1100000000000003</v>
      </c>
      <c r="AX17" s="353">
        <f>INDEX('qtrP&amp;L'!$42:$42,MATCH(AV$6,'qtrP&amp;L'!$6:$6,0))</f>
        <v>12.093</v>
      </c>
      <c r="AY17" s="353">
        <f>INDEX('qtrP&amp;L'!$43:$43,MATCH(AV$6,'qtrP&amp;L'!$6:$6,0))</f>
        <v>6.8840000000000003</v>
      </c>
      <c r="AZ17" s="353"/>
      <c r="BA17" s="353">
        <f>INDEX('qtrP&amp;L'!$40:$40,MATCH(BA$6,'qtrP&amp;L'!$6:$6,0))</f>
        <v>20.089000000000002</v>
      </c>
      <c r="BB17" s="353">
        <f>INDEX('qtrP&amp;L'!$41:$41,MATCH(BA$6,'qtrP&amp;L'!$6:$6,0))</f>
        <v>2.8210000000000002</v>
      </c>
      <c r="BC17" s="353">
        <f>INDEX('qtrP&amp;L'!$42:$42,MATCH(BA$6,'qtrP&amp;L'!$6:$6,0))</f>
        <v>9.4049999999999994</v>
      </c>
      <c r="BD17" s="353">
        <f>INDEX('qtrP&amp;L'!$43:$43,MATCH(BA$6,'qtrP&amp;L'!$6:$6,0))</f>
        <v>4.8739999999999997</v>
      </c>
      <c r="BE17" s="353"/>
      <c r="BF17" s="353">
        <f>INDEX('qtrP&amp;L'!$40:$40,MATCH(BF$6,'qtrP&amp;L'!$6:$6,0))</f>
        <v>14.675000000000001</v>
      </c>
      <c r="BG17" s="353">
        <f>INDEX('qtrP&amp;L'!$41:$41,MATCH(BF$6,'qtrP&amp;L'!$6:$6,0))</f>
        <v>2.2080000000000002</v>
      </c>
      <c r="BH17" s="353">
        <f>INDEX('qtrP&amp;L'!$42:$42,MATCH(BF$6,'qtrP&amp;L'!$6:$6,0))</f>
        <v>12.768000000000001</v>
      </c>
      <c r="BI17" s="353">
        <f>INDEX('qtrP&amp;L'!$43:$43,MATCH(BF$6,'qtrP&amp;L'!$6:$6,0))</f>
        <v>3.8570000000000002</v>
      </c>
      <c r="BJ17" s="353"/>
      <c r="BK17" s="353">
        <f>INDEX('qtrP&amp;L'!$40:$40,MATCH(BK$6,'qtrP&amp;L'!$6:$6,0))</f>
        <v>17.899000000000001</v>
      </c>
      <c r="BL17" s="353">
        <f>INDEX('qtrP&amp;L'!$41:$41,MATCH(BK$6,'qtrP&amp;L'!$6:$6,0))</f>
        <v>3</v>
      </c>
      <c r="BM17" s="353">
        <f>INDEX('qtrP&amp;L'!$42:$42,MATCH(BK$6,'qtrP&amp;L'!$6:$6,0))</f>
        <v>12.74</v>
      </c>
      <c r="BN17" s="353">
        <f>INDEX('qtrP&amp;L'!$43:$43,MATCH(BK$6,'qtrP&amp;L'!$6:$6,0))</f>
        <v>7.6630000000000003</v>
      </c>
      <c r="BO17" s="353"/>
      <c r="BP17" s="353">
        <f>INDEX('qtrP&amp;L'!$40:$40,MATCH(BP$6,'qtrP&amp;L'!$6:$6,0))</f>
        <v>0</v>
      </c>
      <c r="BQ17" s="353">
        <f>INDEX('qtrP&amp;L'!$41:$41,MATCH(BP$6,'qtrP&amp;L'!$6:$6,0))</f>
        <v>0</v>
      </c>
      <c r="BR17" s="353">
        <f>INDEX('qtrP&amp;L'!$42:$42,MATCH(BP$6,'qtrP&amp;L'!$6:$6,0))</f>
        <v>0</v>
      </c>
      <c r="BS17" s="353">
        <f>INDEX('qtrP&amp;L'!$43:$43,MATCH(BP$6,'qtrP&amp;L'!$6:$6,0))</f>
        <v>0</v>
      </c>
      <c r="BT17" s="353"/>
      <c r="BU17" s="353">
        <f>INDEX('qtrP&amp;L'!$40:$40,MATCH(BU$6,'qtrP&amp;L'!$6:$6,0))</f>
        <v>0</v>
      </c>
      <c r="BV17" s="353">
        <f>INDEX('qtrP&amp;L'!$41:$41,MATCH(BU$6,'qtrP&amp;L'!$6:$6,0))</f>
        <v>0</v>
      </c>
      <c r="BW17" s="353">
        <f>INDEX('qtrP&amp;L'!$42:$42,MATCH(BU$6,'qtrP&amp;L'!$6:$6,0))</f>
        <v>0</v>
      </c>
      <c r="BX17" s="353">
        <f>INDEX('qtrP&amp;L'!$43:$43,MATCH(BU$6,'qtrP&amp;L'!$6:$6,0))</f>
        <v>0</v>
      </c>
      <c r="BY17" s="353"/>
      <c r="BZ17" s="353">
        <f>INDEX('qtrP&amp;L'!$40:$40,MATCH(BZ$6,'qtrP&amp;L'!$6:$6,0))</f>
        <v>0</v>
      </c>
      <c r="CA17" s="353">
        <f>INDEX('qtrP&amp;L'!$41:$41,MATCH(BZ$6,'qtrP&amp;L'!$6:$6,0))</f>
        <v>0</v>
      </c>
      <c r="CB17" s="353">
        <f>INDEX('qtrP&amp;L'!$42:$42,MATCH(BZ$6,'qtrP&amp;L'!$6:$6,0))</f>
        <v>0</v>
      </c>
      <c r="CC17" s="353">
        <f>INDEX('qtrP&amp;L'!$43:$43,MATCH(BZ$6,'qtrP&amp;L'!$6:$6,0))</f>
        <v>0</v>
      </c>
      <c r="CD17" s="353"/>
      <c r="CE17" s="353">
        <f>INDEX('qtrP&amp;L'!$40:$40,MATCH(CE$6,'qtrP&amp;L'!$6:$6,0))</f>
        <v>0</v>
      </c>
      <c r="CF17" s="353">
        <f>INDEX('qtrP&amp;L'!$41:$41,MATCH(CE$6,'qtrP&amp;L'!$6:$6,0))</f>
        <v>0</v>
      </c>
      <c r="CG17" s="353">
        <f>INDEX('qtrP&amp;L'!$42:$42,MATCH(CE$6,'qtrP&amp;L'!$6:$6,0))</f>
        <v>0</v>
      </c>
      <c r="CH17" s="353">
        <f>INDEX('qtrP&amp;L'!$43:$43,MATCH(CE$6,'qtrP&amp;L'!$6:$6,0))</f>
        <v>0</v>
      </c>
      <c r="CI17" s="353"/>
      <c r="CJ17" s="353">
        <f>INDEX('qtrP&amp;L'!$40:$40,MATCH(CJ$6,'qtrP&amp;L'!$6:$6,0))</f>
        <v>0</v>
      </c>
      <c r="CK17" s="353">
        <f>INDEX('qtrP&amp;L'!$41:$41,MATCH(CJ$6,'qtrP&amp;L'!$6:$6,0))</f>
        <v>0</v>
      </c>
      <c r="CL17" s="353">
        <f>INDEX('qtrP&amp;L'!$42:$42,MATCH(CJ$6,'qtrP&amp;L'!$6:$6,0))</f>
        <v>0</v>
      </c>
      <c r="CM17" s="353">
        <f>INDEX('qtrP&amp;L'!$43:$43,MATCH(CJ$6,'qtrP&amp;L'!$6:$6,0))</f>
        <v>0</v>
      </c>
      <c r="CN17" s="353"/>
      <c r="CO17" s="353">
        <f>INDEX('qtrP&amp;L'!$40:$40,MATCH(CO$6,'qtrP&amp;L'!$6:$6,0))</f>
        <v>0</v>
      </c>
      <c r="CP17" s="353">
        <f>INDEX('qtrP&amp;L'!$41:$41,MATCH(CO$6,'qtrP&amp;L'!$6:$6,0))</f>
        <v>0</v>
      </c>
      <c r="CQ17" s="353">
        <f>INDEX('qtrP&amp;L'!$42:$42,MATCH(CO$6,'qtrP&amp;L'!$6:$6,0))</f>
        <v>0</v>
      </c>
      <c r="CR17" s="353">
        <f>INDEX('qtrP&amp;L'!$43:$43,MATCH(CO$6,'qtrP&amp;L'!$6:$6,0))</f>
        <v>0</v>
      </c>
      <c r="CS17" s="353"/>
      <c r="CT17" s="353">
        <f>INDEX('qtrP&amp;L'!$40:$40,MATCH(CT$6,'qtrP&amp;L'!$6:$6,0))</f>
        <v>0</v>
      </c>
      <c r="CU17" s="353">
        <f>INDEX('qtrP&amp;L'!$41:$41,MATCH(CT$6,'qtrP&amp;L'!$6:$6,0))</f>
        <v>0</v>
      </c>
      <c r="CV17" s="353">
        <f>INDEX('qtrP&amp;L'!$42:$42,MATCH(CT$6,'qtrP&amp;L'!$6:$6,0))</f>
        <v>0</v>
      </c>
      <c r="CW17" s="353">
        <f>INDEX('qtrP&amp;L'!$43:$43,MATCH(CT$6,'qtrP&amp;L'!$6:$6,0))</f>
        <v>0</v>
      </c>
      <c r="CX17" s="353"/>
      <c r="CY17" s="353">
        <f>INDEX('qtrP&amp;L'!$40:$40,MATCH(CY$6,'qtrP&amp;L'!$6:$6,0))</f>
        <v>0</v>
      </c>
      <c r="CZ17" s="353">
        <f>INDEX('qtrP&amp;L'!$41:$41,MATCH(CY$6,'qtrP&amp;L'!$6:$6,0))</f>
        <v>0</v>
      </c>
      <c r="DA17" s="353">
        <f>INDEX('qtrP&amp;L'!$42:$42,MATCH(CY$6,'qtrP&amp;L'!$6:$6,0))</f>
        <v>0</v>
      </c>
      <c r="DB17" s="353">
        <f>INDEX('qtrP&amp;L'!$43:$43,MATCH(CY$6,'qtrP&amp;L'!$6:$6,0))</f>
        <v>0</v>
      </c>
      <c r="DC17" s="353"/>
      <c r="DD17" s="353">
        <f>INDEX('qtrP&amp;L'!$40:$40,MATCH(DD$6,'qtrP&amp;L'!$6:$6,0))</f>
        <v>0</v>
      </c>
      <c r="DE17" s="353">
        <f>INDEX('qtrP&amp;L'!$41:$41,MATCH(DD$6,'qtrP&amp;L'!$6:$6,0))</f>
        <v>0</v>
      </c>
      <c r="DF17" s="353">
        <f>INDEX('qtrP&amp;L'!$42:$42,MATCH(DD$6,'qtrP&amp;L'!$6:$6,0))</f>
        <v>0</v>
      </c>
      <c r="DG17" s="353">
        <f>INDEX('qtrP&amp;L'!$43:$43,MATCH(DD$6,'qtrP&amp;L'!$6:$6,0))</f>
        <v>0</v>
      </c>
      <c r="DH17" s="353"/>
      <c r="DI17" s="353">
        <f>INDEX('qtrP&amp;L'!$40:$40,MATCH(DI$6,'qtrP&amp;L'!$6:$6,0))</f>
        <v>0</v>
      </c>
      <c r="DJ17" s="353">
        <f>INDEX('qtrP&amp;L'!$41:$41,MATCH(DI$6,'qtrP&amp;L'!$6:$6,0))</f>
        <v>0</v>
      </c>
      <c r="DK17" s="353">
        <f>INDEX('qtrP&amp;L'!$42:$42,MATCH(DI$6,'qtrP&amp;L'!$6:$6,0))</f>
        <v>0</v>
      </c>
      <c r="DL17" s="353">
        <f>INDEX('qtrP&amp;L'!$43:$43,MATCH(DI$6,'qtrP&amp;L'!$6:$6,0))</f>
        <v>0</v>
      </c>
      <c r="DM17" s="353"/>
      <c r="DN17" s="353">
        <f>INDEX('qtrP&amp;L'!$40:$40,MATCH(DN$6,'qtrP&amp;L'!$6:$6,0))</f>
        <v>0</v>
      </c>
      <c r="DO17" s="353">
        <f>INDEX('qtrP&amp;L'!$41:$41,MATCH(DN$6,'qtrP&amp;L'!$6:$6,0))</f>
        <v>0</v>
      </c>
      <c r="DP17" s="353">
        <f>INDEX('qtrP&amp;L'!$42:$42,MATCH(DN$6,'qtrP&amp;L'!$6:$6,0))</f>
        <v>0</v>
      </c>
      <c r="DQ17" s="353">
        <f>INDEX('qtrP&amp;L'!$43:$43,MATCH(DN$6,'qtrP&amp;L'!$6:$6,0))</f>
        <v>0</v>
      </c>
      <c r="DR17" s="353"/>
      <c r="DS17" s="353">
        <f>INDEX('qtrP&amp;L'!$40:$40,MATCH(DS$6,'qtrP&amp;L'!$6:$6,0))</f>
        <v>0</v>
      </c>
      <c r="DT17" s="353">
        <f>INDEX('qtrP&amp;L'!$41:$41,MATCH(DS$6,'qtrP&amp;L'!$6:$6,0))</f>
        <v>0</v>
      </c>
      <c r="DU17" s="353">
        <f>INDEX('qtrP&amp;L'!$42:$42,MATCH(DS$6,'qtrP&amp;L'!$6:$6,0))</f>
        <v>0</v>
      </c>
      <c r="DV17" s="353">
        <f>INDEX('qtrP&amp;L'!$43:$43,MATCH(DS$6,'qtrP&amp;L'!$6:$6,0))</f>
        <v>0</v>
      </c>
      <c r="DW17" s="353"/>
      <c r="DX17" s="353">
        <f>INDEX('qtrP&amp;L'!$40:$40,MATCH(DX$6,'qtrP&amp;L'!$6:$6,0))</f>
        <v>0</v>
      </c>
      <c r="DY17" s="353">
        <f>INDEX('qtrP&amp;L'!$41:$41,MATCH(DX$6,'qtrP&amp;L'!$6:$6,0))</f>
        <v>0</v>
      </c>
      <c r="DZ17" s="353">
        <f>INDEX('qtrP&amp;L'!$42:$42,MATCH(DX$6,'qtrP&amp;L'!$6:$6,0))</f>
        <v>0</v>
      </c>
      <c r="EA17" s="353">
        <f>INDEX('qtrP&amp;L'!$43:$43,MATCH(DX$6,'qtrP&amp;L'!$6:$6,0))</f>
        <v>0</v>
      </c>
      <c r="EB17" s="353"/>
      <c r="EC17" s="353">
        <f>INDEX('qtrP&amp;L'!$40:$40,MATCH(EC$6,'qtrP&amp;L'!$6:$6,0))</f>
        <v>0</v>
      </c>
      <c r="ED17" s="353">
        <f>INDEX('qtrP&amp;L'!$41:$41,MATCH(EC$6,'qtrP&amp;L'!$6:$6,0))</f>
        <v>0</v>
      </c>
      <c r="EE17" s="353">
        <f>INDEX('qtrP&amp;L'!$42:$42,MATCH(EC$6,'qtrP&amp;L'!$6:$6,0))</f>
        <v>0</v>
      </c>
      <c r="EF17" s="353">
        <f>INDEX('qtrP&amp;L'!$43:$43,MATCH(EC$6,'qtrP&amp;L'!$6:$6,0))</f>
        <v>0</v>
      </c>
      <c r="EG17" s="305"/>
      <c r="EH17" s="353">
        <f>INDEX('qtrP&amp;L'!$40:$40,MATCH(EH$6,'qtrP&amp;L'!$6:$6,0))</f>
        <v>0</v>
      </c>
      <c r="EI17" s="353">
        <f>INDEX('qtrP&amp;L'!$41:$41,MATCH(EH$6,'qtrP&amp;L'!$6:$6,0))</f>
        <v>0</v>
      </c>
      <c r="EJ17" s="353">
        <f>INDEX('qtrP&amp;L'!$42:$42,MATCH(EH$6,'qtrP&amp;L'!$6:$6,0))</f>
        <v>0</v>
      </c>
      <c r="EK17" s="353">
        <f>INDEX('qtrP&amp;L'!$43:$43,MATCH(EH$6,'qtrP&amp;L'!$6:$6,0))</f>
        <v>0</v>
      </c>
      <c r="EL17" s="353"/>
      <c r="EM17" s="1197"/>
      <c r="EN17" s="1197"/>
      <c r="EO17" s="1197"/>
      <c r="EP17" s="1197"/>
      <c r="EQ17" s="354">
        <f>'yrP&amp;L'!C35</f>
        <v>6.6000000000000003E-2</v>
      </c>
      <c r="ER17" s="355">
        <f>'yrP&amp;L'!D35</f>
        <v>5.3339999999999996</v>
      </c>
      <c r="ES17" s="355">
        <f>'yrP&amp;L'!E35</f>
        <v>2.992</v>
      </c>
      <c r="ET17" s="355">
        <f>'yrP&amp;L'!F35</f>
        <v>5.3599999999999994</v>
      </c>
      <c r="EU17" s="355">
        <f>'yrP&amp;L'!G35</f>
        <v>8.19</v>
      </c>
      <c r="EV17" s="355">
        <f>'yrP&amp;L'!H35</f>
        <v>10.712</v>
      </c>
      <c r="EW17" s="355">
        <f>'yrP&amp;L'!I35</f>
        <v>10.263</v>
      </c>
      <c r="EX17" s="355">
        <f>'yrP&amp;L'!J35</f>
        <v>18.576999999999998</v>
      </c>
      <c r="EY17" s="355">
        <f>'yrP&amp;L'!K35</f>
        <v>22.388000000000002</v>
      </c>
      <c r="EZ17" s="355">
        <f>'yrP&amp;L'!L35</f>
        <v>30.972000000000001</v>
      </c>
      <c r="FA17" s="355">
        <f>'yrP&amp;L'!M35</f>
        <v>37.189000000000007</v>
      </c>
      <c r="FB17" s="355">
        <f>'yrP&amp;L'!N35</f>
        <v>33.508000000000003</v>
      </c>
      <c r="FC17" s="355">
        <f>'yrP&amp;L'!O35</f>
        <v>41.198</v>
      </c>
      <c r="FD17" s="355">
        <f>'yrP&amp;L'!P35</f>
        <v>0</v>
      </c>
      <c r="FE17" s="355">
        <f>'yrP&amp;L'!Q35</f>
        <v>0</v>
      </c>
      <c r="FF17" s="355">
        <f>'yrP&amp;L'!R35</f>
        <v>0</v>
      </c>
      <c r="FG17" s="355">
        <f>'yrP&amp;L'!S35</f>
        <v>0</v>
      </c>
      <c r="FH17" s="354">
        <f>'yrP&amp;L'!T35</f>
        <v>0</v>
      </c>
      <c r="FI17" s="355">
        <f>'yrP&amp;L'!U35</f>
        <v>0</v>
      </c>
      <c r="FJ17" s="355">
        <f>'yrP&amp;L'!V35</f>
        <v>0</v>
      </c>
      <c r="FK17" s="1258"/>
      <c r="FL17" s="355">
        <f>'yrP&amp;L'!W35</f>
        <v>0</v>
      </c>
      <c r="FM17" s="355">
        <f>'yrP&amp;L'!X35</f>
        <v>0</v>
      </c>
      <c r="FN17" s="355">
        <f>'yrP&amp;L'!Y35</f>
        <v>0</v>
      </c>
      <c r="FO17" s="355">
        <f>'yrP&amp;L'!Z35</f>
        <v>0</v>
      </c>
      <c r="FP17" s="355">
        <f>'yrP&amp;L'!AA35</f>
        <v>0</v>
      </c>
      <c r="FQ17" s="355">
        <f>'yrP&amp;L'!AB35</f>
        <v>0</v>
      </c>
      <c r="FR17" s="355">
        <f>'yrP&amp;L'!AC35</f>
        <v>0</v>
      </c>
      <c r="FS17" s="355">
        <f>'yrP&amp;L'!AD35</f>
        <v>0</v>
      </c>
      <c r="FT17" s="355">
        <f>'yrP&amp;L'!AE35</f>
        <v>0</v>
      </c>
      <c r="FU17" s="355">
        <f>'yrP&amp;L'!AF35</f>
        <v>0</v>
      </c>
      <c r="FV17" s="357">
        <f>'yrP&amp;L'!AG35</f>
        <v>0</v>
      </c>
      <c r="FW17" s="355">
        <f>'yrP&amp;L'!AH35</f>
        <v>0</v>
      </c>
      <c r="FX17" s="357">
        <f>'yrP&amp;L'!AI35</f>
        <v>0</v>
      </c>
      <c r="FZ17"/>
      <c r="GA17"/>
      <c r="GB17"/>
      <c r="GC17"/>
      <c r="GD17"/>
      <c r="GE17"/>
      <c r="GF17" s="303"/>
      <c r="GG17" s="303"/>
      <c r="GH17" s="303"/>
      <c r="GI17" s="303"/>
      <c r="GJ17" s="303"/>
      <c r="GK17" s="303"/>
      <c r="GL17" s="303"/>
      <c r="GM17" s="303"/>
      <c r="GN17" s="303"/>
      <c r="GO17" s="303"/>
      <c r="GP17" s="303"/>
      <c r="GQ17" s="303"/>
      <c r="GR17" s="303"/>
      <c r="GS17" s="303"/>
      <c r="GT17" s="303"/>
      <c r="GU17" s="303"/>
      <c r="GV17" s="303"/>
      <c r="GW17" s="303"/>
      <c r="GX17" s="303"/>
      <c r="GY17" s="303"/>
      <c r="GZ17" s="303"/>
      <c r="HA17" s="303"/>
      <c r="HB17" s="303"/>
      <c r="HC17" s="303"/>
      <c r="HD17" s="303"/>
      <c r="HE17" s="303"/>
      <c r="HF17" s="303"/>
      <c r="HG17" s="303"/>
      <c r="HH17" s="303"/>
      <c r="HI17" s="303"/>
      <c r="HJ17" s="303"/>
      <c r="HK17" s="303"/>
      <c r="HL17" s="303"/>
      <c r="HM17" s="303"/>
      <c r="HN17" s="303"/>
      <c r="HO17" s="303"/>
      <c r="HP17" s="303"/>
      <c r="HQ17" s="303"/>
      <c r="HR17" s="303"/>
      <c r="HS17" s="303"/>
      <c r="HT17" s="303"/>
      <c r="HU17" s="303"/>
      <c r="HV17" s="303"/>
      <c r="HW17" s="303"/>
      <c r="HX17" s="303"/>
      <c r="HY17" s="303"/>
      <c r="HZ17" s="303"/>
      <c r="IA17" s="303"/>
      <c r="IB17" s="303"/>
      <c r="IC17" s="303"/>
      <c r="ID17" s="303"/>
      <c r="IE17" s="303"/>
      <c r="IF17" s="303"/>
      <c r="IG17" s="303"/>
      <c r="IH17" s="303"/>
      <c r="II17" s="303"/>
      <c r="IJ17" s="303"/>
      <c r="IK17" s="303"/>
      <c r="IL17" s="303"/>
      <c r="IM17" s="303"/>
      <c r="IN17" s="303"/>
      <c r="IO17" s="303"/>
      <c r="IP17" s="303"/>
      <c r="IQ17" s="303"/>
      <c r="IR17" s="303"/>
      <c r="IS17" s="303"/>
      <c r="IT17" s="303"/>
      <c r="IU17" s="303"/>
      <c r="IV17" s="303"/>
      <c r="IW17" s="303"/>
      <c r="IX17" s="303"/>
      <c r="IY17" s="303"/>
      <c r="IZ17" s="303"/>
      <c r="JA17" s="303"/>
      <c r="JB17" s="303"/>
      <c r="JC17" s="303"/>
    </row>
    <row r="18" spans="1:263" s="356" customFormat="1" hidden="1" outlineLevel="1" x14ac:dyDescent="0.2">
      <c r="A18" s="346" t="s">
        <v>357</v>
      </c>
      <c r="B18" s="352"/>
      <c r="C18" s="353">
        <f>INDEX('qtrP&amp;L'!$60:$60,MATCH(C$6,'qtrP&amp;L'!$6:$6,0))</f>
        <v>1.2609999999999999</v>
      </c>
      <c r="D18" s="353">
        <f>INDEX('qtrP&amp;L'!$61:$61,MATCH(C$6,'qtrP&amp;L'!$6:$6,0))</f>
        <v>1.2609999999999999</v>
      </c>
      <c r="E18" s="353">
        <f>INDEX('qtrP&amp;L'!$62:$62,MATCH(C$6,'qtrP&amp;L'!$6:$6,0))</f>
        <v>1.2609999999999999</v>
      </c>
      <c r="F18" s="353">
        <f>INDEX('qtrP&amp;L'!$63:$63,MATCH(C$6,'qtrP&amp;L'!$6:$6,0))</f>
        <v>1.2609999999999999</v>
      </c>
      <c r="G18" s="353"/>
      <c r="H18" s="353">
        <f>INDEX('qtrP&amp;L'!$60:$60,MATCH(H$6,'qtrP&amp;L'!$6:$6,0))</f>
        <v>1.2609999999999999</v>
      </c>
      <c r="I18" s="353">
        <f>INDEX('qtrP&amp;L'!$61:$61,MATCH(H$6,'qtrP&amp;L'!$6:$6,0))</f>
        <v>1.2609999999999999</v>
      </c>
      <c r="J18" s="353">
        <f>INDEX('qtrP&amp;L'!$62:$62,MATCH(H$6,'qtrP&amp;L'!$6:$6,0))</f>
        <v>1.2609999999999999</v>
      </c>
      <c r="K18" s="353">
        <f>INDEX('qtrP&amp;L'!$63:$63,MATCH(H$6,'qtrP&amp;L'!$6:$6,0))</f>
        <v>1.262</v>
      </c>
      <c r="L18" s="353"/>
      <c r="M18" s="353">
        <f>INDEX('qtrP&amp;L'!$60:$60,MATCH(M$6,'qtrP&amp;L'!$6:$6,0))</f>
        <v>1.2609999999999999</v>
      </c>
      <c r="N18" s="353">
        <f>INDEX('qtrP&amp;L'!$61:$61,MATCH(M$6,'qtrP&amp;L'!$6:$6,0))</f>
        <v>1.2609999999999999</v>
      </c>
      <c r="O18" s="353">
        <f>INDEX('qtrP&amp;L'!$62:$62,MATCH(M$6,'qtrP&amp;L'!$6:$6,0))</f>
        <v>1.2609999999999999</v>
      </c>
      <c r="P18" s="353">
        <f>INDEX('qtrP&amp;L'!$63:$63,MATCH(M$6,'qtrP&amp;L'!$6:$6,0))</f>
        <v>1.262</v>
      </c>
      <c r="Q18" s="353"/>
      <c r="R18" s="353">
        <f>INDEX('qtrP&amp;L'!$60:$60,MATCH(R$6,'qtrP&amp;L'!$6:$6,0))</f>
        <v>1.2609999999999999</v>
      </c>
      <c r="S18" s="353">
        <f>INDEX('qtrP&amp;L'!$61:$61,MATCH(R$6,'qtrP&amp;L'!$6:$6,0))</f>
        <v>1.2609999999999999</v>
      </c>
      <c r="T18" s="353">
        <f>INDEX('qtrP&amp;L'!$62:$62,MATCH(R$6,'qtrP&amp;L'!$6:$6,0))</f>
        <v>1.2609999999999999</v>
      </c>
      <c r="U18" s="353">
        <f>INDEX('qtrP&amp;L'!$63:$63,MATCH(R$6,'qtrP&amp;L'!$6:$6,0))</f>
        <v>1.3</v>
      </c>
      <c r="V18" s="353"/>
      <c r="W18" s="353">
        <f>INDEX('qtrP&amp;L'!$60:$60,MATCH(W$6,'qtrP&amp;L'!$6:$6,0))</f>
        <v>1.2609999999999999</v>
      </c>
      <c r="X18" s="353">
        <f>INDEX('qtrP&amp;L'!$61:$61,MATCH(W$6,'qtrP&amp;L'!$6:$6,0))</f>
        <v>1.2609999999999999</v>
      </c>
      <c r="Y18" s="353">
        <f>INDEX('qtrP&amp;L'!$62:$62,MATCH(W$6,'qtrP&amp;L'!$6:$6,0))</f>
        <v>1.2609999999999999</v>
      </c>
      <c r="Z18" s="353">
        <f>INDEX('qtrP&amp;L'!$63:$63,MATCH(W$6,'qtrP&amp;L'!$6:$6,0))</f>
        <v>1.2609999999999999</v>
      </c>
      <c r="AA18" s="353"/>
      <c r="AB18" s="353">
        <f>INDEX('qtrP&amp;L'!$60:$60,MATCH(AB$6,'qtrP&amp;L'!$6:$6,0))</f>
        <v>1.2609999999999999</v>
      </c>
      <c r="AC18" s="353">
        <f>INDEX('qtrP&amp;L'!$61:$61,MATCH(AB$6,'qtrP&amp;L'!$6:$6,0))</f>
        <v>1.2609999999999999</v>
      </c>
      <c r="AD18" s="353">
        <f>INDEX('qtrP&amp;L'!$62:$62,MATCH(AB$6,'qtrP&amp;L'!$6:$6,0))</f>
        <v>1.2609999999999999</v>
      </c>
      <c r="AE18" s="353">
        <f>INDEX('qtrP&amp;L'!$63:$63,MATCH(AB$6,'qtrP&amp;L'!$6:$6,0))</f>
        <v>1.2609999999999999</v>
      </c>
      <c r="AF18" s="353"/>
      <c r="AG18" s="353">
        <f>INDEX('qtrP&amp;L'!$60:$60,MATCH(AG$6,'qtrP&amp;L'!$6:$6,0))</f>
        <v>1.34</v>
      </c>
      <c r="AH18" s="353">
        <f>INDEX('qtrP&amp;L'!$61:$61,MATCH(AG$6,'qtrP&amp;L'!$6:$6,0))</f>
        <v>1.3</v>
      </c>
      <c r="AI18" s="353">
        <f>INDEX('qtrP&amp;L'!$62:$62,MATCH(AG$6,'qtrP&amp;L'!$6:$6,0))</f>
        <v>1.34</v>
      </c>
      <c r="AJ18" s="353">
        <f>INDEX('qtrP&amp;L'!$63:$63,MATCH(AG$6,'qtrP&amp;L'!$6:$6,0))</f>
        <v>1.34</v>
      </c>
      <c r="AK18" s="353"/>
      <c r="AL18" s="353">
        <f>INDEX('qtrP&amp;L'!$60:$60,MATCH(AL$6,'qtrP&amp;L'!$6:$6,0))</f>
        <v>1.34</v>
      </c>
      <c r="AM18" s="353">
        <f>INDEX('qtrP&amp;L'!$61:$61,MATCH(AL$6,'qtrP&amp;L'!$6:$6,0))</f>
        <v>1.34</v>
      </c>
      <c r="AN18" s="353">
        <f>INDEX('qtrP&amp;L'!$62:$62,MATCH(AL$6,'qtrP&amp;L'!$6:$6,0))</f>
        <v>1.34</v>
      </c>
      <c r="AO18" s="353">
        <f>INDEX('qtrP&amp;L'!$63:$63,MATCH(AL$6,'qtrP&amp;L'!$6:$6,0))</f>
        <v>1.34</v>
      </c>
      <c r="AP18" s="353"/>
      <c r="AQ18" s="353">
        <f>INDEX('qtrP&amp;L'!$60:$60,MATCH(AQ$6,'qtrP&amp;L'!$6:$6,0))</f>
        <v>1.34</v>
      </c>
      <c r="AR18" s="353">
        <f>INDEX('qtrP&amp;L'!$61:$61,MATCH(AQ$6,'qtrP&amp;L'!$6:$6,0))</f>
        <v>1.34</v>
      </c>
      <c r="AS18" s="353">
        <f>INDEX('qtrP&amp;L'!$62:$62,MATCH(AQ$6,'qtrP&amp;L'!$6:$6,0))</f>
        <v>1.34</v>
      </c>
      <c r="AT18" s="353">
        <f>INDEX('qtrP&amp;L'!$63:$63,MATCH(AQ$6,'qtrP&amp;L'!$6:$6,0))</f>
        <v>1.34</v>
      </c>
      <c r="AU18" s="353"/>
      <c r="AV18" s="353">
        <f>INDEX('qtrP&amp;L'!$60:$60,MATCH(AV$6,'qtrP&amp;L'!$6:$6,0))</f>
        <v>1.34</v>
      </c>
      <c r="AW18" s="353">
        <f>INDEX('qtrP&amp;L'!$61:$61,MATCH(AV$6,'qtrP&amp;L'!$6:$6,0))</f>
        <v>1.34</v>
      </c>
      <c r="AX18" s="353">
        <f>INDEX('qtrP&amp;L'!$62:$62,MATCH(AV$6,'qtrP&amp;L'!$6:$6,0))</f>
        <v>1.34</v>
      </c>
      <c r="AY18" s="353">
        <f>INDEX('qtrP&amp;L'!$63:$63,MATCH(AV$6,'qtrP&amp;L'!$6:$6,0))</f>
        <v>1.34</v>
      </c>
      <c r="AZ18" s="353"/>
      <c r="BA18" s="353">
        <f>INDEX('qtrP&amp;L'!$60:$60,MATCH(BA$6,'qtrP&amp;L'!$6:$6,0))</f>
        <v>1.34</v>
      </c>
      <c r="BB18" s="353">
        <f>INDEX('qtrP&amp;L'!$61:$61,MATCH(BA$6,'qtrP&amp;L'!$6:$6,0))</f>
        <v>1.34</v>
      </c>
      <c r="BC18" s="353">
        <f>INDEX('qtrP&amp;L'!$62:$62,MATCH(BA$6,'qtrP&amp;L'!$6:$6,0))</f>
        <v>1.34</v>
      </c>
      <c r="BD18" s="353">
        <f>INDEX('qtrP&amp;L'!$63:$63,MATCH(BA$6,'qtrP&amp;L'!$6:$6,0))</f>
        <v>1.34</v>
      </c>
      <c r="BE18" s="353"/>
      <c r="BF18" s="353">
        <f>INDEX('qtrP&amp;L'!$60:$60,MATCH(BF$6,'qtrP&amp;L'!$6:$6,0))</f>
        <v>1.34</v>
      </c>
      <c r="BG18" s="353">
        <f>INDEX('qtrP&amp;L'!$61:$61,MATCH(BF$6,'qtrP&amp;L'!$6:$6,0))</f>
        <v>1.34</v>
      </c>
      <c r="BH18" s="353">
        <f>INDEX('qtrP&amp;L'!$62:$62,MATCH(BF$6,'qtrP&amp;L'!$6:$6,0))</f>
        <v>1.34</v>
      </c>
      <c r="BI18" s="353">
        <f>INDEX('qtrP&amp;L'!$63:$63,MATCH(BF$6,'qtrP&amp;L'!$6:$6,0))</f>
        <v>1.3</v>
      </c>
      <c r="BJ18" s="353"/>
      <c r="BK18" s="353">
        <f>INDEX('qtrP&amp;L'!$60:$60,MATCH(BK$6,'qtrP&amp;L'!$6:$6,0))</f>
        <v>0</v>
      </c>
      <c r="BL18" s="353">
        <f>INDEX('qtrP&amp;L'!$61:$61,MATCH(BK$6,'qtrP&amp;L'!$6:$6,0))</f>
        <v>0</v>
      </c>
      <c r="BM18" s="353">
        <f>INDEX('qtrP&amp;L'!$62:$62,MATCH(BK$6,'qtrP&amp;L'!$6:$6,0))</f>
        <v>0</v>
      </c>
      <c r="BN18" s="353">
        <f>INDEX('qtrP&amp;L'!$63:$63,MATCH(BK$6,'qtrP&amp;L'!$6:$6,0))</f>
        <v>0</v>
      </c>
      <c r="BO18" s="353"/>
      <c r="BP18" s="353">
        <f>INDEX('qtrP&amp;L'!$60:$60,MATCH(BP$6,'qtrP&amp;L'!$6:$6,0))</f>
        <v>0</v>
      </c>
      <c r="BQ18" s="353">
        <f>INDEX('qtrP&amp;L'!$61:$61,MATCH(BP$6,'qtrP&amp;L'!$6:$6,0))</f>
        <v>0</v>
      </c>
      <c r="BR18" s="353">
        <f>INDEX('qtrP&amp;L'!$62:$62,MATCH(BP$6,'qtrP&amp;L'!$6:$6,0))</f>
        <v>0</v>
      </c>
      <c r="BS18" s="353">
        <f>INDEX('qtrP&amp;L'!$63:$63,MATCH(BP$6,'qtrP&amp;L'!$6:$6,0))</f>
        <v>0</v>
      </c>
      <c r="BT18" s="353"/>
      <c r="BU18" s="353">
        <f>INDEX('qtrP&amp;L'!$60:$60,MATCH(BU$6,'qtrP&amp;L'!$6:$6,0))</f>
        <v>0</v>
      </c>
      <c r="BV18" s="353">
        <f>INDEX('qtrP&amp;L'!$61:$61,MATCH(BU$6,'qtrP&amp;L'!$6:$6,0))</f>
        <v>0</v>
      </c>
      <c r="BW18" s="353">
        <f>INDEX('qtrP&amp;L'!$62:$62,MATCH(BU$6,'qtrP&amp;L'!$6:$6,0))</f>
        <v>0</v>
      </c>
      <c r="BX18" s="353">
        <f>INDEX('qtrP&amp;L'!$63:$63,MATCH(BU$6,'qtrP&amp;L'!$6:$6,0))</f>
        <v>0</v>
      </c>
      <c r="BY18" s="353"/>
      <c r="BZ18" s="353">
        <f>INDEX('qtrP&amp;L'!$60:$60,MATCH(BZ$6,'qtrP&amp;L'!$6:$6,0))</f>
        <v>0</v>
      </c>
      <c r="CA18" s="353">
        <f>INDEX('qtrP&amp;L'!$61:$61,MATCH(BZ$6,'qtrP&amp;L'!$6:$6,0))</f>
        <v>0</v>
      </c>
      <c r="CB18" s="353">
        <f>INDEX('qtrP&amp;L'!$62:$62,MATCH(BZ$6,'qtrP&amp;L'!$6:$6,0))</f>
        <v>0</v>
      </c>
      <c r="CC18" s="353">
        <f>INDEX('qtrP&amp;L'!$63:$63,MATCH(BZ$6,'qtrP&amp;L'!$6:$6,0))</f>
        <v>0</v>
      </c>
      <c r="CD18" s="353"/>
      <c r="CE18" s="353">
        <f>INDEX('qtrP&amp;L'!$60:$60,MATCH(CE$6,'qtrP&amp;L'!$6:$6,0))</f>
        <v>0</v>
      </c>
      <c r="CF18" s="353">
        <f>INDEX('qtrP&amp;L'!$61:$61,MATCH(CE$6,'qtrP&amp;L'!$6:$6,0))</f>
        <v>0</v>
      </c>
      <c r="CG18" s="353">
        <f>INDEX('qtrP&amp;L'!$62:$62,MATCH(CE$6,'qtrP&amp;L'!$6:$6,0))</f>
        <v>0</v>
      </c>
      <c r="CH18" s="353">
        <f>INDEX('qtrP&amp;L'!$63:$63,MATCH(CE$6,'qtrP&amp;L'!$6:$6,0))</f>
        <v>0</v>
      </c>
      <c r="CI18" s="353"/>
      <c r="CJ18" s="353">
        <f>INDEX('qtrP&amp;L'!$60:$60,MATCH(CJ$6,'qtrP&amp;L'!$6:$6,0))</f>
        <v>0</v>
      </c>
      <c r="CK18" s="353">
        <f>INDEX('qtrP&amp;L'!$61:$61,MATCH(CJ$6,'qtrP&amp;L'!$6:$6,0))</f>
        <v>0</v>
      </c>
      <c r="CL18" s="353">
        <f>INDEX('qtrP&amp;L'!$62:$62,MATCH(CJ$6,'qtrP&amp;L'!$6:$6,0))</f>
        <v>0</v>
      </c>
      <c r="CM18" s="353">
        <f>INDEX('qtrP&amp;L'!$63:$63,MATCH(CJ$6,'qtrP&amp;L'!$6:$6,0))</f>
        <v>0</v>
      </c>
      <c r="CN18" s="353"/>
      <c r="CO18" s="353">
        <f>INDEX('qtrP&amp;L'!$60:$60,MATCH(CO$6,'qtrP&amp;L'!$6:$6,0))</f>
        <v>0</v>
      </c>
      <c r="CP18" s="353">
        <f>INDEX('qtrP&amp;L'!$61:$61,MATCH(CO$6,'qtrP&amp;L'!$6:$6,0))</f>
        <v>0</v>
      </c>
      <c r="CQ18" s="353">
        <f>INDEX('qtrP&amp;L'!$62:$62,MATCH(CO$6,'qtrP&amp;L'!$6:$6,0))</f>
        <v>0</v>
      </c>
      <c r="CR18" s="353">
        <f>INDEX('qtrP&amp;L'!$63:$63,MATCH(CO$6,'qtrP&amp;L'!$6:$6,0))</f>
        <v>0</v>
      </c>
      <c r="CS18" s="353"/>
      <c r="CT18" s="353">
        <f>INDEX('qtrP&amp;L'!$60:$60,MATCH(CT$6,'qtrP&amp;L'!$6:$6,0))</f>
        <v>0</v>
      </c>
      <c r="CU18" s="353">
        <f>INDEX('qtrP&amp;L'!$61:$61,MATCH(CT$6,'qtrP&amp;L'!$6:$6,0))</f>
        <v>0</v>
      </c>
      <c r="CV18" s="353">
        <f>INDEX('qtrP&amp;L'!$62:$62,MATCH(CT$6,'qtrP&amp;L'!$6:$6,0))</f>
        <v>0</v>
      </c>
      <c r="CW18" s="353">
        <f>INDEX('qtrP&amp;L'!$63:$63,MATCH(CT$6,'qtrP&amp;L'!$6:$6,0))</f>
        <v>0</v>
      </c>
      <c r="CX18" s="353"/>
      <c r="CY18" s="353">
        <f>INDEX('qtrP&amp;L'!$60:$60,MATCH(CY$6,'qtrP&amp;L'!$6:$6,0))</f>
        <v>0</v>
      </c>
      <c r="CZ18" s="353">
        <f>INDEX('qtrP&amp;L'!$61:$61,MATCH(CY$6,'qtrP&amp;L'!$6:$6,0))</f>
        <v>0</v>
      </c>
      <c r="DA18" s="353">
        <f>INDEX('qtrP&amp;L'!$62:$62,MATCH(CY$6,'qtrP&amp;L'!$6:$6,0))</f>
        <v>0</v>
      </c>
      <c r="DB18" s="353">
        <f>INDEX('qtrP&amp;L'!$63:$63,MATCH(CY$6,'qtrP&amp;L'!$6:$6,0))</f>
        <v>0</v>
      </c>
      <c r="DC18" s="353"/>
      <c r="DD18" s="353">
        <f>INDEX('qtrP&amp;L'!$60:$60,MATCH(DD$6,'qtrP&amp;L'!$6:$6,0))</f>
        <v>0</v>
      </c>
      <c r="DE18" s="353">
        <f>INDEX('qtrP&amp;L'!$61:$61,MATCH(DD$6,'qtrP&amp;L'!$6:$6,0))</f>
        <v>0</v>
      </c>
      <c r="DF18" s="353">
        <f>INDEX('qtrP&amp;L'!$62:$62,MATCH(DD$6,'qtrP&amp;L'!$6:$6,0))</f>
        <v>0</v>
      </c>
      <c r="DG18" s="353">
        <f>INDEX('qtrP&amp;L'!$63:$63,MATCH(DD$6,'qtrP&amp;L'!$6:$6,0))</f>
        <v>0</v>
      </c>
      <c r="DH18" s="353"/>
      <c r="DI18" s="353">
        <f>INDEX('qtrP&amp;L'!$60:$60,MATCH(DI$6,'qtrP&amp;L'!$6:$6,0))</f>
        <v>0</v>
      </c>
      <c r="DJ18" s="353">
        <f>INDEX('qtrP&amp;L'!$61:$61,MATCH(DI$6,'qtrP&amp;L'!$6:$6,0))</f>
        <v>0</v>
      </c>
      <c r="DK18" s="353">
        <f>INDEX('qtrP&amp;L'!$62:$62,MATCH(DI$6,'qtrP&amp;L'!$6:$6,0))</f>
        <v>0</v>
      </c>
      <c r="DL18" s="353">
        <f>INDEX('qtrP&amp;L'!$63:$63,MATCH(DI$6,'qtrP&amp;L'!$6:$6,0))</f>
        <v>0</v>
      </c>
      <c r="DM18" s="353"/>
      <c r="DN18" s="353">
        <f>INDEX('qtrP&amp;L'!$60:$60,MATCH(DN$6,'qtrP&amp;L'!$6:$6,0))</f>
        <v>0</v>
      </c>
      <c r="DO18" s="353">
        <f>INDEX('qtrP&amp;L'!$61:$61,MATCH(DN$6,'qtrP&amp;L'!$6:$6,0))</f>
        <v>0</v>
      </c>
      <c r="DP18" s="353">
        <f>INDEX('qtrP&amp;L'!$62:$62,MATCH(DN$6,'qtrP&amp;L'!$6:$6,0))</f>
        <v>0</v>
      </c>
      <c r="DQ18" s="353">
        <f>INDEX('qtrP&amp;L'!$63:$63,MATCH(DN$6,'qtrP&amp;L'!$6:$6,0))</f>
        <v>0</v>
      </c>
      <c r="DR18" s="353"/>
      <c r="DS18" s="353">
        <f>INDEX('qtrP&amp;L'!$60:$60,MATCH(DS$6,'qtrP&amp;L'!$6:$6,0))</f>
        <v>0</v>
      </c>
      <c r="DT18" s="353">
        <f>INDEX('qtrP&amp;L'!$61:$61,MATCH(DS$6,'qtrP&amp;L'!$6:$6,0))</f>
        <v>0</v>
      </c>
      <c r="DU18" s="353">
        <f>INDEX('qtrP&amp;L'!$62:$62,MATCH(DS$6,'qtrP&amp;L'!$6:$6,0))</f>
        <v>0</v>
      </c>
      <c r="DV18" s="353">
        <f>INDEX('qtrP&amp;L'!$63:$63,MATCH(DS$6,'qtrP&amp;L'!$6:$6,0))</f>
        <v>0</v>
      </c>
      <c r="DW18" s="353"/>
      <c r="DX18" s="353">
        <f>INDEX('qtrP&amp;L'!$60:$60,MATCH(DX$6,'qtrP&amp;L'!$6:$6,0))</f>
        <v>0</v>
      </c>
      <c r="DY18" s="353">
        <f>INDEX('qtrP&amp;L'!$61:$61,MATCH(DX$6,'qtrP&amp;L'!$6:$6,0))</f>
        <v>0</v>
      </c>
      <c r="DZ18" s="353">
        <f>INDEX('qtrP&amp;L'!$62:$62,MATCH(DX$6,'qtrP&amp;L'!$6:$6,0))</f>
        <v>0</v>
      </c>
      <c r="EA18" s="353">
        <f>INDEX('qtrP&amp;L'!$63:$63,MATCH(DX$6,'qtrP&amp;L'!$6:$6,0))</f>
        <v>0</v>
      </c>
      <c r="EB18" s="353"/>
      <c r="EC18" s="353">
        <f>INDEX('qtrP&amp;L'!$60:$60,MATCH(EC$6,'qtrP&amp;L'!$6:$6,0))</f>
        <v>0</v>
      </c>
      <c r="ED18" s="353">
        <f>INDEX('qtrP&amp;L'!$61:$61,MATCH(EC$6,'qtrP&amp;L'!$6:$6,0))</f>
        <v>0</v>
      </c>
      <c r="EE18" s="353">
        <f>INDEX('qtrP&amp;L'!$62:$62,MATCH(EC$6,'qtrP&amp;L'!$6:$6,0))</f>
        <v>0</v>
      </c>
      <c r="EF18" s="353">
        <f>INDEX('qtrP&amp;L'!$63:$63,MATCH(EC$6,'qtrP&amp;L'!$6:$6,0))</f>
        <v>0</v>
      </c>
      <c r="EG18" s="305"/>
      <c r="EH18" s="353">
        <f>INDEX('qtrP&amp;L'!$60:$60,MATCH(EH$6,'qtrP&amp;L'!$6:$6,0))</f>
        <v>0</v>
      </c>
      <c r="EI18" s="353">
        <f>INDEX('qtrP&amp;L'!$61:$61,MATCH(EH$6,'qtrP&amp;L'!$6:$6,0))</f>
        <v>0</v>
      </c>
      <c r="EJ18" s="353">
        <f>INDEX('qtrP&amp;L'!$62:$62,MATCH(EH$6,'qtrP&amp;L'!$6:$6,0))</f>
        <v>0</v>
      </c>
      <c r="EK18" s="353">
        <f>INDEX('qtrP&amp;L'!$63:$63,MATCH(EH$6,'qtrP&amp;L'!$6:$6,0))</f>
        <v>0</v>
      </c>
      <c r="EL18" s="353"/>
      <c r="EM18" s="1197"/>
      <c r="EN18" s="1197"/>
      <c r="EO18" s="1197"/>
      <c r="EP18" s="1197"/>
      <c r="EQ18" s="354">
        <f>'yrP&amp;L'!C40</f>
        <v>5.0439999999999996</v>
      </c>
      <c r="ER18" s="355">
        <f>'yrP&amp;L'!D40</f>
        <v>5.0449999999999999</v>
      </c>
      <c r="ES18" s="355">
        <f>'yrP&amp;L'!E40</f>
        <v>5.1559999999999997</v>
      </c>
      <c r="ET18" s="355">
        <f>'yrP&amp;L'!F40</f>
        <v>5.0829999999999993</v>
      </c>
      <c r="EU18" s="355">
        <f>'yrP&amp;L'!G40</f>
        <v>5.0439999999999996</v>
      </c>
      <c r="EV18" s="355">
        <f>'yrP&amp;L'!H40</f>
        <v>5.0439999999999996</v>
      </c>
      <c r="EW18" s="355">
        <f>'yrP&amp;L'!I40</f>
        <v>5.32</v>
      </c>
      <c r="EX18" s="355">
        <f>'yrP&amp;L'!J40</f>
        <v>5.36</v>
      </c>
      <c r="EY18" s="355">
        <f>'yrP&amp;L'!K40</f>
        <v>5.36</v>
      </c>
      <c r="EZ18" s="355">
        <f>'yrP&amp;L'!L40</f>
        <v>5.2</v>
      </c>
      <c r="FA18" s="355">
        <f>'yrP&amp;L'!M40</f>
        <v>5.36</v>
      </c>
      <c r="FB18" s="355">
        <f>'yrP&amp;L'!N40</f>
        <v>5.32</v>
      </c>
      <c r="FC18" s="355">
        <f>'yrP&amp;L'!O40</f>
        <v>0</v>
      </c>
      <c r="FD18" s="355">
        <f>'yrP&amp;L'!P40</f>
        <v>0</v>
      </c>
      <c r="FE18" s="355">
        <f>'yrP&amp;L'!Q40</f>
        <v>0</v>
      </c>
      <c r="FF18" s="355">
        <f>'yrP&amp;L'!R40</f>
        <v>0</v>
      </c>
      <c r="FG18" s="355">
        <f>'yrP&amp;L'!S40</f>
        <v>0</v>
      </c>
      <c r="FH18" s="354">
        <f>'yrP&amp;L'!T40</f>
        <v>0</v>
      </c>
      <c r="FI18" s="355">
        <f>'yrP&amp;L'!U40</f>
        <v>0</v>
      </c>
      <c r="FJ18" s="355">
        <f>'yrP&amp;L'!V40</f>
        <v>0</v>
      </c>
      <c r="FK18" s="1258"/>
      <c r="FL18" s="355">
        <f>'yrP&amp;L'!W40</f>
        <v>0</v>
      </c>
      <c r="FM18" s="355">
        <f>'yrP&amp;L'!X40</f>
        <v>0</v>
      </c>
      <c r="FN18" s="355">
        <f>'yrP&amp;L'!Y40</f>
        <v>0</v>
      </c>
      <c r="FO18" s="355">
        <f>'yrP&amp;L'!Z40</f>
        <v>0</v>
      </c>
      <c r="FP18" s="355">
        <f>'yrP&amp;L'!AA40</f>
        <v>0</v>
      </c>
      <c r="FQ18" s="355">
        <f>'yrP&amp;L'!AB40</f>
        <v>0</v>
      </c>
      <c r="FR18" s="355">
        <f>'yrP&amp;L'!AC40</f>
        <v>0</v>
      </c>
      <c r="FS18" s="355">
        <f>'yrP&amp;L'!AD40</f>
        <v>0</v>
      </c>
      <c r="FT18" s="355">
        <f>'yrP&amp;L'!AE40</f>
        <v>0</v>
      </c>
      <c r="FU18" s="355">
        <f>'yrP&amp;L'!AF40</f>
        <v>0</v>
      </c>
      <c r="FV18" s="357">
        <f>'yrP&amp;L'!AG40</f>
        <v>0</v>
      </c>
      <c r="FW18" s="355">
        <f>'yrP&amp;L'!AH40</f>
        <v>0</v>
      </c>
      <c r="FX18" s="357">
        <f>'yrP&amp;L'!AI40</f>
        <v>0</v>
      </c>
      <c r="FZ18"/>
      <c r="GA18"/>
      <c r="GB18"/>
      <c r="GC18"/>
      <c r="GD18"/>
      <c r="GE18"/>
      <c r="GF18" s="303"/>
      <c r="GG18" s="303"/>
      <c r="GH18" s="303"/>
      <c r="GI18" s="303"/>
      <c r="GJ18" s="303"/>
      <c r="GK18" s="303"/>
      <c r="GL18" s="303"/>
      <c r="GM18" s="303"/>
      <c r="GN18" s="303"/>
      <c r="GO18" s="303"/>
      <c r="GP18" s="303"/>
      <c r="GQ18" s="303"/>
      <c r="GR18" s="303"/>
      <c r="GS18" s="303"/>
      <c r="GT18" s="303"/>
      <c r="GU18" s="303"/>
      <c r="GV18" s="303"/>
      <c r="GW18" s="303"/>
      <c r="GX18" s="303"/>
      <c r="GY18" s="303"/>
      <c r="GZ18" s="303"/>
      <c r="HA18" s="303"/>
      <c r="HB18" s="303"/>
      <c r="HC18" s="303"/>
      <c r="HD18" s="303"/>
      <c r="HE18" s="303"/>
      <c r="HF18" s="303"/>
      <c r="HG18" s="303"/>
      <c r="HH18" s="303"/>
      <c r="HI18" s="303"/>
      <c r="HJ18" s="303"/>
      <c r="HK18" s="303"/>
      <c r="HL18" s="303"/>
      <c r="HM18" s="303"/>
      <c r="HN18" s="303"/>
      <c r="HO18" s="303"/>
      <c r="HP18" s="303"/>
      <c r="HQ18" s="303"/>
      <c r="HR18" s="303"/>
      <c r="HS18" s="303"/>
      <c r="HT18" s="303"/>
      <c r="HU18" s="303"/>
      <c r="HV18" s="303"/>
      <c r="HW18" s="303"/>
      <c r="HX18" s="303"/>
      <c r="HY18" s="303"/>
      <c r="HZ18" s="303"/>
      <c r="IA18" s="303"/>
      <c r="IB18" s="303"/>
      <c r="IC18" s="303"/>
      <c r="ID18" s="303"/>
      <c r="IE18" s="303"/>
      <c r="IF18" s="303"/>
      <c r="IG18" s="303"/>
      <c r="IH18" s="303"/>
      <c r="II18" s="303"/>
      <c r="IJ18" s="303"/>
      <c r="IK18" s="303"/>
      <c r="IL18" s="303"/>
      <c r="IM18" s="303"/>
      <c r="IN18" s="303"/>
      <c r="IO18" s="303"/>
      <c r="IP18" s="303"/>
      <c r="IQ18" s="303"/>
      <c r="IR18" s="303"/>
      <c r="IS18" s="303"/>
      <c r="IT18" s="303"/>
      <c r="IU18" s="303"/>
      <c r="IV18" s="303"/>
      <c r="IW18" s="303"/>
      <c r="IX18" s="303"/>
      <c r="IY18" s="303"/>
      <c r="IZ18" s="303"/>
      <c r="JA18" s="303"/>
      <c r="JB18" s="303"/>
      <c r="JC18" s="303"/>
    </row>
    <row r="19" spans="1:263" s="356" customFormat="1" hidden="1" outlineLevel="2" x14ac:dyDescent="0.2">
      <c r="A19" s="346" t="s">
        <v>354</v>
      </c>
      <c r="B19" s="352"/>
      <c r="C19" s="348">
        <f>INDEX('qtrP&amp;L'!$70:$70,MATCH(C$6,'qtrP&amp;L'!$6:$6,0))</f>
        <v>0.9</v>
      </c>
      <c r="D19" s="348">
        <f>INDEX('qtrP&amp;L'!$71:$71,MATCH(C$6,'qtrP&amp;L'!$6:$6,0))</f>
        <v>0.7</v>
      </c>
      <c r="E19" s="348">
        <f>INDEX('qtrP&amp;L'!$72:$72,MATCH(C$6,'qtrP&amp;L'!$6:$6,0))</f>
        <v>1.25</v>
      </c>
      <c r="F19" s="348">
        <f>INDEX('qtrP&amp;L'!$73:$73,MATCH(C$6,'qtrP&amp;L'!$6:$6,0))</f>
        <v>0.95</v>
      </c>
      <c r="G19" s="348"/>
      <c r="H19" s="348">
        <f>INDEX('qtrP&amp;L'!$70:$70,MATCH(H$6,'qtrP&amp;L'!$6:$6,0))</f>
        <v>1.2</v>
      </c>
      <c r="I19" s="348">
        <f>INDEX('qtrP&amp;L'!$71:$71,MATCH(H$6,'qtrP&amp;L'!$6:$6,0))</f>
        <v>0.9</v>
      </c>
      <c r="J19" s="348">
        <f>INDEX('qtrP&amp;L'!$72:$72,MATCH(H$6,'qtrP&amp;L'!$6:$6,0))</f>
        <v>-4.2590000000000003</v>
      </c>
      <c r="K19" s="348">
        <f>INDEX('qtrP&amp;L'!$73:$73,MATCH(H$6,'qtrP&amp;L'!$6:$6,0))</f>
        <v>0.45</v>
      </c>
      <c r="L19" s="348"/>
      <c r="M19" s="348">
        <f>INDEX('qtrP&amp;L'!$70:$70,MATCH(M$6,'qtrP&amp;L'!$6:$6,0))</f>
        <v>1.2</v>
      </c>
      <c r="N19" s="348">
        <f>INDEX('qtrP&amp;L'!$71:$71,MATCH(M$6,'qtrP&amp;L'!$6:$6,0))</f>
        <v>1.2</v>
      </c>
      <c r="O19" s="348">
        <f>INDEX('qtrP&amp;L'!$72:$72,MATCH(M$6,'qtrP&amp;L'!$6:$6,0))</f>
        <v>-2.6619999999999999</v>
      </c>
      <c r="P19" s="348">
        <f>INDEX('qtrP&amp;L'!$73:$73,MATCH(M$6,'qtrP&amp;L'!$6:$6,0))</f>
        <v>-1.498</v>
      </c>
      <c r="Q19" s="348"/>
      <c r="R19" s="348">
        <f>INDEX('qtrP&amp;L'!$70:$70,MATCH(R$6,'qtrP&amp;L'!$6:$6,0))</f>
        <v>0.94799999999999995</v>
      </c>
      <c r="S19" s="348">
        <f>INDEX('qtrP&amp;L'!$71:$71,MATCH(R$6,'qtrP&amp;L'!$6:$6,0))</f>
        <v>0.9</v>
      </c>
      <c r="T19" s="348">
        <f>INDEX('qtrP&amp;L'!$72:$72,MATCH(R$6,'qtrP&amp;L'!$6:$6,0))</f>
        <v>0.44</v>
      </c>
      <c r="U19" s="348">
        <f>INDEX('qtrP&amp;L'!$73:$73,MATCH(R$6,'qtrP&amp;L'!$6:$6,0))</f>
        <v>-1.9279999999999999</v>
      </c>
      <c r="V19" s="348"/>
      <c r="W19" s="348">
        <f>INDEX('qtrP&amp;L'!$70:$70,MATCH(W$6,'qtrP&amp;L'!$6:$6,0))</f>
        <v>0.5</v>
      </c>
      <c r="X19" s="348">
        <f>INDEX('qtrP&amp;L'!$71:$71,MATCH(W$6,'qtrP&amp;L'!$6:$6,0))</f>
        <v>0.873</v>
      </c>
      <c r="Y19" s="348">
        <f>INDEX('qtrP&amp;L'!$72:$72,MATCH(W$6,'qtrP&amp;L'!$6:$6,0))</f>
        <v>1.0149999999999999</v>
      </c>
      <c r="Z19" s="348">
        <f>INDEX('qtrP&amp;L'!$73:$73,MATCH(W$6,'qtrP&amp;L'!$6:$6,0))</f>
        <v>-3.2</v>
      </c>
      <c r="AA19" s="348"/>
      <c r="AB19" s="348">
        <f>INDEX('qtrP&amp;L'!$70:$70,MATCH(AB$6,'qtrP&amp;L'!$6:$6,0))</f>
        <v>1.1040000000000001</v>
      </c>
      <c r="AC19" s="348">
        <f>INDEX('qtrP&amp;L'!$71:$71,MATCH(AB$6,'qtrP&amp;L'!$6:$6,0))</f>
        <v>1.0900000000000001</v>
      </c>
      <c r="AD19" s="348">
        <f>INDEX('qtrP&amp;L'!$72:$72,MATCH(AB$6,'qtrP&amp;L'!$6:$6,0))</f>
        <v>1.464</v>
      </c>
      <c r="AE19" s="348">
        <f>INDEX('qtrP&amp;L'!$73:$73,MATCH(AB$6,'qtrP&amp;L'!$6:$6,0))</f>
        <v>-5.056</v>
      </c>
      <c r="AF19" s="348"/>
      <c r="AG19" s="348">
        <f>INDEX('qtrP&amp;L'!$70:$70,MATCH(AG$6,'qtrP&amp;L'!$6:$6,0))</f>
        <v>1.171</v>
      </c>
      <c r="AH19" s="348">
        <f>INDEX('qtrP&amp;L'!$71:$71,MATCH(AG$6,'qtrP&amp;L'!$6:$6,0))</f>
        <v>1.1839999999999999</v>
      </c>
      <c r="AI19" s="348">
        <f>INDEX('qtrP&amp;L'!$72:$72,MATCH(AG$6,'qtrP&amp;L'!$6:$6,0))</f>
        <v>1.4950000000000001</v>
      </c>
      <c r="AJ19" s="348">
        <f>INDEX('qtrP&amp;L'!$73:$73,MATCH(AG$6,'qtrP&amp;L'!$6:$6,0))</f>
        <v>1.4</v>
      </c>
      <c r="AK19" s="348"/>
      <c r="AL19" s="348">
        <f>INDEX('qtrP&amp;L'!$70:$70,MATCH(AL$6,'qtrP&amp;L'!$6:$6,0))</f>
        <v>1.5009999999999999</v>
      </c>
      <c r="AM19" s="348">
        <f>INDEX('qtrP&amp;L'!$71:$71,MATCH(AL$6,'qtrP&amp;L'!$6:$6,0))</f>
        <v>1.56</v>
      </c>
      <c r="AN19" s="348">
        <f>INDEX('qtrP&amp;L'!$72:$72,MATCH(AL$6,'qtrP&amp;L'!$6:$6,0))</f>
        <v>1.895</v>
      </c>
      <c r="AO19" s="348">
        <f>INDEX('qtrP&amp;L'!$73:$73,MATCH(AL$6,'qtrP&amp;L'!$6:$6,0))</f>
        <v>-5.0490000000000004</v>
      </c>
      <c r="AP19" s="348"/>
      <c r="AQ19" s="348">
        <f>INDEX('qtrP&amp;L'!$70:$70,MATCH(AQ$6,'qtrP&amp;L'!$6:$6,0))</f>
        <v>1.861</v>
      </c>
      <c r="AR19" s="348">
        <f>INDEX('qtrP&amp;L'!$71:$71,MATCH(AQ$6,'qtrP&amp;L'!$6:$6,0))</f>
        <v>1.8968750000000001</v>
      </c>
      <c r="AS19" s="348">
        <f>INDEX('qtrP&amp;L'!$72:$72,MATCH(AQ$6,'qtrP&amp;L'!$6:$6,0))</f>
        <v>1.9</v>
      </c>
      <c r="AT19" s="348">
        <f>INDEX('qtrP&amp;L'!$73:$73,MATCH(AQ$6,'qtrP&amp;L'!$6:$6,0))</f>
        <v>-8.5190000000000001</v>
      </c>
      <c r="AU19" s="348"/>
      <c r="AV19" s="348">
        <f>INDEX('qtrP&amp;L'!$70:$70,MATCH(AV$6,'qtrP&amp;L'!$6:$6,0))</f>
        <v>1.363</v>
      </c>
      <c r="AW19" s="348">
        <f>INDEX('qtrP&amp;L'!$71:$71,MATCH(AV$6,'qtrP&amp;L'!$6:$6,0))</f>
        <v>1.409</v>
      </c>
      <c r="AX19" s="348">
        <f>INDEX('qtrP&amp;L'!$72:$72,MATCH(AV$6,'qtrP&amp;L'!$6:$6,0))</f>
        <v>1.651</v>
      </c>
      <c r="AY19" s="348">
        <f>INDEX('qtrP&amp;L'!$73:$73,MATCH(AV$6,'qtrP&amp;L'!$6:$6,0))</f>
        <v>-3.36</v>
      </c>
      <c r="AZ19" s="348"/>
      <c r="BA19" s="348">
        <f>INDEX('qtrP&amp;L'!$70:$70,MATCH(BA$6,'qtrP&amp;L'!$6:$6,0))</f>
        <v>1.8440000000000001</v>
      </c>
      <c r="BB19" s="348">
        <f>INDEX('qtrP&amp;L'!$71:$71,MATCH(BA$6,'qtrP&amp;L'!$6:$6,0))</f>
        <v>1.8839999999999999</v>
      </c>
      <c r="BC19" s="348">
        <f>INDEX('qtrP&amp;L'!$72:$72,MATCH(BA$6,'qtrP&amp;L'!$6:$6,0))</f>
        <v>2.1680000000000001</v>
      </c>
      <c r="BD19" s="348">
        <f>INDEX('qtrP&amp;L'!$73:$73,MATCH(BA$6,'qtrP&amp;L'!$6:$6,0))</f>
        <v>-4.0279999999999996</v>
      </c>
      <c r="BE19" s="348"/>
      <c r="BF19" s="348">
        <f>INDEX('qtrP&amp;L'!$70:$70,MATCH(BF$6,'qtrP&amp;L'!$6:$6,0))</f>
        <v>1.786</v>
      </c>
      <c r="BG19" s="348">
        <f>INDEX('qtrP&amp;L'!$71:$71,MATCH(BF$6,'qtrP&amp;L'!$6:$6,0))</f>
        <v>1.819</v>
      </c>
      <c r="BH19" s="348">
        <f>INDEX('qtrP&amp;L'!$72:$72,MATCH(BF$6,'qtrP&amp;L'!$6:$6,0))</f>
        <v>2.1120000000000001</v>
      </c>
      <c r="BI19" s="348">
        <f>INDEX('qtrP&amp;L'!$73:$73,MATCH(BF$6,'qtrP&amp;L'!$6:$6,0))</f>
        <v>-3.4580000000000002</v>
      </c>
      <c r="BJ19" s="348"/>
      <c r="BK19" s="348">
        <f>INDEX('qtrP&amp;L'!$70:$70,MATCH(BK$6,'qtrP&amp;L'!$6:$6,0))</f>
        <v>2.2429999999999999</v>
      </c>
      <c r="BL19" s="348">
        <f>INDEX('qtrP&amp;L'!$71:$71,MATCH(BK$6,'qtrP&amp;L'!$6:$6,0))</f>
        <v>2.2999999999999998</v>
      </c>
      <c r="BM19" s="348">
        <f>INDEX('qtrP&amp;L'!$72:$72,MATCH(BK$6,'qtrP&amp;L'!$6:$6,0))</f>
        <v>2.6</v>
      </c>
      <c r="BN19" s="348">
        <f>INDEX('qtrP&amp;L'!$73:$73,MATCH(BK$6,'qtrP&amp;L'!$6:$6,0))</f>
        <v>-9.2490000000000006</v>
      </c>
      <c r="BO19" s="348"/>
      <c r="BP19" s="348">
        <f>INDEX('qtrP&amp;L'!$70:$70,MATCH(BP$6,'qtrP&amp;L'!$6:$6,0))</f>
        <v>0</v>
      </c>
      <c r="BQ19" s="348">
        <f>INDEX('qtrP&amp;L'!$71:$71,MATCH(BP$6,'qtrP&amp;L'!$6:$6,0))</f>
        <v>0</v>
      </c>
      <c r="BR19" s="348">
        <f>INDEX('qtrP&amp;L'!$72:$72,MATCH(BP$6,'qtrP&amp;L'!$6:$6,0))</f>
        <v>0</v>
      </c>
      <c r="BS19" s="348">
        <f>INDEX('qtrP&amp;L'!$73:$73,MATCH(BP$6,'qtrP&amp;L'!$6:$6,0))</f>
        <v>-5</v>
      </c>
      <c r="BT19" s="348"/>
      <c r="BU19" s="348">
        <f>INDEX('qtrP&amp;L'!$70:$70,MATCH(BU$6,'qtrP&amp;L'!$6:$6,0))</f>
        <v>0</v>
      </c>
      <c r="BV19" s="348">
        <f>INDEX('qtrP&amp;L'!$71:$71,MATCH(BU$6,'qtrP&amp;L'!$6:$6,0))</f>
        <v>0</v>
      </c>
      <c r="BW19" s="348">
        <f>INDEX('qtrP&amp;L'!$72:$72,MATCH(BU$6,'qtrP&amp;L'!$6:$6,0))</f>
        <v>0</v>
      </c>
      <c r="BX19" s="348">
        <f>INDEX('qtrP&amp;L'!$73:$73,MATCH(BU$6,'qtrP&amp;L'!$6:$6,0))</f>
        <v>0</v>
      </c>
      <c r="BY19" s="348"/>
      <c r="BZ19" s="348">
        <f>INDEX('qtrP&amp;L'!$70:$70,MATCH(BZ$6,'qtrP&amp;L'!$6:$6,0))</f>
        <v>0</v>
      </c>
      <c r="CA19" s="348">
        <f>INDEX('qtrP&amp;L'!$71:$71,MATCH(BZ$6,'qtrP&amp;L'!$6:$6,0))</f>
        <v>0</v>
      </c>
      <c r="CB19" s="348">
        <f>INDEX('qtrP&amp;L'!$72:$72,MATCH(BZ$6,'qtrP&amp;L'!$6:$6,0))</f>
        <v>0</v>
      </c>
      <c r="CC19" s="348">
        <f>INDEX('qtrP&amp;L'!$73:$73,MATCH(BZ$6,'qtrP&amp;L'!$6:$6,0))</f>
        <v>0</v>
      </c>
      <c r="CD19" s="348"/>
      <c r="CE19" s="348">
        <f>INDEX('qtrP&amp;L'!$70:$70,MATCH(CE$6,'qtrP&amp;L'!$6:$6,0))</f>
        <v>0</v>
      </c>
      <c r="CF19" s="348">
        <f>INDEX('qtrP&amp;L'!$71:$71,MATCH(CE$6,'qtrP&amp;L'!$6:$6,0))</f>
        <v>0</v>
      </c>
      <c r="CG19" s="348">
        <f>INDEX('qtrP&amp;L'!$72:$72,MATCH(CE$6,'qtrP&amp;L'!$6:$6,0))</f>
        <v>0</v>
      </c>
      <c r="CH19" s="348">
        <f>INDEX('qtrP&amp;L'!$73:$73,MATCH(CE$6,'qtrP&amp;L'!$6:$6,0))</f>
        <v>0</v>
      </c>
      <c r="CI19" s="348"/>
      <c r="CJ19" s="348">
        <f>INDEX('qtrP&amp;L'!$70:$70,MATCH(CJ$6,'qtrP&amp;L'!$6:$6,0))</f>
        <v>0</v>
      </c>
      <c r="CK19" s="348">
        <f>INDEX('qtrP&amp;L'!$71:$71,MATCH(CJ$6,'qtrP&amp;L'!$6:$6,0))</f>
        <v>0</v>
      </c>
      <c r="CL19" s="348">
        <f>INDEX('qtrP&amp;L'!$72:$72,MATCH(CJ$6,'qtrP&amp;L'!$6:$6,0))</f>
        <v>0</v>
      </c>
      <c r="CM19" s="348">
        <f>INDEX('qtrP&amp;L'!$73:$73,MATCH(CJ$6,'qtrP&amp;L'!$6:$6,0))</f>
        <v>0</v>
      </c>
      <c r="CN19" s="348"/>
      <c r="CO19" s="348">
        <f>INDEX('qtrP&amp;L'!$70:$70,MATCH(CO$6,'qtrP&amp;L'!$6:$6,0))</f>
        <v>0</v>
      </c>
      <c r="CP19" s="348">
        <f>INDEX('qtrP&amp;L'!$71:$71,MATCH(CO$6,'qtrP&amp;L'!$6:$6,0))</f>
        <v>0</v>
      </c>
      <c r="CQ19" s="348">
        <f>INDEX('qtrP&amp;L'!$72:$72,MATCH(CO$6,'qtrP&amp;L'!$6:$6,0))</f>
        <v>0</v>
      </c>
      <c r="CR19" s="348">
        <f>INDEX('qtrP&amp;L'!$73:$73,MATCH(CO$6,'qtrP&amp;L'!$6:$6,0))</f>
        <v>0</v>
      </c>
      <c r="CS19" s="348"/>
      <c r="CT19" s="348">
        <f>INDEX('qtrP&amp;L'!$70:$70,MATCH(CT$6,'qtrP&amp;L'!$6:$6,0))</f>
        <v>0</v>
      </c>
      <c r="CU19" s="348">
        <f>INDEX('qtrP&amp;L'!$71:$71,MATCH(CT$6,'qtrP&amp;L'!$6:$6,0))</f>
        <v>0</v>
      </c>
      <c r="CV19" s="348">
        <f>INDEX('qtrP&amp;L'!$72:$72,MATCH(CT$6,'qtrP&amp;L'!$6:$6,0))</f>
        <v>0</v>
      </c>
      <c r="CW19" s="348">
        <f>INDEX('qtrP&amp;L'!$73:$73,MATCH(CT$6,'qtrP&amp;L'!$6:$6,0))</f>
        <v>0</v>
      </c>
      <c r="CX19" s="348"/>
      <c r="CY19" s="348">
        <f>INDEX('qtrP&amp;L'!$70:$70,MATCH(CY$6,'qtrP&amp;L'!$6:$6,0))</f>
        <v>0</v>
      </c>
      <c r="CZ19" s="348">
        <f>INDEX('qtrP&amp;L'!$71:$71,MATCH(CY$6,'qtrP&amp;L'!$6:$6,0))</f>
        <v>0</v>
      </c>
      <c r="DA19" s="348">
        <f>INDEX('qtrP&amp;L'!$72:$72,MATCH(CY$6,'qtrP&amp;L'!$6:$6,0))</f>
        <v>0</v>
      </c>
      <c r="DB19" s="348">
        <f>INDEX('qtrP&amp;L'!$73:$73,MATCH(CY$6,'qtrP&amp;L'!$6:$6,0))</f>
        <v>0</v>
      </c>
      <c r="DC19" s="348"/>
      <c r="DD19" s="348">
        <f>INDEX('qtrP&amp;L'!$70:$70,MATCH(DD$6,'qtrP&amp;L'!$6:$6,0))</f>
        <v>0</v>
      </c>
      <c r="DE19" s="348">
        <f>INDEX('qtrP&amp;L'!$71:$71,MATCH(DD$6,'qtrP&amp;L'!$6:$6,0))</f>
        <v>0</v>
      </c>
      <c r="DF19" s="348">
        <f>INDEX('qtrP&amp;L'!$72:$72,MATCH(DD$6,'qtrP&amp;L'!$6:$6,0))</f>
        <v>0</v>
      </c>
      <c r="DG19" s="348">
        <f>INDEX('qtrP&amp;L'!$73:$73,MATCH(DD$6,'qtrP&amp;L'!$6:$6,0))</f>
        <v>0</v>
      </c>
      <c r="DH19" s="348"/>
      <c r="DI19" s="348">
        <f>INDEX('qtrP&amp;L'!$70:$70,MATCH(DI$6,'qtrP&amp;L'!$6:$6,0))</f>
        <v>0</v>
      </c>
      <c r="DJ19" s="348">
        <f>INDEX('qtrP&amp;L'!$71:$71,MATCH(DI$6,'qtrP&amp;L'!$6:$6,0))</f>
        <v>0</v>
      </c>
      <c r="DK19" s="348">
        <f>INDEX('qtrP&amp;L'!$72:$72,MATCH(DI$6,'qtrP&amp;L'!$6:$6,0))</f>
        <v>0</v>
      </c>
      <c r="DL19" s="348">
        <f>INDEX('qtrP&amp;L'!$73:$73,MATCH(DI$6,'qtrP&amp;L'!$6:$6,0))</f>
        <v>0</v>
      </c>
      <c r="DM19" s="348"/>
      <c r="DN19" s="348">
        <f>INDEX('qtrP&amp;L'!$70:$70,MATCH(DN$6,'qtrP&amp;L'!$6:$6,0))</f>
        <v>0</v>
      </c>
      <c r="DO19" s="348">
        <f>INDEX('qtrP&amp;L'!$71:$71,MATCH(DN$6,'qtrP&amp;L'!$6:$6,0))</f>
        <v>0</v>
      </c>
      <c r="DP19" s="348">
        <f>INDEX('qtrP&amp;L'!$72:$72,MATCH(DN$6,'qtrP&amp;L'!$6:$6,0))</f>
        <v>0</v>
      </c>
      <c r="DQ19" s="348">
        <f>INDEX('qtrP&amp;L'!$73:$73,MATCH(DN$6,'qtrP&amp;L'!$6:$6,0))</f>
        <v>0</v>
      </c>
      <c r="DR19" s="348"/>
      <c r="DS19" s="348">
        <f>INDEX('qtrP&amp;L'!$70:$70,MATCH(DS$6,'qtrP&amp;L'!$6:$6,0))</f>
        <v>0</v>
      </c>
      <c r="DT19" s="348">
        <f>INDEX('qtrP&amp;L'!$71:$71,MATCH(DS$6,'qtrP&amp;L'!$6:$6,0))</f>
        <v>0</v>
      </c>
      <c r="DU19" s="348">
        <f>INDEX('qtrP&amp;L'!$72:$72,MATCH(DS$6,'qtrP&amp;L'!$6:$6,0))</f>
        <v>0</v>
      </c>
      <c r="DV19" s="348">
        <f>INDEX('qtrP&amp;L'!$73:$73,MATCH(DS$6,'qtrP&amp;L'!$6:$6,0))</f>
        <v>0</v>
      </c>
      <c r="DW19" s="348"/>
      <c r="DX19" s="348">
        <f>INDEX('qtrP&amp;L'!$70:$70,MATCH(DX$6,'qtrP&amp;L'!$6:$6,0))</f>
        <v>0</v>
      </c>
      <c r="DY19" s="348">
        <f>INDEX('qtrP&amp;L'!$71:$71,MATCH(DX$6,'qtrP&amp;L'!$6:$6,0))</f>
        <v>0</v>
      </c>
      <c r="DZ19" s="348">
        <f>INDEX('qtrP&amp;L'!$72:$72,MATCH(DX$6,'qtrP&amp;L'!$6:$6,0))</f>
        <v>0</v>
      </c>
      <c r="EA19" s="348">
        <f>INDEX('qtrP&amp;L'!$73:$73,MATCH(DX$6,'qtrP&amp;L'!$6:$6,0))</f>
        <v>0</v>
      </c>
      <c r="EB19" s="348"/>
      <c r="EC19" s="348">
        <f>INDEX('qtrP&amp;L'!$70:$70,MATCH(EC$6,'qtrP&amp;L'!$6:$6,0))</f>
        <v>0</v>
      </c>
      <c r="ED19" s="348">
        <f>INDEX('qtrP&amp;L'!$71:$71,MATCH(EC$6,'qtrP&amp;L'!$6:$6,0))</f>
        <v>0</v>
      </c>
      <c r="EE19" s="348">
        <f>INDEX('qtrP&amp;L'!$72:$72,MATCH(EC$6,'qtrP&amp;L'!$6:$6,0))</f>
        <v>0</v>
      </c>
      <c r="EF19" s="348">
        <f>INDEX('qtrP&amp;L'!$73:$73,MATCH(EC$6,'qtrP&amp;L'!$6:$6,0))</f>
        <v>0</v>
      </c>
      <c r="EG19" s="305"/>
      <c r="EH19" s="348">
        <f>INDEX('qtrP&amp;L'!$70:$70,MATCH(EH$6,'qtrP&amp;L'!$6:$6,0))</f>
        <v>0</v>
      </c>
      <c r="EI19" s="348">
        <f>INDEX('qtrP&amp;L'!$71:$71,MATCH(EH$6,'qtrP&amp;L'!$6:$6,0))</f>
        <v>0</v>
      </c>
      <c r="EJ19" s="348">
        <f>INDEX('qtrP&amp;L'!$72:$72,MATCH(EH$6,'qtrP&amp;L'!$6:$6,0))</f>
        <v>0</v>
      </c>
      <c r="EK19" s="348">
        <f>INDEX('qtrP&amp;L'!$73:$73,MATCH(EH$6,'qtrP&amp;L'!$6:$6,0))</f>
        <v>0</v>
      </c>
      <c r="EL19" s="348"/>
      <c r="EM19" s="1196"/>
      <c r="EN19" s="1196"/>
      <c r="EO19" s="1196"/>
      <c r="EP19" s="1196"/>
      <c r="EQ19" s="354">
        <f>'yrP&amp;L'!C42</f>
        <v>3.8</v>
      </c>
      <c r="ER19" s="355">
        <f>'yrP&amp;L'!D42</f>
        <v>-1.7090000000000003</v>
      </c>
      <c r="ES19" s="355">
        <f>'yrP&amp;L'!E42</f>
        <v>-1.76</v>
      </c>
      <c r="ET19" s="355">
        <f>'yrP&amp;L'!F42</f>
        <v>0.35999999999999988</v>
      </c>
      <c r="EU19" s="355">
        <f>'yrP&amp;L'!G42</f>
        <v>-0.81200000000000028</v>
      </c>
      <c r="EV19" s="355">
        <f>'yrP&amp;L'!H42</f>
        <v>-1.3980000000000001</v>
      </c>
      <c r="EW19" s="355">
        <f>'yrP&amp;L'!I42</f>
        <v>5.25</v>
      </c>
      <c r="EX19" s="355">
        <f>'yrP&amp;L'!J42</f>
        <v>-9.300000000000086E-2</v>
      </c>
      <c r="EY19" s="355">
        <f>'yrP&amp;L'!K42</f>
        <v>-2.8611249999999995</v>
      </c>
      <c r="EZ19" s="355">
        <f>'yrP&amp;L'!L42</f>
        <v>-1.1000000000000001</v>
      </c>
      <c r="FA19" s="355">
        <f>'yrP&amp;L'!M42</f>
        <v>1.8680000000000003</v>
      </c>
      <c r="FB19" s="355">
        <f>'yrP&amp;L'!N42</f>
        <v>2.2590000000000003</v>
      </c>
      <c r="FC19" s="355">
        <f>'yrP&amp;L'!O42</f>
        <v>-2.1060000000000016</v>
      </c>
      <c r="FD19" s="355">
        <f>'yrP&amp;L'!P42</f>
        <v>-5</v>
      </c>
      <c r="FE19" s="355">
        <f>'yrP&amp;L'!Q42</f>
        <v>0</v>
      </c>
      <c r="FF19" s="355">
        <f>'yrP&amp;L'!R42</f>
        <v>0</v>
      </c>
      <c r="FG19" s="355">
        <f>'yrP&amp;L'!S42</f>
        <v>0</v>
      </c>
      <c r="FH19" s="354">
        <f>'yrP&amp;L'!T42</f>
        <v>0</v>
      </c>
      <c r="FI19" s="355">
        <f>'yrP&amp;L'!U42</f>
        <v>0</v>
      </c>
      <c r="FJ19" s="355">
        <f>'yrP&amp;L'!V42</f>
        <v>0</v>
      </c>
      <c r="FK19" s="1258"/>
      <c r="FL19" s="355">
        <f>'yrP&amp;L'!W42</f>
        <v>0</v>
      </c>
      <c r="FM19" s="355">
        <f>'yrP&amp;L'!X42</f>
        <v>0</v>
      </c>
      <c r="FN19" s="355">
        <f>'yrP&amp;L'!Y42</f>
        <v>0</v>
      </c>
      <c r="FO19" s="355">
        <f>'yrP&amp;L'!Z42</f>
        <v>0</v>
      </c>
      <c r="FP19" s="355">
        <f>'yrP&amp;L'!AA42</f>
        <v>0</v>
      </c>
      <c r="FQ19" s="355">
        <f>'yrP&amp;L'!AB42</f>
        <v>0</v>
      </c>
      <c r="FR19" s="355">
        <f>'yrP&amp;L'!AC42</f>
        <v>0</v>
      </c>
      <c r="FS19" s="355">
        <f>'yrP&amp;L'!AD42</f>
        <v>0</v>
      </c>
      <c r="FT19" s="355">
        <f>'yrP&amp;L'!AE42</f>
        <v>0</v>
      </c>
      <c r="FU19" s="355">
        <f>'yrP&amp;L'!AF42</f>
        <v>0</v>
      </c>
      <c r="FV19" s="357">
        <f>'yrP&amp;L'!AG42</f>
        <v>0</v>
      </c>
      <c r="FW19" s="355">
        <f>'yrP&amp;L'!AH42</f>
        <v>0</v>
      </c>
      <c r="FX19" s="357">
        <f>'yrP&amp;L'!AI42</f>
        <v>0</v>
      </c>
      <c r="FZ19"/>
      <c r="GA19"/>
      <c r="GB19"/>
      <c r="GC19"/>
      <c r="GD19"/>
      <c r="GE19"/>
      <c r="GF19" s="303"/>
      <c r="GG19" s="303"/>
      <c r="GH19" s="303"/>
      <c r="GI19" s="303"/>
      <c r="GJ19" s="303"/>
      <c r="GK19" s="303"/>
      <c r="GL19" s="303"/>
      <c r="GM19" s="303"/>
      <c r="GN19" s="303"/>
      <c r="GO19" s="303"/>
      <c r="GP19" s="303"/>
      <c r="GQ19" s="303"/>
      <c r="GR19" s="303"/>
      <c r="GS19" s="303"/>
      <c r="GT19" s="303"/>
      <c r="GU19" s="303"/>
      <c r="GV19" s="303"/>
      <c r="GW19" s="303"/>
      <c r="GX19" s="303"/>
      <c r="GY19" s="303"/>
      <c r="GZ19" s="303"/>
      <c r="HA19" s="303"/>
      <c r="HB19" s="303"/>
      <c r="HC19" s="303"/>
      <c r="HD19" s="303"/>
      <c r="HE19" s="303"/>
      <c r="HF19" s="303"/>
      <c r="HG19" s="303"/>
      <c r="HH19" s="303"/>
      <c r="HI19" s="303"/>
      <c r="HJ19" s="303"/>
      <c r="HK19" s="303"/>
      <c r="HL19" s="303"/>
      <c r="HM19" s="303"/>
      <c r="HN19" s="303"/>
      <c r="HO19" s="303"/>
      <c r="HP19" s="303"/>
      <c r="HQ19" s="303"/>
      <c r="HR19" s="303"/>
      <c r="HS19" s="303"/>
      <c r="HT19" s="303"/>
      <c r="HU19" s="303"/>
      <c r="HV19" s="303"/>
      <c r="HW19" s="303"/>
      <c r="HX19" s="303"/>
      <c r="HY19" s="303"/>
      <c r="HZ19" s="303"/>
      <c r="IA19" s="303"/>
      <c r="IB19" s="303"/>
      <c r="IC19" s="303"/>
      <c r="ID19" s="303"/>
      <c r="IE19" s="303"/>
      <c r="IF19" s="303"/>
      <c r="IG19" s="303"/>
      <c r="IH19" s="303"/>
      <c r="II19" s="303"/>
      <c r="IJ19" s="303"/>
      <c r="IK19" s="303"/>
      <c r="IL19" s="303"/>
      <c r="IM19" s="303"/>
      <c r="IN19" s="303"/>
      <c r="IO19" s="303"/>
      <c r="IP19" s="303"/>
      <c r="IQ19" s="303"/>
      <c r="IR19" s="303"/>
      <c r="IS19" s="303"/>
      <c r="IT19" s="303"/>
      <c r="IU19" s="303"/>
      <c r="IV19" s="303"/>
      <c r="IW19" s="303"/>
      <c r="IX19" s="303"/>
      <c r="IY19" s="303"/>
      <c r="IZ19" s="303"/>
      <c r="JA19" s="303"/>
      <c r="JB19" s="303"/>
      <c r="JC19" s="303"/>
    </row>
    <row r="20" spans="1:263" s="315" customFormat="1" collapsed="1" x14ac:dyDescent="0.2">
      <c r="A20" s="358" t="s">
        <v>180</v>
      </c>
      <c r="B20" s="347"/>
      <c r="C20" s="348">
        <f>C13-SUM(C14:C16)</f>
        <v>5.5260000000000105</v>
      </c>
      <c r="D20" s="348">
        <f>D13-SUM(D14:D16)</f>
        <v>4.3299999999999912</v>
      </c>
      <c r="E20" s="348">
        <f>E13-SUM(E14:E16)</f>
        <v>13.66699999999998</v>
      </c>
      <c r="F20" s="348">
        <f>F13-SUM(F14:F16)</f>
        <v>27.402999999999963</v>
      </c>
      <c r="G20" s="348"/>
      <c r="H20" s="348">
        <f>H13-SUM(H14:H16)</f>
        <v>7.8300000000000054</v>
      </c>
      <c r="I20" s="348">
        <f>I13-SUM(I14:I16)</f>
        <v>6.3380000000000152</v>
      </c>
      <c r="J20" s="348">
        <f>J13-SUM(J14:J16)</f>
        <v>15.399999999999984</v>
      </c>
      <c r="K20" s="348">
        <f>K13-SUM(K14:K16)</f>
        <v>29.742999999999967</v>
      </c>
      <c r="L20" s="348"/>
      <c r="M20" s="348">
        <f>M13-SUM(M14:M16)</f>
        <v>10.427</v>
      </c>
      <c r="N20" s="348">
        <f>N13-SUM(N14:N16)</f>
        <v>9.9709999999999894</v>
      </c>
      <c r="O20" s="348">
        <f>O13-SUM(O14:O16)</f>
        <v>20.46899999999998</v>
      </c>
      <c r="P20" s="348">
        <f>P13-SUM(P14:P16)</f>
        <v>38.33799999999998</v>
      </c>
      <c r="Q20" s="348"/>
      <c r="R20" s="348">
        <f>R13-SUM(R14:R16)</f>
        <v>14.310999999999979</v>
      </c>
      <c r="S20" s="348">
        <f>S13-SUM(S14:S16)</f>
        <v>13.204999999999998</v>
      </c>
      <c r="T20" s="348">
        <f>T13-SUM(T14:T16)</f>
        <v>24.684999999999988</v>
      </c>
      <c r="U20" s="348">
        <f>U13-SUM(U14:U16)</f>
        <v>50.055000000000049</v>
      </c>
      <c r="V20" s="348"/>
      <c r="W20" s="348">
        <f t="shared" ref="W20:AC20" si="7">W13-SUM(W14:W16)</f>
        <v>23.047000000000011</v>
      </c>
      <c r="X20" s="348">
        <f t="shared" si="7"/>
        <v>19.744999999999962</v>
      </c>
      <c r="Y20" s="348">
        <f t="shared" si="7"/>
        <v>32.680999999999997</v>
      </c>
      <c r="Z20" s="348">
        <f t="shared" si="7"/>
        <v>60.764000000000024</v>
      </c>
      <c r="AA20" s="348">
        <f t="shared" si="7"/>
        <v>0</v>
      </c>
      <c r="AB20" s="348">
        <f t="shared" si="7"/>
        <v>26.270999999999987</v>
      </c>
      <c r="AC20" s="348">
        <f t="shared" si="7"/>
        <v>24.176000000000016</v>
      </c>
      <c r="AD20" s="348">
        <f>AD13-SUM(AD15:AD19)-AD14</f>
        <v>30.809999999999988</v>
      </c>
      <c r="AE20" s="348">
        <f>AE13-SUM(AE14:AE16)</f>
        <v>72.586000000000013</v>
      </c>
      <c r="AF20" s="348">
        <f>AF13-SUM(AF14:AF16)</f>
        <v>0</v>
      </c>
      <c r="AG20" s="348">
        <f>AG13-SUM(AG14:AG16)</f>
        <v>33.519999999999968</v>
      </c>
      <c r="AH20" s="348">
        <f>AH13-SUM(AH14:AH16)</f>
        <v>31.241000000000042</v>
      </c>
      <c r="AI20" s="348">
        <f>AI13-SUM(AI15:AI19)-AI14</f>
        <v>42.078000000000031</v>
      </c>
      <c r="AJ20" s="348">
        <f>AJ13-SUM(AJ14:AJ16)</f>
        <v>93.874999999999972</v>
      </c>
      <c r="AK20" s="348">
        <f>AK13-SUM(AK14:AK16)</f>
        <v>0</v>
      </c>
      <c r="AL20" s="348">
        <f>AL13-SUM(AL14:AL16)</f>
        <v>46.22</v>
      </c>
      <c r="AM20" s="348">
        <f>AM13-SUM(AM14:AM16)</f>
        <v>44.619000000000028</v>
      </c>
      <c r="AN20" s="348">
        <f>AN13-SUM(AN15:AN19)-AN14</f>
        <v>59.729999999999933</v>
      </c>
      <c r="AO20" s="348">
        <f t="shared" ref="AO20:AT20" si="8">AO13-SUM(AO14:AO16)</f>
        <v>122.44499999999999</v>
      </c>
      <c r="AP20" s="348">
        <f t="shared" si="8"/>
        <v>0</v>
      </c>
      <c r="AQ20" s="348">
        <f t="shared" si="8"/>
        <v>57.81200000000004</v>
      </c>
      <c r="AR20" s="348">
        <f t="shared" si="8"/>
        <v>57.835875000000016</v>
      </c>
      <c r="AS20" s="348">
        <f t="shared" si="8"/>
        <v>80.27000000000001</v>
      </c>
      <c r="AT20" s="348">
        <f t="shared" si="8"/>
        <v>151.76899999999995</v>
      </c>
      <c r="AU20" s="348"/>
      <c r="AV20" s="348">
        <f>AV13-SUM(AV15:AV19)-AV14</f>
        <v>67.627999999999901</v>
      </c>
      <c r="AW20" s="348">
        <f>AW13-SUM(AW15:AW19)-AW14</f>
        <v>79.52600000000001</v>
      </c>
      <c r="AX20" s="348">
        <f>AX13-SUM(AX15:AX19)-AX14</f>
        <v>92.533000000000044</v>
      </c>
      <c r="AY20" s="348">
        <f>AY13-SUM(AY14:AY16)</f>
        <v>208.32</v>
      </c>
      <c r="AZ20" s="348"/>
      <c r="BA20" s="348">
        <f>BA13-SUM(BA14:BA16)</f>
        <v>114.59200000000016</v>
      </c>
      <c r="BB20" s="348">
        <f>BB13-SUM(BB14:BB16)</f>
        <v>118.93300000000005</v>
      </c>
      <c r="BC20" s="348">
        <f>BC13-SUM(BC15:BC19)-BC14</f>
        <v>133.25899999999996</v>
      </c>
      <c r="BD20" s="348">
        <f>BD13-SUM(BD14:BD16)</f>
        <v>299.65299999999991</v>
      </c>
      <c r="BE20" s="348"/>
      <c r="BF20" s="348">
        <f>BF13-SUM(BF14:BF16)</f>
        <v>147.33799999999997</v>
      </c>
      <c r="BG20" s="348">
        <f>BG13-SUM(BG14:BG16)</f>
        <v>156.26699999999994</v>
      </c>
      <c r="BH20" s="348">
        <f>BH13-SUM(BH15:BH19)-BH14</f>
        <v>172.77500000000003</v>
      </c>
      <c r="BI20" s="348">
        <f>BI13-SUM(BI14:BI16)</f>
        <v>389.45499999999976</v>
      </c>
      <c r="BJ20" s="348"/>
      <c r="BK20" s="348">
        <f>BK13-SUM(BK14:BK16)</f>
        <v>200.97600000000006</v>
      </c>
      <c r="BL20" s="348">
        <f>BL13-SUM(BL14:BL16)</f>
        <v>216.25</v>
      </c>
      <c r="BM20" s="348">
        <f>BM13-SUM(BM15:BM19)-BM14</f>
        <v>225.11000000000013</v>
      </c>
      <c r="BN20" s="348">
        <f>BN13-SUM(BN14:BN16)</f>
        <v>461.26800000000048</v>
      </c>
      <c r="BO20" s="348"/>
      <c r="BP20" s="348">
        <f>BP13-SUM(BP14:BP16)</f>
        <v>192.19699999999978</v>
      </c>
      <c r="BQ20" s="348">
        <f>BQ13-SUM(BQ14:BQ16)</f>
        <v>200.70000000000005</v>
      </c>
      <c r="BR20" s="348">
        <f>BR13-SUM(BR15:BR19)-BR14</f>
        <v>206.20999999999992</v>
      </c>
      <c r="BS20" s="348">
        <f>BS13-SUM(BS14:BS16)</f>
        <v>404.70000000000027</v>
      </c>
      <c r="BT20" s="348"/>
      <c r="BU20" s="348">
        <f>BU13-SUM(BU14:BU16)</f>
        <v>180.69999999999982</v>
      </c>
      <c r="BV20" s="348">
        <f>BV13-SUM(BV14:BV16)</f>
        <v>251.2800000000002</v>
      </c>
      <c r="BW20" s="348">
        <f>BW13-SUM(BW15:BW19)-BW14</f>
        <v>231.50600000000009</v>
      </c>
      <c r="BX20" s="348">
        <f>BX13-SUM(BX14:BX16)</f>
        <v>529.96899999999982</v>
      </c>
      <c r="BY20" s="348"/>
      <c r="BZ20" s="348">
        <f>BZ13-SUM(BZ14:BZ16)</f>
        <v>217.70000000000027</v>
      </c>
      <c r="CA20" s="348">
        <f>CA13-SUM(CA14:CA16)</f>
        <v>306.99999999999977</v>
      </c>
      <c r="CB20" s="348">
        <f>CB13-SUM(CB15:CB19)-CB14</f>
        <v>267.4000000000002</v>
      </c>
      <c r="CC20" s="348">
        <f>CC13-SUM(CC14:CC16)</f>
        <v>621.59999999999945</v>
      </c>
      <c r="CD20" s="348"/>
      <c r="CE20" s="348">
        <f>CE13-SUM(CE14:CE16)</f>
        <v>282.05499999999995</v>
      </c>
      <c r="CF20" s="348">
        <f>CF13-SUM(CF14:CF16)</f>
        <v>375.40700000000027</v>
      </c>
      <c r="CG20" s="348">
        <f>CG13-SUM(CG15:CG19)-CG14</f>
        <v>369.38400000000047</v>
      </c>
      <c r="CH20" s="348">
        <f>CH13-SUM(CH14:CH16)</f>
        <v>787.80000000000018</v>
      </c>
      <c r="CI20" s="348"/>
      <c r="CJ20" s="348">
        <f>CJ13-SUM(CJ14:CJ16)</f>
        <v>346.10000000000014</v>
      </c>
      <c r="CK20" s="348">
        <f>CK13-SUM(CK14:CK16)</f>
        <v>443.62099999999964</v>
      </c>
      <c r="CL20" s="348">
        <f>CL13-SUM(CL15:CL19)-CL14</f>
        <v>330.9</v>
      </c>
      <c r="CM20" s="348">
        <f>CM13-SUM(CM14:CM16)</f>
        <v>683.80000000000018</v>
      </c>
      <c r="CN20" s="348"/>
      <c r="CO20" s="348">
        <f>CO13-SUM(CO14:CO16)</f>
        <v>271.42700000000013</v>
      </c>
      <c r="CP20" s="348">
        <f>CP13-SUM(CP14:CP16)</f>
        <v>406.54899999999975</v>
      </c>
      <c r="CQ20" s="348">
        <f>CQ13-SUM(CQ15:CQ19)-CQ14</f>
        <v>285.33899999999994</v>
      </c>
      <c r="CR20" s="348">
        <f>CR13-SUM(CR14:CR16)</f>
        <v>573</v>
      </c>
      <c r="CS20" s="348"/>
      <c r="CT20" s="348">
        <f>CT13-SUM(CT14:CT16)</f>
        <v>251</v>
      </c>
      <c r="CU20" s="348">
        <f>CU13-SUM(CU14:CU16)</f>
        <v>399</v>
      </c>
      <c r="CV20" s="348">
        <f>CV13-SUM(CV15:CV19)-CV14</f>
        <v>339</v>
      </c>
      <c r="CW20" s="348">
        <f>CW13-SUM(CW14:CW16)</f>
        <v>723</v>
      </c>
      <c r="CX20" s="348"/>
      <c r="CY20" s="348">
        <f>CY13-SUM(CY14:CY16)</f>
        <v>388</v>
      </c>
      <c r="CZ20" s="348">
        <f>CZ13-SUM(CZ14:CZ16)</f>
        <v>488</v>
      </c>
      <c r="DA20" s="348">
        <f>DA13-SUM(DA15:DA19)-DA14</f>
        <v>356</v>
      </c>
      <c r="DB20" s="348">
        <f>DB13-SUM(DB14:DB16)</f>
        <v>861</v>
      </c>
      <c r="DC20" s="348"/>
      <c r="DD20" s="348">
        <f>DD13-SUM(DD14:DD16)</f>
        <v>391</v>
      </c>
      <c r="DE20" s="348">
        <f>DE13-SUM(DE14:DE16)</f>
        <v>547</v>
      </c>
      <c r="DF20" s="348">
        <f>DF13-SUM(DF15:DF19)-DF14</f>
        <v>416</v>
      </c>
      <c r="DG20" s="348">
        <f>DG13-SUM(DG14:DG16)</f>
        <v>805</v>
      </c>
      <c r="DH20" s="348"/>
      <c r="DI20" s="348">
        <f>DI13-SUM(DI14:DI16)</f>
        <v>321</v>
      </c>
      <c r="DJ20" s="348">
        <f>DJ13-SUM(DJ14:DJ16)</f>
        <v>457</v>
      </c>
      <c r="DK20" s="348">
        <f>DK13-SUM(DK15:DK19)-DK14</f>
        <v>425</v>
      </c>
      <c r="DL20" s="348">
        <f>DL13-SUM(DL14:DL16)</f>
        <v>686</v>
      </c>
      <c r="DM20" s="348"/>
      <c r="DN20" s="348">
        <f>DN13-SUM(DN14:DN16)</f>
        <v>317</v>
      </c>
      <c r="DO20" s="348">
        <f>DO13-SUM(DO14:DO16)</f>
        <v>451</v>
      </c>
      <c r="DP20" s="348">
        <f>DP13-SUM(DP15:DP19)-DP14</f>
        <v>365</v>
      </c>
      <c r="DQ20" s="348">
        <f>DQ13-SUM(DQ14:DQ16)</f>
        <v>609</v>
      </c>
      <c r="DR20" s="348"/>
      <c r="DS20" s="348">
        <f>DS13-SUM(DS14:DS16)</f>
        <v>280</v>
      </c>
      <c r="DT20" s="348">
        <f>DT13-SUM(DT14:DT16)</f>
        <v>451</v>
      </c>
      <c r="DU20" s="348">
        <f>DU13-SUM(DU15:DU19)-DU14</f>
        <v>304</v>
      </c>
      <c r="DV20" s="348">
        <f>DV13-SUM(DV14:DV16)</f>
        <v>654</v>
      </c>
      <c r="DW20" s="348"/>
      <c r="DX20" s="348">
        <f>DX13-SUM(DX14:DX16)</f>
        <v>280</v>
      </c>
      <c r="DY20" s="348">
        <f>DY13-SUM(DY14:DY16)</f>
        <v>424</v>
      </c>
      <c r="DZ20" s="348">
        <f>DZ13-SUM(DZ15:DZ19)-DZ14</f>
        <v>308</v>
      </c>
      <c r="EA20" s="348">
        <f>EA13-SUM(EA14:EA16)</f>
        <v>541</v>
      </c>
      <c r="EB20" s="348"/>
      <c r="EC20" s="348">
        <f>EC13-SUM(EC14:EC16)</f>
        <v>170</v>
      </c>
      <c r="ED20" s="348">
        <f>ED13-SUM(ED14:ED16)</f>
        <v>430</v>
      </c>
      <c r="EE20" s="348">
        <f>EE13-SUM(EE15:EE19)-EE14</f>
        <v>295</v>
      </c>
      <c r="EF20" s="348">
        <f>EF13-SUM(EF14:EF16)</f>
        <v>473</v>
      </c>
      <c r="EG20" s="348"/>
      <c r="EH20" s="348">
        <f>EH13-SUM(EH14:EH16)</f>
        <v>185</v>
      </c>
      <c r="EI20" s="348">
        <f>EI13-SUM(EI14:EI16)</f>
        <v>407</v>
      </c>
      <c r="EJ20" s="348">
        <f>EJ13-SUM(EJ15:EJ19)-EJ14</f>
        <v>257</v>
      </c>
      <c r="EK20" s="348">
        <f>EK13-SUM(EK14:EK16)</f>
        <v>567</v>
      </c>
      <c r="EL20" s="348"/>
      <c r="EM20" s="1196">
        <f>EM13-SUM(EM14:EM16)</f>
        <v>179.69506954000008</v>
      </c>
      <c r="EN20" s="1196">
        <f>EN13-SUM(EN14:EN16)</f>
        <v>433.57104080000045</v>
      </c>
      <c r="EO20" s="1196">
        <f>EO13-SUM(EO15:EO19)-EO14</f>
        <v>255.50783909999996</v>
      </c>
      <c r="EP20" s="1196">
        <f>EP13-SUM(EP14:EP16)</f>
        <v>468.0350935999993</v>
      </c>
      <c r="EQ20" s="359">
        <f t="shared" ref="EQ20:FQ20" si="9">EQ13-EQ15-EQ16-EQ14</f>
        <v>50.926000000000045</v>
      </c>
      <c r="ER20" s="348">
        <f t="shared" si="9"/>
        <v>59.310999999999979</v>
      </c>
      <c r="ES20" s="350">
        <f t="shared" si="9"/>
        <v>82.262</v>
      </c>
      <c r="ET20" s="350">
        <f t="shared" si="9"/>
        <v>102.25599999999997</v>
      </c>
      <c r="EU20" s="350">
        <f t="shared" si="9"/>
        <v>123.81499999999983</v>
      </c>
      <c r="EV20" s="350">
        <f t="shared" si="9"/>
        <v>149.93100000000027</v>
      </c>
      <c r="EW20" s="350">
        <f t="shared" si="9"/>
        <v>189.26799999999992</v>
      </c>
      <c r="EX20" s="350">
        <f t="shared" si="9"/>
        <v>258.82599999999991</v>
      </c>
      <c r="EY20" s="350">
        <f t="shared" si="9"/>
        <v>322.7999999999995</v>
      </c>
      <c r="EZ20" s="350">
        <f t="shared" si="9"/>
        <v>448.94299999999953</v>
      </c>
      <c r="FA20" s="350">
        <f t="shared" si="9"/>
        <v>634.93300000000113</v>
      </c>
      <c r="FB20" s="350">
        <f t="shared" si="9"/>
        <v>840.96799999999962</v>
      </c>
      <c r="FC20" s="350">
        <f t="shared" si="9"/>
        <v>1077.6490000000015</v>
      </c>
      <c r="FD20" s="350">
        <f t="shared" si="9"/>
        <v>1006.6620000000003</v>
      </c>
      <c r="FE20" s="350">
        <f t="shared" si="9"/>
        <v>1193.4550000000013</v>
      </c>
      <c r="FF20" s="350">
        <f t="shared" si="9"/>
        <v>1413.6999999999989</v>
      </c>
      <c r="FG20" s="350">
        <f t="shared" si="9"/>
        <v>1814.6460000000029</v>
      </c>
      <c r="FH20" s="349">
        <f t="shared" si="9"/>
        <v>1804.4209999999998</v>
      </c>
      <c r="FI20" s="350">
        <f t="shared" si="9"/>
        <v>1536.3149999999996</v>
      </c>
      <c r="FJ20" s="350">
        <f t="shared" si="9"/>
        <v>1859</v>
      </c>
      <c r="FK20" s="1257"/>
      <c r="FL20" s="350">
        <f t="shared" si="9"/>
        <v>2093</v>
      </c>
      <c r="FM20" s="350">
        <f t="shared" si="9"/>
        <v>2159</v>
      </c>
      <c r="FN20" s="350">
        <f t="shared" si="9"/>
        <v>1889</v>
      </c>
      <c r="FO20" s="350">
        <f t="shared" si="9"/>
        <v>1742</v>
      </c>
      <c r="FP20" s="350">
        <f t="shared" si="9"/>
        <v>1689</v>
      </c>
      <c r="FQ20" s="350">
        <f t="shared" si="9"/>
        <v>1553</v>
      </c>
      <c r="FR20" s="350">
        <f t="shared" ref="FR20:FW20" si="10">FR13-FR15-FR16-FR14</f>
        <v>1368</v>
      </c>
      <c r="FS20" s="350">
        <f t="shared" si="10"/>
        <v>1416</v>
      </c>
      <c r="FT20" s="350">
        <f t="shared" si="10"/>
        <v>1336.8090430399989</v>
      </c>
      <c r="FU20" s="350">
        <f t="shared" si="10"/>
        <v>1173.9700453969399</v>
      </c>
      <c r="FV20" s="351">
        <f t="shared" si="10"/>
        <v>1076.7148304257244</v>
      </c>
      <c r="FW20" s="350">
        <f t="shared" si="10"/>
        <v>974.56199099786318</v>
      </c>
      <c r="FX20" s="351">
        <f>FX13-FX15-FX16-FX14</f>
        <v>919.08980376525324</v>
      </c>
      <c r="FZ20"/>
      <c r="GA20"/>
      <c r="GB20"/>
      <c r="GC20"/>
      <c r="GD20"/>
      <c r="GE20"/>
      <c r="GF20" s="303"/>
      <c r="GG20" s="426"/>
      <c r="GH20" s="303"/>
      <c r="GI20" s="303"/>
      <c r="GJ20" s="303"/>
      <c r="GK20" s="303"/>
      <c r="GL20" s="303"/>
      <c r="GM20" s="303"/>
      <c r="GN20" s="303"/>
      <c r="GO20" s="303"/>
      <c r="GP20" s="303"/>
      <c r="GQ20" s="303"/>
      <c r="GR20" s="303"/>
      <c r="GS20" s="303"/>
      <c r="GT20" s="303"/>
      <c r="GU20" s="303"/>
      <c r="GV20" s="303"/>
      <c r="GW20" s="303"/>
      <c r="GX20" s="303"/>
      <c r="GY20" s="303"/>
      <c r="GZ20" s="303"/>
      <c r="HA20" s="303"/>
      <c r="HB20" s="303"/>
      <c r="HC20" s="303"/>
      <c r="HD20" s="303"/>
      <c r="HE20" s="303"/>
      <c r="HF20" s="303"/>
      <c r="HG20" s="303"/>
      <c r="HH20" s="303"/>
      <c r="HI20" s="303"/>
      <c r="HJ20" s="303"/>
      <c r="HK20" s="303"/>
      <c r="HL20" s="303"/>
      <c r="HM20" s="303"/>
      <c r="HN20" s="303"/>
      <c r="HO20" s="303"/>
      <c r="HP20" s="303"/>
      <c r="HQ20" s="303"/>
      <c r="HR20" s="303"/>
      <c r="HS20" s="303"/>
      <c r="HT20" s="303"/>
      <c r="HU20" s="303"/>
      <c r="HV20" s="303"/>
      <c r="HW20" s="303"/>
      <c r="HX20" s="303"/>
      <c r="HY20" s="303"/>
      <c r="HZ20" s="303"/>
      <c r="IA20" s="303"/>
      <c r="IB20" s="303"/>
      <c r="IC20" s="303"/>
      <c r="ID20" s="303"/>
      <c r="IE20" s="303"/>
      <c r="IF20" s="303"/>
      <c r="IG20" s="303"/>
      <c r="IH20" s="303"/>
      <c r="II20" s="303"/>
      <c r="IJ20" s="303"/>
      <c r="IK20" s="303"/>
      <c r="IL20" s="303"/>
      <c r="IM20" s="303"/>
      <c r="IN20" s="303"/>
      <c r="IO20" s="303"/>
      <c r="IP20" s="303"/>
      <c r="IQ20" s="303"/>
      <c r="IR20" s="303"/>
      <c r="IS20" s="303"/>
      <c r="IT20" s="303"/>
      <c r="IU20" s="303"/>
      <c r="IV20" s="303"/>
      <c r="IW20" s="303"/>
      <c r="IX20" s="303"/>
      <c r="IY20" s="303"/>
      <c r="IZ20" s="303"/>
      <c r="JA20" s="303"/>
      <c r="JB20" s="303"/>
      <c r="JC20" s="303"/>
    </row>
    <row r="21" spans="1:263" ht="9" customHeight="1" x14ac:dyDescent="0.2">
      <c r="A21" s="334"/>
      <c r="B21" s="305"/>
      <c r="C21" s="305"/>
      <c r="D21" s="305"/>
      <c r="E21" s="305"/>
      <c r="F21" s="305"/>
      <c r="G21" s="305"/>
      <c r="H21" s="305"/>
      <c r="I21" s="305"/>
      <c r="J21" s="305"/>
      <c r="K21" s="305"/>
      <c r="L21" s="305"/>
      <c r="M21" s="305"/>
      <c r="N21" s="305"/>
      <c r="O21" s="305"/>
      <c r="P21" s="305"/>
      <c r="Q21" s="305"/>
      <c r="R21" s="305"/>
      <c r="S21" s="305"/>
      <c r="T21" s="305"/>
      <c r="U21" s="305"/>
      <c r="V21" s="305"/>
      <c r="W21" s="305"/>
      <c r="X21" s="305"/>
      <c r="Y21" s="305"/>
      <c r="Z21" s="305"/>
      <c r="AA21" s="305"/>
      <c r="AB21" s="305"/>
      <c r="AC21" s="305"/>
      <c r="AD21" s="305"/>
      <c r="AE21" s="305"/>
      <c r="AF21" s="305"/>
      <c r="AG21" s="305"/>
      <c r="AH21" s="305"/>
      <c r="AI21" s="305"/>
      <c r="AJ21" s="305"/>
      <c r="AK21" s="305"/>
      <c r="AL21" s="305"/>
      <c r="AM21" s="305"/>
      <c r="AN21" s="305"/>
      <c r="AO21" s="305"/>
      <c r="AP21" s="305"/>
      <c r="AQ21" s="305"/>
      <c r="AR21" s="305"/>
      <c r="AS21" s="305"/>
      <c r="AT21" s="305"/>
      <c r="AU21" s="305"/>
      <c r="AV21" s="305"/>
      <c r="AW21" s="305"/>
      <c r="AX21" s="305"/>
      <c r="AY21" s="305"/>
      <c r="AZ21" s="305"/>
      <c r="BA21" s="305"/>
      <c r="BB21" s="305"/>
      <c r="BC21" s="305"/>
      <c r="BD21" s="305"/>
      <c r="BE21" s="305"/>
      <c r="BF21" s="305"/>
      <c r="BG21" s="305"/>
      <c r="BH21" s="305"/>
      <c r="BI21" s="305"/>
      <c r="BJ21" s="305"/>
      <c r="BK21" s="305"/>
      <c r="BL21" s="305"/>
      <c r="BM21" s="305"/>
      <c r="BN21" s="305"/>
      <c r="BO21" s="305"/>
      <c r="BP21" s="305"/>
      <c r="BQ21" s="305"/>
      <c r="BR21" s="305"/>
      <c r="BS21" s="305"/>
      <c r="BT21" s="305"/>
      <c r="BU21" s="305"/>
      <c r="BV21" s="305"/>
      <c r="BW21" s="305"/>
      <c r="BX21" s="305"/>
      <c r="BY21" s="305"/>
      <c r="BZ21" s="305"/>
      <c r="CA21" s="305"/>
      <c r="CB21" s="305"/>
      <c r="CC21" s="305"/>
      <c r="CD21" s="305"/>
      <c r="CE21" s="305"/>
      <c r="CF21" s="305"/>
      <c r="CG21" s="305"/>
      <c r="CH21" s="305"/>
      <c r="CI21" s="305"/>
      <c r="CJ21" s="305"/>
      <c r="CK21" s="305"/>
      <c r="CL21" s="305"/>
      <c r="CM21" s="305"/>
      <c r="CN21" s="305"/>
      <c r="CO21" s="305"/>
      <c r="CP21" s="305"/>
      <c r="CQ21" s="305"/>
      <c r="CR21" s="305"/>
      <c r="CS21" s="305"/>
      <c r="CT21" s="305"/>
      <c r="CU21" s="305"/>
      <c r="CV21" s="305"/>
      <c r="CW21" s="305"/>
      <c r="CX21" s="305"/>
      <c r="CY21" s="305"/>
      <c r="CZ21" s="305"/>
      <c r="DA21" s="305"/>
      <c r="DB21" s="305"/>
      <c r="DC21" s="305"/>
      <c r="DD21" s="305"/>
      <c r="DE21" s="305"/>
      <c r="DF21" s="305"/>
      <c r="DG21" s="305"/>
      <c r="DH21" s="305"/>
      <c r="DI21" s="305"/>
      <c r="DJ21" s="305"/>
      <c r="DK21" s="305"/>
      <c r="DL21" s="305"/>
      <c r="DM21" s="305"/>
      <c r="DN21" s="305"/>
      <c r="DO21" s="305"/>
      <c r="DP21" s="305"/>
      <c r="DQ21" s="305"/>
      <c r="DR21" s="305"/>
      <c r="DS21" s="305"/>
      <c r="DT21" s="305"/>
      <c r="DU21" s="305"/>
      <c r="DV21" s="305"/>
      <c r="DW21" s="305"/>
      <c r="DX21" s="305"/>
      <c r="DY21" s="305"/>
      <c r="DZ21" s="305"/>
      <c r="EA21" s="305"/>
      <c r="EB21" s="305"/>
      <c r="EC21" s="305"/>
      <c r="ED21" s="305"/>
      <c r="EE21" s="305"/>
      <c r="EF21" s="305"/>
      <c r="EG21" s="305"/>
      <c r="EH21" s="305"/>
      <c r="EI21" s="305"/>
      <c r="EJ21" s="305"/>
      <c r="EK21" s="305"/>
      <c r="EL21" s="305"/>
      <c r="EM21" s="1193"/>
      <c r="EN21" s="1193"/>
      <c r="EO21" s="1193"/>
      <c r="EP21" s="1193"/>
      <c r="EQ21" s="340"/>
      <c r="ER21" s="341"/>
      <c r="ES21" s="341"/>
      <c r="ET21" s="341"/>
      <c r="EU21" s="341"/>
      <c r="EV21" s="341"/>
      <c r="EW21" s="341"/>
      <c r="EX21" s="341"/>
      <c r="EY21" s="341"/>
      <c r="EZ21" s="341"/>
      <c r="FA21" s="341"/>
      <c r="FB21" s="341"/>
      <c r="FC21" s="341"/>
      <c r="FD21" s="341"/>
      <c r="FE21" s="341"/>
      <c r="FF21" s="341"/>
      <c r="FG21" s="341"/>
      <c r="FH21" s="340"/>
      <c r="FI21" s="341"/>
      <c r="FJ21" s="341"/>
      <c r="FK21" s="1255"/>
      <c r="FL21" s="341"/>
      <c r="FM21" s="341"/>
      <c r="FN21" s="341"/>
      <c r="FO21" s="341"/>
      <c r="FP21" s="341"/>
      <c r="FQ21" s="341"/>
      <c r="FR21" s="341"/>
      <c r="FS21" s="341"/>
      <c r="FT21" s="341"/>
      <c r="FU21" s="341"/>
      <c r="FV21" s="342"/>
      <c r="FW21" s="341"/>
      <c r="FX21" s="342"/>
      <c r="GG21" s="320"/>
    </row>
    <row r="22" spans="1:263" s="315" customFormat="1" hidden="1" outlineLevel="1" x14ac:dyDescent="0.2">
      <c r="A22" s="346" t="s">
        <v>270</v>
      </c>
      <c r="B22" s="347"/>
      <c r="C22" s="348">
        <f>INDEX('qtrP&amp;L'!$100:$100,MATCH(C$6,'qtrP&amp;L'!$6:$6,0))</f>
        <v>8.2230000000000008</v>
      </c>
      <c r="D22" s="348">
        <f>INDEX('qtrP&amp;L'!$101:$101,MATCH(C$6,'qtrP&amp;L'!$6:$6,0))</f>
        <v>8.1419999999999995</v>
      </c>
      <c r="E22" s="348">
        <f>INDEX('qtrP&amp;L'!$102:$102,MATCH(C$6,'qtrP&amp;L'!$6:$6,0))</f>
        <v>6.9459999999999997</v>
      </c>
      <c r="F22" s="348">
        <f>INDEX('qtrP&amp;L'!$103:$103,MATCH(C$6,'qtrP&amp;L'!$6:$6,0))</f>
        <v>7.0209999999999999</v>
      </c>
      <c r="G22" s="348"/>
      <c r="H22" s="348">
        <f>INDEX('qtrP&amp;L'!$100:$100,MATCH(H$6,'qtrP&amp;L'!$6:$6,0))</f>
        <v>6.8979999999999997</v>
      </c>
      <c r="I22" s="348">
        <f>INDEX('qtrP&amp;L'!$101:$101,MATCH(H$6,'qtrP&amp;L'!$6:$6,0))</f>
        <v>6.6020000000000003</v>
      </c>
      <c r="J22" s="348">
        <f>INDEX('qtrP&amp;L'!$102:$102,MATCH(H$6,'qtrP&amp;L'!$6:$6,0))</f>
        <v>6.9139999999999997</v>
      </c>
      <c r="K22" s="348">
        <f>INDEX('qtrP&amp;L'!$103:$103,MATCH(H$6,'qtrP&amp;L'!$6:$6,0))</f>
        <v>5.5940000000000003</v>
      </c>
      <c r="L22" s="348"/>
      <c r="M22" s="348">
        <f>INDEX('qtrP&amp;L'!$100:$100,MATCH(M$6,'qtrP&amp;L'!$6:$6,0))</f>
        <v>5.5519999999999996</v>
      </c>
      <c r="N22" s="348">
        <f>INDEX('qtrP&amp;L'!$101:$101,MATCH(M$6,'qtrP&amp;L'!$6:$6,0))</f>
        <v>3.476</v>
      </c>
      <c r="O22" s="348">
        <f>INDEX('qtrP&amp;L'!$102:$102,MATCH(M$6,'qtrP&amp;L'!$6:$6,0))</f>
        <v>2.7029999999999998</v>
      </c>
      <c r="P22" s="348">
        <f>INDEX('qtrP&amp;L'!$103:$103,MATCH(M$6,'qtrP&amp;L'!$6:$6,0))</f>
        <v>2.6629999999999998</v>
      </c>
      <c r="Q22" s="348"/>
      <c r="R22" s="348">
        <f>INDEX('qtrP&amp;L'!$100:$100,MATCH(R$6,'qtrP&amp;L'!$6:$6,0))</f>
        <v>1.448</v>
      </c>
      <c r="S22" s="348">
        <f>INDEX('qtrP&amp;L'!$101:$101,MATCH(R$6,'qtrP&amp;L'!$6:$6,0))</f>
        <v>1.43</v>
      </c>
      <c r="T22" s="348">
        <f>INDEX('qtrP&amp;L'!$102:$102,MATCH(R$6,'qtrP&amp;L'!$6:$6,0))</f>
        <v>1.585</v>
      </c>
      <c r="U22" s="348">
        <f>INDEX('qtrP&amp;L'!$103:$103,MATCH(R$6,'qtrP&amp;L'!$6:$6,0))</f>
        <v>1.248</v>
      </c>
      <c r="V22" s="348"/>
      <c r="W22" s="348">
        <f>INDEX('qtrP&amp;L'!$100:$100,MATCH(W$6,'qtrP&amp;L'!$6:$6,0))</f>
        <v>0.96799999999999997</v>
      </c>
      <c r="X22" s="348">
        <f>INDEX('qtrP&amp;L'!$101:$101,MATCH(W$6,'qtrP&amp;L'!$6:$6,0))</f>
        <v>1.278</v>
      </c>
      <c r="Y22" s="348">
        <f>INDEX('qtrP&amp;L'!$102:$102,MATCH(W$6,'qtrP&amp;L'!$6:$6,0))</f>
        <v>2.0409999999999999</v>
      </c>
      <c r="Z22" s="348">
        <f>INDEX('qtrP&amp;L'!$103:$103,MATCH(W$6,'qtrP&amp;L'!$6:$6,0))</f>
        <v>2.137</v>
      </c>
      <c r="AA22" s="348"/>
      <c r="AB22" s="348">
        <f>INDEX('qtrP&amp;L'!$100:$100,MATCH(AB$6,'qtrP&amp;L'!$6:$6,0))</f>
        <v>2.4529999999999998</v>
      </c>
      <c r="AC22" s="348">
        <f>INDEX('qtrP&amp;L'!$101:$101,MATCH(AB$6,'qtrP&amp;L'!$6:$6,0))</f>
        <v>3.2370000000000001</v>
      </c>
      <c r="AD22" s="348">
        <f>INDEX('qtrP&amp;L'!$102:$102,MATCH(AB$6,'qtrP&amp;L'!$6:$6,0))</f>
        <v>3.9239999999999999</v>
      </c>
      <c r="AE22" s="348">
        <f>INDEX('qtrP&amp;L'!$103:$103,MATCH(AB$6,'qtrP&amp;L'!$6:$6,0))</f>
        <v>3.536</v>
      </c>
      <c r="AF22" s="348"/>
      <c r="AG22" s="348">
        <f>INDEX('qtrP&amp;L'!$100:$100,MATCH(AG$6,'qtrP&amp;L'!$6:$6,0))</f>
        <v>4.1020000000000003</v>
      </c>
      <c r="AH22" s="348">
        <f>INDEX('qtrP&amp;L'!$101:$101,MATCH(AG$6,'qtrP&amp;L'!$6:$6,0))</f>
        <v>3.64</v>
      </c>
      <c r="AI22" s="348">
        <f>INDEX('qtrP&amp;L'!$102:$102,MATCH(AG$6,'qtrP&amp;L'!$6:$6,0))</f>
        <v>5.3470000000000004</v>
      </c>
      <c r="AJ22" s="348">
        <f>INDEX('qtrP&amp;L'!$103:$103,MATCH(AG$6,'qtrP&amp;L'!$6:$6,0))</f>
        <v>4.5330000000000004</v>
      </c>
      <c r="AK22" s="348"/>
      <c r="AL22" s="348">
        <f>INDEX('qtrP&amp;L'!$100:$100,MATCH(AL$6,'qtrP&amp;L'!$6:$6,0))</f>
        <v>5.8360000000000003</v>
      </c>
      <c r="AM22" s="348">
        <f>INDEX('qtrP&amp;L'!$101:$101,MATCH(AL$6,'qtrP&amp;L'!$6:$6,0))</f>
        <v>6.9859999999999998</v>
      </c>
      <c r="AN22" s="348">
        <f>INDEX('qtrP&amp;L'!$102:$102,MATCH(AL$6,'qtrP&amp;L'!$6:$6,0))</f>
        <v>5.5830000000000002</v>
      </c>
      <c r="AO22" s="348">
        <f>INDEX('qtrP&amp;L'!$103:$103,MATCH(AL$6,'qtrP&amp;L'!$6:$6,0))</f>
        <v>5.367</v>
      </c>
      <c r="AP22" s="348"/>
      <c r="AQ22" s="348">
        <f>INDEX('qtrP&amp;L'!$100:$100,MATCH(AQ$6,'qtrP&amp;L'!$6:$6,0))</f>
        <v>5.0590000000000002</v>
      </c>
      <c r="AR22" s="348">
        <f>INDEX('qtrP&amp;L'!$101:$101,MATCH(AQ$6,'qtrP&amp;L'!$6:$6,0))</f>
        <v>5.2009999999999996</v>
      </c>
      <c r="AS22" s="348">
        <f>INDEX('qtrP&amp;L'!$102:$102,MATCH(AQ$6,'qtrP&amp;L'!$6:$6,0))</f>
        <v>5.3689999999999998</v>
      </c>
      <c r="AT22" s="348">
        <f>INDEX('qtrP&amp;L'!$103:$103,MATCH(AQ$6,'qtrP&amp;L'!$6:$6,0))</f>
        <v>5.4870000000000001</v>
      </c>
      <c r="AU22" s="348"/>
      <c r="AV22" s="348">
        <f>INDEX('qtrP&amp;L'!$100:$100,MATCH(AV$6,'qtrP&amp;L'!$6:$6,0))</f>
        <v>5.1319999999999997</v>
      </c>
      <c r="AW22" s="348">
        <f>INDEX('qtrP&amp;L'!$101:$101,MATCH(AV$6,'qtrP&amp;L'!$6:$6,0))</f>
        <v>6.4880000000000004</v>
      </c>
      <c r="AX22" s="348">
        <f>INDEX('qtrP&amp;L'!$102:$102,MATCH(AV$6,'qtrP&amp;L'!$6:$6,0))</f>
        <v>8.0329999999999995</v>
      </c>
      <c r="AY22" s="348">
        <f>INDEX('qtrP&amp;L'!$103:$103,MATCH(AV$6,'qtrP&amp;L'!$6:$6,0))</f>
        <v>7.51</v>
      </c>
      <c r="AZ22" s="348"/>
      <c r="BA22" s="348">
        <f>INDEX('qtrP&amp;L'!$100:$100,MATCH(BA$6,'qtrP&amp;L'!$6:$6,0))</f>
        <v>8.23</v>
      </c>
      <c r="BB22" s="348">
        <f>INDEX('qtrP&amp;L'!$101:$101,MATCH(BA$6,'qtrP&amp;L'!$6:$6,0))</f>
        <v>9.9619999999999997</v>
      </c>
      <c r="BC22" s="348">
        <f>INDEX('qtrP&amp;L'!$102:$102,MATCH(BA$6,'qtrP&amp;L'!$6:$6,0))</f>
        <v>10.981</v>
      </c>
      <c r="BD22" s="348">
        <f>INDEX('qtrP&amp;L'!$103:$103,MATCH(BA$6,'qtrP&amp;L'!$6:$6,0))</f>
        <v>9.44</v>
      </c>
      <c r="BE22" s="348"/>
      <c r="BF22" s="348">
        <f>INDEX('qtrP&amp;L'!$100:$100,MATCH(BF$6,'qtrP&amp;L'!$6:$6,0))</f>
        <v>10.576000000000001</v>
      </c>
      <c r="BG22" s="348">
        <f>INDEX('qtrP&amp;L'!$101:$101,MATCH(BF$6,'qtrP&amp;L'!$6:$6,0))</f>
        <v>12.756</v>
      </c>
      <c r="BH22" s="348">
        <f>INDEX('qtrP&amp;L'!$102:$102,MATCH(BF$6,'qtrP&amp;L'!$6:$6,0))</f>
        <v>13.651</v>
      </c>
      <c r="BI22" s="348">
        <f>INDEX('qtrP&amp;L'!$103:$103,MATCH(BF$6,'qtrP&amp;L'!$6:$6,0))</f>
        <v>13.128</v>
      </c>
      <c r="BJ22" s="348"/>
      <c r="BK22" s="348">
        <f>INDEX('qtrP&amp;L'!$100:$100,MATCH(BK$6,'qtrP&amp;L'!$6:$6,0))</f>
        <v>12.615</v>
      </c>
      <c r="BL22" s="348">
        <f>INDEX('qtrP&amp;L'!$101:$101,MATCH(BK$6,'qtrP&amp;L'!$6:$6,0))</f>
        <v>13</v>
      </c>
      <c r="BM22" s="348">
        <f>INDEX('qtrP&amp;L'!$102:$102,MATCH(BK$6,'qtrP&amp;L'!$6:$6,0))</f>
        <v>13.8</v>
      </c>
      <c r="BN22" s="348">
        <f>INDEX('qtrP&amp;L'!$103:$103,MATCH(BK$6,'qtrP&amp;L'!$6:$6,0))</f>
        <v>16.611999999999998</v>
      </c>
      <c r="BO22" s="348"/>
      <c r="BP22" s="348">
        <f>INDEX('qtrP&amp;L'!$100:$100,MATCH(BP$6,'qtrP&amp;L'!$6:$6,0))</f>
        <v>17.765999999999998</v>
      </c>
      <c r="BQ22" s="348">
        <f>INDEX('qtrP&amp;L'!$101:$101,MATCH(BP$6,'qtrP&amp;L'!$6:$6,0))</f>
        <v>23.2</v>
      </c>
      <c r="BR22" s="348">
        <f>INDEX('qtrP&amp;L'!$102:$102,MATCH(BP$6,'qtrP&amp;L'!$6:$6,0))</f>
        <v>15.8</v>
      </c>
      <c r="BS22" s="348">
        <f>INDEX('qtrP&amp;L'!$103:$103,MATCH(BP$6,'qtrP&amp;L'!$6:$6,0))</f>
        <v>16.2</v>
      </c>
      <c r="BT22" s="348"/>
      <c r="BU22" s="348">
        <f>INDEX('qtrP&amp;L'!$100:$100,MATCH(BU$6,'qtrP&amp;L'!$6:$6,0))</f>
        <v>15</v>
      </c>
      <c r="BV22" s="348">
        <f>INDEX('qtrP&amp;L'!$101:$101,MATCH(BU$6,'qtrP&amp;L'!$6:$6,0))</f>
        <v>15</v>
      </c>
      <c r="BW22" s="348">
        <f>INDEX('qtrP&amp;L'!$102:$102,MATCH(BU$6,'qtrP&amp;L'!$6:$6,0))</f>
        <v>15.071</v>
      </c>
      <c r="BX22" s="348">
        <f>INDEX('qtrP&amp;L'!$103:$103,MATCH(BU$6,'qtrP&amp;L'!$6:$6,0))</f>
        <v>17.399999999999999</v>
      </c>
      <c r="BY22" s="348"/>
      <c r="BZ22" s="348">
        <f>INDEX('qtrP&amp;L'!$100:$100,MATCH(BZ$6,'qtrP&amp;L'!$6:$6,0))</f>
        <v>17.2</v>
      </c>
      <c r="CA22" s="348">
        <f>INDEX('qtrP&amp;L'!$101:$101,MATCH(BZ$6,'qtrP&amp;L'!$6:$6,0))</f>
        <v>16.3</v>
      </c>
      <c r="CB22" s="348">
        <f>INDEX('qtrP&amp;L'!$102:$102,MATCH(BZ$6,'qtrP&amp;L'!$6:$6,0))</f>
        <v>18</v>
      </c>
      <c r="CC22" s="348">
        <f>INDEX('qtrP&amp;L'!$103:$103,MATCH(BZ$6,'qtrP&amp;L'!$6:$6,0))</f>
        <v>18.8</v>
      </c>
      <c r="CD22" s="348"/>
      <c r="CE22" s="348">
        <f>INDEX('qtrP&amp;L'!$100:$100,MATCH(CE$6,'qtrP&amp;L'!$6:$6,0))</f>
        <v>14.2195</v>
      </c>
      <c r="CF22" s="348">
        <f>INDEX('qtrP&amp;L'!$101:$101,MATCH(CE$6,'qtrP&amp;L'!$6:$6,0))</f>
        <v>6</v>
      </c>
      <c r="CG22" s="348">
        <f>INDEX('qtrP&amp;L'!$102:$102,MATCH(CE$6,'qtrP&amp;L'!$6:$6,0))</f>
        <v>10.189</v>
      </c>
      <c r="CH22" s="348">
        <f>INDEX('qtrP&amp;L'!$103:$103,MATCH(CE$6,'qtrP&amp;L'!$6:$6,0))</f>
        <v>10</v>
      </c>
      <c r="CI22" s="348"/>
      <c r="CJ22" s="348">
        <f>INDEX('qtrP&amp;L'!$100:$100,MATCH(CJ$6,'qtrP&amp;L'!$6:$6,0))</f>
        <v>10.199999999999999</v>
      </c>
      <c r="CK22" s="348">
        <f>INDEX('qtrP&amp;L'!$101:$101,MATCH(CJ$6,'qtrP&amp;L'!$6:$6,0))</f>
        <v>10.5</v>
      </c>
      <c r="CL22" s="348">
        <f>INDEX('qtrP&amp;L'!$102:$102,MATCH(CJ$6,'qtrP&amp;L'!$6:$6,0))</f>
        <v>18.7</v>
      </c>
      <c r="CM22" s="348">
        <f>INDEX('qtrP&amp;L'!$103:$103,MATCH(CJ$6,'qtrP&amp;L'!$6:$6,0))</f>
        <v>23</v>
      </c>
      <c r="CN22" s="348"/>
      <c r="CO22" s="348">
        <f>INDEX('qtrP&amp;L'!$100:$100,MATCH(CO$6,'qtrP&amp;L'!$6:$6,0))</f>
        <v>26.698</v>
      </c>
      <c r="CP22" s="348">
        <f>INDEX('qtrP&amp;L'!$101:$101,MATCH(CO$6,'qtrP&amp;L'!$6:$6,0))</f>
        <v>26.492999999999999</v>
      </c>
      <c r="CQ22" s="348">
        <f>INDEX('qtrP&amp;L'!$102:$102,MATCH(CO$6,'qtrP&amp;L'!$6:$6,0))</f>
        <v>28.265000000000001</v>
      </c>
      <c r="CR22" s="348">
        <f>INDEX('qtrP&amp;L'!$103:$103,MATCH(CO$6,'qtrP&amp;L'!$6:$6,0))</f>
        <v>30</v>
      </c>
      <c r="CS22" s="348"/>
      <c r="CT22" s="348">
        <f>INDEX('qtrP&amp;L'!$100:$100,MATCH(CT$6,'qtrP&amp;L'!$6:$6,0))</f>
        <v>32</v>
      </c>
      <c r="CU22" s="348">
        <f>INDEX('qtrP&amp;L'!$101:$101,MATCH(CT$6,'qtrP&amp;L'!$6:$6,0))</f>
        <v>31</v>
      </c>
      <c r="CV22" s="348">
        <f>INDEX('qtrP&amp;L'!$102:$102,MATCH(CT$6,'qtrP&amp;L'!$6:$6,0))</f>
        <v>31</v>
      </c>
      <c r="CW22" s="348">
        <f>INDEX('qtrP&amp;L'!$103:$103,MATCH(CT$6,'qtrP&amp;L'!$6:$6,0))</f>
        <v>31</v>
      </c>
      <c r="CX22" s="348"/>
      <c r="CY22" s="348">
        <f>INDEX('qtrP&amp;L'!$100:$100,MATCH(CY$6,'qtrP&amp;L'!$6:$6,0))</f>
        <v>77</v>
      </c>
      <c r="CZ22" s="348">
        <f>INDEX('qtrP&amp;L'!$101:$101,MATCH(CY$6,'qtrP&amp;L'!$6:$6,0))</f>
        <v>78</v>
      </c>
      <c r="DA22" s="348">
        <f>INDEX('qtrP&amp;L'!$102:$102,MATCH(CY$6,'qtrP&amp;L'!$6:$6,0))</f>
        <v>79</v>
      </c>
      <c r="DB22" s="348">
        <f>INDEX('qtrP&amp;L'!$103:$103,MATCH(CY$6,'qtrP&amp;L'!$6:$6,0))</f>
        <v>71</v>
      </c>
      <c r="DC22" s="348"/>
      <c r="DD22" s="348">
        <f>INDEX('qtrP&amp;L'!$100:$100,MATCH(DD$6,'qtrP&amp;L'!$6:$6,0))</f>
        <v>76</v>
      </c>
      <c r="DE22" s="348">
        <f>INDEX('qtrP&amp;L'!$101:$101,MATCH(DD$6,'qtrP&amp;L'!$6:$6,0))</f>
        <v>72</v>
      </c>
      <c r="DF22" s="348">
        <f>INDEX('qtrP&amp;L'!$102:$102,MATCH(DD$6,'qtrP&amp;L'!$6:$6,0))</f>
        <v>75</v>
      </c>
      <c r="DG22" s="348">
        <f>INDEX('qtrP&amp;L'!$103:$103,MATCH(DD$6,'qtrP&amp;L'!$6:$6,0))</f>
        <v>76</v>
      </c>
      <c r="DH22" s="348"/>
      <c r="DI22" s="348">
        <f>INDEX('qtrP&amp;L'!$100:$100,MATCH(DI$6,'qtrP&amp;L'!$6:$6,0))</f>
        <v>82.5</v>
      </c>
      <c r="DJ22" s="348">
        <f>INDEX('qtrP&amp;L'!$101:$101,MATCH(DI$6,'qtrP&amp;L'!$6:$6,0))</f>
        <v>80.5</v>
      </c>
      <c r="DK22" s="348">
        <f>INDEX('qtrP&amp;L'!$102:$102,MATCH(DI$6,'qtrP&amp;L'!$6:$6,0))</f>
        <v>80.5</v>
      </c>
      <c r="DL22" s="348">
        <f>INDEX('qtrP&amp;L'!$103:$103,MATCH(DI$6,'qtrP&amp;L'!$6:$6,0))</f>
        <v>85</v>
      </c>
      <c r="DM22" s="348"/>
      <c r="DN22" s="348">
        <f>INDEX('qtrP&amp;L'!$100:$100,MATCH(DN$6,'qtrP&amp;L'!$6:$6,0))</f>
        <v>83</v>
      </c>
      <c r="DO22" s="348">
        <f>INDEX('qtrP&amp;L'!$101:$101,MATCH(DN$6,'qtrP&amp;L'!$6:$6,0))</f>
        <v>84</v>
      </c>
      <c r="DP22" s="348">
        <f>INDEX('qtrP&amp;L'!$102:$102,MATCH(DN$6,'qtrP&amp;L'!$6:$6,0))</f>
        <v>84</v>
      </c>
      <c r="DQ22" s="348">
        <f>INDEX('qtrP&amp;L'!$103:$103,MATCH(DN$6,'qtrP&amp;L'!$6:$6,0))</f>
        <v>87</v>
      </c>
      <c r="DR22" s="348"/>
      <c r="DS22" s="348">
        <f>INDEX('qtrP&amp;L'!$100:$100,MATCH(DS$6,'qtrP&amp;L'!$6:$6,0))</f>
        <v>85</v>
      </c>
      <c r="DT22" s="348">
        <f>INDEX('qtrP&amp;L'!$101:$101,MATCH(DS$6,'qtrP&amp;L'!$6:$6,0))</f>
        <v>86</v>
      </c>
      <c r="DU22" s="348">
        <f>INDEX('qtrP&amp;L'!$102:$102,MATCH(DS$6,'qtrP&amp;L'!$6:$6,0))</f>
        <v>85</v>
      </c>
      <c r="DV22" s="348">
        <f>INDEX('qtrP&amp;L'!$103:$103,MATCH(DS$6,'qtrP&amp;L'!$6:$6,0))</f>
        <v>84</v>
      </c>
      <c r="DW22" s="348"/>
      <c r="DX22" s="348">
        <f>INDEX('qtrP&amp;L'!$100:$100,MATCH(DX$6,'qtrP&amp;L'!$6:$6,0))</f>
        <v>84</v>
      </c>
      <c r="DY22" s="348">
        <f>INDEX('qtrP&amp;L'!$101:$101,MATCH(DX$6,'qtrP&amp;L'!$6:$6,0))</f>
        <v>84</v>
      </c>
      <c r="DZ22" s="348">
        <f>INDEX('qtrP&amp;L'!$102:$102,MATCH(DX$6,'qtrP&amp;L'!$6:$6,0))</f>
        <v>81</v>
      </c>
      <c r="EA22" s="348">
        <f>INDEX('qtrP&amp;L'!$103:$103,MATCH(DX$6,'qtrP&amp;L'!$6:$6,0))</f>
        <v>79</v>
      </c>
      <c r="EB22" s="348"/>
      <c r="EC22" s="348">
        <f>INDEX('qtrP&amp;L'!$100:$100,MATCH(EC$6,'qtrP&amp;L'!$6:$6,0))</f>
        <v>79</v>
      </c>
      <c r="ED22" s="348">
        <f>INDEX('qtrP&amp;L'!$101:$101,MATCH(EC$6,'qtrP&amp;L'!$6:$6,0))</f>
        <v>78</v>
      </c>
      <c r="EE22" s="348">
        <f>INDEX('qtrP&amp;L'!$102:$102,MATCH(EC$6,'qtrP&amp;L'!$6:$6,0))</f>
        <v>76</v>
      </c>
      <c r="EF22" s="348">
        <f>INDEX('qtrP&amp;L'!$103:$103,MATCH(EC$6,'qtrP&amp;L'!$6:$6,0))</f>
        <v>75</v>
      </c>
      <c r="EG22" s="305"/>
      <c r="EH22" s="348">
        <f>INDEX('qtrP&amp;L'!$100:$100,MATCH(EH$6,'qtrP&amp;L'!$6:$6,0))</f>
        <v>76</v>
      </c>
      <c r="EI22" s="348">
        <f>INDEX('qtrP&amp;L'!$101:$101,MATCH(EH$6,'qtrP&amp;L'!$6:$6,0))</f>
        <v>75</v>
      </c>
      <c r="EJ22" s="348">
        <f>INDEX('qtrP&amp;L'!$102:$102,MATCH(EH$6,'qtrP&amp;L'!$6:$6,0))</f>
        <v>74</v>
      </c>
      <c r="EK22" s="348">
        <f>INDEX('qtrP&amp;L'!$103:$103,MATCH(EH$6,'qtrP&amp;L'!$6:$6,0))</f>
        <v>74</v>
      </c>
      <c r="EL22" s="348"/>
      <c r="EM22" s="1196">
        <f>INDEX('qtrP&amp;L'!$100:$100,MATCH(EM$6,'qtrP&amp;L'!$6:$6,0))</f>
        <v>72</v>
      </c>
      <c r="EN22" s="1196">
        <f>INDEX('qtrP&amp;L'!$101:$101,MATCH(EM$6,'qtrP&amp;L'!$6:$6,0))</f>
        <v>70</v>
      </c>
      <c r="EO22" s="1196">
        <f>INDEX('qtrP&amp;L'!$102:$102,MATCH(EM$6,'qtrP&amp;L'!$6:$6,0))</f>
        <v>70</v>
      </c>
      <c r="EP22" s="1196">
        <f>INDEX('qtrP&amp;L'!$103:$103,MATCH(EM$6,'qtrP&amp;L'!$6:$6,0))</f>
        <v>68</v>
      </c>
      <c r="EQ22" s="349">
        <f>'yrP&amp;L'!C47</f>
        <v>30.332000000000001</v>
      </c>
      <c r="ER22" s="350">
        <f>'yrP&amp;L'!D47</f>
        <v>26.008000000000003</v>
      </c>
      <c r="ES22" s="350">
        <f>'yrP&amp;L'!E47</f>
        <v>14.393000000000001</v>
      </c>
      <c r="ET22" s="350">
        <f>'yrP&amp;L'!F47</f>
        <v>5.7110000000000003</v>
      </c>
      <c r="EU22" s="350">
        <f>'yrP&amp;L'!G47</f>
        <v>6.4239999999999995</v>
      </c>
      <c r="EV22" s="350">
        <f>'yrP&amp;L'!H47</f>
        <v>13.149999999999999</v>
      </c>
      <c r="EW22" s="350">
        <f>'yrP&amp;L'!I47</f>
        <v>17.622000000000003</v>
      </c>
      <c r="EX22" s="350">
        <f>'yrP&amp;L'!J47</f>
        <v>23.772000000000002</v>
      </c>
      <c r="EY22" s="350">
        <f>'yrP&amp;L'!K47</f>
        <v>21.116</v>
      </c>
      <c r="EZ22" s="350">
        <f>'yrP&amp;L'!L47</f>
        <v>27.163</v>
      </c>
      <c r="FA22" s="350">
        <f>'yrP&amp;L'!M47</f>
        <v>38.613</v>
      </c>
      <c r="FB22" s="350">
        <f>'yrP&amp;L'!N47</f>
        <v>50.111000000000004</v>
      </c>
      <c r="FC22" s="350">
        <f>'yrP&amp;L'!O47</f>
        <v>56.027000000000001</v>
      </c>
      <c r="FD22" s="350">
        <f>'yrP&amp;L'!P47</f>
        <v>72.965999999999994</v>
      </c>
      <c r="FE22" s="350">
        <f>'yrP&amp;L'!Q47</f>
        <v>62.470999999999997</v>
      </c>
      <c r="FF22" s="350">
        <f>'yrP&amp;L'!R47</f>
        <v>70.3</v>
      </c>
      <c r="FG22" s="350">
        <f>'yrP&amp;L'!S47</f>
        <v>40.408500000000004</v>
      </c>
      <c r="FH22" s="349">
        <f>'yrP&amp;L'!T47</f>
        <v>62.4</v>
      </c>
      <c r="FI22" s="350">
        <f>'yrP&amp;L'!U47</f>
        <v>111.456</v>
      </c>
      <c r="FJ22" s="350">
        <f>'yrP&amp;L'!V47</f>
        <v>301</v>
      </c>
      <c r="FK22" s="1257"/>
      <c r="FL22" s="350">
        <f>'yrP&amp;L'!W47</f>
        <v>305</v>
      </c>
      <c r="FM22" s="350">
        <f>'yrP&amp;L'!X47</f>
        <v>299</v>
      </c>
      <c r="FN22" s="350">
        <f>'yrP&amp;L'!Y47</f>
        <v>328.5</v>
      </c>
      <c r="FO22" s="350">
        <f>'yrP&amp;L'!Z47</f>
        <v>338</v>
      </c>
      <c r="FP22" s="350">
        <f>'yrP&amp;L'!AA47</f>
        <v>340</v>
      </c>
      <c r="FQ22" s="350">
        <f>'yrP&amp;L'!AB47</f>
        <v>328</v>
      </c>
      <c r="FR22" s="350">
        <f>'yrP&amp;L'!AC47</f>
        <v>308</v>
      </c>
      <c r="FS22" s="350">
        <f>'yrP&amp;L'!AD47</f>
        <v>299</v>
      </c>
      <c r="FT22" s="350">
        <f>'yrP&amp;L'!AE47</f>
        <v>280</v>
      </c>
      <c r="FU22" s="350">
        <f>'yrP&amp;L'!AF47</f>
        <v>280</v>
      </c>
      <c r="FV22" s="351">
        <f>'yrP&amp;L'!AG47</f>
        <v>280</v>
      </c>
      <c r="FW22" s="350">
        <f>'yrP&amp;L'!AH47</f>
        <v>280</v>
      </c>
      <c r="FX22" s="351">
        <f>'yrP&amp;L'!AI47</f>
        <v>280</v>
      </c>
      <c r="FZ22"/>
      <c r="GA22"/>
      <c r="GB22"/>
      <c r="GC22"/>
      <c r="GD22"/>
      <c r="GE22"/>
      <c r="GF22" s="303"/>
      <c r="GG22" s="303"/>
      <c r="GH22" s="303"/>
      <c r="GI22" s="303"/>
      <c r="GJ22" s="303"/>
      <c r="GK22" s="303"/>
      <c r="GL22" s="303"/>
      <c r="GM22" s="303"/>
      <c r="GN22" s="303"/>
      <c r="GO22" s="303"/>
      <c r="GP22" s="303"/>
      <c r="GQ22" s="303"/>
      <c r="GR22" s="303"/>
      <c r="GS22" s="303"/>
      <c r="GT22" s="303"/>
      <c r="GU22" s="303"/>
      <c r="GV22" s="303"/>
      <c r="GW22" s="303"/>
      <c r="GX22" s="303"/>
      <c r="GY22" s="303"/>
      <c r="GZ22" s="303"/>
      <c r="HA22" s="303"/>
      <c r="HB22" s="303"/>
      <c r="HC22" s="303"/>
      <c r="HD22" s="303"/>
      <c r="HE22" s="303"/>
      <c r="HF22" s="303"/>
      <c r="HG22" s="303"/>
      <c r="HH22" s="303"/>
      <c r="HI22" s="303"/>
      <c r="HJ22" s="303"/>
      <c r="HK22" s="303"/>
      <c r="HL22" s="303"/>
      <c r="HM22" s="303"/>
      <c r="HN22" s="303"/>
      <c r="HO22" s="303"/>
      <c r="HP22" s="303"/>
      <c r="HQ22" s="303"/>
      <c r="HR22" s="303"/>
      <c r="HS22" s="303"/>
      <c r="HT22" s="303"/>
      <c r="HU22" s="303"/>
      <c r="HV22" s="303"/>
      <c r="HW22" s="303"/>
      <c r="HX22" s="303"/>
      <c r="HY22" s="303"/>
      <c r="HZ22" s="303"/>
      <c r="IA22" s="303"/>
      <c r="IB22" s="303"/>
      <c r="IC22" s="303"/>
      <c r="ID22" s="303"/>
      <c r="IE22" s="303"/>
      <c r="IF22" s="303"/>
      <c r="IG22" s="303"/>
      <c r="IH22" s="303"/>
      <c r="II22" s="303"/>
      <c r="IJ22" s="303"/>
      <c r="IK22" s="303"/>
      <c r="IL22" s="303"/>
      <c r="IM22" s="303"/>
      <c r="IN22" s="303"/>
      <c r="IO22" s="303"/>
      <c r="IP22" s="303"/>
      <c r="IQ22" s="303"/>
      <c r="IR22" s="303"/>
      <c r="IS22" s="303"/>
      <c r="IT22" s="303"/>
      <c r="IU22" s="303"/>
      <c r="IV22" s="303"/>
      <c r="IW22" s="303"/>
      <c r="IX22" s="303"/>
      <c r="IY22" s="303"/>
      <c r="IZ22" s="303"/>
      <c r="JA22" s="303"/>
      <c r="JB22" s="303"/>
      <c r="JC22" s="303"/>
    </row>
    <row r="23" spans="1:263" s="315" customFormat="1" hidden="1" outlineLevel="1" x14ac:dyDescent="0.2">
      <c r="A23" s="346" t="s">
        <v>359</v>
      </c>
      <c r="B23" s="347"/>
      <c r="C23" s="348">
        <f>INDEX('qtrP&amp;L'!$110:$110,MATCH(C$6,'qtrP&amp;L'!$6:$6,0))</f>
        <v>0</v>
      </c>
      <c r="D23" s="348">
        <f>INDEX('qtrP&amp;L'!$111:$111,MATCH(C$6,'qtrP&amp;L'!$6:$6,0))</f>
        <v>0</v>
      </c>
      <c r="E23" s="348">
        <f>INDEX('qtrP&amp;L'!$112:$112,MATCH(C$6,'qtrP&amp;L'!$6:$6,0))</f>
        <v>0</v>
      </c>
      <c r="F23" s="348">
        <f>INDEX('qtrP&amp;L'!$113:$113,MATCH(C$6,'qtrP&amp;L'!$6:$6,0))</f>
        <v>0</v>
      </c>
      <c r="G23" s="348"/>
      <c r="H23" s="348">
        <f>INDEX('qtrP&amp;L'!$110:$110,MATCH(H$6,'qtrP&amp;L'!$6:$6,0))</f>
        <v>0</v>
      </c>
      <c r="I23" s="348">
        <f>INDEX('qtrP&amp;L'!$111:$111,MATCH(H$6,'qtrP&amp;L'!$6:$6,0))</f>
        <v>0</v>
      </c>
      <c r="J23" s="348">
        <f>INDEX('qtrP&amp;L'!$112:$112,MATCH(H$6,'qtrP&amp;L'!$6:$6,0))</f>
        <v>0</v>
      </c>
      <c r="K23" s="348">
        <f>INDEX('qtrP&amp;L'!$113:$113,MATCH(H$6,'qtrP&amp;L'!$6:$6,0))</f>
        <v>0</v>
      </c>
      <c r="L23" s="348"/>
      <c r="M23" s="348">
        <f>INDEX('qtrP&amp;L'!$110:$110,MATCH(M$6,'qtrP&amp;L'!$6:$6,0))</f>
        <v>0</v>
      </c>
      <c r="N23" s="348">
        <f>INDEX('qtrP&amp;L'!$111:$111,MATCH(M$6,'qtrP&amp;L'!$6:$6,0))</f>
        <v>17.734999999999999</v>
      </c>
      <c r="O23" s="348">
        <f>INDEX('qtrP&amp;L'!$112:$112,MATCH(M$6,'qtrP&amp;L'!$6:$6,0))</f>
        <v>0</v>
      </c>
      <c r="P23" s="348">
        <f>INDEX('qtrP&amp;L'!$113:$113,MATCH(M$6,'qtrP&amp;L'!$6:$6,0))</f>
        <v>0</v>
      </c>
      <c r="Q23" s="348"/>
      <c r="R23" s="348">
        <f>INDEX('qtrP&amp;L'!$110:$110,MATCH(R$6,'qtrP&amp;L'!$6:$6,0))</f>
        <v>0</v>
      </c>
      <c r="S23" s="348">
        <f>INDEX('qtrP&amp;L'!$111:$111,MATCH(R$6,'qtrP&amp;L'!$6:$6,0))</f>
        <v>0</v>
      </c>
      <c r="T23" s="348">
        <f>INDEX('qtrP&amp;L'!$112:$112,MATCH(R$6,'qtrP&amp;L'!$6:$6,0))</f>
        <v>0</v>
      </c>
      <c r="U23" s="348">
        <f>INDEX('qtrP&amp;L'!$113:$113,MATCH(R$6,'qtrP&amp;L'!$6:$6,0))</f>
        <v>0</v>
      </c>
      <c r="V23" s="348"/>
      <c r="W23" s="348">
        <f>INDEX('qtrP&amp;L'!$110:$110,MATCH(W$6,'qtrP&amp;L'!$6:$6,0))</f>
        <v>0</v>
      </c>
      <c r="X23" s="348">
        <f>INDEX('qtrP&amp;L'!$111:$111,MATCH(W$6,'qtrP&amp;L'!$6:$6,0))</f>
        <v>0</v>
      </c>
      <c r="Y23" s="348">
        <f>INDEX('qtrP&amp;L'!$112:$112,MATCH(W$6,'qtrP&amp;L'!$6:$6,0))</f>
        <v>0</v>
      </c>
      <c r="Z23" s="348">
        <f>INDEX('qtrP&amp;L'!$113:$113,MATCH(W$6,'qtrP&amp;L'!$6:$6,0))</f>
        <v>0</v>
      </c>
      <c r="AA23" s="348"/>
      <c r="AB23" s="348">
        <f>INDEX('qtrP&amp;L'!$110:$110,MATCH(AB$6,'qtrP&amp;L'!$6:$6,0))</f>
        <v>0</v>
      </c>
      <c r="AC23" s="348">
        <f>INDEX('qtrP&amp;L'!$111:$111,MATCH(AB$6,'qtrP&amp;L'!$6:$6,0))</f>
        <v>0</v>
      </c>
      <c r="AD23" s="348">
        <f>INDEX('qtrP&amp;L'!$112:$112,MATCH(AB$6,'qtrP&amp;L'!$6:$6,0))</f>
        <v>14.052</v>
      </c>
      <c r="AE23" s="348">
        <f>INDEX('qtrP&amp;L'!$113:$113,MATCH(AB$6,'qtrP&amp;L'!$6:$6,0))</f>
        <v>0</v>
      </c>
      <c r="AF23" s="348"/>
      <c r="AG23" s="348">
        <f>INDEX('qtrP&amp;L'!$110:$110,MATCH(AG$6,'qtrP&amp;L'!$6:$6,0))</f>
        <v>0</v>
      </c>
      <c r="AH23" s="348">
        <f>INDEX('qtrP&amp;L'!$111:$111,MATCH(AG$6,'qtrP&amp;L'!$6:$6,0))</f>
        <v>0</v>
      </c>
      <c r="AI23" s="348">
        <f>INDEX('qtrP&amp;L'!$112:$112,MATCH(AG$6,'qtrP&amp;L'!$6:$6,0))</f>
        <v>0</v>
      </c>
      <c r="AJ23" s="348">
        <f>INDEX('qtrP&amp;L'!$113:$113,MATCH(AG$6,'qtrP&amp;L'!$6:$6,0))</f>
        <v>0</v>
      </c>
      <c r="AK23" s="348"/>
      <c r="AL23" s="348">
        <f>INDEX('qtrP&amp;L'!$110:$110,MATCH(AL$6,'qtrP&amp;L'!$6:$6,0))</f>
        <v>0</v>
      </c>
      <c r="AM23" s="348">
        <f>INDEX('qtrP&amp;L'!$111:$111,MATCH(AL$6,'qtrP&amp;L'!$6:$6,0))</f>
        <v>0</v>
      </c>
      <c r="AN23" s="348">
        <f>INDEX('qtrP&amp;L'!$112:$112,MATCH(AL$6,'qtrP&amp;L'!$6:$6,0))</f>
        <v>0</v>
      </c>
      <c r="AO23" s="348">
        <f>INDEX('qtrP&amp;L'!$113:$113,MATCH(AL$6,'qtrP&amp;L'!$6:$6,0))</f>
        <v>0</v>
      </c>
      <c r="AP23" s="348"/>
      <c r="AQ23" s="348">
        <f>INDEX('qtrP&amp;L'!$110:$110,MATCH(AQ$6,'qtrP&amp;L'!$6:$6,0))</f>
        <v>0</v>
      </c>
      <c r="AR23" s="348">
        <f>INDEX('qtrP&amp;L'!$111:$111,MATCH(AQ$6,'qtrP&amp;L'!$6:$6,0))</f>
        <v>0</v>
      </c>
      <c r="AS23" s="348">
        <f>INDEX('qtrP&amp;L'!$112:$112,MATCH(AQ$6,'qtrP&amp;L'!$6:$6,0))</f>
        <v>0</v>
      </c>
      <c r="AT23" s="348">
        <f>INDEX('qtrP&amp;L'!$113:$113,MATCH(AQ$6,'qtrP&amp;L'!$6:$6,0))</f>
        <v>0</v>
      </c>
      <c r="AU23" s="348"/>
      <c r="AV23" s="348">
        <f>INDEX('qtrP&amp;L'!$110:$110,MATCH(AV$6,'qtrP&amp;L'!$6:$6,0))</f>
        <v>0</v>
      </c>
      <c r="AW23" s="348">
        <f>INDEX('qtrP&amp;L'!$111:$111,MATCH(AV$6,'qtrP&amp;L'!$6:$6,0))</f>
        <v>0</v>
      </c>
      <c r="AX23" s="348">
        <f>INDEX('qtrP&amp;L'!$112:$112,MATCH(AV$6,'qtrP&amp;L'!$6:$6,0))</f>
        <v>0</v>
      </c>
      <c r="AY23" s="348">
        <f>INDEX('qtrP&amp;L'!$113:$113,MATCH(AV$6,'qtrP&amp;L'!$6:$6,0))</f>
        <v>0</v>
      </c>
      <c r="AZ23" s="348"/>
      <c r="BA23" s="348">
        <f>INDEX('qtrP&amp;L'!$110:$110,MATCH(BA$6,'qtrP&amp;L'!$6:$6,0))</f>
        <v>0</v>
      </c>
      <c r="BB23" s="348">
        <f>INDEX('qtrP&amp;L'!$111:$111,MATCH(BA$6,'qtrP&amp;L'!$6:$6,0))</f>
        <v>0</v>
      </c>
      <c r="BC23" s="348">
        <f>INDEX('qtrP&amp;L'!$112:$112,MATCH(BA$6,'qtrP&amp;L'!$6:$6,0))</f>
        <v>0</v>
      </c>
      <c r="BD23" s="348">
        <f>INDEX('qtrP&amp;L'!$113:$113,MATCH(BA$6,'qtrP&amp;L'!$6:$6,0))</f>
        <v>0</v>
      </c>
      <c r="BE23" s="348"/>
      <c r="BF23" s="348">
        <f>INDEX('qtrP&amp;L'!$110:$110,MATCH(BF$6,'qtrP&amp;L'!$6:$6,0))</f>
        <v>0</v>
      </c>
      <c r="BG23" s="348">
        <f>INDEX('qtrP&amp;L'!$111:$111,MATCH(BF$6,'qtrP&amp;L'!$6:$6,0))</f>
        <v>0</v>
      </c>
      <c r="BH23" s="348">
        <f>INDEX('qtrP&amp;L'!$112:$112,MATCH(BF$6,'qtrP&amp;L'!$6:$6,0))</f>
        <v>0</v>
      </c>
      <c r="BI23" s="348">
        <f>INDEX('qtrP&amp;L'!$113:$113,MATCH(BF$6,'qtrP&amp;L'!$6:$6,0))</f>
        <v>0</v>
      </c>
      <c r="BJ23" s="348"/>
      <c r="BK23" s="348">
        <f>INDEX('qtrP&amp;L'!$110:$110,MATCH(BK$6,'qtrP&amp;L'!$6:$6,0))</f>
        <v>0</v>
      </c>
      <c r="BL23" s="348">
        <f>INDEX('qtrP&amp;L'!$111:$111,MATCH(BK$6,'qtrP&amp;L'!$6:$6,0))</f>
        <v>0</v>
      </c>
      <c r="BM23" s="348">
        <f>INDEX('qtrP&amp;L'!$112:$112,MATCH(BK$6,'qtrP&amp;L'!$6:$6,0))</f>
        <v>0</v>
      </c>
      <c r="BN23" s="348">
        <f>INDEX('qtrP&amp;L'!$113:$113,MATCH(BK$6,'qtrP&amp;L'!$6:$6,0))</f>
        <v>0</v>
      </c>
      <c r="BO23" s="348"/>
      <c r="BP23" s="348">
        <f>INDEX('qtrP&amp;L'!$110:$110,MATCH(BP$6,'qtrP&amp;L'!$6:$6,0))</f>
        <v>0</v>
      </c>
      <c r="BQ23" s="348">
        <f>INDEX('qtrP&amp;L'!$111:$111,MATCH(BP$6,'qtrP&amp;L'!$6:$6,0))</f>
        <v>0</v>
      </c>
      <c r="BR23" s="348">
        <f>INDEX('qtrP&amp;L'!$112:$112,MATCH(BP$6,'qtrP&amp;L'!$6:$6,0))</f>
        <v>0</v>
      </c>
      <c r="BS23" s="348">
        <f>INDEX('qtrP&amp;L'!$113:$113,MATCH(BP$6,'qtrP&amp;L'!$6:$6,0))</f>
        <v>0</v>
      </c>
      <c r="BT23" s="348"/>
      <c r="BU23" s="348">
        <f>INDEX('qtrP&amp;L'!$110:$110,MATCH(BU$6,'qtrP&amp;L'!$6:$6,0))</f>
        <v>0</v>
      </c>
      <c r="BV23" s="348">
        <f>INDEX('qtrP&amp;L'!$111:$111,MATCH(BU$6,'qtrP&amp;L'!$6:$6,0))</f>
        <v>0</v>
      </c>
      <c r="BW23" s="348">
        <f>INDEX('qtrP&amp;L'!$112:$112,MATCH(BU$6,'qtrP&amp;L'!$6:$6,0))</f>
        <v>0</v>
      </c>
      <c r="BX23" s="348">
        <f>INDEX('qtrP&amp;L'!$113:$113,MATCH(BU$6,'qtrP&amp;L'!$6:$6,0))</f>
        <v>0</v>
      </c>
      <c r="BY23" s="348"/>
      <c r="BZ23" s="348">
        <f>INDEX('qtrP&amp;L'!$110:$110,MATCH(BZ$6,'qtrP&amp;L'!$6:$6,0))</f>
        <v>0</v>
      </c>
      <c r="CA23" s="348">
        <f>INDEX('qtrP&amp;L'!$111:$111,MATCH(BZ$6,'qtrP&amp;L'!$6:$6,0))</f>
        <v>-10.277813504823152</v>
      </c>
      <c r="CB23" s="348">
        <f>INDEX('qtrP&amp;L'!$112:$112,MATCH(BZ$6,'qtrP&amp;L'!$6:$6,0))</f>
        <v>0</v>
      </c>
      <c r="CC23" s="348">
        <f>INDEX('qtrP&amp;L'!$113:$113,MATCH(BZ$6,'qtrP&amp;L'!$6:$6,0))</f>
        <v>0</v>
      </c>
      <c r="CD23" s="348"/>
      <c r="CE23" s="348">
        <f>INDEX('qtrP&amp;L'!$110:$110,MATCH(CE$6,'qtrP&amp;L'!$6:$6,0))</f>
        <v>0</v>
      </c>
      <c r="CF23" s="348">
        <f>INDEX('qtrP&amp;L'!$111:$111,MATCH(CE$6,'qtrP&amp;L'!$6:$6,0))</f>
        <v>0</v>
      </c>
      <c r="CG23" s="348">
        <f>INDEX('qtrP&amp;L'!$112:$112,MATCH(CE$6,'qtrP&amp;L'!$6:$6,0))</f>
        <v>0</v>
      </c>
      <c r="CH23" s="348">
        <f>INDEX('qtrP&amp;L'!$113:$113,MATCH(CE$6,'qtrP&amp;L'!$6:$6,0))</f>
        <v>0</v>
      </c>
      <c r="CI23" s="348"/>
      <c r="CJ23" s="348">
        <f>INDEX('qtrP&amp;L'!$110:$110,MATCH(CJ$6,'qtrP&amp;L'!$6:$6,0))</f>
        <v>0</v>
      </c>
      <c r="CK23" s="348">
        <f>INDEX('qtrP&amp;L'!$111:$111,MATCH(CJ$6,'qtrP&amp;L'!$6:$6,0))</f>
        <v>0</v>
      </c>
      <c r="CL23" s="348">
        <f>INDEX('qtrP&amp;L'!$112:$112,MATCH(CJ$6,'qtrP&amp;L'!$6:$6,0))</f>
        <v>0</v>
      </c>
      <c r="CM23" s="348">
        <f>INDEX('qtrP&amp;L'!$113:$113,MATCH(CJ$6,'qtrP&amp;L'!$6:$6,0))</f>
        <v>0</v>
      </c>
      <c r="CN23" s="348"/>
      <c r="CO23" s="348">
        <f>INDEX('qtrP&amp;L'!$110:$110,MATCH(CO$6,'qtrP&amp;L'!$6:$6,0))</f>
        <v>0</v>
      </c>
      <c r="CP23" s="348">
        <f>INDEX('qtrP&amp;L'!$111:$111,MATCH(CO$6,'qtrP&amp;L'!$6:$6,0))</f>
        <v>0</v>
      </c>
      <c r="CQ23" s="348">
        <f>INDEX('qtrP&amp;L'!$112:$112,MATCH(CO$6,'qtrP&amp;L'!$6:$6,0))</f>
        <v>0</v>
      </c>
      <c r="CR23" s="348">
        <f>INDEX('qtrP&amp;L'!$113:$113,MATCH(CO$6,'qtrP&amp;L'!$6:$6,0))</f>
        <v>0</v>
      </c>
      <c r="CS23" s="348"/>
      <c r="CT23" s="348">
        <f>INDEX('qtrP&amp;L'!$110:$110,MATCH(CT$6,'qtrP&amp;L'!$6:$6,0))</f>
        <v>0</v>
      </c>
      <c r="CU23" s="348">
        <f>INDEX('qtrP&amp;L'!$111:$111,MATCH(CT$6,'qtrP&amp;L'!$6:$6,0))</f>
        <v>0</v>
      </c>
      <c r="CV23" s="348">
        <f>INDEX('qtrP&amp;L'!$112:$112,MATCH(CT$6,'qtrP&amp;L'!$6:$6,0))</f>
        <v>0</v>
      </c>
      <c r="CW23" s="348">
        <f>INDEX('qtrP&amp;L'!$113:$113,MATCH(CT$6,'qtrP&amp;L'!$6:$6,0))</f>
        <v>0</v>
      </c>
      <c r="CX23" s="348"/>
      <c r="CY23" s="348">
        <f>INDEX('qtrP&amp;L'!$110:$110,MATCH(CY$6,'qtrP&amp;L'!$6:$6,0))</f>
        <v>0</v>
      </c>
      <c r="CZ23" s="348">
        <f>INDEX('qtrP&amp;L'!$111:$111,MATCH(CY$6,'qtrP&amp;L'!$6:$6,0))</f>
        <v>0</v>
      </c>
      <c r="DA23" s="348">
        <f>INDEX('qtrP&amp;L'!$112:$112,MATCH(CY$6,'qtrP&amp;L'!$6:$6,0))</f>
        <v>0</v>
      </c>
      <c r="DB23" s="348">
        <f>INDEX('qtrP&amp;L'!$113:$113,MATCH(CY$6,'qtrP&amp;L'!$6:$6,0))</f>
        <v>0</v>
      </c>
      <c r="DC23" s="348"/>
      <c r="DD23" s="348">
        <f>INDEX('qtrP&amp;L'!$110:$110,MATCH(DD$6,'qtrP&amp;L'!$6:$6,0))</f>
        <v>0</v>
      </c>
      <c r="DE23" s="348">
        <f>INDEX('qtrP&amp;L'!$111:$111,MATCH(DD$6,'qtrP&amp;L'!$6:$6,0))</f>
        <v>0</v>
      </c>
      <c r="DF23" s="348">
        <f>INDEX('qtrP&amp;L'!$112:$112,MATCH(DD$6,'qtrP&amp;L'!$6:$6,0))</f>
        <v>0</v>
      </c>
      <c r="DG23" s="348">
        <f>INDEX('qtrP&amp;L'!$113:$113,MATCH(DD$6,'qtrP&amp;L'!$6:$6,0))</f>
        <v>0</v>
      </c>
      <c r="DH23" s="348"/>
      <c r="DI23" s="348">
        <f>INDEX('qtrP&amp;L'!$110:$110,MATCH(DI$6,'qtrP&amp;L'!$6:$6,0))</f>
        <v>0</v>
      </c>
      <c r="DJ23" s="348">
        <f>INDEX('qtrP&amp;L'!$111:$111,MATCH(DI$6,'qtrP&amp;L'!$6:$6,0))</f>
        <v>0</v>
      </c>
      <c r="DK23" s="348">
        <f>INDEX('qtrP&amp;L'!$112:$112,MATCH(DI$6,'qtrP&amp;L'!$6:$6,0))</f>
        <v>0</v>
      </c>
      <c r="DL23" s="348">
        <f>INDEX('qtrP&amp;L'!$113:$113,MATCH(DI$6,'qtrP&amp;L'!$6:$6,0))</f>
        <v>0</v>
      </c>
      <c r="DM23" s="348"/>
      <c r="DN23" s="348">
        <f>INDEX('qtrP&amp;L'!$110:$110,MATCH(DN$6,'qtrP&amp;L'!$6:$6,0))</f>
        <v>0</v>
      </c>
      <c r="DO23" s="348">
        <f>INDEX('qtrP&amp;L'!$111:$111,MATCH(DN$6,'qtrP&amp;L'!$6:$6,0))</f>
        <v>0</v>
      </c>
      <c r="DP23" s="348">
        <f>INDEX('qtrP&amp;L'!$112:$112,MATCH(DN$6,'qtrP&amp;L'!$6:$6,0))</f>
        <v>0</v>
      </c>
      <c r="DQ23" s="348">
        <f>INDEX('qtrP&amp;L'!$113:$113,MATCH(DN$6,'qtrP&amp;L'!$6:$6,0))</f>
        <v>0</v>
      </c>
      <c r="DR23" s="348"/>
      <c r="DS23" s="348">
        <f>INDEX('qtrP&amp;L'!$110:$110,MATCH(DS$6,'qtrP&amp;L'!$6:$6,0))</f>
        <v>0</v>
      </c>
      <c r="DT23" s="348">
        <f>INDEX('qtrP&amp;L'!$111:$111,MATCH(DS$6,'qtrP&amp;L'!$6:$6,0))</f>
        <v>0</v>
      </c>
      <c r="DU23" s="348">
        <f>INDEX('qtrP&amp;L'!$112:$112,MATCH(DS$6,'qtrP&amp;L'!$6:$6,0))</f>
        <v>0</v>
      </c>
      <c r="DV23" s="348">
        <f>INDEX('qtrP&amp;L'!$113:$113,MATCH(DS$6,'qtrP&amp;L'!$6:$6,0))</f>
        <v>0</v>
      </c>
      <c r="DW23" s="348"/>
      <c r="DX23" s="348">
        <f>INDEX('qtrP&amp;L'!$110:$110,MATCH(DX$6,'qtrP&amp;L'!$6:$6,0))</f>
        <v>0</v>
      </c>
      <c r="DY23" s="348">
        <f>INDEX('qtrP&amp;L'!$111:$111,MATCH(DX$6,'qtrP&amp;L'!$6:$6,0))</f>
        <v>0</v>
      </c>
      <c r="DZ23" s="348">
        <f>INDEX('qtrP&amp;L'!$112:$112,MATCH(DX$6,'qtrP&amp;L'!$6:$6,0))</f>
        <v>0</v>
      </c>
      <c r="EA23" s="348">
        <f>INDEX('qtrP&amp;L'!$113:$113,MATCH(DX$6,'qtrP&amp;L'!$6:$6,0))</f>
        <v>0</v>
      </c>
      <c r="EB23" s="348"/>
      <c r="EC23" s="348">
        <f>INDEX('qtrP&amp;L'!$110:$110,MATCH(EC$6,'qtrP&amp;L'!$6:$6,0))</f>
        <v>0</v>
      </c>
      <c r="ED23" s="348">
        <f>INDEX('qtrP&amp;L'!$111:$111,MATCH(EC$6,'qtrP&amp;L'!$6:$6,0))</f>
        <v>0</v>
      </c>
      <c r="EE23" s="348">
        <f>INDEX('qtrP&amp;L'!$112:$112,MATCH(EC$6,'qtrP&amp;L'!$6:$6,0))</f>
        <v>0</v>
      </c>
      <c r="EF23" s="348">
        <f>INDEX('qtrP&amp;L'!$113:$113,MATCH(EC$6,'qtrP&amp;L'!$6:$6,0))</f>
        <v>0</v>
      </c>
      <c r="EG23" s="305"/>
      <c r="EH23" s="348">
        <f>INDEX('qtrP&amp;L'!$110:$110,MATCH(EH$6,'qtrP&amp;L'!$6:$6,0))</f>
        <v>0</v>
      </c>
      <c r="EI23" s="348">
        <f>INDEX('qtrP&amp;L'!$111:$111,MATCH(EH$6,'qtrP&amp;L'!$6:$6,0))</f>
        <v>0</v>
      </c>
      <c r="EJ23" s="348">
        <f>INDEX('qtrP&amp;L'!$112:$112,MATCH(EH$6,'qtrP&amp;L'!$6:$6,0))</f>
        <v>0</v>
      </c>
      <c r="EK23" s="348">
        <f>INDEX('qtrP&amp;L'!$113:$113,MATCH(EH$6,'qtrP&amp;L'!$6:$6,0))</f>
        <v>0</v>
      </c>
      <c r="EL23" s="348"/>
      <c r="EM23" s="1196">
        <f>INDEX('qtrP&amp;L'!$110:$110,MATCH(EM$6,'qtrP&amp;L'!$6:$6,0))</f>
        <v>0</v>
      </c>
      <c r="EN23" s="1196">
        <f>INDEX('qtrP&amp;L'!$111:$111,MATCH(EM$6,'qtrP&amp;L'!$6:$6,0))</f>
        <v>0</v>
      </c>
      <c r="EO23" s="1196">
        <f>INDEX('qtrP&amp;L'!$112:$112,MATCH(EM$6,'qtrP&amp;L'!$6:$6,0))</f>
        <v>0</v>
      </c>
      <c r="EP23" s="1196">
        <f>INDEX('qtrP&amp;L'!$113:$113,MATCH(EM$6,'qtrP&amp;L'!$6:$6,0))</f>
        <v>0</v>
      </c>
      <c r="EQ23" s="349">
        <f>'yrP&amp;L'!C50</f>
        <v>0</v>
      </c>
      <c r="ER23" s="350">
        <f>'yrP&amp;L'!D50</f>
        <v>0</v>
      </c>
      <c r="ES23" s="350">
        <f>'yrP&amp;L'!E50</f>
        <v>17.734999999999999</v>
      </c>
      <c r="ET23" s="350">
        <f>'yrP&amp;L'!F50</f>
        <v>0</v>
      </c>
      <c r="EU23" s="350">
        <f>'yrP&amp;L'!G50</f>
        <v>0</v>
      </c>
      <c r="EV23" s="350">
        <f>'yrP&amp;L'!H50</f>
        <v>14.052</v>
      </c>
      <c r="EW23" s="350">
        <f>'yrP&amp;L'!I50</f>
        <v>0</v>
      </c>
      <c r="EX23" s="350">
        <f>'yrP&amp;L'!J50</f>
        <v>0</v>
      </c>
      <c r="EY23" s="350">
        <f>'yrP&amp;L'!K50</f>
        <v>0</v>
      </c>
      <c r="EZ23" s="350">
        <f>'yrP&amp;L'!L50</f>
        <v>0</v>
      </c>
      <c r="FA23" s="350">
        <f>'yrP&amp;L'!M50</f>
        <v>0</v>
      </c>
      <c r="FB23" s="360">
        <f>'yrP&amp;L'!N50</f>
        <v>0</v>
      </c>
      <c r="FC23" s="360">
        <f>'yrP&amp;L'!O50</f>
        <v>0</v>
      </c>
      <c r="FD23" s="350">
        <f>'yrP&amp;L'!P50</f>
        <v>0</v>
      </c>
      <c r="FE23" s="350">
        <f>'yrP&amp;L'!Q50</f>
        <v>0</v>
      </c>
      <c r="FF23" s="350">
        <f>'yrP&amp;L'!R50</f>
        <v>-10.277813504823152</v>
      </c>
      <c r="FG23" s="350">
        <f>'yrP&amp;L'!S50</f>
        <v>0</v>
      </c>
      <c r="FH23" s="349">
        <f>'yrP&amp;L'!T50</f>
        <v>0</v>
      </c>
      <c r="FI23" s="350">
        <f>'yrP&amp;L'!U50</f>
        <v>0</v>
      </c>
      <c r="FJ23" s="350">
        <f>'yrP&amp;L'!V50</f>
        <v>0</v>
      </c>
      <c r="FK23" s="1257"/>
      <c r="FL23" s="350">
        <f>'yrP&amp;L'!W50</f>
        <v>0</v>
      </c>
      <c r="FM23" s="350">
        <f>'yrP&amp;L'!X50</f>
        <v>0</v>
      </c>
      <c r="FN23" s="350">
        <f>'yrP&amp;L'!Y50</f>
        <v>0</v>
      </c>
      <c r="FO23" s="350">
        <f>'yrP&amp;L'!Z50</f>
        <v>0</v>
      </c>
      <c r="FP23" s="350">
        <f>'yrP&amp;L'!AA50</f>
        <v>0</v>
      </c>
      <c r="FQ23" s="350">
        <f>'yrP&amp;L'!AB50</f>
        <v>0</v>
      </c>
      <c r="FR23" s="350">
        <f>'yrP&amp;L'!AC50</f>
        <v>0</v>
      </c>
      <c r="FS23" s="350">
        <f>'yrP&amp;L'!AD50</f>
        <v>0</v>
      </c>
      <c r="FT23" s="350">
        <f>'yrP&amp;L'!AE50</f>
        <v>0</v>
      </c>
      <c r="FU23" s="350">
        <f>'yrP&amp;L'!AF50</f>
        <v>0</v>
      </c>
      <c r="FV23" s="351">
        <f>'yrP&amp;L'!AG50</f>
        <v>0</v>
      </c>
      <c r="FW23" s="350">
        <f>'yrP&amp;L'!AH50</f>
        <v>0</v>
      </c>
      <c r="FX23" s="351"/>
      <c r="FZ23"/>
      <c r="GA23"/>
      <c r="GB23"/>
      <c r="GC23"/>
      <c r="GD23"/>
      <c r="GE23"/>
      <c r="GF23" s="303"/>
      <c r="GG23" s="303"/>
      <c r="GH23" s="303"/>
      <c r="GI23" s="303"/>
      <c r="GJ23" s="303"/>
      <c r="GK23" s="303"/>
      <c r="GL23" s="303"/>
      <c r="GM23" s="303"/>
      <c r="GN23" s="303"/>
      <c r="GO23" s="303"/>
      <c r="GP23" s="303"/>
      <c r="GQ23" s="303"/>
      <c r="GR23" s="303"/>
      <c r="GS23" s="303"/>
      <c r="GT23" s="303"/>
      <c r="GU23" s="303"/>
      <c r="GV23" s="303"/>
      <c r="GW23" s="303"/>
      <c r="GX23" s="303"/>
      <c r="GY23" s="303"/>
      <c r="GZ23" s="303"/>
      <c r="HA23" s="303"/>
      <c r="HB23" s="303"/>
      <c r="HC23" s="303"/>
      <c r="HD23" s="303"/>
      <c r="HE23" s="303"/>
      <c r="HF23" s="303"/>
      <c r="HG23" s="303"/>
      <c r="HH23" s="303"/>
      <c r="HI23" s="303"/>
      <c r="HJ23" s="303"/>
      <c r="HK23" s="303"/>
      <c r="HL23" s="303"/>
      <c r="HM23" s="303"/>
      <c r="HN23" s="303"/>
      <c r="HO23" s="303"/>
      <c r="HP23" s="303"/>
      <c r="HQ23" s="303"/>
      <c r="HR23" s="303"/>
      <c r="HS23" s="303"/>
      <c r="HT23" s="303"/>
      <c r="HU23" s="303"/>
      <c r="HV23" s="303"/>
      <c r="HW23" s="303"/>
      <c r="HX23" s="303"/>
      <c r="HY23" s="303"/>
      <c r="HZ23" s="303"/>
      <c r="IA23" s="303"/>
      <c r="IB23" s="303"/>
      <c r="IC23" s="303"/>
      <c r="ID23" s="303"/>
      <c r="IE23" s="303"/>
      <c r="IF23" s="303"/>
      <c r="IG23" s="303"/>
      <c r="IH23" s="303"/>
      <c r="II23" s="303"/>
      <c r="IJ23" s="303"/>
      <c r="IK23" s="303"/>
      <c r="IL23" s="303"/>
      <c r="IM23" s="303"/>
      <c r="IN23" s="303"/>
      <c r="IO23" s="303"/>
      <c r="IP23" s="303"/>
      <c r="IQ23" s="303"/>
      <c r="IR23" s="303"/>
      <c r="IS23" s="303"/>
      <c r="IT23" s="303"/>
      <c r="IU23" s="303"/>
      <c r="IV23" s="303"/>
      <c r="IW23" s="303"/>
      <c r="IX23" s="303"/>
      <c r="IY23" s="303"/>
      <c r="IZ23" s="303"/>
      <c r="JA23" s="303"/>
      <c r="JB23" s="303"/>
      <c r="JC23" s="303"/>
    </row>
    <row r="24" spans="1:263" s="315" customFormat="1" collapsed="1" x14ac:dyDescent="0.2">
      <c r="A24" s="358" t="s">
        <v>181</v>
      </c>
      <c r="B24" s="347"/>
      <c r="C24" s="348">
        <f>C20-C22-C23</f>
        <v>-2.6969999999999903</v>
      </c>
      <c r="D24" s="348">
        <f>D20-D22-D23</f>
        <v>-3.8120000000000083</v>
      </c>
      <c r="E24" s="348">
        <f>E20-E22-E23</f>
        <v>6.7209999999999805</v>
      </c>
      <c r="F24" s="348">
        <f>F20-F22-F23</f>
        <v>20.381999999999962</v>
      </c>
      <c r="G24" s="348"/>
      <c r="H24" s="348">
        <f>H20-H22-H23</f>
        <v>0.93200000000000571</v>
      </c>
      <c r="I24" s="348">
        <f>I20-I22-I23</f>
        <v>-0.26399999999998514</v>
      </c>
      <c r="J24" s="348">
        <f>J20-J22-J23</f>
        <v>8.4859999999999847</v>
      </c>
      <c r="K24" s="348">
        <f>K20-K22-K23</f>
        <v>24.148999999999965</v>
      </c>
      <c r="L24" s="348"/>
      <c r="M24" s="348">
        <f>M20-M22-M23</f>
        <v>4.875</v>
      </c>
      <c r="N24" s="348">
        <f>N20-N22-N23</f>
        <v>-11.240000000000009</v>
      </c>
      <c r="O24" s="348">
        <f>O20-O22-O23</f>
        <v>17.76599999999998</v>
      </c>
      <c r="P24" s="348">
        <f>P20-P22-P23</f>
        <v>35.674999999999983</v>
      </c>
      <c r="Q24" s="348"/>
      <c r="R24" s="348">
        <f>R20-R22-R23</f>
        <v>12.862999999999978</v>
      </c>
      <c r="S24" s="348">
        <f>S20-S22-S23</f>
        <v>11.774999999999999</v>
      </c>
      <c r="T24" s="348">
        <f>T20-T22-T23</f>
        <v>23.099999999999987</v>
      </c>
      <c r="U24" s="348">
        <f>U20-U22-U23</f>
        <v>48.807000000000052</v>
      </c>
      <c r="V24" s="348"/>
      <c r="W24" s="348">
        <f>W20-W22-W23</f>
        <v>22.079000000000011</v>
      </c>
      <c r="X24" s="348">
        <f>X20-X22-X23</f>
        <v>18.466999999999963</v>
      </c>
      <c r="Y24" s="348">
        <f>Y20-Y22-Y23</f>
        <v>30.639999999999997</v>
      </c>
      <c r="Z24" s="348">
        <f>Z20-Z22-Z23</f>
        <v>58.627000000000024</v>
      </c>
      <c r="AA24" s="348"/>
      <c r="AB24" s="348">
        <f>AB20-AB22-AB23</f>
        <v>23.817999999999987</v>
      </c>
      <c r="AC24" s="348">
        <f>AC20-AC22-AC23</f>
        <v>20.939000000000014</v>
      </c>
      <c r="AD24" s="348">
        <f>AD20-AD22-AD23</f>
        <v>12.833999999999989</v>
      </c>
      <c r="AE24" s="348">
        <f>AE20-AE22-AE23</f>
        <v>69.050000000000011</v>
      </c>
      <c r="AF24" s="348"/>
      <c r="AG24" s="348">
        <f>AG20-AG22-AG23</f>
        <v>29.417999999999967</v>
      </c>
      <c r="AH24" s="348">
        <f>AH20-AH22-AH23</f>
        <v>27.601000000000042</v>
      </c>
      <c r="AI24" s="348">
        <f>AI20-AI22-AI23</f>
        <v>36.73100000000003</v>
      </c>
      <c r="AJ24" s="348">
        <f>AJ20-AJ22-AJ23</f>
        <v>89.34199999999997</v>
      </c>
      <c r="AK24" s="348"/>
      <c r="AL24" s="348">
        <f>AL20-AL22-AL23</f>
        <v>40.384</v>
      </c>
      <c r="AM24" s="348">
        <f>AM20-AM22-AM23</f>
        <v>37.633000000000031</v>
      </c>
      <c r="AN24" s="348">
        <f>AN20-AN22-AN23</f>
        <v>54.146999999999935</v>
      </c>
      <c r="AO24" s="348">
        <f>AO20-AO22-AO23</f>
        <v>117.07799999999999</v>
      </c>
      <c r="AP24" s="348"/>
      <c r="AQ24" s="348">
        <f>AQ20-AQ22-AQ23</f>
        <v>52.753000000000043</v>
      </c>
      <c r="AR24" s="348">
        <f>AR20-AR22-AR23</f>
        <v>52.634875000000015</v>
      </c>
      <c r="AS24" s="348">
        <f>AS20-AS22-AS23</f>
        <v>74.90100000000001</v>
      </c>
      <c r="AT24" s="348">
        <f>AT20-AT22-AT23</f>
        <v>146.28199999999995</v>
      </c>
      <c r="AU24" s="348"/>
      <c r="AV24" s="348">
        <f>AV20-AV22-AV23</f>
        <v>62.495999999999903</v>
      </c>
      <c r="AW24" s="348">
        <f>AW20-AW22-AW23</f>
        <v>73.038000000000011</v>
      </c>
      <c r="AX24" s="348">
        <f>AX20-AX22-AX23</f>
        <v>84.500000000000043</v>
      </c>
      <c r="AY24" s="348">
        <f>AY20-AY22-AY23</f>
        <v>200.81</v>
      </c>
      <c r="AZ24" s="348"/>
      <c r="BA24" s="348">
        <f>BA20-BA22-BA23</f>
        <v>106.36200000000015</v>
      </c>
      <c r="BB24" s="348">
        <f>BB20-BB22-BB23</f>
        <v>108.97100000000005</v>
      </c>
      <c r="BC24" s="348">
        <f>BC20-BC22-BC23</f>
        <v>122.27799999999996</v>
      </c>
      <c r="BD24" s="348">
        <f>BD20-BD22-BD23</f>
        <v>290.21299999999991</v>
      </c>
      <c r="BE24" s="348"/>
      <c r="BF24" s="348">
        <f>BF20-BF22-BF23</f>
        <v>136.76199999999997</v>
      </c>
      <c r="BG24" s="348">
        <f>BG20-BG22-BG23</f>
        <v>143.51099999999994</v>
      </c>
      <c r="BH24" s="348">
        <f>BH20-BH22-BH23</f>
        <v>159.12400000000002</v>
      </c>
      <c r="BI24" s="348">
        <f>BI20-BI22-BI23</f>
        <v>376.32699999999977</v>
      </c>
      <c r="BJ24" s="348"/>
      <c r="BK24" s="348">
        <f>BK20-BK22-BK23</f>
        <v>188.36100000000005</v>
      </c>
      <c r="BL24" s="348">
        <f>BL20-BL22-BL23</f>
        <v>203.25</v>
      </c>
      <c r="BM24" s="348">
        <f>BM20-BM22-BM23</f>
        <v>211.31000000000012</v>
      </c>
      <c r="BN24" s="348">
        <f>BN20-BN22-BN23</f>
        <v>444.65600000000046</v>
      </c>
      <c r="BO24" s="348"/>
      <c r="BP24" s="348">
        <f>BP20-BP22-BP23</f>
        <v>174.43099999999978</v>
      </c>
      <c r="BQ24" s="348">
        <f>BQ20-BQ22-BQ23</f>
        <v>177.50000000000006</v>
      </c>
      <c r="BR24" s="348">
        <f>BR20-BR22-BR23</f>
        <v>190.40999999999991</v>
      </c>
      <c r="BS24" s="348">
        <f>BS20-BS22-BS23</f>
        <v>388.50000000000028</v>
      </c>
      <c r="BT24" s="348"/>
      <c r="BU24" s="348">
        <f>BU20-BU22-BU23</f>
        <v>165.69999999999982</v>
      </c>
      <c r="BV24" s="348">
        <f>BV20-BV22-BV23</f>
        <v>236.2800000000002</v>
      </c>
      <c r="BW24" s="348">
        <f>BW20-BW22-BW23</f>
        <v>216.43500000000009</v>
      </c>
      <c r="BX24" s="348">
        <f>BX20-BX22-BX23</f>
        <v>512.56899999999985</v>
      </c>
      <c r="BY24" s="348"/>
      <c r="BZ24" s="348">
        <f>BZ20-BZ22-BZ23</f>
        <v>200.50000000000028</v>
      </c>
      <c r="CA24" s="348">
        <f>CA20-CA22-CA23</f>
        <v>300.9778135048229</v>
      </c>
      <c r="CB24" s="348">
        <f>CB20-CB22-CB23</f>
        <v>249.4000000000002</v>
      </c>
      <c r="CC24" s="348">
        <f>CC20-CC22-CC23</f>
        <v>602.7999999999995</v>
      </c>
      <c r="CD24" s="348"/>
      <c r="CE24" s="348">
        <f>CE20-CE22-CE23</f>
        <v>267.83549999999997</v>
      </c>
      <c r="CF24" s="348">
        <f>CF20-CF22-CF23</f>
        <v>369.40700000000027</v>
      </c>
      <c r="CG24" s="348">
        <f>CG20-CG22-CG23</f>
        <v>359.19500000000045</v>
      </c>
      <c r="CH24" s="348">
        <f>CH20-CH22-CH23</f>
        <v>777.80000000000018</v>
      </c>
      <c r="CI24" s="348"/>
      <c r="CJ24" s="348">
        <f>CJ20-CJ22-CJ23</f>
        <v>335.90000000000015</v>
      </c>
      <c r="CK24" s="348">
        <f>CK20-CK22-CK23</f>
        <v>433.12099999999964</v>
      </c>
      <c r="CL24" s="348">
        <f>CL20-CL22-CL23</f>
        <v>312.2</v>
      </c>
      <c r="CM24" s="348">
        <f>CM20-CM22-CM23</f>
        <v>660.80000000000018</v>
      </c>
      <c r="CN24" s="348"/>
      <c r="CO24" s="348">
        <f>CO20-CO22-CO23</f>
        <v>244.72900000000013</v>
      </c>
      <c r="CP24" s="348">
        <f>CP20-CP22-CP23</f>
        <v>380.05599999999976</v>
      </c>
      <c r="CQ24" s="348">
        <f>CQ20-CQ22-CQ23</f>
        <v>257.07399999999996</v>
      </c>
      <c r="CR24" s="348">
        <f>CR20-CR22-CR23</f>
        <v>543</v>
      </c>
      <c r="CS24" s="348"/>
      <c r="CT24" s="348">
        <f>CT20-CT22-CT23</f>
        <v>219</v>
      </c>
      <c r="CU24" s="348">
        <f>CU20-CU22-CU23</f>
        <v>368</v>
      </c>
      <c r="CV24" s="348">
        <f>CV20-CV22-CV23</f>
        <v>308</v>
      </c>
      <c r="CW24" s="348">
        <f>CW20-CW22-CW23</f>
        <v>692</v>
      </c>
      <c r="CX24" s="348"/>
      <c r="CY24" s="348">
        <f>CY20-CY22-CY23</f>
        <v>311</v>
      </c>
      <c r="CZ24" s="348">
        <f>CZ20-CZ22-CZ23</f>
        <v>410</v>
      </c>
      <c r="DA24" s="348">
        <f>DA20-DA22-DA23</f>
        <v>277</v>
      </c>
      <c r="DB24" s="348">
        <f>DB20-DB22-DB23</f>
        <v>790</v>
      </c>
      <c r="DC24" s="348"/>
      <c r="DD24" s="348">
        <f>DD20-DD22-DD23</f>
        <v>315</v>
      </c>
      <c r="DE24" s="348">
        <f>DE20-DE22-DE23</f>
        <v>475</v>
      </c>
      <c r="DF24" s="348">
        <f>DF20-DF22-DF23</f>
        <v>341</v>
      </c>
      <c r="DG24" s="348">
        <f>DG20-DG22-DG23</f>
        <v>729</v>
      </c>
      <c r="DH24" s="348"/>
      <c r="DI24" s="348">
        <f>DI20-DI22-DI23</f>
        <v>238.5</v>
      </c>
      <c r="DJ24" s="348">
        <f>DJ20-DJ22-DJ23</f>
        <v>376.5</v>
      </c>
      <c r="DK24" s="348">
        <f>DK20-DK22-DK23</f>
        <v>344.5</v>
      </c>
      <c r="DL24" s="348">
        <f>DL20-DL22-DL23</f>
        <v>601</v>
      </c>
      <c r="DM24" s="348"/>
      <c r="DN24" s="348">
        <f>DN20-DN22-DN23</f>
        <v>234</v>
      </c>
      <c r="DO24" s="348">
        <f>DO20-DO22-DO23</f>
        <v>367</v>
      </c>
      <c r="DP24" s="348">
        <f>DP20-DP22-DP23</f>
        <v>281</v>
      </c>
      <c r="DQ24" s="348">
        <f>DQ20-DQ22-DQ23</f>
        <v>522</v>
      </c>
      <c r="DR24" s="348"/>
      <c r="DS24" s="348">
        <f>DS20-DS22-DS23</f>
        <v>195</v>
      </c>
      <c r="DT24" s="348">
        <f>DT20-DT22-DT23</f>
        <v>365</v>
      </c>
      <c r="DU24" s="348">
        <f>DU20-DU22-DU23</f>
        <v>219</v>
      </c>
      <c r="DV24" s="348">
        <f>DV20-DV22-DV23</f>
        <v>570</v>
      </c>
      <c r="DW24" s="348"/>
      <c r="DX24" s="348">
        <f>DX20-DX22-DX23</f>
        <v>196</v>
      </c>
      <c r="DY24" s="348">
        <f>DY20-DY22-DY23</f>
        <v>340</v>
      </c>
      <c r="DZ24" s="348">
        <f>DZ20-DZ22-DZ23</f>
        <v>227</v>
      </c>
      <c r="EA24" s="348">
        <f>EA20-EA22-EA23</f>
        <v>462</v>
      </c>
      <c r="EB24" s="348"/>
      <c r="EC24" s="348">
        <f>EC20-EC22-EC23</f>
        <v>91</v>
      </c>
      <c r="ED24" s="348">
        <f>ED20-ED22-ED23</f>
        <v>352</v>
      </c>
      <c r="EE24" s="348">
        <f>EE20-EE22-EE23</f>
        <v>219</v>
      </c>
      <c r="EF24" s="348">
        <f>EF20-EF22-EF23</f>
        <v>398</v>
      </c>
      <c r="EG24" s="305"/>
      <c r="EH24" s="348">
        <f>EH20-EH22-EH23</f>
        <v>109</v>
      </c>
      <c r="EI24" s="348">
        <f>EI20-EI22-EI23</f>
        <v>332</v>
      </c>
      <c r="EJ24" s="348">
        <f>EJ20-EJ22-EJ23</f>
        <v>183</v>
      </c>
      <c r="EK24" s="348">
        <f>EK20-EK22-EK23</f>
        <v>493</v>
      </c>
      <c r="EL24" s="348"/>
      <c r="EM24" s="1196">
        <f>EM20-EM22-EM23</f>
        <v>107.69506954000008</v>
      </c>
      <c r="EN24" s="1196">
        <f>EN20-EN22-EN23</f>
        <v>363.57104080000045</v>
      </c>
      <c r="EO24" s="1196">
        <f>EO20-EO22-EO23</f>
        <v>185.50783909999996</v>
      </c>
      <c r="EP24" s="1196">
        <f>EP20-EP22-EP23</f>
        <v>400.0350935999993</v>
      </c>
      <c r="EQ24" s="349">
        <f t="shared" ref="EQ24:FS24" si="11">EQ20-EQ22-EQ23</f>
        <v>20.594000000000044</v>
      </c>
      <c r="ER24" s="350">
        <f t="shared" si="11"/>
        <v>33.302999999999976</v>
      </c>
      <c r="ES24" s="350">
        <f t="shared" si="11"/>
        <v>50.134</v>
      </c>
      <c r="ET24" s="350">
        <f t="shared" si="11"/>
        <v>96.544999999999973</v>
      </c>
      <c r="EU24" s="350">
        <f t="shared" si="11"/>
        <v>117.39099999999982</v>
      </c>
      <c r="EV24" s="350">
        <f t="shared" si="11"/>
        <v>122.72900000000027</v>
      </c>
      <c r="EW24" s="350">
        <f t="shared" si="11"/>
        <v>171.6459999999999</v>
      </c>
      <c r="EX24" s="350">
        <f t="shared" si="11"/>
        <v>235.05399999999992</v>
      </c>
      <c r="EY24" s="350">
        <f t="shared" si="11"/>
        <v>301.68399999999951</v>
      </c>
      <c r="EZ24" s="350">
        <f t="shared" si="11"/>
        <v>421.77999999999952</v>
      </c>
      <c r="FA24" s="350">
        <f t="shared" si="11"/>
        <v>596.32000000000107</v>
      </c>
      <c r="FB24" s="350">
        <f t="shared" si="11"/>
        <v>790.85699999999963</v>
      </c>
      <c r="FC24" s="350">
        <f t="shared" si="11"/>
        <v>1021.6220000000014</v>
      </c>
      <c r="FD24" s="350">
        <f t="shared" si="11"/>
        <v>933.69600000000025</v>
      </c>
      <c r="FE24" s="350">
        <f t="shared" si="11"/>
        <v>1130.9840000000013</v>
      </c>
      <c r="FF24" s="350">
        <f t="shared" si="11"/>
        <v>1353.6778135048221</v>
      </c>
      <c r="FG24" s="350">
        <f t="shared" si="11"/>
        <v>1774.2375000000029</v>
      </c>
      <c r="FH24" s="349">
        <f t="shared" si="11"/>
        <v>1742.0209999999997</v>
      </c>
      <c r="FI24" s="350">
        <f t="shared" si="11"/>
        <v>1424.8589999999997</v>
      </c>
      <c r="FJ24" s="350">
        <f t="shared" si="11"/>
        <v>1558</v>
      </c>
      <c r="FK24" s="1257"/>
      <c r="FL24" s="350">
        <f t="shared" si="11"/>
        <v>1788</v>
      </c>
      <c r="FM24" s="350">
        <f t="shared" si="11"/>
        <v>1860</v>
      </c>
      <c r="FN24" s="350">
        <f t="shared" si="11"/>
        <v>1560.5</v>
      </c>
      <c r="FO24" s="350">
        <f t="shared" si="11"/>
        <v>1404</v>
      </c>
      <c r="FP24" s="350">
        <f t="shared" si="11"/>
        <v>1349</v>
      </c>
      <c r="FQ24" s="350">
        <f t="shared" si="11"/>
        <v>1225</v>
      </c>
      <c r="FR24" s="350">
        <f t="shared" si="11"/>
        <v>1060</v>
      </c>
      <c r="FS24" s="350">
        <f t="shared" si="11"/>
        <v>1117</v>
      </c>
      <c r="FT24" s="350">
        <f>FT20-FT22-FT23</f>
        <v>1056.8090430399989</v>
      </c>
      <c r="FU24" s="350">
        <f>FU20-FU22-FU23</f>
        <v>893.97004539693989</v>
      </c>
      <c r="FV24" s="351">
        <f>FV20-FV22-FV23</f>
        <v>796.71483042572436</v>
      </c>
      <c r="FW24" s="350">
        <f>FW20-FW22-FW23</f>
        <v>694.56199099786318</v>
      </c>
      <c r="FX24" s="351">
        <f>FX20-FX22-FX23</f>
        <v>639.08980376525324</v>
      </c>
      <c r="FZ24"/>
      <c r="GA24"/>
      <c r="GB24"/>
      <c r="GC24"/>
      <c r="GD24"/>
      <c r="GE24"/>
      <c r="GF24" s="303"/>
      <c r="GG24" s="303"/>
      <c r="GH24" s="303"/>
      <c r="GI24" s="303"/>
      <c r="GJ24" s="303"/>
      <c r="GK24" s="303"/>
      <c r="GL24" s="303"/>
      <c r="GM24" s="303"/>
      <c r="GN24" s="303"/>
      <c r="GO24" s="303"/>
      <c r="GP24" s="303"/>
      <c r="GQ24" s="303"/>
      <c r="GR24" s="303"/>
      <c r="GS24" s="303"/>
      <c r="GT24" s="303"/>
      <c r="GU24" s="303"/>
      <c r="GV24" s="303"/>
      <c r="GW24" s="303"/>
      <c r="GX24" s="303"/>
      <c r="GY24" s="303"/>
      <c r="GZ24" s="303"/>
      <c r="HA24" s="303"/>
      <c r="HB24" s="303"/>
      <c r="HC24" s="303"/>
      <c r="HD24" s="303"/>
      <c r="HE24" s="303"/>
      <c r="HF24" s="303"/>
      <c r="HG24" s="303"/>
      <c r="HH24" s="303"/>
      <c r="HI24" s="303"/>
      <c r="HJ24" s="303"/>
      <c r="HK24" s="303"/>
      <c r="HL24" s="303"/>
      <c r="HM24" s="303"/>
      <c r="HN24" s="303"/>
      <c r="HO24" s="303"/>
      <c r="HP24" s="303"/>
      <c r="HQ24" s="303"/>
      <c r="HR24" s="303"/>
      <c r="HS24" s="303"/>
      <c r="HT24" s="303"/>
      <c r="HU24" s="303"/>
      <c r="HV24" s="303"/>
      <c r="HW24" s="303"/>
      <c r="HX24" s="303"/>
      <c r="HY24" s="303"/>
      <c r="HZ24" s="303"/>
      <c r="IA24" s="303"/>
      <c r="IB24" s="303"/>
      <c r="IC24" s="303"/>
      <c r="ID24" s="303"/>
      <c r="IE24" s="303"/>
      <c r="IF24" s="303"/>
      <c r="IG24" s="303"/>
      <c r="IH24" s="303"/>
      <c r="II24" s="303"/>
      <c r="IJ24" s="303"/>
      <c r="IK24" s="303"/>
      <c r="IL24" s="303"/>
      <c r="IM24" s="303"/>
      <c r="IN24" s="303"/>
      <c r="IO24" s="303"/>
      <c r="IP24" s="303"/>
      <c r="IQ24" s="303"/>
      <c r="IR24" s="303"/>
      <c r="IS24" s="303"/>
      <c r="IT24" s="303"/>
      <c r="IU24" s="303"/>
      <c r="IV24" s="303"/>
      <c r="IW24" s="303"/>
      <c r="IX24" s="303"/>
      <c r="IY24" s="303"/>
      <c r="IZ24" s="303"/>
      <c r="JA24" s="303"/>
      <c r="JB24" s="303"/>
      <c r="JC24" s="303"/>
    </row>
    <row r="25" spans="1:263" ht="9" customHeight="1" x14ac:dyDescent="0.2">
      <c r="A25" s="334"/>
      <c r="B25" s="305"/>
      <c r="C25" s="305"/>
      <c r="D25" s="305"/>
      <c r="E25" s="305"/>
      <c r="F25" s="305"/>
      <c r="G25" s="305"/>
      <c r="H25" s="305"/>
      <c r="I25" s="305"/>
      <c r="J25" s="305"/>
      <c r="K25" s="305"/>
      <c r="L25" s="305"/>
      <c r="M25" s="305"/>
      <c r="N25" s="305"/>
      <c r="O25" s="305"/>
      <c r="P25" s="305"/>
      <c r="Q25" s="305"/>
      <c r="R25" s="305"/>
      <c r="S25" s="305"/>
      <c r="T25" s="305"/>
      <c r="U25" s="305"/>
      <c r="V25" s="305"/>
      <c r="W25" s="305"/>
      <c r="X25" s="305"/>
      <c r="Y25" s="305"/>
      <c r="Z25" s="305"/>
      <c r="AA25" s="305"/>
      <c r="AB25" s="305"/>
      <c r="AC25" s="305"/>
      <c r="AD25" s="305"/>
      <c r="AE25" s="305"/>
      <c r="AF25" s="305"/>
      <c r="AG25" s="305"/>
      <c r="AH25" s="305"/>
      <c r="AI25" s="305"/>
      <c r="AJ25" s="305"/>
      <c r="AK25" s="305"/>
      <c r="AL25" s="305"/>
      <c r="AM25" s="305"/>
      <c r="AN25" s="305"/>
      <c r="AO25" s="305"/>
      <c r="AP25" s="305"/>
      <c r="AQ25" s="305"/>
      <c r="AR25" s="305"/>
      <c r="AS25" s="305"/>
      <c r="AT25" s="305"/>
      <c r="AU25" s="305"/>
      <c r="AV25" s="305"/>
      <c r="AW25" s="305"/>
      <c r="AX25" s="305"/>
      <c r="AY25" s="305"/>
      <c r="AZ25" s="305"/>
      <c r="BA25" s="305"/>
      <c r="BB25" s="305"/>
      <c r="BC25" s="305"/>
      <c r="BD25" s="305"/>
      <c r="BE25" s="305"/>
      <c r="BF25" s="305"/>
      <c r="BG25" s="305"/>
      <c r="BH25" s="305"/>
      <c r="BI25" s="305"/>
      <c r="BJ25" s="305"/>
      <c r="BK25" s="305"/>
      <c r="BL25" s="305"/>
      <c r="BM25" s="305"/>
      <c r="BN25" s="305"/>
      <c r="BO25" s="305"/>
      <c r="BP25" s="305"/>
      <c r="BQ25" s="305"/>
      <c r="BR25" s="305"/>
      <c r="BS25" s="305"/>
      <c r="BT25" s="305"/>
      <c r="BU25" s="305"/>
      <c r="BV25" s="305"/>
      <c r="BW25" s="305"/>
      <c r="BX25" s="305"/>
      <c r="BY25" s="305"/>
      <c r="BZ25" s="305"/>
      <c r="CA25" s="305"/>
      <c r="CB25" s="305"/>
      <c r="CC25" s="305"/>
      <c r="CD25" s="305"/>
      <c r="CE25" s="305"/>
      <c r="CF25" s="305"/>
      <c r="CG25" s="305"/>
      <c r="CH25" s="305"/>
      <c r="CI25" s="305"/>
      <c r="CJ25" s="305"/>
      <c r="CK25" s="305"/>
      <c r="CL25" s="305"/>
      <c r="CM25" s="305"/>
      <c r="CN25" s="305"/>
      <c r="CO25" s="305"/>
      <c r="CP25" s="305"/>
      <c r="CQ25" s="305"/>
      <c r="CR25" s="305"/>
      <c r="CS25" s="305"/>
      <c r="CT25" s="305"/>
      <c r="CU25" s="305"/>
      <c r="CV25" s="305"/>
      <c r="CW25" s="305"/>
      <c r="CX25" s="305"/>
      <c r="CY25" s="305"/>
      <c r="CZ25" s="305"/>
      <c r="DA25" s="305"/>
      <c r="DB25" s="305"/>
      <c r="DC25" s="305"/>
      <c r="DD25" s="305"/>
      <c r="DE25" s="305"/>
      <c r="DF25" s="305"/>
      <c r="DG25" s="305"/>
      <c r="DH25" s="305"/>
      <c r="DI25" s="305"/>
      <c r="DJ25" s="305"/>
      <c r="DK25" s="305"/>
      <c r="DL25" s="305"/>
      <c r="DM25" s="305"/>
      <c r="DN25" s="305"/>
      <c r="DO25" s="305"/>
      <c r="DP25" s="305"/>
      <c r="DQ25" s="305"/>
      <c r="DR25" s="305"/>
      <c r="DS25" s="305"/>
      <c r="DT25" s="305"/>
      <c r="DU25" s="305"/>
      <c r="DV25" s="305"/>
      <c r="DW25" s="305"/>
      <c r="DX25" s="305"/>
      <c r="DY25" s="305"/>
      <c r="DZ25" s="305"/>
      <c r="EA25" s="305"/>
      <c r="EB25" s="305"/>
      <c r="EC25" s="305"/>
      <c r="ED25" s="305"/>
      <c r="EE25" s="305"/>
      <c r="EF25" s="305"/>
      <c r="EG25" s="305"/>
      <c r="EH25" s="305"/>
      <c r="EI25" s="305"/>
      <c r="EJ25" s="305"/>
      <c r="EK25" s="305"/>
      <c r="EL25" s="305"/>
      <c r="EM25" s="1193"/>
      <c r="EN25" s="1193"/>
      <c r="EO25" s="1193"/>
      <c r="EP25" s="1193"/>
      <c r="EQ25" s="334"/>
      <c r="ER25" s="305"/>
      <c r="ES25" s="305"/>
      <c r="ET25" s="305"/>
      <c r="EU25" s="305"/>
      <c r="EV25" s="305"/>
      <c r="EW25" s="305"/>
      <c r="EX25" s="305"/>
      <c r="EY25" s="305"/>
      <c r="EZ25" s="305"/>
      <c r="FA25" s="305"/>
      <c r="FB25" s="305"/>
      <c r="FC25" s="305"/>
      <c r="FD25" s="305"/>
      <c r="FE25" s="305"/>
      <c r="FF25" s="305"/>
      <c r="FG25" s="305"/>
      <c r="FH25" s="334"/>
      <c r="FI25" s="305"/>
      <c r="FJ25" s="305"/>
      <c r="FK25" s="1253"/>
      <c r="FL25" s="305"/>
      <c r="FM25" s="305"/>
      <c r="FN25" s="305"/>
      <c r="FO25" s="305"/>
      <c r="FP25" s="305"/>
      <c r="FQ25" s="305"/>
      <c r="FR25" s="305"/>
      <c r="FS25" s="305"/>
      <c r="FT25" s="305"/>
      <c r="FU25" s="305"/>
      <c r="FV25" s="335"/>
      <c r="FW25" s="305"/>
      <c r="FX25" s="335"/>
    </row>
    <row r="26" spans="1:263" s="315" customFormat="1" x14ac:dyDescent="0.2">
      <c r="A26" s="346" t="s">
        <v>182</v>
      </c>
      <c r="B26" s="347"/>
      <c r="C26" s="348">
        <f>INDEX('qtrP&amp;L'!$130:$130,MATCH(C$6,'qtrP&amp;L'!$6:$6,0))</f>
        <v>-1.1919999999999999</v>
      </c>
      <c r="D26" s="348">
        <f>INDEX('qtrP&amp;L'!$131:$131,MATCH(C$6,'qtrP&amp;L'!$6:$6,0))</f>
        <v>-1.6850000000000001</v>
      </c>
      <c r="E26" s="348">
        <f>INDEX('qtrP&amp;L'!$132:$132,MATCH(C$6,'qtrP&amp;L'!$6:$6,0))</f>
        <v>2.972</v>
      </c>
      <c r="F26" s="348">
        <f>INDEX('qtrP&amp;L'!$133:$133,MATCH(C$6,'qtrP&amp;L'!$6:$6,0))</f>
        <v>9.0129999999999999</v>
      </c>
      <c r="G26" s="348"/>
      <c r="H26" s="348">
        <f>INDEX('qtrP&amp;L'!$130:$130,MATCH(H$6,'qtrP&amp;L'!$6:$6,0))</f>
        <v>0.432</v>
      </c>
      <c r="I26" s="348">
        <f>INDEX('qtrP&amp;L'!$131:$131,MATCH(H$6,'qtrP&amp;L'!$6:$6,0))</f>
        <v>-0.123</v>
      </c>
      <c r="J26" s="348">
        <f>INDEX('qtrP&amp;L'!$132:$132,MATCH(H$6,'qtrP&amp;L'!$6:$6,0))</f>
        <v>3.7949999999999999</v>
      </c>
      <c r="K26" s="348">
        <f>INDEX('qtrP&amp;L'!$133:$133,MATCH(H$6,'qtrP&amp;L'!$6:$6,0))</f>
        <v>10.433999999999999</v>
      </c>
      <c r="L26" s="348"/>
      <c r="M26" s="348">
        <f>INDEX('qtrP&amp;L'!$130:$130,MATCH(M$6,'qtrP&amp;L'!$6:$6,0))</f>
        <v>2.1110000000000002</v>
      </c>
      <c r="N26" s="348">
        <f>INDEX('qtrP&amp;L'!$131:$131,MATCH(M$6,'qtrP&amp;L'!$6:$6,0))</f>
        <v>-4.4720000000000004</v>
      </c>
      <c r="O26" s="348">
        <f>INDEX('qtrP&amp;L'!$132:$132,MATCH(M$6,'qtrP&amp;L'!$6:$6,0))</f>
        <v>7.6550000000000002</v>
      </c>
      <c r="P26" s="348">
        <f>INDEX('qtrP&amp;L'!$133:$133,MATCH(M$6,'qtrP&amp;L'!$6:$6,0))</f>
        <v>16.146000000000001</v>
      </c>
      <c r="Q26" s="348"/>
      <c r="R26" s="348">
        <f>INDEX('qtrP&amp;L'!$130:$130,MATCH(R$6,'qtrP&amp;L'!$6:$6,0))</f>
        <v>5.41</v>
      </c>
      <c r="S26" s="348">
        <f>INDEX('qtrP&amp;L'!$131:$131,MATCH(R$6,'qtrP&amp;L'!$6:$6,0))</f>
        <v>4.9130000000000003</v>
      </c>
      <c r="T26" s="348">
        <f>INDEX('qtrP&amp;L'!$132:$132,MATCH(R$6,'qtrP&amp;L'!$6:$6,0))</f>
        <v>10.034000000000001</v>
      </c>
      <c r="U26" s="348">
        <f>INDEX('qtrP&amp;L'!$133:$133,MATCH(R$6,'qtrP&amp;L'!$6:$6,0))</f>
        <v>20.672000000000001</v>
      </c>
      <c r="V26" s="348"/>
      <c r="W26" s="348">
        <f>INDEX('qtrP&amp;L'!$130:$130,MATCH(W$6,'qtrP&amp;L'!$6:$6,0))</f>
        <v>8.25</v>
      </c>
      <c r="X26" s="348">
        <f>INDEX('qtrP&amp;L'!$131:$131,MATCH(W$6,'qtrP&amp;L'!$6:$6,0))</f>
        <v>6.8959999999999999</v>
      </c>
      <c r="Y26" s="348">
        <f>INDEX('qtrP&amp;L'!$132:$132,MATCH(W$6,'qtrP&amp;L'!$6:$6,0))</f>
        <v>9.766</v>
      </c>
      <c r="Z26" s="348">
        <f>INDEX('qtrP&amp;L'!$133:$133,MATCH(W$6,'qtrP&amp;L'!$6:$6,0))</f>
        <v>24.027000000000001</v>
      </c>
      <c r="AA26" s="348"/>
      <c r="AB26" s="348">
        <f>INDEX('qtrP&amp;L'!$130:$130,MATCH(AB$6,'qtrP&amp;L'!$6:$6,0))</f>
        <v>8.1300000000000008</v>
      </c>
      <c r="AC26" s="348">
        <f>INDEX('qtrP&amp;L'!$131:$131,MATCH(AB$6,'qtrP&amp;L'!$6:$6,0))</f>
        <v>7.681</v>
      </c>
      <c r="AD26" s="348">
        <f>INDEX('qtrP&amp;L'!$132:$132,MATCH(AB$6,'qtrP&amp;L'!$6:$6,0))</f>
        <v>5.258</v>
      </c>
      <c r="AE26" s="348">
        <f>INDEX('qtrP&amp;L'!$133:$133,MATCH(AB$6,'qtrP&amp;L'!$6:$6,0))</f>
        <v>29.007999999999999</v>
      </c>
      <c r="AF26" s="348"/>
      <c r="AG26" s="348">
        <f>INDEX('qtrP&amp;L'!$130:$130,MATCH(AG$6,'qtrP&amp;L'!$6:$6,0))</f>
        <v>9.4450000000000003</v>
      </c>
      <c r="AH26" s="348">
        <f>INDEX('qtrP&amp;L'!$131:$131,MATCH(AG$6,'qtrP&amp;L'!$6:$6,0))</f>
        <v>10.176</v>
      </c>
      <c r="AI26" s="348">
        <f>INDEX('qtrP&amp;L'!$132:$132,MATCH(AG$6,'qtrP&amp;L'!$6:$6,0))</f>
        <v>14.706</v>
      </c>
      <c r="AJ26" s="348">
        <f>INDEX('qtrP&amp;L'!$133:$133,MATCH(AG$6,'qtrP&amp;L'!$6:$6,0))</f>
        <v>34.563000000000002</v>
      </c>
      <c r="AK26" s="348"/>
      <c r="AL26" s="348">
        <f>INDEX('qtrP&amp;L'!$130:$130,MATCH(AL$6,'qtrP&amp;L'!$6:$6,0))</f>
        <v>10.163</v>
      </c>
      <c r="AM26" s="348">
        <f>INDEX('qtrP&amp;L'!$131:$131,MATCH(AL$6,'qtrP&amp;L'!$6:$6,0))</f>
        <v>13.836</v>
      </c>
      <c r="AN26" s="348">
        <f>INDEX('qtrP&amp;L'!$132:$132,MATCH(AL$6,'qtrP&amp;L'!$6:$6,0))</f>
        <v>21.604652999999971</v>
      </c>
      <c r="AO26" s="348">
        <f>INDEX('qtrP&amp;L'!$133:$133,MATCH(AL$6,'qtrP&amp;L'!$6:$6,0))</f>
        <v>48.194012999999998</v>
      </c>
      <c r="AP26" s="348"/>
      <c r="AQ26" s="348">
        <f>INDEX('qtrP&amp;L'!$130:$130,MATCH(AQ$6,'qtrP&amp;L'!$6:$6,0))</f>
        <v>17.382999999999999</v>
      </c>
      <c r="AR26" s="348">
        <f>INDEX('qtrP&amp;L'!$131:$131,MATCH(AQ$6,'qtrP&amp;L'!$6:$6,0))</f>
        <v>19.413414000000007</v>
      </c>
      <c r="AS26" s="348">
        <f>INDEX('qtrP&amp;L'!$132:$132,MATCH(AQ$6,'qtrP&amp;L'!$6:$6,0))</f>
        <v>25.902999999999999</v>
      </c>
      <c r="AT26" s="348">
        <f>INDEX('qtrP&amp;L'!$133:$133,MATCH(AQ$6,'qtrP&amp;L'!$6:$6,0))</f>
        <v>60.9</v>
      </c>
      <c r="AU26" s="348"/>
      <c r="AV26" s="348">
        <f>INDEX('qtrP&amp;L'!$130:$130,MATCH(AV$6,'qtrP&amp;L'!$6:$6,0))</f>
        <v>24.823</v>
      </c>
      <c r="AW26" s="348">
        <f>INDEX('qtrP&amp;L'!$131:$131,MATCH(AV$6,'qtrP&amp;L'!$6:$6,0))</f>
        <v>28.558</v>
      </c>
      <c r="AX26" s="348">
        <f>INDEX('qtrP&amp;L'!$132:$132,MATCH(AV$6,'qtrP&amp;L'!$6:$6,0))</f>
        <v>33.468000000000004</v>
      </c>
      <c r="AY26" s="348">
        <f>INDEX('qtrP&amp;L'!$133:$133,MATCH(AV$6,'qtrP&amp;L'!$6:$6,0))</f>
        <v>76.120999999999995</v>
      </c>
      <c r="AZ26" s="348"/>
      <c r="BA26" s="348">
        <f>INDEX('qtrP&amp;L'!$130:$130,MATCH(BA$6,'qtrP&amp;L'!$6:$6,0))</f>
        <v>33.146999999999998</v>
      </c>
      <c r="BB26" s="348">
        <f>INDEX('qtrP&amp;L'!$131:$131,MATCH(BA$6,'qtrP&amp;L'!$6:$6,0))</f>
        <v>40.345999999999997</v>
      </c>
      <c r="BC26" s="348">
        <f>INDEX('qtrP&amp;L'!$132:$132,MATCH(BA$6,'qtrP&amp;L'!$6:$6,0))</f>
        <v>48.250999999999998</v>
      </c>
      <c r="BD26" s="348">
        <f>INDEX('qtrP&amp;L'!$133:$133,MATCH(BA$6,'qtrP&amp;L'!$6:$6,0))</f>
        <v>111.224</v>
      </c>
      <c r="BE26" s="348"/>
      <c r="BF26" s="348">
        <f>INDEX('qtrP&amp;L'!$130:$130,MATCH(BF$6,'qtrP&amp;L'!$6:$6,0))</f>
        <v>46.823</v>
      </c>
      <c r="BG26" s="348">
        <f>INDEX('qtrP&amp;L'!$131:$131,MATCH(BF$6,'qtrP&amp;L'!$6:$6,0))</f>
        <v>53.081000000000003</v>
      </c>
      <c r="BH26" s="348">
        <f>INDEX('qtrP&amp;L'!$132:$132,MATCH(BF$6,'qtrP&amp;L'!$6:$6,0))</f>
        <v>61.954000000000001</v>
      </c>
      <c r="BI26" s="348">
        <f>INDEX('qtrP&amp;L'!$133:$133,MATCH(BF$6,'qtrP&amp;L'!$6:$6,0))</f>
        <v>142.33000000000001</v>
      </c>
      <c r="BJ26" s="348"/>
      <c r="BK26" s="348">
        <f>INDEX('qtrP&amp;L'!$130:$130,MATCH(BK$6,'qtrP&amp;L'!$6:$6,0))</f>
        <v>64.796000000000006</v>
      </c>
      <c r="BL26" s="348">
        <f>INDEX('qtrP&amp;L'!$131:$131,MATCH(BK$6,'qtrP&amp;L'!$6:$6,0))</f>
        <v>75.599999999999994</v>
      </c>
      <c r="BM26" s="348">
        <f>INDEX('qtrP&amp;L'!$132:$132,MATCH(BK$6,'qtrP&amp;L'!$6:$6,0))</f>
        <v>81.099999999999994</v>
      </c>
      <c r="BN26" s="348">
        <f>INDEX('qtrP&amp;L'!$133:$133,MATCH(BK$6,'qtrP&amp;L'!$6:$6,0))</f>
        <v>169.52</v>
      </c>
      <c r="BO26" s="348"/>
      <c r="BP26" s="348">
        <f>INDEX('qtrP&amp;L'!$130:$130,MATCH(BP$6,'qtrP&amp;L'!$6:$6,0))</f>
        <v>67.462000000000003</v>
      </c>
      <c r="BQ26" s="348">
        <f>INDEX('qtrP&amp;L'!$131:$131,MATCH(BP$6,'qtrP&amp;L'!$6:$6,0))</f>
        <v>68.2</v>
      </c>
      <c r="BR26" s="348">
        <f>INDEX('qtrP&amp;L'!$132:$132,MATCH(BP$6,'qtrP&amp;L'!$6:$6,0))</f>
        <v>73.599999999999994</v>
      </c>
      <c r="BS26" s="348">
        <f>INDEX('qtrP&amp;L'!$133:$133,MATCH(BP$6,'qtrP&amp;L'!$6:$6,0))</f>
        <v>148.69999999999999</v>
      </c>
      <c r="BT26" s="348"/>
      <c r="BU26" s="348">
        <f>INDEX('qtrP&amp;L'!$130:$130,MATCH(BU$6,'qtrP&amp;L'!$6:$6,0))</f>
        <v>62.634599999999956</v>
      </c>
      <c r="BV26" s="348">
        <f>INDEX('qtrP&amp;L'!$131:$131,MATCH(BU$6,'qtrP&amp;L'!$6:$6,0))</f>
        <v>89.272999999999996</v>
      </c>
      <c r="BW26" s="348">
        <f>INDEX('qtrP&amp;L'!$132:$132,MATCH(BU$6,'qtrP&amp;L'!$6:$6,0))</f>
        <v>81.812430000000049</v>
      </c>
      <c r="BX26" s="348">
        <f>INDEX('qtrP&amp;L'!$133:$133,MATCH(BU$6,'qtrP&amp;L'!$6:$6,0))</f>
        <v>193.75108200000011</v>
      </c>
      <c r="BY26" s="348"/>
      <c r="BZ26" s="348">
        <f>INDEX('qtrP&amp;L'!$130:$130,MATCH(BZ$6,'qtrP&amp;L'!$6:$6,0))</f>
        <v>75.8</v>
      </c>
      <c r="CA26" s="348">
        <f>INDEX('qtrP&amp;L'!$131:$131,MATCH(BZ$6,'qtrP&amp;L'!$6:$6,0))</f>
        <v>113.77803390083395</v>
      </c>
      <c r="CB26" s="348">
        <f>INDEX('qtrP&amp;L'!$132:$132,MATCH(BZ$6,'qtrP&amp;L'!$6:$6,0))</f>
        <v>94.299999999999912</v>
      </c>
      <c r="CC26" s="348">
        <f>INDEX('qtrP&amp;L'!$133:$133,MATCH(BZ$6,'qtrP&amp;L'!$6:$6,0))</f>
        <v>227.9</v>
      </c>
      <c r="CD26" s="348"/>
      <c r="CE26" s="348">
        <f>INDEX('qtrP&amp;L'!$130:$130,MATCH(CE$6,'qtrP&amp;L'!$6:$6,0))</f>
        <v>100.73812835820897</v>
      </c>
      <c r="CF26" s="348">
        <f>INDEX('qtrP&amp;L'!$131:$131,MATCH(CE$6,'qtrP&amp;L'!$6:$6,0))</f>
        <v>137.00259610178679</v>
      </c>
      <c r="CG26" s="348">
        <f>INDEX('qtrP&amp;L'!$132:$132,MATCH(CE$6,'qtrP&amp;L'!$6:$6,0))</f>
        <v>134.69900000000001</v>
      </c>
      <c r="CH26" s="348">
        <f>INDEX('qtrP&amp;L'!$133:$133,MATCH(CE$6,'qtrP&amp;L'!$6:$6,0))</f>
        <v>293.2</v>
      </c>
      <c r="CI26" s="348"/>
      <c r="CJ26" s="348">
        <f>INDEX('qtrP&amp;L'!$130:$130,MATCH(CJ$6,'qtrP&amp;L'!$6:$6,0))</f>
        <v>126.9</v>
      </c>
      <c r="CK26" s="348">
        <f>INDEX('qtrP&amp;L'!$131:$131,MATCH(CJ$6,'qtrP&amp;L'!$6:$6,0))</f>
        <v>164</v>
      </c>
      <c r="CL26" s="348">
        <f>INDEX('qtrP&amp;L'!$132:$132,MATCH(CJ$6,'qtrP&amp;L'!$6:$6,0))</f>
        <v>118.2</v>
      </c>
      <c r="CM26" s="348">
        <f>INDEX('qtrP&amp;L'!$133:$133,MATCH(CJ$6,'qtrP&amp;L'!$6:$6,0))</f>
        <v>249.1</v>
      </c>
      <c r="CN26" s="348"/>
      <c r="CO26" s="348">
        <f>INDEX('qtrP&amp;L'!$130:$130,MATCH(CO$6,'qtrP&amp;L'!$6:$6,0))</f>
        <v>91.774000000000001</v>
      </c>
      <c r="CP26" s="348">
        <f>INDEX('qtrP&amp;L'!$131:$131,MATCH(CO$6,'qtrP&amp;L'!$6:$6,0))</f>
        <v>144.041</v>
      </c>
      <c r="CQ26" s="348">
        <f>INDEX('qtrP&amp;L'!$132:$132,MATCH(CO$6,'qtrP&amp;L'!$6:$6,0))</f>
        <v>96.917000000000002</v>
      </c>
      <c r="CR26" s="348">
        <f>INDEX('qtrP&amp;L'!$133:$133,MATCH(CO$6,'qtrP&amp;L'!$6:$6,0))</f>
        <v>207</v>
      </c>
      <c r="CS26" s="348"/>
      <c r="CT26" s="348">
        <f>INDEX('qtrP&amp;L'!$130:$130,MATCH(CT$6,'qtrP&amp;L'!$6:$6,0))</f>
        <v>82</v>
      </c>
      <c r="CU26" s="348">
        <f>INDEX('qtrP&amp;L'!$131:$131,MATCH(CT$6,'qtrP&amp;L'!$6:$6,0))</f>
        <v>138.9</v>
      </c>
      <c r="CV26" s="348">
        <f>INDEX('qtrP&amp;L'!$132:$132,MATCH(CT$6,'qtrP&amp;L'!$6:$6,0))</f>
        <v>115</v>
      </c>
      <c r="CW26" s="348">
        <f>INDEX('qtrP&amp;L'!$133:$133,MATCH(CT$6,'qtrP&amp;L'!$6:$6,0))</f>
        <v>260</v>
      </c>
      <c r="CX26" s="348"/>
      <c r="CY26" s="348">
        <f>INDEX('qtrP&amp;L'!$130:$130,MATCH(CY$6,'qtrP&amp;L'!$6:$6,0))</f>
        <v>116</v>
      </c>
      <c r="CZ26" s="348">
        <f>INDEX('qtrP&amp;L'!$131:$131,MATCH(CY$6,'qtrP&amp;L'!$6:$6,0))</f>
        <v>155</v>
      </c>
      <c r="DA26" s="348">
        <f>INDEX('qtrP&amp;L'!$132:$132,MATCH(CY$6,'qtrP&amp;L'!$6:$6,0))</f>
        <v>101</v>
      </c>
      <c r="DB26" s="348">
        <f>INDEX('qtrP&amp;L'!$133:$133,MATCH(CY$6,'qtrP&amp;L'!$6:$6,0))</f>
        <v>296</v>
      </c>
      <c r="DC26" s="348"/>
      <c r="DD26" s="348">
        <f>INDEX('qtrP&amp;L'!$130:$130,MATCH(DD$6,'qtrP&amp;L'!$6:$6,0))</f>
        <v>114</v>
      </c>
      <c r="DE26" s="348">
        <f>INDEX('qtrP&amp;L'!$131:$131,MATCH(DD$6,'qtrP&amp;L'!$6:$6,0))</f>
        <v>176</v>
      </c>
      <c r="DF26" s="348">
        <f>INDEX('qtrP&amp;L'!$132:$132,MATCH(DD$6,'qtrP&amp;L'!$6:$6,0))</f>
        <v>129</v>
      </c>
      <c r="DG26" s="348">
        <f>INDEX('qtrP&amp;L'!$133:$133,MATCH(DD$6,'qtrP&amp;L'!$6:$6,0))</f>
        <v>274</v>
      </c>
      <c r="DH26" s="348"/>
      <c r="DI26" s="348">
        <f>INDEX('qtrP&amp;L'!$130:$130,MATCH(DI$6,'qtrP&amp;L'!$6:$6,0))</f>
        <v>85</v>
      </c>
      <c r="DJ26" s="348">
        <f>INDEX('qtrP&amp;L'!$131:$131,MATCH(DI$6,'qtrP&amp;L'!$6:$6,0))</f>
        <v>137</v>
      </c>
      <c r="DK26" s="348">
        <f>INDEX('qtrP&amp;L'!$132:$132,MATCH(DI$6,'qtrP&amp;L'!$6:$6,0))</f>
        <v>130</v>
      </c>
      <c r="DL26" s="348">
        <f>INDEX('qtrP&amp;L'!$133:$133,MATCH(DI$6,'qtrP&amp;L'!$6:$6,0))</f>
        <v>223</v>
      </c>
      <c r="DM26" s="348"/>
      <c r="DN26" s="348">
        <f>INDEX('qtrP&amp;L'!$130:$130,MATCH(DN$6,'qtrP&amp;L'!$6:$6,0))</f>
        <v>87</v>
      </c>
      <c r="DO26" s="348">
        <f>INDEX('qtrP&amp;L'!$131:$131,MATCH(DN$6,'qtrP&amp;L'!$6:$6,0))</f>
        <v>136</v>
      </c>
      <c r="DP26" s="348">
        <f>INDEX('qtrP&amp;L'!$132:$132,MATCH(DN$6,'qtrP&amp;L'!$6:$6,0))</f>
        <v>104</v>
      </c>
      <c r="DQ26" s="348">
        <f>INDEX('qtrP&amp;L'!$133:$133,MATCH(DN$6,'qtrP&amp;L'!$6:$6,0))</f>
        <v>188</v>
      </c>
      <c r="DR26" s="348"/>
      <c r="DS26" s="348">
        <f>INDEX('qtrP&amp;L'!$130:$130,MATCH(DS$6,'qtrP&amp;L'!$6:$6,0))</f>
        <v>70</v>
      </c>
      <c r="DT26" s="348">
        <f>INDEX('qtrP&amp;L'!$131:$131,MATCH(DS$6,'qtrP&amp;L'!$6:$6,0))</f>
        <v>134</v>
      </c>
      <c r="DU26" s="348">
        <f>INDEX('qtrP&amp;L'!$132:$132,MATCH(DS$6,'qtrP&amp;L'!$6:$6,0))</f>
        <v>77</v>
      </c>
      <c r="DV26" s="348">
        <f>INDEX('qtrP&amp;L'!$133:$133,MATCH(DS$6,'qtrP&amp;L'!$6:$6,0))</f>
        <v>201</v>
      </c>
      <c r="DW26" s="348"/>
      <c r="DX26" s="348">
        <f>INDEX('qtrP&amp;L'!$130:$130,MATCH(DX$6,'qtrP&amp;L'!$6:$6,0))</f>
        <v>69</v>
      </c>
      <c r="DY26" s="348">
        <f>INDEX('qtrP&amp;L'!$131:$131,MATCH(DX$6,'qtrP&amp;L'!$6:$6,0))</f>
        <v>126.16</v>
      </c>
      <c r="DZ26" s="348">
        <f>INDEX('qtrP&amp;L'!$132:$132,MATCH(DX$6,'qtrP&amp;L'!$6:$6,0))</f>
        <v>82.68</v>
      </c>
      <c r="EA26" s="348">
        <f>INDEX('qtrP&amp;L'!$133:$133,MATCH(DX$6,'qtrP&amp;L'!$6:$6,0))</f>
        <v>166</v>
      </c>
      <c r="EB26" s="348"/>
      <c r="EC26" s="348">
        <f>INDEX('qtrP&amp;L'!$130:$130,MATCH(EC$6,'qtrP&amp;L'!$6:$6,0))</f>
        <v>33.36</v>
      </c>
      <c r="ED26" s="348">
        <f>INDEX('qtrP&amp;L'!$131:$131,MATCH(EC$6,'qtrP&amp;L'!$6:$6,0))</f>
        <v>130.72</v>
      </c>
      <c r="EE26" s="348">
        <f>INDEX('qtrP&amp;L'!$132:$132,MATCH(EC$6,'qtrP&amp;L'!$6:$6,0))</f>
        <v>76.78</v>
      </c>
      <c r="EF26" s="348">
        <f>INDEX('qtrP&amp;L'!$133:$133,MATCH(EC$6,'qtrP&amp;L'!$6:$6,0))</f>
        <v>146</v>
      </c>
      <c r="EG26" s="305"/>
      <c r="EH26" s="348">
        <f>INDEX('qtrP&amp;L'!$130:$130,MATCH(EH$6,'qtrP&amp;L'!$6:$6,0))</f>
        <v>43</v>
      </c>
      <c r="EI26" s="348">
        <f>INDEX('qtrP&amp;L'!$131:$131,MATCH(EH$6,'qtrP&amp;L'!$6:$6,0))</f>
        <v>124</v>
      </c>
      <c r="EJ26" s="348">
        <f>INDEX('qtrP&amp;L'!$132:$132,MATCH(EH$6,'qtrP&amp;L'!$6:$6,0))</f>
        <v>66</v>
      </c>
      <c r="EK26" s="348">
        <f>INDEX('qtrP&amp;L'!$133:$133,MATCH(EH$6,'qtrP&amp;L'!$6:$6,0))</f>
        <v>167</v>
      </c>
      <c r="EL26" s="348"/>
      <c r="EM26" s="1196">
        <f>INDEX('qtrP&amp;L'!$130:$130,MATCH(EM$6,'qtrP&amp;L'!$6:$6,0))</f>
        <v>26.385292037300019</v>
      </c>
      <c r="EN26" s="1196">
        <f>INDEX('qtrP&amp;L'!$131:$131,MATCH(EM$6,'qtrP&amp;L'!$6:$6,0))</f>
        <v>89.074904996000129</v>
      </c>
      <c r="EO26" s="1196">
        <f>INDEX('qtrP&amp;L'!$132:$132,MATCH(EM$6,'qtrP&amp;L'!$6:$6,0))</f>
        <v>45.449420579499986</v>
      </c>
      <c r="EP26" s="1196">
        <f>INDEX('qtrP&amp;L'!$133:$133,MATCH(EM$6,'qtrP&amp;L'!$6:$6,0))</f>
        <v>98.00859793199983</v>
      </c>
      <c r="EQ26" s="349">
        <f>'yrP&amp;L'!C56</f>
        <v>9.1080000000000005</v>
      </c>
      <c r="ER26" s="350">
        <f>'yrP&amp;L'!D56</f>
        <v>14.538</v>
      </c>
      <c r="ES26" s="350">
        <f>'yrP&amp;L'!E56</f>
        <v>21.442</v>
      </c>
      <c r="ET26" s="350">
        <f>'yrP&amp;L'!F56</f>
        <v>41.028999999999996</v>
      </c>
      <c r="EU26" s="350">
        <f>'yrP&amp;L'!G56</f>
        <v>48.939</v>
      </c>
      <c r="EV26" s="350">
        <f>'yrP&amp;L'!H56</f>
        <v>50.076999999999998</v>
      </c>
      <c r="EW26" s="350">
        <f>'yrP&amp;L'!I56</f>
        <v>68.89</v>
      </c>
      <c r="EX26" s="350">
        <f>'yrP&amp;L'!J56</f>
        <v>93.797665999999964</v>
      </c>
      <c r="EY26" s="350">
        <f>'yrP&amp;L'!K56</f>
        <v>123.599414</v>
      </c>
      <c r="EZ26" s="350">
        <f>'yrP&amp;L'!L56</f>
        <v>162.97</v>
      </c>
      <c r="FA26" s="350">
        <f>'yrP&amp;L'!M56</f>
        <v>232.96800000000002</v>
      </c>
      <c r="FB26" s="350">
        <f>'yrP&amp;L'!N56</f>
        <v>304.18799999999999</v>
      </c>
      <c r="FC26" s="350">
        <f>'yrP&amp;L'!O56</f>
        <v>386.18700000000001</v>
      </c>
      <c r="FD26" s="350">
        <f>'yrP&amp;L'!P56</f>
        <v>352.97399999999999</v>
      </c>
      <c r="FE26" s="350">
        <f>'yrP&amp;L'!Q56</f>
        <v>427.47111200000012</v>
      </c>
      <c r="FF26" s="350">
        <f>'yrP&amp;L'!R56</f>
        <v>511.77803390083386</v>
      </c>
      <c r="FG26" s="350">
        <f>'yrP&amp;L'!S56</f>
        <v>665.6397244599957</v>
      </c>
      <c r="FH26" s="349">
        <f>'yrP&amp;L'!T56</f>
        <v>658.19999999999993</v>
      </c>
      <c r="FI26" s="350">
        <f>'yrP&amp;L'!U56</f>
        <v>539.73199999999997</v>
      </c>
      <c r="FJ26" s="350">
        <f>'yrP&amp;L'!V56</f>
        <v>585</v>
      </c>
      <c r="FK26" s="1257"/>
      <c r="FL26" s="350">
        <f>'yrP&amp;L'!W56</f>
        <v>668</v>
      </c>
      <c r="FM26" s="350">
        <f>'yrP&amp;L'!X56</f>
        <v>693</v>
      </c>
      <c r="FN26" s="350">
        <f>'yrP&amp;L'!Y56</f>
        <v>575</v>
      </c>
      <c r="FO26" s="350">
        <f>'yrP&amp;L'!Z56</f>
        <v>515</v>
      </c>
      <c r="FP26" s="350">
        <f>'yrP&amp;L'!AA56</f>
        <v>482</v>
      </c>
      <c r="FQ26" s="350">
        <f>'yrP&amp;L'!AB56</f>
        <v>442.84000000000003</v>
      </c>
      <c r="FR26" s="350">
        <f>'yrP&amp;L'!AC56</f>
        <v>386.86</v>
      </c>
      <c r="FS26" s="350">
        <f>'yrP&amp;L'!AD56</f>
        <v>400</v>
      </c>
      <c r="FT26" s="350">
        <f>'yrP&amp;L'!AE56</f>
        <v>258.91821554479998</v>
      </c>
      <c r="FU26" s="350">
        <f>'yrP&amp;L'!AF56</f>
        <v>219.0226611222505</v>
      </c>
      <c r="FV26" s="351">
        <f>'yrP&amp;L'!AG56</f>
        <v>195.19513345430266</v>
      </c>
      <c r="FW26" s="350">
        <f>'yrP&amp;L'!AH56</f>
        <v>170.16768779447665</v>
      </c>
      <c r="FX26" s="351">
        <f>'yrP&amp;L'!AI56</f>
        <v>156.5770019224872</v>
      </c>
      <c r="FZ26"/>
      <c r="GA26"/>
      <c r="GB26"/>
      <c r="GC26"/>
      <c r="GD26"/>
      <c r="GE26"/>
      <c r="GF26" s="303"/>
      <c r="GG26" s="303"/>
      <c r="GH26" s="303"/>
      <c r="GI26" s="303"/>
      <c r="GJ26" s="303"/>
      <c r="GK26" s="303"/>
      <c r="GL26" s="303"/>
      <c r="GM26" s="303"/>
      <c r="GN26" s="303"/>
      <c r="GO26" s="303"/>
      <c r="GP26" s="303"/>
      <c r="GQ26" s="303"/>
      <c r="GR26" s="303"/>
      <c r="GS26" s="303"/>
      <c r="GT26" s="303"/>
      <c r="GU26" s="303"/>
      <c r="GV26" s="303"/>
      <c r="GW26" s="303"/>
      <c r="GX26" s="303"/>
      <c r="GY26" s="303"/>
      <c r="GZ26" s="303"/>
      <c r="HA26" s="303"/>
      <c r="HB26" s="303"/>
      <c r="HC26" s="303"/>
      <c r="HD26" s="303"/>
      <c r="HE26" s="303"/>
      <c r="HF26" s="303"/>
      <c r="HG26" s="303"/>
      <c r="HH26" s="303"/>
      <c r="HI26" s="303"/>
      <c r="HJ26" s="303"/>
      <c r="HK26" s="303"/>
      <c r="HL26" s="303"/>
      <c r="HM26" s="303"/>
      <c r="HN26" s="303"/>
      <c r="HO26" s="303"/>
      <c r="HP26" s="303"/>
      <c r="HQ26" s="303"/>
      <c r="HR26" s="303"/>
      <c r="HS26" s="303"/>
      <c r="HT26" s="303"/>
      <c r="HU26" s="303"/>
      <c r="HV26" s="303"/>
      <c r="HW26" s="303"/>
      <c r="HX26" s="303"/>
      <c r="HY26" s="303"/>
      <c r="HZ26" s="303"/>
      <c r="IA26" s="303"/>
      <c r="IB26" s="303"/>
      <c r="IC26" s="303"/>
      <c r="ID26" s="303"/>
      <c r="IE26" s="303"/>
      <c r="IF26" s="303"/>
      <c r="IG26" s="303"/>
      <c r="IH26" s="303"/>
      <c r="II26" s="303"/>
      <c r="IJ26" s="303"/>
      <c r="IK26" s="303"/>
      <c r="IL26" s="303"/>
      <c r="IM26" s="303"/>
      <c r="IN26" s="303"/>
      <c r="IO26" s="303"/>
      <c r="IP26" s="303"/>
      <c r="IQ26" s="303"/>
      <c r="IR26" s="303"/>
      <c r="IS26" s="303"/>
      <c r="IT26" s="303"/>
      <c r="IU26" s="303"/>
      <c r="IV26" s="303"/>
      <c r="IW26" s="303"/>
      <c r="IX26" s="303"/>
      <c r="IY26" s="303"/>
      <c r="IZ26" s="303"/>
      <c r="JA26" s="303"/>
      <c r="JB26" s="303"/>
      <c r="JC26" s="303"/>
    </row>
    <row r="27" spans="1:263" ht="9" customHeight="1" x14ac:dyDescent="0.2">
      <c r="A27" s="334"/>
      <c r="B27" s="305"/>
      <c r="C27" s="305"/>
      <c r="D27" s="305"/>
      <c r="E27" s="305"/>
      <c r="F27" s="305"/>
      <c r="G27" s="305"/>
      <c r="H27" s="305"/>
      <c r="I27" s="305"/>
      <c r="J27" s="305"/>
      <c r="K27" s="305"/>
      <c r="L27" s="305"/>
      <c r="M27" s="305"/>
      <c r="N27" s="305"/>
      <c r="O27" s="305"/>
      <c r="P27" s="305"/>
      <c r="Q27" s="305"/>
      <c r="R27" s="305"/>
      <c r="S27" s="305"/>
      <c r="T27" s="305"/>
      <c r="U27" s="305"/>
      <c r="V27" s="305"/>
      <c r="W27" s="305"/>
      <c r="X27" s="305"/>
      <c r="Y27" s="305"/>
      <c r="Z27" s="305"/>
      <c r="AA27" s="305"/>
      <c r="AB27" s="305"/>
      <c r="AC27" s="305"/>
      <c r="AD27" s="305"/>
      <c r="AE27" s="305"/>
      <c r="AF27" s="305"/>
      <c r="AG27" s="305"/>
      <c r="AH27" s="305"/>
      <c r="AI27" s="305"/>
      <c r="AJ27" s="305"/>
      <c r="AK27" s="305"/>
      <c r="AL27" s="305"/>
      <c r="AM27" s="305"/>
      <c r="AN27" s="305"/>
      <c r="AO27" s="305"/>
      <c r="AP27" s="305"/>
      <c r="AQ27" s="305"/>
      <c r="AR27" s="305"/>
      <c r="AS27" s="305"/>
      <c r="AT27" s="305"/>
      <c r="AU27" s="305"/>
      <c r="AV27" s="305"/>
      <c r="AW27" s="305"/>
      <c r="AX27" s="305"/>
      <c r="AY27" s="305"/>
      <c r="AZ27" s="305"/>
      <c r="BA27" s="305"/>
      <c r="BB27" s="305"/>
      <c r="BC27" s="305"/>
      <c r="BD27" s="305"/>
      <c r="BE27" s="305"/>
      <c r="BF27" s="305"/>
      <c r="BG27" s="305"/>
      <c r="BH27" s="305"/>
      <c r="BI27" s="305"/>
      <c r="BJ27" s="305"/>
      <c r="BK27" s="305"/>
      <c r="BL27" s="305"/>
      <c r="BM27" s="305"/>
      <c r="BN27" s="305"/>
      <c r="BO27" s="305"/>
      <c r="BP27" s="305"/>
      <c r="BQ27" s="305"/>
      <c r="BR27" s="305"/>
      <c r="BS27" s="305"/>
      <c r="BT27" s="305"/>
      <c r="BU27" s="305"/>
      <c r="BV27" s="305"/>
      <c r="BW27" s="305"/>
      <c r="BX27" s="305"/>
      <c r="BY27" s="305"/>
      <c r="BZ27" s="305"/>
      <c r="CA27" s="305"/>
      <c r="CB27" s="305"/>
      <c r="CC27" s="305"/>
      <c r="CD27" s="305"/>
      <c r="CE27" s="305"/>
      <c r="CF27" s="305"/>
      <c r="CG27" s="305"/>
      <c r="CH27" s="305"/>
      <c r="CI27" s="305"/>
      <c r="CJ27" s="305"/>
      <c r="CK27" s="305"/>
      <c r="CL27" s="305"/>
      <c r="CM27" s="305"/>
      <c r="CN27" s="305"/>
      <c r="CO27" s="305"/>
      <c r="CP27" s="305"/>
      <c r="CQ27" s="305"/>
      <c r="CR27" s="305"/>
      <c r="CS27" s="305"/>
      <c r="CT27" s="305"/>
      <c r="CU27" s="305"/>
      <c r="CV27" s="305"/>
      <c r="CW27" s="305"/>
      <c r="CX27" s="305"/>
      <c r="CY27" s="305"/>
      <c r="CZ27" s="305"/>
      <c r="DA27" s="305"/>
      <c r="DB27" s="305"/>
      <c r="DC27" s="305"/>
      <c r="DD27" s="305"/>
      <c r="DE27" s="305"/>
      <c r="DF27" s="305"/>
      <c r="DG27" s="305"/>
      <c r="DH27" s="305"/>
      <c r="DI27" s="305"/>
      <c r="DJ27" s="305"/>
      <c r="DK27" s="305"/>
      <c r="DL27" s="305"/>
      <c r="DM27" s="305"/>
      <c r="DN27" s="305"/>
      <c r="DO27" s="305"/>
      <c r="DP27" s="305"/>
      <c r="DQ27" s="305"/>
      <c r="DR27" s="305"/>
      <c r="DS27" s="305"/>
      <c r="DT27" s="305"/>
      <c r="DU27" s="305"/>
      <c r="DV27" s="305"/>
      <c r="DW27" s="305"/>
      <c r="DX27" s="305"/>
      <c r="DY27" s="305"/>
      <c r="DZ27" s="305"/>
      <c r="EA27" s="305"/>
      <c r="EB27" s="305"/>
      <c r="EC27" s="305"/>
      <c r="ED27" s="305"/>
      <c r="EE27" s="305"/>
      <c r="EF27" s="305"/>
      <c r="EG27" s="305"/>
      <c r="EH27" s="305"/>
      <c r="EI27" s="305"/>
      <c r="EJ27" s="305"/>
      <c r="EK27" s="305"/>
      <c r="EL27" s="305"/>
      <c r="EM27" s="1193"/>
      <c r="EN27" s="1193"/>
      <c r="EO27" s="1193"/>
      <c r="EP27" s="1193"/>
      <c r="EQ27" s="340"/>
      <c r="ER27" s="341"/>
      <c r="ES27" s="341"/>
      <c r="ET27" s="341"/>
      <c r="EU27" s="341"/>
      <c r="EV27" s="341"/>
      <c r="EW27" s="341"/>
      <c r="EX27" s="341"/>
      <c r="EY27" s="341"/>
      <c r="EZ27" s="341"/>
      <c r="FA27" s="341"/>
      <c r="FB27" s="341"/>
      <c r="FC27" s="341"/>
      <c r="FD27" s="341"/>
      <c r="FE27" s="341"/>
      <c r="FF27" s="341"/>
      <c r="FG27" s="341"/>
      <c r="FH27" s="340"/>
      <c r="FI27" s="341"/>
      <c r="FJ27" s="341"/>
      <c r="FK27" s="1255"/>
      <c r="FL27" s="341"/>
      <c r="FM27" s="341"/>
      <c r="FN27" s="341"/>
      <c r="FO27" s="341"/>
      <c r="FP27" s="341"/>
      <c r="FQ27" s="341"/>
      <c r="FR27" s="341"/>
      <c r="FS27" s="341"/>
      <c r="FT27" s="341"/>
      <c r="FU27" s="341"/>
      <c r="FV27" s="342"/>
      <c r="FW27" s="341"/>
      <c r="FX27" s="342"/>
      <c r="FY27" s="320"/>
    </row>
    <row r="28" spans="1:263" x14ac:dyDescent="0.2">
      <c r="A28" s="334" t="s">
        <v>183</v>
      </c>
      <c r="B28" s="305"/>
      <c r="C28" s="336">
        <f>C24-C26</f>
        <v>-1.5049999999999903</v>
      </c>
      <c r="D28" s="336">
        <f>D24-D26</f>
        <v>-2.1270000000000082</v>
      </c>
      <c r="E28" s="336">
        <f>E24-E26</f>
        <v>3.7489999999999806</v>
      </c>
      <c r="F28" s="336">
        <f>F24-F26</f>
        <v>11.368999999999962</v>
      </c>
      <c r="G28" s="361"/>
      <c r="H28" s="336">
        <f>H24-H26</f>
        <v>0.50000000000000577</v>
      </c>
      <c r="I28" s="336">
        <f>I24-I26</f>
        <v>-0.14099999999998514</v>
      </c>
      <c r="J28" s="336">
        <f>J24-J26</f>
        <v>4.6909999999999847</v>
      </c>
      <c r="K28" s="336">
        <f>K24-K26</f>
        <v>13.714999999999966</v>
      </c>
      <c r="L28" s="361"/>
      <c r="M28" s="336">
        <f>M24-M26</f>
        <v>2.7639999999999998</v>
      </c>
      <c r="N28" s="336">
        <f>N24-N26</f>
        <v>-6.7680000000000087</v>
      </c>
      <c r="O28" s="336">
        <f>O24-O26</f>
        <v>10.110999999999979</v>
      </c>
      <c r="P28" s="336">
        <f>P24-P26</f>
        <v>19.528999999999982</v>
      </c>
      <c r="Q28" s="361"/>
      <c r="R28" s="336">
        <f>R24-R26</f>
        <v>7.4529999999999781</v>
      </c>
      <c r="S28" s="336">
        <f>S24-S26</f>
        <v>6.8619999999999983</v>
      </c>
      <c r="T28" s="336">
        <f>T24-T26</f>
        <v>13.065999999999987</v>
      </c>
      <c r="U28" s="336">
        <f>U24-U26</f>
        <v>28.135000000000051</v>
      </c>
      <c r="V28" s="361"/>
      <c r="W28" s="336">
        <f>W24-W26</f>
        <v>13.829000000000011</v>
      </c>
      <c r="X28" s="336">
        <f>X24-X26</f>
        <v>11.570999999999962</v>
      </c>
      <c r="Y28" s="336">
        <f>Y24-Y26</f>
        <v>20.873999999999995</v>
      </c>
      <c r="Z28" s="336">
        <f>Z24-Z26</f>
        <v>34.600000000000023</v>
      </c>
      <c r="AA28" s="361"/>
      <c r="AB28" s="336">
        <f>AB24-AB26</f>
        <v>15.687999999999986</v>
      </c>
      <c r="AC28" s="336">
        <f>AC24-AC26</f>
        <v>13.258000000000013</v>
      </c>
      <c r="AD28" s="336">
        <f>AD24-AD26</f>
        <v>7.575999999999989</v>
      </c>
      <c r="AE28" s="336">
        <f>AE24-AE26</f>
        <v>40.042000000000016</v>
      </c>
      <c r="AF28" s="361"/>
      <c r="AG28" s="336">
        <f>AG24-AG26</f>
        <v>19.972999999999967</v>
      </c>
      <c r="AH28" s="336">
        <f>AH24-AH26</f>
        <v>17.42500000000004</v>
      </c>
      <c r="AI28" s="336">
        <f>AI24-AI26</f>
        <v>22.025000000000031</v>
      </c>
      <c r="AJ28" s="336">
        <f>AJ24-AJ26</f>
        <v>54.778999999999968</v>
      </c>
      <c r="AK28" s="361"/>
      <c r="AL28" s="336">
        <f>AL24-AL26</f>
        <v>30.221</v>
      </c>
      <c r="AM28" s="336">
        <f>AM24-AM26</f>
        <v>23.797000000000033</v>
      </c>
      <c r="AN28" s="336">
        <f>AN24-AN26</f>
        <v>32.542346999999964</v>
      </c>
      <c r="AO28" s="336">
        <f>AO24-AO26</f>
        <v>68.883986999999991</v>
      </c>
      <c r="AP28" s="361"/>
      <c r="AQ28" s="336">
        <f>AQ24-AQ26</f>
        <v>35.370000000000047</v>
      </c>
      <c r="AR28" s="336">
        <f>AR24-AR26</f>
        <v>33.221461000000005</v>
      </c>
      <c r="AS28" s="336">
        <f>AS24-AS26</f>
        <v>48.998000000000012</v>
      </c>
      <c r="AT28" s="336">
        <f>AT24-AT26</f>
        <v>85.381999999999948</v>
      </c>
      <c r="AU28" s="361"/>
      <c r="AV28" s="336">
        <f>AV24-AV26</f>
        <v>37.672999999999902</v>
      </c>
      <c r="AW28" s="336">
        <f>AW24-AW26</f>
        <v>44.480000000000011</v>
      </c>
      <c r="AX28" s="336">
        <f>AX24-AX26</f>
        <v>51.032000000000039</v>
      </c>
      <c r="AY28" s="336">
        <f>AY24-AY26</f>
        <v>124.68900000000001</v>
      </c>
      <c r="AZ28" s="361"/>
      <c r="BA28" s="336">
        <f>BA24-BA26</f>
        <v>73.215000000000146</v>
      </c>
      <c r="BB28" s="336">
        <f>BB24-BB26</f>
        <v>68.625000000000057</v>
      </c>
      <c r="BC28" s="336">
        <f>BC24-BC26</f>
        <v>74.026999999999958</v>
      </c>
      <c r="BD28" s="336">
        <f>BD24-BD26</f>
        <v>178.98899999999992</v>
      </c>
      <c r="BE28" s="361"/>
      <c r="BF28" s="336">
        <f>BF24-BF26</f>
        <v>89.938999999999965</v>
      </c>
      <c r="BG28" s="336">
        <f>BG24-BG26</f>
        <v>90.429999999999936</v>
      </c>
      <c r="BH28" s="336">
        <f>BH24-BH26</f>
        <v>97.170000000000016</v>
      </c>
      <c r="BI28" s="336">
        <f>BI24-BI26</f>
        <v>233.99699999999976</v>
      </c>
      <c r="BJ28" s="361"/>
      <c r="BK28" s="336">
        <f>BK24-BK26</f>
        <v>123.56500000000004</v>
      </c>
      <c r="BL28" s="336">
        <f>BL24-BL26</f>
        <v>127.65</v>
      </c>
      <c r="BM28" s="336">
        <f>BM24-BM26</f>
        <v>130.21000000000012</v>
      </c>
      <c r="BN28" s="336">
        <f>BN24-BN26</f>
        <v>275.13600000000042</v>
      </c>
      <c r="BO28" s="361"/>
      <c r="BP28" s="336">
        <f>BP24-BP26</f>
        <v>106.96899999999978</v>
      </c>
      <c r="BQ28" s="336">
        <f>BQ24-BQ26</f>
        <v>109.30000000000005</v>
      </c>
      <c r="BR28" s="336">
        <f>BR24-BR26</f>
        <v>116.80999999999992</v>
      </c>
      <c r="BS28" s="336">
        <f>BS24-BS26</f>
        <v>239.8000000000003</v>
      </c>
      <c r="BT28" s="361"/>
      <c r="BU28" s="336">
        <f>BU24-BU26</f>
        <v>103.06539999999987</v>
      </c>
      <c r="BV28" s="336">
        <f>BV24-BV26</f>
        <v>147.0070000000002</v>
      </c>
      <c r="BW28" s="336">
        <f>BW24-BW26</f>
        <v>134.62257000000005</v>
      </c>
      <c r="BX28" s="336">
        <f>BX24-BX26</f>
        <v>318.81791799999974</v>
      </c>
      <c r="BY28" s="361"/>
      <c r="BZ28" s="336">
        <f>BZ24-BZ26</f>
        <v>124.70000000000029</v>
      </c>
      <c r="CA28" s="336">
        <f>CA24-CA26</f>
        <v>187.19977960398896</v>
      </c>
      <c r="CB28" s="336">
        <f>CB24-CB26</f>
        <v>155.10000000000031</v>
      </c>
      <c r="CC28" s="336">
        <f>CC24-CC26</f>
        <v>374.89999999999952</v>
      </c>
      <c r="CD28" s="361"/>
      <c r="CE28" s="336">
        <f>CE24-CE26</f>
        <v>167.097371641791</v>
      </c>
      <c r="CF28" s="336">
        <f>CF24-CF26</f>
        <v>232.40440389821347</v>
      </c>
      <c r="CG28" s="336">
        <f>CG24-CG26</f>
        <v>224.49600000000044</v>
      </c>
      <c r="CH28" s="336">
        <f>CH24-CH26</f>
        <v>484.60000000000019</v>
      </c>
      <c r="CI28" s="361"/>
      <c r="CJ28" s="336">
        <f>CJ24-CJ26</f>
        <v>209.00000000000014</v>
      </c>
      <c r="CK28" s="336">
        <f>CK24-CK26</f>
        <v>269.12099999999964</v>
      </c>
      <c r="CL28" s="336">
        <f>CL24-CL26</f>
        <v>194</v>
      </c>
      <c r="CM28" s="336">
        <f>CM24-CM26</f>
        <v>411.70000000000016</v>
      </c>
      <c r="CN28" s="361"/>
      <c r="CO28" s="336">
        <f>CO24-CO26</f>
        <v>152.95500000000013</v>
      </c>
      <c r="CP28" s="336">
        <f>CP24-CP26</f>
        <v>236.01499999999976</v>
      </c>
      <c r="CQ28" s="336">
        <f>CQ24-CQ26</f>
        <v>160.15699999999995</v>
      </c>
      <c r="CR28" s="336">
        <f>CR24-CR26</f>
        <v>336</v>
      </c>
      <c r="CS28" s="361"/>
      <c r="CT28" s="336">
        <f>CT24-CT26</f>
        <v>137</v>
      </c>
      <c r="CU28" s="336">
        <f>CU24-CU26</f>
        <v>229.1</v>
      </c>
      <c r="CV28" s="336">
        <f>CV24-CV26</f>
        <v>193</v>
      </c>
      <c r="CW28" s="336">
        <f>CW24-CW26</f>
        <v>432</v>
      </c>
      <c r="CX28" s="361"/>
      <c r="CY28" s="336">
        <f>CY24-CY26</f>
        <v>195</v>
      </c>
      <c r="CZ28" s="336">
        <f>CZ24-CZ26</f>
        <v>255</v>
      </c>
      <c r="DA28" s="336">
        <f>DA24-DA26</f>
        <v>176</v>
      </c>
      <c r="DB28" s="336">
        <f>DB24-DB26</f>
        <v>494</v>
      </c>
      <c r="DC28" s="361"/>
      <c r="DD28" s="336">
        <f>DD24-DD26</f>
        <v>201</v>
      </c>
      <c r="DE28" s="336">
        <f>DE24-DE26</f>
        <v>299</v>
      </c>
      <c r="DF28" s="336">
        <f>DF24-DF26</f>
        <v>212</v>
      </c>
      <c r="DG28" s="336">
        <f>DG24-DG26</f>
        <v>455</v>
      </c>
      <c r="DH28" s="361"/>
      <c r="DI28" s="336">
        <f>DI24-DI26</f>
        <v>153.5</v>
      </c>
      <c r="DJ28" s="336">
        <f>DJ24-DJ26</f>
        <v>239.5</v>
      </c>
      <c r="DK28" s="336">
        <f>DK24-DK26</f>
        <v>214.5</v>
      </c>
      <c r="DL28" s="336">
        <f>DL24-DL26</f>
        <v>378</v>
      </c>
      <c r="DM28" s="361"/>
      <c r="DN28" s="336">
        <f>DN24-DN26</f>
        <v>147</v>
      </c>
      <c r="DO28" s="336">
        <f>DO24-DO26</f>
        <v>231</v>
      </c>
      <c r="DP28" s="336">
        <f>DP24-DP26</f>
        <v>177</v>
      </c>
      <c r="DQ28" s="336">
        <f>DQ24-DQ26</f>
        <v>334</v>
      </c>
      <c r="DR28" s="361"/>
      <c r="DS28" s="336">
        <f>DS24-DS26</f>
        <v>125</v>
      </c>
      <c r="DT28" s="336">
        <f>DT24-DT26</f>
        <v>231</v>
      </c>
      <c r="DU28" s="336">
        <f>DU24-DU26</f>
        <v>142</v>
      </c>
      <c r="DV28" s="336">
        <f>DV24-DV26</f>
        <v>369</v>
      </c>
      <c r="DW28" s="361"/>
      <c r="DX28" s="336">
        <f>DX24-DX26</f>
        <v>127</v>
      </c>
      <c r="DY28" s="336">
        <f>DY24-DY26</f>
        <v>213.84</v>
      </c>
      <c r="DZ28" s="336">
        <f>DZ24-DZ26</f>
        <v>144.32</v>
      </c>
      <c r="EA28" s="336">
        <f>EA24-EA26</f>
        <v>296</v>
      </c>
      <c r="EB28" s="361"/>
      <c r="EC28" s="336">
        <f>EC24-EC26</f>
        <v>57.64</v>
      </c>
      <c r="ED28" s="336">
        <f>ED24-ED26</f>
        <v>221.28</v>
      </c>
      <c r="EE28" s="336">
        <f>EE24-EE26</f>
        <v>142.22</v>
      </c>
      <c r="EF28" s="336">
        <f>EF24-EF26</f>
        <v>252</v>
      </c>
      <c r="EG28" s="305"/>
      <c r="EH28" s="336">
        <f t="shared" ref="EH28:ER28" si="12">EH24-EH26</f>
        <v>66</v>
      </c>
      <c r="EI28" s="336">
        <f t="shared" si="12"/>
        <v>208</v>
      </c>
      <c r="EJ28" s="336">
        <f t="shared" si="12"/>
        <v>117</v>
      </c>
      <c r="EK28" s="336">
        <f t="shared" si="12"/>
        <v>326</v>
      </c>
      <c r="EL28" s="336"/>
      <c r="EM28" s="1194">
        <f t="shared" si="12"/>
        <v>81.309777502700058</v>
      </c>
      <c r="EN28" s="1194">
        <f t="shared" si="12"/>
        <v>274.49613580400035</v>
      </c>
      <c r="EO28" s="1194">
        <f t="shared" si="12"/>
        <v>140.05841852049997</v>
      </c>
      <c r="EP28" s="1194">
        <f t="shared" si="12"/>
        <v>302.02649566799948</v>
      </c>
      <c r="EQ28" s="338">
        <f t="shared" si="12"/>
        <v>11.486000000000043</v>
      </c>
      <c r="ER28" s="336">
        <f t="shared" si="12"/>
        <v>18.764999999999976</v>
      </c>
      <c r="ES28" s="336">
        <f t="shared" ref="ES28:FF28" si="13">ES24-ES26</f>
        <v>28.692</v>
      </c>
      <c r="ET28" s="336">
        <f t="shared" si="13"/>
        <v>55.515999999999977</v>
      </c>
      <c r="EU28" s="336">
        <f t="shared" si="13"/>
        <v>68.451999999999828</v>
      </c>
      <c r="EV28" s="336">
        <f t="shared" si="13"/>
        <v>72.652000000000271</v>
      </c>
      <c r="EW28" s="336">
        <f t="shared" si="13"/>
        <v>102.7559999999999</v>
      </c>
      <c r="EX28" s="336">
        <f t="shared" si="13"/>
        <v>141.25633399999995</v>
      </c>
      <c r="EY28" s="336">
        <f t="shared" si="13"/>
        <v>178.08458599999952</v>
      </c>
      <c r="EZ28" s="336">
        <f t="shared" si="13"/>
        <v>258.80999999999949</v>
      </c>
      <c r="FA28" s="336">
        <f t="shared" si="13"/>
        <v>363.35200000000106</v>
      </c>
      <c r="FB28" s="336">
        <f t="shared" si="13"/>
        <v>486.66899999999964</v>
      </c>
      <c r="FC28" s="336">
        <f t="shared" si="13"/>
        <v>635.43500000000142</v>
      </c>
      <c r="FD28" s="336">
        <f t="shared" si="13"/>
        <v>580.72200000000021</v>
      </c>
      <c r="FE28" s="336">
        <f t="shared" si="13"/>
        <v>703.51288800000111</v>
      </c>
      <c r="FF28" s="336">
        <f t="shared" si="13"/>
        <v>841.89977960398824</v>
      </c>
      <c r="FG28" s="336">
        <f t="shared" ref="FG28:FQ28" si="14">FG24-FG26</f>
        <v>1108.5977755400072</v>
      </c>
      <c r="FH28" s="338">
        <f t="shared" si="14"/>
        <v>1083.8209999999999</v>
      </c>
      <c r="FI28" s="336">
        <f t="shared" si="14"/>
        <v>885.12699999999973</v>
      </c>
      <c r="FJ28" s="336">
        <f t="shared" si="14"/>
        <v>973</v>
      </c>
      <c r="FK28" s="1254"/>
      <c r="FL28" s="336">
        <f t="shared" si="14"/>
        <v>1120</v>
      </c>
      <c r="FM28" s="336">
        <f t="shared" si="14"/>
        <v>1167</v>
      </c>
      <c r="FN28" s="336">
        <f t="shared" si="14"/>
        <v>985.5</v>
      </c>
      <c r="FO28" s="336">
        <f t="shared" si="14"/>
        <v>889</v>
      </c>
      <c r="FP28" s="336">
        <f t="shared" si="14"/>
        <v>867</v>
      </c>
      <c r="FQ28" s="336">
        <f t="shared" si="14"/>
        <v>782.16</v>
      </c>
      <c r="FR28" s="336">
        <f t="shared" ref="FR28:FX28" si="15">FR24-FR26</f>
        <v>673.14</v>
      </c>
      <c r="FS28" s="336">
        <f t="shared" si="15"/>
        <v>717</v>
      </c>
      <c r="FT28" s="336">
        <f t="shared" si="15"/>
        <v>797.89082749519889</v>
      </c>
      <c r="FU28" s="336">
        <f t="shared" si="15"/>
        <v>674.9473842746894</v>
      </c>
      <c r="FV28" s="339">
        <f t="shared" si="15"/>
        <v>601.51969697142169</v>
      </c>
      <c r="FW28" s="336">
        <f t="shared" si="15"/>
        <v>524.39430320338647</v>
      </c>
      <c r="FX28" s="339">
        <f t="shared" si="15"/>
        <v>482.51280184276607</v>
      </c>
      <c r="GG28" s="426"/>
      <c r="GH28" s="319"/>
    </row>
    <row r="29" spans="1:263" ht="9" customHeight="1" x14ac:dyDescent="0.2">
      <c r="A29" s="334"/>
      <c r="B29" s="305"/>
      <c r="C29" s="362"/>
      <c r="D29" s="362"/>
      <c r="E29" s="362"/>
      <c r="F29" s="362"/>
      <c r="G29" s="362"/>
      <c r="H29" s="362"/>
      <c r="I29" s="362"/>
      <c r="J29" s="362"/>
      <c r="K29" s="362"/>
      <c r="L29" s="362"/>
      <c r="M29" s="362"/>
      <c r="N29" s="362"/>
      <c r="O29" s="362"/>
      <c r="P29" s="362"/>
      <c r="Q29" s="362"/>
      <c r="R29" s="362"/>
      <c r="S29" s="362"/>
      <c r="T29" s="362"/>
      <c r="U29" s="362"/>
      <c r="V29" s="362"/>
      <c r="W29" s="362"/>
      <c r="X29" s="362"/>
      <c r="Y29" s="362"/>
      <c r="Z29" s="362"/>
      <c r="AA29" s="362"/>
      <c r="AB29" s="362"/>
      <c r="AC29" s="362"/>
      <c r="AD29" s="362"/>
      <c r="AE29" s="362"/>
      <c r="AF29" s="362"/>
      <c r="AG29" s="362"/>
      <c r="AH29" s="362"/>
      <c r="AI29" s="362"/>
      <c r="AJ29" s="362"/>
      <c r="AK29" s="362"/>
      <c r="AL29" s="362"/>
      <c r="AM29" s="362"/>
      <c r="AN29" s="362"/>
      <c r="AO29" s="362"/>
      <c r="AP29" s="362"/>
      <c r="AQ29" s="362"/>
      <c r="AR29" s="362"/>
      <c r="AS29" s="362"/>
      <c r="AT29" s="362"/>
      <c r="AU29" s="362"/>
      <c r="AV29" s="362"/>
      <c r="AW29" s="362"/>
      <c r="AX29" s="362"/>
      <c r="AY29" s="362"/>
      <c r="AZ29" s="362"/>
      <c r="BA29" s="362"/>
      <c r="BB29" s="362"/>
      <c r="BC29" s="362"/>
      <c r="BD29" s="362"/>
      <c r="BE29" s="362"/>
      <c r="BF29" s="362"/>
      <c r="BG29" s="362"/>
      <c r="BH29" s="362"/>
      <c r="BI29" s="362"/>
      <c r="BJ29" s="362"/>
      <c r="BK29" s="362"/>
      <c r="BL29" s="362"/>
      <c r="BM29" s="362"/>
      <c r="BN29" s="362"/>
      <c r="BO29" s="362"/>
      <c r="BP29" s="362"/>
      <c r="BQ29" s="362"/>
      <c r="BR29" s="362"/>
      <c r="BS29" s="362"/>
      <c r="BT29" s="362"/>
      <c r="BU29" s="362"/>
      <c r="BV29" s="362"/>
      <c r="BW29" s="362"/>
      <c r="BX29" s="362"/>
      <c r="BY29" s="362"/>
      <c r="BZ29" s="362"/>
      <c r="CA29" s="362"/>
      <c r="CB29" s="362"/>
      <c r="CC29" s="362"/>
      <c r="CD29" s="362"/>
      <c r="CE29" s="362"/>
      <c r="CF29" s="362"/>
      <c r="CG29" s="362"/>
      <c r="CH29" s="362"/>
      <c r="CI29" s="362"/>
      <c r="CJ29" s="362"/>
      <c r="CK29" s="362"/>
      <c r="CL29" s="362"/>
      <c r="CM29" s="362"/>
      <c r="CN29" s="362"/>
      <c r="CO29" s="362"/>
      <c r="CP29" s="362"/>
      <c r="CQ29" s="362"/>
      <c r="CR29" s="362"/>
      <c r="CS29" s="362"/>
      <c r="CT29" s="362"/>
      <c r="CU29" s="362"/>
      <c r="CV29" s="362"/>
      <c r="CW29" s="362"/>
      <c r="CX29" s="362"/>
      <c r="CY29" s="362"/>
      <c r="CZ29" s="362"/>
      <c r="DA29" s="362"/>
      <c r="DB29" s="362"/>
      <c r="DC29" s="362"/>
      <c r="DD29" s="362"/>
      <c r="DE29" s="362"/>
      <c r="DF29" s="362"/>
      <c r="DG29" s="362"/>
      <c r="DH29" s="305"/>
      <c r="DI29" s="305"/>
      <c r="DJ29" s="305"/>
      <c r="DK29" s="305"/>
      <c r="DL29" s="305"/>
      <c r="DM29" s="305"/>
      <c r="DN29" s="305"/>
      <c r="DO29" s="305"/>
      <c r="DP29" s="305"/>
      <c r="DQ29" s="305"/>
      <c r="DR29" s="305"/>
      <c r="DS29" s="305"/>
      <c r="DT29" s="305"/>
      <c r="DU29" s="305"/>
      <c r="DV29" s="305"/>
      <c r="DW29" s="305"/>
      <c r="DX29" s="305"/>
      <c r="DY29" s="305"/>
      <c r="DZ29" s="305"/>
      <c r="EA29" s="305"/>
      <c r="EB29" s="305"/>
      <c r="EC29" s="305"/>
      <c r="ED29" s="305"/>
      <c r="EE29" s="305"/>
      <c r="EF29" s="305"/>
      <c r="EG29" s="305"/>
      <c r="EH29" s="305"/>
      <c r="EI29" s="396"/>
      <c r="EJ29" s="305"/>
      <c r="EK29" s="305"/>
      <c r="EL29" s="305"/>
      <c r="EM29" s="1193"/>
      <c r="EN29" s="1193"/>
      <c r="EO29" s="1193"/>
      <c r="EP29" s="1193"/>
      <c r="EQ29" s="340"/>
      <c r="ER29" s="341"/>
      <c r="ES29" s="341"/>
      <c r="ET29" s="341"/>
      <c r="EU29" s="341"/>
      <c r="EV29" s="341"/>
      <c r="EW29" s="341"/>
      <c r="EX29" s="341"/>
      <c r="EY29" s="341"/>
      <c r="EZ29" s="341"/>
      <c r="FA29" s="341"/>
      <c r="FB29" s="341"/>
      <c r="FC29" s="341"/>
      <c r="FD29" s="341"/>
      <c r="FE29" s="341"/>
      <c r="FF29" s="341"/>
      <c r="FG29" s="341"/>
      <c r="FH29" s="340"/>
      <c r="FI29" s="341"/>
      <c r="FJ29" s="341"/>
      <c r="FK29" s="1255"/>
      <c r="FL29" s="341"/>
      <c r="FM29" s="341"/>
      <c r="FN29" s="363"/>
      <c r="FO29" s="363"/>
      <c r="FP29" s="363"/>
      <c r="FQ29" s="341"/>
      <c r="FR29" s="341"/>
      <c r="FS29" s="341"/>
      <c r="FT29" s="341"/>
      <c r="FU29" s="341"/>
      <c r="FV29" s="342"/>
      <c r="FW29" s="341"/>
      <c r="FX29" s="1212"/>
    </row>
    <row r="30" spans="1:263" s="315" customFormat="1" hidden="1" outlineLevel="1" x14ac:dyDescent="0.2">
      <c r="A30" s="346" t="s">
        <v>184</v>
      </c>
      <c r="B30" s="347"/>
      <c r="C30" s="353" t="str">
        <f>INDEX('qtrP&amp;L'!$150:$150,MATCH(C$6,'qtrP&amp;L'!$6:$6,0))</f>
        <v xml:space="preserve">0 </v>
      </c>
      <c r="D30" s="353" t="str">
        <f>INDEX('qtrP&amp;L'!$151:$151,MATCH(C$6,'qtrP&amp;L'!$6:$6,0))</f>
        <v xml:space="preserve">0 </v>
      </c>
      <c r="E30" s="353" t="str">
        <f>INDEX('qtrP&amp;L'!$152:$152,MATCH(C$6,'qtrP&amp;L'!$6:$6,0))</f>
        <v xml:space="preserve">0 </v>
      </c>
      <c r="F30" s="353" t="str">
        <f>INDEX('qtrP&amp;L'!$153:$153,MATCH(C$6,'qtrP&amp;L'!$6:$6,0))</f>
        <v xml:space="preserve">0 </v>
      </c>
      <c r="G30" s="353"/>
      <c r="H30" s="353" t="str">
        <f>INDEX('qtrP&amp;L'!$150:$150,MATCH(H$6,'qtrP&amp;L'!$6:$6,0))</f>
        <v xml:space="preserve">0 </v>
      </c>
      <c r="I30" s="353" t="str">
        <f>INDEX('qtrP&amp;L'!$151:$151,MATCH(H$6,'qtrP&amp;L'!$6:$6,0))</f>
        <v xml:space="preserve">0 </v>
      </c>
      <c r="J30" s="353" t="str">
        <f>INDEX('qtrP&amp;L'!$152:$152,MATCH(H$6,'qtrP&amp;L'!$6:$6,0))</f>
        <v xml:space="preserve">0 </v>
      </c>
      <c r="K30" s="353">
        <f>INDEX('qtrP&amp;L'!$153:$153,MATCH(H$6,'qtrP&amp;L'!$6:$6,0))</f>
        <v>1.329</v>
      </c>
      <c r="L30" s="353"/>
      <c r="M30" s="353" t="str">
        <f>INDEX('qtrP&amp;L'!$150:$150,MATCH(M$6,'qtrP&amp;L'!$6:$6,0))</f>
        <v xml:space="preserve">0 </v>
      </c>
      <c r="N30" s="353">
        <f>INDEX('qtrP&amp;L'!$151:$151,MATCH(M$6,'qtrP&amp;L'!$6:$6,0))</f>
        <v>-2.121</v>
      </c>
      <c r="O30" s="353" t="str">
        <f>INDEX('qtrP&amp;L'!$152:$152,MATCH(M$6,'qtrP&amp;L'!$6:$6,0))</f>
        <v xml:space="preserve">0 </v>
      </c>
      <c r="P30" s="353" t="str">
        <f>INDEX('qtrP&amp;L'!$153:$153,MATCH(M$6,'qtrP&amp;L'!$6:$6,0))</f>
        <v xml:space="preserve">0 </v>
      </c>
      <c r="Q30" s="353"/>
      <c r="R30" s="353">
        <f>INDEX('qtrP&amp;L'!$150:$150,MATCH(R$6,'qtrP&amp;L'!$6:$6,0))</f>
        <v>0</v>
      </c>
      <c r="S30" s="353">
        <f>INDEX('qtrP&amp;L'!$151:$151,MATCH(R$6,'qtrP&amp;L'!$6:$6,0))</f>
        <v>0</v>
      </c>
      <c r="T30" s="353">
        <f>INDEX('qtrP&amp;L'!$152:$152,MATCH(R$6,'qtrP&amp;L'!$6:$6,0))</f>
        <v>0</v>
      </c>
      <c r="U30" s="353">
        <f>INDEX('qtrP&amp;L'!$153:$153,MATCH(R$6,'qtrP&amp;L'!$6:$6,0))</f>
        <v>-1.7689999999999999</v>
      </c>
      <c r="V30" s="353"/>
      <c r="W30" s="353">
        <f>INDEX('qtrP&amp;L'!$150:$150,MATCH(W$6,'qtrP&amp;L'!$6:$6,0))</f>
        <v>0</v>
      </c>
      <c r="X30" s="353">
        <f>INDEX('qtrP&amp;L'!$151:$151,MATCH(W$6,'qtrP&amp;L'!$6:$6,0))</f>
        <v>0</v>
      </c>
      <c r="Y30" s="353">
        <f>INDEX('qtrP&amp;L'!$152:$152,MATCH(W$6,'qtrP&amp;L'!$6:$6,0))</f>
        <v>0</v>
      </c>
      <c r="Z30" s="353">
        <f>INDEX('qtrP&amp;L'!$153:$153,MATCH(W$6,'qtrP&amp;L'!$6:$6,0))</f>
        <v>0</v>
      </c>
      <c r="AA30" s="353"/>
      <c r="AB30" s="353">
        <f>INDEX('qtrP&amp;L'!$150:$150,MATCH(AB$6,'qtrP&amp;L'!$6:$6,0))</f>
        <v>0</v>
      </c>
      <c r="AC30" s="353">
        <f>INDEX('qtrP&amp;L'!$151:$151,MATCH(AB$6,'qtrP&amp;L'!$6:$6,0))</f>
        <v>0</v>
      </c>
      <c r="AD30" s="353">
        <f>INDEX('qtrP&amp;L'!$152:$152,MATCH(AB$6,'qtrP&amp;L'!$6:$6,0))</f>
        <v>0</v>
      </c>
      <c r="AE30" s="353">
        <f>INDEX('qtrP&amp;L'!$153:$153,MATCH(AB$6,'qtrP&amp;L'!$6:$6,0))</f>
        <v>0</v>
      </c>
      <c r="AF30" s="353"/>
      <c r="AG30" s="353">
        <f>INDEX('qtrP&amp;L'!$150:$150,MATCH(AG$6,'qtrP&amp;L'!$6:$6,0))</f>
        <v>0</v>
      </c>
      <c r="AH30" s="353">
        <f>INDEX('qtrP&amp;L'!$151:$151,MATCH(AG$6,'qtrP&amp;L'!$6:$6,0))</f>
        <v>0</v>
      </c>
      <c r="AI30" s="353">
        <f>INDEX('qtrP&amp;L'!$152:$152,MATCH(AG$6,'qtrP&amp;L'!$6:$6,0))</f>
        <v>0</v>
      </c>
      <c r="AJ30" s="353">
        <f>INDEX('qtrP&amp;L'!$153:$153,MATCH(AG$6,'qtrP&amp;L'!$6:$6,0))</f>
        <v>0</v>
      </c>
      <c r="AK30" s="353"/>
      <c r="AL30" s="353">
        <f>INDEX('qtrP&amp;L'!$150:$150,MATCH(AL$6,'qtrP&amp;L'!$6:$6,0))</f>
        <v>0</v>
      </c>
      <c r="AM30" s="353">
        <f>INDEX('qtrP&amp;L'!$151:$151,MATCH(AL$6,'qtrP&amp;L'!$6:$6,0))</f>
        <v>0</v>
      </c>
      <c r="AN30" s="353">
        <f>INDEX('qtrP&amp;L'!$152:$152,MATCH(AL$6,'qtrP&amp;L'!$6:$6,0))</f>
        <v>0</v>
      </c>
      <c r="AO30" s="353">
        <f>INDEX('qtrP&amp;L'!$153:$153,MATCH(AL$6,'qtrP&amp;L'!$6:$6,0))</f>
        <v>0</v>
      </c>
      <c r="AP30" s="353"/>
      <c r="AQ30" s="353">
        <f>INDEX('qtrP&amp;L'!$150:$150,MATCH(AQ$6,'qtrP&amp;L'!$6:$6,0))</f>
        <v>0</v>
      </c>
      <c r="AR30" s="353">
        <f>INDEX('qtrP&amp;L'!$151:$151,MATCH(AQ$6,'qtrP&amp;L'!$6:$6,0))</f>
        <v>0</v>
      </c>
      <c r="AS30" s="353">
        <f>INDEX('qtrP&amp;L'!$152:$152,MATCH(AQ$6,'qtrP&amp;L'!$6:$6,0))</f>
        <v>0</v>
      </c>
      <c r="AT30" s="353">
        <f>INDEX('qtrP&amp;L'!$153:$153,MATCH(AQ$6,'qtrP&amp;L'!$6:$6,0))</f>
        <v>0</v>
      </c>
      <c r="AU30" s="353"/>
      <c r="AV30" s="353">
        <f>INDEX('qtrP&amp;L'!$150:$150,MATCH(AV$6,'qtrP&amp;L'!$6:$6,0))</f>
        <v>0</v>
      </c>
      <c r="AW30" s="353">
        <f>INDEX('qtrP&amp;L'!$151:$151,MATCH(AV$6,'qtrP&amp;L'!$6:$6,0))</f>
        <v>0</v>
      </c>
      <c r="AX30" s="353">
        <f>INDEX('qtrP&amp;L'!$152:$152,MATCH(AV$6,'qtrP&amp;L'!$6:$6,0))</f>
        <v>0</v>
      </c>
      <c r="AY30" s="353">
        <f>INDEX('qtrP&amp;L'!$153:$153,MATCH(AV$6,'qtrP&amp;L'!$6:$6,0))</f>
        <v>0</v>
      </c>
      <c r="AZ30" s="353"/>
      <c r="BA30" s="353">
        <f>INDEX('qtrP&amp;L'!$150:$150,MATCH(BA$6,'qtrP&amp;L'!$6:$6,0))</f>
        <v>0</v>
      </c>
      <c r="BB30" s="353">
        <f>INDEX('qtrP&amp;L'!$151:$151,MATCH(BA$6,'qtrP&amp;L'!$6:$6,0))</f>
        <v>0</v>
      </c>
      <c r="BC30" s="353">
        <f>INDEX('qtrP&amp;L'!$152:$152,MATCH(BA$6,'qtrP&amp;L'!$6:$6,0))</f>
        <v>0</v>
      </c>
      <c r="BD30" s="353">
        <f>INDEX('qtrP&amp;L'!$153:$153,MATCH(BA$6,'qtrP&amp;L'!$6:$6,0))</f>
        <v>0</v>
      </c>
      <c r="BE30" s="353"/>
      <c r="BF30" s="353">
        <f>INDEX('qtrP&amp;L'!$150:$150,MATCH(BF$6,'qtrP&amp;L'!$6:$6,0))</f>
        <v>0</v>
      </c>
      <c r="BG30" s="353">
        <f>INDEX('qtrP&amp;L'!$151:$151,MATCH(BF$6,'qtrP&amp;L'!$6:$6,0))</f>
        <v>0</v>
      </c>
      <c r="BH30" s="353">
        <f>INDEX('qtrP&amp;L'!$152:$152,MATCH(BF$6,'qtrP&amp;L'!$6:$6,0))</f>
        <v>0</v>
      </c>
      <c r="BI30" s="353">
        <f>INDEX('qtrP&amp;L'!$153:$153,MATCH(BF$6,'qtrP&amp;L'!$6:$6,0))</f>
        <v>0</v>
      </c>
      <c r="BJ30" s="353"/>
      <c r="BK30" s="353">
        <f>INDEX('qtrP&amp;L'!$150:$150,MATCH(BK$6,'qtrP&amp;L'!$6:$6,0))</f>
        <v>0</v>
      </c>
      <c r="BL30" s="353">
        <f>INDEX('qtrP&amp;L'!$151:$151,MATCH(BK$6,'qtrP&amp;L'!$6:$6,0))</f>
        <v>0</v>
      </c>
      <c r="BM30" s="353">
        <f>INDEX('qtrP&amp;L'!$152:$152,MATCH(BK$6,'qtrP&amp;L'!$6:$6,0))</f>
        <v>0</v>
      </c>
      <c r="BN30" s="353">
        <f>INDEX('qtrP&amp;L'!$153:$153,MATCH(BK$6,'qtrP&amp;L'!$6:$6,0))</f>
        <v>0</v>
      </c>
      <c r="BO30" s="353"/>
      <c r="BP30" s="353">
        <f>INDEX('qtrP&amp;L'!$150:$150,MATCH(BP$6,'qtrP&amp;L'!$6:$6,0))</f>
        <v>0</v>
      </c>
      <c r="BQ30" s="353">
        <f>INDEX('qtrP&amp;L'!$151:$151,MATCH(BP$6,'qtrP&amp;L'!$6:$6,0))</f>
        <v>0</v>
      </c>
      <c r="BR30" s="353">
        <f>INDEX('qtrP&amp;L'!$152:$152,MATCH(BP$6,'qtrP&amp;L'!$6:$6,0))</f>
        <v>0</v>
      </c>
      <c r="BS30" s="353">
        <f>INDEX('qtrP&amp;L'!$153:$153,MATCH(BP$6,'qtrP&amp;L'!$6:$6,0))</f>
        <v>0</v>
      </c>
      <c r="BT30" s="353"/>
      <c r="BU30" s="353">
        <f>INDEX('qtrP&amp;L'!$150:$150,MATCH(BU$6,'qtrP&amp;L'!$6:$6,0))</f>
        <v>0</v>
      </c>
      <c r="BV30" s="353">
        <f>INDEX('qtrP&amp;L'!$151:$151,MATCH(BU$6,'qtrP&amp;L'!$6:$6,0))</f>
        <v>0</v>
      </c>
      <c r="BW30" s="353">
        <f>INDEX('qtrP&amp;L'!$152:$152,MATCH(BU$6,'qtrP&amp;L'!$6:$6,0))</f>
        <v>0</v>
      </c>
      <c r="BX30" s="353">
        <f>INDEX('qtrP&amp;L'!$153:$153,MATCH(BU$6,'qtrP&amp;L'!$6:$6,0))</f>
        <v>0</v>
      </c>
      <c r="BY30" s="353"/>
      <c r="BZ30" s="353">
        <f>INDEX('qtrP&amp;L'!$150:$150,MATCH(BZ$6,'qtrP&amp;L'!$6:$6,0))</f>
        <v>0</v>
      </c>
      <c r="CA30" s="353">
        <f>INDEX('qtrP&amp;L'!$151:$151,MATCH(BZ$6,'qtrP&amp;L'!$6:$6,0))</f>
        <v>0</v>
      </c>
      <c r="CB30" s="353">
        <f>INDEX('qtrP&amp;L'!$152:$152,MATCH(BZ$6,'qtrP&amp;L'!$6:$6,0))</f>
        <v>0</v>
      </c>
      <c r="CC30" s="353">
        <f>INDEX('qtrP&amp;L'!$153:$153,MATCH(BZ$6,'qtrP&amp;L'!$6:$6,0))</f>
        <v>0</v>
      </c>
      <c r="CD30" s="353"/>
      <c r="CE30" s="353">
        <f>INDEX('qtrP&amp;L'!$150:$150,MATCH(CE$6,'qtrP&amp;L'!$6:$6,0))</f>
        <v>0</v>
      </c>
      <c r="CF30" s="353">
        <f>INDEX('qtrP&amp;L'!$151:$151,MATCH(CE$6,'qtrP&amp;L'!$6:$6,0))</f>
        <v>0</v>
      </c>
      <c r="CG30" s="353">
        <f>INDEX('qtrP&amp;L'!$152:$152,MATCH(CE$6,'qtrP&amp;L'!$6:$6,0))</f>
        <v>0</v>
      </c>
      <c r="CH30" s="353">
        <f>INDEX('qtrP&amp;L'!$153:$153,MATCH(CE$6,'qtrP&amp;L'!$6:$6,0))</f>
        <v>0</v>
      </c>
      <c r="CI30" s="353"/>
      <c r="CJ30" s="353">
        <f>INDEX('qtrP&amp;L'!$150:$150,MATCH(CJ$6,'qtrP&amp;L'!$6:$6,0))</f>
        <v>0</v>
      </c>
      <c r="CK30" s="353">
        <f>INDEX('qtrP&amp;L'!$151:$151,MATCH(CJ$6,'qtrP&amp;L'!$6:$6,0))</f>
        <v>0</v>
      </c>
      <c r="CL30" s="353">
        <f>INDEX('qtrP&amp;L'!$152:$152,MATCH(CJ$6,'qtrP&amp;L'!$6:$6,0))</f>
        <v>0</v>
      </c>
      <c r="CM30" s="353">
        <f>INDEX('qtrP&amp;L'!$153:$153,MATCH(CJ$6,'qtrP&amp;L'!$6:$6,0))</f>
        <v>0</v>
      </c>
      <c r="CN30" s="353"/>
      <c r="CO30" s="353">
        <f>INDEX('qtrP&amp;L'!$150:$150,MATCH(CO$6,'qtrP&amp;L'!$6:$6,0))</f>
        <v>0</v>
      </c>
      <c r="CP30" s="353">
        <f>INDEX('qtrP&amp;L'!$151:$151,MATCH(CO$6,'qtrP&amp;L'!$6:$6,0))</f>
        <v>0</v>
      </c>
      <c r="CQ30" s="353">
        <f>INDEX('qtrP&amp;L'!$152:$152,MATCH(CO$6,'qtrP&amp;L'!$6:$6,0))</f>
        <v>0</v>
      </c>
      <c r="CR30" s="353">
        <f>INDEX('qtrP&amp;L'!$153:$153,MATCH(CO$6,'qtrP&amp;L'!$6:$6,0))</f>
        <v>0</v>
      </c>
      <c r="CS30" s="353"/>
      <c r="CT30" s="353">
        <f>INDEX('qtrP&amp;L'!$150:$150,MATCH(CT$6,'qtrP&amp;L'!$6:$6,0))</f>
        <v>0</v>
      </c>
      <c r="CU30" s="353">
        <f>INDEX('qtrP&amp;L'!$151:$151,MATCH(CT$6,'qtrP&amp;L'!$6:$6,0))</f>
        <v>0</v>
      </c>
      <c r="CV30" s="353">
        <f>INDEX('qtrP&amp;L'!$152:$152,MATCH(CT$6,'qtrP&amp;L'!$6:$6,0))</f>
        <v>0</v>
      </c>
      <c r="CW30" s="353">
        <f>INDEX('qtrP&amp;L'!$153:$153,MATCH(CT$6,'qtrP&amp;L'!$6:$6,0))</f>
        <v>0</v>
      </c>
      <c r="CX30" s="353"/>
      <c r="CY30" s="353">
        <f>INDEX('qtrP&amp;L'!$150:$150,MATCH(CY$6,'qtrP&amp;L'!$6:$6,0))</f>
        <v>0</v>
      </c>
      <c r="CZ30" s="353">
        <f>INDEX('qtrP&amp;L'!$151:$151,MATCH(CY$6,'qtrP&amp;L'!$6:$6,0))</f>
        <v>0</v>
      </c>
      <c r="DA30" s="353">
        <f>INDEX('qtrP&amp;L'!$152:$152,MATCH(CY$6,'qtrP&amp;L'!$6:$6,0))</f>
        <v>0</v>
      </c>
      <c r="DB30" s="353">
        <f>INDEX('qtrP&amp;L'!$153:$153,MATCH(CY$6,'qtrP&amp;L'!$6:$6,0))</f>
        <v>0</v>
      </c>
      <c r="DC30" s="353"/>
      <c r="DD30" s="353">
        <f>INDEX('qtrP&amp;L'!$150:$150,MATCH(DD$6,'qtrP&amp;L'!$6:$6,0))</f>
        <v>0</v>
      </c>
      <c r="DE30" s="353">
        <f>INDEX('qtrP&amp;L'!$151:$151,MATCH(DD$6,'qtrP&amp;L'!$6:$6,0))</f>
        <v>0</v>
      </c>
      <c r="DF30" s="353">
        <f>INDEX('qtrP&amp;L'!$152:$152,MATCH(DD$6,'qtrP&amp;L'!$6:$6,0))</f>
        <v>0</v>
      </c>
      <c r="DG30" s="353">
        <f>INDEX('qtrP&amp;L'!$153:$153,MATCH(DD$6,'qtrP&amp;L'!$6:$6,0))</f>
        <v>0</v>
      </c>
      <c r="DH30" s="348"/>
      <c r="DI30" s="348">
        <f>INDEX('qtrP&amp;L'!$150:$150,MATCH(DI$6,'qtrP&amp;L'!$6:$6,0))</f>
        <v>0</v>
      </c>
      <c r="DJ30" s="348">
        <f>INDEX('qtrP&amp;L'!$151:$151,MATCH(DI$6,'qtrP&amp;L'!$6:$6,0))</f>
        <v>0</v>
      </c>
      <c r="DK30" s="348">
        <f>INDEX('qtrP&amp;L'!$152:$152,MATCH(DI$6,'qtrP&amp;L'!$6:$6,0))</f>
        <v>0</v>
      </c>
      <c r="DL30" s="348">
        <f>INDEX('qtrP&amp;L'!$153:$153,MATCH(DI$6,'qtrP&amp;L'!$6:$6,0))</f>
        <v>0</v>
      </c>
      <c r="DM30" s="348"/>
      <c r="DN30" s="348">
        <f>INDEX('qtrP&amp;L'!$150:$150,MATCH(DN$6,'qtrP&amp;L'!$6:$6,0))</f>
        <v>0</v>
      </c>
      <c r="DO30" s="348">
        <f>INDEX('qtrP&amp;L'!$151:$151,MATCH(DN$6,'qtrP&amp;L'!$6:$6,0))</f>
        <v>0</v>
      </c>
      <c r="DP30" s="348">
        <f>INDEX('qtrP&amp;L'!$152:$152,MATCH(DN$6,'qtrP&amp;L'!$6:$6,0))</f>
        <v>0</v>
      </c>
      <c r="DQ30" s="348">
        <f>INDEX('qtrP&amp;L'!$153:$153,MATCH(DN$6,'qtrP&amp;L'!$6:$6,0))</f>
        <v>0</v>
      </c>
      <c r="DR30" s="348"/>
      <c r="DS30" s="348">
        <f>INDEX('qtrP&amp;L'!$150:$150,MATCH(DS$6,'qtrP&amp;L'!$6:$6,0))</f>
        <v>0</v>
      </c>
      <c r="DT30" s="348">
        <f>INDEX('qtrP&amp;L'!$151:$151,MATCH(DS$6,'qtrP&amp;L'!$6:$6,0))</f>
        <v>0</v>
      </c>
      <c r="DU30" s="348">
        <f>INDEX('qtrP&amp;L'!$152:$152,MATCH(DS$6,'qtrP&amp;L'!$6:$6,0))</f>
        <v>0</v>
      </c>
      <c r="DV30" s="348">
        <f>INDEX('qtrP&amp;L'!$153:$153,MATCH(DS$6,'qtrP&amp;L'!$6:$6,0))</f>
        <v>0</v>
      </c>
      <c r="DW30" s="348"/>
      <c r="DX30" s="348">
        <f>INDEX('qtrP&amp;L'!$150:$150,MATCH(DX$6,'qtrP&amp;L'!$6:$6,0))</f>
        <v>0</v>
      </c>
      <c r="DY30" s="348">
        <f>INDEX('qtrP&amp;L'!$151:$151,MATCH(DX$6,'qtrP&amp;L'!$6:$6,0))</f>
        <v>-83.054000000000002</v>
      </c>
      <c r="DZ30" s="348">
        <f>INDEX('qtrP&amp;L'!$152:$152,MATCH(DX$6,'qtrP&amp;L'!$6:$6,0))</f>
        <v>-24.091999999999999</v>
      </c>
      <c r="EA30" s="348">
        <f>INDEX('qtrP&amp;L'!$153:$153,MATCH(DX$6,'qtrP&amp;L'!$6:$6,0))</f>
        <v>0</v>
      </c>
      <c r="EB30" s="348"/>
      <c r="EC30" s="348">
        <f>INDEX('qtrP&amp;L'!$150:$150,MATCH(EC$6,'qtrP&amp;L'!$6:$6,0))</f>
        <v>-40.32</v>
      </c>
      <c r="ED30" s="348">
        <f>INDEX('qtrP&amp;L'!$151:$151,MATCH(EC$6,'qtrP&amp;L'!$6:$6,0))</f>
        <v>-81.92</v>
      </c>
      <c r="EE30" s="348">
        <f>INDEX('qtrP&amp;L'!$152:$152,MATCH(EC$6,'qtrP&amp;L'!$6:$6,0))</f>
        <v>4.68</v>
      </c>
      <c r="EF30" s="348">
        <f>INDEX('qtrP&amp;L'!$153:$153,MATCH(EC$6,'qtrP&amp;L'!$6:$6,0))</f>
        <v>0</v>
      </c>
      <c r="EG30" s="305"/>
      <c r="EH30" s="348">
        <f>INDEX('qtrP&amp;L'!$150:$150,MATCH(EH$6,'qtrP&amp;L'!$6:$6,0))</f>
        <v>0</v>
      </c>
      <c r="EI30" s="348">
        <f>INDEX('qtrP&amp;L'!$151:$151,MATCH(EH$6,'qtrP&amp;L'!$6:$6,0))</f>
        <v>0</v>
      </c>
      <c r="EJ30" s="348">
        <f>INDEX('qtrP&amp;L'!$152:$152,MATCH(EH$6,'qtrP&amp;L'!$6:$6,0))</f>
        <v>0</v>
      </c>
      <c r="EK30" s="348">
        <f>INDEX('qtrP&amp;L'!$153:$153,MATCH(EH$6,'qtrP&amp;L'!$6:$6,0))</f>
        <v>143</v>
      </c>
      <c r="EL30" s="348"/>
      <c r="EM30" s="1196"/>
      <c r="EN30" s="1196"/>
      <c r="EO30" s="1196"/>
      <c r="EP30" s="1196"/>
      <c r="EQ30" s="349">
        <f>'yrP&amp;L'!C62</f>
        <v>0</v>
      </c>
      <c r="ER30" s="350">
        <f>'yrP&amp;L'!D62</f>
        <v>1.329</v>
      </c>
      <c r="ES30" s="350">
        <f>'yrP&amp;L'!E62</f>
        <v>-2.121</v>
      </c>
      <c r="ET30" s="350">
        <f>'yrP&amp;L'!F62</f>
        <v>-1.7689999999999999</v>
      </c>
      <c r="EU30" s="350">
        <f>'yrP&amp;L'!G62</f>
        <v>0</v>
      </c>
      <c r="EV30" s="350">
        <f>'yrP&amp;L'!H62</f>
        <v>0</v>
      </c>
      <c r="EW30" s="350">
        <f>'yrP&amp;L'!I62</f>
        <v>0</v>
      </c>
      <c r="EX30" s="350">
        <f>'yrP&amp;L'!J62</f>
        <v>0</v>
      </c>
      <c r="EY30" s="350">
        <f>'yrP&amp;L'!K62</f>
        <v>0</v>
      </c>
      <c r="EZ30" s="350">
        <f>'yrP&amp;L'!L62</f>
        <v>0</v>
      </c>
      <c r="FA30" s="350">
        <f>'yrP&amp;L'!M62</f>
        <v>0</v>
      </c>
      <c r="FB30" s="350">
        <f>'yrP&amp;L'!N62</f>
        <v>0</v>
      </c>
      <c r="FC30" s="350">
        <f>'yrP&amp;L'!O62</f>
        <v>0</v>
      </c>
      <c r="FD30" s="350">
        <f>'yrP&amp;L'!P62</f>
        <v>0</v>
      </c>
      <c r="FE30" s="350">
        <f>'yrP&amp;L'!Q62</f>
        <v>0</v>
      </c>
      <c r="FF30" s="350">
        <f>'yrP&amp;L'!R62</f>
        <v>0</v>
      </c>
      <c r="FG30" s="350">
        <f>'yrP&amp;L'!S62</f>
        <v>0</v>
      </c>
      <c r="FH30" s="349">
        <f>'yrP&amp;L'!T62</f>
        <v>0</v>
      </c>
      <c r="FI30" s="350">
        <f>'yrP&amp;L'!U62</f>
        <v>0</v>
      </c>
      <c r="FJ30" s="350">
        <f>'yrP&amp;L'!V62</f>
        <v>0</v>
      </c>
      <c r="FK30" s="1257"/>
      <c r="FL30" s="350">
        <f>'yrP&amp;L'!W62</f>
        <v>0</v>
      </c>
      <c r="FM30" s="350">
        <f>'yrP&amp;L'!X62</f>
        <v>0</v>
      </c>
      <c r="FN30" s="350">
        <f>'yrP&amp;L'!Y62</f>
        <v>0</v>
      </c>
      <c r="FO30" s="350">
        <f>'yrP&amp;L'!Z62</f>
        <v>0</v>
      </c>
      <c r="FP30" s="350">
        <f>'yrP&amp;L'!AA62</f>
        <v>0</v>
      </c>
      <c r="FQ30" s="350">
        <f>'yrP&amp;L'!AB62</f>
        <v>-107.146</v>
      </c>
      <c r="FR30" s="350">
        <f>'yrP&amp;L'!AC62</f>
        <v>-117.26</v>
      </c>
      <c r="FS30" s="350">
        <f>'yrP&amp;L'!AD62</f>
        <v>143</v>
      </c>
      <c r="FT30" s="350">
        <f>'yrP&amp;L'!AE62</f>
        <v>0</v>
      </c>
      <c r="FU30" s="350">
        <f>'yrP&amp;L'!AF62</f>
        <v>0</v>
      </c>
      <c r="FV30" s="351">
        <f>'yrP&amp;L'!AG62</f>
        <v>0</v>
      </c>
      <c r="FW30" s="350">
        <f>'yrP&amp;L'!AH62</f>
        <v>0</v>
      </c>
      <c r="FX30" s="1212"/>
      <c r="FZ30"/>
      <c r="GA30"/>
      <c r="GB30"/>
      <c r="GC30"/>
      <c r="GD30"/>
      <c r="GE30"/>
      <c r="GF30" s="303"/>
      <c r="GG30" s="303"/>
      <c r="GH30" s="303"/>
      <c r="GI30" s="303"/>
      <c r="GJ30" s="303"/>
      <c r="GK30" s="303"/>
      <c r="GL30" s="303"/>
      <c r="GM30" s="303"/>
      <c r="GN30" s="303"/>
      <c r="GO30" s="303"/>
      <c r="GP30" s="303"/>
      <c r="GQ30" s="303"/>
      <c r="GR30" s="303"/>
      <c r="GS30" s="303"/>
      <c r="GT30" s="303"/>
      <c r="GU30" s="303"/>
      <c r="GV30" s="303"/>
      <c r="GW30" s="303"/>
      <c r="GX30" s="303"/>
      <c r="GY30" s="303"/>
      <c r="GZ30" s="303"/>
      <c r="HA30" s="303"/>
      <c r="HB30" s="303"/>
      <c r="HC30" s="303"/>
      <c r="HD30" s="303"/>
      <c r="HE30" s="303"/>
      <c r="HF30" s="303"/>
      <c r="HG30" s="303"/>
      <c r="HH30" s="303"/>
      <c r="HI30" s="303"/>
      <c r="HJ30" s="303"/>
      <c r="HK30" s="303"/>
      <c r="HL30" s="303"/>
      <c r="HM30" s="303"/>
      <c r="HN30" s="303"/>
      <c r="HO30" s="303"/>
      <c r="HP30" s="303"/>
      <c r="HQ30" s="303"/>
      <c r="HR30" s="303"/>
      <c r="HS30" s="303"/>
      <c r="HT30" s="303"/>
      <c r="HU30" s="303"/>
      <c r="HV30" s="303"/>
      <c r="HW30" s="303"/>
      <c r="HX30" s="303"/>
      <c r="HY30" s="303"/>
      <c r="HZ30" s="303"/>
      <c r="IA30" s="303"/>
      <c r="IB30" s="303"/>
      <c r="IC30" s="303"/>
      <c r="ID30" s="303"/>
      <c r="IE30" s="303"/>
      <c r="IF30" s="303"/>
      <c r="IG30" s="303"/>
      <c r="IH30" s="303"/>
      <c r="II30" s="303"/>
      <c r="IJ30" s="303"/>
      <c r="IK30" s="303"/>
      <c r="IL30" s="303"/>
      <c r="IM30" s="303"/>
      <c r="IN30" s="303"/>
      <c r="IO30" s="303"/>
      <c r="IP30" s="303"/>
      <c r="IQ30" s="303"/>
      <c r="IR30" s="303"/>
      <c r="IS30" s="303"/>
      <c r="IT30" s="303"/>
      <c r="IU30" s="303"/>
      <c r="IV30" s="303"/>
      <c r="IW30" s="303"/>
      <c r="IX30" s="303"/>
      <c r="IY30" s="303"/>
      <c r="IZ30" s="303"/>
      <c r="JA30" s="303"/>
      <c r="JB30" s="303"/>
      <c r="JC30" s="303"/>
    </row>
    <row r="31" spans="1:263" hidden="1" outlineLevel="1" x14ac:dyDescent="0.2">
      <c r="A31" s="334" t="s">
        <v>10</v>
      </c>
      <c r="B31" s="305"/>
      <c r="C31" s="336">
        <f>C30+C28</f>
        <v>-1.5049999999999903</v>
      </c>
      <c r="D31" s="336">
        <f>D30+D28</f>
        <v>-2.1270000000000082</v>
      </c>
      <c r="E31" s="336">
        <f>E30+E28</f>
        <v>3.7489999999999806</v>
      </c>
      <c r="F31" s="336">
        <f>F30+F28</f>
        <v>11.368999999999962</v>
      </c>
      <c r="G31" s="305"/>
      <c r="H31" s="336">
        <f>H30+H28</f>
        <v>0.50000000000000577</v>
      </c>
      <c r="I31" s="336">
        <f>I30+I28</f>
        <v>-0.14099999999998514</v>
      </c>
      <c r="J31" s="336">
        <f>J30+J28</f>
        <v>4.6909999999999847</v>
      </c>
      <c r="K31" s="336">
        <f>K30+K28</f>
        <v>15.043999999999967</v>
      </c>
      <c r="L31" s="305"/>
      <c r="M31" s="336">
        <f>M30+M28</f>
        <v>2.7639999999999998</v>
      </c>
      <c r="N31" s="336">
        <f>N30+N28</f>
        <v>-8.8890000000000082</v>
      </c>
      <c r="O31" s="336">
        <f>O30+O28</f>
        <v>10.110999999999979</v>
      </c>
      <c r="P31" s="336">
        <f>P30+P28</f>
        <v>19.528999999999982</v>
      </c>
      <c r="Q31" s="305"/>
      <c r="R31" s="336">
        <f>R30+R28</f>
        <v>7.4529999999999781</v>
      </c>
      <c r="S31" s="336">
        <f>S30+S28</f>
        <v>6.8619999999999983</v>
      </c>
      <c r="T31" s="336">
        <f>T30+T28</f>
        <v>13.065999999999987</v>
      </c>
      <c r="U31" s="336">
        <f>U30+U28</f>
        <v>26.366000000000053</v>
      </c>
      <c r="V31" s="305"/>
      <c r="W31" s="336">
        <f>W30+W28</f>
        <v>13.829000000000011</v>
      </c>
      <c r="X31" s="336">
        <f>X30+X28</f>
        <v>11.570999999999962</v>
      </c>
      <c r="Y31" s="336">
        <f>Y30+Y28</f>
        <v>20.873999999999995</v>
      </c>
      <c r="Z31" s="336">
        <f>Z30+Z28</f>
        <v>34.600000000000023</v>
      </c>
      <c r="AA31" s="305"/>
      <c r="AB31" s="336">
        <f>AB30+AB28</f>
        <v>15.687999999999986</v>
      </c>
      <c r="AC31" s="336">
        <f>AC30+AC28</f>
        <v>13.258000000000013</v>
      </c>
      <c r="AD31" s="336">
        <f>AD30+AD28</f>
        <v>7.575999999999989</v>
      </c>
      <c r="AE31" s="336">
        <f>AE30+AE28</f>
        <v>40.042000000000016</v>
      </c>
      <c r="AF31" s="305"/>
      <c r="AG31" s="336">
        <f>AG30+AG28</f>
        <v>19.972999999999967</v>
      </c>
      <c r="AH31" s="336">
        <f>AH30+AH28</f>
        <v>17.42500000000004</v>
      </c>
      <c r="AI31" s="336">
        <f>AI30+AI28</f>
        <v>22.025000000000031</v>
      </c>
      <c r="AJ31" s="336">
        <f>AJ30+AJ28</f>
        <v>54.778999999999968</v>
      </c>
      <c r="AK31" s="305"/>
      <c r="AL31" s="336">
        <f>AL30+AL28</f>
        <v>30.221</v>
      </c>
      <c r="AM31" s="336">
        <f>AM30+AM28</f>
        <v>23.797000000000033</v>
      </c>
      <c r="AN31" s="336">
        <f>AN30+AN28</f>
        <v>32.542346999999964</v>
      </c>
      <c r="AO31" s="336">
        <f>AO30+AO28</f>
        <v>68.883986999999991</v>
      </c>
      <c r="AP31" s="305"/>
      <c r="AQ31" s="336">
        <f>AQ30+AQ28</f>
        <v>35.370000000000047</v>
      </c>
      <c r="AR31" s="336">
        <f>AR30+AR28</f>
        <v>33.221461000000005</v>
      </c>
      <c r="AS31" s="336">
        <f>AS30+AS28</f>
        <v>48.998000000000012</v>
      </c>
      <c r="AT31" s="336">
        <f>AT30+AT28</f>
        <v>85.381999999999948</v>
      </c>
      <c r="AU31" s="305"/>
      <c r="AV31" s="336">
        <f>AV30+AV28</f>
        <v>37.672999999999902</v>
      </c>
      <c r="AW31" s="336">
        <f>AW30+AW28</f>
        <v>44.480000000000011</v>
      </c>
      <c r="AX31" s="336">
        <f>AX30+AX28</f>
        <v>51.032000000000039</v>
      </c>
      <c r="AY31" s="336">
        <f>AY30+AY28</f>
        <v>124.68900000000001</v>
      </c>
      <c r="AZ31" s="305"/>
      <c r="BA31" s="336">
        <f>BA30+BA28</f>
        <v>73.215000000000146</v>
      </c>
      <c r="BB31" s="336">
        <f>BB30+BB28</f>
        <v>68.625000000000057</v>
      </c>
      <c r="BC31" s="336">
        <f>BC30+BC28</f>
        <v>74.026999999999958</v>
      </c>
      <c r="BD31" s="336">
        <f>BD30+BD28</f>
        <v>178.98899999999992</v>
      </c>
      <c r="BE31" s="305"/>
      <c r="BF31" s="336">
        <f>BF30+BF28</f>
        <v>89.938999999999965</v>
      </c>
      <c r="BG31" s="336">
        <f>BG30+BG28</f>
        <v>90.429999999999936</v>
      </c>
      <c r="BH31" s="336">
        <f>BH30+BH28</f>
        <v>97.170000000000016</v>
      </c>
      <c r="BI31" s="336">
        <f>BI30+BI28</f>
        <v>233.99699999999976</v>
      </c>
      <c r="BJ31" s="305"/>
      <c r="BK31" s="336">
        <f>BK30+BK28</f>
        <v>123.56500000000004</v>
      </c>
      <c r="BL31" s="336">
        <f>BL30+BL28</f>
        <v>127.65</v>
      </c>
      <c r="BM31" s="336">
        <f>BM30+BM28</f>
        <v>130.21000000000012</v>
      </c>
      <c r="BN31" s="336">
        <f>BN30+BN28</f>
        <v>275.13600000000042</v>
      </c>
      <c r="BO31" s="305"/>
      <c r="BP31" s="336">
        <f>BP30+BP28</f>
        <v>106.96899999999978</v>
      </c>
      <c r="BQ31" s="336">
        <f>BQ30+BQ28</f>
        <v>109.30000000000005</v>
      </c>
      <c r="BR31" s="336">
        <f>BR30+BR28</f>
        <v>116.80999999999992</v>
      </c>
      <c r="BS31" s="336">
        <f>BS30+BS28</f>
        <v>239.8000000000003</v>
      </c>
      <c r="BT31" s="305"/>
      <c r="BU31" s="336">
        <f>BU30+BU28</f>
        <v>103.06539999999987</v>
      </c>
      <c r="BV31" s="336">
        <f>BV30+BV28</f>
        <v>147.0070000000002</v>
      </c>
      <c r="BW31" s="336">
        <f>BW30+BW28</f>
        <v>134.62257000000005</v>
      </c>
      <c r="BX31" s="336">
        <f>BX30+BX28</f>
        <v>318.81791799999974</v>
      </c>
      <c r="BY31" s="305"/>
      <c r="BZ31" s="336">
        <f>BZ30+BZ28</f>
        <v>124.70000000000029</v>
      </c>
      <c r="CA31" s="336">
        <f>CA30+CA28</f>
        <v>187.19977960398896</v>
      </c>
      <c r="CB31" s="336">
        <f>CB30+CB28</f>
        <v>155.10000000000031</v>
      </c>
      <c r="CC31" s="336">
        <f>CC30+CC28</f>
        <v>374.89999999999952</v>
      </c>
      <c r="CD31" s="305"/>
      <c r="CE31" s="336">
        <f>CE30+CE28</f>
        <v>167.097371641791</v>
      </c>
      <c r="CF31" s="336">
        <f>CF30+CF28</f>
        <v>232.40440389821347</v>
      </c>
      <c r="CG31" s="336">
        <f>CG30+CG28</f>
        <v>224.49600000000044</v>
      </c>
      <c r="CH31" s="336">
        <f>CH30+CH28</f>
        <v>484.60000000000019</v>
      </c>
      <c r="CI31" s="305"/>
      <c r="CJ31" s="336">
        <f>CJ30+CJ28</f>
        <v>209.00000000000014</v>
      </c>
      <c r="CK31" s="336">
        <f>CK30+CK28</f>
        <v>269.12099999999964</v>
      </c>
      <c r="CL31" s="336">
        <f>CL30+CL28</f>
        <v>194</v>
      </c>
      <c r="CM31" s="336">
        <f>CM30+CM28</f>
        <v>411.70000000000016</v>
      </c>
      <c r="CN31" s="305"/>
      <c r="CO31" s="336">
        <f>CO30+CO28</f>
        <v>152.95500000000013</v>
      </c>
      <c r="CP31" s="336">
        <f>CP30+CP28</f>
        <v>236.01499999999976</v>
      </c>
      <c r="CQ31" s="336">
        <f>CQ30+CQ28</f>
        <v>160.15699999999995</v>
      </c>
      <c r="CR31" s="336">
        <f>CR30+CR28</f>
        <v>336</v>
      </c>
      <c r="CS31" s="305"/>
      <c r="CT31" s="336">
        <f>CT30+CT28</f>
        <v>137</v>
      </c>
      <c r="CU31" s="336">
        <f>CU30+CU28</f>
        <v>229.1</v>
      </c>
      <c r="CV31" s="336">
        <f>CV30+CV28</f>
        <v>193</v>
      </c>
      <c r="CW31" s="336">
        <f>CW30+CW28</f>
        <v>432</v>
      </c>
      <c r="CX31" s="305"/>
      <c r="CY31" s="336">
        <f>CY30+CY28</f>
        <v>195</v>
      </c>
      <c r="CZ31" s="336">
        <f>CZ30+CZ28</f>
        <v>255</v>
      </c>
      <c r="DA31" s="336">
        <f>DA30+DA28</f>
        <v>176</v>
      </c>
      <c r="DB31" s="336">
        <f>DB30+DB28</f>
        <v>494</v>
      </c>
      <c r="DC31" s="305"/>
      <c r="DD31" s="336">
        <f>DD30+DD28</f>
        <v>201</v>
      </c>
      <c r="DE31" s="336">
        <f>DE30+DE28</f>
        <v>299</v>
      </c>
      <c r="DF31" s="336">
        <f>DF30+DF28</f>
        <v>212</v>
      </c>
      <c r="DG31" s="336">
        <f>DG30+DG28</f>
        <v>455</v>
      </c>
      <c r="DH31" s="305"/>
      <c r="DI31" s="336">
        <f>DI30+DI28</f>
        <v>153.5</v>
      </c>
      <c r="DJ31" s="336">
        <f>DJ30+DJ28</f>
        <v>239.5</v>
      </c>
      <c r="DK31" s="336">
        <f>DK30+DK28</f>
        <v>214.5</v>
      </c>
      <c r="DL31" s="336">
        <f>DL30+DL28</f>
        <v>378</v>
      </c>
      <c r="DM31" s="305"/>
      <c r="DN31" s="336">
        <f>DN30+DN28</f>
        <v>147</v>
      </c>
      <c r="DO31" s="336">
        <f>DO30+DO28</f>
        <v>231</v>
      </c>
      <c r="DP31" s="336">
        <f>DP30+DP28</f>
        <v>177</v>
      </c>
      <c r="DQ31" s="336">
        <f>DQ30+DQ28</f>
        <v>334</v>
      </c>
      <c r="DR31" s="305"/>
      <c r="DS31" s="336">
        <f>DS30+DS28</f>
        <v>125</v>
      </c>
      <c r="DT31" s="336">
        <f>DT30+DT28</f>
        <v>231</v>
      </c>
      <c r="DU31" s="336">
        <f>DU30+DU28</f>
        <v>142</v>
      </c>
      <c r="DV31" s="336">
        <f>DV30+DV28</f>
        <v>369</v>
      </c>
      <c r="DW31" s="305"/>
      <c r="DX31" s="336">
        <f>DX30+DX28</f>
        <v>127</v>
      </c>
      <c r="DY31" s="336">
        <f>DY30+DY28</f>
        <v>130.786</v>
      </c>
      <c r="DZ31" s="336">
        <f>DZ30+DZ28</f>
        <v>120.22799999999999</v>
      </c>
      <c r="EA31" s="336">
        <f>EA30+EA28</f>
        <v>296</v>
      </c>
      <c r="EB31" s="305"/>
      <c r="EC31" s="336">
        <f>EC30+EC28</f>
        <v>17.32</v>
      </c>
      <c r="ED31" s="336">
        <f>ED30+ED28</f>
        <v>139.36000000000001</v>
      </c>
      <c r="EE31" s="336">
        <f>EE30+EE28</f>
        <v>146.9</v>
      </c>
      <c r="EF31" s="336">
        <f>EF30+EF28</f>
        <v>252</v>
      </c>
      <c r="EG31" s="305"/>
      <c r="EH31" s="336">
        <f>EH30+EH28</f>
        <v>66</v>
      </c>
      <c r="EI31" s="336">
        <f>EI30+EI28</f>
        <v>208</v>
      </c>
      <c r="EJ31" s="336">
        <f>EJ30+EJ28</f>
        <v>117</v>
      </c>
      <c r="EK31" s="336">
        <f>EK30+EK28</f>
        <v>469</v>
      </c>
      <c r="EL31" s="336"/>
      <c r="EM31" s="336">
        <f>EM30+EM28</f>
        <v>81.309777502700058</v>
      </c>
      <c r="EN31" s="336">
        <f>EN30+EN28</f>
        <v>274.49613580400035</v>
      </c>
      <c r="EO31" s="336">
        <f>EO30+EO28</f>
        <v>140.05841852049997</v>
      </c>
      <c r="EP31" s="336">
        <f>EP30+EP28</f>
        <v>302.02649566799948</v>
      </c>
      <c r="EQ31" s="338">
        <f t="shared" ref="EQ31:FT31" si="16">EQ30+EQ28</f>
        <v>11.486000000000043</v>
      </c>
      <c r="ER31" s="336">
        <f t="shared" si="16"/>
        <v>20.093999999999976</v>
      </c>
      <c r="ES31" s="336">
        <f t="shared" si="16"/>
        <v>26.571000000000002</v>
      </c>
      <c r="ET31" s="336">
        <f t="shared" si="16"/>
        <v>53.746999999999979</v>
      </c>
      <c r="EU31" s="336">
        <f t="shared" si="16"/>
        <v>68.451999999999828</v>
      </c>
      <c r="EV31" s="336">
        <f t="shared" si="16"/>
        <v>72.652000000000271</v>
      </c>
      <c r="EW31" s="336">
        <f t="shared" si="16"/>
        <v>102.7559999999999</v>
      </c>
      <c r="EX31" s="336">
        <f t="shared" si="16"/>
        <v>141.25633399999995</v>
      </c>
      <c r="EY31" s="336">
        <f t="shared" si="16"/>
        <v>178.08458599999952</v>
      </c>
      <c r="EZ31" s="336">
        <f t="shared" si="16"/>
        <v>258.80999999999949</v>
      </c>
      <c r="FA31" s="336">
        <f t="shared" si="16"/>
        <v>363.35200000000106</v>
      </c>
      <c r="FB31" s="336">
        <f t="shared" si="16"/>
        <v>486.66899999999964</v>
      </c>
      <c r="FC31" s="336">
        <f t="shared" si="16"/>
        <v>635.43500000000142</v>
      </c>
      <c r="FD31" s="336">
        <f t="shared" si="16"/>
        <v>580.72200000000021</v>
      </c>
      <c r="FE31" s="336">
        <f t="shared" si="16"/>
        <v>703.51288800000111</v>
      </c>
      <c r="FF31" s="336">
        <f t="shared" si="16"/>
        <v>841.89977960398824</v>
      </c>
      <c r="FG31" s="336">
        <f t="shared" si="16"/>
        <v>1108.5977755400072</v>
      </c>
      <c r="FH31" s="338">
        <f t="shared" si="16"/>
        <v>1083.8209999999999</v>
      </c>
      <c r="FI31" s="336">
        <f t="shared" si="16"/>
        <v>885.12699999999973</v>
      </c>
      <c r="FJ31" s="336">
        <f t="shared" si="16"/>
        <v>973</v>
      </c>
      <c r="FK31" s="1254"/>
      <c r="FL31" s="336">
        <f t="shared" si="16"/>
        <v>1120</v>
      </c>
      <c r="FM31" s="336">
        <f t="shared" si="16"/>
        <v>1167</v>
      </c>
      <c r="FN31" s="336">
        <f t="shared" si="16"/>
        <v>985.5</v>
      </c>
      <c r="FO31" s="336">
        <f t="shared" si="16"/>
        <v>889</v>
      </c>
      <c r="FP31" s="336">
        <f t="shared" si="16"/>
        <v>867</v>
      </c>
      <c r="FQ31" s="336">
        <f t="shared" si="16"/>
        <v>675.01400000000001</v>
      </c>
      <c r="FR31" s="336">
        <f t="shared" si="16"/>
        <v>555.88</v>
      </c>
      <c r="FS31" s="336">
        <f t="shared" si="16"/>
        <v>860</v>
      </c>
      <c r="FT31" s="336">
        <f t="shared" si="16"/>
        <v>797.89082749519889</v>
      </c>
      <c r="FU31" s="336">
        <f>FU30+FU28</f>
        <v>674.9473842746894</v>
      </c>
      <c r="FV31" s="339">
        <f>FV30+FV28</f>
        <v>601.51969697142169</v>
      </c>
      <c r="FW31" s="336">
        <f>FW30+FW28</f>
        <v>524.39430320338647</v>
      </c>
      <c r="FX31" s="1213"/>
    </row>
    <row r="32" spans="1:263" ht="6" customHeight="1" collapsed="1" x14ac:dyDescent="0.2">
      <c r="A32" s="334"/>
      <c r="B32" s="305"/>
      <c r="C32" s="305"/>
      <c r="D32" s="305"/>
      <c r="E32" s="305"/>
      <c r="F32" s="305"/>
      <c r="G32" s="305"/>
      <c r="H32" s="305"/>
      <c r="I32" s="305"/>
      <c r="J32" s="305"/>
      <c r="K32" s="305"/>
      <c r="L32" s="305"/>
      <c r="M32" s="305"/>
      <c r="N32" s="305"/>
      <c r="O32" s="305"/>
      <c r="P32" s="305"/>
      <c r="Q32" s="305"/>
      <c r="R32" s="305"/>
      <c r="S32" s="305"/>
      <c r="T32" s="305"/>
      <c r="U32" s="305"/>
      <c r="V32" s="305"/>
      <c r="W32" s="305"/>
      <c r="X32" s="305"/>
      <c r="Y32" s="305"/>
      <c r="Z32" s="305"/>
      <c r="AA32" s="305"/>
      <c r="AB32" s="305"/>
      <c r="AC32" s="305"/>
      <c r="AD32" s="305"/>
      <c r="AE32" s="305"/>
      <c r="AF32" s="305"/>
      <c r="AG32" s="305"/>
      <c r="AH32" s="305"/>
      <c r="AI32" s="305"/>
      <c r="AJ32" s="305"/>
      <c r="AK32" s="305"/>
      <c r="AL32" s="305"/>
      <c r="AM32" s="305"/>
      <c r="AN32" s="305"/>
      <c r="AO32" s="305"/>
      <c r="AP32" s="305"/>
      <c r="AQ32" s="305"/>
      <c r="AR32" s="305"/>
      <c r="AS32" s="305"/>
      <c r="AT32" s="305"/>
      <c r="AU32" s="305"/>
      <c r="AV32" s="305"/>
      <c r="AW32" s="305"/>
      <c r="AX32" s="305"/>
      <c r="AY32" s="305"/>
      <c r="AZ32" s="305"/>
      <c r="BA32" s="305"/>
      <c r="BB32" s="305"/>
      <c r="BC32" s="305"/>
      <c r="BD32" s="305"/>
      <c r="BE32" s="305"/>
      <c r="BF32" s="305"/>
      <c r="BG32" s="305"/>
      <c r="BH32" s="305"/>
      <c r="BI32" s="305"/>
      <c r="BJ32" s="305"/>
      <c r="BK32" s="305"/>
      <c r="BL32" s="305"/>
      <c r="BM32" s="305"/>
      <c r="BN32" s="305"/>
      <c r="BO32" s="305"/>
      <c r="BP32" s="305"/>
      <c r="BQ32" s="305"/>
      <c r="BR32" s="305"/>
      <c r="BS32" s="305"/>
      <c r="BT32" s="305"/>
      <c r="BU32" s="305"/>
      <c r="BV32" s="305"/>
      <c r="BW32" s="305"/>
      <c r="BX32" s="305"/>
      <c r="BY32" s="305"/>
      <c r="BZ32" s="305"/>
      <c r="CA32" s="305"/>
      <c r="CB32" s="305"/>
      <c r="CC32" s="305"/>
      <c r="CD32" s="305"/>
      <c r="CE32" s="305"/>
      <c r="CF32" s="305"/>
      <c r="CG32" s="305"/>
      <c r="CH32" s="305"/>
      <c r="CI32" s="305"/>
      <c r="CJ32" s="305"/>
      <c r="CK32" s="305"/>
      <c r="CL32" s="305"/>
      <c r="CM32" s="305"/>
      <c r="CN32" s="305"/>
      <c r="CO32" s="305"/>
      <c r="CP32" s="305"/>
      <c r="CQ32" s="305"/>
      <c r="CR32" s="305"/>
      <c r="CS32" s="305"/>
      <c r="CT32" s="305"/>
      <c r="CU32" s="305"/>
      <c r="CV32" s="305"/>
      <c r="CW32" s="305"/>
      <c r="CX32" s="305"/>
      <c r="CY32" s="305"/>
      <c r="CZ32" s="305"/>
      <c r="DA32" s="305"/>
      <c r="DB32" s="305"/>
      <c r="DC32" s="305"/>
      <c r="DD32" s="305"/>
      <c r="DE32" s="305"/>
      <c r="DF32" s="305"/>
      <c r="DG32" s="305"/>
      <c r="DH32" s="305"/>
      <c r="DI32" s="305"/>
      <c r="DJ32" s="305"/>
      <c r="DK32" s="305"/>
      <c r="DL32" s="305"/>
      <c r="DM32" s="305"/>
      <c r="DN32" s="305"/>
      <c r="DO32" s="305"/>
      <c r="DP32" s="305"/>
      <c r="DQ32" s="305"/>
      <c r="DR32" s="305"/>
      <c r="DS32" s="305"/>
      <c r="DT32" s="305"/>
      <c r="DU32" s="305"/>
      <c r="DV32" s="305"/>
      <c r="DW32" s="305"/>
      <c r="DX32" s="305"/>
      <c r="DY32" s="305"/>
      <c r="DZ32" s="305"/>
      <c r="EA32" s="305"/>
      <c r="EB32" s="305"/>
      <c r="EC32" s="305"/>
      <c r="ED32" s="305"/>
      <c r="EE32" s="305"/>
      <c r="EF32" s="305"/>
      <c r="EG32" s="313"/>
      <c r="EH32" s="305"/>
      <c r="EI32" s="305"/>
      <c r="EJ32" s="305"/>
      <c r="EK32" s="305"/>
      <c r="EL32" s="305"/>
      <c r="EM32" s="1193"/>
      <c r="EN32" s="1193"/>
      <c r="EO32" s="1193"/>
      <c r="EP32" s="1193"/>
      <c r="EQ32" s="340"/>
      <c r="ER32" s="341"/>
      <c r="ES32" s="341"/>
      <c r="ET32" s="341"/>
      <c r="EU32" s="341"/>
      <c r="EV32" s="341"/>
      <c r="EW32" s="341"/>
      <c r="EX32" s="341"/>
      <c r="EY32" s="341"/>
      <c r="EZ32" s="341"/>
      <c r="FA32" s="341"/>
      <c r="FB32" s="341"/>
      <c r="FC32" s="341"/>
      <c r="FD32" s="341"/>
      <c r="FE32" s="341"/>
      <c r="FF32" s="341"/>
      <c r="FG32" s="341"/>
      <c r="FH32" s="340"/>
      <c r="FI32" s="341"/>
      <c r="FJ32" s="341"/>
      <c r="FK32" s="1255"/>
      <c r="FL32" s="341"/>
      <c r="FM32" s="341"/>
      <c r="FN32" s="341"/>
      <c r="FO32" s="341"/>
      <c r="FP32" s="341"/>
      <c r="FQ32" s="341"/>
      <c r="FR32" s="341"/>
      <c r="FS32" s="341"/>
      <c r="FT32" s="341"/>
      <c r="FU32" s="341"/>
      <c r="FV32" s="342"/>
      <c r="FW32" s="341"/>
      <c r="FX32" s="1212"/>
    </row>
    <row r="33" spans="1:191" x14ac:dyDescent="0.2">
      <c r="A33" s="364" t="s">
        <v>187</v>
      </c>
      <c r="B33" s="324"/>
      <c r="C33" s="365">
        <f>INDEX('qtrP&amp;L'!$170:$170,MATCH(C$6,'qtrP&amp;L'!$6:$6,0))</f>
        <v>-7.0532768446310446E-3</v>
      </c>
      <c r="D33" s="365">
        <f>INDEX('qtrP&amp;L'!$171:$171,MATCH(C$6,'qtrP&amp;L'!$6:$6,0))</f>
        <v>-9.9683188362328333E-3</v>
      </c>
      <c r="E33" s="365">
        <f>INDEX('qtrP&amp;L'!$172:$172,MATCH(C$6,'qtrP&amp;L'!$6:$6,0))</f>
        <v>1.7569923515296865E-2</v>
      </c>
      <c r="F33" s="365">
        <f>INDEX('qtrP&amp;L'!$173:$173,MATCH(C$6,'qtrP&amp;L'!$6:$6,0))</f>
        <v>5.3281531193761091E-2</v>
      </c>
      <c r="G33" s="324"/>
      <c r="H33" s="365">
        <f>INDEX('qtrP&amp;L'!$170:$170,MATCH(H$6,'qtrP&amp;L'!$6:$6,0))</f>
        <v>0</v>
      </c>
      <c r="I33" s="365">
        <f>INDEX('qtrP&amp;L'!$171:$171,MATCH(H$6,'qtrP&amp;L'!$6:$6,0))</f>
        <v>0</v>
      </c>
      <c r="J33" s="365">
        <f>INDEX('qtrP&amp;L'!$172:$172,MATCH(H$6,'qtrP&amp;L'!$6:$6,0))</f>
        <v>0.02</v>
      </c>
      <c r="K33" s="365">
        <f>INDEX('qtrP&amp;L'!$173:$173,MATCH(H$6,'qtrP&amp;L'!$6:$6,0))</f>
        <v>0.06</v>
      </c>
      <c r="L33" s="324"/>
      <c r="M33" s="365">
        <f>INDEX('qtrP&amp;L'!$170:$170,MATCH(M$6,'qtrP&amp;L'!$6:$6,0))</f>
        <v>0.01</v>
      </c>
      <c r="N33" s="365">
        <f>INDEX('qtrP&amp;L'!$171:$171,MATCH(M$6,'qtrP&amp;L'!$6:$6,0))</f>
        <v>0.01</v>
      </c>
      <c r="O33" s="365">
        <f>INDEX('qtrP&amp;L'!$172:$172,MATCH(M$6,'qtrP&amp;L'!$6:$6,0))</f>
        <v>0.04</v>
      </c>
      <c r="P33" s="365">
        <f>INDEX('qtrP&amp;L'!$173:$173,MATCH(M$6,'qtrP&amp;L'!$6:$6,0))</f>
        <v>7.0000000000000007E-2</v>
      </c>
      <c r="Q33" s="324"/>
      <c r="R33" s="365">
        <f>INDEX('qtrP&amp;L'!$170:$170,MATCH(R$6,'qtrP&amp;L'!$6:$6,0))</f>
        <v>0.03</v>
      </c>
      <c r="S33" s="365">
        <f>INDEX('qtrP&amp;L'!$171:$171,MATCH(R$6,'qtrP&amp;L'!$6:$6,0))</f>
        <v>0.02</v>
      </c>
      <c r="T33" s="365">
        <f>INDEX('qtrP&amp;L'!$172:$172,MATCH(R$6,'qtrP&amp;L'!$6:$6,0))</f>
        <v>0.04</v>
      </c>
      <c r="U33" s="365">
        <f>INDEX('qtrP&amp;L'!$173:$173,MATCH(R$6,'qtrP&amp;L'!$6:$6,0))</f>
        <v>0.1</v>
      </c>
      <c r="V33" s="324"/>
      <c r="W33" s="365">
        <f>INDEX('qtrP&amp;L'!$170:$170,MATCH(W$6,'qtrP&amp;L'!$6:$6,0))</f>
        <v>0.04</v>
      </c>
      <c r="X33" s="365">
        <f>INDEX('qtrP&amp;L'!$171:$171,MATCH(W$6,'qtrP&amp;L'!$6:$6,0))</f>
        <v>0.03</v>
      </c>
      <c r="Y33" s="365">
        <f>INDEX('qtrP&amp;L'!$172:$172,MATCH(W$6,'qtrP&amp;L'!$6:$6,0))</f>
        <v>0.05</v>
      </c>
      <c r="Z33" s="365">
        <f>INDEX('qtrP&amp;L'!$173:$173,MATCH(W$6,'qtrP&amp;L'!$6:$6,0))</f>
        <v>0.12</v>
      </c>
      <c r="AA33" s="324"/>
      <c r="AB33" s="365">
        <f>INDEX('qtrP&amp;L'!$170:$170,MATCH(AB$6,'qtrP&amp;L'!$6:$6,0))</f>
        <v>0.04</v>
      </c>
      <c r="AC33" s="365">
        <f>INDEX('qtrP&amp;L'!$171:$171,MATCH(AB$6,'qtrP&amp;L'!$6:$6,0))</f>
        <v>0.04</v>
      </c>
      <c r="AD33" s="365">
        <f>INDEX('qtrP&amp;L'!$172:$172,MATCH(AB$6,'qtrP&amp;L'!$6:$6,0))</f>
        <v>0.05</v>
      </c>
      <c r="AE33" s="365">
        <f>INDEX('qtrP&amp;L'!$173:$173,MATCH(AB$6,'qtrP&amp;L'!$6:$6,0))</f>
        <v>0.14000000000000001</v>
      </c>
      <c r="AF33" s="324"/>
      <c r="AG33" s="365">
        <f>INDEX('qtrP&amp;L'!$170:$170,MATCH(AG$6,'qtrP&amp;L'!$6:$6,0))</f>
        <v>0.05</v>
      </c>
      <c r="AH33" s="365">
        <f>INDEX('qtrP&amp;L'!$171:$171,MATCH(AG$6,'qtrP&amp;L'!$6:$6,0))</f>
        <v>0.05</v>
      </c>
      <c r="AI33" s="365">
        <f>INDEX('qtrP&amp;L'!$172:$172,MATCH(AG$6,'qtrP&amp;L'!$6:$6,0))</f>
        <v>7.0000000000000007E-2</v>
      </c>
      <c r="AJ33" s="365">
        <f>INDEX('qtrP&amp;L'!$173:$173,MATCH(AG$6,'qtrP&amp;L'!$6:$6,0))</f>
        <v>0.17</v>
      </c>
      <c r="AK33" s="324"/>
      <c r="AL33" s="365">
        <f>INDEX('qtrP&amp;L'!$170:$170,MATCH(AL$6,'qtrP&amp;L'!$6:$6,0))</f>
        <v>0.05</v>
      </c>
      <c r="AM33" s="365">
        <f>INDEX('qtrP&amp;L'!$171:$171,MATCH(AL$6,'qtrP&amp;L'!$6:$6,0))</f>
        <v>7.0000000000000007E-2</v>
      </c>
      <c r="AN33" s="365">
        <f>INDEX('qtrP&amp;L'!$172:$172,MATCH(AL$6,'qtrP&amp;L'!$6:$6,0))</f>
        <v>0.1</v>
      </c>
      <c r="AO33" s="365">
        <f>INDEX('qtrP&amp;L'!$173:$173,MATCH(AL$6,'qtrP&amp;L'!$6:$6,0))</f>
        <v>0.22</v>
      </c>
      <c r="AP33" s="324"/>
      <c r="AQ33" s="365">
        <f>INDEX('qtrP&amp;L'!$170:$170,MATCH(AQ$6,'qtrP&amp;L'!$6:$6,0))</f>
        <v>7.0000000000000007E-2</v>
      </c>
      <c r="AR33" s="365">
        <f>INDEX('qtrP&amp;L'!$171:$171,MATCH(AQ$6,'qtrP&amp;L'!$6:$6,0))</f>
        <v>0.09</v>
      </c>
      <c r="AS33" s="365">
        <f>INDEX('qtrP&amp;L'!$172:$172,MATCH(AQ$6,'qtrP&amp;L'!$6:$6,0))</f>
        <v>0.11</v>
      </c>
      <c r="AT33" s="365">
        <f>INDEX('qtrP&amp;L'!$173:$173,MATCH(AQ$6,'qtrP&amp;L'!$6:$6,0))</f>
        <v>0.28000000000000003</v>
      </c>
      <c r="AU33" s="324"/>
      <c r="AV33" s="365">
        <f>INDEX('qtrP&amp;L'!$170:$170,MATCH(AV$6,'qtrP&amp;L'!$6:$6,0))</f>
        <v>0.11</v>
      </c>
      <c r="AW33" s="365">
        <f>INDEX('qtrP&amp;L'!$171:$171,MATCH(AV$6,'qtrP&amp;L'!$6:$6,0))</f>
        <v>0.13</v>
      </c>
      <c r="AX33" s="365">
        <f>INDEX('qtrP&amp;L'!$172:$172,MATCH(AV$6,'qtrP&amp;L'!$6:$6,0))</f>
        <v>0.15</v>
      </c>
      <c r="AY33" s="365">
        <f>INDEX('qtrP&amp;L'!$173:$173,MATCH(AV$6,'qtrP&amp;L'!$6:$6,0))</f>
        <v>0.36</v>
      </c>
      <c r="AZ33" s="324"/>
      <c r="BA33" s="365">
        <f>INDEX('qtrP&amp;L'!$170:$170,MATCH(BA$6,'qtrP&amp;L'!$6:$6,0))</f>
        <v>0.15</v>
      </c>
      <c r="BB33" s="365">
        <f>INDEX('qtrP&amp;L'!$171:$171,MATCH(BA$6,'qtrP&amp;L'!$6:$6,0))</f>
        <v>0.18</v>
      </c>
      <c r="BC33" s="365">
        <f>INDEX('qtrP&amp;L'!$172:$172,MATCH(BA$6,'qtrP&amp;L'!$6:$6,0))</f>
        <v>0.22</v>
      </c>
      <c r="BD33" s="365">
        <f>INDEX('qtrP&amp;L'!$173:$173,MATCH(BA$6,'qtrP&amp;L'!$6:$6,0))</f>
        <v>0.52</v>
      </c>
      <c r="BE33" s="324"/>
      <c r="BF33" s="365">
        <f>INDEX('qtrP&amp;L'!$170:$170,MATCH(BF$6,'qtrP&amp;L'!$6:$6,0))</f>
        <v>0.21</v>
      </c>
      <c r="BG33" s="365">
        <f>INDEX('qtrP&amp;L'!$171:$171,MATCH(BF$6,'qtrP&amp;L'!$6:$6,0))</f>
        <v>0.25</v>
      </c>
      <c r="BH33" s="365">
        <f>INDEX('qtrP&amp;L'!$172:$172,MATCH(BF$6,'qtrP&amp;L'!$6:$6,0))</f>
        <v>0.28000000000000003</v>
      </c>
      <c r="BI33" s="365">
        <f>INDEX('qtrP&amp;L'!$173:$173,MATCH(BF$6,'qtrP&amp;L'!$6:$6,0))</f>
        <v>0.67</v>
      </c>
      <c r="BJ33" s="324"/>
      <c r="BK33" s="365">
        <f>INDEX('qtrP&amp;L'!$170:$170,MATCH(BK$6,'qtrP&amp;L'!$6:$6,0))</f>
        <v>0.3</v>
      </c>
      <c r="BL33" s="365">
        <f>INDEX('qtrP&amp;L'!$171:$171,MATCH(BK$6,'qtrP&amp;L'!$6:$6,0))</f>
        <v>0.36</v>
      </c>
      <c r="BM33" s="365">
        <f>INDEX('qtrP&amp;L'!$172:$172,MATCH(BK$6,'qtrP&amp;L'!$6:$6,0))</f>
        <v>0.38</v>
      </c>
      <c r="BN33" s="365">
        <f>INDEX('qtrP&amp;L'!$173:$173,MATCH(BK$6,'qtrP&amp;L'!$6:$6,0))</f>
        <v>0.8</v>
      </c>
      <c r="BO33" s="324"/>
      <c r="BP33" s="365">
        <f>INDEX('qtrP&amp;L'!$170:$170,MATCH(BP$6,'qtrP&amp;L'!$6:$6,0))</f>
        <v>0.31</v>
      </c>
      <c r="BQ33" s="365">
        <f>INDEX('qtrP&amp;L'!$171:$171,MATCH(BP$6,'qtrP&amp;L'!$6:$6,0))</f>
        <v>0.32</v>
      </c>
      <c r="BR33" s="365">
        <f>INDEX('qtrP&amp;L'!$172:$172,MATCH(BP$6,'qtrP&amp;L'!$6:$6,0))</f>
        <v>0.34</v>
      </c>
      <c r="BS33" s="365">
        <f>INDEX('qtrP&amp;L'!$173:$173,MATCH(BP$6,'qtrP&amp;L'!$6:$6,0))</f>
        <v>0.71</v>
      </c>
      <c r="BT33" s="324"/>
      <c r="BU33" s="365">
        <f>INDEX('qtrP&amp;L'!$170:$170,MATCH(BU$6,'qtrP&amp;L'!$6:$6,0))</f>
        <v>0.3</v>
      </c>
      <c r="BV33" s="365">
        <f>INDEX('qtrP&amp;L'!$171:$171,MATCH(BU$6,'qtrP&amp;L'!$6:$6,0))</f>
        <v>0.43</v>
      </c>
      <c r="BW33" s="365">
        <f>INDEX('qtrP&amp;L'!$172:$172,MATCH(BU$6,'qtrP&amp;L'!$6:$6,0))</f>
        <v>0.39</v>
      </c>
      <c r="BX33" s="365">
        <f>INDEX('qtrP&amp;L'!$173:$173,MATCH(BU$6,'qtrP&amp;L'!$6:$6,0))</f>
        <v>0.92</v>
      </c>
      <c r="BY33" s="324"/>
      <c r="BZ33" s="365">
        <f>INDEX('qtrP&amp;L'!$170:$170,MATCH(BZ$6,'qtrP&amp;L'!$6:$6,0))</f>
        <v>0.36</v>
      </c>
      <c r="CA33" s="365">
        <f>INDEX('qtrP&amp;L'!$171:$171,MATCH(BZ$6,'qtrP&amp;L'!$6:$6,0))</f>
        <v>0.52</v>
      </c>
      <c r="CB33" s="365">
        <f>INDEX('qtrP&amp;L'!$172:$172,MATCH(BZ$6,'qtrP&amp;L'!$6:$6,0))</f>
        <v>0.45</v>
      </c>
      <c r="CC33" s="365">
        <f>INDEX('qtrP&amp;L'!$173:$173,MATCH(BZ$6,'qtrP&amp;L'!$6:$6,0))</f>
        <v>1.08</v>
      </c>
      <c r="CD33" s="324"/>
      <c r="CE33" s="365">
        <f>INDEX('qtrP&amp;L'!$170:$170,MATCH(CE$6,'qtrP&amp;L'!$6:$6,0))</f>
        <v>0.48</v>
      </c>
      <c r="CF33" s="365">
        <f>INDEX('qtrP&amp;L'!$171:$171,MATCH(CE$6,'qtrP&amp;L'!$6:$6,0))</f>
        <v>0.69</v>
      </c>
      <c r="CG33" s="365">
        <f>INDEX('qtrP&amp;L'!$172:$172,MATCH(CE$6,'qtrP&amp;L'!$6:$6,0))</f>
        <v>0.68</v>
      </c>
      <c r="CH33" s="365">
        <f>INDEX('qtrP&amp;L'!$173:$173,MATCH(CE$6,'qtrP&amp;L'!$6:$6,0))</f>
        <v>1.48</v>
      </c>
      <c r="CI33" s="366"/>
      <c r="CJ33" s="365">
        <f>INDEX('qtrP&amp;L'!$170:$170,MATCH(CJ$6,'qtrP&amp;L'!$6:$6,0))</f>
        <v>0.64</v>
      </c>
      <c r="CK33" s="365">
        <f>INDEX('qtrP&amp;L'!$171:$171,MATCH(CJ$6,'qtrP&amp;L'!$6:$6,0))</f>
        <v>0.83</v>
      </c>
      <c r="CL33" s="365">
        <f>INDEX('qtrP&amp;L'!$172:$172,MATCH(CJ$6,'qtrP&amp;L'!$6:$6,0))</f>
        <v>0.61</v>
      </c>
      <c r="CM33" s="365">
        <f>INDEX('qtrP&amp;L'!$173:$173,MATCH(CJ$6,'qtrP&amp;L'!$6:$6,0))</f>
        <v>1.31</v>
      </c>
      <c r="CN33" s="366"/>
      <c r="CO33" s="365">
        <f>INDEX('qtrP&amp;L'!$170:$170,MATCH(CO$6,'qtrP&amp;L'!$6:$6,0))</f>
        <v>0.49</v>
      </c>
      <c r="CP33" s="365">
        <f>INDEX('qtrP&amp;L'!$171:$171,MATCH(CO$6,'qtrP&amp;L'!$6:$6,0))</f>
        <v>0.77</v>
      </c>
      <c r="CQ33" s="365">
        <f>INDEX('qtrP&amp;L'!$172:$172,MATCH(CO$6,'qtrP&amp;L'!$6:$6,0))</f>
        <v>0.52</v>
      </c>
      <c r="CR33" s="365">
        <f>INDEX('qtrP&amp;L'!$173:$173,MATCH(CO$6,'qtrP&amp;L'!$6:$6,0))</f>
        <v>1.1000000000000001</v>
      </c>
      <c r="CS33" s="366"/>
      <c r="CT33" s="365">
        <f>INDEX('qtrP&amp;L'!$170:$170,MATCH(CT$6,'qtrP&amp;L'!$6:$6,0))</f>
        <v>0.45</v>
      </c>
      <c r="CU33" s="365">
        <f>INDEX('qtrP&amp;L'!$171:$171,MATCH(CT$6,'qtrP&amp;L'!$6:$6,0))</f>
        <v>0.75</v>
      </c>
      <c r="CV33" s="365">
        <f>INDEX('qtrP&amp;L'!$172:$172,MATCH(CT$6,'qtrP&amp;L'!$6:$6,0))</f>
        <v>0.63</v>
      </c>
      <c r="CW33" s="365">
        <f>INDEX('qtrP&amp;L'!$173:$173,MATCH(CT$6,'qtrP&amp;L'!$6:$6,0))</f>
        <v>1.4</v>
      </c>
      <c r="CX33" s="366"/>
      <c r="CY33" s="365">
        <f>INDEX('qtrP&amp;L'!$170:$170,MATCH(CY$6,'qtrP&amp;L'!$6:$6,0))</f>
        <v>0.63</v>
      </c>
      <c r="CZ33" s="365">
        <f>INDEX('qtrP&amp;L'!$171:$171,MATCH(CY$6,'qtrP&amp;L'!$6:$6,0))</f>
        <v>0.83</v>
      </c>
      <c r="DA33" s="365">
        <f>INDEX('qtrP&amp;L'!$172:$172,MATCH(CY$6,'qtrP&amp;L'!$6:$6,0))</f>
        <v>0.56999999999999995</v>
      </c>
      <c r="DB33" s="365">
        <f>INDEX('qtrP&amp;L'!$173:$173,MATCH(CY$6,'qtrP&amp;L'!$6:$6,0))</f>
        <v>1.66</v>
      </c>
      <c r="DC33" s="366"/>
      <c r="DD33" s="365">
        <f>INDEX('qtrP&amp;L'!$170:$170,MATCH(DD$6,'qtrP&amp;L'!$6:$6,0))</f>
        <v>0.69</v>
      </c>
      <c r="DE33" s="365">
        <f>INDEX('qtrP&amp;L'!$171:$171,MATCH(DD$6,'qtrP&amp;L'!$6:$6,0))</f>
        <v>1.08</v>
      </c>
      <c r="DF33" s="365">
        <f>INDEX('qtrP&amp;L'!$172:$172,MATCH(DD$6,'qtrP&amp;L'!$6:$6,0))</f>
        <v>0.8</v>
      </c>
      <c r="DG33" s="365">
        <f>INDEX('qtrP&amp;L'!$173:$173,MATCH(DD$6,'qtrP&amp;L'!$6:$6,0))</f>
        <v>1.81</v>
      </c>
      <c r="DH33" s="366"/>
      <c r="DI33" s="365">
        <f>INDEX('qtrP&amp;L'!$170:$170,MATCH(DI$6,'qtrP&amp;L'!$6:$6,0))</f>
        <v>0.63</v>
      </c>
      <c r="DJ33" s="365">
        <f>INDEX('qtrP&amp;L'!$171:$171,MATCH(DI$6,'qtrP&amp;L'!$6:$6,0))</f>
        <v>1</v>
      </c>
      <c r="DK33" s="365">
        <f>INDEX('qtrP&amp;L'!$172:$172,MATCH(DI$6,'qtrP&amp;L'!$6:$6,0))</f>
        <v>0.91276595744680855</v>
      </c>
      <c r="DL33" s="365">
        <f>INDEX('qtrP&amp;L'!$173:$173,MATCH(DI$6,'qtrP&amp;L'!$6:$6,0))</f>
        <v>1.6644649933949802</v>
      </c>
      <c r="DM33" s="366"/>
      <c r="DN33" s="365">
        <f>INDEX('qtrP&amp;L'!$170:$170,MATCH(DN$6,'qtrP&amp;L'!$6:$6,0))</f>
        <v>0.65919282511210764</v>
      </c>
      <c r="DO33" s="365">
        <f>INDEX('qtrP&amp;L'!$171:$171,MATCH(DN$6,'qtrP&amp;L'!$6:$6,0))</f>
        <v>1.0405405405405406</v>
      </c>
      <c r="DP33" s="365">
        <f>INDEX('qtrP&amp;L'!$172:$172,MATCH(DN$6,'qtrP&amp;L'!$6:$6,0))</f>
        <v>0.81192660550458717</v>
      </c>
      <c r="DQ33" s="365">
        <f>INDEX('qtrP&amp;L'!$173:$173,MATCH(DN$6,'qtrP&amp;L'!$6:$6,0))</f>
        <v>1.557109557109557</v>
      </c>
      <c r="DR33" s="366"/>
      <c r="DS33" s="365">
        <f>INDEX('qtrP&amp;L'!$170:$170,MATCH(DS$6,'qtrP&amp;L'!$6:$6,0))</f>
        <v>0.60096153846153844</v>
      </c>
      <c r="DT33" s="365">
        <f>INDEX('qtrP&amp;L'!$171:$171,MATCH(DS$6,'qtrP&amp;L'!$6:$6,0))</f>
        <v>1.1268292682926828</v>
      </c>
      <c r="DU33" s="365">
        <f>INDEX('qtrP&amp;L'!$172:$172,MATCH(DS$6,'qtrP&amp;L'!$6:$6,0))</f>
        <v>0.70297029702970293</v>
      </c>
      <c r="DV33" s="365">
        <f>INDEX('qtrP&amp;L'!$173:$173,MATCH(DS$6,'qtrP&amp;L'!$6:$6,0))</f>
        <v>1.8349080059671805</v>
      </c>
      <c r="DW33" s="366"/>
      <c r="DX33" s="365">
        <f>INDEX('qtrP&amp;L'!$170:$170,MATCH(DX$6,'qtrP&amp;L'!$6:$6,0))</f>
        <v>0.62871287128712872</v>
      </c>
      <c r="DY33" s="365">
        <f>INDEX('qtrP&amp;L'!$171:$171,MATCH(DX$6,'qtrP&amp;L'!$6:$6,0))</f>
        <v>1.085482233502538</v>
      </c>
      <c r="DZ33" s="365">
        <f>INDEX('qtrP&amp;L'!$172:$172,MATCH(DX$6,'qtrP&amp;L'!$6:$6,0))</f>
        <v>0.75166666666666659</v>
      </c>
      <c r="EA33" s="365">
        <f>INDEX('qtrP&amp;L'!$173:$173,MATCH(DX$6,'qtrP&amp;L'!$6:$6,0))</f>
        <v>1.5828877005347595</v>
      </c>
      <c r="EB33" s="366"/>
      <c r="EC33" s="365">
        <f>INDEX('qtrP&amp;L'!$170:$170,MATCH(EC$6,'qtrP&amp;L'!$6:$6,0))</f>
        <v>0.31326086956521737</v>
      </c>
      <c r="ED33" s="365">
        <f>INDEX('qtrP&amp;L'!$171:$171,MATCH(EC$6,'qtrP&amp;L'!$6:$6,0))</f>
        <v>1.2225414364640883</v>
      </c>
      <c r="EE33" s="365">
        <f>INDEX('qtrP&amp;L'!$172:$172,MATCH(EC$6,'qtrP&amp;L'!$6:$6,0))</f>
        <v>0.80350282485875701</v>
      </c>
      <c r="EF33" s="365">
        <f>INDEX('qtrP&amp;L'!$173:$173,MATCH(EC$6,'qtrP&amp;L'!$6:$6,0))</f>
        <v>1.44</v>
      </c>
      <c r="EG33" s="305"/>
      <c r="EH33" s="365">
        <f>INDEX('qtrP&amp;L'!$170:$170,MATCH(EH$6,'qtrP&amp;L'!$6:$6,0))</f>
        <v>0.38596491228070173</v>
      </c>
      <c r="EI33" s="365">
        <f>INDEX('qtrP&amp;L'!$171:$171,MATCH(EH$6,'qtrP&amp;L'!$6:$6,0))</f>
        <v>1.2380952380952381</v>
      </c>
      <c r="EJ33" s="365">
        <f>INDEX('qtrP&amp;L'!$172:$172,MATCH(EH$6,'qtrP&amp;L'!$6:$6,0))</f>
        <v>0.70481927710843373</v>
      </c>
      <c r="EK33" s="365">
        <f>INDEX('qtrP&amp;L'!$173:$173,MATCH(EH$6,'qtrP&amp;L'!$6:$6,0))</f>
        <v>1.9520958083832336</v>
      </c>
      <c r="EL33" s="365"/>
      <c r="EM33" s="1198">
        <f>INDEX('qtrP&amp;L'!$170:$170,MATCH(EM$6,'qtrP&amp;L'!$6:$6,0))</f>
        <v>0.48932664495105344</v>
      </c>
      <c r="EN33" s="1198">
        <f>INDEX('qtrP&amp;L'!$171:$171,MATCH(EM$6,'qtrP&amp;L'!$6:$6,0))</f>
        <v>1.6602588859112928</v>
      </c>
      <c r="EO33" s="1198">
        <f>INDEX('qtrP&amp;L'!$172:$172,MATCH(EM$6,'qtrP&amp;L'!$6:$6,0))</f>
        <v>0.8488389001242419</v>
      </c>
      <c r="EP33" s="1198">
        <f>INDEX('qtrP&amp;L'!$173:$173,MATCH(EM$6,'qtrP&amp;L'!$6:$6,0))</f>
        <v>1.8295396002099915</v>
      </c>
      <c r="EQ33" s="367">
        <f>'yrP&amp;L'!C67</f>
        <v>0.05</v>
      </c>
      <c r="ER33" s="365">
        <f>'yrP&amp;L'!D67</f>
        <v>0.09</v>
      </c>
      <c r="ES33" s="365">
        <f>'yrP&amp;L'!E67</f>
        <v>0.15</v>
      </c>
      <c r="ET33" s="365">
        <f>'yrP&amp;L'!F67</f>
        <v>0.19</v>
      </c>
      <c r="EU33" s="365">
        <f>'yrP&amp;L'!G67</f>
        <v>0.23</v>
      </c>
      <c r="EV33" s="365">
        <f>'yrP&amp;L'!H67</f>
        <v>0.28000000000000003</v>
      </c>
      <c r="EW33" s="365">
        <f>'yrP&amp;L'!I67</f>
        <v>0.34</v>
      </c>
      <c r="EX33" s="365">
        <f>'yrP&amp;L'!J67</f>
        <v>0.45</v>
      </c>
      <c r="EY33" s="365">
        <f>'yrP&amp;L'!K67</f>
        <v>0.55000000000000004</v>
      </c>
      <c r="EZ33" s="365">
        <f>'yrP&amp;L'!L67</f>
        <v>0.78</v>
      </c>
      <c r="FA33" s="365">
        <f>'yrP&amp;L'!M67</f>
        <v>1.07</v>
      </c>
      <c r="FB33" s="365">
        <f>'yrP&amp;L'!N67</f>
        <v>1.42</v>
      </c>
      <c r="FC33" s="365">
        <f>'yrP&amp;L'!O67</f>
        <v>1.84</v>
      </c>
      <c r="FD33" s="365">
        <f>'yrP&amp;L'!P67</f>
        <v>1.69</v>
      </c>
      <c r="FE33" s="365">
        <f>'yrP&amp;L'!Q67</f>
        <v>2.04</v>
      </c>
      <c r="FF33" s="365">
        <f>'yrP&amp;L'!R67</f>
        <v>2.4300000000000002</v>
      </c>
      <c r="FG33" s="365">
        <f>'yrP&amp;L'!S67</f>
        <v>3.31</v>
      </c>
      <c r="FH33" s="367">
        <f>'yrP&amp;L'!T67</f>
        <v>3.39</v>
      </c>
      <c r="FI33" s="365">
        <f>'yrP&amp;L'!U67</f>
        <v>2.89</v>
      </c>
      <c r="FJ33" s="365">
        <f>'yrP&amp;L'!V67</f>
        <v>3.18</v>
      </c>
      <c r="FK33" s="1259"/>
      <c r="FL33" s="365">
        <f>'yrP&amp;L'!W67</f>
        <v>3.66</v>
      </c>
      <c r="FM33" s="365">
        <f>'yrP&amp;L'!X67</f>
        <v>4.3099999999999996</v>
      </c>
      <c r="FN33" s="365">
        <f>'yrP&amp;L'!Y67</f>
        <v>4.1599831152384974</v>
      </c>
      <c r="FO33" s="365">
        <f>'yrP&amp;L'!Z67</f>
        <v>4.0501138952164011</v>
      </c>
      <c r="FP33" s="365">
        <f>'yrP&amp;L'!AA67</f>
        <v>4.2416829745596871</v>
      </c>
      <c r="FQ33" s="365">
        <f>'yrP&amp;L'!AB67</f>
        <v>4.0110769230769225</v>
      </c>
      <c r="FR33" s="365">
        <f>'yrP&amp;L'!AC67</f>
        <v>3.7605586592178768</v>
      </c>
      <c r="FS33" s="365">
        <f>'yrP&amp;L'!AD67</f>
        <v>4.2678571428571432</v>
      </c>
      <c r="FT33" s="365">
        <f>'yrP&amp;L'!AE67</f>
        <v>4.8241289482012268</v>
      </c>
      <c r="FU33" s="365">
        <f>'yrP&amp;L'!AF67</f>
        <v>4.1468526018412808</v>
      </c>
      <c r="FV33" s="368">
        <f>'yrP&amp;L'!AG67</f>
        <v>3.8022554770850068</v>
      </c>
      <c r="FW33" s="365">
        <f>'yrP&amp;L'!AH67</f>
        <v>3.4467844154287071</v>
      </c>
      <c r="FX33" s="368">
        <f>'yrP&amp;L'!AI67</f>
        <v>3.3030825797093279</v>
      </c>
      <c r="FY33" s="320"/>
      <c r="GG33" s="320"/>
    </row>
    <row r="34" spans="1:191" x14ac:dyDescent="0.2">
      <c r="A34" s="369" t="s">
        <v>188</v>
      </c>
      <c r="B34" s="313"/>
      <c r="C34" s="370">
        <f>INDEX('qtrP&amp;L'!$180:$180,MATCH(C$6,'qtrP&amp;L'!$6:$6,0))</f>
        <v>-7.0532768446310446E-3</v>
      </c>
      <c r="D34" s="370">
        <f>INDEX('qtrP&amp;L'!$181:$181,MATCH(C$6,'qtrP&amp;L'!$6:$6,0))</f>
        <v>-9.9683188362328333E-3</v>
      </c>
      <c r="E34" s="370">
        <f>INDEX('qtrP&amp;L'!$182:$182,MATCH(C$6,'qtrP&amp;L'!$6:$6,0))</f>
        <v>1.7569923515296865E-2</v>
      </c>
      <c r="F34" s="370">
        <f>INDEX('qtrP&amp;L'!$183:$183,MATCH(C$6,'qtrP&amp;L'!$6:$6,0))</f>
        <v>5.3281531193761091E-2</v>
      </c>
      <c r="G34" s="313"/>
      <c r="H34" s="370">
        <f>INDEX('qtrP&amp;L'!$180:$180,MATCH(H$6,'qtrP&amp;L'!$6:$6,0))</f>
        <v>2.3469770935035739E-3</v>
      </c>
      <c r="I34" s="370">
        <f>INDEX('qtrP&amp;L'!$181:$181,MATCH(H$6,'qtrP&amp;L'!$6:$6,0))</f>
        <v>-6.6184754036795711E-4</v>
      </c>
      <c r="J34" s="370">
        <f>INDEX('qtrP&amp;L'!$182:$182,MATCH(H$6,'qtrP&amp;L'!$6:$6,0))</f>
        <v>2.2019339091250447E-2</v>
      </c>
      <c r="K34" s="370">
        <f>INDEX('qtrP&amp;L'!$183:$183,MATCH(H$6,'qtrP&amp;L'!$6:$6,0))</f>
        <v>7.0615846789335177E-2</v>
      </c>
      <c r="L34" s="313"/>
      <c r="M34" s="370">
        <f>INDEX('qtrP&amp;L'!$180:$180,MATCH(M$6,'qtrP&amp;L'!$6:$6,0))</f>
        <v>1.2981401465339094E-2</v>
      </c>
      <c r="N34" s="370">
        <f>INDEX('qtrP&amp;L'!$181:$181,MATCH(M$6,'qtrP&amp;L'!$6:$6,0))</f>
        <v>-3.2930027858455356E-2</v>
      </c>
      <c r="O34" s="370">
        <f>INDEX('qtrP&amp;L'!$182:$182,MATCH(M$6,'qtrP&amp;L'!$6:$6,0))</f>
        <v>3.5999629714025275E-2</v>
      </c>
      <c r="P34" s="370">
        <f>INDEX('qtrP&amp;L'!$183:$183,MATCH(M$6,'qtrP&amp;L'!$6:$6,0))</f>
        <v>6.9417192742990325E-2</v>
      </c>
      <c r="Q34" s="313"/>
      <c r="R34" s="370">
        <f>INDEX('qtrP&amp;L'!$180:$180,MATCH(R$6,'qtrP&amp;L'!$6:$6,0))</f>
        <v>2.5446587091311354E-2</v>
      </c>
      <c r="S34" s="370">
        <f>INDEX('qtrP&amp;L'!$181:$181,MATCH(R$6,'qtrP&amp;L'!$6:$6,0))</f>
        <v>2.3418516395009126E-2</v>
      </c>
      <c r="T34" s="370">
        <f>INDEX('qtrP&amp;L'!$182:$182,MATCH(R$6,'qtrP&amp;L'!$6:$6,0))</f>
        <v>4.4580467299923508E-2</v>
      </c>
      <c r="U34" s="370">
        <f>INDEX('qtrP&amp;L'!$183:$183,MATCH(R$6,'qtrP&amp;L'!$6:$6,0))</f>
        <v>8.9924965893588157E-2</v>
      </c>
      <c r="V34" s="313"/>
      <c r="W34" s="370">
        <f>INDEX('qtrP&amp;L'!$180:$180,MATCH(W$6,'qtrP&amp;L'!$6:$6,0))</f>
        <v>3.8367852380045246E-2</v>
      </c>
      <c r="X34" s="370">
        <f>INDEX('qtrP&amp;L'!$181:$181,MATCH(W$6,'qtrP&amp;L'!$6:$6,0))</f>
        <v>3.209601937256807E-2</v>
      </c>
      <c r="Y34" s="370">
        <f>INDEX('qtrP&amp;L'!$182:$182,MATCH(W$6,'qtrP&amp;L'!$6:$6,0))</f>
        <v>4.7032124802957022E-2</v>
      </c>
      <c r="Z34" s="370">
        <f>INDEX('qtrP&amp;L'!$183:$183,MATCH(W$6,'qtrP&amp;L'!$6:$6,0))</f>
        <v>0.11503502674522799</v>
      </c>
      <c r="AA34" s="313"/>
      <c r="AB34" s="370">
        <f>INDEX('qtrP&amp;L'!$180:$180,MATCH(AB$6,'qtrP&amp;L'!$6:$6,0))</f>
        <v>4.0151905951346649E-2</v>
      </c>
      <c r="AC34" s="370">
        <f>INDEX('qtrP&amp;L'!$181:$181,MATCH(AB$6,'qtrP&amp;L'!$6:$6,0))</f>
        <v>3.7003989794810621E-2</v>
      </c>
      <c r="AD34" s="370">
        <f>INDEX('qtrP&amp;L'!$182:$182,MATCH(AB$6,'qtrP&amp;L'!$6:$6,0))</f>
        <v>2.5688322256883243E-2</v>
      </c>
      <c r="AE34" s="370">
        <f>INDEX('qtrP&amp;L'!$183:$183,MATCH(AB$6,'qtrP&amp;L'!$6:$6,0))</f>
        <v>0.14241367637102245</v>
      </c>
      <c r="AF34" s="313"/>
      <c r="AG34" s="370">
        <f>INDEX('qtrP&amp;L'!$180:$180,MATCH(AG$6,'qtrP&amp;L'!$6:$6,0))</f>
        <v>4.6831081081080979E-2</v>
      </c>
      <c r="AH34" s="370">
        <f>INDEX('qtrP&amp;L'!$181:$181,MATCH(AG$6,'qtrP&amp;L'!$6:$6,0))</f>
        <v>4.9433333333333426E-2</v>
      </c>
      <c r="AI34" s="370">
        <f>INDEX('qtrP&amp;L'!$182:$182,MATCH(AG$6,'qtrP&amp;L'!$6:$6,0))</f>
        <v>7.3416666666666769E-2</v>
      </c>
      <c r="AJ34" s="370">
        <f>INDEX('qtrP&amp;L'!$183:$183,MATCH(AG$6,'qtrP&amp;L'!$6:$6,0))</f>
        <v>0.17231456953642385</v>
      </c>
      <c r="AK34" s="313"/>
      <c r="AL34" s="370">
        <f>INDEX('qtrP&amp;L'!$180:$180,MATCH(AL$6,'qtrP&amp;L'!$6:$6,0))</f>
        <v>5.0938766801792108E-2</v>
      </c>
      <c r="AM34" s="370">
        <f>INDEX('qtrP&amp;L'!$181:$181,MATCH(AL$6,'qtrP&amp;L'!$6:$6,0))</f>
        <v>6.9382115986417331E-2</v>
      </c>
      <c r="AN34" s="370">
        <f>INDEX('qtrP&amp;L'!$182:$182,MATCH(AL$6,'qtrP&amp;L'!$6:$6,0))</f>
        <v>0.10295344018121519</v>
      </c>
      <c r="AO34" s="370">
        <f>INDEX('qtrP&amp;L'!$183:$183,MATCH(AL$6,'qtrP&amp;L'!$6:$6,0))</f>
        <v>0.22451531861987059</v>
      </c>
      <c r="AP34" s="313"/>
      <c r="AQ34" s="370">
        <f>INDEX('qtrP&amp;L'!$180:$180,MATCH(AQ$6,'qtrP&amp;L'!$6:$6,0))</f>
        <v>6.7045461552216468E-2</v>
      </c>
      <c r="AR34" s="370">
        <f>INDEX('qtrP&amp;L'!$181:$181,MATCH(AQ$6,'qtrP&amp;L'!$6:$6,0))</f>
        <v>9.2117411767597468E-2</v>
      </c>
      <c r="AS34" s="370">
        <f>INDEX('qtrP&amp;L'!$182:$182,MATCH(AQ$6,'qtrP&amp;L'!$6:$6,0))</f>
        <v>0.1062818409198456</v>
      </c>
      <c r="AT34" s="370">
        <f>INDEX('qtrP&amp;L'!$183:$183,MATCH(AQ$6,'qtrP&amp;L'!$6:$6,0))</f>
        <v>0.28117760972680145</v>
      </c>
      <c r="AU34" s="313"/>
      <c r="AV34" s="370">
        <f>INDEX('qtrP&amp;L'!$180:$180,MATCH(AV$6,'qtrP&amp;L'!$6:$6,0))</f>
        <v>0.11390104972910195</v>
      </c>
      <c r="AW34" s="370">
        <f>INDEX('qtrP&amp;L'!$181:$181,MATCH(AV$6,'qtrP&amp;L'!$6:$6,0))</f>
        <v>0.13273808102752663</v>
      </c>
      <c r="AX34" s="370">
        <f>INDEX('qtrP&amp;L'!$182:$182,MATCH(AV$6,'qtrP&amp;L'!$6:$6,0))</f>
        <v>0.15217533919785309</v>
      </c>
      <c r="AY34" s="370">
        <f>INDEX('qtrP&amp;L'!$183:$183,MATCH(AV$6,'qtrP&amp;L'!$6:$6,0))</f>
        <v>0.35755421873694504</v>
      </c>
      <c r="AZ34" s="313"/>
      <c r="BA34" s="370">
        <f>INDEX('qtrP&amp;L'!$180:$180,MATCH(BA$6,'qtrP&amp;L'!$6:$6,0))</f>
        <v>0.1484809114234158</v>
      </c>
      <c r="BB34" s="370">
        <f>INDEX('qtrP&amp;L'!$181:$181,MATCH(BA$6,'qtrP&amp;L'!$6:$6,0))</f>
        <v>0.18461647387845068</v>
      </c>
      <c r="BC34" s="370">
        <f>INDEX('qtrP&amp;L'!$182:$182,MATCH(BA$6,'qtrP&amp;L'!$6:$6,0))</f>
        <v>0.21792324245715974</v>
      </c>
      <c r="BD34" s="370">
        <f>INDEX('qtrP&amp;L'!$183:$183,MATCH(BA$6,'qtrP&amp;L'!$6:$6,0))</f>
        <v>0.51956108412456292</v>
      </c>
      <c r="BE34" s="313"/>
      <c r="BF34" s="370">
        <f>INDEX('qtrP&amp;L'!$180:$180,MATCH(BF$6,'qtrP&amp;L'!$6:$6,0))</f>
        <v>0.21146033030233738</v>
      </c>
      <c r="BG34" s="370">
        <f>INDEX('qtrP&amp;L'!$181:$181,MATCH(BF$6,'qtrP&amp;L'!$6:$6,0))</f>
        <v>0.24863643538194408</v>
      </c>
      <c r="BH34" s="370">
        <f>INDEX('qtrP&amp;L'!$182:$182,MATCH(BF$6,'qtrP&amp;L'!$6:$6,0))</f>
        <v>0.28388042957474918</v>
      </c>
      <c r="BI34" s="370">
        <f>INDEX('qtrP&amp;L'!$183:$183,MATCH(BF$6,'qtrP&amp;L'!$6:$6,0))</f>
        <v>0.67114679548481526</v>
      </c>
      <c r="BJ34" s="313"/>
      <c r="BK34" s="370">
        <f>INDEX('qtrP&amp;L'!$180:$180,MATCH(BK$6,'qtrP&amp;L'!$6:$6,0))</f>
        <v>0.3</v>
      </c>
      <c r="BL34" s="370">
        <f>INDEX('qtrP&amp;L'!$181:$181,MATCH(BK$6,'qtrP&amp;L'!$6:$6,0))</f>
        <v>0.36</v>
      </c>
      <c r="BM34" s="370">
        <f>INDEX('qtrP&amp;L'!$182:$182,MATCH(BK$6,'qtrP&amp;L'!$6:$6,0))</f>
        <v>0.38</v>
      </c>
      <c r="BN34" s="370">
        <f>INDEX('qtrP&amp;L'!$183:$183,MATCH(BK$6,'qtrP&amp;L'!$6:$6,0))</f>
        <v>0.8</v>
      </c>
      <c r="BO34" s="313"/>
      <c r="BP34" s="370">
        <f>INDEX('qtrP&amp;L'!$180:$180,MATCH(BP$6,'qtrP&amp;L'!$6:$6,0))</f>
        <v>0.31</v>
      </c>
      <c r="BQ34" s="370">
        <f>INDEX('qtrP&amp;L'!$181:$181,MATCH(BP$6,'qtrP&amp;L'!$6:$6,0))</f>
        <v>0.32</v>
      </c>
      <c r="BR34" s="370">
        <f>INDEX('qtrP&amp;L'!$182:$182,MATCH(BP$6,'qtrP&amp;L'!$6:$6,0))</f>
        <v>0.34</v>
      </c>
      <c r="BS34" s="370">
        <f>INDEX('qtrP&amp;L'!$183:$183,MATCH(BP$6,'qtrP&amp;L'!$6:$6,0))</f>
        <v>0.71</v>
      </c>
      <c r="BT34" s="313"/>
      <c r="BU34" s="370">
        <f>INDEX('qtrP&amp;L'!$180:$180,MATCH(BU$6,'qtrP&amp;L'!$6:$6,0))</f>
        <v>0.3</v>
      </c>
      <c r="BV34" s="370">
        <f>INDEX('qtrP&amp;L'!$181:$181,MATCH(BU$6,'qtrP&amp;L'!$6:$6,0))</f>
        <v>0.43</v>
      </c>
      <c r="BW34" s="370">
        <f>INDEX('qtrP&amp;L'!$182:$182,MATCH(BU$6,'qtrP&amp;L'!$6:$6,0))</f>
        <v>0.39</v>
      </c>
      <c r="BX34" s="370">
        <f>INDEX('qtrP&amp;L'!$183:$183,MATCH(BU$6,'qtrP&amp;L'!$6:$6,0))</f>
        <v>0.92</v>
      </c>
      <c r="BY34" s="313"/>
      <c r="BZ34" s="370">
        <f>INDEX('qtrP&amp;L'!$180:$180,MATCH(BZ$6,'qtrP&amp;L'!$6:$6,0))</f>
        <v>0.36</v>
      </c>
      <c r="CA34" s="370">
        <f>INDEX('qtrP&amp;L'!$181:$181,MATCH(BZ$6,'qtrP&amp;L'!$6:$6,0))</f>
        <v>0.54</v>
      </c>
      <c r="CB34" s="370">
        <f>INDEX('qtrP&amp;L'!$182:$182,MATCH(BZ$6,'qtrP&amp;L'!$6:$6,0))</f>
        <v>0.45</v>
      </c>
      <c r="CC34" s="370">
        <f>INDEX('qtrP&amp;L'!$183:$183,MATCH(BZ$6,'qtrP&amp;L'!$6:$6,0))</f>
        <v>1.08</v>
      </c>
      <c r="CD34" s="313"/>
      <c r="CE34" s="370">
        <f>INDEX('qtrP&amp;L'!$180:$180,MATCH(CE$6,'qtrP&amp;L'!$6:$6,0))</f>
        <v>0.48</v>
      </c>
      <c r="CF34" s="370">
        <f>INDEX('qtrP&amp;L'!$181:$181,MATCH(CE$6,'qtrP&amp;L'!$6:$6,0))</f>
        <v>0.69</v>
      </c>
      <c r="CG34" s="370">
        <f>INDEX('qtrP&amp;L'!$182:$182,MATCH(CE$6,'qtrP&amp;L'!$6:$6,0))</f>
        <v>0.68</v>
      </c>
      <c r="CH34" s="370">
        <f>INDEX('qtrP&amp;L'!$183:$183,MATCH(CE$6,'qtrP&amp;L'!$6:$6,0))</f>
        <v>1.48</v>
      </c>
      <c r="CI34" s="371"/>
      <c r="CJ34" s="370">
        <f>INDEX('qtrP&amp;L'!$180:$180,MATCH(CJ$6,'qtrP&amp;L'!$6:$6,0))</f>
        <v>0.64</v>
      </c>
      <c r="CK34" s="370">
        <f>INDEX('qtrP&amp;L'!$181:$181,MATCH(CJ$6,'qtrP&amp;L'!$6:$6,0))</f>
        <v>0.83</v>
      </c>
      <c r="CL34" s="370">
        <f>INDEX('qtrP&amp;L'!$182:$182,MATCH(CJ$6,'qtrP&amp;L'!$6:$6,0))</f>
        <v>0.61</v>
      </c>
      <c r="CM34" s="370">
        <f>INDEX('qtrP&amp;L'!$183:$183,MATCH(CJ$6,'qtrP&amp;L'!$6:$6,0))</f>
        <v>1.31</v>
      </c>
      <c r="CN34" s="371"/>
      <c r="CO34" s="370">
        <f>INDEX('qtrP&amp;L'!$180:$180,MATCH(CO$6,'qtrP&amp;L'!$6:$6,0))</f>
        <v>0.49</v>
      </c>
      <c r="CP34" s="370">
        <f>INDEX('qtrP&amp;L'!$181:$181,MATCH(CO$6,'qtrP&amp;L'!$6:$6,0))</f>
        <v>0.77</v>
      </c>
      <c r="CQ34" s="370">
        <f>INDEX('qtrP&amp;L'!$182:$182,MATCH(CO$6,'qtrP&amp;L'!$6:$6,0))</f>
        <v>0.52</v>
      </c>
      <c r="CR34" s="370">
        <f>INDEX('qtrP&amp;L'!$183:$183,MATCH(CO$6,'qtrP&amp;L'!$6:$6,0))</f>
        <v>1.1000000000000001</v>
      </c>
      <c r="CS34" s="371"/>
      <c r="CT34" s="370">
        <f>INDEX('qtrP&amp;L'!$180:$180,MATCH(CT$6,'qtrP&amp;L'!$6:$6,0))</f>
        <v>0.45</v>
      </c>
      <c r="CU34" s="370">
        <f>INDEX('qtrP&amp;L'!$181:$181,MATCH(CT$6,'qtrP&amp;L'!$6:$6,0))</f>
        <v>0.75</v>
      </c>
      <c r="CV34" s="370">
        <f>INDEX('qtrP&amp;L'!$182:$182,MATCH(CT$6,'qtrP&amp;L'!$6:$6,0))</f>
        <v>0.63</v>
      </c>
      <c r="CW34" s="370">
        <f>INDEX('qtrP&amp;L'!$183:$183,MATCH(CT$6,'qtrP&amp;L'!$6:$6,0))</f>
        <v>1.4</v>
      </c>
      <c r="CX34" s="371"/>
      <c r="CY34" s="370">
        <f>INDEX('qtrP&amp;L'!$180:$180,MATCH(CY$6,'qtrP&amp;L'!$6:$6,0))</f>
        <v>0.63</v>
      </c>
      <c r="CZ34" s="370">
        <f>INDEX('qtrP&amp;L'!$181:$181,MATCH(CY$6,'qtrP&amp;L'!$6:$6,0))</f>
        <v>0.83</v>
      </c>
      <c r="DA34" s="370">
        <f>INDEX('qtrP&amp;L'!$182:$182,MATCH(CY$6,'qtrP&amp;L'!$6:$6,0))</f>
        <v>0.56999999999999995</v>
      </c>
      <c r="DB34" s="370">
        <f>INDEX('qtrP&amp;L'!$183:$183,MATCH(CY$6,'qtrP&amp;L'!$6:$6,0))</f>
        <v>1.66</v>
      </c>
      <c r="DC34" s="371"/>
      <c r="DD34" s="370">
        <f>INDEX('qtrP&amp;L'!$180:$180,MATCH(DD$6,'qtrP&amp;L'!$6:$6,0))</f>
        <v>0.69</v>
      </c>
      <c r="DE34" s="370">
        <f>INDEX('qtrP&amp;L'!$181:$181,MATCH(DD$6,'qtrP&amp;L'!$6:$6,0))</f>
        <v>1.08</v>
      </c>
      <c r="DF34" s="370">
        <f>INDEX('qtrP&amp;L'!$182:$182,MATCH(DD$6,'qtrP&amp;L'!$6:$6,0))</f>
        <v>0.8</v>
      </c>
      <c r="DG34" s="370">
        <f>INDEX('qtrP&amp;L'!$183:$183,MATCH(DD$6,'qtrP&amp;L'!$6:$6,0))</f>
        <v>1.81</v>
      </c>
      <c r="DH34" s="371"/>
      <c r="DI34" s="370">
        <f>INDEX('qtrP&amp;L'!$180:$180,MATCH(DI$6,'qtrP&amp;L'!$6:$6,0))</f>
        <v>0.62653061224489792</v>
      </c>
      <c r="DJ34" s="370">
        <f>INDEX('qtrP&amp;L'!$181:$181,MATCH(DI$6,'qtrP&amp;L'!$6:$6,0))</f>
        <v>1.002092050209205</v>
      </c>
      <c r="DK34" s="370">
        <f>INDEX('qtrP&amp;L'!$182:$182,MATCH(DI$6,'qtrP&amp;L'!$6:$6,0))</f>
        <v>0.91276595744680855</v>
      </c>
      <c r="DL34" s="370">
        <f>INDEX('qtrP&amp;L'!$183:$183,MATCH(DI$6,'qtrP&amp;L'!$6:$6,0))</f>
        <v>1.6644649933949802</v>
      </c>
      <c r="DM34" s="371"/>
      <c r="DN34" s="370">
        <f>INDEX('qtrP&amp;L'!$180:$180,MATCH(DN$6,'qtrP&amp;L'!$6:$6,0))</f>
        <v>0.65919282511210764</v>
      </c>
      <c r="DO34" s="370">
        <f>INDEX('qtrP&amp;L'!$181:$181,MATCH(DN$6,'qtrP&amp;L'!$6:$6,0))</f>
        <v>1.0405405405405406</v>
      </c>
      <c r="DP34" s="370">
        <f>INDEX('qtrP&amp;L'!$182:$182,MATCH(DN$6,'qtrP&amp;L'!$6:$6,0))</f>
        <v>0.81192660550458717</v>
      </c>
      <c r="DQ34" s="370">
        <f>INDEX('qtrP&amp;L'!$183:$183,MATCH(DN$6,'qtrP&amp;L'!$6:$6,0))</f>
        <v>1.557109557109557</v>
      </c>
      <c r="DR34" s="371"/>
      <c r="DS34" s="370">
        <f>INDEX('qtrP&amp;L'!$180:$180,MATCH(DS$6,'qtrP&amp;L'!$6:$6,0))</f>
        <v>0.60096153846153844</v>
      </c>
      <c r="DT34" s="370">
        <f>INDEX('qtrP&amp;L'!$181:$181,MATCH(DS$6,'qtrP&amp;L'!$6:$6,0))</f>
        <v>1.1268292682926828</v>
      </c>
      <c r="DU34" s="370">
        <f>INDEX('qtrP&amp;L'!$182:$182,MATCH(DS$6,'qtrP&amp;L'!$6:$6,0))</f>
        <v>0.70297029702970293</v>
      </c>
      <c r="DV34" s="370">
        <f>INDEX('qtrP&amp;L'!$183:$183,MATCH(DS$6,'qtrP&amp;L'!$6:$6,0))</f>
        <v>1.8349080059671805</v>
      </c>
      <c r="DW34" s="371"/>
      <c r="DX34" s="370">
        <f>INDEX('qtrP&amp;L'!$180:$180,MATCH(DX$6,'qtrP&amp;L'!$6:$6,0))</f>
        <v>0.62871287128712872</v>
      </c>
      <c r="DY34" s="370">
        <f>INDEX('qtrP&amp;L'!$181:$181,MATCH(DX$6,'qtrP&amp;L'!$6:$6,0))</f>
        <v>0.66388832487309646</v>
      </c>
      <c r="DZ34" s="370">
        <f>INDEX('qtrP&amp;L'!$182:$182,MATCH(DX$6,'qtrP&amp;L'!$6:$6,0))</f>
        <v>0.62618750000000001</v>
      </c>
      <c r="EA34" s="370">
        <f>INDEX('qtrP&amp;L'!$183:$183,MATCH(DX$6,'qtrP&amp;L'!$6:$6,0))</f>
        <v>1.5828877005347595</v>
      </c>
      <c r="EB34" s="371"/>
      <c r="EC34" s="370">
        <f>INDEX('qtrP&amp;L'!$180:$180,MATCH(EC$6,'qtrP&amp;L'!$6:$6,0))</f>
        <v>9.4130434782608699E-2</v>
      </c>
      <c r="ED34" s="370">
        <f>INDEX('qtrP&amp;L'!$181:$181,MATCH(EC$6,'qtrP&amp;L'!$6:$6,0))</f>
        <v>0.76994475138121554</v>
      </c>
      <c r="EE34" s="370">
        <f>INDEX('qtrP&amp;L'!$182:$182,MATCH(EC$6,'qtrP&amp;L'!$6:$6,0))</f>
        <v>0.82994350282485874</v>
      </c>
      <c r="EF34" s="370">
        <f>INDEX('qtrP&amp;L'!$183:$183,MATCH(EC$6,'qtrP&amp;L'!$6:$6,0))</f>
        <v>1.44</v>
      </c>
      <c r="EG34" s="313"/>
      <c r="EH34" s="370">
        <f>INDEX('qtrP&amp;L'!$180:$180,MATCH(EH$6,'qtrP&amp;L'!$6:$6,0))</f>
        <v>0.38596491228070173</v>
      </c>
      <c r="EI34" s="370">
        <f>INDEX('qtrP&amp;L'!$181:$181,MATCH(EH$6,'qtrP&amp;L'!$6:$6,0))</f>
        <v>1.2380952380952381</v>
      </c>
      <c r="EJ34" s="370">
        <f>INDEX('qtrP&amp;L'!$182:$182,MATCH(EH$6,'qtrP&amp;L'!$6:$6,0))</f>
        <v>0.70481927710843373</v>
      </c>
      <c r="EK34" s="370">
        <f>INDEX('qtrP&amp;L'!$183:$183,MATCH(EH$6,'qtrP&amp;L'!$6:$6,0))</f>
        <v>2.808383233532934</v>
      </c>
      <c r="EL34" s="370"/>
      <c r="EM34" s="1199">
        <f>INDEX('qtrP&amp;L'!$180:$180,MATCH(EM$6,'qtrP&amp;L'!$6:$6,0))</f>
        <v>0.48932664495105344</v>
      </c>
      <c r="EN34" s="1199">
        <f>INDEX('qtrP&amp;L'!$181:$181,MATCH(EM$6,'qtrP&amp;L'!$6:$6,0))</f>
        <v>1.6602588859112928</v>
      </c>
      <c r="EO34" s="1199">
        <f>INDEX('qtrP&amp;L'!$182:$182,MATCH(EM$6,'qtrP&amp;L'!$6:$6,0))</f>
        <v>0.8488389001242419</v>
      </c>
      <c r="EP34" s="1199">
        <f>INDEX('qtrP&amp;L'!$183:$183,MATCH(EM$6,'qtrP&amp;L'!$6:$6,0))</f>
        <v>1.8295396002099915</v>
      </c>
      <c r="EQ34" s="372">
        <f>'yrP&amp;L'!C70</f>
        <v>0.05</v>
      </c>
      <c r="ER34" s="370">
        <f>'yrP&amp;L'!D70</f>
        <v>9.6238265114532484E-2</v>
      </c>
      <c r="ES34" s="370">
        <f>'yrP&amp;L'!E70</f>
        <v>8.80323734020617E-2</v>
      </c>
      <c r="ET34" s="370">
        <f>'yrP&amp;L'!F70</f>
        <v>0.14000000000000001</v>
      </c>
      <c r="EU34" s="370">
        <f>'yrP&amp;L'!G70</f>
        <v>0.23</v>
      </c>
      <c r="EV34" s="370">
        <f>'yrP&amp;L'!H70</f>
        <v>0.24683690526344493</v>
      </c>
      <c r="EW34" s="370">
        <f>'yrP&amp;L'!I70</f>
        <v>0.34</v>
      </c>
      <c r="EX34" s="370">
        <f>'yrP&amp;L'!J70</f>
        <v>0.45</v>
      </c>
      <c r="EY34" s="370">
        <f>'yrP&amp;L'!K70</f>
        <v>0.55000000000000004</v>
      </c>
      <c r="EZ34" s="370">
        <f>'yrP&amp;L'!L70</f>
        <v>0.78</v>
      </c>
      <c r="FA34" s="370">
        <f>'yrP&amp;L'!M70</f>
        <v>1.07</v>
      </c>
      <c r="FB34" s="370">
        <f>'yrP&amp;L'!N70</f>
        <v>1.42</v>
      </c>
      <c r="FC34" s="370">
        <f>'yrP&amp;L'!O70</f>
        <v>1.84</v>
      </c>
      <c r="FD34" s="370">
        <f>'yrP&amp;L'!P70</f>
        <v>1.69</v>
      </c>
      <c r="FE34" s="370">
        <f>'yrP&amp;L'!Q70</f>
        <v>2.04</v>
      </c>
      <c r="FF34" s="370">
        <f>'yrP&amp;L'!R70</f>
        <v>2.4300000000000002</v>
      </c>
      <c r="FG34" s="370">
        <f>'yrP&amp;L'!S70</f>
        <v>3.31</v>
      </c>
      <c r="FH34" s="372">
        <f>'yrP&amp;L'!T70</f>
        <v>3.39</v>
      </c>
      <c r="FI34" s="370">
        <f>'yrP&amp;L'!U70</f>
        <v>2.89</v>
      </c>
      <c r="FJ34" s="370">
        <f>'yrP&amp;L'!V70</f>
        <v>3.18</v>
      </c>
      <c r="FK34" s="1259"/>
      <c r="FL34" s="370">
        <f>'yrP&amp;L'!W70</f>
        <v>3.66</v>
      </c>
      <c r="FM34" s="370">
        <f>'yrP&amp;L'!X70</f>
        <v>4.3099999999999996</v>
      </c>
      <c r="FN34" s="370">
        <f>'yrP&amp;L'!Y70</f>
        <v>4.1599831152384974</v>
      </c>
      <c r="FO34" s="370">
        <f>'yrP&amp;L'!Z70</f>
        <v>4.0501138952164011</v>
      </c>
      <c r="FP34" s="370">
        <f>'yrP&amp;L'!AA70</f>
        <v>4.2416829745596871</v>
      </c>
      <c r="FQ34" s="370">
        <f>'yrP&amp;L'!AB70</f>
        <v>3.461610256410256</v>
      </c>
      <c r="FR34" s="370">
        <f>'yrP&amp;L'!AC70</f>
        <v>3.1054748603351952</v>
      </c>
      <c r="FS34" s="370">
        <f>'yrP&amp;L'!AD70</f>
        <v>5.1190476190476195</v>
      </c>
      <c r="FT34" s="370">
        <f>'yrP&amp;L'!AE70</f>
        <v>4.8241289482012268</v>
      </c>
      <c r="FU34" s="370">
        <f>'yrP&amp;L'!AF70</f>
        <v>4.1468526018412808</v>
      </c>
      <c r="FV34" s="373">
        <f>'yrP&amp;L'!AG70</f>
        <v>3.8022554770850068</v>
      </c>
      <c r="FW34" s="370">
        <f>'yrP&amp;L'!AH70</f>
        <v>3.4467844154287071</v>
      </c>
      <c r="FX34" s="373">
        <f>'yrP&amp;L'!AI70</f>
        <v>3.3030825797093279</v>
      </c>
    </row>
    <row r="35" spans="1:191" x14ac:dyDescent="0.2">
      <c r="A35" s="374"/>
      <c r="B35" s="305"/>
      <c r="C35" s="375"/>
      <c r="D35" s="375"/>
      <c r="E35" s="375"/>
      <c r="F35" s="375"/>
      <c r="G35" s="305"/>
      <c r="H35" s="375"/>
      <c r="I35" s="375"/>
      <c r="J35" s="375"/>
      <c r="K35" s="375"/>
      <c r="L35" s="305"/>
      <c r="M35" s="375"/>
      <c r="N35" s="375"/>
      <c r="O35" s="375"/>
      <c r="P35" s="375"/>
      <c r="Q35" s="305"/>
      <c r="R35" s="375"/>
      <c r="S35" s="375"/>
      <c r="T35" s="375"/>
      <c r="U35" s="375"/>
      <c r="V35" s="305"/>
      <c r="W35" s="375"/>
      <c r="X35" s="375"/>
      <c r="Y35" s="375"/>
      <c r="Z35" s="375"/>
      <c r="AA35" s="305"/>
      <c r="AB35" s="375"/>
      <c r="AC35" s="375"/>
      <c r="AD35" s="375"/>
      <c r="AE35" s="375"/>
      <c r="AF35" s="305"/>
      <c r="AG35" s="375"/>
      <c r="AH35" s="375"/>
      <c r="AI35" s="375"/>
      <c r="AJ35" s="375"/>
      <c r="AK35" s="305"/>
      <c r="AL35" s="375"/>
      <c r="AM35" s="375"/>
      <c r="AN35" s="375"/>
      <c r="AO35" s="375"/>
      <c r="AP35" s="305"/>
      <c r="AQ35" s="375"/>
      <c r="AR35" s="375"/>
      <c r="AS35" s="375"/>
      <c r="AT35" s="375"/>
      <c r="AU35" s="305"/>
      <c r="AV35" s="375"/>
      <c r="AW35" s="375"/>
      <c r="AX35" s="375"/>
      <c r="AY35" s="375"/>
      <c r="AZ35" s="305"/>
      <c r="BA35" s="375"/>
      <c r="BB35" s="375"/>
      <c r="BC35" s="375"/>
      <c r="BD35" s="375"/>
      <c r="BE35" s="305"/>
      <c r="BF35" s="375"/>
      <c r="BG35" s="375"/>
      <c r="BH35" s="375"/>
      <c r="BI35" s="375"/>
      <c r="BJ35" s="305"/>
      <c r="BK35" s="375"/>
      <c r="BL35" s="375"/>
      <c r="BM35" s="375"/>
      <c r="BN35" s="375"/>
      <c r="BO35" s="305"/>
      <c r="BP35" s="375"/>
      <c r="BQ35" s="375"/>
      <c r="BR35" s="375"/>
      <c r="BS35" s="375"/>
      <c r="BT35" s="305"/>
      <c r="BU35" s="375"/>
      <c r="BV35" s="375"/>
      <c r="BW35" s="375"/>
      <c r="BX35" s="375"/>
      <c r="BY35" s="305"/>
      <c r="BZ35" s="375"/>
      <c r="CA35" s="375"/>
      <c r="CB35" s="375"/>
      <c r="CC35" s="375"/>
      <c r="CD35" s="305"/>
      <c r="CE35" s="375"/>
      <c r="CF35" s="375"/>
      <c r="CG35" s="375"/>
      <c r="CH35" s="375"/>
      <c r="CI35" s="376"/>
      <c r="CJ35" s="375"/>
      <c r="CK35" s="375"/>
      <c r="CL35" s="375"/>
      <c r="CM35" s="375"/>
      <c r="CN35" s="376"/>
      <c r="CO35" s="375"/>
      <c r="CP35" s="375"/>
      <c r="CQ35" s="375"/>
      <c r="CR35" s="375"/>
      <c r="CS35" s="376"/>
      <c r="CT35" s="375"/>
      <c r="CU35" s="375"/>
      <c r="CV35" s="375"/>
      <c r="CW35" s="375"/>
      <c r="CX35" s="376"/>
      <c r="CY35" s="375"/>
      <c r="CZ35" s="375"/>
      <c r="DA35" s="375"/>
      <c r="DB35" s="375"/>
      <c r="DC35" s="376"/>
      <c r="DD35" s="375"/>
      <c r="DE35" s="375"/>
      <c r="DF35" s="375"/>
      <c r="DG35" s="375"/>
      <c r="DH35" s="376"/>
      <c r="DI35" s="375"/>
      <c r="DJ35" s="375"/>
      <c r="DK35" s="375"/>
      <c r="DL35" s="375"/>
      <c r="DM35" s="376"/>
      <c r="DN35" s="375"/>
      <c r="DO35" s="375"/>
      <c r="DP35" s="375"/>
      <c r="DQ35" s="375"/>
      <c r="DR35" s="376"/>
      <c r="DS35" s="375"/>
      <c r="DT35" s="375"/>
      <c r="DU35" s="375"/>
      <c r="DV35" s="375"/>
      <c r="DW35" s="376"/>
      <c r="DX35" s="375"/>
      <c r="DY35" s="375"/>
      <c r="DZ35" s="375"/>
      <c r="EA35" s="375"/>
      <c r="EB35" s="376"/>
      <c r="EC35" s="375"/>
      <c r="ED35" s="375"/>
      <c r="EE35" s="375"/>
      <c r="EF35" s="375"/>
      <c r="EG35" s="305"/>
      <c r="EH35" s="375"/>
      <c r="EI35" s="375"/>
      <c r="EJ35" s="375"/>
      <c r="EK35" s="375"/>
      <c r="EL35" s="375"/>
      <c r="EM35" s="1200"/>
      <c r="EN35" s="1200"/>
      <c r="EO35" s="1200"/>
      <c r="EP35" s="1200"/>
      <c r="EQ35" s="375"/>
      <c r="ER35" s="375"/>
      <c r="ES35" s="375"/>
      <c r="ET35" s="375"/>
      <c r="EU35" s="375"/>
      <c r="EV35" s="375"/>
      <c r="EW35" s="375"/>
      <c r="EX35" s="375"/>
      <c r="EY35" s="375"/>
      <c r="EZ35" s="375"/>
      <c r="FA35" s="375"/>
      <c r="FB35" s="375"/>
      <c r="FC35" s="375"/>
      <c r="FD35" s="375"/>
      <c r="FE35" s="375"/>
      <c r="FF35" s="375"/>
      <c r="FG35" s="375"/>
      <c r="FH35" s="377"/>
      <c r="FI35" s="375"/>
      <c r="FJ35" s="375"/>
      <c r="FK35" s="1259"/>
      <c r="FL35" s="375"/>
      <c r="FM35" s="375"/>
      <c r="FN35" s="375"/>
      <c r="FO35" s="378"/>
      <c r="FP35" s="375"/>
      <c r="FQ35" s="375"/>
      <c r="FR35" s="375"/>
      <c r="FS35" s="375"/>
      <c r="FT35" s="375"/>
      <c r="FU35" s="375"/>
      <c r="FV35" s="379"/>
      <c r="FW35" s="375"/>
      <c r="FX35" s="1215"/>
    </row>
    <row r="36" spans="1:191" x14ac:dyDescent="0.2">
      <c r="A36" s="334" t="s">
        <v>185</v>
      </c>
      <c r="B36" s="305"/>
      <c r="C36" s="343">
        <f>INDEX('qtrP&amp;L'!$190:$190,MATCH(C$6,'qtrP&amp;L'!$6:$6,0))</f>
        <v>213.376</v>
      </c>
      <c r="D36" s="343">
        <f>INDEX('qtrP&amp;L'!$191:$191,MATCH(C$6,'qtrP&amp;L'!$6:$6,0))</f>
        <v>213.376</v>
      </c>
      <c r="E36" s="343">
        <f>INDEX('qtrP&amp;L'!$192:$192,MATCH(C$6,'qtrP&amp;L'!$6:$6,0))</f>
        <v>213.376</v>
      </c>
      <c r="F36" s="343">
        <f>INDEX('qtrP&amp;L'!$193:$193,MATCH(C$6,'qtrP&amp;L'!$6:$6,0))</f>
        <v>213.376</v>
      </c>
      <c r="G36" s="343"/>
      <c r="H36" s="343">
        <f>INDEX('qtrP&amp;L'!$190:$190,MATCH(H$6,'qtrP&amp;L'!$6:$6,0))</f>
        <v>213.04</v>
      </c>
      <c r="I36" s="343">
        <f>INDEX('qtrP&amp;L'!$191:$191,MATCH(H$6,'qtrP&amp;L'!$6:$6,0))</f>
        <v>213.04</v>
      </c>
      <c r="J36" s="343">
        <f>INDEX('qtrP&amp;L'!$192:$192,MATCH(H$6,'qtrP&amp;L'!$6:$6,0))</f>
        <v>213.04</v>
      </c>
      <c r="K36" s="343">
        <f>INDEX('qtrP&amp;L'!$193:$193,MATCH(H$6,'qtrP&amp;L'!$6:$6,0))</f>
        <v>213.04</v>
      </c>
      <c r="L36" s="343"/>
      <c r="M36" s="343">
        <f>INDEX('qtrP&amp;L'!$190:$190,MATCH(M$6,'qtrP&amp;L'!$6:$6,0))</f>
        <v>212.92</v>
      </c>
      <c r="N36" s="343">
        <f>INDEX('qtrP&amp;L'!$191:$191,MATCH(M$6,'qtrP&amp;L'!$6:$6,0))</f>
        <v>269.93599999999998</v>
      </c>
      <c r="O36" s="343">
        <f>INDEX('qtrP&amp;L'!$192:$192,MATCH(M$6,'qtrP&amp;L'!$6:$6,0))</f>
        <v>280.86399999999998</v>
      </c>
      <c r="P36" s="343">
        <f>INDEX('qtrP&amp;L'!$193:$193,MATCH(M$6,'qtrP&amp;L'!$6:$6,0))</f>
        <v>281.32799999999997</v>
      </c>
      <c r="Q36" s="343"/>
      <c r="R36" s="343">
        <f>INDEX('qtrP&amp;L'!$190:$190,MATCH(R$6,'qtrP&amp;L'!$6:$6,0))</f>
        <v>292.88799999999998</v>
      </c>
      <c r="S36" s="343">
        <f>INDEX('qtrP&amp;L'!$191:$191,MATCH(R$6,'qtrP&amp;L'!$6:$6,0))</f>
        <v>293.01600000000002</v>
      </c>
      <c r="T36" s="343">
        <f>INDEX('qtrP&amp;L'!$192:$192,MATCH(R$6,'qtrP&amp;L'!$6:$6,0))</f>
        <v>293.08800000000002</v>
      </c>
      <c r="U36" s="343">
        <f>INDEX('qtrP&amp;L'!$193:$193,MATCH(R$6,'qtrP&amp;L'!$6:$6,0))</f>
        <v>293.2</v>
      </c>
      <c r="V36" s="343"/>
      <c r="W36" s="343">
        <f>INDEX('qtrP&amp;L'!$190:$190,MATCH(W$6,'qtrP&amp;L'!$6:$6,0))</f>
        <v>293.94400000000002</v>
      </c>
      <c r="X36" s="343">
        <f>INDEX('qtrP&amp;L'!$191:$191,MATCH(W$6,'qtrP&amp;L'!$6:$6,0))</f>
        <v>294.024</v>
      </c>
      <c r="Y36" s="343">
        <f>INDEX('qtrP&amp;L'!$192:$192,MATCH(W$6,'qtrP&amp;L'!$6:$6,0))</f>
        <v>294.35200000000003</v>
      </c>
      <c r="Z36" s="343">
        <f>INDEX('qtrP&amp;L'!$193:$193,MATCH(W$6,'qtrP&amp;L'!$6:$6,0))</f>
        <v>294.63200000000001</v>
      </c>
      <c r="AA36" s="343"/>
      <c r="AB36" s="343">
        <f>INDEX('qtrP&amp;L'!$190:$190,MATCH(AB$6,'qtrP&amp;L'!$6:$6,0))</f>
        <v>294.65600000000001</v>
      </c>
      <c r="AC36" s="343">
        <f>INDEX('qtrP&amp;L'!$191:$191,MATCH(AB$6,'qtrP&amp;L'!$6:$6,0))</f>
        <v>294.75200000000001</v>
      </c>
      <c r="AD36" s="343">
        <f>INDEX('qtrP&amp;L'!$192:$192,MATCH(AB$6,'qtrP&amp;L'!$6:$6,0))</f>
        <v>294.92</v>
      </c>
      <c r="AE36" s="343">
        <f>INDEX('qtrP&amp;L'!$193:$193,MATCH(AB$6,'qtrP&amp;L'!$6:$6,0))</f>
        <v>295.39999999999998</v>
      </c>
      <c r="AF36" s="343"/>
      <c r="AG36" s="343">
        <f>INDEX('qtrP&amp;L'!$190:$190,MATCH(AG$6,'qtrP&amp;L'!$6:$6,0))</f>
        <v>296</v>
      </c>
      <c r="AH36" s="343">
        <f>INDEX('qtrP&amp;L'!$191:$191,MATCH(AG$6,'qtrP&amp;L'!$6:$6,0))</f>
        <v>300</v>
      </c>
      <c r="AI36" s="343">
        <f>INDEX('qtrP&amp;L'!$192:$192,MATCH(AG$6,'qtrP&amp;L'!$6:$6,0))</f>
        <v>300</v>
      </c>
      <c r="AJ36" s="343">
        <f>INDEX('qtrP&amp;L'!$193:$193,MATCH(AG$6,'qtrP&amp;L'!$6:$6,0))</f>
        <v>302</v>
      </c>
      <c r="AK36" s="343"/>
      <c r="AL36" s="343">
        <f>INDEX('qtrP&amp;L'!$190:$190,MATCH(AL$6,'qtrP&amp;L'!$6:$6,0))</f>
        <v>299.96800000000002</v>
      </c>
      <c r="AM36" s="343">
        <f>INDEX('qtrP&amp;L'!$191:$191,MATCH(AL$6,'qtrP&amp;L'!$6:$6,0))</f>
        <v>300.38</v>
      </c>
      <c r="AN36" s="343">
        <f>INDEX('qtrP&amp;L'!$192:$192,MATCH(AL$6,'qtrP&amp;L'!$6:$6,0))</f>
        <v>316.08800000000002</v>
      </c>
      <c r="AO36" s="343">
        <f>INDEX('qtrP&amp;L'!$193:$193,MATCH(AL$6,'qtrP&amp;L'!$6:$6,0))</f>
        <v>323.33199999999999</v>
      </c>
      <c r="AP36" s="343"/>
      <c r="AQ36" s="343">
        <f>INDEX('qtrP&amp;L'!$190:$190,MATCH(AQ$6,'qtrP&amp;L'!$6:$6,0))</f>
        <v>324.36200000000002</v>
      </c>
      <c r="AR36" s="343">
        <f>INDEX('qtrP&amp;L'!$191:$191,MATCH(AQ$6,'qtrP&amp;L'!$6:$6,0))</f>
        <v>325.50400000000002</v>
      </c>
      <c r="AS36" s="343">
        <f>INDEX('qtrP&amp;L'!$192:$192,MATCH(AQ$6,'qtrP&amp;L'!$6:$6,0))</f>
        <v>325.44600000000003</v>
      </c>
      <c r="AT36" s="343">
        <f>INDEX('qtrP&amp;L'!$193:$193,MATCH(AQ$6,'qtrP&amp;L'!$6:$6,0))</f>
        <v>326.35599999999999</v>
      </c>
      <c r="AU36" s="343"/>
      <c r="AV36" s="343">
        <f>INDEX('qtrP&amp;L'!$190:$190,MATCH(AV$6,'qtrP&amp;L'!$6:$6,0))</f>
        <v>330.75200000000001</v>
      </c>
      <c r="AW36" s="343">
        <f>INDEX('qtrP&amp;L'!$191:$191,MATCH(AV$6,'qtrP&amp;L'!$6:$6,0))</f>
        <v>335.096</v>
      </c>
      <c r="AX36" s="343">
        <f>INDEX('qtrP&amp;L'!$192:$192,MATCH(AV$6,'qtrP&amp;L'!$6:$6,0))</f>
        <v>335.35</v>
      </c>
      <c r="AY36" s="343">
        <f>INDEX('qtrP&amp;L'!$193:$193,MATCH(AV$6,'qtrP&amp;L'!$6:$6,0))</f>
        <v>335.12400000000002</v>
      </c>
      <c r="AZ36" s="343"/>
      <c r="BA36" s="343">
        <f>INDEX('qtrP&amp;L'!$190:$190,MATCH(BA$6,'qtrP&amp;L'!$6:$6,0))</f>
        <v>336.35300000000001</v>
      </c>
      <c r="BB36" s="343">
        <f>INDEX('qtrP&amp;L'!$191:$191,MATCH(BA$6,'qtrP&amp;L'!$6:$6,0))</f>
        <v>338.97300000000001</v>
      </c>
      <c r="BC36" s="343">
        <f>INDEX('qtrP&amp;L'!$192:$192,MATCH(BA$6,'qtrP&amp;L'!$6:$6,0))</f>
        <v>339.69299999999998</v>
      </c>
      <c r="BD36" s="343">
        <f>INDEX('qtrP&amp;L'!$193:$193,MATCH(BA$6,'qtrP&amp;L'!$6:$6,0))</f>
        <v>340.29300000000001</v>
      </c>
      <c r="BE36" s="343"/>
      <c r="BF36" s="343">
        <f>INDEX('qtrP&amp;L'!$190:$190,MATCH(BF$6,'qtrP&amp;L'!$6:$6,0))</f>
        <v>341.142</v>
      </c>
      <c r="BG36" s="343">
        <f>INDEX('qtrP&amp;L'!$191:$191,MATCH(BF$6,'qtrP&amp;L'!$6:$6,0))</f>
        <v>342.11799999999999</v>
      </c>
      <c r="BH36" s="343">
        <f>INDEX('qtrP&amp;L'!$192:$192,MATCH(BF$6,'qtrP&amp;L'!$6:$6,0))</f>
        <v>342.29199999999997</v>
      </c>
      <c r="BI36" s="343">
        <f>INDEX('qtrP&amp;L'!$193:$193,MATCH(BF$6,'qtrP&amp;L'!$6:$6,0))</f>
        <v>346.12099999999998</v>
      </c>
      <c r="BJ36" s="343"/>
      <c r="BK36" s="343">
        <f>INDEX('qtrP&amp;L'!$190:$190,MATCH(BK$6,'qtrP&amp;L'!$6:$6,0))</f>
        <v>342.61500000000001</v>
      </c>
      <c r="BL36" s="343">
        <f>INDEX('qtrP&amp;L'!$191:$191,MATCH(BK$6,'qtrP&amp;L'!$6:$6,0))</f>
        <v>343.21499999999997</v>
      </c>
      <c r="BM36" s="343">
        <f>INDEX('qtrP&amp;L'!$192:$192,MATCH(BK$6,'qtrP&amp;L'!$6:$6,0))</f>
        <v>346.76600000000002</v>
      </c>
      <c r="BN36" s="343">
        <f>INDEX('qtrP&amp;L'!$193:$193,MATCH(BK$6,'qtrP&amp;L'!$6:$6,0))</f>
        <v>346.65699999999998</v>
      </c>
      <c r="BO36" s="343"/>
      <c r="BP36" s="343">
        <f>INDEX('qtrP&amp;L'!$190:$190,MATCH(BP$6,'qtrP&amp;L'!$6:$6,0))</f>
        <v>342.84699999999998</v>
      </c>
      <c r="BQ36" s="343">
        <f>INDEX('qtrP&amp;L'!$191:$191,MATCH(BP$6,'qtrP&amp;L'!$6:$6,0))</f>
        <v>343.7</v>
      </c>
      <c r="BR36" s="343">
        <f>INDEX('qtrP&amp;L'!$192:$192,MATCH(BP$6,'qtrP&amp;L'!$6:$6,0))</f>
        <v>344.447</v>
      </c>
      <c r="BS36" s="343">
        <f>INDEX('qtrP&amp;L'!$193:$193,MATCH(BP$6,'qtrP&amp;L'!$6:$6,0))</f>
        <v>343.99799999999999</v>
      </c>
      <c r="BT36" s="343"/>
      <c r="BU36" s="343">
        <f>INDEX('qtrP&amp;L'!$190:$190,MATCH(BU$6,'qtrP&amp;L'!$6:$6,0))</f>
        <v>343.858</v>
      </c>
      <c r="BV36" s="343">
        <f>INDEX('qtrP&amp;L'!$191:$191,MATCH(BU$6,'qtrP&amp;L'!$6:$6,0))</f>
        <v>344.19499999999999</v>
      </c>
      <c r="BW36" s="343">
        <f>INDEX('qtrP&amp;L'!$192:$192,MATCH(BU$6,'qtrP&amp;L'!$6:$6,0))</f>
        <v>344.89600000000002</v>
      </c>
      <c r="BX36" s="343">
        <f>INDEX('qtrP&amp;L'!$193:$193,MATCH(BU$6,'qtrP&amp;L'!$6:$6,0))</f>
        <v>345.678</v>
      </c>
      <c r="BY36" s="343"/>
      <c r="BZ36" s="343">
        <f>INDEX('qtrP&amp;L'!$190:$190,MATCH(BZ$6,'qtrP&amp;L'!$6:$6,0))</f>
        <v>345.9</v>
      </c>
      <c r="CA36" s="343">
        <f>INDEX('qtrP&amp;L'!$191:$191,MATCH(BZ$6,'qtrP&amp;L'!$6:$6,0))</f>
        <v>346.77199999999999</v>
      </c>
      <c r="CB36" s="343">
        <f>INDEX('qtrP&amp;L'!$192:$192,MATCH(BZ$6,'qtrP&amp;L'!$6:$6,0))</f>
        <v>346.8</v>
      </c>
      <c r="CC36" s="343">
        <f>INDEX('qtrP&amp;L'!$193:$193,MATCH(BZ$6,'qtrP&amp;L'!$6:$6,0))</f>
        <v>346.6</v>
      </c>
      <c r="CD36" s="343"/>
      <c r="CE36" s="343">
        <f>INDEX('qtrP&amp;L'!$190:$190,MATCH(CE$6,'qtrP&amp;L'!$6:$6,0))</f>
        <v>347.28500000000003</v>
      </c>
      <c r="CF36" s="343">
        <f>INDEX('qtrP&amp;L'!$191:$191,MATCH(CE$6,'qtrP&amp;L'!$6:$6,0))</f>
        <v>335.7</v>
      </c>
      <c r="CG36" s="343">
        <f>INDEX('qtrP&amp;L'!$192:$192,MATCH(CE$6,'qtrP&amp;L'!$6:$6,0))</f>
        <v>329.8</v>
      </c>
      <c r="CH36" s="343">
        <f>INDEX('qtrP&amp;L'!$193:$193,MATCH(CE$6,'qtrP&amp;L'!$6:$6,0))</f>
        <v>327.8</v>
      </c>
      <c r="CI36" s="343"/>
      <c r="CJ36" s="343">
        <f>INDEX('qtrP&amp;L'!$190:$190,MATCH(CJ$6,'qtrP&amp;L'!$6:$6,0))</f>
        <v>325.10000000000002</v>
      </c>
      <c r="CK36" s="343">
        <f>INDEX('qtrP&amp;L'!$191:$191,MATCH(CJ$6,'qtrP&amp;L'!$6:$6,0))</f>
        <v>323.21300000000002</v>
      </c>
      <c r="CL36" s="343">
        <f>INDEX('qtrP&amp;L'!$192:$192,MATCH(CJ$6,'qtrP&amp;L'!$6:$6,0))</f>
        <v>318.60000000000002</v>
      </c>
      <c r="CM36" s="343">
        <f>INDEX('qtrP&amp;L'!$193:$193,MATCH(CJ$6,'qtrP&amp;L'!$6:$6,0))</f>
        <v>313.8</v>
      </c>
      <c r="CN36" s="343"/>
      <c r="CO36" s="343">
        <f>INDEX('qtrP&amp;L'!$190:$190,MATCH(CO$6,'qtrP&amp;L'!$6:$6,0))</f>
        <v>309.39600000000002</v>
      </c>
      <c r="CP36" s="343">
        <f>INDEX('qtrP&amp;L'!$191:$191,MATCH(CO$6,'qtrP&amp;L'!$6:$6,0))</f>
        <v>306.70800000000003</v>
      </c>
      <c r="CQ36" s="343">
        <f>INDEX('qtrP&amp;L'!$192:$192,MATCH(CO$6,'qtrP&amp;L'!$6:$6,0))</f>
        <v>305.38600000000002</v>
      </c>
      <c r="CR36" s="343">
        <f>INDEX('qtrP&amp;L'!$193:$193,MATCH(CO$6,'qtrP&amp;L'!$6:$6,0))</f>
        <v>305</v>
      </c>
      <c r="CS36" s="343"/>
      <c r="CT36" s="343">
        <f>INDEX('qtrP&amp;L'!$190:$190,MATCH(CT$6,'qtrP&amp;L'!$6:$6,0))</f>
        <v>306</v>
      </c>
      <c r="CU36" s="343">
        <f>INDEX('qtrP&amp;L'!$191:$191,MATCH(CT$6,'qtrP&amp;L'!$6:$6,0))</f>
        <v>306</v>
      </c>
      <c r="CV36" s="343">
        <f>INDEX('qtrP&amp;L'!$192:$192,MATCH(CT$6,'qtrP&amp;L'!$6:$6,0))</f>
        <v>308</v>
      </c>
      <c r="CW36" s="343">
        <f>INDEX('qtrP&amp;L'!$193:$193,MATCH(CT$6,'qtrP&amp;L'!$6:$6,0))</f>
        <v>308</v>
      </c>
      <c r="CX36" s="343"/>
      <c r="CY36" s="380">
        <f>INDEX('qtrP&amp;L'!$190:$190,MATCH(CY$6,'qtrP&amp;L'!$6:$6,0))</f>
        <v>309</v>
      </c>
      <c r="CZ36" s="380">
        <f>INDEX('qtrP&amp;L'!$191:$191,MATCH(CY$6,'qtrP&amp;L'!$6:$6,0))</f>
        <v>308</v>
      </c>
      <c r="DA36" s="380">
        <f>INDEX('qtrP&amp;L'!$192:$192,MATCH(CY$6,'qtrP&amp;L'!$6:$6,0))</f>
        <v>308</v>
      </c>
      <c r="DB36" s="380">
        <f>INDEX('qtrP&amp;L'!$193:$193,MATCH(CY$6,'qtrP&amp;L'!$6:$6,0))</f>
        <v>297</v>
      </c>
      <c r="DC36" s="380"/>
      <c r="DD36" s="380">
        <f>INDEX('qtrP&amp;L'!$190:$190,MATCH(DD$6,'qtrP&amp;L'!$6:$6,0))</f>
        <v>290</v>
      </c>
      <c r="DE36" s="380">
        <f>INDEX('qtrP&amp;L'!$191:$191,MATCH(DD$6,'qtrP&amp;L'!$6:$6,0))</f>
        <v>278</v>
      </c>
      <c r="DF36" s="380">
        <f>INDEX('qtrP&amp;L'!$192:$192,MATCH(DD$6,'qtrP&amp;L'!$6:$6,0))</f>
        <v>265</v>
      </c>
      <c r="DG36" s="380">
        <f>INDEX('qtrP&amp;L'!$193:$193,MATCH(DD$6,'qtrP&amp;L'!$6:$6,0))</f>
        <v>252</v>
      </c>
      <c r="DH36" s="380"/>
      <c r="DI36" s="380">
        <f>INDEX('qtrP&amp;L'!$190:$190,MATCH(DI$6,'qtrP&amp;L'!$6:$6,0))</f>
        <v>245</v>
      </c>
      <c r="DJ36" s="380">
        <f>INDEX('qtrP&amp;L'!$191:$191,MATCH(DI$6,'qtrP&amp;L'!$6:$6,0))</f>
        <v>239</v>
      </c>
      <c r="DK36" s="380">
        <f>INDEX('qtrP&amp;L'!$192:$192,MATCH(DI$6,'qtrP&amp;L'!$6:$6,0))</f>
        <v>235</v>
      </c>
      <c r="DL36" s="380">
        <f>INDEX('qtrP&amp;L'!$193:$193,MATCH(DI$6,'qtrP&amp;L'!$6:$6,0))</f>
        <v>227.1</v>
      </c>
      <c r="DM36" s="380"/>
      <c r="DN36" s="380">
        <f>INDEX('qtrP&amp;L'!$190:$190,MATCH(DN$6,'qtrP&amp;L'!$6:$6,0))</f>
        <v>223</v>
      </c>
      <c r="DO36" s="380">
        <f>INDEX('qtrP&amp;L'!$191:$191,MATCH(DN$6,'qtrP&amp;L'!$6:$6,0))</f>
        <v>222</v>
      </c>
      <c r="DP36" s="380">
        <f>INDEX('qtrP&amp;L'!$192:$192,MATCH(DN$6,'qtrP&amp;L'!$6:$6,0))</f>
        <v>218</v>
      </c>
      <c r="DQ36" s="380">
        <f>INDEX('qtrP&amp;L'!$193:$193,MATCH(DN$6,'qtrP&amp;L'!$6:$6,0))</f>
        <v>214.5</v>
      </c>
      <c r="DR36" s="380"/>
      <c r="DS36" s="380">
        <f>INDEX('qtrP&amp;L'!$190:$190,MATCH(DS$6,'qtrP&amp;L'!$6:$6,0))</f>
        <v>208</v>
      </c>
      <c r="DT36" s="380">
        <f>INDEX('qtrP&amp;L'!$191:$191,MATCH(DS$6,'qtrP&amp;L'!$6:$6,0))</f>
        <v>205</v>
      </c>
      <c r="DU36" s="380">
        <f>INDEX('qtrP&amp;L'!$192:$192,MATCH(DS$6,'qtrP&amp;L'!$6:$6,0))</f>
        <v>202</v>
      </c>
      <c r="DV36" s="380">
        <f>INDEX('qtrP&amp;L'!$193:$193,MATCH(DS$6,'qtrP&amp;L'!$6:$6,0))</f>
        <v>201.1</v>
      </c>
      <c r="DW36" s="380"/>
      <c r="DX36" s="380">
        <f>INDEX('qtrP&amp;L'!$190:$190,MATCH(DX$6,'qtrP&amp;L'!$6:$6,0))</f>
        <v>202</v>
      </c>
      <c r="DY36" s="380">
        <f>INDEX('qtrP&amp;L'!$191:$191,MATCH(DX$6,'qtrP&amp;L'!$6:$6,0))</f>
        <v>197</v>
      </c>
      <c r="DZ36" s="380">
        <f>INDEX('qtrP&amp;L'!$192:$192,MATCH(DX$6,'qtrP&amp;L'!$6:$6,0))</f>
        <v>192</v>
      </c>
      <c r="EA36" s="380">
        <f>INDEX('qtrP&amp;L'!$193:$193,MATCH(DX$6,'qtrP&amp;L'!$6:$6,0))</f>
        <v>187</v>
      </c>
      <c r="EB36" s="380"/>
      <c r="EC36" s="380">
        <f>INDEX('qtrP&amp;L'!$190:$190,MATCH(EC$6,'qtrP&amp;L'!$6:$6,0))</f>
        <v>184</v>
      </c>
      <c r="ED36" s="380">
        <f>INDEX('qtrP&amp;L'!$191:$191,MATCH(EC$6,'qtrP&amp;L'!$6:$6,0))</f>
        <v>181</v>
      </c>
      <c r="EE36" s="380">
        <f>INDEX('qtrP&amp;L'!$192:$192,MATCH(EC$6,'qtrP&amp;L'!$6:$6,0))</f>
        <v>177</v>
      </c>
      <c r="EF36" s="380">
        <f>INDEX('qtrP&amp;L'!$193:$193,MATCH(EC$6,'qtrP&amp;L'!$6:$6,0))</f>
        <v>175</v>
      </c>
      <c r="EG36" s="305"/>
      <c r="EH36" s="380">
        <f>INDEX('qtrP&amp;L'!$190:$190,MATCH(EH$6,'qtrP&amp;L'!$6:$6,0))</f>
        <v>171</v>
      </c>
      <c r="EI36" s="380">
        <f>INDEX('qtrP&amp;L'!$191:$191,MATCH(EH$6,'qtrP&amp;L'!$6:$6,0))</f>
        <v>168</v>
      </c>
      <c r="EJ36" s="380">
        <f>INDEX('qtrP&amp;L'!$192:$192,MATCH(EH$6,'qtrP&amp;L'!$6:$6,0))</f>
        <v>166</v>
      </c>
      <c r="EK36" s="380">
        <f>INDEX('qtrP&amp;L'!$193:$193,MATCH(EH$6,'qtrP&amp;L'!$6:$6,0))</f>
        <v>167</v>
      </c>
      <c r="EL36" s="380"/>
      <c r="EM36" s="1201">
        <f>INDEX('qtrP&amp;L'!$190:$190,MATCH(EM$6,'qtrP&amp;L'!$6:$6,0))</f>
        <v>166.16666666666669</v>
      </c>
      <c r="EN36" s="1201">
        <f>INDEX('qtrP&amp;L'!$191:$191,MATCH(EM$6,'qtrP&amp;L'!$6:$6,0))</f>
        <v>165.33333333333337</v>
      </c>
      <c r="EO36" s="1201">
        <f>INDEX('qtrP&amp;L'!$192:$192,MATCH(EM$6,'qtrP&amp;L'!$6:$6,0))</f>
        <v>165.00000000000006</v>
      </c>
      <c r="EP36" s="1201">
        <f>INDEX('qtrP&amp;L'!$193:$193,MATCH(EM$6,'qtrP&amp;L'!$6:$6,0))</f>
        <v>165.08333333333337</v>
      </c>
      <c r="EQ36" s="380">
        <f>'yrP&amp;L'!C73</f>
        <v>213.376</v>
      </c>
      <c r="ER36" s="380">
        <f>'yrP&amp;L'!D73</f>
        <v>213.04</v>
      </c>
      <c r="ES36" s="380">
        <f>'yrP&amp;L'!E73</f>
        <v>261.261888</v>
      </c>
      <c r="ET36" s="380">
        <f>'yrP&amp;L'!F73</f>
        <v>293.048</v>
      </c>
      <c r="EU36" s="380">
        <f>'yrP&amp;L'!G73</f>
        <v>294.238</v>
      </c>
      <c r="EV36" s="380">
        <f>'yrP&amp;L'!H73</f>
        <v>294.33199999999999</v>
      </c>
      <c r="EW36" s="380">
        <f>'yrP&amp;L'!I73</f>
        <v>299.5</v>
      </c>
      <c r="EX36" s="380">
        <f>'yrP&amp;L'!J73</f>
        <v>312.15600000000001</v>
      </c>
      <c r="EY36" s="380">
        <f>'yrP&amp;L'!K73</f>
        <v>325.26600000000002</v>
      </c>
      <c r="EZ36" s="380">
        <f>'yrP&amp;L'!L73</f>
        <v>333.85599999999999</v>
      </c>
      <c r="FA36" s="380">
        <f>'yrP&amp;L'!M73</f>
        <v>338.82799999999997</v>
      </c>
      <c r="FB36" s="380">
        <f>'yrP&amp;L'!N73</f>
        <v>342.91824999999994</v>
      </c>
      <c r="FC36" s="380">
        <f>'yrP&amp;L'!O73</f>
        <v>344.81324999999998</v>
      </c>
      <c r="FD36" s="380">
        <f>'yrP&amp;L'!P73</f>
        <v>343.74800000000005</v>
      </c>
      <c r="FE36" s="380">
        <f>'yrP&amp;L'!Q73</f>
        <v>344.65674999999999</v>
      </c>
      <c r="FF36" s="380">
        <f>'yrP&amp;L'!R73</f>
        <v>346.51800000000003</v>
      </c>
      <c r="FG36" s="380">
        <f>'yrP&amp;L'!S73</f>
        <v>334.77100000000002</v>
      </c>
      <c r="FH36" s="381">
        <f>'yrP&amp;L'!T73</f>
        <v>320.17825000000005</v>
      </c>
      <c r="FI36" s="380">
        <f>'yrP&amp;L'!U73</f>
        <v>306.6225</v>
      </c>
      <c r="FJ36" s="380">
        <f>'yrP&amp;L'!V73</f>
        <v>306</v>
      </c>
      <c r="FK36" s="1260"/>
      <c r="FL36" s="380">
        <f>'yrP&amp;L'!W73</f>
        <v>306</v>
      </c>
      <c r="FM36" s="380">
        <f>'yrP&amp;L'!X73</f>
        <v>271</v>
      </c>
      <c r="FN36" s="380">
        <f>'yrP&amp;L'!Y73</f>
        <v>236.9</v>
      </c>
      <c r="FO36" s="380">
        <f>'yrP&amp;L'!Z73</f>
        <v>219.5</v>
      </c>
      <c r="FP36" s="380">
        <f>'yrP&amp;L'!AA73</f>
        <v>204.4</v>
      </c>
      <c r="FQ36" s="380">
        <f>+'qtrP&amp;L'!CY194</f>
        <v>195</v>
      </c>
      <c r="FR36" s="380">
        <f>'qtrP&amp;L'!$DC$194</f>
        <v>179</v>
      </c>
      <c r="FS36" s="380">
        <f>'qtrP&amp;L'!$DG$194</f>
        <v>168</v>
      </c>
      <c r="FT36" s="380">
        <f>'qtrP&amp;L'!$DK$194</f>
        <v>165.39583333333337</v>
      </c>
      <c r="FU36" s="380">
        <f>FT36-(FT37-FU37)</f>
        <v>162.76136363636365</v>
      </c>
      <c r="FV36" s="382">
        <f>FU36-(FU37-FV37)</f>
        <v>158.20075757575759</v>
      </c>
      <c r="FW36" s="380">
        <f>FV36-(FV37-FW37)</f>
        <v>152.14015151515153</v>
      </c>
      <c r="FX36" s="382">
        <f>FW36-(FW37-FX37)</f>
        <v>146.07954545454547</v>
      </c>
      <c r="GG36" s="413"/>
    </row>
    <row r="37" spans="1:191" hidden="1" outlineLevel="1" x14ac:dyDescent="0.2">
      <c r="A37" s="334" t="s">
        <v>186</v>
      </c>
      <c r="B37" s="305"/>
      <c r="C37" s="343">
        <f>INDEX('qtrP&amp;L'!$206:$206,MATCH(C$6,'qtrP&amp;L'!$6:$6,0))</f>
        <v>213.376</v>
      </c>
      <c r="D37" s="343">
        <f>INDEX('qtrP&amp;L'!$207:$207,MATCH(C$6,'qtrP&amp;L'!$6:$6,0))</f>
        <v>213.376</v>
      </c>
      <c r="E37" s="343">
        <f>INDEX('qtrP&amp;L'!$208:$208,MATCH(C$6,'qtrP&amp;L'!$6:$6,0))</f>
        <v>213.376</v>
      </c>
      <c r="F37" s="343">
        <f>INDEX('qtrP&amp;L'!$209:$209,MATCH(C$6,'qtrP&amp;L'!$6:$6,0))</f>
        <v>213.376</v>
      </c>
      <c r="G37" s="343"/>
      <c r="H37" s="343">
        <f>INDEX('qtrP&amp;L'!$206:$206,MATCH(H$6,'qtrP&amp;L'!$6:$6,0))</f>
        <v>213.04</v>
      </c>
      <c r="I37" s="343">
        <f>INDEX('qtrP&amp;L'!$207:$207,MATCH(H$6,'qtrP&amp;L'!$6:$6,0))</f>
        <v>213.04</v>
      </c>
      <c r="J37" s="343">
        <f>INDEX('qtrP&amp;L'!$208:$208,MATCH(H$6,'qtrP&amp;L'!$6:$6,0))</f>
        <v>213.04</v>
      </c>
      <c r="K37" s="343">
        <f>INDEX('qtrP&amp;L'!$209:$209,MATCH(H$6,'qtrP&amp;L'!$6:$6,0))</f>
        <v>213.04</v>
      </c>
      <c r="L37" s="343"/>
      <c r="M37" s="343">
        <f>INDEX('qtrP&amp;L'!$206:$206,MATCH(M$6,'qtrP&amp;L'!$6:$6,0))</f>
        <v>212.92</v>
      </c>
      <c r="N37" s="343">
        <f>INDEX('qtrP&amp;L'!$207:$207,MATCH(M$6,'qtrP&amp;L'!$6:$6,0))</f>
        <v>269.93599999999998</v>
      </c>
      <c r="O37" s="343">
        <f>INDEX('qtrP&amp;L'!$208:$208,MATCH(M$6,'qtrP&amp;L'!$6:$6,0))</f>
        <v>280.86399999999998</v>
      </c>
      <c r="P37" s="343">
        <f>INDEX('qtrP&amp;L'!$209:$209,MATCH(M$6,'qtrP&amp;L'!$6:$6,0))</f>
        <v>281.32799999999997</v>
      </c>
      <c r="Q37" s="343"/>
      <c r="R37" s="343">
        <f>INDEX('qtrP&amp;L'!$206:$206,MATCH(R$6,'qtrP&amp;L'!$6:$6,0))</f>
        <v>292.88799999999998</v>
      </c>
      <c r="S37" s="343">
        <f>INDEX('qtrP&amp;L'!$207:$207,MATCH(R$6,'qtrP&amp;L'!$6:$6,0))</f>
        <v>293.01600000000002</v>
      </c>
      <c r="T37" s="343">
        <f>INDEX('qtrP&amp;L'!$208:$208,MATCH(R$6,'qtrP&amp;L'!$6:$6,0))</f>
        <v>293.08800000000002</v>
      </c>
      <c r="U37" s="343">
        <f>INDEX('qtrP&amp;L'!$209:$209,MATCH(R$6,'qtrP&amp;L'!$6:$6,0))</f>
        <v>293.2</v>
      </c>
      <c r="V37" s="343"/>
      <c r="W37" s="343">
        <f>INDEX('qtrP&amp;L'!$206:$206,MATCH(W$6,'qtrP&amp;L'!$6:$6,0))</f>
        <v>293.34399999999999</v>
      </c>
      <c r="X37" s="343">
        <f>INDEX('qtrP&amp;L'!$207:$207,MATCH(W$6,'qtrP&amp;L'!$6:$6,0))</f>
        <v>293.42399999999998</v>
      </c>
      <c r="Y37" s="343">
        <f>INDEX('qtrP&amp;L'!$208:$208,MATCH(W$6,'qtrP&amp;L'!$6:$6,0))</f>
        <v>293.75200000000001</v>
      </c>
      <c r="Z37" s="343">
        <f>INDEX('qtrP&amp;L'!$209:$209,MATCH(W$6,'qtrP&amp;L'!$6:$6,0))</f>
        <v>294.03199999999998</v>
      </c>
      <c r="AA37" s="343"/>
      <c r="AB37" s="343">
        <f>INDEX('qtrP&amp;L'!$206:$206,MATCH(AB$6,'qtrP&amp;L'!$6:$6,0))</f>
        <v>294.05599999999998</v>
      </c>
      <c r="AC37" s="343">
        <f>INDEX('qtrP&amp;L'!$207:$207,MATCH(AB$6,'qtrP&amp;L'!$6:$6,0))</f>
        <v>294.15199999999999</v>
      </c>
      <c r="AD37" s="343">
        <f>INDEX('qtrP&amp;L'!$208:$208,MATCH(AB$6,'qtrP&amp;L'!$6:$6,0))</f>
        <v>294.32</v>
      </c>
      <c r="AE37" s="343">
        <f>INDEX('qtrP&amp;L'!$209:$209,MATCH(AB$6,'qtrP&amp;L'!$6:$6,0))</f>
        <v>294.8</v>
      </c>
      <c r="AF37" s="343"/>
      <c r="AG37" s="343">
        <f>INDEX('qtrP&amp;L'!$206:$206,MATCH(AG$6,'qtrP&amp;L'!$6:$6,0))</f>
        <v>295.084</v>
      </c>
      <c r="AH37" s="343">
        <f>INDEX('qtrP&amp;L'!$207:$207,MATCH(AG$6,'qtrP&amp;L'!$6:$6,0))</f>
        <v>295.29599999999999</v>
      </c>
      <c r="AI37" s="343">
        <f>INDEX('qtrP&amp;L'!$208:$208,MATCH(AG$6,'qtrP&amp;L'!$6:$6,0))</f>
        <v>295.58800000000002</v>
      </c>
      <c r="AJ37" s="343">
        <f>INDEX('qtrP&amp;L'!$209:$209,MATCH(AG$6,'qtrP&amp;L'!$6:$6,0))</f>
        <v>296</v>
      </c>
      <c r="AK37" s="343"/>
      <c r="AL37" s="343">
        <f>INDEX('qtrP&amp;L'!$206:$206,MATCH(AL$6,'qtrP&amp;L'!$6:$6,0))</f>
        <v>295.96800000000002</v>
      </c>
      <c r="AM37" s="343">
        <f>INDEX('qtrP&amp;L'!$207:$207,MATCH(AL$6,'qtrP&amp;L'!$6:$6,0))</f>
        <v>296.38</v>
      </c>
      <c r="AN37" s="343">
        <f>INDEX('qtrP&amp;L'!$208:$208,MATCH(AL$6,'qtrP&amp;L'!$6:$6,0))</f>
        <v>312.08800000000002</v>
      </c>
      <c r="AO37" s="343">
        <f>INDEX('qtrP&amp;L'!$209:$209,MATCH(AL$6,'qtrP&amp;L'!$6:$6,0))</f>
        <v>315.37200000000001</v>
      </c>
      <c r="AP37" s="343"/>
      <c r="AQ37" s="343">
        <f>INDEX('qtrP&amp;L'!$206:$206,MATCH(AQ$6,'qtrP&amp;L'!$6:$6,0))</f>
        <v>315.73200000000003</v>
      </c>
      <c r="AR37" s="343">
        <f>INDEX('qtrP&amp;L'!$207:$207,MATCH(AQ$6,'qtrP&amp;L'!$6:$6,0))</f>
        <v>316.04399999999998</v>
      </c>
      <c r="AS37" s="343">
        <f>INDEX('qtrP&amp;L'!$208:$208,MATCH(AQ$6,'qtrP&amp;L'!$6:$6,0))</f>
        <v>316.26400000000001</v>
      </c>
      <c r="AT37" s="343">
        <f>INDEX('qtrP&amp;L'!$209:$209,MATCH(AQ$6,'qtrP&amp;L'!$6:$6,0))</f>
        <v>316.49599999999998</v>
      </c>
      <c r="AU37" s="343"/>
      <c r="AV37" s="343">
        <f>INDEX('qtrP&amp;L'!$206:$206,MATCH(AV$6,'qtrP&amp;L'!$6:$6,0))</f>
        <v>320.87200000000001</v>
      </c>
      <c r="AW37" s="343">
        <f>INDEX('qtrP&amp;L'!$207:$207,MATCH(AV$6,'qtrP&amp;L'!$6:$6,0))</f>
        <v>325.64600000000002</v>
      </c>
      <c r="AX37" s="343">
        <f>INDEX('qtrP&amp;L'!$208:$208,MATCH(AV$6,'qtrP&amp;L'!$6:$6,0))</f>
        <v>325.90600000000001</v>
      </c>
      <c r="AY37" s="343">
        <f>INDEX('qtrP&amp;L'!$209:$209,MATCH(AV$6,'qtrP&amp;L'!$6:$6,0))</f>
        <v>326.07400000000001</v>
      </c>
      <c r="AZ37" s="343"/>
      <c r="BA37" s="343">
        <f>INDEX('qtrP&amp;L'!$206:$206,MATCH(BA$6,'qtrP&amp;L'!$6:$6,0))</f>
        <v>327.80599999999998</v>
      </c>
      <c r="BB37" s="343">
        <f>INDEX('qtrP&amp;L'!$207:$207,MATCH(BA$6,'qtrP&amp;L'!$6:$6,0))</f>
        <v>329.84800000000001</v>
      </c>
      <c r="BC37" s="343">
        <f>INDEX('qtrP&amp;L'!$208:$208,MATCH(BA$6,'qtrP&amp;L'!$6:$6,0))</f>
        <v>331.19600000000003</v>
      </c>
      <c r="BD37" s="343">
        <f>INDEX('qtrP&amp;L'!$209:$209,MATCH(BA$6,'qtrP&amp;L'!$6:$6,0))</f>
        <v>331.69600000000003</v>
      </c>
      <c r="BE37" s="343"/>
      <c r="BF37" s="343">
        <f>INDEX('qtrP&amp;L'!$206:$206,MATCH(BF$6,'qtrP&amp;L'!$6:$6,0))</f>
        <v>332.78399999999999</v>
      </c>
      <c r="BG37" s="343">
        <f>INDEX('qtrP&amp;L'!$207:$207,MATCH(BF$6,'qtrP&amp;L'!$6:$6,0))</f>
        <v>334.15899999999999</v>
      </c>
      <c r="BH37" s="343">
        <f>INDEX('qtrP&amp;L'!$208:$208,MATCH(BF$6,'qtrP&amp;L'!$6:$6,0))</f>
        <v>334.61599999999999</v>
      </c>
      <c r="BI37" s="343">
        <f>INDEX('qtrP&amp;L'!$209:$209,MATCH(BF$6,'qtrP&amp;L'!$6:$6,0))</f>
        <v>334.99900000000002</v>
      </c>
      <c r="BJ37" s="343"/>
      <c r="BK37" s="343">
        <f>INDEX('qtrP&amp;L'!$206:$206,MATCH(BK$6,'qtrP&amp;L'!$6:$6,0))</f>
        <v>335.858</v>
      </c>
      <c r="BL37" s="343">
        <f>INDEX('qtrP&amp;L'!$207:$207,MATCH(BK$6,'qtrP&amp;L'!$6:$6,0))</f>
        <v>336.358</v>
      </c>
      <c r="BM37" s="343">
        <f>INDEX('qtrP&amp;L'!$208:$208,MATCH(BK$6,'qtrP&amp;L'!$6:$6,0))</f>
        <v>336.858</v>
      </c>
      <c r="BN37" s="343">
        <f>INDEX('qtrP&amp;L'!$209:$209,MATCH(BK$6,'qtrP&amp;L'!$6:$6,0))</f>
        <v>337.17500000000001</v>
      </c>
      <c r="BO37" s="343"/>
      <c r="BP37" s="343">
        <f>INDEX('qtrP&amp;L'!$206:$206,MATCH(BP$6,'qtrP&amp;L'!$6:$6,0))</f>
        <v>338.01299999999998</v>
      </c>
      <c r="BQ37" s="343">
        <f>INDEX('qtrP&amp;L'!$207:$207,MATCH(BP$6,'qtrP&amp;L'!$6:$6,0))</f>
        <v>338.95400000000001</v>
      </c>
      <c r="BR37" s="343">
        <f>INDEX('qtrP&amp;L'!$208:$208,MATCH(BP$6,'qtrP&amp;L'!$6:$6,0))</f>
        <v>339.75099999999998</v>
      </c>
      <c r="BS37" s="343">
        <f>INDEX('qtrP&amp;L'!$209:$209,MATCH(BP$6,'qtrP&amp;L'!$6:$6,0))</f>
        <v>340.04300000000001</v>
      </c>
      <c r="BT37" s="343"/>
      <c r="BU37" s="343">
        <f>INDEX('qtrP&amp;L'!$206:$206,MATCH(BU$6,'qtrP&amp;L'!$6:$6,0))</f>
        <v>340.4</v>
      </c>
      <c r="BV37" s="343">
        <f>INDEX('qtrP&amp;L'!$207:$207,MATCH(BU$6,'qtrP&amp;L'!$6:$6,0))</f>
        <v>341.03</v>
      </c>
      <c r="BW37" s="343">
        <f>INDEX('qtrP&amp;L'!$208:$208,MATCH(BU$6,'qtrP&amp;L'!$6:$6,0))</f>
        <v>342.31200000000001</v>
      </c>
      <c r="BX37" s="343">
        <f>INDEX('qtrP&amp;L'!$209:$209,MATCH(BU$6,'qtrP&amp;L'!$6:$6,0))</f>
        <v>343.2</v>
      </c>
      <c r="BY37" s="343"/>
      <c r="BZ37" s="343">
        <f>INDEX('qtrP&amp;L'!$206:$206,MATCH(BZ$6,'qtrP&amp;L'!$6:$6,0))</f>
        <v>343.5</v>
      </c>
      <c r="CA37" s="343">
        <f>INDEX('qtrP&amp;L'!$207:$207,MATCH(BZ$6,'qtrP&amp;L'!$6:$6,0))</f>
        <v>344.06599999999997</v>
      </c>
      <c r="CB37" s="343">
        <f>INDEX('qtrP&amp;L'!$208:$208,MATCH(BZ$6,'qtrP&amp;L'!$6:$6,0))</f>
        <v>344.4</v>
      </c>
      <c r="CC37" s="343">
        <f>INDEX('qtrP&amp;L'!$209:$209,MATCH(BZ$6,'qtrP&amp;L'!$6:$6,0))</f>
        <v>344.7</v>
      </c>
      <c r="CD37" s="343"/>
      <c r="CE37" s="343">
        <f>INDEX('qtrP&amp;L'!$206:$206,MATCH(CE$6,'qtrP&amp;L'!$6:$6,0))</f>
        <v>345.27699999999999</v>
      </c>
      <c r="CF37" s="343">
        <f>INDEX('qtrP&amp;L'!$207:$207,MATCH(CE$6,'qtrP&amp;L'!$6:$6,0))</f>
        <v>333.39400000000001</v>
      </c>
      <c r="CG37" s="343">
        <f>INDEX('qtrP&amp;L'!$208:$208,MATCH(CE$6,'qtrP&amp;L'!$6:$6,0))</f>
        <v>326.89999999999998</v>
      </c>
      <c r="CH37" s="343">
        <f>INDEX('qtrP&amp;L'!$209:$209,MATCH(CE$6,'qtrP&amp;L'!$6:$6,0))</f>
        <v>324.5</v>
      </c>
      <c r="CI37" s="343"/>
      <c r="CJ37" s="343">
        <f>INDEX('qtrP&amp;L'!$206:$206,MATCH(CJ$6,'qtrP&amp;L'!$6:$6,0))</f>
        <v>321.8</v>
      </c>
      <c r="CK37" s="343">
        <f>INDEX('qtrP&amp;L'!$207:$207,MATCH(CJ$6,'qtrP&amp;L'!$6:$6,0))</f>
        <v>320.488</v>
      </c>
      <c r="CL37" s="343">
        <f>INDEX('qtrP&amp;L'!$208:$208,MATCH(CJ$6,'qtrP&amp;L'!$6:$6,0))</f>
        <v>316.89999999999998</v>
      </c>
      <c r="CM37" s="343">
        <f>INDEX('qtrP&amp;L'!$209:$209,MATCH(CJ$6,'qtrP&amp;L'!$6:$6,0))</f>
        <v>312.89999999999998</v>
      </c>
      <c r="CN37" s="343"/>
      <c r="CO37" s="343">
        <f>INDEX('qtrP&amp;L'!$206:$206,MATCH(CO$6,'qtrP&amp;L'!$6:$6,0))</f>
        <v>308.5</v>
      </c>
      <c r="CP37" s="343">
        <f>INDEX('qtrP&amp;L'!$207:$207,MATCH(CO$6,'qtrP&amp;L'!$6:$6,0))</f>
        <v>305.86599999999999</v>
      </c>
      <c r="CQ37" s="343">
        <f>INDEX('qtrP&amp;L'!$208:$208,MATCH(CO$6,'qtrP&amp;L'!$6:$6,0))</f>
        <v>306.3</v>
      </c>
      <c r="CR37" s="343">
        <f>INDEX('qtrP&amp;L'!$209:$209,MATCH(CO$6,'qtrP&amp;L'!$6:$6,0))</f>
        <v>305</v>
      </c>
      <c r="CS37" s="343"/>
      <c r="CT37" s="343">
        <f>INDEX('qtrP&amp;L'!$206:$206,MATCH(CT$6,'qtrP&amp;L'!$6:$6,0))</f>
        <v>305</v>
      </c>
      <c r="CU37" s="343">
        <f>INDEX('qtrP&amp;L'!$207:$207,MATCH(CT$6,'qtrP&amp;L'!$6:$6,0))</f>
        <v>305</v>
      </c>
      <c r="CV37" s="343">
        <f>INDEX('qtrP&amp;L'!$208:$208,MATCH(CT$6,'qtrP&amp;L'!$6:$6,0))</f>
        <v>305</v>
      </c>
      <c r="CW37" s="343">
        <f>INDEX('qtrP&amp;L'!$209:$209,MATCH(CT$6,'qtrP&amp;L'!$6:$6,0))</f>
        <v>306</v>
      </c>
      <c r="CX37" s="343"/>
      <c r="CY37" s="380">
        <f>INDEX('qtrP&amp;L'!$206:$206,MATCH(CY$6,'qtrP&amp;L'!$6:$6,0))</f>
        <v>307</v>
      </c>
      <c r="CZ37" s="380">
        <f>INDEX('qtrP&amp;L'!$207:$207,MATCH(CY$6,'qtrP&amp;L'!$6:$6,0))</f>
        <v>307</v>
      </c>
      <c r="DA37" s="380">
        <f>INDEX('qtrP&amp;L'!$208:$208,MATCH(CY$6,'qtrP&amp;L'!$6:$6,0))</f>
        <v>307</v>
      </c>
      <c r="DB37" s="380">
        <f>INDEX('qtrP&amp;L'!$209:$209,MATCH(CY$6,'qtrP&amp;L'!$6:$6,0))</f>
        <v>295</v>
      </c>
      <c r="DC37" s="380"/>
      <c r="DD37" s="380">
        <f>INDEX('qtrP&amp;L'!$206:$206,MATCH(DD$6,'qtrP&amp;L'!$6:$6,0))</f>
        <v>288</v>
      </c>
      <c r="DE37" s="380">
        <f>INDEX('qtrP&amp;L'!$207:$207,MATCH(DD$6,'qtrP&amp;L'!$6:$6,0))</f>
        <v>276</v>
      </c>
      <c r="DF37" s="380">
        <f>INDEX('qtrP&amp;L'!$208:$208,MATCH(DD$6,'qtrP&amp;L'!$6:$6,0))</f>
        <v>264</v>
      </c>
      <c r="DG37" s="380">
        <f>INDEX('qtrP&amp;L'!$209:$209,MATCH(DD$6,'qtrP&amp;L'!$6:$6,0))</f>
        <v>251</v>
      </c>
      <c r="DH37" s="380"/>
      <c r="DI37" s="380">
        <f>INDEX('qtrP&amp;L'!$206:$206,MATCH(DI$6,'qtrP&amp;L'!$6:$6,0))</f>
        <v>243</v>
      </c>
      <c r="DJ37" s="380">
        <f>INDEX('qtrP&amp;L'!$207:$207,MATCH(DI$6,'qtrP&amp;L'!$6:$6,0))</f>
        <v>238</v>
      </c>
      <c r="DK37" s="380">
        <f>INDEX('qtrP&amp;L'!$208:$208,MATCH(DI$6,'qtrP&amp;L'!$6:$6,0))</f>
        <v>233</v>
      </c>
      <c r="DL37" s="380">
        <f>INDEX('qtrP&amp;L'!$209:$209,MATCH(DI$6,'qtrP&amp;L'!$6:$6,0))</f>
        <v>227</v>
      </c>
      <c r="DM37" s="380"/>
      <c r="DN37" s="380">
        <f>INDEX('qtrP&amp;L'!$206:$206,MATCH(DN$6,'qtrP&amp;L'!$6:$6,0))</f>
        <v>221.5</v>
      </c>
      <c r="DO37" s="380">
        <f>INDEX('qtrP&amp;L'!$207:$207,MATCH(DN$6,'qtrP&amp;L'!$6:$6,0))</f>
        <v>219.5</v>
      </c>
      <c r="DP37" s="380">
        <f>INDEX('qtrP&amp;L'!$208:$208,MATCH(DN$6,'qtrP&amp;L'!$6:$6,0))</f>
        <v>216</v>
      </c>
      <c r="DQ37" s="380">
        <f>INDEX('qtrP&amp;L'!$209:$209,MATCH(DN$6,'qtrP&amp;L'!$6:$6,0))</f>
        <v>213</v>
      </c>
      <c r="DR37" s="380"/>
      <c r="DS37" s="380">
        <f>INDEX('qtrP&amp;L'!$206:$206,MATCH(DS$6,'qtrP&amp;L'!$6:$6,0))</f>
        <v>206</v>
      </c>
      <c r="DT37" s="380">
        <f>INDEX('qtrP&amp;L'!$207:$207,MATCH(DS$6,'qtrP&amp;L'!$6:$6,0))</f>
        <v>204</v>
      </c>
      <c r="DU37" s="380">
        <f>INDEX('qtrP&amp;L'!$208:$208,MATCH(DS$6,'qtrP&amp;L'!$6:$6,0))</f>
        <v>202</v>
      </c>
      <c r="DV37" s="380">
        <f>INDEX('qtrP&amp;L'!$209:$209,MATCH(DS$6,'qtrP&amp;L'!$6:$6,0))</f>
        <v>199</v>
      </c>
      <c r="DW37" s="380"/>
      <c r="DX37" s="380">
        <f>INDEX('qtrP&amp;L'!$206:$206,MATCH(DX$6,'qtrP&amp;L'!$6:$6,0))</f>
        <v>200</v>
      </c>
      <c r="DY37" s="380">
        <f>INDEX('qtrP&amp;L'!$207:$207,MATCH(DX$6,'qtrP&amp;L'!$6:$6,0))</f>
        <v>196</v>
      </c>
      <c r="DZ37" s="380">
        <f>INDEX('qtrP&amp;L'!$208:$208,MATCH(DX$6,'qtrP&amp;L'!$6:$6,0))</f>
        <v>192</v>
      </c>
      <c r="EA37" s="380">
        <f>INDEX('qtrP&amp;L'!$209:$209,MATCH(DX$6,'qtrP&amp;L'!$6:$6,0))</f>
        <v>187</v>
      </c>
      <c r="EB37" s="380"/>
      <c r="EC37" s="380">
        <f>INDEX('qtrP&amp;L'!$206:$206,MATCH(EC$6,'qtrP&amp;L'!$6:$6,0))</f>
        <v>183</v>
      </c>
      <c r="ED37" s="380">
        <f>INDEX('qtrP&amp;L'!$207:$207,MATCH(EC$6,'qtrP&amp;L'!$6:$6,0))</f>
        <v>180</v>
      </c>
      <c r="EE37" s="380">
        <f>INDEX('qtrP&amp;L'!$208:$208,MATCH(EC$6,'qtrP&amp;L'!$6:$6,0))</f>
        <v>177</v>
      </c>
      <c r="EF37" s="380">
        <f>INDEX('qtrP&amp;L'!$209:$209,MATCH(EC$6,'qtrP&amp;L'!$6:$6,0))</f>
        <v>174</v>
      </c>
      <c r="EG37" s="305"/>
      <c r="EH37" s="380">
        <f>INDEX('qtrP&amp;L'!$206:$206,MATCH(EH$6,'qtrP&amp;L'!$6:$6,0))</f>
        <v>170</v>
      </c>
      <c r="EI37" s="380">
        <f>INDEX('qtrP&amp;L'!$207:$207,MATCH(EH$6,'qtrP&amp;L'!$6:$6,0))</f>
        <v>168</v>
      </c>
      <c r="EJ37" s="380">
        <f>INDEX('qtrP&amp;L'!$208:$208,MATCH(EH$6,'qtrP&amp;L'!$6:$6,0))</f>
        <v>166</v>
      </c>
      <c r="EK37" s="380">
        <f>INDEX('qtrP&amp;L'!$209:$209,MATCH(EH$6,'qtrP&amp;L'!$6:$6,0))</f>
        <v>165</v>
      </c>
      <c r="EL37" s="380"/>
      <c r="EM37" s="1201">
        <f>INDEX('qtrP&amp;L'!$206:$206,MATCH(EM$6,'qtrP&amp;L'!$6:$6,0))</f>
        <v>164.43856060606061</v>
      </c>
      <c r="EN37" s="1201">
        <f>INDEX('qtrP&amp;L'!$207:$207,MATCH(EM$6,'qtrP&amp;L'!$6:$6,0))</f>
        <v>162.77189393939392</v>
      </c>
      <c r="EO37" s="1201">
        <f>INDEX('qtrP&amp;L'!$208:$208,MATCH(EM$6,'qtrP&amp;L'!$6:$6,0))</f>
        <v>161.60522727272729</v>
      </c>
      <c r="EP37" s="1201">
        <f>INDEX('qtrP&amp;L'!$209:$209,MATCH(EM$6,'qtrP&amp;L'!$6:$6,0))</f>
        <v>161.35522727272729</v>
      </c>
      <c r="EQ37" s="380">
        <f>INDEX('qtrP&amp;L'!$210:$210,MATCH(EQ$6,'qtrP&amp;L'!$6:$6,0))</f>
        <v>213.376</v>
      </c>
      <c r="ER37" s="380">
        <f>INDEX('qtrP&amp;L'!$210:$210,MATCH(ER$6,'qtrP&amp;L'!$6:$6,0))</f>
        <v>213.04</v>
      </c>
      <c r="ES37" s="380">
        <f>INDEX('qtrP&amp;L'!$210:$210,MATCH(ES$6,'qtrP&amp;L'!$6:$6,0))</f>
        <v>261.262</v>
      </c>
      <c r="ET37" s="380">
        <f>INDEX('qtrP&amp;L'!$210:$210,MATCH(ET$6,'qtrP&amp;L'!$6:$6,0))</f>
        <v>293.048</v>
      </c>
      <c r="EU37" s="380">
        <f>INDEX('qtrP&amp;L'!$210:$210,MATCH(EU$6,'qtrP&amp;L'!$6:$6,0))</f>
        <v>293.63799999999998</v>
      </c>
      <c r="EV37" s="380">
        <f>INDEX('qtrP&amp;L'!$210:$210,MATCH(EV$6,'qtrP&amp;L'!$6:$6,0))</f>
        <v>294.33199999999999</v>
      </c>
      <c r="EW37" s="380">
        <f>INDEX('qtrP&amp;L'!$210:$210,MATCH(EW$6,'qtrP&amp;L'!$6:$6,0))</f>
        <v>226.4</v>
      </c>
      <c r="EX37" s="380">
        <f>INDEX('qtrP&amp;L'!$210:$210,MATCH(EX$6,'qtrP&amp;L'!$6:$6,0))</f>
        <v>247.375</v>
      </c>
      <c r="EY37" s="380">
        <f>INDEX('qtrP&amp;L'!$210:$210,MATCH(EY$6,'qtrP&amp;L'!$6:$6,0))</f>
        <v>252.25</v>
      </c>
      <c r="EZ37" s="380">
        <f>INDEX('qtrP&amp;L'!$210:$210,MATCH(EZ$6,'qtrP&amp;L'!$6:$6,0))</f>
        <v>259.39999999999998</v>
      </c>
      <c r="FA37" s="380">
        <f>INDEX('qtrP&amp;L'!$210:$210,MATCH(FA$6,'qtrP&amp;L'!$6:$6,0))</f>
        <v>261.8</v>
      </c>
      <c r="FB37" s="380">
        <f>INDEX('qtrP&amp;L'!$210:$210,MATCH(FB$6,'qtrP&amp;L'!$6:$6,0))</f>
        <v>267</v>
      </c>
      <c r="FC37" s="380">
        <f>INDEX('qtrP&amp;L'!$210:$210,MATCH(FC$6,'qtrP&amp;L'!$6:$6,0))</f>
        <v>269</v>
      </c>
      <c r="FD37" s="380">
        <f>INDEX('qtrP&amp;L'!$210:$210,MATCH(FD$6,'qtrP&amp;L'!$6:$6,0))</f>
        <v>274</v>
      </c>
      <c r="FE37" s="380">
        <f>INDEX('qtrP&amp;L'!$210:$210,MATCH(FE$6,'qtrP&amp;L'!$6:$6,0))</f>
        <v>271.39999999999998</v>
      </c>
      <c r="FF37" s="380">
        <f>INDEX('qtrP&amp;L'!$210:$210,MATCH(FF$6,'qtrP&amp;L'!$6:$6,0))</f>
        <v>232.9</v>
      </c>
      <c r="FG37" s="380">
        <f>INDEX('qtrP&amp;L'!$210:$210,MATCH(FG$6,'qtrP&amp;L'!$6:$6,0))</f>
        <v>225.5</v>
      </c>
      <c r="FH37" s="381">
        <f>INDEX('qtrP&amp;L'!$210:$210,MATCH(FH$6,'qtrP&amp;L'!$6:$6,0))</f>
        <v>221.7</v>
      </c>
      <c r="FI37" s="380">
        <f>INDEX('qtrP&amp;L'!$210:$210,MATCH(FI$6,'qtrP&amp;L'!$6:$6,0))</f>
        <v>222.258048</v>
      </c>
      <c r="FJ37" s="380">
        <f>INDEX('qtrP&amp;L'!$210:$210,MATCH(FJ$6,'qtrP&amp;L'!$6:$6,0))</f>
        <v>236</v>
      </c>
      <c r="FK37" s="1260"/>
      <c r="FL37" s="380">
        <f>INDEX('qtrP&amp;L'!$210:$210,MATCH(FL$6,'qtrP&amp;L'!$6:$6,0))</f>
        <v>237</v>
      </c>
      <c r="FM37" s="380">
        <f>INDEX('qtrP&amp;L'!$210:$210,MATCH(FM$6,'qtrP&amp;L'!$6:$6,0))</f>
        <v>215.9</v>
      </c>
      <c r="FN37" s="380">
        <f>INDEX('qtrP&amp;L'!$210:$210,MATCH(FN$6,'qtrP&amp;L'!$6:$6,0))</f>
        <v>235</v>
      </c>
      <c r="FO37" s="380">
        <f>INDEX('qtrP&amp;L'!$210:$210,MATCH(FO$6,'qtrP&amp;L'!$6:$6,0))</f>
        <v>218</v>
      </c>
      <c r="FP37" s="380">
        <f>INDEX('qtrP&amp;L'!$210:$210,MATCH(FP$6,'qtrP&amp;L'!$6:$6,0))</f>
        <v>203</v>
      </c>
      <c r="FQ37" s="380">
        <f>INDEX('qtrP&amp;L'!$210:$210,MATCH(FQ$6,'qtrP&amp;L'!$6:$6,0))</f>
        <v>193.75</v>
      </c>
      <c r="FR37" s="380">
        <f>INDEX('qtrP&amp;L'!$210:$210,MATCH(FR$6,'qtrP&amp;L'!$6:$6,0))</f>
        <v>178.5</v>
      </c>
      <c r="FS37" s="380">
        <f>INDEX('qtrP&amp;L'!$210:$210,MATCH(FS$6,'qtrP&amp;L'!$6:$6,0))</f>
        <v>167</v>
      </c>
      <c r="FT37" s="380">
        <f>INDEX('qtrP&amp;L'!$210:$210,MATCH(FT$6,'qtrP&amp;L'!$6:$6,0))</f>
        <v>162.54272727272729</v>
      </c>
      <c r="FU37" s="1223">
        <f>AVERAGE(FT38:FU38)</f>
        <v>159.90825757575757</v>
      </c>
      <c r="FV37" s="1224">
        <f>AVERAGE(FU38:FV38)</f>
        <v>155.34765151515151</v>
      </c>
      <c r="FW37" s="1223">
        <f>AVERAGE(FV38:FW38)</f>
        <v>149.28704545454545</v>
      </c>
      <c r="FX37" s="1224">
        <f>AVERAGE(FW38:FX38)</f>
        <v>143.22643939393939</v>
      </c>
    </row>
    <row r="38" spans="1:191" hidden="1" outlineLevel="1" x14ac:dyDescent="0.2">
      <c r="A38" s="334" t="s">
        <v>189</v>
      </c>
      <c r="B38" s="305"/>
      <c r="C38" s="383" t="s">
        <v>271</v>
      </c>
      <c r="D38" s="383" t="s">
        <v>271</v>
      </c>
      <c r="E38" s="383" t="s">
        <v>271</v>
      </c>
      <c r="F38" s="383" t="s">
        <v>271</v>
      </c>
      <c r="G38" s="343"/>
      <c r="H38" s="383" t="s">
        <v>271</v>
      </c>
      <c r="I38" s="383" t="s">
        <v>271</v>
      </c>
      <c r="J38" s="383" t="s">
        <v>271</v>
      </c>
      <c r="K38" s="383" t="s">
        <v>271</v>
      </c>
      <c r="L38" s="343"/>
      <c r="M38" s="383" t="s">
        <v>271</v>
      </c>
      <c r="N38" s="383" t="s">
        <v>271</v>
      </c>
      <c r="O38" s="383" t="s">
        <v>271</v>
      </c>
      <c r="P38" s="383" t="s">
        <v>271</v>
      </c>
      <c r="Q38" s="343"/>
      <c r="R38" s="383" t="s">
        <v>271</v>
      </c>
      <c r="S38" s="383" t="s">
        <v>271</v>
      </c>
      <c r="T38" s="383" t="s">
        <v>271</v>
      </c>
      <c r="U38" s="383" t="s">
        <v>271</v>
      </c>
      <c r="V38" s="343"/>
      <c r="W38" s="383" t="s">
        <v>271</v>
      </c>
      <c r="X38" s="383" t="s">
        <v>271</v>
      </c>
      <c r="Y38" s="383" t="s">
        <v>271</v>
      </c>
      <c r="Z38" s="383" t="s">
        <v>271</v>
      </c>
      <c r="AA38" s="343"/>
      <c r="AB38" s="383" t="s">
        <v>271</v>
      </c>
      <c r="AC38" s="383" t="s">
        <v>271</v>
      </c>
      <c r="AD38" s="383" t="s">
        <v>271</v>
      </c>
      <c r="AE38" s="383" t="s">
        <v>271</v>
      </c>
      <c r="AF38" s="343"/>
      <c r="AG38" s="383" t="s">
        <v>271</v>
      </c>
      <c r="AH38" s="383" t="s">
        <v>271</v>
      </c>
      <c r="AI38" s="383" t="s">
        <v>271</v>
      </c>
      <c r="AJ38" s="383" t="s">
        <v>271</v>
      </c>
      <c r="AK38" s="343"/>
      <c r="AL38" s="383" t="s">
        <v>271</v>
      </c>
      <c r="AM38" s="383" t="s">
        <v>271</v>
      </c>
      <c r="AN38" s="383" t="s">
        <v>271</v>
      </c>
      <c r="AO38" s="383" t="s">
        <v>271</v>
      </c>
      <c r="AP38" s="343"/>
      <c r="AQ38" s="383" t="s">
        <v>271</v>
      </c>
      <c r="AR38" s="383" t="s">
        <v>271</v>
      </c>
      <c r="AS38" s="383" t="s">
        <v>271</v>
      </c>
      <c r="AT38" s="383" t="s">
        <v>271</v>
      </c>
      <c r="AU38" s="343"/>
      <c r="AV38" s="383" t="s">
        <v>271</v>
      </c>
      <c r="AW38" s="383" t="s">
        <v>271</v>
      </c>
      <c r="AX38" s="383" t="s">
        <v>271</v>
      </c>
      <c r="AY38" s="383" t="s">
        <v>271</v>
      </c>
      <c r="AZ38" s="343"/>
      <c r="BA38" s="383" t="s">
        <v>271</v>
      </c>
      <c r="BB38" s="383" t="s">
        <v>271</v>
      </c>
      <c r="BC38" s="383" t="s">
        <v>271</v>
      </c>
      <c r="BD38" s="383" t="s">
        <v>271</v>
      </c>
      <c r="BE38" s="343"/>
      <c r="BF38" s="343">
        <f>INDEX('qtrP&amp;L'!$198:$198,MATCH(BF$6,'qtrP&amp;L'!$6:$6,0))</f>
        <v>334.39</v>
      </c>
      <c r="BG38" s="343">
        <f>INDEX('qtrP&amp;L'!$199:$199,MATCH(BF$6,'qtrP&amp;L'!$6:$6,0))</f>
        <v>334.6</v>
      </c>
      <c r="BH38" s="343">
        <f>INDEX('qtrP&amp;L'!$200:$200,MATCH(BF$6,'qtrP&amp;L'!$6:$6,0))</f>
        <v>334.95499999999998</v>
      </c>
      <c r="BI38" s="343">
        <f>INDEX('qtrP&amp;L'!$202:$202,MATCH(BF$6,'qtrP&amp;L'!$6:$6,0))</f>
        <v>335.13799999999998</v>
      </c>
      <c r="BJ38" s="343"/>
      <c r="BK38" s="343">
        <f>INDEX('qtrP&amp;L'!$198:$198,MATCH(BK$6,'qtrP&amp;L'!$6:$6,0))</f>
        <v>336.66</v>
      </c>
      <c r="BL38" s="343">
        <f>INDEX('qtrP&amp;L'!$199:$199,MATCH(BK$6,'qtrP&amp;L'!$6:$6,0))</f>
        <v>336.92</v>
      </c>
      <c r="BM38" s="343">
        <f>INDEX('qtrP&amp;L'!$200:$200,MATCH(BK$6,'qtrP&amp;L'!$6:$6,0))</f>
        <v>337.18</v>
      </c>
      <c r="BN38" s="343">
        <f>INDEX('qtrP&amp;L'!$202:$202,MATCH(BK$6,'qtrP&amp;L'!$6:$6,0))</f>
        <v>337.322</v>
      </c>
      <c r="BO38" s="343"/>
      <c r="BP38" s="343">
        <f>INDEX('qtrP&amp;L'!$198:$198,MATCH(BP$6,'qtrP&amp;L'!$6:$6,0))</f>
        <v>338.83</v>
      </c>
      <c r="BQ38" s="343">
        <f>INDEX('qtrP&amp;L'!$199:$199,MATCH(BP$6,'qtrP&amp;L'!$6:$6,0))</f>
        <v>339.47</v>
      </c>
      <c r="BR38" s="343">
        <f>INDEX('qtrP&amp;L'!$200:$200,MATCH(BP$6,'qtrP&amp;L'!$6:$6,0))</f>
        <v>340.01</v>
      </c>
      <c r="BS38" s="343">
        <f>INDEX('qtrP&amp;L'!$202:$202,MATCH(BP$6,'qtrP&amp;L'!$6:$6,0))</f>
        <v>340.14100000000002</v>
      </c>
      <c r="BT38" s="343"/>
      <c r="BU38" s="343">
        <f>INDEX('qtrP&amp;L'!$198:$198,MATCH(BU$6,'qtrP&amp;L'!$6:$6,0))</f>
        <v>340.99123200000002</v>
      </c>
      <c r="BV38" s="343">
        <f>INDEX('qtrP&amp;L'!$199:$199,MATCH(BU$6,'qtrP&amp;L'!$6:$6,0))</f>
        <v>341.3</v>
      </c>
      <c r="BW38" s="343">
        <f>INDEX('qtrP&amp;L'!$200:$200,MATCH(BU$6,'qtrP&amp;L'!$6:$6,0))</f>
        <v>343</v>
      </c>
      <c r="BX38" s="343">
        <f>INDEX('qtrP&amp;L'!$202:$202,MATCH(BU$6,'qtrP&amp;L'!$6:$6,0))</f>
        <v>343.39833099999998</v>
      </c>
      <c r="BY38" s="343"/>
      <c r="BZ38" s="343">
        <f>INDEX('qtrP&amp;L'!$198:$198,MATCH(BZ$6,'qtrP&amp;L'!$6:$6,0))</f>
        <v>343.78117900000001</v>
      </c>
      <c r="CA38" s="343">
        <f>INDEX('qtrP&amp;L'!$199:$199,MATCH(BZ$6,'qtrP&amp;L'!$6:$6,0))</f>
        <v>346.77199999999999</v>
      </c>
      <c r="CB38" s="343">
        <f>INDEX('qtrP&amp;L'!$200:$200,MATCH(BZ$6,'qtrP&amp;L'!$6:$6,0))</f>
        <v>344.75268599999998</v>
      </c>
      <c r="CC38" s="343">
        <f>INDEX('qtrP&amp;L'!$202:$202,MATCH(BZ$6,'qtrP&amp;L'!$6:$6,0))</f>
        <v>345.475525</v>
      </c>
      <c r="CD38" s="343"/>
      <c r="CE38" s="343">
        <f>INDEX('qtrP&amp;L'!$198:$198,MATCH(CE$6,'qtrP&amp;L'!$6:$6,0))</f>
        <v>340.443487</v>
      </c>
      <c r="CF38" s="343">
        <f>INDEX('qtrP&amp;L'!$199:$199,MATCH(CE$6,'qtrP&amp;L'!$6:$6,0))</f>
        <v>326.89999999999998</v>
      </c>
      <c r="CG38" s="343">
        <f>INDEX('qtrP&amp;L'!$200:$200,MATCH(CE$6,'qtrP&amp;L'!$6:$6,0))</f>
        <v>327.02123999999998</v>
      </c>
      <c r="CH38" s="343">
        <f>INDEX('qtrP&amp;L'!$202:$202,MATCH(CE$6,'qtrP&amp;L'!$6:$6,0))</f>
        <v>321.12630899999999</v>
      </c>
      <c r="CI38" s="343"/>
      <c r="CJ38" s="343">
        <f>INDEX('qtrP&amp;L'!$198:$198,MATCH(CJ$6,'qtrP&amp;L'!$6:$6,0))</f>
        <v>322.62593600000002</v>
      </c>
      <c r="CK38" s="343">
        <f>INDEX('qtrP&amp;L'!$199:$199,MATCH(CJ$6,'qtrP&amp;L'!$6:$6,0))</f>
        <v>317.8</v>
      </c>
      <c r="CL38" s="343">
        <f>INDEX('qtrP&amp;L'!$200:$200,MATCH(CJ$6,'qtrP&amp;L'!$6:$6,0))</f>
        <v>313.67069099999998</v>
      </c>
      <c r="CM38" s="343">
        <f>INDEX('qtrP&amp;L'!$202:$202,MATCH(CJ$6,'qtrP&amp;L'!$6:$6,0))</f>
        <v>312.39999999999998</v>
      </c>
      <c r="CN38" s="343"/>
      <c r="CO38" s="343">
        <f>INDEX('qtrP&amp;L'!$198:$198,MATCH(CO$6,'qtrP&amp;L'!$6:$6,0))</f>
        <v>306.72314399999999</v>
      </c>
      <c r="CP38" s="343">
        <f>INDEX('qtrP&amp;L'!$199:$199,MATCH(CO$6,'qtrP&amp;L'!$6:$6,0))</f>
        <v>304.55726700000002</v>
      </c>
      <c r="CQ38" s="343">
        <f>INDEX('qtrP&amp;L'!$200:$200,MATCH(CO$6,'qtrP&amp;L'!$6:$6,0))</f>
        <v>304.71803</v>
      </c>
      <c r="CR38" s="343">
        <f>INDEX('qtrP&amp;L'!$202:$202,MATCH(CO$6,'qtrP&amp;L'!$6:$6,0))</f>
        <v>304.716297</v>
      </c>
      <c r="CS38" s="343"/>
      <c r="CT38" s="343">
        <f>INDEX('qtrP&amp;L'!$198:$198,MATCH(CT$6,'qtrP&amp;L'!$6:$6,0))</f>
        <v>305.38732099999999</v>
      </c>
      <c r="CU38" s="343">
        <f>INDEX('qtrP&amp;L'!$199:$199,MATCH(CT$6,'qtrP&amp;L'!$6:$6,0))</f>
        <v>305.58220799999998</v>
      </c>
      <c r="CV38" s="343">
        <f>INDEX('qtrP&amp;L'!$200:$200,MATCH(CT$6,'qtrP&amp;L'!$6:$6,0))</f>
        <v>305</v>
      </c>
      <c r="CW38" s="343">
        <f>INDEX('qtrP&amp;L'!$202:$202,MATCH(CT$6,'qtrP&amp;L'!$6:$6,0))</f>
        <v>306.97399999999999</v>
      </c>
      <c r="CX38" s="343"/>
      <c r="CY38" s="384">
        <f>INDEX('qtrP&amp;L'!$198:$198,MATCH(CY$6,'qtrP&amp;L'!$6:$6,0))</f>
        <v>307.91899999999998</v>
      </c>
      <c r="CZ38" s="384">
        <f>INDEX('qtrP&amp;L'!$199:$199,MATCH(CY$6,'qtrP&amp;L'!$6:$6,0))</f>
        <v>307.99140399999999</v>
      </c>
      <c r="DA38" s="384">
        <f>INDEX('qtrP&amp;L'!$200:$200,MATCH(CY$6,'qtrP&amp;L'!$6:$6,0))</f>
        <v>307.97217323076922</v>
      </c>
      <c r="DB38" s="384">
        <f>INDEX('qtrP&amp;L'!$202:$202,MATCH(CY$6,'qtrP&amp;L'!$6:$6,0))</f>
        <v>291</v>
      </c>
      <c r="DC38" s="384"/>
      <c r="DD38" s="384">
        <f>INDEX('qtrP&amp;L'!$198:$198,MATCH(DD$6,'qtrP&amp;L'!$6:$6,0))</f>
        <v>281.08931100000001</v>
      </c>
      <c r="DE38" s="384">
        <f>INDEX('qtrP&amp;L'!$199:$199,MATCH(DD$6,'qtrP&amp;L'!$6:$6,0))</f>
        <v>269</v>
      </c>
      <c r="DF38" s="384">
        <f>INDEX('qtrP&amp;L'!$200:$200,MATCH(DD$6,'qtrP&amp;L'!$6:$6,0))</f>
        <v>253.430813</v>
      </c>
      <c r="DG38" s="384">
        <f>INDEX('qtrP&amp;L'!$202:$202,MATCH(DD$6,'qtrP&amp;L'!$6:$6,0))</f>
        <v>247</v>
      </c>
      <c r="DH38" s="384"/>
      <c r="DI38" s="384">
        <f>INDEX('qtrP&amp;L'!$198:$198,MATCH(DI$6,'qtrP&amp;L'!$6:$6,0))</f>
        <v>242</v>
      </c>
      <c r="DJ38" s="384">
        <f>INDEX('qtrP&amp;L'!$199:$199,MATCH(DI$6,'qtrP&amp;L'!$6:$6,0))</f>
        <v>235</v>
      </c>
      <c r="DK38" s="384">
        <f>INDEX('qtrP&amp;L'!$200:$200,MATCH(DI$6,'qtrP&amp;L'!$6:$6,0))</f>
        <v>231</v>
      </c>
      <c r="DL38" s="384">
        <f>INDEX('qtrP&amp;L'!$202:$202,MATCH(DI$6,'qtrP&amp;L'!$6:$6,0))</f>
        <v>222</v>
      </c>
      <c r="DM38" s="384"/>
      <c r="DN38" s="384">
        <f>INDEX('qtrP&amp;L'!$198:$198,MATCH(DN$6,'qtrP&amp;L'!$6:$6,0))</f>
        <v>221</v>
      </c>
      <c r="DO38" s="384">
        <f>INDEX('qtrP&amp;L'!$199:$199,MATCH(DN$6,'qtrP&amp;L'!$6:$6,0))</f>
        <v>218</v>
      </c>
      <c r="DP38" s="384">
        <f>INDEX('qtrP&amp;L'!$200:$200,MATCH(DN$6,'qtrP&amp;L'!$6:$6,0))</f>
        <v>214</v>
      </c>
      <c r="DQ38" s="384">
        <f>INDEX('qtrP&amp;L'!$202:$202,MATCH(DN$6,'qtrP&amp;L'!$6:$6,0))</f>
        <v>211</v>
      </c>
      <c r="DR38" s="384"/>
      <c r="DS38" s="384">
        <f>INDEX('qtrP&amp;L'!$198:$198,MATCH(DS$6,'qtrP&amp;L'!$6:$6,0))</f>
        <v>208</v>
      </c>
      <c r="DT38" s="384">
        <f>INDEX('qtrP&amp;L'!$199:$199,MATCH(DS$6,'qtrP&amp;L'!$6:$6,0))</f>
        <v>203.7</v>
      </c>
      <c r="DU38" s="384">
        <f>INDEX('qtrP&amp;L'!$200:$200,MATCH(DS$6,'qtrP&amp;L'!$6:$6,0))</f>
        <v>200.84545454545454</v>
      </c>
      <c r="DV38" s="384">
        <f>INDEX('qtrP&amp;L'!$202:$202,MATCH(DS$6,'qtrP&amp;L'!$6:$6,0))</f>
        <v>199.17272727272726</v>
      </c>
      <c r="DW38" s="384"/>
      <c r="DX38" s="384">
        <f>INDEX('qtrP&amp;L'!$198:$198,MATCH(DX$6,'qtrP&amp;L'!$6:$6,0))</f>
        <v>197.07272727272726</v>
      </c>
      <c r="DY38" s="384">
        <f>INDEX('qtrP&amp;L'!$199:$199,MATCH(DX$6,'qtrP&amp;L'!$6:$6,0))</f>
        <v>191.07272727272726</v>
      </c>
      <c r="DZ38" s="384">
        <f>INDEX('qtrP&amp;L'!$200:$200,MATCH(DX$6,'qtrP&amp;L'!$6:$6,0))</f>
        <v>186.07272727272726</v>
      </c>
      <c r="EA38" s="384">
        <f>INDEX('qtrP&amp;L'!$202:$202,MATCH(DX$6,'qtrP&amp;L'!$6:$6,0))</f>
        <v>182.29272727272726</v>
      </c>
      <c r="EB38" s="384"/>
      <c r="EC38" s="384">
        <f>INDEX('qtrP&amp;L'!$198:$198,MATCH(EC$6,'qtrP&amp;L'!$6:$6,0))</f>
        <v>179.49272727272725</v>
      </c>
      <c r="ED38" s="384">
        <f>INDEX('qtrP&amp;L'!$199:$199,MATCH(EC$6,'qtrP&amp;L'!$6:$6,0))</f>
        <v>175.79272727272726</v>
      </c>
      <c r="EE38" s="384">
        <f>INDEX('qtrP&amp;L'!$200:$200,MATCH(EC$6,'qtrP&amp;L'!$6:$6,0))</f>
        <v>172.79272727272726</v>
      </c>
      <c r="EF38" s="384">
        <f>INDEX('qtrP&amp;L'!$202:$202,MATCH(EC$6,'qtrP&amp;L'!$6:$6,0))</f>
        <v>171.02189393939392</v>
      </c>
      <c r="EG38" s="305"/>
      <c r="EH38" s="384">
        <f>INDEX('qtrP&amp;L'!$198:$198,MATCH(EH$6,'qtrP&amp;L'!$6:$6,0))</f>
        <v>167.02189393939392</v>
      </c>
      <c r="EI38" s="384">
        <f>INDEX('qtrP&amp;L'!$199:$199,MATCH(EH$6,'qtrP&amp;L'!$6:$6,0))</f>
        <v>164.62189393939391</v>
      </c>
      <c r="EJ38" s="384">
        <f>INDEX('qtrP&amp;L'!$200:$200,MATCH(EH$6,'qtrP&amp;L'!$6:$6,0))</f>
        <v>164.62189393939391</v>
      </c>
      <c r="EK38" s="384">
        <f>INDEX('qtrP&amp;L'!$202:$202,MATCH(EH$6,'qtrP&amp;L'!$6:$6,0))</f>
        <v>165.27189393939392</v>
      </c>
      <c r="EL38" s="384"/>
      <c r="EM38" s="1202">
        <f>INDEX('qtrP&amp;L'!$198:$198,MATCH(EM$6,'qtrP&amp;L'!$6:$6,0))</f>
        <v>163.60522727272726</v>
      </c>
      <c r="EN38" s="1202">
        <f>INDEX('qtrP&amp;L'!$199:$199,MATCH(EM$6,'qtrP&amp;L'!$6:$6,0))</f>
        <v>161.93856060606061</v>
      </c>
      <c r="EO38" s="1202">
        <f>INDEX('qtrP&amp;L'!$200:$200,MATCH(EM$6,'qtrP&amp;L'!$6:$6,0))</f>
        <v>161.27189393939395</v>
      </c>
      <c r="EP38" s="1202">
        <f>INDEX('qtrP&amp;L'!$202:$202,MATCH(EM$6,'qtrP&amp;L'!$6:$6,0))</f>
        <v>161.43856060606061</v>
      </c>
      <c r="EQ38" s="384">
        <f>INDEX('qtrP&amp;L'!$202:$202,MATCH(EQ$6,'qtrP&amp;L'!$6:$6,0))</f>
        <v>0</v>
      </c>
      <c r="ER38" s="384">
        <f>INDEX('qtrP&amp;L'!$202:$202,MATCH(ER$6,'qtrP&amp;L'!$6:$6,0))</f>
        <v>0</v>
      </c>
      <c r="ES38" s="384">
        <f>INDEX('qtrP&amp;L'!$202:$202,MATCH(ES$6,'qtrP&amp;L'!$6:$6,0))</f>
        <v>0</v>
      </c>
      <c r="ET38" s="384">
        <f>INDEX('qtrP&amp;L'!$202:$202,MATCH(ET$6,'qtrP&amp;L'!$6:$6,0))</f>
        <v>0</v>
      </c>
      <c r="EU38" s="384">
        <f>INDEX('qtrP&amp;L'!$202:$202,MATCH(EU$6,'qtrP&amp;L'!$6:$6,0))</f>
        <v>0</v>
      </c>
      <c r="EV38" s="384">
        <f>INDEX('qtrP&amp;L'!$202:$202,MATCH(EV$6,'qtrP&amp;L'!$6:$6,0))</f>
        <v>0</v>
      </c>
      <c r="EW38" s="384">
        <f>INDEX('qtrP&amp;L'!$202:$202,MATCH(EW$6,'qtrP&amp;L'!$6:$6,0))</f>
        <v>0</v>
      </c>
      <c r="EX38" s="384">
        <f>INDEX('qtrP&amp;L'!$202:$202,MATCH(EX$6,'qtrP&amp;L'!$6:$6,0))</f>
        <v>0</v>
      </c>
      <c r="EY38" s="384">
        <f>INDEX('qtrP&amp;L'!$202:$202,MATCH(EY$6,'qtrP&amp;L'!$6:$6,0))</f>
        <v>0</v>
      </c>
      <c r="EZ38" s="384">
        <f>INDEX('qtrP&amp;L'!$202:$202,MATCH(EZ$6,'qtrP&amp;L'!$6:$6,0))</f>
        <v>0</v>
      </c>
      <c r="FA38" s="384">
        <f>INDEX('qtrP&amp;L'!$202:$202,MATCH(FA$6,'qtrP&amp;L'!$6:$6,0))</f>
        <v>0</v>
      </c>
      <c r="FB38" s="384">
        <f>INDEX('qtrP&amp;L'!$202:$202,MATCH(FB$6,'qtrP&amp;L'!$6:$6,0))</f>
        <v>335.13799999999998</v>
      </c>
      <c r="FC38" s="384">
        <f>INDEX('qtrP&amp;L'!$202:$202,MATCH(FC$6,'qtrP&amp;L'!$6:$6,0))</f>
        <v>337.322</v>
      </c>
      <c r="FD38" s="384">
        <f>INDEX('qtrP&amp;L'!$202:$202,MATCH(FD$6,'qtrP&amp;L'!$6:$6,0))</f>
        <v>340.14100000000002</v>
      </c>
      <c r="FE38" s="384">
        <f>INDEX('qtrP&amp;L'!$202:$202,MATCH(FE$6,'qtrP&amp;L'!$6:$6,0))</f>
        <v>343.39833099999998</v>
      </c>
      <c r="FF38" s="384">
        <f>INDEX('qtrP&amp;L'!$202:$202,MATCH(FF$6,'qtrP&amp;L'!$6:$6,0))</f>
        <v>345.475525</v>
      </c>
      <c r="FG38" s="384">
        <f>INDEX('qtrP&amp;L'!$202:$202,MATCH(FG$6,'qtrP&amp;L'!$6:$6,0))</f>
        <v>321.12630899999999</v>
      </c>
      <c r="FH38" s="385">
        <f>INDEX('qtrP&amp;L'!$202:$202,MATCH(FH$6,'qtrP&amp;L'!$6:$6,0))</f>
        <v>312.39999999999998</v>
      </c>
      <c r="FI38" s="384">
        <f>INDEX('qtrP&amp;L'!$202:$202,MATCH(FI$6,'qtrP&amp;L'!$6:$6,0))</f>
        <v>304.716297</v>
      </c>
      <c r="FJ38" s="384">
        <f>INDEX('qtrP&amp;L'!$202:$202,MATCH(FJ$6,'qtrP&amp;L'!$6:$6,0))</f>
        <v>306.97399999999999</v>
      </c>
      <c r="FK38" s="1261"/>
      <c r="FL38" s="384">
        <f>INDEX('qtrP&amp;L'!$202:$202,MATCH(FL$6,'qtrP&amp;L'!$6:$6,0))</f>
        <v>291</v>
      </c>
      <c r="FM38" s="384">
        <f>INDEX('qtrP&amp;L'!$202:$202,MATCH(FM$6,'qtrP&amp;L'!$6:$6,0))</f>
        <v>247</v>
      </c>
      <c r="FN38" s="384">
        <f>INDEX('qtrP&amp;L'!$202:$202,MATCH(FN$6,'qtrP&amp;L'!$6:$6,0))</f>
        <v>222</v>
      </c>
      <c r="FO38" s="384">
        <f>INDEX('qtrP&amp;L'!$202:$202,MATCH(FO$6,'qtrP&amp;L'!$6:$6,0))</f>
        <v>211</v>
      </c>
      <c r="FP38" s="384">
        <f>INDEX('qtrP&amp;L'!$202:$202,MATCH(FP$6,'qtrP&amp;L'!$6:$6,0))</f>
        <v>199.17272727272726</v>
      </c>
      <c r="FQ38" s="384">
        <f>INDEX('qtrP&amp;L'!$202:$202,MATCH(FQ$6,'qtrP&amp;L'!$6:$6,0))</f>
        <v>182.29272727272726</v>
      </c>
      <c r="FR38" s="384">
        <f>INDEX('qtrP&amp;L'!$202:$202,MATCH(FR$6,'qtrP&amp;L'!$6:$6,0))</f>
        <v>171.02189393939392</v>
      </c>
      <c r="FS38" s="1225">
        <f>INDEX('qtrP&amp;L'!$202:$202,MATCH(FS$6,'qtrP&amp;L'!$6:$6,0))</f>
        <v>165.27189393939392</v>
      </c>
      <c r="FT38" s="1225">
        <f>INDEX('qtrP&amp;L'!$202:$202,MATCH(FT$6,'qtrP&amp;L'!$6:$6,0))</f>
        <v>161.43856060606061</v>
      </c>
      <c r="FU38" s="1225">
        <f>+FT38+(FU39/FU40)+3</f>
        <v>158.37795454545454</v>
      </c>
      <c r="FV38" s="1226">
        <f>+FU38+(FV39/FV40)</f>
        <v>152.31734848484848</v>
      </c>
      <c r="FW38" s="1225">
        <f>+FV38+(FW39/FW40)</f>
        <v>146.25674242424242</v>
      </c>
      <c r="FX38" s="1226">
        <f>+FW38+(FX39/FX40)</f>
        <v>140.19613636363636</v>
      </c>
    </row>
    <row r="39" spans="1:191" hidden="1" outlineLevel="1" x14ac:dyDescent="0.2">
      <c r="A39" s="334" t="s">
        <v>470</v>
      </c>
      <c r="B39" s="305"/>
      <c r="C39" s="383"/>
      <c r="D39" s="383"/>
      <c r="E39" s="383"/>
      <c r="F39" s="383"/>
      <c r="G39" s="343"/>
      <c r="H39" s="383"/>
      <c r="I39" s="383"/>
      <c r="J39" s="383"/>
      <c r="K39" s="383"/>
      <c r="L39" s="343"/>
      <c r="M39" s="383"/>
      <c r="N39" s="383"/>
      <c r="O39" s="383"/>
      <c r="P39" s="383"/>
      <c r="Q39" s="343"/>
      <c r="R39" s="383"/>
      <c r="S39" s="383"/>
      <c r="T39" s="383"/>
      <c r="U39" s="383"/>
      <c r="V39" s="343"/>
      <c r="W39" s="383"/>
      <c r="X39" s="383"/>
      <c r="Y39" s="383"/>
      <c r="Z39" s="383"/>
      <c r="AA39" s="343"/>
      <c r="AB39" s="383"/>
      <c r="AC39" s="383"/>
      <c r="AD39" s="383"/>
      <c r="AE39" s="383"/>
      <c r="AF39" s="343"/>
      <c r="AG39" s="383"/>
      <c r="AH39" s="383"/>
      <c r="AI39" s="383"/>
      <c r="AJ39" s="383"/>
      <c r="AK39" s="343"/>
      <c r="AL39" s="383"/>
      <c r="AM39" s="383"/>
      <c r="AN39" s="383"/>
      <c r="AO39" s="383"/>
      <c r="AP39" s="343"/>
      <c r="AQ39" s="383"/>
      <c r="AR39" s="383"/>
      <c r="AS39" s="383"/>
      <c r="AT39" s="383"/>
      <c r="AU39" s="343"/>
      <c r="AV39" s="383"/>
      <c r="AW39" s="383"/>
      <c r="AX39" s="383"/>
      <c r="AY39" s="383"/>
      <c r="AZ39" s="343"/>
      <c r="BA39" s="383"/>
      <c r="BB39" s="383"/>
      <c r="BC39" s="383"/>
      <c r="BD39" s="383"/>
      <c r="BE39" s="343"/>
      <c r="BF39" s="343"/>
      <c r="BG39" s="343"/>
      <c r="BH39" s="343"/>
      <c r="BI39" s="343"/>
      <c r="BJ39" s="343"/>
      <c r="BK39" s="343"/>
      <c r="BL39" s="343"/>
      <c r="BM39" s="343"/>
      <c r="BN39" s="343"/>
      <c r="BO39" s="343"/>
      <c r="BP39" s="343"/>
      <c r="BQ39" s="343"/>
      <c r="BR39" s="343"/>
      <c r="BS39" s="343"/>
      <c r="BT39" s="343"/>
      <c r="BU39" s="343"/>
      <c r="BV39" s="343"/>
      <c r="BW39" s="343"/>
      <c r="BX39" s="343"/>
      <c r="BY39" s="343"/>
      <c r="BZ39" s="343"/>
      <c r="CA39" s="343"/>
      <c r="CB39" s="343"/>
      <c r="CC39" s="343"/>
      <c r="CD39" s="343"/>
      <c r="CE39" s="343"/>
      <c r="CF39" s="343"/>
      <c r="CG39" s="343"/>
      <c r="CH39" s="343"/>
      <c r="CI39" s="343"/>
      <c r="CJ39" s="343"/>
      <c r="CK39" s="343"/>
      <c r="CL39" s="343"/>
      <c r="CM39" s="343"/>
      <c r="CN39" s="343"/>
      <c r="CO39" s="343"/>
      <c r="CP39" s="343"/>
      <c r="CQ39" s="343"/>
      <c r="CR39" s="343"/>
      <c r="CS39" s="343"/>
      <c r="CT39" s="343"/>
      <c r="CU39" s="343"/>
      <c r="CV39" s="343"/>
      <c r="CW39" s="343"/>
      <c r="CX39" s="343"/>
      <c r="CY39" s="384"/>
      <c r="CZ39" s="384"/>
      <c r="DA39" s="384"/>
      <c r="DB39" s="384"/>
      <c r="DC39" s="384"/>
      <c r="DD39" s="384"/>
      <c r="DE39" s="384"/>
      <c r="DF39" s="384"/>
      <c r="DG39" s="384"/>
      <c r="DH39" s="384"/>
      <c r="DI39" s="384"/>
      <c r="DJ39" s="384"/>
      <c r="DK39" s="384"/>
      <c r="DL39" s="384"/>
      <c r="DM39" s="384"/>
      <c r="DN39" s="384"/>
      <c r="DO39" s="384"/>
      <c r="DP39" s="384"/>
      <c r="DQ39" s="384"/>
      <c r="DR39" s="384"/>
      <c r="DS39" s="384"/>
      <c r="DT39" s="384"/>
      <c r="DU39" s="384"/>
      <c r="DV39" s="384"/>
      <c r="DW39" s="384"/>
      <c r="DX39" s="384"/>
      <c r="DY39" s="384"/>
      <c r="DZ39" s="384"/>
      <c r="EA39" s="384"/>
      <c r="EB39" s="384"/>
      <c r="EC39" s="384"/>
      <c r="ED39" s="384"/>
      <c r="EE39" s="384"/>
      <c r="EF39" s="384"/>
      <c r="EG39" s="305"/>
      <c r="EH39" s="384"/>
      <c r="EI39" s="384"/>
      <c r="EJ39" s="384"/>
      <c r="EK39" s="384"/>
      <c r="EL39" s="384"/>
      <c r="EM39" s="1202"/>
      <c r="EN39" s="1202"/>
      <c r="EO39" s="1202"/>
      <c r="EP39" s="1202"/>
      <c r="EQ39" s="384"/>
      <c r="ER39" s="384"/>
      <c r="ES39" s="384"/>
      <c r="ET39" s="384"/>
      <c r="EU39" s="384"/>
      <c r="EV39" s="384"/>
      <c r="EW39" s="384"/>
      <c r="EX39" s="384"/>
      <c r="EY39" s="384"/>
      <c r="EZ39" s="384"/>
      <c r="FA39" s="384"/>
      <c r="FB39" s="384"/>
      <c r="FC39" s="384"/>
      <c r="FD39" s="384"/>
      <c r="FE39" s="384"/>
      <c r="FF39" s="384"/>
      <c r="FG39" s="384"/>
      <c r="FH39" s="385"/>
      <c r="FI39" s="384"/>
      <c r="FJ39" s="384"/>
      <c r="FK39" s="1261"/>
      <c r="FL39" s="384"/>
      <c r="FM39" s="384"/>
      <c r="FN39" s="384"/>
      <c r="FO39" s="386"/>
      <c r="FP39" s="386"/>
      <c r="FQ39" s="408">
        <f>flow!AD41</f>
        <v>-1028</v>
      </c>
      <c r="FR39" s="408">
        <f>flow!AE41</f>
        <v>-574</v>
      </c>
      <c r="FS39" s="1221">
        <f>flow!AF41</f>
        <v>-320</v>
      </c>
      <c r="FT39" s="1221">
        <f>flow!AG41</f>
        <v>-350</v>
      </c>
      <c r="FU39" s="1221">
        <f>flow!AH41</f>
        <v>-400</v>
      </c>
      <c r="FV39" s="1222">
        <f>flow!AI41</f>
        <v>-400</v>
      </c>
      <c r="FW39" s="1221">
        <f>flow!AJ41</f>
        <v>-400</v>
      </c>
      <c r="FX39" s="1222">
        <f>flow!AK41</f>
        <v>-400</v>
      </c>
    </row>
    <row r="40" spans="1:191" hidden="1" outlineLevel="1" x14ac:dyDescent="0.2">
      <c r="A40" s="334" t="s">
        <v>471</v>
      </c>
      <c r="B40" s="305"/>
      <c r="C40" s="383"/>
      <c r="D40" s="383"/>
      <c r="E40" s="383"/>
      <c r="F40" s="383"/>
      <c r="G40" s="343"/>
      <c r="H40" s="383"/>
      <c r="I40" s="383"/>
      <c r="J40" s="383"/>
      <c r="K40" s="383"/>
      <c r="L40" s="343"/>
      <c r="M40" s="383"/>
      <c r="N40" s="383"/>
      <c r="O40" s="383"/>
      <c r="P40" s="383"/>
      <c r="Q40" s="343"/>
      <c r="R40" s="383"/>
      <c r="S40" s="383"/>
      <c r="T40" s="383"/>
      <c r="U40" s="383"/>
      <c r="V40" s="343"/>
      <c r="W40" s="383"/>
      <c r="X40" s="383"/>
      <c r="Y40" s="383"/>
      <c r="Z40" s="383"/>
      <c r="AA40" s="343"/>
      <c r="AB40" s="383"/>
      <c r="AC40" s="383"/>
      <c r="AD40" s="383"/>
      <c r="AE40" s="383"/>
      <c r="AF40" s="343"/>
      <c r="AG40" s="383"/>
      <c r="AH40" s="383"/>
      <c r="AI40" s="383"/>
      <c r="AJ40" s="383"/>
      <c r="AK40" s="343"/>
      <c r="AL40" s="383"/>
      <c r="AM40" s="383"/>
      <c r="AN40" s="383"/>
      <c r="AO40" s="383"/>
      <c r="AP40" s="343"/>
      <c r="AQ40" s="383"/>
      <c r="AR40" s="383"/>
      <c r="AS40" s="383"/>
      <c r="AT40" s="383"/>
      <c r="AU40" s="343"/>
      <c r="AV40" s="383"/>
      <c r="AW40" s="383"/>
      <c r="AX40" s="383"/>
      <c r="AY40" s="383"/>
      <c r="AZ40" s="343"/>
      <c r="BA40" s="383"/>
      <c r="BB40" s="383"/>
      <c r="BC40" s="383"/>
      <c r="BD40" s="383"/>
      <c r="BE40" s="343"/>
      <c r="BF40" s="343"/>
      <c r="BG40" s="343"/>
      <c r="BH40" s="343"/>
      <c r="BI40" s="343"/>
      <c r="BJ40" s="343"/>
      <c r="BK40" s="343"/>
      <c r="BL40" s="343"/>
      <c r="BM40" s="343"/>
      <c r="BN40" s="343"/>
      <c r="BO40" s="343"/>
      <c r="BP40" s="343"/>
      <c r="BQ40" s="343"/>
      <c r="BR40" s="343"/>
      <c r="BS40" s="343"/>
      <c r="BT40" s="343"/>
      <c r="BU40" s="343"/>
      <c r="BV40" s="343"/>
      <c r="BW40" s="343"/>
      <c r="BX40" s="343"/>
      <c r="BY40" s="343"/>
      <c r="BZ40" s="343"/>
      <c r="CA40" s="343"/>
      <c r="CB40" s="343"/>
      <c r="CC40" s="343"/>
      <c r="CD40" s="343"/>
      <c r="CE40" s="343"/>
      <c r="CF40" s="343"/>
      <c r="CG40" s="343"/>
      <c r="CH40" s="343"/>
      <c r="CI40" s="343"/>
      <c r="CJ40" s="343"/>
      <c r="CK40" s="343"/>
      <c r="CL40" s="343"/>
      <c r="CM40" s="343"/>
      <c r="CN40" s="343"/>
      <c r="CO40" s="343"/>
      <c r="CP40" s="343"/>
      <c r="CQ40" s="343"/>
      <c r="CR40" s="343"/>
      <c r="CS40" s="343"/>
      <c r="CT40" s="343"/>
      <c r="CU40" s="343"/>
      <c r="CV40" s="343"/>
      <c r="CW40" s="343"/>
      <c r="CX40" s="343"/>
      <c r="CY40" s="384"/>
      <c r="CZ40" s="384"/>
      <c r="DA40" s="384"/>
      <c r="DB40" s="384"/>
      <c r="DC40" s="384"/>
      <c r="DD40" s="384"/>
      <c r="DE40" s="384"/>
      <c r="DF40" s="384"/>
      <c r="DG40" s="384"/>
      <c r="DH40" s="384"/>
      <c r="DI40" s="384"/>
      <c r="DJ40" s="384"/>
      <c r="DK40" s="384"/>
      <c r="DL40" s="384"/>
      <c r="DM40" s="384"/>
      <c r="DN40" s="384"/>
      <c r="DO40" s="384"/>
      <c r="DP40" s="384"/>
      <c r="DQ40" s="384"/>
      <c r="DR40" s="384"/>
      <c r="DS40" s="384"/>
      <c r="DT40" s="384"/>
      <c r="DU40" s="384"/>
      <c r="DV40" s="384"/>
      <c r="DW40" s="384"/>
      <c r="DX40" s="384"/>
      <c r="DY40" s="384"/>
      <c r="DZ40" s="384"/>
      <c r="EA40" s="384"/>
      <c r="EB40" s="384"/>
      <c r="EC40" s="384"/>
      <c r="ED40" s="384"/>
      <c r="EE40" s="384"/>
      <c r="EF40" s="384"/>
      <c r="EG40" s="305"/>
      <c r="EH40" s="384"/>
      <c r="EI40" s="384"/>
      <c r="EJ40" s="384"/>
      <c r="EK40" s="384"/>
      <c r="EL40" s="384"/>
      <c r="EM40" s="1202"/>
      <c r="EN40" s="1202"/>
      <c r="EO40" s="1202"/>
      <c r="EP40" s="1202"/>
      <c r="EQ40" s="384"/>
      <c r="ER40" s="384"/>
      <c r="ES40" s="384"/>
      <c r="ET40" s="384"/>
      <c r="EU40" s="384"/>
      <c r="EV40" s="384"/>
      <c r="EW40" s="384"/>
      <c r="EX40" s="384"/>
      <c r="EY40" s="384"/>
      <c r="EZ40" s="384"/>
      <c r="FA40" s="384"/>
      <c r="FB40" s="384"/>
      <c r="FC40" s="384"/>
      <c r="FD40" s="384"/>
      <c r="FE40" s="384"/>
      <c r="FF40" s="384"/>
      <c r="FG40" s="384"/>
      <c r="FH40" s="385"/>
      <c r="FI40" s="384"/>
      <c r="FJ40" s="384"/>
      <c r="FK40" s="1261"/>
      <c r="FL40" s="384"/>
      <c r="FM40" s="384"/>
      <c r="FN40" s="384"/>
      <c r="FO40" s="387"/>
      <c r="FP40" s="387"/>
      <c r="FQ40" s="888">
        <f>+'qtrP&amp;L'!DA202</f>
        <v>58.8</v>
      </c>
      <c r="FR40" s="888">
        <f>'qtrP&amp;L'!$DE$202</f>
        <v>43.652027027027025</v>
      </c>
      <c r="FS40" s="888">
        <f>'qtrP&amp;L'!$DI$202</f>
        <v>46.9375</v>
      </c>
      <c r="FT40" s="888">
        <f>'qtrP&amp;L'!$DM$202</f>
        <v>60</v>
      </c>
      <c r="FU40" s="1227">
        <v>66</v>
      </c>
      <c r="FV40" s="1228">
        <v>66</v>
      </c>
      <c r="FW40" s="1227">
        <v>66</v>
      </c>
      <c r="FX40" s="1228">
        <v>66</v>
      </c>
    </row>
    <row r="41" spans="1:191" ht="9" customHeight="1" collapsed="1" x14ac:dyDescent="0.2">
      <c r="A41" s="334"/>
      <c r="B41" s="305"/>
      <c r="C41" s="305"/>
      <c r="D41" s="305"/>
      <c r="E41" s="305"/>
      <c r="F41" s="305"/>
      <c r="G41" s="305"/>
      <c r="H41" s="305"/>
      <c r="I41" s="305"/>
      <c r="J41" s="305"/>
      <c r="K41" s="305"/>
      <c r="L41" s="305"/>
      <c r="M41" s="305"/>
      <c r="N41" s="305"/>
      <c r="O41" s="305"/>
      <c r="P41" s="305"/>
      <c r="Q41" s="305"/>
      <c r="R41" s="305"/>
      <c r="S41" s="305"/>
      <c r="T41" s="305"/>
      <c r="U41" s="305"/>
      <c r="V41" s="305"/>
      <c r="W41" s="305"/>
      <c r="X41" s="305"/>
      <c r="Y41" s="305"/>
      <c r="Z41" s="305"/>
      <c r="AA41" s="305"/>
      <c r="AB41" s="305"/>
      <c r="AC41" s="305"/>
      <c r="AD41" s="305"/>
      <c r="AE41" s="305"/>
      <c r="AF41" s="305"/>
      <c r="AG41" s="305"/>
      <c r="AH41" s="305"/>
      <c r="AI41" s="305"/>
      <c r="AJ41" s="305"/>
      <c r="AK41" s="305"/>
      <c r="AL41" s="305"/>
      <c r="AM41" s="305"/>
      <c r="AN41" s="305"/>
      <c r="AO41" s="305"/>
      <c r="AP41" s="305"/>
      <c r="AQ41" s="305"/>
      <c r="AR41" s="305"/>
      <c r="AS41" s="305"/>
      <c r="AT41" s="305"/>
      <c r="AU41" s="305"/>
      <c r="AV41" s="305"/>
      <c r="AW41" s="305"/>
      <c r="AX41" s="305"/>
      <c r="AY41" s="305"/>
      <c r="AZ41" s="305"/>
      <c r="BA41" s="305"/>
      <c r="BB41" s="305"/>
      <c r="BC41" s="305"/>
      <c r="BD41" s="305"/>
      <c r="BE41" s="305"/>
      <c r="BF41" s="305"/>
      <c r="BG41" s="305"/>
      <c r="BH41" s="305"/>
      <c r="BI41" s="305"/>
      <c r="BJ41" s="305"/>
      <c r="BK41" s="305"/>
      <c r="BL41" s="305"/>
      <c r="BM41" s="305"/>
      <c r="BN41" s="305"/>
      <c r="BO41" s="305"/>
      <c r="BP41" s="305"/>
      <c r="BQ41" s="305"/>
      <c r="BR41" s="305"/>
      <c r="BS41" s="305"/>
      <c r="BT41" s="305"/>
      <c r="BU41" s="305"/>
      <c r="BV41" s="305"/>
      <c r="BW41" s="305"/>
      <c r="BX41" s="305"/>
      <c r="BY41" s="305"/>
      <c r="BZ41" s="305"/>
      <c r="CA41" s="305"/>
      <c r="CB41" s="305"/>
      <c r="CC41" s="305"/>
      <c r="CD41" s="305"/>
      <c r="CE41" s="305"/>
      <c r="CF41" s="305"/>
      <c r="CG41" s="305"/>
      <c r="CH41" s="305"/>
      <c r="CI41" s="305"/>
      <c r="CJ41" s="305"/>
      <c r="CK41" s="305"/>
      <c r="CL41" s="305"/>
      <c r="CM41" s="305"/>
      <c r="CN41" s="305"/>
      <c r="CO41" s="305"/>
      <c r="CP41" s="305"/>
      <c r="CQ41" s="305"/>
      <c r="CR41" s="305"/>
      <c r="CS41" s="305"/>
      <c r="CT41" s="305"/>
      <c r="CU41" s="305"/>
      <c r="CV41" s="305"/>
      <c r="CW41" s="305"/>
      <c r="CX41" s="305"/>
      <c r="CY41" s="305"/>
      <c r="CZ41" s="305"/>
      <c r="DA41" s="305"/>
      <c r="DB41" s="305"/>
      <c r="DC41" s="305"/>
      <c r="DD41" s="305"/>
      <c r="DE41" s="305"/>
      <c r="DF41" s="305"/>
      <c r="DG41" s="305"/>
      <c r="DH41" s="305"/>
      <c r="DI41" s="305"/>
      <c r="DJ41" s="305"/>
      <c r="DK41" s="305"/>
      <c r="DL41" s="305"/>
      <c r="DM41" s="305"/>
      <c r="DN41" s="305"/>
      <c r="DO41" s="305"/>
      <c r="DP41" s="305"/>
      <c r="DQ41" s="305"/>
      <c r="DR41" s="305"/>
      <c r="DS41" s="305"/>
      <c r="DT41" s="305"/>
      <c r="DU41" s="305"/>
      <c r="DV41" s="305"/>
      <c r="DW41" s="305"/>
      <c r="DX41" s="305"/>
      <c r="DY41" s="305"/>
      <c r="DZ41" s="305"/>
      <c r="EA41" s="305"/>
      <c r="EB41" s="305"/>
      <c r="EC41" s="305"/>
      <c r="ED41" s="305"/>
      <c r="EE41" s="305"/>
      <c r="EF41" s="305"/>
      <c r="EG41" s="305"/>
      <c r="EH41" s="305"/>
      <c r="EI41" s="305"/>
      <c r="EJ41" s="305"/>
      <c r="EK41" s="305"/>
      <c r="EL41" s="305"/>
      <c r="EM41" s="1193"/>
      <c r="EN41" s="1193"/>
      <c r="EO41" s="1193"/>
      <c r="EP41" s="1193"/>
      <c r="EQ41" s="305"/>
      <c r="ER41" s="305"/>
      <c r="ES41" s="305"/>
      <c r="ET41" s="305"/>
      <c r="EU41" s="305"/>
      <c r="EV41" s="305"/>
      <c r="EW41" s="305"/>
      <c r="EX41" s="305"/>
      <c r="EY41" s="305"/>
      <c r="EZ41" s="305"/>
      <c r="FA41" s="305"/>
      <c r="FB41" s="305"/>
      <c r="FC41" s="305"/>
      <c r="FD41" s="305"/>
      <c r="FE41" s="305"/>
      <c r="FF41" s="305"/>
      <c r="FG41" s="305"/>
      <c r="FH41" s="334"/>
      <c r="FI41" s="305"/>
      <c r="FJ41" s="305"/>
      <c r="FK41" s="1253"/>
      <c r="FL41" s="305"/>
      <c r="FM41" s="305"/>
      <c r="FN41" s="305"/>
      <c r="FO41" s="305"/>
      <c r="FP41" s="305"/>
      <c r="FQ41" s="305"/>
      <c r="FR41" s="305"/>
      <c r="FS41" s="305"/>
      <c r="FT41" s="305"/>
      <c r="FU41" s="305"/>
      <c r="FV41" s="335"/>
      <c r="FW41" s="305"/>
      <c r="FX41" s="1214"/>
    </row>
    <row r="42" spans="1:191" x14ac:dyDescent="0.2">
      <c r="A42" s="334" t="s">
        <v>190</v>
      </c>
      <c r="B42" s="305"/>
      <c r="C42" s="383">
        <f>INDEX('qtrP&amp;L'!$90:$90,MATCH(C$6,'qtrP&amp;L'!$6:$6,0))</f>
        <v>8.5120000000000076</v>
      </c>
      <c r="D42" s="383">
        <f>INDEX('qtrP&amp;L'!$91:$91,MATCH(C$6,'qtrP&amp;L'!$6:$6,0))</f>
        <v>7.2969999999999828</v>
      </c>
      <c r="E42" s="383">
        <f>INDEX('qtrP&amp;L'!$92:$92,MATCH(C$6,'qtrP&amp;L'!$6:$6,0))</f>
        <v>15.825999999999983</v>
      </c>
      <c r="F42" s="383">
        <f>INDEX('qtrP&amp;L'!$93:$93,MATCH(C$6,'qtrP&amp;L'!$6:$6,0))</f>
        <v>30.277999999999967</v>
      </c>
      <c r="G42" s="383"/>
      <c r="H42" s="383">
        <f>INDEX('qtrP&amp;L'!$90:$90,MATCH(H$6,'qtrP&amp;L'!$6:$6,0))</f>
        <v>10.739000000000001</v>
      </c>
      <c r="I42" s="383">
        <f>INDEX('qtrP&amp;L'!$91:$91,MATCH(H$6,'qtrP&amp;L'!$6:$6,0))</f>
        <v>9.3650000000000109</v>
      </c>
      <c r="J42" s="383">
        <f>INDEX('qtrP&amp;L'!$92:$92,MATCH(H$6,'qtrP&amp;L'!$6:$6,0))</f>
        <v>18.632999999999996</v>
      </c>
      <c r="K42" s="383">
        <f>INDEX('qtrP&amp;L'!$93:$93,MATCH(H$6,'qtrP&amp;L'!$6:$6,0))</f>
        <v>33.078999999999965</v>
      </c>
      <c r="L42" s="383"/>
      <c r="M42" s="383">
        <f>INDEX('qtrP&amp;L'!$90:$90,MATCH(M$6,'qtrP&amp;L'!$6:$6,0))</f>
        <v>13.875999999999999</v>
      </c>
      <c r="N42" s="383">
        <f>INDEX('qtrP&amp;L'!$91:$91,MATCH(M$6,'qtrP&amp;L'!$6:$6,0))</f>
        <v>13.495999999999995</v>
      </c>
      <c r="O42" s="383">
        <f>INDEX('qtrP&amp;L'!$92:$92,MATCH(M$6,'qtrP&amp;L'!$6:$6,0))</f>
        <v>24.356999999999992</v>
      </c>
      <c r="P42" s="383">
        <f>INDEX('qtrP&amp;L'!$93:$93,MATCH(M$6,'qtrP&amp;L'!$6:$6,0))</f>
        <v>42.265999999999977</v>
      </c>
      <c r="Q42" s="383"/>
      <c r="R42" s="383">
        <f>INDEX('qtrP&amp;L'!$90:$90,MATCH(R$6,'qtrP&amp;L'!$6:$6,0))</f>
        <v>18.506</v>
      </c>
      <c r="S42" s="383">
        <f>INDEX('qtrP&amp;L'!$91:$91,MATCH(R$6,'qtrP&amp;L'!$6:$6,0))</f>
        <v>17.543999999999993</v>
      </c>
      <c r="T42" s="383">
        <f>INDEX('qtrP&amp;L'!$92:$92,MATCH(R$6,'qtrP&amp;L'!$6:$6,0))</f>
        <v>29.356999999999985</v>
      </c>
      <c r="U42" s="383">
        <f>INDEX('qtrP&amp;L'!$93:$93,MATCH(R$6,'qtrP&amp;L'!$6:$6,0))</f>
        <v>54.967000000000041</v>
      </c>
      <c r="V42" s="383"/>
      <c r="W42" s="383">
        <f>INDEX('qtrP&amp;L'!$90:$90,MATCH(W$6,'qtrP&amp;L'!$6:$6,0))</f>
        <v>25.485000000000021</v>
      </c>
      <c r="X42" s="383">
        <f>INDEX('qtrP&amp;L'!$91:$91,MATCH(W$6,'qtrP&amp;L'!$6:$6,0))</f>
        <v>22.475999999999956</v>
      </c>
      <c r="Y42" s="383">
        <f>INDEX('qtrP&amp;L'!$92:$92,MATCH(W$6,'qtrP&amp;L'!$6:$6,0))</f>
        <v>31.765000000000008</v>
      </c>
      <c r="Z42" s="383">
        <f>INDEX('qtrP&amp;L'!$93:$93,MATCH(W$6,'qtrP&amp;L'!$6:$6,0))</f>
        <v>66.447000000000017</v>
      </c>
      <c r="AA42" s="383"/>
      <c r="AB42" s="383">
        <f>INDEX('qtrP&amp;L'!$90:$90,MATCH(AB$6,'qtrP&amp;L'!$6:$6,0))</f>
        <v>29.108999999999998</v>
      </c>
      <c r="AC42" s="383">
        <f>INDEX('qtrP&amp;L'!$91:$91,MATCH(AB$6,'qtrP&amp;L'!$6:$6,0))</f>
        <v>28.371000000000024</v>
      </c>
      <c r="AD42" s="383">
        <f>INDEX('qtrP&amp;L'!$92:$92,MATCH(AB$6,'qtrP&amp;L'!$6:$6,0))</f>
        <v>38.308000000000007</v>
      </c>
      <c r="AE42" s="383">
        <f>INDEX('qtrP&amp;L'!$93:$93,MATCH(AB$6,'qtrP&amp;L'!$6:$6,0))</f>
        <v>82.761000000000024</v>
      </c>
      <c r="AF42" s="383"/>
      <c r="AG42" s="383">
        <f>INDEX('qtrP&amp;L'!$90:$90,MATCH(AG$6,'qtrP&amp;L'!$6:$6,0))</f>
        <v>36.03399999999997</v>
      </c>
      <c r="AH42" s="383">
        <f>INDEX('qtrP&amp;L'!$91:$91,MATCH(AG$6,'qtrP&amp;L'!$6:$6,0))</f>
        <v>37.710000000000029</v>
      </c>
      <c r="AI42" s="383">
        <f>INDEX('qtrP&amp;L'!$92:$92,MATCH(AG$6,'qtrP&amp;L'!$6:$6,0))</f>
        <v>52.412000000000035</v>
      </c>
      <c r="AJ42" s="383">
        <f>INDEX('qtrP&amp;L'!$93:$93,MATCH(AG$6,'qtrP&amp;L'!$6:$6,0))</f>
        <v>101.84700000000001</v>
      </c>
      <c r="AK42" s="383"/>
      <c r="AL42" s="383">
        <f>INDEX('qtrP&amp;L'!$90:$90,MATCH(AL$6,'qtrP&amp;L'!$6:$6,0))</f>
        <v>42.978999999999978</v>
      </c>
      <c r="AM42" s="383">
        <f>INDEX('qtrP&amp;L'!$91:$91,MATCH(AL$6,'qtrP&amp;L'!$6:$6,0))</f>
        <v>54.444000000000031</v>
      </c>
      <c r="AN42" s="383">
        <f>INDEX('qtrP&amp;L'!$92:$92,MATCH(AL$6,'qtrP&amp;L'!$6:$6,0))</f>
        <v>73.081999999999923</v>
      </c>
      <c r="AO42" s="383">
        <f>INDEX('qtrP&amp;L'!$93:$93,MATCH(AL$6,'qtrP&amp;L'!$6:$6,0))</f>
        <v>140.381</v>
      </c>
      <c r="AP42" s="383"/>
      <c r="AQ42" s="383">
        <f>INDEX('qtrP&amp;L'!$90:$90,MATCH(AQ$6,'qtrP&amp;L'!$6:$6,0))</f>
        <v>59.383000000000038</v>
      </c>
      <c r="AR42" s="383">
        <f>INDEX('qtrP&amp;L'!$91:$91,MATCH(AQ$6,'qtrP&amp;L'!$6:$6,0))</f>
        <v>70.469000000000051</v>
      </c>
      <c r="AS42" s="383">
        <f>INDEX('qtrP&amp;L'!$92:$92,MATCH(AQ$6,'qtrP&amp;L'!$6:$6,0))</f>
        <v>82.910000000000082</v>
      </c>
      <c r="AT42" s="383">
        <f>INDEX('qtrP&amp;L'!$93:$93,MATCH(AQ$6,'qtrP&amp;L'!$6:$6,0))</f>
        <v>175.727</v>
      </c>
      <c r="AU42" s="383"/>
      <c r="AV42" s="383">
        <f>INDEX('qtrP&amp;L'!$90:$90,MATCH(AV$6,'qtrP&amp;L'!$6:$6,0))</f>
        <v>86.414999999999935</v>
      </c>
      <c r="AW42" s="383">
        <f>INDEX('qtrP&amp;L'!$91:$91,MATCH(AV$6,'qtrP&amp;L'!$6:$6,0))</f>
        <v>99.481000000000066</v>
      </c>
      <c r="AX42" s="383">
        <f>INDEX('qtrP&amp;L'!$92:$92,MATCH(AV$6,'qtrP&amp;L'!$6:$6,0))</f>
        <v>114.80300000000004</v>
      </c>
      <c r="AY42" s="383">
        <f>INDEX('qtrP&amp;L'!$93:$93,MATCH(AV$6,'qtrP&amp;L'!$6:$6,0))</f>
        <v>226.60699999999997</v>
      </c>
      <c r="AZ42" s="383"/>
      <c r="BA42" s="383">
        <f>INDEX('qtrP&amp;L'!$90:$90,MATCH(BA$6,'qtrP&amp;L'!$6:$6,0))</f>
        <v>118.76900000000018</v>
      </c>
      <c r="BB42" s="383">
        <f>INDEX('qtrP&amp;L'!$91:$91,MATCH(BA$6,'qtrP&amp;L'!$6:$6,0))</f>
        <v>143.00100000000006</v>
      </c>
      <c r="BC42" s="383">
        <f>INDEX('qtrP&amp;L'!$92:$92,MATCH(BA$6,'qtrP&amp;L'!$6:$6,0))</f>
        <v>165.35599999999994</v>
      </c>
      <c r="BD42" s="383">
        <f>INDEX('qtrP&amp;L'!$93:$93,MATCH(BA$6,'qtrP&amp;L'!$6:$6,0))</f>
        <v>330.43299999999988</v>
      </c>
      <c r="BE42" s="383"/>
      <c r="BF42" s="383">
        <f>INDEX('qtrP&amp;L'!$90:$90,MATCH(BF$6,'qtrP&amp;L'!$6:$6,0))</f>
        <v>165.25899999999996</v>
      </c>
      <c r="BG42" s="383">
        <f>INDEX('qtrP&amp;L'!$91:$91,MATCH(BF$6,'qtrP&amp;L'!$6:$6,0))</f>
        <v>188.18899999999994</v>
      </c>
      <c r="BH42" s="383">
        <f>INDEX('qtrP&amp;L'!$92:$92,MATCH(BF$6,'qtrP&amp;L'!$6:$6,0))</f>
        <v>211.94800000000006</v>
      </c>
      <c r="BI42" s="383">
        <f>INDEX('qtrP&amp;L'!$93:$93,MATCH(BF$6,'qtrP&amp;L'!$6:$6,0))</f>
        <v>428.41999999999973</v>
      </c>
      <c r="BJ42" s="383"/>
      <c r="BK42" s="383">
        <f>INDEX('qtrP&amp;L'!$90:$90,MATCH(BK$6,'qtrP&amp;L'!$6:$6,0))</f>
        <v>225.25299999999999</v>
      </c>
      <c r="BL42" s="383">
        <f>INDEX('qtrP&amp;L'!$91:$91,MATCH(BK$6,'qtrP&amp;L'!$6:$6,0))</f>
        <v>258.80000000000007</v>
      </c>
      <c r="BM42" s="383">
        <f>INDEX('qtrP&amp;L'!$92:$92,MATCH(BK$6,'qtrP&amp;L'!$6:$6,0))</f>
        <v>274.66000000000008</v>
      </c>
      <c r="BN42" s="383">
        <f>INDEX('qtrP&amp;L'!$93:$93,MATCH(BK$6,'qtrP&amp;L'!$6:$6,0))</f>
        <v>514.28300000000047</v>
      </c>
      <c r="BO42" s="383"/>
      <c r="BP42" s="383">
        <f>INDEX('qtrP&amp;L'!$90:$90,MATCH(BP$6,'qtrP&amp;L'!$6:$6,0))</f>
        <v>248.11399999999981</v>
      </c>
      <c r="BQ42" s="383">
        <f>INDEX('qtrP&amp;L'!$91:$91,MATCH(BP$6,'qtrP&amp;L'!$6:$6,0))</f>
        <v>258.20000000000005</v>
      </c>
      <c r="BR42" s="383">
        <f>INDEX('qtrP&amp;L'!$92:$92,MATCH(BP$6,'qtrP&amp;L'!$6:$6,0))</f>
        <v>266.6099999999999</v>
      </c>
      <c r="BS42" s="383">
        <f>INDEX('qtrP&amp;L'!$93:$93,MATCH(BP$6,'qtrP&amp;L'!$6:$6,0))</f>
        <v>474.90000000000032</v>
      </c>
      <c r="BT42" s="383"/>
      <c r="BU42" s="383">
        <f>INDEX('qtrP&amp;L'!$90:$90,MATCH(BU$6,'qtrP&amp;L'!$6:$6,0))</f>
        <v>247.39999999999986</v>
      </c>
      <c r="BV42" s="383">
        <f>INDEX('qtrP&amp;L'!$91:$91,MATCH(BU$6,'qtrP&amp;L'!$6:$6,0))</f>
        <v>322.58000000000015</v>
      </c>
      <c r="BW42" s="383">
        <f>INDEX('qtrP&amp;L'!$92:$92,MATCH(BU$6,'qtrP&amp;L'!$6:$6,0))</f>
        <v>303.63000000000011</v>
      </c>
      <c r="BX42" s="383">
        <f>INDEX('qtrP&amp;L'!$93:$93,MATCH(BU$6,'qtrP&amp;L'!$6:$6,0))</f>
        <v>607.98299999999983</v>
      </c>
      <c r="BY42" s="383"/>
      <c r="BZ42" s="383">
        <f>INDEX('qtrP&amp;L'!$90:$90,MATCH(BZ$6,'qtrP&amp;L'!$6:$6,0))</f>
        <v>297.70000000000027</v>
      </c>
      <c r="CA42" s="383">
        <f>INDEX('qtrP&amp;L'!$91:$91,MATCH(BZ$6,'qtrP&amp;L'!$6:$6,0))</f>
        <v>389.5999999999998</v>
      </c>
      <c r="CB42" s="383">
        <f>INDEX('qtrP&amp;L'!$92:$92,MATCH(BZ$6,'qtrP&amp;L'!$6:$6,0))</f>
        <v>352.50000000000011</v>
      </c>
      <c r="CC42" s="383">
        <f>INDEX('qtrP&amp;L'!$93:$93,MATCH(BZ$6,'qtrP&amp;L'!$6:$6,0))</f>
        <v>712.7999999999995</v>
      </c>
      <c r="CD42" s="383"/>
      <c r="CE42" s="383">
        <f>INDEX('qtrP&amp;L'!$90:$90,MATCH(CE$6,'qtrP&amp;L'!$6:$6,0))</f>
        <v>375.46199999999999</v>
      </c>
      <c r="CF42" s="383">
        <f>INDEX('qtrP&amp;L'!$91:$91,MATCH(CE$6,'qtrP&amp;L'!$6:$6,0))</f>
        <v>471.50700000000029</v>
      </c>
      <c r="CG42" s="383">
        <f>INDEX('qtrP&amp;L'!$92:$92,MATCH(CE$6,'qtrP&amp;L'!$6:$6,0))</f>
        <v>463.70200000000045</v>
      </c>
      <c r="CH42" s="383">
        <f>INDEX('qtrP&amp;L'!$93:$93,MATCH(CE$6,'qtrP&amp;L'!$6:$6,0))</f>
        <v>891.80000000000018</v>
      </c>
      <c r="CI42" s="383"/>
      <c r="CJ42" s="383">
        <f>INDEX('qtrP&amp;L'!$90:$90,MATCH(CJ$6,'qtrP&amp;L'!$6:$6,0))</f>
        <v>450.80000000000018</v>
      </c>
      <c r="CK42" s="383">
        <f>INDEX('qtrP&amp;L'!$91:$91,MATCH(CJ$6,'qtrP&amp;L'!$6:$6,0))</f>
        <v>549.89999999999964</v>
      </c>
      <c r="CL42" s="383">
        <f>INDEX('qtrP&amp;L'!$92:$92,MATCH(CJ$6,'qtrP&amp;L'!$6:$6,0))</f>
        <v>446.1</v>
      </c>
      <c r="CM42" s="383">
        <f>INDEX('qtrP&amp;L'!$93:$93,MATCH(CJ$6,'qtrP&amp;L'!$6:$6,0))</f>
        <v>809.90000000000009</v>
      </c>
      <c r="CN42" s="383"/>
      <c r="CO42" s="383">
        <f>INDEX('qtrP&amp;L'!$90:$90,MATCH(CO$6,'qtrP&amp;L'!$6:$6,0))</f>
        <v>401.40400000000022</v>
      </c>
      <c r="CP42" s="383">
        <f>INDEX('qtrP&amp;L'!$91:$91,MATCH(CO$6,'qtrP&amp;L'!$6:$6,0))</f>
        <v>539.22999999999968</v>
      </c>
      <c r="CQ42" s="383">
        <f>INDEX('qtrP&amp;L'!$92:$92,MATCH(CO$6,'qtrP&amp;L'!$6:$6,0))</f>
        <v>420.82999999999993</v>
      </c>
      <c r="CR42" s="383">
        <f>INDEX('qtrP&amp;L'!$93:$93,MATCH(CO$6,'qtrP&amp;L'!$6:$6,0))</f>
        <v>716</v>
      </c>
      <c r="CS42" s="383"/>
      <c r="CT42" s="383">
        <f>INDEX('qtrP&amp;L'!$90:$90,MATCH(CT$6,'qtrP&amp;L'!$6:$6,0))</f>
        <v>392</v>
      </c>
      <c r="CU42" s="383">
        <f>INDEX('qtrP&amp;L'!$91:$91,MATCH(CT$6,'qtrP&amp;L'!$6:$6,0))</f>
        <v>543</v>
      </c>
      <c r="CV42" s="383">
        <f>INDEX('qtrP&amp;L'!$92:$92,MATCH(CT$6,'qtrP&amp;L'!$6:$6,0))</f>
        <v>489</v>
      </c>
      <c r="CW42" s="383">
        <f>INDEX('qtrP&amp;L'!$93:$93,MATCH(CT$6,'qtrP&amp;L'!$6:$6,0))</f>
        <v>878</v>
      </c>
      <c r="CX42" s="383"/>
      <c r="CY42" s="383">
        <f>INDEX('qtrP&amp;L'!$90:$90,MATCH(CY$6,'qtrP&amp;L'!$6:$6,0))</f>
        <v>564</v>
      </c>
      <c r="CZ42" s="383">
        <f>INDEX('qtrP&amp;L'!$91:$91,MATCH(CY$6,'qtrP&amp;L'!$6:$6,0))</f>
        <v>668</v>
      </c>
      <c r="DA42" s="383">
        <f>INDEX('qtrP&amp;L'!$92:$92,MATCH(CY$6,'qtrP&amp;L'!$6:$6,0))</f>
        <v>563</v>
      </c>
      <c r="DB42" s="383">
        <f>INDEX('qtrP&amp;L'!$93:$93,MATCH(CY$6,'qtrP&amp;L'!$6:$6,0))</f>
        <v>1050</v>
      </c>
      <c r="DC42" s="383"/>
      <c r="DD42" s="383">
        <f>INDEX('qtrP&amp;L'!$90:$90,MATCH(DD$6,'qtrP&amp;L'!$6:$6,0))</f>
        <v>582</v>
      </c>
      <c r="DE42" s="383">
        <f>INDEX('qtrP&amp;L'!$91:$91,MATCH(DD$6,'qtrP&amp;L'!$6:$6,0))</f>
        <v>737</v>
      </c>
      <c r="DF42" s="383">
        <f>INDEX('qtrP&amp;L'!$92:$92,MATCH(DD$6,'qtrP&amp;L'!$6:$6,0))</f>
        <v>618</v>
      </c>
      <c r="DG42" s="383">
        <f>INDEX('qtrP&amp;L'!$93:$93,MATCH(DD$6,'qtrP&amp;L'!$6:$6,0))</f>
        <v>999</v>
      </c>
      <c r="DH42" s="383"/>
      <c r="DI42" s="383">
        <f>INDEX('qtrP&amp;L'!$90:$90,MATCH(DI$6,'qtrP&amp;L'!$6:$6,0))</f>
        <v>522</v>
      </c>
      <c r="DJ42" s="383">
        <f>INDEX('qtrP&amp;L'!$91:$91,MATCH(DI$6,'qtrP&amp;L'!$6:$6,0))</f>
        <v>667</v>
      </c>
      <c r="DK42" s="383">
        <f>INDEX('qtrP&amp;L'!$92:$92,MATCH(DI$6,'qtrP&amp;L'!$6:$6,0))</f>
        <v>635</v>
      </c>
      <c r="DL42" s="383">
        <f>INDEX('qtrP&amp;L'!$93:$93,MATCH(DI$6,'qtrP&amp;L'!$6:$6,0))</f>
        <v>900</v>
      </c>
      <c r="DM42" s="383"/>
      <c r="DN42" s="383">
        <f>INDEX('qtrP&amp;L'!$90:$90,MATCH(DN$6,'qtrP&amp;L'!$6:$6,0))</f>
        <v>531</v>
      </c>
      <c r="DO42" s="383">
        <f>INDEX('qtrP&amp;L'!$91:$91,MATCH(DN$6,'qtrP&amp;L'!$6:$6,0))</f>
        <v>676</v>
      </c>
      <c r="DP42" s="383">
        <f>INDEX('qtrP&amp;L'!$92:$92,MATCH(DN$6,'qtrP&amp;L'!$6:$6,0))</f>
        <v>593</v>
      </c>
      <c r="DQ42" s="383">
        <f>INDEX('qtrP&amp;L'!$93:$93,MATCH(DN$6,'qtrP&amp;L'!$6:$6,0))</f>
        <v>833</v>
      </c>
      <c r="DR42" s="383"/>
      <c r="DS42" s="383">
        <f>INDEX('qtrP&amp;L'!$90:$90,MATCH(DS$6,'qtrP&amp;L'!$6:$6,0))</f>
        <v>496</v>
      </c>
      <c r="DT42" s="383">
        <f>INDEX('qtrP&amp;L'!$91:$91,MATCH(DS$6,'qtrP&amp;L'!$6:$6,0))</f>
        <v>673</v>
      </c>
      <c r="DU42" s="383">
        <f>INDEX('qtrP&amp;L'!$92:$92,MATCH(DS$6,'qtrP&amp;L'!$6:$6,0))</f>
        <v>531</v>
      </c>
      <c r="DV42" s="383">
        <f>INDEX('qtrP&amp;L'!$93:$93,MATCH(DS$6,'qtrP&amp;L'!$6:$6,0))</f>
        <v>875</v>
      </c>
      <c r="DW42" s="383"/>
      <c r="DX42" s="383">
        <f>INDEX('qtrP&amp;L'!$90:$90,MATCH(DX$6,'qtrP&amp;L'!$6:$6,0))</f>
        <v>507</v>
      </c>
      <c r="DY42" s="383">
        <f>INDEX('qtrP&amp;L'!$91:$91,MATCH(DX$6,'qtrP&amp;L'!$6:$6,0))</f>
        <v>657</v>
      </c>
      <c r="DZ42" s="383">
        <f>INDEX('qtrP&amp;L'!$92:$92,MATCH(DX$6,'qtrP&amp;L'!$6:$6,0))</f>
        <v>544</v>
      </c>
      <c r="EA42" s="383">
        <f>INDEX('qtrP&amp;L'!$93:$93,MATCH(DX$6,'qtrP&amp;L'!$6:$6,0))</f>
        <v>780</v>
      </c>
      <c r="EB42" s="383"/>
      <c r="EC42" s="383">
        <f>INDEX('qtrP&amp;L'!$90:$90,MATCH(EC$6,'qtrP&amp;L'!$6:$6,0))</f>
        <v>404</v>
      </c>
      <c r="ED42" s="383">
        <f>INDEX('qtrP&amp;L'!$91:$91,MATCH(EC$6,'qtrP&amp;L'!$6:$6,0))</f>
        <v>664</v>
      </c>
      <c r="EE42" s="383">
        <f>INDEX('qtrP&amp;L'!$92:$92,MATCH(EC$6,'qtrP&amp;L'!$6:$6,0))</f>
        <v>527</v>
      </c>
      <c r="EF42" s="383">
        <f>INDEX('qtrP&amp;L'!$93:$93,MATCH(EC$6,'qtrP&amp;L'!$6:$6,0))</f>
        <v>712</v>
      </c>
      <c r="EG42" s="305"/>
      <c r="EH42" s="383">
        <f>INDEX('qtrP&amp;L'!$90:$90,MATCH(EH$6,'qtrP&amp;L'!$6:$6,0))</f>
        <v>423</v>
      </c>
      <c r="EI42" s="383">
        <f>INDEX('qtrP&amp;L'!$91:$91,MATCH(EH$6,'qtrP&amp;L'!$6:$6,0))</f>
        <v>650</v>
      </c>
      <c r="EJ42" s="383">
        <f>INDEX('qtrP&amp;L'!$92:$92,MATCH(EH$6,'qtrP&amp;L'!$6:$6,0))</f>
        <v>500</v>
      </c>
      <c r="EK42" s="383">
        <f>INDEX('qtrP&amp;L'!$93:$93,MATCH(EH$6,'qtrP&amp;L'!$6:$6,0))</f>
        <v>834</v>
      </c>
      <c r="EL42" s="383"/>
      <c r="EM42" s="1203">
        <f>INDEX('qtrP&amp;L'!$90:$90,MATCH(EM$6,'qtrP&amp;L'!$6:$6,0))</f>
        <v>424.69506954000008</v>
      </c>
      <c r="EN42" s="1203">
        <f>INDEX('qtrP&amp;L'!$91:$91,MATCH(EM$6,'qtrP&amp;L'!$6:$6,0))</f>
        <v>673.57104080000056</v>
      </c>
      <c r="EO42" s="1203">
        <f>INDEX('qtrP&amp;L'!$92:$92,MATCH(EM$6,'qtrP&amp;L'!$6:$6,0))</f>
        <v>495.50783909999996</v>
      </c>
      <c r="EP42" s="1203">
        <f>INDEX('qtrP&amp;L'!$93:$93,MATCH(EM$6,'qtrP&amp;L'!$6:$6,0))</f>
        <v>703.0350935999993</v>
      </c>
      <c r="EQ42" s="383">
        <f>INDEX('qtrP&amp;L'!$94:$94,MATCH(EQ$6,'qtrP&amp;L'!$6:$6,0))</f>
        <v>61.913000000000039</v>
      </c>
      <c r="ER42" s="383">
        <f>INDEX('qtrP&amp;L'!$94:$94,MATCH(ER$6,'qtrP&amp;L'!$6:$6,0))</f>
        <v>71.815999999999974</v>
      </c>
      <c r="ES42" s="383">
        <f>INDEX('qtrP&amp;L'!$94:$94,MATCH(ES$6,'qtrP&amp;L'!$6:$6,0))</f>
        <v>96.939999999999955</v>
      </c>
      <c r="ET42" s="383">
        <f>INDEX('qtrP&amp;L'!$94:$94,MATCH(ET$6,'qtrP&amp;L'!$6:$6,0))</f>
        <v>120.37399999999992</v>
      </c>
      <c r="EU42" s="383">
        <f>INDEX('qtrP&amp;L'!$94:$94,MATCH(EU$6,'qtrP&amp;L'!$6:$6,0))</f>
        <v>146.17299999999983</v>
      </c>
      <c r="EV42" s="383">
        <f>INDEX('qtrP&amp;L'!$94:$94,MATCH(EV$6,'qtrP&amp;L'!$6:$6,0))</f>
        <v>178.81800000000021</v>
      </c>
      <c r="EW42" s="383">
        <f>INDEX('qtrP&amp;L'!$94:$94,MATCH(EW$6,'qtrP&amp;L'!$6:$6,0))</f>
        <v>228.00299999999987</v>
      </c>
      <c r="EX42" s="383">
        <f>INDEX('qtrP&amp;L'!$94:$94,MATCH(EX$6,'qtrP&amp;L'!$6:$6,0))</f>
        <v>310.88599999999985</v>
      </c>
      <c r="EY42" s="383">
        <f>INDEX('qtrP&amp;L'!$94:$94,MATCH(EY$6,'qtrP&amp;L'!$6:$6,0))</f>
        <v>388.48899999999946</v>
      </c>
      <c r="EZ42" s="383">
        <f>INDEX('qtrP&amp;L'!$94:$94,MATCH(EZ$6,'qtrP&amp;L'!$6:$6,0))</f>
        <v>532.26599999999939</v>
      </c>
      <c r="FA42" s="383">
        <f>INDEX('qtrP&amp;L'!$94:$94,MATCH(FA$6,'qtrP&amp;L'!$6:$6,0))</f>
        <v>757.55900000000099</v>
      </c>
      <c r="FB42" s="383">
        <f>INDEX('qtrP&amp;L'!$94:$94,MATCH(FB$6,'qtrP&amp;L'!$6:$6,0))</f>
        <v>993.81599999999935</v>
      </c>
      <c r="FC42" s="383">
        <f>INDEX('qtrP&amp;L'!$94:$94,MATCH(FC$6,'qtrP&amp;L'!$6:$6,0))</f>
        <v>1271.1460000000015</v>
      </c>
      <c r="FD42" s="383">
        <f>INDEX('qtrP&amp;L'!$94:$94,MATCH(FD$6,'qtrP&amp;L'!$6:$6,0))</f>
        <v>1246.2200000000003</v>
      </c>
      <c r="FE42" s="383">
        <f>INDEX('qtrP&amp;L'!$94:$94,MATCH(FE$6,'qtrP&amp;L'!$6:$6,0))</f>
        <v>1481.5930000000012</v>
      </c>
      <c r="FF42" s="383">
        <f>INDEX('qtrP&amp;L'!$94:$94,MATCH(FF$6,'qtrP&amp;L'!$6:$6,0))</f>
        <v>1752.5999999999985</v>
      </c>
      <c r="FG42" s="383">
        <f>INDEX('qtrP&amp;L'!$94:$94,MATCH(FG$6,'qtrP&amp;L'!$6:$6,0))</f>
        <v>2202.4710000000027</v>
      </c>
      <c r="FH42" s="388">
        <f>INDEX('qtrP&amp;L'!$94:$94,MATCH(FH$6,'qtrP&amp;L'!$6:$6,0))</f>
        <v>2256.7000000000003</v>
      </c>
      <c r="FI42" s="383">
        <f>INDEX('qtrP&amp;L'!$94:$94,MATCH(FI$6,'qtrP&amp;L'!$6:$6,0))</f>
        <v>2077.4639999999999</v>
      </c>
      <c r="FJ42" s="383">
        <f>INDEX('qtrP&amp;L'!$94:$94,MATCH(FJ$6,'qtrP&amp;L'!$6:$6,0))</f>
        <v>2547</v>
      </c>
      <c r="FK42" s="1262"/>
      <c r="FL42" s="383">
        <f>INDEX('qtrP&amp;L'!$94:$94,MATCH(FL$6,'qtrP&amp;L'!$6:$6,0))</f>
        <v>2845</v>
      </c>
      <c r="FM42" s="383">
        <f>INDEX('qtrP&amp;L'!$94:$94,MATCH(FM$6,'qtrP&amp;L'!$6:$6,0))</f>
        <v>2936</v>
      </c>
      <c r="FN42" s="383">
        <f>INDEX('qtrP&amp;L'!$94:$94,MATCH(FN$6,'qtrP&amp;L'!$6:$6,0))</f>
        <v>2724</v>
      </c>
      <c r="FO42" s="383">
        <f t="shared" ref="FO42:FT42" si="17">FO20+FO15</f>
        <v>2633</v>
      </c>
      <c r="FP42" s="383">
        <f t="shared" si="17"/>
        <v>2575</v>
      </c>
      <c r="FQ42" s="383">
        <f t="shared" si="17"/>
        <v>2488</v>
      </c>
      <c r="FR42" s="383">
        <f t="shared" si="17"/>
        <v>2307</v>
      </c>
      <c r="FS42" s="383">
        <f t="shared" si="17"/>
        <v>2407</v>
      </c>
      <c r="FT42" s="383">
        <f t="shared" si="17"/>
        <v>2296.8090430399989</v>
      </c>
      <c r="FU42" s="383">
        <f>FU20+FU15</f>
        <v>2138.9700453969399</v>
      </c>
      <c r="FV42" s="389">
        <f>FV20+FV15</f>
        <v>2046.7148304257244</v>
      </c>
      <c r="FW42" s="383">
        <f>FW20+FW15</f>
        <v>1949.5619909978632</v>
      </c>
      <c r="FX42" s="389">
        <f>FX20+FX15</f>
        <v>1899.0898037652532</v>
      </c>
      <c r="GG42" s="413"/>
      <c r="GI42" s="424"/>
    </row>
    <row r="43" spans="1:191" x14ac:dyDescent="0.2">
      <c r="A43" s="334"/>
      <c r="B43" s="305"/>
      <c r="C43" s="383"/>
      <c r="D43" s="383"/>
      <c r="E43" s="383"/>
      <c r="F43" s="383"/>
      <c r="G43" s="383"/>
      <c r="H43" s="383"/>
      <c r="I43" s="383"/>
      <c r="J43" s="383"/>
      <c r="K43" s="383"/>
      <c r="L43" s="383"/>
      <c r="M43" s="383"/>
      <c r="N43" s="383"/>
      <c r="O43" s="383"/>
      <c r="P43" s="383"/>
      <c r="Q43" s="383"/>
      <c r="R43" s="383"/>
      <c r="S43" s="383"/>
      <c r="T43" s="383"/>
      <c r="U43" s="383"/>
      <c r="V43" s="383"/>
      <c r="W43" s="383"/>
      <c r="X43" s="383"/>
      <c r="Y43" s="383"/>
      <c r="Z43" s="383"/>
      <c r="AA43" s="383"/>
      <c r="AB43" s="383"/>
      <c r="AC43" s="383"/>
      <c r="AD43" s="383"/>
      <c r="AE43" s="383"/>
      <c r="AF43" s="383"/>
      <c r="AG43" s="383"/>
      <c r="AH43" s="383"/>
      <c r="AI43" s="383"/>
      <c r="AJ43" s="383"/>
      <c r="AK43" s="383"/>
      <c r="AL43" s="383"/>
      <c r="AM43" s="383"/>
      <c r="AN43" s="383"/>
      <c r="AO43" s="383"/>
      <c r="AP43" s="383"/>
      <c r="AQ43" s="383"/>
      <c r="AR43" s="383"/>
      <c r="AS43" s="383"/>
      <c r="AT43" s="383"/>
      <c r="AU43" s="383"/>
      <c r="AV43" s="383"/>
      <c r="AW43" s="383"/>
      <c r="AX43" s="383"/>
      <c r="AY43" s="383"/>
      <c r="AZ43" s="383"/>
      <c r="BA43" s="383"/>
      <c r="BB43" s="383"/>
      <c r="BC43" s="383"/>
      <c r="BD43" s="383"/>
      <c r="BE43" s="383"/>
      <c r="BF43" s="383"/>
      <c r="BG43" s="383"/>
      <c r="BH43" s="383"/>
      <c r="BI43" s="383"/>
      <c r="BJ43" s="383"/>
      <c r="BK43" s="383"/>
      <c r="BL43" s="383"/>
      <c r="BM43" s="383"/>
      <c r="BN43" s="383"/>
      <c r="BO43" s="383"/>
      <c r="BP43" s="383"/>
      <c r="BQ43" s="383"/>
      <c r="BR43" s="383"/>
      <c r="BS43" s="383"/>
      <c r="BT43" s="383"/>
      <c r="BU43" s="383"/>
      <c r="BV43" s="383"/>
      <c r="BW43" s="383"/>
      <c r="BX43" s="383"/>
      <c r="BY43" s="383"/>
      <c r="BZ43" s="383"/>
      <c r="CA43" s="383"/>
      <c r="CB43" s="383"/>
      <c r="CC43" s="383"/>
      <c r="CD43" s="383"/>
      <c r="CE43" s="383"/>
      <c r="CF43" s="383"/>
      <c r="CG43" s="383"/>
      <c r="CH43" s="383"/>
      <c r="CI43" s="383"/>
      <c r="CJ43" s="383"/>
      <c r="CK43" s="383"/>
      <c r="CL43" s="383"/>
      <c r="CM43" s="383"/>
      <c r="CN43" s="383"/>
      <c r="CO43" s="383"/>
      <c r="CP43" s="383"/>
      <c r="CQ43" s="383"/>
      <c r="CR43" s="383"/>
      <c r="CS43" s="383"/>
      <c r="CT43" s="383"/>
      <c r="CU43" s="383"/>
      <c r="CV43" s="383"/>
      <c r="CW43" s="383"/>
      <c r="CX43" s="383"/>
      <c r="CY43" s="383"/>
      <c r="CZ43" s="383"/>
      <c r="DA43" s="383"/>
      <c r="DB43" s="383"/>
      <c r="DC43" s="383"/>
      <c r="DD43" s="383"/>
      <c r="DE43" s="383"/>
      <c r="DF43" s="383"/>
      <c r="DG43" s="383"/>
      <c r="DH43" s="383"/>
      <c r="DI43" s="383"/>
      <c r="DJ43" s="383"/>
      <c r="DK43" s="383"/>
      <c r="DL43" s="383"/>
      <c r="DM43" s="383"/>
      <c r="DN43" s="383"/>
      <c r="DO43" s="383"/>
      <c r="DP43" s="383"/>
      <c r="DQ43" s="383"/>
      <c r="DR43" s="383"/>
      <c r="DS43" s="383"/>
      <c r="DT43" s="383"/>
      <c r="DU43" s="383"/>
      <c r="DV43" s="383"/>
      <c r="DW43" s="383"/>
      <c r="DX43" s="875"/>
      <c r="DY43" s="875"/>
      <c r="DZ43" s="875"/>
      <c r="EA43" s="875"/>
      <c r="EB43" s="383"/>
      <c r="EC43" s="875"/>
      <c r="ED43" s="875"/>
      <c r="EE43" s="875"/>
      <c r="EF43" s="875"/>
      <c r="EG43" s="305"/>
      <c r="EH43" s="943"/>
      <c r="EI43" s="875"/>
      <c r="EJ43" s="875"/>
      <c r="EK43" s="875"/>
      <c r="EL43" s="875"/>
      <c r="EM43" s="1204"/>
      <c r="EN43" s="1204"/>
      <c r="EO43" s="1204">
        <f>EJ42/EO42-1</f>
        <v>9.0657716095052798E-3</v>
      </c>
      <c r="EP43" s="1204"/>
      <c r="EQ43" s="383"/>
      <c r="ER43" s="383"/>
      <c r="ES43" s="383"/>
      <c r="ET43" s="383"/>
      <c r="EU43" s="383"/>
      <c r="EV43" s="383"/>
      <c r="EW43" s="383"/>
      <c r="EX43" s="383"/>
      <c r="EY43" s="383"/>
      <c r="EZ43" s="383"/>
      <c r="FA43" s="383"/>
      <c r="FB43" s="383"/>
      <c r="FC43" s="383"/>
      <c r="FD43" s="383"/>
      <c r="FE43" s="383"/>
      <c r="FF43" s="383"/>
      <c r="FG43" s="383"/>
      <c r="FH43" s="388"/>
      <c r="FI43" s="383"/>
      <c r="FJ43" s="383"/>
      <c r="FK43" s="1262"/>
      <c r="FL43" s="383"/>
      <c r="FM43" s="383"/>
      <c r="FN43" s="383"/>
      <c r="FO43" s="383"/>
      <c r="FP43" s="383"/>
      <c r="FQ43" s="425"/>
      <c r="FR43" s="383"/>
      <c r="FS43" s="875"/>
      <c r="FT43" s="875"/>
      <c r="FU43" s="875"/>
      <c r="FV43" s="1296"/>
      <c r="FW43" s="875"/>
      <c r="FX43" s="1216"/>
      <c r="GI43" s="390"/>
    </row>
    <row r="44" spans="1:191" x14ac:dyDescent="0.2">
      <c r="A44" s="330" t="s">
        <v>191</v>
      </c>
      <c r="B44" s="305"/>
      <c r="C44" s="305"/>
      <c r="D44" s="305"/>
      <c r="E44" s="305"/>
      <c r="F44" s="305"/>
      <c r="G44" s="305"/>
      <c r="H44" s="305"/>
      <c r="I44" s="305"/>
      <c r="J44" s="305"/>
      <c r="K44" s="305"/>
      <c r="L44" s="305"/>
      <c r="M44" s="305"/>
      <c r="N44" s="305"/>
      <c r="O44" s="305"/>
      <c r="P44" s="305"/>
      <c r="Q44" s="305"/>
      <c r="R44" s="305"/>
      <c r="S44" s="305"/>
      <c r="T44" s="305"/>
      <c r="U44" s="305"/>
      <c r="V44" s="305"/>
      <c r="W44" s="305"/>
      <c r="X44" s="305"/>
      <c r="Y44" s="305"/>
      <c r="Z44" s="305"/>
      <c r="AA44" s="305"/>
      <c r="AB44" s="305"/>
      <c r="AC44" s="305"/>
      <c r="AD44" s="305"/>
      <c r="AE44" s="305"/>
      <c r="AF44" s="305"/>
      <c r="AG44" s="305"/>
      <c r="AH44" s="305"/>
      <c r="AI44" s="305"/>
      <c r="AJ44" s="305"/>
      <c r="AK44" s="305"/>
      <c r="AL44" s="305"/>
      <c r="AM44" s="305"/>
      <c r="AN44" s="305"/>
      <c r="AO44" s="305"/>
      <c r="AP44" s="305"/>
      <c r="AQ44" s="305"/>
      <c r="AR44" s="305"/>
      <c r="AS44" s="305"/>
      <c r="AT44" s="305"/>
      <c r="AU44" s="305"/>
      <c r="AV44" s="305"/>
      <c r="AW44" s="305"/>
      <c r="AX44" s="305"/>
      <c r="AY44" s="305"/>
      <c r="AZ44" s="305"/>
      <c r="BA44" s="305"/>
      <c r="BB44" s="305"/>
      <c r="BC44" s="305"/>
      <c r="BD44" s="305"/>
      <c r="BE44" s="305"/>
      <c r="BF44" s="305"/>
      <c r="BG44" s="305"/>
      <c r="BH44" s="305"/>
      <c r="BI44" s="305"/>
      <c r="BJ44" s="305"/>
      <c r="BK44" s="305"/>
      <c r="BL44" s="305"/>
      <c r="BM44" s="305"/>
      <c r="BN44" s="305"/>
      <c r="BO44" s="305"/>
      <c r="BP44" s="305"/>
      <c r="BQ44" s="305"/>
      <c r="BR44" s="305"/>
      <c r="BS44" s="305"/>
      <c r="BT44" s="305"/>
      <c r="BU44" s="305"/>
      <c r="BV44" s="305"/>
      <c r="BW44" s="305"/>
      <c r="BX44" s="305"/>
      <c r="BY44" s="305"/>
      <c r="BZ44" s="305"/>
      <c r="CA44" s="305"/>
      <c r="CB44" s="305"/>
      <c r="CC44" s="305"/>
      <c r="CD44" s="305"/>
      <c r="CE44" s="305"/>
      <c r="CF44" s="305"/>
      <c r="CG44" s="305"/>
      <c r="CH44" s="305"/>
      <c r="CI44" s="305"/>
      <c r="CJ44" s="305"/>
      <c r="CK44" s="305"/>
      <c r="CL44" s="305"/>
      <c r="CM44" s="305"/>
      <c r="CN44" s="305"/>
      <c r="CO44" s="305"/>
      <c r="CP44" s="305"/>
      <c r="CQ44" s="305"/>
      <c r="CR44" s="305"/>
      <c r="CS44" s="305"/>
      <c r="CT44" s="305"/>
      <c r="CU44" s="305"/>
      <c r="CV44" s="305"/>
      <c r="CW44" s="305"/>
      <c r="CX44" s="305"/>
      <c r="CY44" s="305"/>
      <c r="CZ44" s="305"/>
      <c r="DA44" s="305"/>
      <c r="DB44" s="305"/>
      <c r="DC44" s="305"/>
      <c r="DD44" s="305"/>
      <c r="DE44" s="305"/>
      <c r="DF44" s="305"/>
      <c r="DG44" s="305"/>
      <c r="DH44" s="305"/>
      <c r="DI44" s="305"/>
      <c r="DJ44" s="305"/>
      <c r="DK44" s="305"/>
      <c r="DL44" s="305"/>
      <c r="DM44" s="305"/>
      <c r="DN44" s="305"/>
      <c r="DO44" s="305"/>
      <c r="DP44" s="305"/>
      <c r="DQ44" s="305"/>
      <c r="DR44" s="305"/>
      <c r="DS44" s="305"/>
      <c r="DT44" s="305"/>
      <c r="DU44" s="305"/>
      <c r="DV44" s="305"/>
      <c r="DW44" s="305"/>
      <c r="DX44" s="305"/>
      <c r="DY44" s="305"/>
      <c r="DZ44" s="305"/>
      <c r="EA44" s="305"/>
      <c r="EB44" s="305"/>
      <c r="EC44" s="305"/>
      <c r="ED44" s="305"/>
      <c r="EE44" s="305"/>
      <c r="EF44" s="305"/>
      <c r="EG44" s="305"/>
      <c r="EH44" s="395"/>
      <c r="EI44" s="305"/>
      <c r="EJ44" s="305"/>
      <c r="EK44" s="305"/>
      <c r="EL44" s="305"/>
      <c r="EM44" s="1193"/>
      <c r="EN44" s="1193"/>
      <c r="EO44" s="1193"/>
      <c r="EP44" s="1193"/>
      <c r="EQ44" s="305"/>
      <c r="ER44" s="305"/>
      <c r="ES44" s="305"/>
      <c r="ET44" s="305"/>
      <c r="EU44" s="305"/>
      <c r="EV44" s="305"/>
      <c r="EW44" s="305"/>
      <c r="EX44" s="305"/>
      <c r="EY44" s="305"/>
      <c r="EZ44" s="305"/>
      <c r="FA44" s="305"/>
      <c r="FB44" s="305"/>
      <c r="FC44" s="305"/>
      <c r="FD44" s="305"/>
      <c r="FE44" s="305"/>
      <c r="FF44" s="305"/>
      <c r="FG44" s="305"/>
      <c r="FH44" s="334"/>
      <c r="FI44" s="305"/>
      <c r="FJ44" s="305"/>
      <c r="FK44" s="1253"/>
      <c r="FL44" s="305"/>
      <c r="FM44" s="305"/>
      <c r="FN44" s="305"/>
      <c r="FO44" s="305"/>
      <c r="FP44" s="305"/>
      <c r="FQ44" s="305"/>
      <c r="FR44" s="305"/>
      <c r="FS44" s="305"/>
      <c r="FT44" s="305"/>
      <c r="FU44" s="305"/>
      <c r="FV44" s="335"/>
      <c r="FW44" s="305"/>
      <c r="FX44" s="1214"/>
      <c r="FY44" s="390"/>
      <c r="GI44" s="390"/>
    </row>
    <row r="45" spans="1:191" x14ac:dyDescent="0.2">
      <c r="A45" s="334" t="s">
        <v>192</v>
      </c>
      <c r="B45" s="305"/>
      <c r="C45" s="391">
        <f>C13/C9</f>
        <v>0.33700394120417426</v>
      </c>
      <c r="D45" s="391">
        <f>D13/D9</f>
        <v>0.34051075010413662</v>
      </c>
      <c r="E45" s="391">
        <f>E13/E9</f>
        <v>0.34634148784836999</v>
      </c>
      <c r="F45" s="391">
        <f>F13/F9</f>
        <v>0.32228471697698113</v>
      </c>
      <c r="G45" s="392"/>
      <c r="H45" s="391">
        <f>H13/H9</f>
        <v>0.33833701327919802</v>
      </c>
      <c r="I45" s="391">
        <f>I13/I9</f>
        <v>0.34499440089585676</v>
      </c>
      <c r="J45" s="391">
        <f>J13/J9</f>
        <v>0.33000417362270446</v>
      </c>
      <c r="K45" s="391">
        <f>K13/K9</f>
        <v>0.32607598878853927</v>
      </c>
      <c r="L45" s="392"/>
      <c r="M45" s="391">
        <f>M13/M9</f>
        <v>0.34793950850661626</v>
      </c>
      <c r="N45" s="391">
        <f>N13/N9</f>
        <v>0.3493704044117647</v>
      </c>
      <c r="O45" s="391">
        <f>O13/O9</f>
        <v>0.33746844319775593</v>
      </c>
      <c r="P45" s="391">
        <f>P13/P9</f>
        <v>0.32561149182920396</v>
      </c>
      <c r="Q45" s="392"/>
      <c r="R45" s="391">
        <f>R13/R9</f>
        <v>0.34752198241406873</v>
      </c>
      <c r="S45" s="391">
        <f>S13/S9</f>
        <v>0.34559829059829061</v>
      </c>
      <c r="T45" s="391">
        <f>T13/T9</f>
        <v>0.33216485772953941</v>
      </c>
      <c r="U45" s="391">
        <f>U13/U9</f>
        <v>0.32286589367753238</v>
      </c>
      <c r="V45" s="392"/>
      <c r="W45" s="391">
        <f>W13/W9</f>
        <v>0.34402534113060435</v>
      </c>
      <c r="X45" s="391">
        <f>X13/X9</f>
        <v>0.34446990424076596</v>
      </c>
      <c r="Y45" s="391">
        <f>Y13/Y9</f>
        <v>0.33409499358151473</v>
      </c>
      <c r="Z45" s="391">
        <f>Z13/Z9</f>
        <v>0.31673104865861007</v>
      </c>
      <c r="AA45" s="392"/>
      <c r="AB45" s="391">
        <f>AB13/AB9</f>
        <v>0.34070846905537461</v>
      </c>
      <c r="AC45" s="391">
        <f>AC13/AC9</f>
        <v>0.33611615744563728</v>
      </c>
      <c r="AD45" s="391">
        <f>AD13/AD9</f>
        <v>0.33289295253749746</v>
      </c>
      <c r="AE45" s="391">
        <f>AE13/AE9</f>
        <v>0.31075247524752475</v>
      </c>
      <c r="AF45" s="392"/>
      <c r="AG45" s="391">
        <f>AG13/AG9</f>
        <v>0.33717729891188386</v>
      </c>
      <c r="AH45" s="391">
        <f>AH13/AH9</f>
        <v>0.33237252423093133</v>
      </c>
      <c r="AI45" s="391">
        <f>AI13/AI9</f>
        <v>0.3345419592109663</v>
      </c>
      <c r="AJ45" s="391">
        <f>AJ13/AJ9</f>
        <v>0.317780401416765</v>
      </c>
      <c r="AK45" s="392"/>
      <c r="AL45" s="391">
        <f>AL13/AL9</f>
        <v>0.34080763037697298</v>
      </c>
      <c r="AM45" s="391">
        <f>AM13/AM9</f>
        <v>0.33600347470978648</v>
      </c>
      <c r="AN45" s="391">
        <f>AN13/AN9</f>
        <v>0.33756004222750058</v>
      </c>
      <c r="AO45" s="391">
        <f>AO13/AO9</f>
        <v>0.31861569864538875</v>
      </c>
      <c r="AP45" s="392"/>
      <c r="AQ45" s="391">
        <f>AQ13/AQ9</f>
        <v>0.34044856298683862</v>
      </c>
      <c r="AR45" s="391">
        <f>AR13/AR9</f>
        <v>0.34066144975288304</v>
      </c>
      <c r="AS45" s="391">
        <f>AS13/AS9</f>
        <v>0.33917421387185692</v>
      </c>
      <c r="AT45" s="391">
        <f>AT13/AT9</f>
        <v>0.32278169833268705</v>
      </c>
      <c r="AU45" s="392"/>
      <c r="AV45" s="391">
        <f>AV13/AV9</f>
        <v>0.34403163792156422</v>
      </c>
      <c r="AW45" s="391">
        <f>AW13/AW9</f>
        <v>0.34774880255455032</v>
      </c>
      <c r="AX45" s="391">
        <f>AX13/AX9</f>
        <v>0.34295249527135169</v>
      </c>
      <c r="AY45" s="391">
        <f>AY13/AY9</f>
        <v>0.32695925349922239</v>
      </c>
      <c r="AZ45" s="392"/>
      <c r="BA45" s="391">
        <f>BA13/BA9</f>
        <v>0.34817123789370885</v>
      </c>
      <c r="BB45" s="391">
        <f>BB13/BB9</f>
        <v>0.35038792416759601</v>
      </c>
      <c r="BC45" s="391">
        <f>BC13/BC9</f>
        <v>0.34433148788927331</v>
      </c>
      <c r="BD45" s="391">
        <f>BD13/BD9</f>
        <v>0.32958256488686966</v>
      </c>
      <c r="BE45" s="392"/>
      <c r="BF45" s="391">
        <f>BF13/BF9</f>
        <v>0.35110595981992876</v>
      </c>
      <c r="BG45" s="391">
        <f>BG13/BG9</f>
        <v>0.35539253199630555</v>
      </c>
      <c r="BH45" s="391">
        <f>BH13/BH9</f>
        <v>0.34676137532053364</v>
      </c>
      <c r="BI45" s="391">
        <f>BI13/BI9</f>
        <v>0.32879487555979731</v>
      </c>
      <c r="BJ45" s="392"/>
      <c r="BK45" s="391">
        <f>BK13/BK9</f>
        <v>0.35227051590483827</v>
      </c>
      <c r="BL45" s="391">
        <f>BL13/BL9</f>
        <v>0.35875956085124094</v>
      </c>
      <c r="BM45" s="391">
        <f>BM13/BM9</f>
        <v>0.34846505551926849</v>
      </c>
      <c r="BN45" s="391">
        <f>BN13/BN9</f>
        <v>0.32710180881798784</v>
      </c>
      <c r="BO45" s="392"/>
      <c r="BP45" s="391">
        <f>BP13/BP9</f>
        <v>0.3500122774708409</v>
      </c>
      <c r="BQ45" s="391">
        <f>BQ13/BQ9</f>
        <v>0.33358992936062309</v>
      </c>
      <c r="BR45" s="391">
        <f>BR13/BR9</f>
        <v>0.34055973266499578</v>
      </c>
      <c r="BS45" s="391">
        <f>BS13/BS9</f>
        <v>0.30789747045116378</v>
      </c>
      <c r="BT45" s="392"/>
      <c r="BU45" s="391">
        <f>BU13/BU9</f>
        <v>0.35602050247878325</v>
      </c>
      <c r="BV45" s="391">
        <f>BV13/BV9</f>
        <v>0.36434244765603108</v>
      </c>
      <c r="BW45" s="391">
        <f>BW13/BW9</f>
        <v>0.35919676373045667</v>
      </c>
      <c r="BX45" s="391">
        <f>BX13/BX9</f>
        <v>0.33603452080319707</v>
      </c>
      <c r="BY45" s="392"/>
      <c r="BZ45" s="391">
        <f>BZ13/BZ9</f>
        <v>0.35846580137086198</v>
      </c>
      <c r="CA45" s="391">
        <f>CA13/CA9</f>
        <v>0.36917004258855296</v>
      </c>
      <c r="CB45" s="391">
        <f>CB13/CB9</f>
        <v>0.36308264409822405</v>
      </c>
      <c r="CC45" s="391">
        <f>CC13/CC9</f>
        <v>0.33934521378361521</v>
      </c>
      <c r="CD45" s="392"/>
      <c r="CE45" s="391">
        <f>CE13/CE9</f>
        <v>0.36052626621031808</v>
      </c>
      <c r="CF45" s="391">
        <f>CF13/CF9</f>
        <v>0.37537615398059138</v>
      </c>
      <c r="CG45" s="391">
        <f>CG13/CG9</f>
        <v>0.3700616957595329</v>
      </c>
      <c r="CH45" s="391">
        <f>CH13/CH9</f>
        <v>0.35407260580699634</v>
      </c>
      <c r="CI45" s="392"/>
      <c r="CJ45" s="391">
        <f>CJ13/CJ9</f>
        <v>0.36892497200447932</v>
      </c>
      <c r="CK45" s="391">
        <f>CK13/CK9</f>
        <v>0.38905605706006902</v>
      </c>
      <c r="CL45" s="391">
        <f>CL13/CL9</f>
        <v>0.37069957126424763</v>
      </c>
      <c r="CM45" s="391">
        <f>CM13/CM9</f>
        <v>0.34295555191077581</v>
      </c>
      <c r="CN45" s="392"/>
      <c r="CO45" s="391">
        <f>CO13/CO9</f>
        <v>0.36836495404991754</v>
      </c>
      <c r="CP45" s="391">
        <f>CP13/CP9</f>
        <v>0.39590443136339104</v>
      </c>
      <c r="CQ45" s="391">
        <f>CQ13/CQ9</f>
        <v>0.37406106609731865</v>
      </c>
      <c r="CR45" s="391">
        <f>CR13/CR9</f>
        <v>0.34804202483285579</v>
      </c>
      <c r="CS45" s="392"/>
      <c r="CT45" s="391">
        <f>CT13/CT9</f>
        <v>0.3760307861462342</v>
      </c>
      <c r="CU45" s="391">
        <f>CU13/CU9</f>
        <v>0.39936941671045717</v>
      </c>
      <c r="CV45" s="391">
        <f>CV13/CV9</f>
        <v>0.37990619600098741</v>
      </c>
      <c r="CW45" s="391">
        <f>CW13/CW9</f>
        <v>0.36442020059827557</v>
      </c>
      <c r="CX45" s="392"/>
      <c r="CY45" s="391">
        <f>CY13/CY9</f>
        <v>0.38091697645600991</v>
      </c>
      <c r="CZ45" s="391">
        <f>CZ13/CZ9</f>
        <v>0.40268292682926832</v>
      </c>
      <c r="DA45" s="391">
        <f>DA13/DA9</f>
        <v>0.38454243717401609</v>
      </c>
      <c r="DB45" s="391">
        <f>DB13/DB9</f>
        <v>0.3681682676382908</v>
      </c>
      <c r="DC45" s="392"/>
      <c r="DD45" s="391">
        <f>DD13/DD9</f>
        <v>0.3810667948101874</v>
      </c>
      <c r="DE45" s="391">
        <f>DE13/DE9</f>
        <v>0.40677966101694918</v>
      </c>
      <c r="DF45" s="391">
        <f>DF13/DF9</f>
        <v>0.3857404021937843</v>
      </c>
      <c r="DG45" s="391">
        <f>DG13/DG9</f>
        <v>0.36174808906613493</v>
      </c>
      <c r="DH45" s="392"/>
      <c r="DI45" s="391">
        <f>DI13/DI9</f>
        <v>0.35917982559509781</v>
      </c>
      <c r="DJ45" s="391">
        <f>DJ13/DJ9</f>
        <v>0.390487514863258</v>
      </c>
      <c r="DK45" s="391">
        <f>DK13/DK9</f>
        <v>0.38129175946547883</v>
      </c>
      <c r="DL45" s="391">
        <f>DL13/DL9</f>
        <v>0.33301797540208139</v>
      </c>
      <c r="DM45" s="392"/>
      <c r="DN45" s="391">
        <f>DN13/DN9</f>
        <v>0.36389616575375089</v>
      </c>
      <c r="DO45" s="391">
        <f>DO13/DO9</f>
        <v>0.39076707857309395</v>
      </c>
      <c r="DP45" s="391">
        <f>DP13/DP9</f>
        <v>0.3748874887488749</v>
      </c>
      <c r="DQ45" s="391">
        <f>DQ13/DQ9</f>
        <v>0.34021970814887686</v>
      </c>
      <c r="DR45" s="392"/>
      <c r="DS45" s="391">
        <f>DS13/DS9</f>
        <v>0.36756756756756759</v>
      </c>
      <c r="DT45" s="391">
        <f>DT13/DT9</f>
        <v>0.3899104196133899</v>
      </c>
      <c r="DU45" s="391">
        <f>DU13/DU9</f>
        <v>0.37219935985368086</v>
      </c>
      <c r="DV45" s="391">
        <f>DV13/DV9</f>
        <v>0.33880385040239863</v>
      </c>
      <c r="DW45" s="392"/>
      <c r="DX45" s="391">
        <f>DX13/DX9</f>
        <v>0.36939121998544749</v>
      </c>
      <c r="DY45" s="391">
        <f>DY13/DY9</f>
        <v>0.38950082024841809</v>
      </c>
      <c r="DZ45" s="391">
        <f>DZ13/DZ9</f>
        <v>0.37113169189067086</v>
      </c>
      <c r="EA45" s="391">
        <f>EA13/EA9</f>
        <v>0.33067167684358856</v>
      </c>
      <c r="EB45" s="392"/>
      <c r="EC45" s="391">
        <f>EC13/EC9</f>
        <v>0.35548841893252769</v>
      </c>
      <c r="ED45" s="391">
        <f>ED13/ED9</f>
        <v>0.39454806312769009</v>
      </c>
      <c r="EE45" s="391">
        <f>EE13/EE9</f>
        <v>0.37138895308527847</v>
      </c>
      <c r="EF45" s="391">
        <f>EF13/EF9</f>
        <v>0.33392425463336017</v>
      </c>
      <c r="EG45" s="305"/>
      <c r="EH45" s="391">
        <f>EH13/EH9</f>
        <v>0.36377829820452773</v>
      </c>
      <c r="EI45" s="391">
        <f>EI13/EI9</f>
        <v>0.39406370656370654</v>
      </c>
      <c r="EJ45" s="391">
        <f>EJ13/EJ9</f>
        <v>0.36819021237303784</v>
      </c>
      <c r="EK45" s="391">
        <f>EK13/EK9</f>
        <v>0.33840023612750886</v>
      </c>
      <c r="EL45" s="391"/>
      <c r="EM45" s="1205">
        <f>EM13/EM9</f>
        <v>0.36430000000000001</v>
      </c>
      <c r="EN45" s="1205">
        <f>EN13/EN9</f>
        <v>0.39450000000000007</v>
      </c>
      <c r="EO45" s="1205">
        <f>EO13/EO9</f>
        <v>0.36950000000000005</v>
      </c>
      <c r="EP45" s="1205">
        <f>EP13/EP9</f>
        <v>0.33549999999999991</v>
      </c>
      <c r="EQ45" s="391">
        <f t="shared" ref="EQ45:FT45" si="18">EQ13/EQ9</f>
        <v>0.33497426547395209</v>
      </c>
      <c r="ER45" s="391">
        <f t="shared" si="18"/>
        <v>0.33323767822481315</v>
      </c>
      <c r="ES45" s="391">
        <f t="shared" si="18"/>
        <v>0.33959425849883668</v>
      </c>
      <c r="ET45" s="391">
        <f t="shared" si="18"/>
        <v>0.33450061274509801</v>
      </c>
      <c r="EU45" s="391">
        <f t="shared" si="18"/>
        <v>0.33170832153612512</v>
      </c>
      <c r="EV45" s="391">
        <f t="shared" si="18"/>
        <v>0.32696065627062604</v>
      </c>
      <c r="EW45" s="391">
        <f t="shared" si="18"/>
        <v>0.32868411136696668</v>
      </c>
      <c r="EX45" s="391">
        <f t="shared" si="18"/>
        <v>0.33120757469402801</v>
      </c>
      <c r="EY45" s="391">
        <f t="shared" si="18"/>
        <v>0.33399703262080011</v>
      </c>
      <c r="EZ45" s="391">
        <f t="shared" si="18"/>
        <v>0.33851520085670767</v>
      </c>
      <c r="FA45" s="391">
        <f t="shared" si="18"/>
        <v>0.3410046812522351</v>
      </c>
      <c r="FB45" s="391">
        <f t="shared" si="18"/>
        <v>0.34283607477239542</v>
      </c>
      <c r="FC45" s="391">
        <f t="shared" si="18"/>
        <v>0.34395572465516122</v>
      </c>
      <c r="FD45" s="391">
        <f t="shared" si="18"/>
        <v>0.32969470920054467</v>
      </c>
      <c r="FE45" s="391">
        <f t="shared" si="18"/>
        <v>0.35157511943729869</v>
      </c>
      <c r="FF45" s="391">
        <f t="shared" si="18"/>
        <v>0.35521033860112511</v>
      </c>
      <c r="FG45" s="391">
        <f t="shared" si="18"/>
        <v>0.36364924873764082</v>
      </c>
      <c r="FH45" s="393">
        <f t="shared" si="18"/>
        <v>0.36507281302925271</v>
      </c>
      <c r="FI45" s="391">
        <f t="shared" si="18"/>
        <v>0.36945557460832962</v>
      </c>
      <c r="FJ45" s="391">
        <f t="shared" si="18"/>
        <v>0.3782745371987426</v>
      </c>
      <c r="FK45" s="1263"/>
      <c r="FL45" s="391">
        <f>FL13/FL9</f>
        <v>0.38241531183731176</v>
      </c>
      <c r="FM45" s="391">
        <f t="shared" si="18"/>
        <v>0.38178047223994893</v>
      </c>
      <c r="FN45" s="391">
        <f t="shared" si="18"/>
        <v>0.362551867219917</v>
      </c>
      <c r="FO45" s="391">
        <f t="shared" si="18"/>
        <v>0.36493090221218011</v>
      </c>
      <c r="FP45" s="391">
        <f t="shared" si="18"/>
        <v>0.3640330126688745</v>
      </c>
      <c r="FQ45" s="391">
        <f t="shared" si="18"/>
        <v>0.3613830451989169</v>
      </c>
      <c r="FR45" s="391">
        <f t="shared" si="18"/>
        <v>0.36075136465803276</v>
      </c>
      <c r="FS45" s="391">
        <f t="shared" si="18"/>
        <v>0.36234616391725583</v>
      </c>
      <c r="FT45" s="391">
        <f t="shared" si="18"/>
        <v>0.36245003114180346</v>
      </c>
      <c r="FU45" s="391">
        <f>FU13/FU9</f>
        <v>0.35975003114180359</v>
      </c>
      <c r="FV45" s="394">
        <f>FV13/FV9</f>
        <v>0.35825003114180359</v>
      </c>
      <c r="FW45" s="391">
        <f>FW13/FW9</f>
        <v>0.35655003114180345</v>
      </c>
      <c r="FX45" s="394">
        <f>FX13/FX9</f>
        <v>0.35605003114180356</v>
      </c>
    </row>
    <row r="46" spans="1:191" x14ac:dyDescent="0.2">
      <c r="A46" s="334" t="s">
        <v>193</v>
      </c>
      <c r="B46" s="305"/>
      <c r="C46" s="391">
        <f>IF(ISERROR(C14/C9),"NA ",C14/C9)</f>
        <v>0.27086483404803807</v>
      </c>
      <c r="D46" s="391">
        <f>IF(ISERROR(D14/D9),"NA ",D14/D9)</f>
        <v>0.28118171040405016</v>
      </c>
      <c r="E46" s="391">
        <f>IF(ISERROR(E14/E9),"NA ",E14/E9)</f>
        <v>0.25439782813407869</v>
      </c>
      <c r="F46" s="391">
        <f>IF(ISERROR(F14/F9),"NA ",F14/F9)</f>
        <v>0.20298899293817421</v>
      </c>
      <c r="G46" s="392"/>
      <c r="H46" s="391">
        <f>IF(ISERROR(H14/H9),"NA ",H14/H9)</f>
        <v>0.26392013645448553</v>
      </c>
      <c r="I46" s="391">
        <f>IF(ISERROR(I14/I9),"NA ",I14/I9)</f>
        <v>0.28043113101903699</v>
      </c>
      <c r="J46" s="391">
        <f>IF(ISERROR(J14/J9),"NA ",J14/J9)</f>
        <v>0.25606844741235391</v>
      </c>
      <c r="K46" s="391">
        <f>IF(ISERROR(K14/K9),"NA ",K14/K9)</f>
        <v>0.21079414512612893</v>
      </c>
      <c r="L46" s="392"/>
      <c r="M46" s="391">
        <f>IF(ISERROR(M14/M9),"NA ",M14/M9)</f>
        <v>0.26881852551984875</v>
      </c>
      <c r="N46" s="391">
        <f>IF(ISERROR(N14/N9),"NA ",N14/N9)</f>
        <v>0.27239430147058824</v>
      </c>
      <c r="O46" s="391">
        <f>IF(ISERROR(O14/O9),"NA ",O14/O9)</f>
        <v>0.2540883590462833</v>
      </c>
      <c r="P46" s="391">
        <f>IF(ISERROR(P14/P9),"NA ",P14/P9)</f>
        <v>0.21227464417501321</v>
      </c>
      <c r="Q46" s="392"/>
      <c r="R46" s="391">
        <f>IF(ISERROR(R14/R9),"NA ",R14/R9)</f>
        <v>0.25861310951239008</v>
      </c>
      <c r="S46" s="391">
        <f>IF(ISERROR(S14/S9),"NA ",S14/S9)</f>
        <v>0.26409867909867912</v>
      </c>
      <c r="T46" s="391">
        <f>IF(ISERROR(T14/T9),"NA ",T14/T9)</f>
        <v>0.2380903490759754</v>
      </c>
      <c r="U46" s="391">
        <f>IF(ISERROR(U14/U9),"NA ",U14/U9)</f>
        <v>0.20060818201706407</v>
      </c>
      <c r="V46" s="392"/>
      <c r="W46" s="391">
        <f>IF(ISERROR(W14/W9),"NA ",W14/W9)</f>
        <v>0.25294022092267704</v>
      </c>
      <c r="X46" s="391">
        <f>IF(ISERROR(X14/X9),"NA ",X14/X9)</f>
        <v>0.26030437756497948</v>
      </c>
      <c r="Y46" s="391">
        <f>IF(ISERROR(Y14/Y9),"NA ",Y14/Y9)</f>
        <v>0.23449293966623874</v>
      </c>
      <c r="Z46" s="391">
        <f>IF(ISERROR(Z14/Z9),"NA ",Z14/Z9)</f>
        <v>0.19773540773292694</v>
      </c>
      <c r="AA46" s="392"/>
      <c r="AB46" s="391">
        <f>IF(ISERROR(AB14/AB9),"NA ",AB14/AB9)</f>
        <v>0.25122421281216073</v>
      </c>
      <c r="AC46" s="391">
        <f>IF(ISERROR(AC14/AC9),"NA ",AC14/AC9)</f>
        <v>0.25155243600330301</v>
      </c>
      <c r="AD46" s="391">
        <f>IF(ISERROR(AD14/AD9),"NA ",AD14/AD9)</f>
        <v>0.23327306348880217</v>
      </c>
      <c r="AE46" s="391">
        <f>IF(ISERROR(AE14/AE9),"NA ",AE14/AE9)</f>
        <v>0.19656011315417254</v>
      </c>
      <c r="AF46" s="392"/>
      <c r="AG46" s="391">
        <f>IF(ISERROR(AG14/AG9),"NA ",AG14/AG9)</f>
        <v>0.24725837422658417</v>
      </c>
      <c r="AH46" s="391">
        <f>IF(ISERROR(AH14/AH9),"NA ",AH14/AH9)</f>
        <v>0.24744837758112093</v>
      </c>
      <c r="AI46" s="391">
        <f>IF(ISERROR(AI14/AI9),"NA ",AI14/AI9)</f>
        <v>0.23123370110330993</v>
      </c>
      <c r="AJ46" s="391">
        <f>IF(ISERROR(AJ14/AJ9),"NA ",AJ14/AJ9)</f>
        <v>0.19430106257378985</v>
      </c>
      <c r="AK46" s="392"/>
      <c r="AL46" s="391">
        <f>IF(ISERROR(AL14/AL9),"NA ",AL14/AL9)</f>
        <v>0.24436222310660113</v>
      </c>
      <c r="AM46" s="391">
        <f>IF(ISERROR(AM14/AM9),"NA ",AM14/AM9)</f>
        <v>0.24400700711770579</v>
      </c>
      <c r="AN46" s="391">
        <f>IF(ISERROR(AN14/AN9),"NA ",AN14/AN9)</f>
        <v>0.22837820005278439</v>
      </c>
      <c r="AO46" s="391">
        <f>IF(ISERROR(AO14/AO9),"NA ",AO14/AO9)</f>
        <v>0.19180924104657637</v>
      </c>
      <c r="AP46" s="392"/>
      <c r="AQ46" s="391">
        <f>IF(ISERROR(AQ14/AQ9),"NA ",AQ14/AQ9)</f>
        <v>0.24240128928283644</v>
      </c>
      <c r="AR46" s="391">
        <f>IF(ISERROR(AR14/AR9),"NA ",AR14/AR9)</f>
        <v>0.24352026359143325</v>
      </c>
      <c r="AS46" s="391">
        <f>IF(ISERROR(AS14/AS9),"NA ",AS14/AS9)</f>
        <v>0.22968554874275748</v>
      </c>
      <c r="AT46" s="391">
        <f>IF(ISERROR(AT14/AT9),"NA ",AT14/AT9)</f>
        <v>0.19145560294687863</v>
      </c>
      <c r="AU46" s="392"/>
      <c r="AV46" s="391">
        <f>IF(ISERROR(AV14/AV9),"NA ",AV14/AV9)</f>
        <v>0.23637152587059213</v>
      </c>
      <c r="AW46" s="391">
        <f>IF(ISERROR(AW14/AW9),"NA ",AW14/AW9)</f>
        <v>0.2334965407131453</v>
      </c>
      <c r="AX46" s="391">
        <f>IF(ISERROR(AX14/AX9),"NA ",AX14/AX9)</f>
        <v>0.22483904408555216</v>
      </c>
      <c r="AY46" s="391">
        <f>IF(ISERROR(AY14/AY9),"NA ",AY14/AY9)</f>
        <v>0.18296485225505443</v>
      </c>
      <c r="AZ46" s="392"/>
      <c r="BA46" s="391">
        <f>IF(ISERROR(BA14/BA9),"NA ",BA14/BA9)</f>
        <v>0.23256775453731582</v>
      </c>
      <c r="BB46" s="391">
        <f>IF(ISERROR(BB14/BB9),"NA ",BB14/BB9)</f>
        <v>0.23166401147044766</v>
      </c>
      <c r="BC46" s="391">
        <f>IF(ISERROR(BC14/BC9),"NA ",BC14/BC9)</f>
        <v>0.22096193771626299</v>
      </c>
      <c r="BD46" s="391">
        <f>IF(ISERROR(BD14/BD9),"NA ",BD14/BD9)</f>
        <v>0.17996311456974498</v>
      </c>
      <c r="BE46" s="392"/>
      <c r="BF46" s="391">
        <f>IF(ISERROR(BF14/BF9),"NA ",BF14/BF9)</f>
        <v>0.22810656453671974</v>
      </c>
      <c r="BG46" s="391">
        <f>IF(ISERROR(BG14/BG9),"NA ",BG14/BG9)</f>
        <v>0.22770022430399792</v>
      </c>
      <c r="BH46" s="391">
        <f>IF(ISERROR(BH14/BH9),"NA ",BH14/BH9)</f>
        <v>0.21714594744442287</v>
      </c>
      <c r="BI46" s="391">
        <f>IF(ISERROR(BI14/BI9),"NA ",BI14/BI9)</f>
        <v>0.17090668820204097</v>
      </c>
      <c r="BJ46" s="392"/>
      <c r="BK46" s="391">
        <f>IF(ISERROR(BK14/BK9),"NA ",BK14/BK9)</f>
        <v>0.22107832130446403</v>
      </c>
      <c r="BL46" s="391">
        <f>IF(ISERROR(BL14/BL9),"NA ",BL14/BL9)</f>
        <v>0.22134346219886569</v>
      </c>
      <c r="BM46" s="391">
        <f>IF(ISERROR(BM14/BM9),"NA ",BM14/BM9)</f>
        <v>0.21316599794718669</v>
      </c>
      <c r="BN46" s="391">
        <f>IF(ISERROR(BN14/BN9),"NA ",BN14/BN9)</f>
        <v>0.16609910815224219</v>
      </c>
      <c r="BO46" s="392"/>
      <c r="BP46" s="391">
        <f>IF(ISERROR(BP14/BP9),"NA ",BP14/BP9)</f>
        <v>0.23285026207678142</v>
      </c>
      <c r="BQ46" s="391">
        <f>IF(ISERROR(BQ14/BQ9),"NA ",BQ14/BQ9)</f>
        <v>0.21667270422024995</v>
      </c>
      <c r="BR46" s="391">
        <f>IF(ISERROR(BR14/BR9),"NA ",BR14/BR9)</f>
        <v>0.22919381787802842</v>
      </c>
      <c r="BS46" s="391">
        <f>IF(ISERROR(BS14/BS9),"NA ",BS14/BS9)</f>
        <v>0.17597349729077177</v>
      </c>
      <c r="BT46" s="392"/>
      <c r="BU46" s="391">
        <f>IF(ISERROR(BU14/BU9),"NA ",BU14/BU9)</f>
        <v>0.25207965717166625</v>
      </c>
      <c r="BV46" s="391">
        <f>IF(ISERROR(BV14/BV9),"NA ",BV14/BV9)</f>
        <v>0.23520196965450976</v>
      </c>
      <c r="BW46" s="391">
        <f>IF(ISERROR(BW14/BW9),"NA ",BW14/BW9)</f>
        <v>0.24854039870257663</v>
      </c>
      <c r="BX46" s="391">
        <f>IF(ISERROR(BX14/BX9),"NA ",BX14/BX9)</f>
        <v>0.18697158408316375</v>
      </c>
      <c r="BY46" s="392"/>
      <c r="BZ46" s="391">
        <f>IF(ISERROR(BZ14/BZ9),"NA ",BZ14/BZ9)</f>
        <v>0.24992708181420445</v>
      </c>
      <c r="CA46" s="391">
        <f>IF(ISERROR(CA14/CA9),"NA ",CA14/CA9)</f>
        <v>0.23427166649354247</v>
      </c>
      <c r="CB46" s="391">
        <f>IF(ISERROR(CB14/CB9),"NA ",CB14/CB9)</f>
        <v>0.2500801436173623</v>
      </c>
      <c r="CC46" s="391">
        <f>IF(ISERROR(CC14/CC9),"NA ",CC14/CC9)</f>
        <v>0.18611750037619038</v>
      </c>
      <c r="CD46" s="392"/>
      <c r="CE46" s="391">
        <f>IF(ISERROR(CE14/CE9),"NA ",CE14/CE9)</f>
        <v>0.24263070304895279</v>
      </c>
      <c r="CF46" s="391">
        <f>IF(ISERROR(CF14/CF9),"NA ",CF14/CF9)</f>
        <v>0.23256046405474831</v>
      </c>
      <c r="CG46" s="391">
        <f>IF(ISERROR(CG14/CG9),"NA ",CG14/CG9)</f>
        <v>0.24303724372646549</v>
      </c>
      <c r="CH46" s="391">
        <f>IF(ISERROR(CH14/CH9),"NA ",CH14/CH9)</f>
        <v>0.19039753331130932</v>
      </c>
      <c r="CI46" s="392"/>
      <c r="CJ46" s="391">
        <f>IF(ISERROR(CJ14/CJ9),"NA ",CJ14/CJ9)</f>
        <v>0.24272116461366181</v>
      </c>
      <c r="CK46" s="391">
        <f>IF(ISERROR(CK14/CK9),"NA ",CK14/CK9)</f>
        <v>0.23584642817340912</v>
      </c>
      <c r="CL46" s="391">
        <f>IF(ISERROR(CL14/CL9),"NA ",CL14/CL9)</f>
        <v>0.25407821813238524</v>
      </c>
      <c r="CM46" s="391">
        <f>IF(ISERROR(CM14/CM9),"NA ",CM14/CM9)</f>
        <v>0.19536019536019536</v>
      </c>
      <c r="CN46" s="392"/>
      <c r="CO46" s="391">
        <f>IF(ISERROR(CO14/CO9),"NA ",CO14/CO9)</f>
        <v>0.25761017631466182</v>
      </c>
      <c r="CP46" s="391">
        <f>IF(ISERROR(CP14/CP9),"NA ",CP14/CP9)</f>
        <v>0.25116373953493365</v>
      </c>
      <c r="CQ46" s="391">
        <f>IF(ISERROR(CQ14/CQ9),"NA ",CQ14/CQ9)</f>
        <v>0.26342257132558766</v>
      </c>
      <c r="CR46" s="391">
        <f>IF(ISERROR(CR14/CR9),"NA ",CR14/CR9)</f>
        <v>0.21127029608404965</v>
      </c>
      <c r="CS46" s="392"/>
      <c r="CT46" s="391">
        <f>IF(ISERROR(CT14/CT9),"NA ",CT14/CT9)</f>
        <v>0.26827927432655307</v>
      </c>
      <c r="CU46" s="391">
        <f>IF(ISERROR(CU14/CU9),"NA ",CU14/CU9)</f>
        <v>0.25669994745139252</v>
      </c>
      <c r="CV46" s="391">
        <f>IF(ISERROR(CV14/CV9),"NA ",CV14/CV9)</f>
        <v>0.25919526042952357</v>
      </c>
      <c r="CW46" s="391">
        <f>IF(ISERROR(CW14/CW9),"NA ",CW14/CW9)</f>
        <v>0.20992433573816646</v>
      </c>
      <c r="CX46" s="392"/>
      <c r="CY46" s="391">
        <f>IF(ISERROR(CY14/CY9),"NA ",CY14/CY9)</f>
        <v>0.24114002478314747</v>
      </c>
      <c r="CZ46" s="391">
        <f>IF(ISERROR(CZ14/CZ9),"NA ",CZ14/CZ9)</f>
        <v>0.2397560975609756</v>
      </c>
      <c r="DA46" s="391">
        <f>IF(ISERROR(DA14/DA9),"NA ",DA14/DA9)</f>
        <v>0.25106685633001424</v>
      </c>
      <c r="DB46" s="391">
        <f>IF(ISERROR(DB14/DB9),"NA ",DB14/DB9)</f>
        <v>0.19426962570387546</v>
      </c>
      <c r="DC46" s="392"/>
      <c r="DD46" s="391">
        <f>IF(ISERROR(DD14/DD9),"NA ",DD14/DD9)</f>
        <v>0.24123017779913503</v>
      </c>
      <c r="DE46" s="391">
        <f>IF(ISERROR(DE14/DE9),"NA ",DE14/DE9)</f>
        <v>0.23328625235404896</v>
      </c>
      <c r="DF46" s="391">
        <f>IF(ISERROR(DF14/DF9),"NA ",DF14/DF9)</f>
        <v>0.24451553930530165</v>
      </c>
      <c r="DG46" s="391">
        <f>IF(ISERROR(DG14/DG9),"NA ",DG14/DG9)</f>
        <v>0.19574609504818877</v>
      </c>
      <c r="DH46" s="392"/>
      <c r="DI46" s="391">
        <f>IF(ISERROR(DI14/DI9),"NA ",DI14/DI9)</f>
        <v>0.23615366485976902</v>
      </c>
      <c r="DJ46" s="391">
        <f>IF(ISERROR(DJ14/DJ9),"NA ",DJ14/DJ9)</f>
        <v>0.2318668252080856</v>
      </c>
      <c r="DK46" s="391">
        <f>IF(ISERROR(DK14/DK9),"NA ",DK14/DK9)</f>
        <v>0.23986636971046771</v>
      </c>
      <c r="DL46" s="391">
        <f>IF(ISERROR(DL14/DL9),"NA ",DL14/DL9)</f>
        <v>0.19110690633869443</v>
      </c>
      <c r="DM46" s="392"/>
      <c r="DN46" s="391">
        <f>IF(ISERROR(DN14/DN9),"NA ",DN14/DN9)</f>
        <v>0.23743748511550369</v>
      </c>
      <c r="DO46" s="391">
        <f>IF(ISERROR(DO14/DO9),"NA ",DO14/DO9)</f>
        <v>0.23315458148752624</v>
      </c>
      <c r="DP46" s="391">
        <f>IF(ISERROR(DP14/DP9),"NA ",DP14/DP9)</f>
        <v>0.24144914491449146</v>
      </c>
      <c r="DQ46" s="391">
        <f>IF(ISERROR(DQ14/DQ9),"NA ",DQ14/DQ9)</f>
        <v>0.20363994097393015</v>
      </c>
      <c r="DR46" s="392"/>
      <c r="DS46" s="391">
        <f>IF(ISERROR(DS14/DS9),"NA ",DS14/DS9)</f>
        <v>0.24570024570024571</v>
      </c>
      <c r="DT46" s="391">
        <f>IF(ISERROR(DT14/DT9),"NA ",DT14/DT9)</f>
        <v>0.23125884016973125</v>
      </c>
      <c r="DU46" s="391">
        <f>IF(ISERROR(DU14/DU9),"NA ",DU14/DU9)</f>
        <v>0.25080018289894834</v>
      </c>
      <c r="DV46" s="391">
        <f>IF(ISERROR(DV14/DV9),"NA ",DV14/DV9)</f>
        <v>0.20072589553416442</v>
      </c>
      <c r="DW46" s="392"/>
      <c r="DX46" s="391">
        <f>IF(ISERROR(DX14/DX9),"NA ",DX14/DX9)</f>
        <v>0.24642250788260975</v>
      </c>
      <c r="DY46" s="391">
        <f>IF(ISERROR(DY14/DY9),"NA ",DY14/DY9)</f>
        <v>0.23552847433794236</v>
      </c>
      <c r="DZ46" s="391">
        <f>IF(ISERROR(DZ14/DZ9),"NA ",DZ14/DZ9)</f>
        <v>0.24824937881183645</v>
      </c>
      <c r="EA46" s="391">
        <f>IF(ISERROR(EA14/EA9),"NA ",EA14/EA9)</f>
        <v>0.20854861437294506</v>
      </c>
      <c r="EB46" s="392"/>
      <c r="EC46" s="391">
        <f>IF(ISERROR(EC14/EC9),"NA ",EC14/EC9)</f>
        <v>0.25377643504531722</v>
      </c>
      <c r="ED46" s="391">
        <f>IF(ISERROR(ED14/ED9),"NA ",ED14/ED9)</f>
        <v>0.23577235772357724</v>
      </c>
      <c r="EE46" s="391">
        <f>IF(ISERROR(EE14/EE9),"NA ",EE14/EE9)</f>
        <v>0.2495955627455512</v>
      </c>
      <c r="EF46" s="391">
        <f>IF(ISERROR(EF14/EF9),"NA ",EF14/EF9)</f>
        <v>0.21917808219178081</v>
      </c>
      <c r="EG46" s="305"/>
      <c r="EH46" s="391">
        <f>IF(ISERROR(EH14/EH9),"NA ",EH14/EH9)</f>
        <v>0.2537080405932865</v>
      </c>
      <c r="EI46" s="391">
        <f>IF(ISERROR(EI14/EI9),"NA ",EI14/EI9)</f>
        <v>0.23721042471042472</v>
      </c>
      <c r="EJ46" s="391">
        <f>IF(ISERROR(EJ14/EJ9),"NA ",EJ14/EJ9)</f>
        <v>0.25277008310249305</v>
      </c>
      <c r="EK46" s="391">
        <f>IF(ISERROR(EK14/EK9),"NA ",EK14/EK9)</f>
        <v>0.21531877213695397</v>
      </c>
      <c r="EL46" s="391"/>
      <c r="EM46" s="1205">
        <f>IF(ISERROR(EM14/EM9),"NA ",EM14/EM9)</f>
        <v>0.257484479627828</v>
      </c>
      <c r="EN46" s="1205">
        <f>IF(ISERROR(EN14/EN9),"NA ",EN14/EN9)</f>
        <v>0.23318472179007113</v>
      </c>
      <c r="EO46" s="1205">
        <f>IF(ISERROR(EO14/EO9),"NA ",EO14/EO9)</f>
        <v>0.25362788564353894</v>
      </c>
      <c r="EP46" s="1205">
        <f>IF(ISERROR(EP14/EP9),"NA ",EP14/EP9)</f>
        <v>0.22491195554702076</v>
      </c>
      <c r="EQ46" s="391">
        <f t="shared" ref="EQ46:FT46" si="19">IF(ISERROR(EQ14/EQ9),"NA ",EQ14/EQ9)</f>
        <v>0.24530162890370283</v>
      </c>
      <c r="ER46" s="391">
        <f t="shared" si="19"/>
        <v>0.24673321682756069</v>
      </c>
      <c r="ES46" s="391">
        <f t="shared" si="19"/>
        <v>0.24539046146440374</v>
      </c>
      <c r="ET46" s="391">
        <f t="shared" si="19"/>
        <v>0.23402803308823528</v>
      </c>
      <c r="EU46" s="391">
        <f t="shared" si="19"/>
        <v>0.22965496383619471</v>
      </c>
      <c r="EV46" s="391">
        <f t="shared" si="19"/>
        <v>0.22664435061269614</v>
      </c>
      <c r="EW46" s="391">
        <f t="shared" si="19"/>
        <v>0.22450324471425581</v>
      </c>
      <c r="EX46" s="391">
        <f t="shared" si="19"/>
        <v>0.22182168855495471</v>
      </c>
      <c r="EY46" s="391">
        <f t="shared" si="19"/>
        <v>0.22171849960616025</v>
      </c>
      <c r="EZ46" s="391">
        <f t="shared" si="19"/>
        <v>0.2140165197126167</v>
      </c>
      <c r="FA46" s="391">
        <f t="shared" si="19"/>
        <v>0.21064871103020055</v>
      </c>
      <c r="FB46" s="391">
        <f t="shared" si="19"/>
        <v>0.20463979736790872</v>
      </c>
      <c r="FC46" s="391">
        <f t="shared" si="19"/>
        <v>0.20029242779763601</v>
      </c>
      <c r="FD46" s="391">
        <f t="shared" si="19"/>
        <v>0.20897695000972574</v>
      </c>
      <c r="FE46" s="391">
        <f t="shared" si="19"/>
        <v>0.22495081490850971</v>
      </c>
      <c r="FF46" s="391">
        <f t="shared" si="19"/>
        <v>0.22444076345674593</v>
      </c>
      <c r="FG46" s="391">
        <f t="shared" si="19"/>
        <v>0.22233205505623532</v>
      </c>
      <c r="FH46" s="393">
        <f t="shared" si="19"/>
        <v>0.22808476541396286</v>
      </c>
      <c r="FI46" s="391">
        <f t="shared" si="19"/>
        <v>0.24269126244066075</v>
      </c>
      <c r="FJ46" s="391">
        <f t="shared" si="19"/>
        <v>0.23000349283967866</v>
      </c>
      <c r="FK46" s="1263"/>
      <c r="FL46" s="391">
        <f t="shared" si="19"/>
        <v>0.22772008047414496</v>
      </c>
      <c r="FM46" s="391">
        <f t="shared" si="19"/>
        <v>0.22564348011061477</v>
      </c>
      <c r="FN46" s="391">
        <f t="shared" si="19"/>
        <v>0.22126556016597509</v>
      </c>
      <c r="FO46" s="391">
        <f t="shared" si="19"/>
        <v>0.22657768903368189</v>
      </c>
      <c r="FP46" s="391">
        <f t="shared" si="19"/>
        <v>0.22867055669452768</v>
      </c>
      <c r="FQ46" s="391">
        <f t="shared" si="19"/>
        <v>0.23182670277025619</v>
      </c>
      <c r="FR46" s="391">
        <f t="shared" si="19"/>
        <v>0.23728994969495878</v>
      </c>
      <c r="FS46" s="391">
        <f t="shared" si="19"/>
        <v>0.23629222309505107</v>
      </c>
      <c r="FT46" s="391">
        <f t="shared" si="19"/>
        <v>0.24018203805504967</v>
      </c>
      <c r="FU46" s="391">
        <f>IF(ISERROR(FU14/FU9),"NA ",FU14/FU9)</f>
        <v>0.24420000000000003</v>
      </c>
      <c r="FV46" s="394">
        <f>IF(ISERROR(FV14/FV9),"NA ",FV14/FV9)</f>
        <v>0.24599999999999997</v>
      </c>
      <c r="FW46" s="391">
        <f>IF(ISERROR(FW14/FW9),"NA ",FW14/FW9)</f>
        <v>0.24800000000000003</v>
      </c>
      <c r="FX46" s="394">
        <f>IF(ISERROR(FX14/FX9),"NA ",FX14/FX9)</f>
        <v>0.2487</v>
      </c>
    </row>
    <row r="47" spans="1:191" x14ac:dyDescent="0.2">
      <c r="A47" s="334" t="s">
        <v>194</v>
      </c>
      <c r="B47" s="305"/>
      <c r="C47" s="391">
        <f>C20/C9</f>
        <v>3.4243858909848116E-2</v>
      </c>
      <c r="D47" s="391">
        <f>D20/D9</f>
        <v>2.7748405908551967E-2</v>
      </c>
      <c r="E47" s="391">
        <f>E20/E9</f>
        <v>6.8456853198693574E-2</v>
      </c>
      <c r="F47" s="391">
        <f>F20/F9</f>
        <v>0.100475188278689</v>
      </c>
      <c r="G47" s="392"/>
      <c r="H47" s="391">
        <f>H20/H9</f>
        <v>4.0967738559902919E-2</v>
      </c>
      <c r="I47" s="391">
        <f>I20/I9</f>
        <v>3.5487122060470409E-2</v>
      </c>
      <c r="J47" s="391">
        <f>J20/J9</f>
        <v>6.427378964941563E-2</v>
      </c>
      <c r="K47" s="391">
        <f>K20/K9</f>
        <v>9.2628464652756037E-2</v>
      </c>
      <c r="L47" s="392"/>
      <c r="M47" s="391">
        <f>M20/M9</f>
        <v>4.927693761814745E-2</v>
      </c>
      <c r="N47" s="391">
        <f>N20/N9</f>
        <v>4.5822610294117598E-2</v>
      </c>
      <c r="O47" s="391">
        <f>O20/O9</f>
        <v>7.1770687237026579E-2</v>
      </c>
      <c r="P47" s="391">
        <f>P20/P9</f>
        <v>0.101049024775962</v>
      </c>
      <c r="Q47" s="392"/>
      <c r="R47" s="391">
        <f>R20/R9</f>
        <v>5.719824140687442E-2</v>
      </c>
      <c r="S47" s="391">
        <f>S20/S9</f>
        <v>5.1301476301476301E-2</v>
      </c>
      <c r="T47" s="391">
        <f>T20/T9</f>
        <v>7.241126430038132E-2</v>
      </c>
      <c r="U47" s="391">
        <f>U20/U9</f>
        <v>0.10950557864799836</v>
      </c>
      <c r="V47" s="392"/>
      <c r="W47" s="391">
        <f>W20/W9</f>
        <v>7.4876543209876578E-2</v>
      </c>
      <c r="X47" s="391">
        <f>X20/X9</f>
        <v>6.7527359781121621E-2</v>
      </c>
      <c r="Y47" s="391">
        <f>Y20/Y9</f>
        <v>8.3905006418485237E-2</v>
      </c>
      <c r="Z47" s="391">
        <f>Z20/Z9</f>
        <v>0.10767267959031793</v>
      </c>
      <c r="AA47" s="392"/>
      <c r="AB47" s="391">
        <f>AB20/AB9</f>
        <v>7.1311074918566739E-2</v>
      </c>
      <c r="AC47" s="391">
        <f>AC20/AC9</f>
        <v>6.6545554638040225E-2</v>
      </c>
      <c r="AD47" s="391">
        <f>AD20/AD9</f>
        <v>6.3303883295664651E-2</v>
      </c>
      <c r="AE47" s="391">
        <f>AE20/AE9</f>
        <v>0.10266760961810469</v>
      </c>
      <c r="AF47" s="392"/>
      <c r="AG47" s="391">
        <f>AG20/AG9</f>
        <v>7.1516961809259594E-2</v>
      </c>
      <c r="AH47" s="391">
        <f>AH20/AH9</f>
        <v>6.5825958702064979E-2</v>
      </c>
      <c r="AI47" s="391">
        <f>AI20/AI9</f>
        <v>7.034102306920767E-2</v>
      </c>
      <c r="AJ47" s="391">
        <f>AJ20/AJ9</f>
        <v>0.11083234946871307</v>
      </c>
      <c r="AK47" s="392"/>
      <c r="AL47" s="391">
        <f>AL20/AL9</f>
        <v>7.6963168577979732E-2</v>
      </c>
      <c r="AM47" s="391">
        <f>AM20/AM9</f>
        <v>7.1512027656638458E-2</v>
      </c>
      <c r="AN47" s="391">
        <f>AN20/AN9</f>
        <v>7.8820269200316623E-2</v>
      </c>
      <c r="AO47" s="391">
        <f>AO20/AO9</f>
        <v>0.11360642048617554</v>
      </c>
      <c r="AP47" s="392"/>
      <c r="AQ47" s="391">
        <f>AQ20/AQ9</f>
        <v>7.7641686811711033E-2</v>
      </c>
      <c r="AR47" s="391">
        <f>AR20/AR9</f>
        <v>7.6225205930807269E-2</v>
      </c>
      <c r="AS47" s="391">
        <f>AS20/AS9</f>
        <v>9.0307700961917092E-2</v>
      </c>
      <c r="AT47" s="391">
        <f>AT20/AT9</f>
        <v>0.11769600620395498</v>
      </c>
      <c r="AU47" s="392"/>
      <c r="AV47" s="391">
        <f>AV20/AV9</f>
        <v>7.4291991651103922E-2</v>
      </c>
      <c r="AW47" s="391">
        <f>AW20/AW9</f>
        <v>8.464715274081959E-2</v>
      </c>
      <c r="AX47" s="391">
        <f>AX20/AX9</f>
        <v>8.4145387749163428E-2</v>
      </c>
      <c r="AY47" s="391">
        <f>AY20/AY9</f>
        <v>0.12959253499222395</v>
      </c>
      <c r="AZ47" s="392"/>
      <c r="BA47" s="391">
        <f>BA20/BA9</f>
        <v>9.3262798079270903E-2</v>
      </c>
      <c r="BB47" s="391">
        <f>BB20/BB9</f>
        <v>9.4737135574318981E-2</v>
      </c>
      <c r="BC47" s="391">
        <f>BC20/BC9</f>
        <v>9.2220761245674715E-2</v>
      </c>
      <c r="BD47" s="391">
        <f>BD20/BD9</f>
        <v>0.13479060770995452</v>
      </c>
      <c r="BE47" s="392"/>
      <c r="BF47" s="391">
        <f>BF20/BF9</f>
        <v>9.8997513942081547E-2</v>
      </c>
      <c r="BG47" s="391">
        <f>BG20/BG9</f>
        <v>0.10309209658266258</v>
      </c>
      <c r="BH47" s="391">
        <f>BH20/BH9</f>
        <v>9.8148318569190388E-2</v>
      </c>
      <c r="BI47" s="391">
        <f>BI20/BI9</f>
        <v>0.14296123632626084</v>
      </c>
      <c r="BJ47" s="392"/>
      <c r="BK47" s="391">
        <f>BK20/BK9</f>
        <v>0.10744506816359266</v>
      </c>
      <c r="BL47" s="391">
        <f>BL20/BL9</f>
        <v>0.11251886154326447</v>
      </c>
      <c r="BM47" s="391">
        <f>BM20/BM9</f>
        <v>0.10502472706914254</v>
      </c>
      <c r="BN47" s="391">
        <f>BN20/BN9</f>
        <v>0.14485240547669906</v>
      </c>
      <c r="BO47" s="392"/>
      <c r="BP47" s="391">
        <f>BP20/BP9</f>
        <v>9.0757425508806625E-2</v>
      </c>
      <c r="BQ47" s="391">
        <f>BQ20/BQ9</f>
        <v>9.0880275312443415E-2</v>
      </c>
      <c r="BR47" s="391">
        <f>BR20/BR9</f>
        <v>8.6136173767752677E-2</v>
      </c>
      <c r="BS47" s="391">
        <f>BS20/BS9</f>
        <v>0.11361913585445978</v>
      </c>
      <c r="BT47" s="392"/>
      <c r="BU47" s="391">
        <f>BU20/BU9</f>
        <v>7.5917990084866743E-2</v>
      </c>
      <c r="BV47" s="391">
        <f>BV20/BV9</f>
        <v>0.10059650106089123</v>
      </c>
      <c r="BW47" s="391">
        <f>BW20/BW9</f>
        <v>8.4371150552133858E-2</v>
      </c>
      <c r="BX47" s="391">
        <f>BX20/BX9</f>
        <v>0.12993576384632355</v>
      </c>
      <c r="BY47" s="392"/>
      <c r="BZ47" s="391">
        <f>BZ20/BZ9</f>
        <v>7.9371445238442556E-2</v>
      </c>
      <c r="CA47" s="391">
        <f>CA20/CA9</f>
        <v>0.10629825837055495</v>
      </c>
      <c r="CB47" s="391">
        <f>CB20/CB9</f>
        <v>8.5721613130730331E-2</v>
      </c>
      <c r="CC47" s="391">
        <f>CC20/CC9</f>
        <v>0.1336228207829058</v>
      </c>
      <c r="CD47" s="392"/>
      <c r="CE47" s="391">
        <f>CE20/CE9</f>
        <v>8.8565641975696288E-2</v>
      </c>
      <c r="CF47" s="391">
        <f>CF20/CF9</f>
        <v>0.1137077704212047</v>
      </c>
      <c r="CG47" s="391">
        <f>CG20/CG9</f>
        <v>0.10118740093806494</v>
      </c>
      <c r="CH47" s="391">
        <f>CH20/CH9</f>
        <v>0.14458760048452815</v>
      </c>
      <c r="CI47" s="392"/>
      <c r="CJ47" s="391">
        <f>CJ20/CJ9</f>
        <v>9.6892497200447972E-2</v>
      </c>
      <c r="CK47" s="391">
        <f>CK20/CK9</f>
        <v>0.12359885211189113</v>
      </c>
      <c r="CL47" s="391">
        <f>CL20/CL9</f>
        <v>8.6505280769632958E-2</v>
      </c>
      <c r="CM47" s="391">
        <f>CM20/CM9</f>
        <v>0.12461502013740823</v>
      </c>
      <c r="CN47" s="392"/>
      <c r="CO47" s="391">
        <f>CO20/CO9</f>
        <v>7.489172269421146E-2</v>
      </c>
      <c r="CP47" s="391">
        <f>CP20/CP9</f>
        <v>0.10912631626980605</v>
      </c>
      <c r="CQ47" s="391">
        <f>CQ20/CQ9</f>
        <v>7.50171742976284E-2</v>
      </c>
      <c r="CR47" s="391">
        <f>CR20/CR9</f>
        <v>0.10945558739255014</v>
      </c>
      <c r="CS47" s="392"/>
      <c r="CT47" s="391">
        <f>CT20/CT9</f>
        <v>6.8993952721275426E-2</v>
      </c>
      <c r="CU47" s="391">
        <f>CU20/CU9</f>
        <v>0.10483447188649501</v>
      </c>
      <c r="CV47" s="391">
        <f>CV20/CV9</f>
        <v>8.3683041224389035E-2</v>
      </c>
      <c r="CW47" s="391">
        <f>CW20/CW9</f>
        <v>0.12722153792011262</v>
      </c>
      <c r="CX47" s="392"/>
      <c r="CY47" s="391">
        <f>CY20/CY9</f>
        <v>9.6158612143742259E-2</v>
      </c>
      <c r="CZ47" s="391">
        <f>CZ20/CZ9</f>
        <v>0.11902439024390243</v>
      </c>
      <c r="DA47" s="391">
        <f>DA20/DA9</f>
        <v>8.4400189663347558E-2</v>
      </c>
      <c r="DB47" s="391">
        <f>DB20/DB9</f>
        <v>0.14259688638622059</v>
      </c>
      <c r="DC47" s="392"/>
      <c r="DD47" s="391">
        <f>DD20/DD9</f>
        <v>9.394521864488227E-2</v>
      </c>
      <c r="DE47" s="391">
        <f>DE20/DE9</f>
        <v>0.12876647834274954</v>
      </c>
      <c r="DF47" s="391">
        <f>DF20/DF9</f>
        <v>9.5063985374771481E-2</v>
      </c>
      <c r="DG47" s="391">
        <f>DG20/DG9</f>
        <v>0.13376537055500165</v>
      </c>
      <c r="DH47" s="392"/>
      <c r="DI47" s="391">
        <f>DI20/DI9</f>
        <v>7.5654018383219418E-2</v>
      </c>
      <c r="DJ47" s="391">
        <f>DJ20/DJ9</f>
        <v>0.10868014268727705</v>
      </c>
      <c r="DK47" s="391">
        <f>DK20/DK9</f>
        <v>9.4654788418708238E-2</v>
      </c>
      <c r="DL47" s="391">
        <f>DL20/DL9</f>
        <v>0.10816777041942605</v>
      </c>
      <c r="DM47" s="392"/>
      <c r="DN47" s="391">
        <f>DN20/DN9</f>
        <v>7.5494165277447012E-2</v>
      </c>
      <c r="DO47" s="391">
        <f>DO20/DO9</f>
        <v>0.10515271625087433</v>
      </c>
      <c r="DP47" s="391">
        <f>DP20/DP9</f>
        <v>8.2133213321332138E-2</v>
      </c>
      <c r="DQ47" s="391">
        <f>DQ20/DQ9</f>
        <v>9.9852434825381212E-2</v>
      </c>
      <c r="DR47" s="392"/>
      <c r="DS47" s="391">
        <f>DS20/DS9</f>
        <v>6.8796068796068796E-2</v>
      </c>
      <c r="DT47" s="391">
        <f>DT20/DT9</f>
        <v>0.10631777463460632</v>
      </c>
      <c r="DU47" s="391">
        <f>DU20/DU9</f>
        <v>6.9501600365797903E-2</v>
      </c>
      <c r="DV47" s="391">
        <f>DV20/DV9</f>
        <v>0.10320340855294304</v>
      </c>
      <c r="DW47" s="392"/>
      <c r="DX47" s="391">
        <f>DX20/DX9</f>
        <v>6.7911714770797965E-2</v>
      </c>
      <c r="DY47" s="391">
        <f>DY20/DY9</f>
        <v>9.9367236934614481E-2</v>
      </c>
      <c r="DZ47" s="391">
        <f>DZ20/DZ9</f>
        <v>6.9573074316693018E-2</v>
      </c>
      <c r="EA47" s="391">
        <f>EA20/EA9</f>
        <v>8.4703303585407855E-2</v>
      </c>
      <c r="EB47" s="392"/>
      <c r="EC47" s="391">
        <f>EC20/EC9</f>
        <v>4.2799597180261835E-2</v>
      </c>
      <c r="ED47" s="391">
        <f>ED20/ED9</f>
        <v>0.10282161645145864</v>
      </c>
      <c r="EE47" s="391">
        <f>EE20/EE9</f>
        <v>6.8176565749942228E-2</v>
      </c>
      <c r="EF47" s="391">
        <f>EF20/EF9</f>
        <v>7.6228847703464941E-2</v>
      </c>
      <c r="EG47" s="305"/>
      <c r="EH47" s="391">
        <f>EH20/EH9</f>
        <v>4.8139474368982568E-2</v>
      </c>
      <c r="EI47" s="391">
        <f>EI20/EI9</f>
        <v>9.8214285714285712E-2</v>
      </c>
      <c r="EJ47" s="391">
        <f>EJ20/EJ9</f>
        <v>5.9325946445060021E-2</v>
      </c>
      <c r="EK47" s="391">
        <f>EK20/EK9</f>
        <v>8.3677685950413222E-2</v>
      </c>
      <c r="EL47" s="391"/>
      <c r="EM47" s="1205">
        <f>EM20/EM9</f>
        <v>4.5195303025341423E-2</v>
      </c>
      <c r="EN47" s="1205">
        <f>EN20/EN9</f>
        <v>0.10383705479284092</v>
      </c>
      <c r="EO47" s="1205">
        <f>EO20/EO9</f>
        <v>5.9749273805520045E-2</v>
      </c>
      <c r="EP47" s="1205">
        <f>EP20/EP9</f>
        <v>7.362233579486141E-2</v>
      </c>
      <c r="EQ47" s="391">
        <f t="shared" ref="EQ47:FT47" si="20">EQ20/EQ9</f>
        <v>6.448002329718476E-2</v>
      </c>
      <c r="ER47" s="391">
        <f t="shared" si="20"/>
        <v>6.374606900495039E-2</v>
      </c>
      <c r="ES47" s="391">
        <f t="shared" si="20"/>
        <v>7.4997994267251122E-2</v>
      </c>
      <c r="ET47" s="391">
        <f t="shared" si="20"/>
        <v>7.8321078431372537E-2</v>
      </c>
      <c r="EU47" s="391">
        <f t="shared" si="20"/>
        <v>7.9672981390440295E-2</v>
      </c>
      <c r="EV47" s="391">
        <f t="shared" si="20"/>
        <v>7.7859175174965309E-2</v>
      </c>
      <c r="EW47" s="391">
        <f t="shared" si="20"/>
        <v>7.9241364873351441E-2</v>
      </c>
      <c r="EX47" s="391">
        <f t="shared" si="20"/>
        <v>8.4581338290059982E-2</v>
      </c>
      <c r="EY47" s="391">
        <f t="shared" si="20"/>
        <v>8.7676888393948313E-2</v>
      </c>
      <c r="EZ47" s="391">
        <f t="shared" si="20"/>
        <v>9.851765862479088E-2</v>
      </c>
      <c r="FA47" s="391">
        <f t="shared" si="20"/>
        <v>0.10320421962875086</v>
      </c>
      <c r="FB47" s="391">
        <f t="shared" si="20"/>
        <v>0.11229907248920561</v>
      </c>
      <c r="FC47" s="391">
        <f t="shared" si="20"/>
        <v>0.11816067630095846</v>
      </c>
      <c r="FD47" s="391">
        <f t="shared" si="20"/>
        <v>9.7905271347986794E-2</v>
      </c>
      <c r="FE47" s="391">
        <f t="shared" si="20"/>
        <v>0.10199859837445634</v>
      </c>
      <c r="FF47" s="391">
        <f t="shared" si="20"/>
        <v>0.10548268194773985</v>
      </c>
      <c r="FG47" s="391">
        <f t="shared" si="20"/>
        <v>0.11643316994647732</v>
      </c>
      <c r="FH47" s="393">
        <f t="shared" si="20"/>
        <v>0.10953343814686438</v>
      </c>
      <c r="FI47" s="391">
        <f t="shared" si="20"/>
        <v>9.3744062110280663E-2</v>
      </c>
      <c r="FJ47" s="391">
        <f t="shared" si="20"/>
        <v>0.10821981604377692</v>
      </c>
      <c r="FK47" s="1263"/>
      <c r="FL47" s="391">
        <f t="shared" si="20"/>
        <v>0.11380566581480071</v>
      </c>
      <c r="FM47" s="391">
        <f t="shared" si="20"/>
        <v>0.11481599659646884</v>
      </c>
      <c r="FN47" s="391">
        <f t="shared" si="20"/>
        <v>9.7977178423236513E-2</v>
      </c>
      <c r="FO47" s="391">
        <f t="shared" si="20"/>
        <v>9.1534864168987443E-2</v>
      </c>
      <c r="FP47" s="391">
        <f t="shared" si="20"/>
        <v>8.8787257530357988E-2</v>
      </c>
      <c r="FQ47" s="391">
        <f t="shared" si="20"/>
        <v>8.0868569048114972E-2</v>
      </c>
      <c r="FR47" s="391">
        <f t="shared" si="20"/>
        <v>7.320988975703735E-2</v>
      </c>
      <c r="FS47" s="391">
        <f t="shared" si="20"/>
        <v>7.415553809897879E-2</v>
      </c>
      <c r="FT47" s="391">
        <f t="shared" si="20"/>
        <v>7.1163494992334056E-2</v>
      </c>
      <c r="FU47" s="391">
        <f>FU20/FU9</f>
        <v>6.3419436656948269E-2</v>
      </c>
      <c r="FV47" s="394">
        <f>FV20/FV9</f>
        <v>5.9051349728574426E-2</v>
      </c>
      <c r="FW47" s="391">
        <f>FW20/FW9</f>
        <v>5.4262821577829974E-2</v>
      </c>
      <c r="FX47" s="394">
        <f>FX20/FX9</f>
        <v>5.1953477324082321E-2</v>
      </c>
    </row>
    <row r="48" spans="1:191" x14ac:dyDescent="0.2">
      <c r="A48" s="334" t="s">
        <v>195</v>
      </c>
      <c r="B48" s="305"/>
      <c r="C48" s="391">
        <f>C24/C9</f>
        <v>-1.6712936568921435E-2</v>
      </c>
      <c r="D48" s="391">
        <f>D24/D9</f>
        <v>-2.442885065205555E-2</v>
      </c>
      <c r="E48" s="391">
        <f>E24/E9</f>
        <v>3.3664923563943724E-2</v>
      </c>
      <c r="F48" s="391">
        <f>F24/F9</f>
        <v>7.473215660680356E-2</v>
      </c>
      <c r="G48" s="392"/>
      <c r="H48" s="391">
        <f>H24/H9</f>
        <v>4.8763642832477302E-3</v>
      </c>
      <c r="I48" s="391">
        <f>I24/I9</f>
        <v>-1.4781634938409022E-3</v>
      </c>
      <c r="J48" s="391">
        <f>J24/J9</f>
        <v>3.541736227045069E-2</v>
      </c>
      <c r="K48" s="391">
        <f>K24/K9</f>
        <v>7.520710059171587E-2</v>
      </c>
      <c r="L48" s="392"/>
      <c r="M48" s="391">
        <f>M24/M9</f>
        <v>2.3038752362948962E-2</v>
      </c>
      <c r="N48" s="391">
        <f>N24/N9</f>
        <v>-5.1654411764705928E-2</v>
      </c>
      <c r="O48" s="391">
        <f>O24/O9</f>
        <v>6.2293127629733457E-2</v>
      </c>
      <c r="P48" s="391">
        <f>P24/P9</f>
        <v>9.4030047443331544E-2</v>
      </c>
      <c r="Q48" s="392"/>
      <c r="R48" s="391">
        <f>R24/R9</f>
        <v>5.1410871302957552E-2</v>
      </c>
      <c r="S48" s="391">
        <f>S24/S9</f>
        <v>4.5745920745920744E-2</v>
      </c>
      <c r="T48" s="391">
        <f>T24/T9</f>
        <v>6.7761806981519471E-2</v>
      </c>
      <c r="U48" s="391">
        <f>U24/U9</f>
        <v>0.10677532268650197</v>
      </c>
      <c r="V48" s="392"/>
      <c r="W48" s="391">
        <f>W24/W9</f>
        <v>7.1731643924626415E-2</v>
      </c>
      <c r="X48" s="391">
        <f>X24/X9</f>
        <v>6.3156634746921902E-2</v>
      </c>
      <c r="Y48" s="391">
        <f>Y24/Y9</f>
        <v>7.8664955070603323E-2</v>
      </c>
      <c r="Z48" s="391">
        <f>Z24/Z9</f>
        <v>0.10388595527518875</v>
      </c>
      <c r="AA48" s="392"/>
      <c r="AB48" s="391">
        <f>AB24/AB9</f>
        <v>6.4652551574375647E-2</v>
      </c>
      <c r="AC48" s="391">
        <f>AC24/AC9</f>
        <v>5.763556289567854E-2</v>
      </c>
      <c r="AD48" s="391">
        <f>AD24/AD9</f>
        <v>2.6369426751592335E-2</v>
      </c>
      <c r="AE48" s="391">
        <f>AE24/AE9</f>
        <v>9.7666195190947686E-2</v>
      </c>
      <c r="AF48" s="392"/>
      <c r="AG48" s="391">
        <f>AG24/AG9</f>
        <v>6.2765094943460567E-2</v>
      </c>
      <c r="AH48" s="391">
        <f>AH24/AH9</f>
        <v>5.8156342182890938E-2</v>
      </c>
      <c r="AI48" s="391">
        <f>AI24/AI9</f>
        <v>6.1402540956201984E-2</v>
      </c>
      <c r="AJ48" s="391">
        <f>AJ24/AJ9</f>
        <v>0.10548051948051945</v>
      </c>
      <c r="AK48" s="392"/>
      <c r="AL48" s="391">
        <f>AL24/AL9</f>
        <v>6.724536131227031E-2</v>
      </c>
      <c r="AM48" s="391">
        <f>AM24/AM9</f>
        <v>6.031538440579743E-2</v>
      </c>
      <c r="AN48" s="391">
        <f>AN24/AN9</f>
        <v>7.1452889944576325E-2</v>
      </c>
      <c r="AO48" s="391">
        <f>AO24/AO9</f>
        <v>0.10862683243644461</v>
      </c>
      <c r="AP48" s="392"/>
      <c r="AQ48" s="391">
        <f>AQ24/AQ9</f>
        <v>7.0847434864356754E-2</v>
      </c>
      <c r="AR48" s="391">
        <f>AR24/AR9</f>
        <v>6.9370510708402E-2</v>
      </c>
      <c r="AS48" s="391">
        <f>AS24/AS9</f>
        <v>8.426731169488666E-2</v>
      </c>
      <c r="AT48" s="391">
        <f>AT24/AT9</f>
        <v>0.11344086855370294</v>
      </c>
      <c r="AU48" s="392"/>
      <c r="AV48" s="391">
        <f>AV24/AV9</f>
        <v>6.8654289794573109E-2</v>
      </c>
      <c r="AW48" s="391">
        <f>AW24/AW9</f>
        <v>7.7741351782863233E-2</v>
      </c>
      <c r="AX48" s="391">
        <f>AX24/AX9</f>
        <v>7.6840535428488316E-2</v>
      </c>
      <c r="AY48" s="391">
        <f>AY24/AY9</f>
        <v>0.12492068429237947</v>
      </c>
      <c r="AZ48" s="392"/>
      <c r="BA48" s="391">
        <f>BA24/BA9</f>
        <v>8.6564661837714774E-2</v>
      </c>
      <c r="BB48" s="391">
        <f>BB24/BB9</f>
        <v>8.6801816154213826E-2</v>
      </c>
      <c r="BC48" s="391">
        <f>BC24/BC9</f>
        <v>8.462145328719721E-2</v>
      </c>
      <c r="BD48" s="391">
        <f>BD24/BD9</f>
        <v>0.13054428500742205</v>
      </c>
      <c r="BE48" s="392"/>
      <c r="BF48" s="391">
        <f>BF24/BF9</f>
        <v>9.1891419740643673E-2</v>
      </c>
      <c r="BG48" s="391">
        <f>BG24/BG9</f>
        <v>9.46767383559836E-2</v>
      </c>
      <c r="BH48" s="391">
        <f>BH24/BH9</f>
        <v>9.0393593077724502E-2</v>
      </c>
      <c r="BI48" s="391">
        <f>BI24/BI9</f>
        <v>0.13814220688642528</v>
      </c>
      <c r="BJ48" s="392"/>
      <c r="BK48" s="391">
        <f>BK24/BK9</f>
        <v>0.10070088211708102</v>
      </c>
      <c r="BL48" s="391">
        <f>BL24/BL9</f>
        <v>0.10575472188979655</v>
      </c>
      <c r="BM48" s="391">
        <f>BM24/BM9</f>
        <v>9.8586358122608991E-2</v>
      </c>
      <c r="BN48" s="391">
        <f>BN24/BN9</f>
        <v>0.13963572415525702</v>
      </c>
      <c r="BO48" s="392"/>
      <c r="BP48" s="391">
        <f>BP24/BP9</f>
        <v>8.2368135241063317E-2</v>
      </c>
      <c r="BQ48" s="391">
        <f>BQ24/BQ9</f>
        <v>8.0374932077522207E-2</v>
      </c>
      <c r="BR48" s="391">
        <f>BR24/BR9</f>
        <v>7.9536340852130294E-2</v>
      </c>
      <c r="BS48" s="391">
        <f>BS24/BS9</f>
        <v>0.10907100143182018</v>
      </c>
      <c r="BT48" s="392"/>
      <c r="BU48" s="391">
        <f>BU24/BU9</f>
        <v>6.9615998655575093E-2</v>
      </c>
      <c r="BV48" s="391">
        <f>BV24/BV9</f>
        <v>9.4591456823732017E-2</v>
      </c>
      <c r="BW48" s="391">
        <f>BW24/BW9</f>
        <v>7.8878603447647536E-2</v>
      </c>
      <c r="BX48" s="391">
        <f>BX24/BX9</f>
        <v>0.12566969867850047</v>
      </c>
      <c r="BY48" s="392"/>
      <c r="BZ48" s="391">
        <f>BZ24/BZ9</f>
        <v>7.3100481260026343E-2</v>
      </c>
      <c r="CA48" s="391">
        <f>CA24/CA9</f>
        <v>0.10421308594052246</v>
      </c>
      <c r="CB48" s="391">
        <f>CB24/CB9</f>
        <v>7.9951272680643781E-2</v>
      </c>
      <c r="CC48" s="391">
        <f>CC24/CC9</f>
        <v>0.12958146133837778</v>
      </c>
      <c r="CD48" s="392"/>
      <c r="CE48" s="391">
        <f>CE24/CE9</f>
        <v>8.410070022294093E-2</v>
      </c>
      <c r="CF48" s="391">
        <f>CF24/CF9</f>
        <v>0.11189041852705454</v>
      </c>
      <c r="CG48" s="391">
        <f>CG24/CG9</f>
        <v>9.839627184704329E-2</v>
      </c>
      <c r="CH48" s="391">
        <f>CH24/CH9</f>
        <v>0.14275226663730134</v>
      </c>
      <c r="CI48" s="392"/>
      <c r="CJ48" s="391">
        <f>CJ24/CJ9</f>
        <v>9.4036954087346067E-2</v>
      </c>
      <c r="CK48" s="391">
        <f>CK24/CK9</f>
        <v>0.1206734091162375</v>
      </c>
      <c r="CL48" s="391">
        <f>CL24/CL9</f>
        <v>8.1616647495555791E-2</v>
      </c>
      <c r="CM48" s="391">
        <f>CM24/CM9</f>
        <v>0.12042352340859806</v>
      </c>
      <c r="CN48" s="392"/>
      <c r="CO48" s="391">
        <f>CO24/CO9</f>
        <v>6.7525251368624625E-2</v>
      </c>
      <c r="CP48" s="391">
        <f>CP24/CP9</f>
        <v>0.10201503694815978</v>
      </c>
      <c r="CQ48" s="391">
        <f>CQ24/CQ9</f>
        <v>6.7586152139695321E-2</v>
      </c>
      <c r="CR48" s="391">
        <f>CR24/CR9</f>
        <v>0.10372492836676218</v>
      </c>
      <c r="CS48" s="392"/>
      <c r="CT48" s="391">
        <f>CT24/CT9</f>
        <v>6.0197910940076968E-2</v>
      </c>
      <c r="CU48" s="391">
        <f>CU24/CU9</f>
        <v>9.6689437729900157E-2</v>
      </c>
      <c r="CV48" s="391">
        <f>CV24/CV9</f>
        <v>7.6030609725993584E-2</v>
      </c>
      <c r="CW48" s="391">
        <f>CW24/CW9</f>
        <v>0.12176667253211332</v>
      </c>
      <c r="CX48" s="392"/>
      <c r="CY48" s="391">
        <f>CY24/CY9</f>
        <v>7.7075588599752165E-2</v>
      </c>
      <c r="CZ48" s="391">
        <f>CZ24/CZ9</f>
        <v>0.1</v>
      </c>
      <c r="DA48" s="391">
        <f>DA24/DA9</f>
        <v>6.5670934091986724E-2</v>
      </c>
      <c r="DB48" s="391">
        <f>DB24/DB9</f>
        <v>0.13083802583636966</v>
      </c>
      <c r="DC48" s="392"/>
      <c r="DD48" s="391">
        <f>DD24/DD9</f>
        <v>7.5684766938971651E-2</v>
      </c>
      <c r="DE48" s="391">
        <f>DE24/DE9</f>
        <v>0.11181732580037665</v>
      </c>
      <c r="DF48" s="391">
        <f>DF24/DF9</f>
        <v>7.7925045703839124E-2</v>
      </c>
      <c r="DG48" s="391">
        <f>DG24/DG9</f>
        <v>0.12113659022931206</v>
      </c>
      <c r="DH48" s="392"/>
      <c r="DI48" s="391">
        <f>DI24/DI9</f>
        <v>5.6210228611831253E-2</v>
      </c>
      <c r="DJ48" s="391">
        <f>DJ24/DJ9</f>
        <v>8.9536266349583823E-2</v>
      </c>
      <c r="DK48" s="391">
        <f>DK24/DK9</f>
        <v>7.6726057906458797E-2</v>
      </c>
      <c r="DL48" s="391">
        <f>DL24/DL9</f>
        <v>9.4765058341217276E-2</v>
      </c>
      <c r="DM48" s="392"/>
      <c r="DN48" s="391">
        <f>DN24/DN9</f>
        <v>5.5727554179566562E-2</v>
      </c>
      <c r="DO48" s="391">
        <f>DO24/DO9</f>
        <v>8.5567731405922123E-2</v>
      </c>
      <c r="DP48" s="391">
        <f>DP24/DP9</f>
        <v>6.3231323132313236E-2</v>
      </c>
      <c r="DQ48" s="391">
        <f>DQ24/DQ9</f>
        <v>8.5587801278898173E-2</v>
      </c>
      <c r="DR48" s="392"/>
      <c r="DS48" s="391">
        <f>DS24/DS9</f>
        <v>4.7911547911547912E-2</v>
      </c>
      <c r="DT48" s="391">
        <f>DT24/DT9</f>
        <v>8.6044318717586041E-2</v>
      </c>
      <c r="DU48" s="391">
        <f>DU24/DU9</f>
        <v>5.0068587105624146E-2</v>
      </c>
      <c r="DV48" s="391">
        <f>DV24/DV9</f>
        <v>8.9947924885592556E-2</v>
      </c>
      <c r="DW48" s="392"/>
      <c r="DX48" s="391">
        <f>DX24/DX9</f>
        <v>4.7538200339558571E-2</v>
      </c>
      <c r="DY48" s="391">
        <f>DY24/DY9</f>
        <v>7.9681274900398405E-2</v>
      </c>
      <c r="DZ48" s="391">
        <f>DZ24/DZ9</f>
        <v>5.1276259317822453E-2</v>
      </c>
      <c r="EA48" s="391">
        <f>EA24/EA9</f>
        <v>7.2334429309534987E-2</v>
      </c>
      <c r="EB48" s="392"/>
      <c r="EC48" s="391">
        <f>EC24/EC9</f>
        <v>2.2910372608257804E-2</v>
      </c>
      <c r="ED48" s="391">
        <f>ED24/ED9</f>
        <v>8.4170253467240552E-2</v>
      </c>
      <c r="EE48" s="391">
        <f>EE24/EE9</f>
        <v>5.0612433556736766E-2</v>
      </c>
      <c r="EF48" s="391">
        <f>EF24/EF9</f>
        <v>6.4141821112006447E-2</v>
      </c>
      <c r="EG48" s="305"/>
      <c r="EH48" s="391">
        <f>EH24/EH9</f>
        <v>2.8363257871454592E-2</v>
      </c>
      <c r="EI48" s="391">
        <f>EI24/EI9</f>
        <v>8.0115830115830122E-2</v>
      </c>
      <c r="EJ48" s="391">
        <f>EJ24/EJ9</f>
        <v>4.224376731301939E-2</v>
      </c>
      <c r="EK48" s="391">
        <f>EK24/EK9</f>
        <v>7.2756788665879576E-2</v>
      </c>
      <c r="EL48" s="391"/>
      <c r="EM48" s="1205">
        <f>EM24/EM9</f>
        <v>2.7086504458109565E-2</v>
      </c>
      <c r="EN48" s="1205">
        <f>EN24/EN9</f>
        <v>8.7072572962856906E-2</v>
      </c>
      <c r="EO48" s="1205">
        <f>EO24/EO9</f>
        <v>4.3380111978162224E-2</v>
      </c>
      <c r="EP48" s="1205">
        <f>EP24/EP9</f>
        <v>6.29258754171933E-2</v>
      </c>
      <c r="EQ48" s="391">
        <f t="shared" ref="EQ48:FT48" si="21">EQ24/EQ9</f>
        <v>2.60751207591844E-2</v>
      </c>
      <c r="ER48" s="391">
        <f t="shared" si="21"/>
        <v>3.5793281787052357E-2</v>
      </c>
      <c r="ES48" s="391">
        <f t="shared" si="21"/>
        <v>4.5707002560044348E-2</v>
      </c>
      <c r="ET48" s="391">
        <f t="shared" si="21"/>
        <v>7.3946844362745082E-2</v>
      </c>
      <c r="EU48" s="391">
        <f t="shared" si="21"/>
        <v>7.5539239659210722E-2</v>
      </c>
      <c r="EV48" s="391">
        <f t="shared" si="21"/>
        <v>6.3733175327639516E-2</v>
      </c>
      <c r="EW48" s="391">
        <f t="shared" si="21"/>
        <v>7.1863512664852372E-2</v>
      </c>
      <c r="EX48" s="391">
        <f t="shared" si="21"/>
        <v>7.6812924089665488E-2</v>
      </c>
      <c r="EY48" s="391">
        <f t="shared" si="21"/>
        <v>8.1941494418339228E-2</v>
      </c>
      <c r="EZ48" s="391">
        <f t="shared" si="21"/>
        <v>9.2556912692177612E-2</v>
      </c>
      <c r="FA48" s="391">
        <f t="shared" si="21"/>
        <v>9.6927928220799223E-2</v>
      </c>
      <c r="FB48" s="391">
        <f t="shared" si="21"/>
        <v>0.1056074756371178</v>
      </c>
      <c r="FC48" s="391">
        <f t="shared" si="21"/>
        <v>0.11201749961623664</v>
      </c>
      <c r="FD48" s="391">
        <f t="shared" si="21"/>
        <v>9.0808792063800839E-2</v>
      </c>
      <c r="FE48" s="391">
        <f t="shared" si="21"/>
        <v>9.6659516097327619E-2</v>
      </c>
      <c r="FF48" s="391">
        <f t="shared" si="21"/>
        <v>0.10100414958027952</v>
      </c>
      <c r="FG48" s="391">
        <f t="shared" si="21"/>
        <v>0.11384043850035382</v>
      </c>
      <c r="FH48" s="393">
        <f t="shared" si="21"/>
        <v>0.10574558235247696</v>
      </c>
      <c r="FI48" s="391">
        <f t="shared" si="21"/>
        <v>8.6943153321026229E-2</v>
      </c>
      <c r="FJ48" s="391">
        <f t="shared" si="21"/>
        <v>9.0697403655838865E-2</v>
      </c>
      <c r="FK48" s="1263"/>
      <c r="FL48" s="391">
        <f t="shared" si="21"/>
        <v>9.7221467021912894E-2</v>
      </c>
      <c r="FM48" s="391">
        <f t="shared" si="21"/>
        <v>9.8915124441608174E-2</v>
      </c>
      <c r="FN48" s="391">
        <f t="shared" si="21"/>
        <v>8.0938796680497929E-2</v>
      </c>
      <c r="FO48" s="391">
        <f t="shared" si="21"/>
        <v>7.3774368136198837E-2</v>
      </c>
      <c r="FP48" s="391">
        <f t="shared" si="21"/>
        <v>7.0914156547337431E-2</v>
      </c>
      <c r="FQ48" s="391">
        <f t="shared" si="21"/>
        <v>6.3788794001249746E-2</v>
      </c>
      <c r="FR48" s="391">
        <f t="shared" si="21"/>
        <v>5.6726961361447073E-2</v>
      </c>
      <c r="FS48" s="391">
        <f t="shared" si="21"/>
        <v>5.8496988740507988E-2</v>
      </c>
      <c r="FT48" s="391">
        <f t="shared" si="21"/>
        <v>5.6258016381461634E-2</v>
      </c>
      <c r="FU48" s="391">
        <f>FU24/FU9</f>
        <v>4.8293461055124956E-2</v>
      </c>
      <c r="FV48" s="394">
        <f>FV24/FV9</f>
        <v>4.3695029320631983E-2</v>
      </c>
      <c r="FW48" s="391">
        <f>FW24/FW9</f>
        <v>3.8672648574842719E-2</v>
      </c>
      <c r="FX48" s="394">
        <f>FX24/FX9</f>
        <v>3.612589051901912E-2</v>
      </c>
    </row>
    <row r="49" spans="1:263" x14ac:dyDescent="0.2">
      <c r="A49" s="334" t="s">
        <v>196</v>
      </c>
      <c r="B49" s="305"/>
      <c r="C49" s="391">
        <f>C26/C24</f>
        <v>0.4419725621060453</v>
      </c>
      <c r="D49" s="391">
        <f>D26/D24</f>
        <v>0.44202518363063914</v>
      </c>
      <c r="E49" s="391">
        <f>E26/E24</f>
        <v>0.44219610177057111</v>
      </c>
      <c r="F49" s="391">
        <f>F26/F24</f>
        <v>0.44220390540673227</v>
      </c>
      <c r="G49" s="392"/>
      <c r="H49" s="391">
        <f>H26/H24</f>
        <v>0.46351931330471818</v>
      </c>
      <c r="I49" s="391">
        <f>I26/I24</f>
        <v>0.46590909090911714</v>
      </c>
      <c r="J49" s="391">
        <f>J26/J24</f>
        <v>0.44720716474192868</v>
      </c>
      <c r="K49" s="391">
        <f>K26/K24</f>
        <v>0.432067580438114</v>
      </c>
      <c r="L49" s="392"/>
      <c r="M49" s="391">
        <f>M26/M24</f>
        <v>0.43302564102564106</v>
      </c>
      <c r="N49" s="391">
        <f>N26/N24</f>
        <v>0.39786476868327375</v>
      </c>
      <c r="O49" s="391">
        <f>O26/O24</f>
        <v>0.43087920747495262</v>
      </c>
      <c r="P49" s="391">
        <f>P26/P24</f>
        <v>0.45258584442887201</v>
      </c>
      <c r="Q49" s="392"/>
      <c r="R49" s="391">
        <f>R26/R24</f>
        <v>0.42058617740807036</v>
      </c>
      <c r="S49" s="391">
        <f>S26/S24</f>
        <v>0.41723991507431007</v>
      </c>
      <c r="T49" s="391">
        <f>T26/T24</f>
        <v>0.43437229437229463</v>
      </c>
      <c r="U49" s="391">
        <f>U26/U24</f>
        <v>0.42354580285614724</v>
      </c>
      <c r="V49" s="392"/>
      <c r="W49" s="391">
        <f>W26/W24</f>
        <v>0.37365822727478581</v>
      </c>
      <c r="X49" s="391">
        <f>X26/X24</f>
        <v>0.37342286240320643</v>
      </c>
      <c r="Y49" s="391">
        <f>Y26/Y24</f>
        <v>0.31873368146214104</v>
      </c>
      <c r="Z49" s="391">
        <f>Z26/Z24</f>
        <v>0.40982823613693337</v>
      </c>
      <c r="AA49" s="392"/>
      <c r="AB49" s="391">
        <f>AB26/AB24</f>
        <v>0.34133848349987428</v>
      </c>
      <c r="AC49" s="391">
        <f>AC26/AC24</f>
        <v>0.36682745116767729</v>
      </c>
      <c r="AD49" s="391">
        <f>AD26/AD24</f>
        <v>0.40969300296088551</v>
      </c>
      <c r="AE49" s="391">
        <f>AE26/AE24</f>
        <v>0.42010137581462698</v>
      </c>
      <c r="AF49" s="392"/>
      <c r="AG49" s="391">
        <f>AG26/AG24</f>
        <v>0.32106193486980794</v>
      </c>
      <c r="AH49" s="391">
        <f>AH26/AH24</f>
        <v>0.36868229411977771</v>
      </c>
      <c r="AI49" s="391">
        <f>AI26/AI24</f>
        <v>0.40037025945386695</v>
      </c>
      <c r="AJ49" s="391">
        <f>AJ26/AJ24</f>
        <v>0.38686172237021799</v>
      </c>
      <c r="AK49" s="392"/>
      <c r="AL49" s="391">
        <f>AL26/AL24</f>
        <v>0.25165907290015849</v>
      </c>
      <c r="AM49" s="391">
        <f>AM26/AM24</f>
        <v>0.36765604655488504</v>
      </c>
      <c r="AN49" s="391">
        <f>AN26/AN24</f>
        <v>0.39899999999999997</v>
      </c>
      <c r="AO49" s="391">
        <f>AO26/AO24</f>
        <v>0.41164021421616359</v>
      </c>
      <c r="AP49" s="392"/>
      <c r="AQ49" s="391">
        <f>AQ26/AQ24</f>
        <v>0.3295168047314842</v>
      </c>
      <c r="AR49" s="391">
        <f>AR26/AR24</f>
        <v>0.36883176791053462</v>
      </c>
      <c r="AS49" s="391">
        <f>AS26/AS24</f>
        <v>0.34582982870722678</v>
      </c>
      <c r="AT49" s="391">
        <f>AT26/AT24</f>
        <v>0.41631916435378252</v>
      </c>
      <c r="AU49" s="392"/>
      <c r="AV49" s="391">
        <f>AV26/AV24</f>
        <v>0.39719342037890487</v>
      </c>
      <c r="AW49" s="391">
        <f>AW26/AW24</f>
        <v>0.39100194419343348</v>
      </c>
      <c r="AX49" s="391">
        <f>AX26/AX24</f>
        <v>0.3960710059171596</v>
      </c>
      <c r="AY49" s="391">
        <f>AY26/AY24</f>
        <v>0.37906976744186044</v>
      </c>
      <c r="AZ49" s="392"/>
      <c r="BA49" s="391">
        <f>BA26/BA24</f>
        <v>0.31164325605009263</v>
      </c>
      <c r="BB49" s="391">
        <f>BB26/BB24</f>
        <v>0.37024529461966926</v>
      </c>
      <c r="BC49" s="391">
        <f>BC26/BC24</f>
        <v>0.39460082762230336</v>
      </c>
      <c r="BD49" s="391">
        <f>BD26/BD24</f>
        <v>0.38324954430022101</v>
      </c>
      <c r="BE49" s="392"/>
      <c r="BF49" s="391">
        <f>BF26/BF24</f>
        <v>0.34236849417235787</v>
      </c>
      <c r="BG49" s="391">
        <f>BG26/BG24</f>
        <v>0.36987408630697316</v>
      </c>
      <c r="BH49" s="391">
        <f>BH26/BH24</f>
        <v>0.38934415927201421</v>
      </c>
      <c r="BI49" s="391">
        <f>BI26/BI24</f>
        <v>0.37820831351457668</v>
      </c>
      <c r="BJ49" s="392"/>
      <c r="BK49" s="391">
        <f>BK26/BK24</f>
        <v>0.34399902315235104</v>
      </c>
      <c r="BL49" s="391">
        <f>BL26/BL24</f>
        <v>0.37195571955719553</v>
      </c>
      <c r="BM49" s="391">
        <f>BM26/BM24</f>
        <v>0.38379631820547988</v>
      </c>
      <c r="BN49" s="391">
        <f>BN26/BN24</f>
        <v>0.3812385304595009</v>
      </c>
      <c r="BO49" s="392"/>
      <c r="BP49" s="391">
        <f>BP26/BP24</f>
        <v>0.38675464796968478</v>
      </c>
      <c r="BQ49" s="391">
        <f>BQ26/BQ24</f>
        <v>0.38422535211267594</v>
      </c>
      <c r="BR49" s="391">
        <f>BR26/BR24</f>
        <v>0.38653432067643523</v>
      </c>
      <c r="BS49" s="391">
        <f>BS26/BS24</f>
        <v>0.38275418275418244</v>
      </c>
      <c r="BT49" s="392"/>
      <c r="BU49" s="391">
        <f>BU26/BU24</f>
        <v>0.37800000000000017</v>
      </c>
      <c r="BV49" s="391">
        <f>BV26/BV24</f>
        <v>0.37782715422380192</v>
      </c>
      <c r="BW49" s="391">
        <f>BW26/BW24</f>
        <v>0.37800000000000006</v>
      </c>
      <c r="BX49" s="391">
        <f>BX26/BX24</f>
        <v>0.37800000000000034</v>
      </c>
      <c r="BY49" s="392"/>
      <c r="BZ49" s="391">
        <f>BZ26/BZ24</f>
        <v>0.37805486284289219</v>
      </c>
      <c r="CA49" s="391">
        <f>CA26/CA24</f>
        <v>0.37802797679972766</v>
      </c>
      <c r="CB49" s="391">
        <f>CB26/CB24</f>
        <v>0.37810745789895683</v>
      </c>
      <c r="CC49" s="391">
        <f>CC26/CC24</f>
        <v>0.37806901128069043</v>
      </c>
      <c r="CD49" s="392"/>
      <c r="CE49" s="391">
        <f>CE26/CE24</f>
        <v>0.37611940298507474</v>
      </c>
      <c r="CF49" s="391">
        <f>CF26/CF24</f>
        <v>0.37087168381158642</v>
      </c>
      <c r="CG49" s="391">
        <f>CG26/CG24</f>
        <v>0.37500243600272787</v>
      </c>
      <c r="CH49" s="391">
        <f>CH26/CH24</f>
        <v>0.37696065826690656</v>
      </c>
      <c r="CI49" s="392"/>
      <c r="CJ49" s="391">
        <f>CJ26/CJ24</f>
        <v>0.37779100922893705</v>
      </c>
      <c r="CK49" s="391">
        <f>CK26/CK24</f>
        <v>0.37864707552854776</v>
      </c>
      <c r="CL49" s="391">
        <f>CL26/CL24</f>
        <v>0.37860345932094813</v>
      </c>
      <c r="CM49" s="391">
        <f>CM26/CM24</f>
        <v>0.37696731234866815</v>
      </c>
      <c r="CN49" s="392"/>
      <c r="CO49" s="391">
        <f>CO26/CO24</f>
        <v>0.37500255384527353</v>
      </c>
      <c r="CP49" s="391">
        <f>CP26/CP24</f>
        <v>0.37899941061317305</v>
      </c>
      <c r="CQ49" s="391">
        <f>CQ26/CQ24</f>
        <v>0.37700039677291369</v>
      </c>
      <c r="CR49" s="391">
        <f>CR26/CR24</f>
        <v>0.38121546961325969</v>
      </c>
      <c r="CS49" s="392"/>
      <c r="CT49" s="391">
        <f>CT26/CT24</f>
        <v>0.37442922374429222</v>
      </c>
      <c r="CU49" s="391">
        <f>CU26/CU24</f>
        <v>0.37744565217391307</v>
      </c>
      <c r="CV49" s="391">
        <f>CV26/CV24</f>
        <v>0.37337662337662336</v>
      </c>
      <c r="CW49" s="391">
        <f>CW26/CW24</f>
        <v>0.37572254335260113</v>
      </c>
      <c r="CX49" s="392"/>
      <c r="CY49" s="391">
        <f>CY26/CY24</f>
        <v>0.37299035369774919</v>
      </c>
      <c r="CZ49" s="391">
        <f>CZ26/CZ24</f>
        <v>0.37804878048780488</v>
      </c>
      <c r="DA49" s="391">
        <f>DA26/DA24</f>
        <v>0.36462093862815886</v>
      </c>
      <c r="DB49" s="391">
        <f>DB26/DB24</f>
        <v>0.37468354430379747</v>
      </c>
      <c r="DC49" s="392"/>
      <c r="DD49" s="391">
        <f>DD26/DD24</f>
        <v>0.3619047619047619</v>
      </c>
      <c r="DE49" s="391">
        <f>DE26/DE24</f>
        <v>0.3705263157894737</v>
      </c>
      <c r="DF49" s="391">
        <f>DF26/DF24</f>
        <v>0.3782991202346041</v>
      </c>
      <c r="DG49" s="391">
        <f>DG26/DG24</f>
        <v>0.37585733882030176</v>
      </c>
      <c r="DH49" s="392"/>
      <c r="DI49" s="391">
        <f>DI26/DI24</f>
        <v>0.35639412997903563</v>
      </c>
      <c r="DJ49" s="391">
        <f>DJ26/DJ24</f>
        <v>0.36387782204515273</v>
      </c>
      <c r="DK49" s="391">
        <f>DK26/DK24</f>
        <v>0.37735849056603776</v>
      </c>
      <c r="DL49" s="391">
        <f>DL26/DL24</f>
        <v>0.37104825291181365</v>
      </c>
      <c r="DM49" s="392"/>
      <c r="DN49" s="391">
        <f>DN26/DN24</f>
        <v>0.37179487179487181</v>
      </c>
      <c r="DO49" s="391">
        <f>DO26/DO24</f>
        <v>0.37057220708446864</v>
      </c>
      <c r="DP49" s="391">
        <f>DP26/DP24</f>
        <v>0.37010676156583627</v>
      </c>
      <c r="DQ49" s="391">
        <f>DQ26/DQ24</f>
        <v>0.36015325670498083</v>
      </c>
      <c r="DR49" s="392"/>
      <c r="DS49" s="391">
        <f>DS26/DS24</f>
        <v>0.35897435897435898</v>
      </c>
      <c r="DT49" s="391">
        <f>DT26/DT24</f>
        <v>0.36712328767123287</v>
      </c>
      <c r="DU49" s="391">
        <f>DU26/DU24</f>
        <v>0.35159817351598172</v>
      </c>
      <c r="DV49" s="391">
        <f>DV26/DV24</f>
        <v>0.35263157894736841</v>
      </c>
      <c r="DW49" s="392"/>
      <c r="DX49" s="391">
        <f>DX26/DX24</f>
        <v>0.35204081632653061</v>
      </c>
      <c r="DY49" s="391">
        <f>DY26/DY24</f>
        <v>0.37105882352941177</v>
      </c>
      <c r="DZ49" s="391">
        <f>DZ26/DZ24</f>
        <v>0.36422907488986789</v>
      </c>
      <c r="EA49" s="391">
        <f>EA26/EA24</f>
        <v>0.3593073593073593</v>
      </c>
      <c r="EB49" s="392"/>
      <c r="EC49" s="391">
        <f>EC26/EC24</f>
        <v>0.36659340659340661</v>
      </c>
      <c r="ED49" s="391">
        <f>ED26/ED24</f>
        <v>0.37136363636363634</v>
      </c>
      <c r="EE49" s="391">
        <f>EE26/EE24</f>
        <v>0.35059360730593608</v>
      </c>
      <c r="EF49" s="391">
        <f>EF26/EF24</f>
        <v>0.36683417085427134</v>
      </c>
      <c r="EG49" s="305"/>
      <c r="EH49" s="391">
        <f>EH26/EH24</f>
        <v>0.39449541284403672</v>
      </c>
      <c r="EI49" s="391">
        <f>EI26/EI24</f>
        <v>0.37349397590361444</v>
      </c>
      <c r="EJ49" s="391">
        <f>EJ26/EJ24</f>
        <v>0.36065573770491804</v>
      </c>
      <c r="EK49" s="391">
        <f>EK26/EK24</f>
        <v>0.33874239350912777</v>
      </c>
      <c r="EL49" s="391"/>
      <c r="EM49" s="1205">
        <f>EM26/EM24</f>
        <v>0.245</v>
      </c>
      <c r="EN49" s="1205">
        <f>EN26/EN24</f>
        <v>0.24500000000000005</v>
      </c>
      <c r="EO49" s="1205">
        <f>EO26/EO24</f>
        <v>0.24499999999999997</v>
      </c>
      <c r="EP49" s="1205">
        <f>EP26/EP24</f>
        <v>0.245</v>
      </c>
      <c r="EQ49" s="391">
        <f t="shared" ref="EQ49:FT49" si="22">EQ26/EQ24</f>
        <v>0.4422647373021259</v>
      </c>
      <c r="ER49" s="391">
        <f t="shared" si="22"/>
        <v>0.43653724889649614</v>
      </c>
      <c r="ES49" s="391">
        <f t="shared" si="22"/>
        <v>0.42769378066781027</v>
      </c>
      <c r="ET49" s="391">
        <f t="shared" si="22"/>
        <v>0.42497281060645303</v>
      </c>
      <c r="EU49" s="391">
        <f t="shared" si="22"/>
        <v>0.41688885860074515</v>
      </c>
      <c r="EV49" s="391">
        <f t="shared" si="22"/>
        <v>0.4080290721834276</v>
      </c>
      <c r="EW49" s="391">
        <f t="shared" si="22"/>
        <v>0.40134928865222635</v>
      </c>
      <c r="EX49" s="391">
        <f t="shared" si="22"/>
        <v>0.39904730827809781</v>
      </c>
      <c r="EY49" s="391">
        <f t="shared" si="22"/>
        <v>0.40969827369035217</v>
      </c>
      <c r="EZ49" s="391">
        <f t="shared" si="22"/>
        <v>0.38638626772250978</v>
      </c>
      <c r="FA49" s="391">
        <f t="shared" si="22"/>
        <v>0.39067614703514825</v>
      </c>
      <c r="FB49" s="391">
        <f t="shared" si="22"/>
        <v>0.38463084982493689</v>
      </c>
      <c r="FC49" s="391">
        <f t="shared" si="22"/>
        <v>0.37801359015369623</v>
      </c>
      <c r="FD49" s="391">
        <f t="shared" si="22"/>
        <v>0.37803953320995259</v>
      </c>
      <c r="FE49" s="391">
        <f t="shared" si="22"/>
        <v>0.37796388985166868</v>
      </c>
      <c r="FF49" s="391">
        <f t="shared" si="22"/>
        <v>0.37806487540471961</v>
      </c>
      <c r="FG49" s="391">
        <f t="shared" si="22"/>
        <v>0.37516945981583333</v>
      </c>
      <c r="FH49" s="393">
        <f t="shared" si="22"/>
        <v>0.37783700655732627</v>
      </c>
      <c r="FI49" s="391">
        <f t="shared" si="22"/>
        <v>0.37879677919008131</v>
      </c>
      <c r="FJ49" s="391">
        <f t="shared" si="22"/>
        <v>0.37548138639281131</v>
      </c>
      <c r="FK49" s="1263"/>
      <c r="FL49" s="391">
        <f t="shared" si="22"/>
        <v>0.37360178970917224</v>
      </c>
      <c r="FM49" s="391">
        <f t="shared" si="22"/>
        <v>0.3725806451612903</v>
      </c>
      <c r="FN49" s="391">
        <f t="shared" si="22"/>
        <v>0.36847164370394103</v>
      </c>
      <c r="FO49" s="391">
        <f t="shared" si="22"/>
        <v>0.36680911680911682</v>
      </c>
      <c r="FP49" s="391">
        <f t="shared" si="22"/>
        <v>0.35730170496664193</v>
      </c>
      <c r="FQ49" s="391">
        <f t="shared" si="22"/>
        <v>0.36150204081632653</v>
      </c>
      <c r="FR49" s="391">
        <f t="shared" si="22"/>
        <v>0.36496226415094341</v>
      </c>
      <c r="FS49" s="391">
        <f t="shared" si="22"/>
        <v>0.35810205908683973</v>
      </c>
      <c r="FT49" s="391">
        <f t="shared" si="22"/>
        <v>0.24500000000000025</v>
      </c>
      <c r="FU49" s="391">
        <f>FU26/FU24</f>
        <v>0.24500000000000025</v>
      </c>
      <c r="FV49" s="394">
        <f>FV26/FV24</f>
        <v>0.24500000000000025</v>
      </c>
      <c r="FW49" s="391">
        <f>FW26/FW24</f>
        <v>0.24500000000000025</v>
      </c>
      <c r="FX49" s="394">
        <f>FX26/FX24</f>
        <v>0.24500000000000025</v>
      </c>
    </row>
    <row r="50" spans="1:263" x14ac:dyDescent="0.2">
      <c r="A50" s="334" t="s">
        <v>197</v>
      </c>
      <c r="B50" s="305"/>
      <c r="C50" s="391">
        <f>C31/C9</f>
        <v>-9.3262771732394115E-3</v>
      </c>
      <c r="D50" s="391">
        <f>D31/D9</f>
        <v>-1.3630683456695238E-2</v>
      </c>
      <c r="E50" s="391">
        <f>E31/E9</f>
        <v>1.8778425597563566E-2</v>
      </c>
      <c r="F50" s="391">
        <f>F31/F9</f>
        <v>4.16853050958075E-2</v>
      </c>
      <c r="G50" s="392"/>
      <c r="H50" s="391">
        <f>H31/H9</f>
        <v>2.6160752592530884E-3</v>
      </c>
      <c r="I50" s="391">
        <f>I31/I9</f>
        <v>-7.8947368421044314E-4</v>
      </c>
      <c r="J50" s="391">
        <f>J31/J9</f>
        <v>1.9578464106844679E-2</v>
      </c>
      <c r="K50" s="391">
        <f>K31/K9</f>
        <v>4.6851448146994601E-2</v>
      </c>
      <c r="L50" s="392"/>
      <c r="M50" s="391">
        <f>M31/M9</f>
        <v>1.3062381852551984E-2</v>
      </c>
      <c r="N50" s="391">
        <f>N31/N9</f>
        <v>-4.0850183823529451E-2</v>
      </c>
      <c r="O50" s="391">
        <f>O31/O9</f>
        <v>3.5452314165497822E-2</v>
      </c>
      <c r="P50" s="391">
        <f>P31/P9</f>
        <v>5.1473379019504439E-2</v>
      </c>
      <c r="Q50" s="392"/>
      <c r="R50" s="391">
        <f>R31/R9</f>
        <v>2.9788169464428371E-2</v>
      </c>
      <c r="S50" s="391">
        <f>S31/S9</f>
        <v>2.6658896658896654E-2</v>
      </c>
      <c r="T50" s="391">
        <f>T31/T9</f>
        <v>3.8327955412144288E-2</v>
      </c>
      <c r="U50" s="391">
        <f>U31/U9</f>
        <v>5.7681032596806063E-2</v>
      </c>
      <c r="V50" s="392"/>
      <c r="W50" s="391">
        <f>W31/W9</f>
        <v>4.492852501624435E-2</v>
      </c>
      <c r="X50" s="391">
        <f>X31/X9</f>
        <v>3.9572503419972517E-2</v>
      </c>
      <c r="Y50" s="391">
        <f>Y31/Y9</f>
        <v>5.3591784338896005E-2</v>
      </c>
      <c r="Z50" s="391">
        <f>Z31/Z9</f>
        <v>6.1310557465357803E-2</v>
      </c>
      <c r="AA50" s="392"/>
      <c r="AB50" s="391">
        <f>AB31/AB9</f>
        <v>4.2584147665580857E-2</v>
      </c>
      <c r="AC50" s="391">
        <f>AC31/AC9</f>
        <v>3.6493256262042424E-2</v>
      </c>
      <c r="AD50" s="391">
        <f>AD31/AD9</f>
        <v>1.5566057119375363E-2</v>
      </c>
      <c r="AE50" s="391">
        <f>AE31/AE9</f>
        <v>5.6636492220650661E-2</v>
      </c>
      <c r="AF50" s="392"/>
      <c r="AG50" s="391">
        <f>AG31/AG9</f>
        <v>4.2613612118625917E-2</v>
      </c>
      <c r="AH50" s="391">
        <f>AH31/AH9</f>
        <v>3.6715128529287905E-2</v>
      </c>
      <c r="AI50" s="391">
        <f>AI31/AI9</f>
        <v>3.68187897024407E-2</v>
      </c>
      <c r="AJ50" s="391">
        <f>AJ31/AJ9</f>
        <v>6.4674144037780365E-2</v>
      </c>
      <c r="AK50" s="392"/>
      <c r="AL50" s="391">
        <f>AL31/AL9</f>
        <v>5.0322456027588183E-2</v>
      </c>
      <c r="AM50" s="391">
        <f>AM31/AM9</f>
        <v>3.8140068628723788E-2</v>
      </c>
      <c r="AN50" s="391">
        <f>AN31/AN9</f>
        <v>4.2943186856690373E-2</v>
      </c>
      <c r="AO50" s="391">
        <f>AO31/AO9</f>
        <v>6.391165986268324E-2</v>
      </c>
      <c r="AP50" s="392"/>
      <c r="AQ50" s="391">
        <f>AQ31/AQ9</f>
        <v>4.7502014504431971E-2</v>
      </c>
      <c r="AR50" s="391">
        <f>AR31/AR9</f>
        <v>4.378446260296541E-2</v>
      </c>
      <c r="AS50" s="391">
        <f>AS31/AS9</f>
        <v>5.5125161725825517E-2</v>
      </c>
      <c r="AT50" s="391">
        <f>AT31/AT9</f>
        <v>6.6213260953858044E-2</v>
      </c>
      <c r="AU50" s="392"/>
      <c r="AV50" s="391">
        <f>AV31/AV9</f>
        <v>4.1385257607382077E-2</v>
      </c>
      <c r="AW50" s="391">
        <f>AW31/AW9</f>
        <v>4.7344332091538065E-2</v>
      </c>
      <c r="AX50" s="391">
        <f>AX31/AX9</f>
        <v>4.6406227266113813E-2</v>
      </c>
      <c r="AY50" s="391">
        <f>AY31/AY9</f>
        <v>7.7567029548989114E-2</v>
      </c>
      <c r="AZ50" s="392"/>
      <c r="BA50" s="391">
        <f>BA31/BA9</f>
        <v>5.9587368763734147E-2</v>
      </c>
      <c r="BB50" s="391">
        <f>BB31/BB9</f>
        <v>5.4663852158674565E-2</v>
      </c>
      <c r="BC50" s="391">
        <f>BC31/BC9</f>
        <v>5.1229757785467102E-2</v>
      </c>
      <c r="BD50" s="391">
        <f>BD31/BD9</f>
        <v>8.0513247267329377E-2</v>
      </c>
      <c r="BE50" s="392"/>
      <c r="BF50" s="391">
        <f>BF31/BF9</f>
        <v>6.0430692736679413E-2</v>
      </c>
      <c r="BG50" s="391">
        <f>BG31/BG9</f>
        <v>5.9658266262039808E-2</v>
      </c>
      <c r="BH50" s="391">
        <f>BH31/BH9</f>
        <v>5.5199375577301292E-2</v>
      </c>
      <c r="BI50" s="391">
        <f>BI31/BI9</f>
        <v>8.5895675794728649E-2</v>
      </c>
      <c r="BJ50" s="392"/>
      <c r="BK50" s="391">
        <f>BK31/BK9</f>
        <v>6.6059877038225093E-2</v>
      </c>
      <c r="BL50" s="391">
        <f>BL31/BL9</f>
        <v>6.6418648212706183E-2</v>
      </c>
      <c r="BM50" s="391">
        <f>BM31/BM9</f>
        <v>6.0749276849864753E-2</v>
      </c>
      <c r="BN50" s="391">
        <f>BN31/BN9</f>
        <v>8.6401205878658585E-2</v>
      </c>
      <c r="BO50" s="392"/>
      <c r="BP50" s="391">
        <f>BP31/BP9</f>
        <v>5.0511876091986492E-2</v>
      </c>
      <c r="BQ50" s="391">
        <f>BQ31/BQ9</f>
        <v>4.9492845499003825E-2</v>
      </c>
      <c r="BR50" s="391">
        <f>BR31/BR9</f>
        <v>4.8792815371762707E-2</v>
      </c>
      <c r="BS50" s="391">
        <f>BS31/BS9</f>
        <v>6.7323619416603586E-2</v>
      </c>
      <c r="BT50" s="392"/>
      <c r="BU50" s="391">
        <f>BU31/BU9</f>
        <v>4.3301151163767697E-2</v>
      </c>
      <c r="BV50" s="391">
        <f>BV31/BV9</f>
        <v>5.8852235878137718E-2</v>
      </c>
      <c r="BW50" s="391">
        <f>BW31/BW9</f>
        <v>4.9062491344436771E-2</v>
      </c>
      <c r="BX50" s="391">
        <f>BX31/BX9</f>
        <v>7.8166552578027251E-2</v>
      </c>
      <c r="BY50" s="392"/>
      <c r="BZ50" s="391">
        <f>BZ31/BZ9</f>
        <v>4.5464488843517677E-2</v>
      </c>
      <c r="CA50" s="391">
        <f>CA31/CA9</f>
        <v>6.4817623906370608E-2</v>
      </c>
      <c r="CB50" s="391">
        <f>CB31/CB9</f>
        <v>4.9721100211579244E-2</v>
      </c>
      <c r="CC50" s="391">
        <f>CC31/CC9</f>
        <v>8.0590726369870275E-2</v>
      </c>
      <c r="CD50" s="392"/>
      <c r="CE50" s="391">
        <f>CE31/CE9</f>
        <v>5.246879506446165E-2</v>
      </c>
      <c r="CF50" s="391">
        <f>CF31/CF9</f>
        <v>7.0393430605542706E-2</v>
      </c>
      <c r="CG50" s="391">
        <f>CG31/CG9</f>
        <v>6.1497430210815419E-2</v>
      </c>
      <c r="CH50" s="391">
        <f>CH31/CH9</f>
        <v>8.894027823661127E-2</v>
      </c>
      <c r="CI50" s="392"/>
      <c r="CJ50" s="391">
        <f>CJ31/CJ9</f>
        <v>5.8510638297872383E-2</v>
      </c>
      <c r="CK50" s="391">
        <f>CK31/CK9</f>
        <v>7.4980775660314178E-2</v>
      </c>
      <c r="CL50" s="391">
        <f>CL31/CL9</f>
        <v>5.0716302415559973E-2</v>
      </c>
      <c r="CM50" s="391">
        <f>CM31/CM9</f>
        <v>7.5027791445701916E-2</v>
      </c>
      <c r="CN50" s="392"/>
      <c r="CO50" s="391">
        <f>CO31/CO9</f>
        <v>4.2203109656346341E-2</v>
      </c>
      <c r="CP50" s="391">
        <f>CP31/CP9</f>
        <v>6.335139807112615E-2</v>
      </c>
      <c r="CQ50" s="391">
        <f>CQ31/CQ9</f>
        <v>4.2106145966675675E-2</v>
      </c>
      <c r="CR50" s="391">
        <f>CR31/CR9</f>
        <v>6.4183381088825209E-2</v>
      </c>
      <c r="CS50" s="392"/>
      <c r="CT50" s="391">
        <f>CT31/CT9</f>
        <v>3.7658053875755909E-2</v>
      </c>
      <c r="CU50" s="391">
        <f>CU31/CU9</f>
        <v>6.0194429847609039E-2</v>
      </c>
      <c r="CV50" s="391">
        <f>CV31/CV9</f>
        <v>4.7642557393236237E-2</v>
      </c>
      <c r="CW50" s="391">
        <f>CW31/CW9</f>
        <v>7.6016188632764381E-2</v>
      </c>
      <c r="CX50" s="392"/>
      <c r="CY50" s="391">
        <f>CY31/CY9</f>
        <v>4.8327137546468404E-2</v>
      </c>
      <c r="CZ50" s="391">
        <f>CZ31/CZ9</f>
        <v>6.2195121951219512E-2</v>
      </c>
      <c r="DA50" s="391">
        <f>DA31/DA9</f>
        <v>4.1725936462778571E-2</v>
      </c>
      <c r="DB50" s="391">
        <f>DB31/DB9</f>
        <v>8.1815170586286845E-2</v>
      </c>
      <c r="DC50" s="392"/>
      <c r="DD50" s="391">
        <f>DD31/DD9</f>
        <v>4.8294089380105716E-2</v>
      </c>
      <c r="DE50" s="391">
        <f>DE31/DE9</f>
        <v>7.0386064030131826E-2</v>
      </c>
      <c r="DF50" s="391">
        <f>DF31/DF9</f>
        <v>4.8446069469835464E-2</v>
      </c>
      <c r="DG50" s="391">
        <f>DG31/DG9</f>
        <v>7.5606513791957458E-2</v>
      </c>
      <c r="DH50" s="392"/>
      <c r="DI50" s="391">
        <f>DI31/DI9</f>
        <v>3.6177233089794959E-2</v>
      </c>
      <c r="DJ50" s="391">
        <f>DJ31/DJ9</f>
        <v>5.6956004756242566E-2</v>
      </c>
      <c r="DK50" s="391">
        <f>DK31/DK9</f>
        <v>4.7772828507795101E-2</v>
      </c>
      <c r="DL50" s="391">
        <f>DL31/DL9</f>
        <v>5.9602649006622516E-2</v>
      </c>
      <c r="DM50" s="392"/>
      <c r="DN50" s="391">
        <f>DN31/DN9</f>
        <v>3.5008335317932841E-2</v>
      </c>
      <c r="DO50" s="391">
        <f>DO31/DO9</f>
        <v>5.3858708323618561E-2</v>
      </c>
      <c r="DP50" s="391">
        <f>DP31/DP9</f>
        <v>3.982898289828983E-2</v>
      </c>
      <c r="DQ50" s="391">
        <f>DQ31/DQ9</f>
        <v>5.4763075914084275E-2</v>
      </c>
      <c r="DR50" s="392"/>
      <c r="DS50" s="391">
        <f>DS31/DS9</f>
        <v>3.0712530712530713E-2</v>
      </c>
      <c r="DT50" s="391">
        <f>DT31/DT9</f>
        <v>5.4455445544554455E-2</v>
      </c>
      <c r="DU50" s="391">
        <f>DU31/DU9</f>
        <v>3.2464563328760861E-2</v>
      </c>
      <c r="DV50" s="391">
        <f>DV31/DV9</f>
        <v>5.8229446110146757E-2</v>
      </c>
      <c r="DW50" s="392"/>
      <c r="DX50" s="391">
        <f>DX31/DX9</f>
        <v>3.0802813485326219E-2</v>
      </c>
      <c r="DY50" s="391">
        <f>DY31/DY9</f>
        <v>3.0650574173892664E-2</v>
      </c>
      <c r="DZ50" s="391">
        <f>DZ31/DZ9</f>
        <v>2.7157894736842103E-2</v>
      </c>
      <c r="EA50" s="391">
        <f>EA31/EA9</f>
        <v>4.6344136527321118E-2</v>
      </c>
      <c r="EB50" s="392"/>
      <c r="EC50" s="391">
        <f>EC31/EC9</f>
        <v>4.3605236656596175E-3</v>
      </c>
      <c r="ED50" s="391">
        <f>ED31/ED9</f>
        <v>3.3323768531802966E-2</v>
      </c>
      <c r="EE50" s="391">
        <f>EE31/EE9</f>
        <v>3.3949618673445807E-2</v>
      </c>
      <c r="EF50" s="391">
        <f>EF31/EF9</f>
        <v>4.0612409347300565E-2</v>
      </c>
      <c r="EG50" s="305"/>
      <c r="EH50" s="391">
        <f>EH31/EH9</f>
        <v>1.7174082747853241E-2</v>
      </c>
      <c r="EI50" s="391">
        <f>EI31/EI9</f>
        <v>5.019305019305019E-2</v>
      </c>
      <c r="EJ50" s="391">
        <f>EJ31/EJ9</f>
        <v>2.7008310249307478E-2</v>
      </c>
      <c r="EK50" s="391">
        <f>EK31/EK9</f>
        <v>6.9214876033057857E-2</v>
      </c>
      <c r="EL50" s="391"/>
      <c r="EM50" s="1205">
        <f>EM31/EM9</f>
        <v>2.045031086587272E-2</v>
      </c>
      <c r="EN50" s="1205">
        <f>EN31/EN9</f>
        <v>6.573979258695696E-2</v>
      </c>
      <c r="EO50" s="1205">
        <f>EO31/EO9</f>
        <v>3.2751984543512483E-2</v>
      </c>
      <c r="EP50" s="1205">
        <f>EP31/EP9</f>
        <v>4.7509035939980945E-2</v>
      </c>
      <c r="EQ50" s="391">
        <f t="shared" ref="EQ50:FT50" si="23">EQ31/EQ9</f>
        <v>1.45430143265025E-2</v>
      </c>
      <c r="ER50" s="391">
        <f t="shared" si="23"/>
        <v>2.1596558995556847E-2</v>
      </c>
      <c r="ES50" s="391">
        <f t="shared" si="23"/>
        <v>2.4224693122889423E-2</v>
      </c>
      <c r="ET50" s="391">
        <f t="shared" si="23"/>
        <v>4.1166513480392145E-2</v>
      </c>
      <c r="EU50" s="391">
        <f t="shared" si="23"/>
        <v>4.4047772258114223E-2</v>
      </c>
      <c r="EV50" s="391">
        <f t="shared" si="23"/>
        <v>3.7728186931399045E-2</v>
      </c>
      <c r="EW50" s="391">
        <f t="shared" si="23"/>
        <v>4.302114297676362E-2</v>
      </c>
      <c r="EX50" s="391">
        <f t="shared" si="23"/>
        <v>4.6160933490714623E-2</v>
      </c>
      <c r="EY50" s="391">
        <f t="shared" si="23"/>
        <v>4.8370205611538021E-2</v>
      </c>
      <c r="EZ50" s="391">
        <f t="shared" si="23"/>
        <v>5.6794192645128902E-2</v>
      </c>
      <c r="FA50" s="391">
        <f t="shared" si="23"/>
        <v>5.9060498683397973E-2</v>
      </c>
      <c r="FB50" s="391">
        <f t="shared" si="23"/>
        <v>6.4987582534946853E-2</v>
      </c>
      <c r="FC50" s="391">
        <f t="shared" si="23"/>
        <v>6.9673362426262736E-2</v>
      </c>
      <c r="FD50" s="391">
        <f t="shared" si="23"/>
        <v>5.6479478700641919E-2</v>
      </c>
      <c r="FE50" s="391">
        <f t="shared" si="23"/>
        <v>6.0125709402001681E-2</v>
      </c>
      <c r="FF50" s="391">
        <f t="shared" si="23"/>
        <v>6.2818028353851474E-2</v>
      </c>
      <c r="FG50" s="391">
        <f t="shared" si="23"/>
        <v>7.1130982682978475E-2</v>
      </c>
      <c r="FH50" s="393">
        <f t="shared" si="23"/>
        <v>6.5790988059755848E-2</v>
      </c>
      <c r="FI50" s="391">
        <f t="shared" si="23"/>
        <v>5.4009366870392074E-2</v>
      </c>
      <c r="FJ50" s="391">
        <f t="shared" si="23"/>
        <v>5.6642216788916053E-2</v>
      </c>
      <c r="FK50" s="1263"/>
      <c r="FL50" s="391">
        <f t="shared" si="23"/>
        <v>6.0899352944374964E-2</v>
      </c>
      <c r="FM50" s="391">
        <f t="shared" si="23"/>
        <v>6.2061263560944477E-2</v>
      </c>
      <c r="FN50" s="391">
        <f t="shared" si="23"/>
        <v>5.1115145228215766E-2</v>
      </c>
      <c r="FO50" s="391">
        <f t="shared" si="23"/>
        <v>4.6713257317009094E-2</v>
      </c>
      <c r="FP50" s="391">
        <f t="shared" si="23"/>
        <v>4.5576407506702415E-2</v>
      </c>
      <c r="FQ50" s="391">
        <f t="shared" si="23"/>
        <v>3.5149656321599665E-2</v>
      </c>
      <c r="FR50" s="391">
        <f t="shared" si="23"/>
        <v>2.9748474793963395E-2</v>
      </c>
      <c r="FS50" s="391">
        <f t="shared" si="23"/>
        <v>4.5037968054464521E-2</v>
      </c>
      <c r="FT50" s="391">
        <f t="shared" si="23"/>
        <v>4.2474802368003516E-2</v>
      </c>
      <c r="FU50" s="391">
        <f>FU31/FU9</f>
        <v>3.6461563096619333E-2</v>
      </c>
      <c r="FV50" s="394">
        <f>FV31/FV9</f>
        <v>3.2989747137077134E-2</v>
      </c>
      <c r="FW50" s="391">
        <f>FW31/FW9</f>
        <v>2.9197849674006241E-2</v>
      </c>
      <c r="FX50" s="394">
        <f>FX31/FX9</f>
        <v>0</v>
      </c>
      <c r="GG50" s="320"/>
    </row>
    <row r="51" spans="1:263" x14ac:dyDescent="0.2">
      <c r="A51" s="334" t="s">
        <v>198</v>
      </c>
      <c r="B51" s="305"/>
      <c r="C51" s="391">
        <f>IF(ISERROR(C42/C9),"NA ",C42/C9)</f>
        <v>5.274768857050794E-2</v>
      </c>
      <c r="D51" s="391">
        <f>IF(ISERROR(D42/D9),"NA ",D42/D9)</f>
        <v>4.6762151943349567E-2</v>
      </c>
      <c r="E51" s="391">
        <f>IF(ISERROR(E42/E9),"NA ",E42/E9)</f>
        <v>7.9271102562561271E-2</v>
      </c>
      <c r="F51" s="391">
        <f>IF(ISERROR(F42/F9),"NA ",F42/F9)</f>
        <v>0.11101659492399175</v>
      </c>
      <c r="G51" s="392"/>
      <c r="H51" s="391">
        <f>IF(ISERROR(H42/H9),"NA ",H42/H9)</f>
        <v>5.6188064418237184E-2</v>
      </c>
      <c r="I51" s="391">
        <f>IF(ISERROR(I42/I9),"NA ",I42/I9)</f>
        <v>5.2435610302351686E-2</v>
      </c>
      <c r="J51" s="391">
        <f>IF(ISERROR(J42/J9),"NA ",J42/J9)</f>
        <v>7.7767111853088461E-2</v>
      </c>
      <c r="K51" s="391">
        <f>IF(ISERROR(K42/K9),"NA ",K42/K9)</f>
        <v>0.10301775147928982</v>
      </c>
      <c r="L51" s="392"/>
      <c r="M51" s="391">
        <f>IF(ISERROR(M42/M9),"NA ",M42/M9)</f>
        <v>6.5576559546313792E-2</v>
      </c>
      <c r="N51" s="391">
        <f>IF(ISERROR(N42/N9),"NA ",N42/N9)</f>
        <v>6.2022058823529388E-2</v>
      </c>
      <c r="O51" s="391">
        <f>IF(ISERROR(O42/O9),"NA ",O42/O9)</f>
        <v>8.5403225806451585E-2</v>
      </c>
      <c r="P51" s="391">
        <f>IF(ISERROR(P42/P9),"NA ",P42/P9)</f>
        <v>0.11140221402214016</v>
      </c>
      <c r="Q51" s="392"/>
      <c r="R51" s="391">
        <f>IF(ISERROR(R42/R9),"NA ",R42/R9)</f>
        <v>7.3964828137490016E-2</v>
      </c>
      <c r="S51" s="391">
        <f>IF(ISERROR(S42/S9),"NA ",S42/S9)</f>
        <v>6.8158508158508144E-2</v>
      </c>
      <c r="T51" s="391">
        <f>IF(ISERROR(T42/T9),"NA ",T42/T9)</f>
        <v>8.6116163097682566E-2</v>
      </c>
      <c r="U51" s="391">
        <f>IF(ISERROR(U42/U9),"NA ",U42/U9)</f>
        <v>0.12025158608619567</v>
      </c>
      <c r="V51" s="392"/>
      <c r="W51" s="391">
        <f>IF(ISERROR(W42/W9),"NA ",W42/W9)</f>
        <v>8.2797270955165758E-2</v>
      </c>
      <c r="X51" s="391">
        <f>IF(ISERROR(X42/X9),"NA ",X42/X9)</f>
        <v>7.6867305061559366E-2</v>
      </c>
      <c r="Y51" s="391">
        <f>IF(ISERROR(Y42/Y9),"NA ",Y42/Y9)</f>
        <v>8.1553273427471137E-2</v>
      </c>
      <c r="Z51" s="391">
        <f>IF(ISERROR(Z42/Z9),"NA ",Z42/Z9)</f>
        <v>0.11774285005493144</v>
      </c>
      <c r="AA51" s="392"/>
      <c r="AB51" s="391">
        <f>IF(ISERROR(AB42/AB9),"NA ",AB42/AB9)</f>
        <v>7.9014657980456024E-2</v>
      </c>
      <c r="AC51" s="391">
        <f>IF(ISERROR(AC42/AC9),"NA ",AC42/AC9)</f>
        <v>7.8092485549133006E-2</v>
      </c>
      <c r="AD51" s="391">
        <f>IF(ISERROR(AD42/AD9),"NA ",AD42/AD9)</f>
        <v>7.8709677419354848E-2</v>
      </c>
      <c r="AE51" s="391">
        <f>IF(ISERROR(AE42/AE9),"NA ",AE42/AE9)</f>
        <v>0.11705940594059409</v>
      </c>
      <c r="AF51" s="392"/>
      <c r="AG51" s="391">
        <f>IF(ISERROR(AG42/AG9),"NA ",AG42/AG9)</f>
        <v>7.6880733944954066E-2</v>
      </c>
      <c r="AH51" s="391">
        <f>IF(ISERROR(AH42/AH9),"NA ",AH42/AH9)</f>
        <v>7.9456384323641022E-2</v>
      </c>
      <c r="AI51" s="391">
        <f>IF(ISERROR(AI42/AI9),"NA ",AI42/AI9)</f>
        <v>8.7616181878970301E-2</v>
      </c>
      <c r="AJ51" s="391">
        <f>IF(ISERROR(AJ42/AJ9),"NA ",AJ42/AJ9)</f>
        <v>0.12024439197166471</v>
      </c>
      <c r="AK51" s="392"/>
      <c r="AL51" s="391">
        <f>IF(ISERROR(AL42/AL9),"NA ",AL42/AL9)</f>
        <v>7.1566421945326475E-2</v>
      </c>
      <c r="AM51" s="391">
        <f>IF(ISERROR(AM42/AM9),"NA ",AM42/AM9)</f>
        <v>8.7258809783680127E-2</v>
      </c>
      <c r="AN51" s="391">
        <f>IF(ISERROR(AN42/AN9),"NA ",AN42/AN9)</f>
        <v>9.6439693850620123E-2</v>
      </c>
      <c r="AO51" s="391">
        <f>IF(ISERROR(AO42/AO9),"NA ",AO42/AO9)</f>
        <v>0.13024772685099276</v>
      </c>
      <c r="AP51" s="392"/>
      <c r="AQ51" s="391">
        <f>IF(ISERROR(AQ42/AQ9),"NA ",AQ42/AQ9)</f>
        <v>7.9751544453397841E-2</v>
      </c>
      <c r="AR51" s="391">
        <f>IF(ISERROR(AR42/AR9),"NA ",AR42/AR9)</f>
        <v>9.2875123558484415E-2</v>
      </c>
      <c r="AS51" s="391">
        <f>IF(ISERROR(AS42/AS9),"NA ",AS42/AS9)</f>
        <v>9.3277830905102194E-2</v>
      </c>
      <c r="AT51" s="391">
        <f>IF(ISERROR(AT42/AT9),"NA ",AT42/AT9)</f>
        <v>0.13627530050407136</v>
      </c>
      <c r="AU51" s="392"/>
      <c r="AV51" s="391">
        <f>IF(ISERROR(AV42/AV9),"NA ",AV42/AV9)</f>
        <v>9.4930242777106377E-2</v>
      </c>
      <c r="AW51" s="391">
        <f>IF(ISERROR(AW42/AW9),"NA ",AW42/AW9)</f>
        <v>0.10588717402873876</v>
      </c>
      <c r="AX51" s="391">
        <f>IF(ISERROR(AX42/AX9),"NA ",AX42/AX9)</f>
        <v>0.10439673359522773</v>
      </c>
      <c r="AY51" s="391">
        <f>IF(ISERROR(AY42/AY9),"NA ",AY42/AY9)</f>
        <v>0.14096858475894244</v>
      </c>
      <c r="AZ51" s="392"/>
      <c r="BA51" s="391">
        <f>IF(ISERROR(BA42/BA9),"NA ",BA42/BA9)</f>
        <v>9.6662326035647575E-2</v>
      </c>
      <c r="BB51" s="391">
        <f>IF(ISERROR(BB42/BB9),"NA ",BB42/BB9)</f>
        <v>0.1139087143539908</v>
      </c>
      <c r="BC51" s="391">
        <f>IF(ISERROR(BC42/BC9),"NA ",BC42/BC9)</f>
        <v>0.11443321799307954</v>
      </c>
      <c r="BD51" s="391">
        <f>IF(ISERROR(BD42/BD9),"NA ",BD42/BD9)</f>
        <v>0.14863613872520351</v>
      </c>
      <c r="BE51" s="392"/>
      <c r="BF51" s="391">
        <f>IF(ISERROR(BF42/BF9),"NA ",BF42/BF9)</f>
        <v>0.11103876906537657</v>
      </c>
      <c r="BG51" s="391">
        <f>IF(ISERROR(BG42/BG9),"NA ",BG42/BG9)</f>
        <v>0.12415160311386722</v>
      </c>
      <c r="BH51" s="391">
        <f>IF(ISERROR(BH42/BH9),"NA ",BH42/BH9)</f>
        <v>0.12040133019304163</v>
      </c>
      <c r="BI51" s="391">
        <f>IF(ISERROR(BI42/BI9),"NA ",BI42/BI9)</f>
        <v>0.15726451802363989</v>
      </c>
      <c r="BJ51" s="392"/>
      <c r="BK51" s="391">
        <f>IF(ISERROR(BK42/BK9),"NA ",BK42/BK9)</f>
        <v>0.12042395081529002</v>
      </c>
      <c r="BL51" s="391">
        <f>IF(ISERROR(BL42/BL9),"NA ",BL42/BL9)</f>
        <v>0.13465841094749989</v>
      </c>
      <c r="BM51" s="391">
        <f>IF(ISERROR(BM42/BM9),"NA ",BM42/BM9)</f>
        <v>0.12814220397499304</v>
      </c>
      <c r="BN51" s="391">
        <f>IF(ISERROR(BN42/BN9),"NA ",BN42/BN9)</f>
        <v>0.16150075367416167</v>
      </c>
      <c r="BO51" s="392"/>
      <c r="BP51" s="391">
        <f>IF(ISERROR(BP42/BP9),"NA ",BP42/BP9)</f>
        <v>0.11716201539405952</v>
      </c>
      <c r="BQ51" s="391">
        <f>IF(ISERROR(BQ42/BQ9),"NA ",BQ42/BQ9)</f>
        <v>0.11691722514037314</v>
      </c>
      <c r="BR51" s="391">
        <f>IF(ISERROR(BR42/BR9),"NA ",BR42/BR9)</f>
        <v>0.11136591478696738</v>
      </c>
      <c r="BS51" s="391">
        <f>IF(ISERROR(BS42/BS9),"NA ",BS42/BS9)</f>
        <v>0.13332771835256474</v>
      </c>
      <c r="BT51" s="392"/>
      <c r="BU51" s="391">
        <f>IF(ISERROR(BU42/BU9),"NA ",BU42/BU9)</f>
        <v>0.103940845307117</v>
      </c>
      <c r="BV51" s="391">
        <f>IF(ISERROR(BV42/BV9),"NA ",BV42/BV9)</f>
        <v>0.12914047800152134</v>
      </c>
      <c r="BW51" s="391">
        <f>IF(ISERROR(BW42/BW9),"NA ",BW42/BW9)</f>
        <v>0.11065636502788007</v>
      </c>
      <c r="BX51" s="391">
        <f>IF(ISERROR(BX42/BX9),"NA ",BX42/BX9)</f>
        <v>0.14906293672003332</v>
      </c>
      <c r="BY51" s="392"/>
      <c r="BZ51" s="391">
        <f>IF(ISERROR(BZ42/BZ9),"NA ",BZ42/BZ9)</f>
        <v>0.10853871955665752</v>
      </c>
      <c r="CA51" s="391">
        <f>IF(ISERROR(CA42/CA9),"NA ",CA42/CA9)</f>
        <v>0.13489837609501049</v>
      </c>
      <c r="CB51" s="391">
        <f>IF(ISERROR(CB42/CB9),"NA ",CB42/CB9)</f>
        <v>0.11300250048086173</v>
      </c>
      <c r="CC51" s="391">
        <f>IF(ISERROR(CC42/CC9),"NA ",CC42/CC9)</f>
        <v>0.15322771340742483</v>
      </c>
      <c r="CD51" s="392"/>
      <c r="CE51" s="391">
        <f>IF(ISERROR(CE42/CE9),"NA ",CE42/CE9)</f>
        <v>0.11789556316136528</v>
      </c>
      <c r="CF51" s="391">
        <f>IF(ISERROR(CF42/CF9),"NA ",CF42/CF9)</f>
        <v>0.14281568992584304</v>
      </c>
      <c r="CG51" s="391">
        <f>IF(ISERROR(CG42/CG9),"NA ",CG42/CG9)</f>
        <v>0.12702445203306742</v>
      </c>
      <c r="CH51" s="391">
        <f>IF(ISERROR(CH42/CH9),"NA ",CH42/CH9)</f>
        <v>0.163675072495687</v>
      </c>
      <c r="CI51" s="392"/>
      <c r="CJ51" s="391">
        <f>IF(ISERROR(CJ42/CJ9),"NA ",CJ42/CJ9)</f>
        <v>0.12620380739081752</v>
      </c>
      <c r="CK51" s="391">
        <f>IF(ISERROR(CK42/CK9),"NA ",CK42/CK9)</f>
        <v>0.1532096288866599</v>
      </c>
      <c r="CL51" s="391">
        <f>IF(ISERROR(CL42/CL9),"NA ",CL42/CL9)</f>
        <v>0.11662135313186239</v>
      </c>
      <c r="CM51" s="391">
        <f>IF(ISERROR(CM42/CM9),"NA ",CM42/CM9)</f>
        <v>0.14759535655058045</v>
      </c>
      <c r="CN51" s="392"/>
      <c r="CO51" s="391">
        <f>IF(ISERROR(CO42/CO9),"NA ",CO42/CO9)</f>
        <v>0.11075477773525574</v>
      </c>
      <c r="CP51" s="391">
        <f>IF(ISERROR(CP42/CP9),"NA ",CP42/CP9)</f>
        <v>0.14474069182845739</v>
      </c>
      <c r="CQ51" s="391">
        <f>IF(ISERROR(CQ42/CQ9),"NA ",CQ42/CQ9)</f>
        <v>0.11063849477173103</v>
      </c>
      <c r="CR51" s="391">
        <f>IF(ISERROR(CR42/CR9),"NA ",CR42/CR9)</f>
        <v>0.13677172874880611</v>
      </c>
      <c r="CS51" s="392"/>
      <c r="CT51" s="391">
        <f>IF(ISERROR(CT42/CT9),"NA ",CT42/CT9)</f>
        <v>0.10775151181968114</v>
      </c>
      <c r="CU51" s="391">
        <f>IF(ISERROR(CU42/CU9),"NA ",CU42/CU9)</f>
        <v>0.14266946925906462</v>
      </c>
      <c r="CV51" s="391">
        <f>IF(ISERROR(CV42/CV9),"NA ",CV42/CV9)</f>
        <v>0.12071093557146384</v>
      </c>
      <c r="CW51" s="391">
        <f>IF(ISERROR(CW42/CW9),"NA ",CW42/CW9)</f>
        <v>0.15449586486010911</v>
      </c>
      <c r="CX51" s="392"/>
      <c r="CY51" s="391">
        <f>IF(ISERROR(CY42/CY9),"NA ",CY42/CY9)</f>
        <v>0.13977695167286244</v>
      </c>
      <c r="CZ51" s="391">
        <f>IF(ISERROR(CZ42/CZ9),"NA ",CZ42/CZ9)</f>
        <v>0.16292682926829269</v>
      </c>
      <c r="DA51" s="391">
        <f>IF(ISERROR(DA42/DA9),"NA ",DA42/DA9)</f>
        <v>0.13347558084400191</v>
      </c>
      <c r="DB51" s="391">
        <f>IF(ISERROR(DB42/DB9),"NA ",DB42/DB9)</f>
        <v>0.17389864193441537</v>
      </c>
      <c r="DC51" s="392"/>
      <c r="DD51" s="391">
        <f>IF(ISERROR(DD42/DD9),"NA ",DD42/DD9)</f>
        <v>0.13983661701105238</v>
      </c>
      <c r="DE51" s="391">
        <f>IF(ISERROR(DE42/DE9),"NA ",DE42/DE9)</f>
        <v>0.17349340866290019</v>
      </c>
      <c r="DF51" s="391">
        <f>IF(ISERROR(DF42/DF9),"NA ",DF42/DF9)</f>
        <v>0.14122486288848263</v>
      </c>
      <c r="DG51" s="391">
        <f>IF(ISERROR(DG42/DG9),"NA ",DG42/DG9)</f>
        <v>0.16600199401794616</v>
      </c>
      <c r="DH51" s="392"/>
      <c r="DI51" s="391">
        <f>IF(ISERROR(DI42/DI9),"NA ",DI42/DI9)</f>
        <v>0.12302616073532878</v>
      </c>
      <c r="DJ51" s="391">
        <f>IF(ISERROR(DJ42/DJ9),"NA ",DJ42/DJ9)</f>
        <v>0.15862068965517243</v>
      </c>
      <c r="DK51" s="391">
        <f>IF(ISERROR(DK42/DK9),"NA ",DK42/DK9)</f>
        <v>0.14142538975501115</v>
      </c>
      <c r="DL51" s="391">
        <f>IF(ISERROR(DL42/DL9),"NA ",DL42/DL9)</f>
        <v>0.14191106906338694</v>
      </c>
      <c r="DM51" s="392"/>
      <c r="DN51" s="391">
        <f>IF(ISERROR(DN42/DN9),"NA ",DN42/DN9)</f>
        <v>0.1264586806382472</v>
      </c>
      <c r="DO51" s="391">
        <f>IF(ISERROR(DO42/DO9),"NA ",DO42/DO9)</f>
        <v>0.15761249708556774</v>
      </c>
      <c r="DP51" s="391">
        <f>IF(ISERROR(DP42/DP9),"NA ",DP42/DP9)</f>
        <v>0.13343834383438344</v>
      </c>
      <c r="DQ51" s="391">
        <f>IF(ISERROR(DQ42/DQ9),"NA ",DQ42/DQ9)</f>
        <v>0.13657976717494671</v>
      </c>
      <c r="DR51" s="392"/>
      <c r="DS51" s="391">
        <f>IF(ISERROR(DS42/DS9),"NA ",DS42/DS9)</f>
        <v>0.12186732186732187</v>
      </c>
      <c r="DT51" s="391">
        <f>IF(ISERROR(DT42/DT9),"NA ",DT42/DT9)</f>
        <v>0.15865157944365865</v>
      </c>
      <c r="DU51" s="391">
        <f>IF(ISERROR(DU42/DU9),"NA ",DU42/DU9)</f>
        <v>0.12139917695473251</v>
      </c>
      <c r="DV51" s="391">
        <f>IF(ISERROR(DV42/DV9),"NA ",DV42/DV9)</f>
        <v>0.13807795486823418</v>
      </c>
      <c r="DW51" s="392"/>
      <c r="DX51" s="391">
        <f>IF(ISERROR(DX42/DX9),"NA ",DX42/DX9)</f>
        <v>0.12296871210283775</v>
      </c>
      <c r="DY51" s="391">
        <f>IF(ISERROR(DY42/DY9),"NA ",DY42/DY9)</f>
        <v>0.15397234591047573</v>
      </c>
      <c r="DZ51" s="391">
        <f>IF(ISERROR(DZ42/DZ9),"NA ",DZ42/DZ9)</f>
        <v>0.12288231307883443</v>
      </c>
      <c r="EA51" s="391">
        <f>IF(ISERROR(EA42/EA9),"NA ",EA42/EA9)</f>
        <v>0.1221230624706435</v>
      </c>
      <c r="EB51" s="392"/>
      <c r="EC51" s="391">
        <f>IF(ISERROR(EC42/EC9),"NA ",EC42/EC9)</f>
        <v>0.10171198388721048</v>
      </c>
      <c r="ED51" s="391">
        <f>IF(ISERROR(ED42/ED9),"NA ",ED42/ED9)</f>
        <v>0.15877570540411287</v>
      </c>
      <c r="EE51" s="391">
        <f>IF(ISERROR(EE42/EE9),"NA ",EE42/EE9)</f>
        <v>0.12179339033972729</v>
      </c>
      <c r="EF51" s="391">
        <f>IF(ISERROR(EF42/EF9),"NA ",EF42/EF9)</f>
        <v>0.11474617244157938</v>
      </c>
      <c r="EG51" s="305"/>
      <c r="EH51" s="391">
        <f>IF(ISERROR(EH42/EH9),"NA ",EH42/EH9)</f>
        <v>0.11007025761124122</v>
      </c>
      <c r="EI51" s="391">
        <f>IF(ISERROR(EI42/EI9),"NA ",EI42/EI9)</f>
        <v>0.15685328185328185</v>
      </c>
      <c r="EJ51" s="391">
        <f>IF(ISERROR(EJ42/EJ9),"NA ",EJ42/EJ9)</f>
        <v>0.11542012927054478</v>
      </c>
      <c r="EK51" s="391">
        <f>IF(ISERROR(EK42/EK9),"NA ",EK42/EK9)</f>
        <v>0.1230814639905549</v>
      </c>
      <c r="EL51" s="391"/>
      <c r="EM51" s="1205">
        <f>IF(ISERROR(EM42/EM9),"NA ",EM42/EM9)</f>
        <v>0.10681552037217205</v>
      </c>
      <c r="EN51" s="1205">
        <f>IF(ISERROR(EN42/EN9),"NA ",EN42/EN9)</f>
        <v>0.16131527820992897</v>
      </c>
      <c r="EO51" s="1205">
        <f>IF(ISERROR(EO42/EO9),"NA ",EO42/EO9)</f>
        <v>0.11587211435646114</v>
      </c>
      <c r="EP51" s="1205">
        <f>IF(ISERROR(EP42/EP9),"NA ",EP42/EP9)</f>
        <v>0.11058804445297914</v>
      </c>
      <c r="EQ51" s="391">
        <f t="shared" ref="EQ51:FT51" si="24">IF(ISERROR(EQ42/EQ9),"NA ",EQ42/EQ9)</f>
        <v>7.8391228103495247E-2</v>
      </c>
      <c r="ER51" s="391">
        <f t="shared" si="24"/>
        <v>7.718614914028625E-2</v>
      </c>
      <c r="ES51" s="391">
        <f t="shared" si="24"/>
        <v>8.8379878489063243E-2</v>
      </c>
      <c r="ET51" s="391">
        <f t="shared" si="24"/>
        <v>9.219822303921564E-2</v>
      </c>
      <c r="EU51" s="391">
        <f t="shared" si="24"/>
        <v>9.4059998455638102E-2</v>
      </c>
      <c r="EV51" s="391">
        <f t="shared" si="24"/>
        <v>9.286019559955537E-2</v>
      </c>
      <c r="EW51" s="391">
        <f t="shared" si="24"/>
        <v>9.5458656060288832E-2</v>
      </c>
      <c r="EX51" s="391">
        <f t="shared" si="24"/>
        <v>0.10159394317280175</v>
      </c>
      <c r="EY51" s="391">
        <f t="shared" si="24"/>
        <v>0.10551891789119143</v>
      </c>
      <c r="EZ51" s="391">
        <f t="shared" si="24"/>
        <v>0.11680235594626254</v>
      </c>
      <c r="FA51" s="391">
        <f t="shared" si="24"/>
        <v>0.12313627645395157</v>
      </c>
      <c r="FB51" s="391">
        <f t="shared" si="24"/>
        <v>0.13270970479843744</v>
      </c>
      <c r="FC51" s="391">
        <f t="shared" si="24"/>
        <v>0.13937698734676887</v>
      </c>
      <c r="FD51" s="391">
        <f t="shared" si="24"/>
        <v>0.12120404590546589</v>
      </c>
      <c r="FE51" s="391">
        <f t="shared" si="24"/>
        <v>0.12662430452878898</v>
      </c>
      <c r="FF51" s="391">
        <f t="shared" si="24"/>
        <v>0.13076957514437917</v>
      </c>
      <c r="FG51" s="391">
        <f t="shared" si="24"/>
        <v>0.1413171936814055</v>
      </c>
      <c r="FH51" s="393">
        <f t="shared" si="24"/>
        <v>0.13698804761528985</v>
      </c>
      <c r="FI51" s="391">
        <f t="shared" si="24"/>
        <v>0.12676431216766884</v>
      </c>
      <c r="FJ51" s="391">
        <f t="shared" si="24"/>
        <v>0.14827104435906391</v>
      </c>
      <c r="FK51" s="1263"/>
      <c r="FL51" s="391">
        <f t="shared" si="24"/>
        <v>0.15469523136316676</v>
      </c>
      <c r="FM51" s="391">
        <f t="shared" si="24"/>
        <v>0.15613699212933418</v>
      </c>
      <c r="FN51" s="391">
        <f t="shared" si="24"/>
        <v>0.14128630705394191</v>
      </c>
      <c r="FO51" s="391">
        <f t="shared" si="24"/>
        <v>0.13835321317849825</v>
      </c>
      <c r="FP51" s="391">
        <f t="shared" si="24"/>
        <v>0.13536245597434685</v>
      </c>
      <c r="FQ51" s="391">
        <f t="shared" si="24"/>
        <v>0.12955634242866071</v>
      </c>
      <c r="FR51" s="391">
        <f t="shared" si="24"/>
        <v>0.12346141496307396</v>
      </c>
      <c r="FS51" s="391">
        <f t="shared" si="24"/>
        <v>0.12605394082220475</v>
      </c>
      <c r="FT51" s="391">
        <f t="shared" si="24"/>
        <v>0.12226799308675379</v>
      </c>
      <c r="FU51" s="391">
        <f>IF(ISERROR(FU42/FU9),"NA ",FU42/FU9)</f>
        <v>0.11555003114180359</v>
      </c>
      <c r="FV51" s="394">
        <f>IF(ISERROR(FV42/FV9),"NA ",FV42/FV9)</f>
        <v>0.11225003114180361</v>
      </c>
      <c r="FW51" s="391">
        <f>IF(ISERROR(FW42/FW9),"NA ",FW42/FW9)</f>
        <v>0.10855003114180345</v>
      </c>
      <c r="FX51" s="394">
        <f>IF(ISERROR(FX42/FX9),"NA ",FX42/FX9)</f>
        <v>0.10735003114180353</v>
      </c>
      <c r="GG51" s="320"/>
    </row>
    <row r="52" spans="1:263" x14ac:dyDescent="0.2">
      <c r="A52" s="334"/>
      <c r="B52" s="305"/>
      <c r="C52" s="305"/>
      <c r="D52" s="305"/>
      <c r="E52" s="305"/>
      <c r="F52" s="305"/>
      <c r="G52" s="305"/>
      <c r="H52" s="305"/>
      <c r="I52" s="305"/>
      <c r="J52" s="305"/>
      <c r="K52" s="305"/>
      <c r="L52" s="305"/>
      <c r="M52" s="305"/>
      <c r="N52" s="305"/>
      <c r="O52" s="305"/>
      <c r="P52" s="305"/>
      <c r="Q52" s="305"/>
      <c r="R52" s="305"/>
      <c r="S52" s="305"/>
      <c r="T52" s="305"/>
      <c r="U52" s="305"/>
      <c r="V52" s="305"/>
      <c r="W52" s="305"/>
      <c r="X52" s="305"/>
      <c r="Y52" s="305"/>
      <c r="Z52" s="305"/>
      <c r="AA52" s="305"/>
      <c r="AB52" s="305"/>
      <c r="AC52" s="305"/>
      <c r="AD52" s="305"/>
      <c r="AE52" s="305"/>
      <c r="AF52" s="305"/>
      <c r="AG52" s="305"/>
      <c r="AH52" s="305"/>
      <c r="AI52" s="305"/>
      <c r="AJ52" s="305"/>
      <c r="AK52" s="305"/>
      <c r="AL52" s="305"/>
      <c r="AM52" s="305"/>
      <c r="AN52" s="305"/>
      <c r="AO52" s="305"/>
      <c r="AP52" s="305"/>
      <c r="AQ52" s="305"/>
      <c r="AR52" s="305"/>
      <c r="AS52" s="305"/>
      <c r="AT52" s="305"/>
      <c r="AU52" s="305"/>
      <c r="AV52" s="305"/>
      <c r="AW52" s="305"/>
      <c r="AX52" s="305"/>
      <c r="AY52" s="305"/>
      <c r="AZ52" s="305"/>
      <c r="BA52" s="305"/>
      <c r="BB52" s="305"/>
      <c r="BC52" s="305"/>
      <c r="BD52" s="305"/>
      <c r="BE52" s="305"/>
      <c r="BF52" s="305"/>
      <c r="BG52" s="305"/>
      <c r="BH52" s="305"/>
      <c r="BI52" s="305"/>
      <c r="BJ52" s="305"/>
      <c r="BK52" s="305"/>
      <c r="BL52" s="305"/>
      <c r="BM52" s="305"/>
      <c r="BN52" s="305"/>
      <c r="BO52" s="305"/>
      <c r="BP52" s="305"/>
      <c r="BQ52" s="305"/>
      <c r="BR52" s="305"/>
      <c r="BS52" s="305"/>
      <c r="BT52" s="305"/>
      <c r="BU52" s="305"/>
      <c r="BV52" s="305"/>
      <c r="BW52" s="305"/>
      <c r="BX52" s="305"/>
      <c r="BY52" s="305"/>
      <c r="BZ52" s="305"/>
      <c r="CA52" s="305"/>
      <c r="CB52" s="305"/>
      <c r="CC52" s="305"/>
      <c r="CD52" s="305"/>
      <c r="CE52" s="305"/>
      <c r="CF52" s="305"/>
      <c r="CG52" s="305"/>
      <c r="CH52" s="305"/>
      <c r="CI52" s="305"/>
      <c r="CJ52" s="305"/>
      <c r="CK52" s="305"/>
      <c r="CL52" s="305"/>
      <c r="CM52" s="305"/>
      <c r="CN52" s="305"/>
      <c r="CO52" s="305"/>
      <c r="CP52" s="305"/>
      <c r="CQ52" s="305"/>
      <c r="CR52" s="305"/>
      <c r="CS52" s="305"/>
      <c r="CT52" s="305"/>
      <c r="CU52" s="305"/>
      <c r="CV52" s="305"/>
      <c r="CW52" s="305"/>
      <c r="CX52" s="305"/>
      <c r="CY52" s="305"/>
      <c r="CZ52" s="305"/>
      <c r="DA52" s="305"/>
      <c r="DB52" s="305"/>
      <c r="DC52" s="305"/>
      <c r="DD52" s="305"/>
      <c r="DE52" s="305"/>
      <c r="DF52" s="305"/>
      <c r="DG52" s="305"/>
      <c r="DH52" s="305"/>
      <c r="DI52" s="305"/>
      <c r="DJ52" s="305"/>
      <c r="DK52" s="305"/>
      <c r="DL52" s="305"/>
      <c r="DM52" s="305"/>
      <c r="DN52" s="305"/>
      <c r="DO52" s="305"/>
      <c r="DP52" s="305"/>
      <c r="DQ52" s="305"/>
      <c r="DR52" s="305"/>
      <c r="DS52" s="305"/>
      <c r="DT52" s="305"/>
      <c r="DU52" s="305"/>
      <c r="DV52" s="305"/>
      <c r="DW52" s="305"/>
      <c r="DX52" s="305"/>
      <c r="DY52" s="305"/>
      <c r="DZ52" s="305"/>
      <c r="EA52" s="305"/>
      <c r="EB52" s="305"/>
      <c r="EC52" s="305"/>
      <c r="ED52" s="305"/>
      <c r="EE52" s="305"/>
      <c r="EF52" s="305"/>
      <c r="EG52" s="305"/>
      <c r="EH52" s="305"/>
      <c r="EI52" s="305"/>
      <c r="EJ52" s="305"/>
      <c r="EK52" s="305"/>
      <c r="EL52" s="305"/>
      <c r="EM52" s="1193"/>
      <c r="EN52" s="1193"/>
      <c r="EO52" s="1193"/>
      <c r="EP52" s="1193"/>
      <c r="EQ52" s="305"/>
      <c r="ER52" s="305"/>
      <c r="ES52" s="305"/>
      <c r="ET52" s="305"/>
      <c r="EU52" s="305"/>
      <c r="EV52" s="305"/>
      <c r="EW52" s="305"/>
      <c r="EX52" s="305"/>
      <c r="EY52" s="305"/>
      <c r="EZ52" s="305"/>
      <c r="FA52" s="305"/>
      <c r="FB52" s="305"/>
      <c r="FC52" s="305"/>
      <c r="FD52" s="305"/>
      <c r="FE52" s="305"/>
      <c r="FF52" s="305"/>
      <c r="FG52" s="305"/>
      <c r="FH52" s="334"/>
      <c r="FI52" s="305"/>
      <c r="FJ52" s="305"/>
      <c r="FK52" s="1253"/>
      <c r="FL52" s="305"/>
      <c r="FM52" s="305"/>
      <c r="FN52" s="305"/>
      <c r="FO52" s="305"/>
      <c r="FP52" s="305"/>
      <c r="FQ52" s="305"/>
      <c r="FR52" s="305"/>
      <c r="FS52" s="305"/>
      <c r="FT52" s="305"/>
      <c r="FU52" s="305"/>
      <c r="FV52" s="335"/>
      <c r="FW52" s="305"/>
      <c r="FX52" s="335"/>
    </row>
    <row r="53" spans="1:263" x14ac:dyDescent="0.2">
      <c r="A53" s="330" t="s">
        <v>199</v>
      </c>
      <c r="B53" s="305"/>
      <c r="C53" s="305"/>
      <c r="D53" s="305"/>
      <c r="E53" s="305"/>
      <c r="F53" s="305"/>
      <c r="G53" s="305"/>
      <c r="H53" s="305"/>
      <c r="I53" s="305"/>
      <c r="J53" s="305"/>
      <c r="K53" s="305"/>
      <c r="L53" s="305"/>
      <c r="M53" s="305"/>
      <c r="N53" s="305"/>
      <c r="O53" s="305"/>
      <c r="P53" s="305"/>
      <c r="Q53" s="305"/>
      <c r="R53" s="305"/>
      <c r="S53" s="305"/>
      <c r="T53" s="305"/>
      <c r="U53" s="305"/>
      <c r="V53" s="305"/>
      <c r="W53" s="305"/>
      <c r="X53" s="305"/>
      <c r="Y53" s="305"/>
      <c r="Z53" s="305"/>
      <c r="AA53" s="305"/>
      <c r="AB53" s="305"/>
      <c r="AC53" s="305"/>
      <c r="AD53" s="305"/>
      <c r="AE53" s="305"/>
      <c r="AF53" s="305"/>
      <c r="AG53" s="305"/>
      <c r="AH53" s="305"/>
      <c r="AI53" s="305"/>
      <c r="AJ53" s="305"/>
      <c r="AK53" s="305"/>
      <c r="AL53" s="305"/>
      <c r="AM53" s="305"/>
      <c r="AN53" s="305"/>
      <c r="AO53" s="305"/>
      <c r="AP53" s="305"/>
      <c r="AQ53" s="305"/>
      <c r="AR53" s="305"/>
      <c r="AS53" s="305"/>
      <c r="AT53" s="305"/>
      <c r="AU53" s="305"/>
      <c r="AV53" s="305"/>
      <c r="AW53" s="305"/>
      <c r="AX53" s="305"/>
      <c r="AY53" s="305"/>
      <c r="AZ53" s="305"/>
      <c r="BA53" s="305"/>
      <c r="BB53" s="305"/>
      <c r="BC53" s="305"/>
      <c r="BD53" s="305"/>
      <c r="BE53" s="305"/>
      <c r="BF53" s="305"/>
      <c r="BG53" s="305"/>
      <c r="BH53" s="305"/>
      <c r="BI53" s="305"/>
      <c r="BJ53" s="305"/>
      <c r="BK53" s="305"/>
      <c r="BL53" s="305"/>
      <c r="BM53" s="305"/>
      <c r="BN53" s="305"/>
      <c r="BO53" s="305"/>
      <c r="BP53" s="305"/>
      <c r="BQ53" s="305"/>
      <c r="BR53" s="305"/>
      <c r="BS53" s="305"/>
      <c r="BT53" s="305"/>
      <c r="BU53" s="305"/>
      <c r="BV53" s="305"/>
      <c r="BW53" s="305"/>
      <c r="BX53" s="305"/>
      <c r="BY53" s="305"/>
      <c r="BZ53" s="305"/>
      <c r="CA53" s="305"/>
      <c r="CB53" s="305"/>
      <c r="CC53" s="305"/>
      <c r="CD53" s="305"/>
      <c r="CE53" s="305"/>
      <c r="CF53" s="305"/>
      <c r="CG53" s="305"/>
      <c r="CH53" s="305"/>
      <c r="CI53" s="305"/>
      <c r="CJ53" s="305"/>
      <c r="CK53" s="305"/>
      <c r="CL53" s="305"/>
      <c r="CM53" s="305"/>
      <c r="CN53" s="305"/>
      <c r="CO53" s="305"/>
      <c r="CP53" s="305"/>
      <c r="CQ53" s="305"/>
      <c r="CR53" s="305"/>
      <c r="CS53" s="305"/>
      <c r="CT53" s="305"/>
      <c r="CU53" s="305"/>
      <c r="CV53" s="305"/>
      <c r="CW53" s="305"/>
      <c r="CX53" s="305"/>
      <c r="CY53" s="305"/>
      <c r="CZ53" s="305"/>
      <c r="DA53" s="305"/>
      <c r="DB53" s="305"/>
      <c r="DC53" s="305"/>
      <c r="DD53" s="305"/>
      <c r="DE53" s="305"/>
      <c r="DF53" s="305"/>
      <c r="DG53" s="305"/>
      <c r="DH53" s="305"/>
      <c r="DI53" s="305"/>
      <c r="DJ53" s="305"/>
      <c r="DK53" s="305"/>
      <c r="DL53" s="305"/>
      <c r="DM53" s="305"/>
      <c r="DN53" s="305"/>
      <c r="DO53" s="305"/>
      <c r="DP53" s="305"/>
      <c r="DQ53" s="305"/>
      <c r="DR53" s="305"/>
      <c r="DS53" s="305"/>
      <c r="DT53" s="305"/>
      <c r="DU53" s="305"/>
      <c r="DV53" s="305"/>
      <c r="DW53" s="305"/>
      <c r="DX53" s="395"/>
      <c r="DY53" s="395"/>
      <c r="DZ53" s="395"/>
      <c r="EA53" s="305"/>
      <c r="EB53" s="305"/>
      <c r="EC53" s="395"/>
      <c r="ED53" s="889"/>
      <c r="EE53" s="891"/>
      <c r="EF53" s="305"/>
      <c r="EG53" s="305"/>
      <c r="EH53" s="395"/>
      <c r="EI53" s="889"/>
      <c r="EJ53" s="891"/>
      <c r="EK53" s="305"/>
      <c r="EL53" s="305"/>
      <c r="EM53" s="1193"/>
      <c r="EN53" s="1193"/>
      <c r="EO53" s="1193"/>
      <c r="EP53" s="1193"/>
      <c r="EQ53" s="305"/>
      <c r="ER53" s="305"/>
      <c r="ES53" s="305"/>
      <c r="ET53" s="305"/>
      <c r="EU53" s="305"/>
      <c r="EV53" s="305"/>
      <c r="EW53" s="305"/>
      <c r="EX53" s="305"/>
      <c r="EY53" s="305"/>
      <c r="EZ53" s="305"/>
      <c r="FA53" s="305"/>
      <c r="FB53" s="305"/>
      <c r="FC53" s="305"/>
      <c r="FD53" s="305"/>
      <c r="FE53" s="305"/>
      <c r="FF53" s="305"/>
      <c r="FG53" s="305"/>
      <c r="FH53" s="334"/>
      <c r="FI53" s="305"/>
      <c r="FJ53" s="305"/>
      <c r="FK53" s="1253"/>
      <c r="FL53" s="305"/>
      <c r="FM53" s="305"/>
      <c r="FN53" s="305"/>
      <c r="FO53" s="305"/>
      <c r="FP53" s="305"/>
      <c r="FQ53" s="305"/>
      <c r="FR53" s="395"/>
      <c r="FS53" s="305"/>
      <c r="FT53" s="305"/>
      <c r="FU53" s="305"/>
      <c r="FV53" s="335"/>
      <c r="FW53" s="305"/>
      <c r="FX53" s="335"/>
      <c r="GF53" s="320"/>
    </row>
    <row r="54" spans="1:263" x14ac:dyDescent="0.2">
      <c r="A54" s="334" t="s">
        <v>98</v>
      </c>
      <c r="B54" s="305"/>
      <c r="C54" s="391" t="s">
        <v>271</v>
      </c>
      <c r="D54" s="391" t="s">
        <v>271</v>
      </c>
      <c r="E54" s="391" t="s">
        <v>271</v>
      </c>
      <c r="F54" s="391" t="s">
        <v>271</v>
      </c>
      <c r="G54" s="391"/>
      <c r="H54" s="391">
        <f>H9/C9-1</f>
        <v>0.18438142924423073</v>
      </c>
      <c r="I54" s="391">
        <f>I9/D9-1</f>
        <v>0.14454163862988256</v>
      </c>
      <c r="J54" s="391">
        <f>J9/E9-1</f>
        <v>0.20013624251167061</v>
      </c>
      <c r="K54" s="391">
        <f>K9/F9-1</f>
        <v>0.17733762567190037</v>
      </c>
      <c r="L54" s="305"/>
      <c r="M54" s="391">
        <f>M9/H9-1</f>
        <v>0.10712304971589415</v>
      </c>
      <c r="N54" s="391">
        <f>N9/I9-1</f>
        <v>0.21836506159014557</v>
      </c>
      <c r="O54" s="391">
        <f>O9/J9-1</f>
        <v>0.19031719532554248</v>
      </c>
      <c r="P54" s="391">
        <f>P9/K9-1</f>
        <v>0.18156337589535965</v>
      </c>
      <c r="Q54" s="305"/>
      <c r="R54" s="391">
        <f>R9/M9-1</f>
        <v>0.18241965973534979</v>
      </c>
      <c r="S54" s="391">
        <f>S9/N9-1</f>
        <v>0.18290441176470584</v>
      </c>
      <c r="T54" s="391">
        <f>T9/O9-1</f>
        <v>0.19530154277699863</v>
      </c>
      <c r="U54" s="391">
        <f>U9/P9-1</f>
        <v>0.20479704797047993</v>
      </c>
      <c r="V54" s="305"/>
      <c r="W54" s="391">
        <f>W9/R9-1</f>
        <v>0.23021582733812962</v>
      </c>
      <c r="X54" s="391">
        <f>X9/S9-1</f>
        <v>0.135975135975136</v>
      </c>
      <c r="Y54" s="391">
        <f>Y9/T9-1</f>
        <v>0.14256380170137883</v>
      </c>
      <c r="Z54" s="391">
        <f>Z9/U9-1</f>
        <v>0.23460949464012248</v>
      </c>
      <c r="AA54" s="305"/>
      <c r="AB54" s="391">
        <f>AB9/W9-1</f>
        <v>0.19688109161793355</v>
      </c>
      <c r="AC54" s="391">
        <f>AC9/X9-1</f>
        <v>0.24247606019151857</v>
      </c>
      <c r="AD54" s="391">
        <f>AD9/Y9-1</f>
        <v>0.24955070603337615</v>
      </c>
      <c r="AE54" s="391">
        <f>AE9/Z9-1</f>
        <v>0.25279087075167439</v>
      </c>
      <c r="AF54" s="305"/>
      <c r="AG54" s="391">
        <f>AG9/AB9-1</f>
        <v>0.2722584147665581</v>
      </c>
      <c r="AH54" s="391">
        <f>AH9/AC9-1</f>
        <v>0.3063583815028903</v>
      </c>
      <c r="AI54" s="391">
        <f>AI9/AD9-1</f>
        <v>0.22909389767824129</v>
      </c>
      <c r="AJ54" s="391">
        <f>AJ9/AE9-1</f>
        <v>0.19801980198019797</v>
      </c>
      <c r="AK54" s="305"/>
      <c r="AL54" s="391">
        <f>AL9/AG9-1</f>
        <v>0.28130360571794344</v>
      </c>
      <c r="AM54" s="391">
        <f>AM9/AH9-1</f>
        <v>0.31465865992414654</v>
      </c>
      <c r="AN54" s="391">
        <f>AN9/AI9-1</f>
        <v>0.2668004012036107</v>
      </c>
      <c r="AO54" s="391">
        <f>AO9/AJ9-1</f>
        <v>0.272491145218418</v>
      </c>
      <c r="AP54" s="305"/>
      <c r="AQ54" s="391">
        <f>AQ9/AL9-1</f>
        <v>0.23986965216710754</v>
      </c>
      <c r="AR54" s="391">
        <f>AR9/AM9-1</f>
        <v>0.21606828894583896</v>
      </c>
      <c r="AS54" s="391">
        <f>AS9/AN9-1</f>
        <v>0.17293481129585642</v>
      </c>
      <c r="AT54" s="391">
        <f>AT9/AO9-1</f>
        <v>0.19641863054370012</v>
      </c>
      <c r="AU54" s="305"/>
      <c r="AV54" s="391">
        <f>AV9/AQ9-1</f>
        <v>0.222535589578297</v>
      </c>
      <c r="AW54" s="391">
        <f>AW9/AR9-1</f>
        <v>0.23822075782537078</v>
      </c>
      <c r="AX54" s="391">
        <f>AX9/AS9-1</f>
        <v>0.23719412724306688</v>
      </c>
      <c r="AY54" s="391">
        <f>AY9/AT9-1</f>
        <v>0.2466072120977123</v>
      </c>
      <c r="AZ54" s="305"/>
      <c r="BA54" s="391">
        <f>BA9/AV9-1</f>
        <v>0.34977479951664292</v>
      </c>
      <c r="BB54" s="391">
        <f>BB9/AW9-1</f>
        <v>0.33624268227780751</v>
      </c>
      <c r="BC54" s="391">
        <f>BC9/AX9-1</f>
        <v>0.31401862359959254</v>
      </c>
      <c r="BD54" s="391">
        <f>BD9/AY9-1</f>
        <v>0.38295489891135293</v>
      </c>
      <c r="BE54" s="305"/>
      <c r="BF54" s="391">
        <f>BF9/AQ9-1</f>
        <v>0.99879129734085392</v>
      </c>
      <c r="BG54" s="391">
        <f>BG9/AR9-1</f>
        <v>0.99775947281713329</v>
      </c>
      <c r="BH54" s="391">
        <f>BH9/AS9-1</f>
        <v>0.98047589582044203</v>
      </c>
      <c r="BI54" s="391">
        <f>BI9/AT9-1</f>
        <v>1.1126017836370683</v>
      </c>
      <c r="BJ54" s="305"/>
      <c r="BK54" s="391">
        <f>BK9/AV9-1</f>
        <v>1.0548170932659562</v>
      </c>
      <c r="BL54" s="391">
        <f>BL9/AW9-1</f>
        <v>1.0456625864821714</v>
      </c>
      <c r="BM54" s="391">
        <f>BM9/AX9-1</f>
        <v>0.9491124690819146</v>
      </c>
      <c r="BN54" s="391">
        <f>BN9/AY9-1</f>
        <v>0.98096423017107326</v>
      </c>
      <c r="BO54" s="305"/>
      <c r="BP54" s="391">
        <f>BP9/BA9-1</f>
        <v>0.72352893301863741</v>
      </c>
      <c r="BQ54" s="391">
        <f>BQ9/BB9-1</f>
        <v>0.75912059901226692</v>
      </c>
      <c r="BR54" s="391">
        <f>BR9/BC9-1</f>
        <v>0.65674740484429073</v>
      </c>
      <c r="BS54" s="391">
        <f>BS9/BD9-1</f>
        <v>0.60222212226170679</v>
      </c>
      <c r="BT54" s="305"/>
      <c r="BU54" s="391">
        <f>BU9/BP9-1</f>
        <v>0.12395523445247214</v>
      </c>
      <c r="BV54" s="391">
        <f>BV9/BQ9-1</f>
        <v>0.13109038217714186</v>
      </c>
      <c r="BW54" s="391">
        <f>BW9/BR9-1</f>
        <v>0.14615705931495415</v>
      </c>
      <c r="BX54" s="391">
        <f>BX9/BS9-1</f>
        <v>0.14509110306297202</v>
      </c>
      <c r="BY54" s="305"/>
      <c r="BZ54" s="391">
        <f>BZ9/BU9-1</f>
        <v>0.1523401394840771</v>
      </c>
      <c r="CA54" s="391">
        <f>CA9/BV9-1</f>
        <v>0.15621121742263488</v>
      </c>
      <c r="CB54" s="391">
        <f>CB9/BW9-1</f>
        <v>0.1368490105324538</v>
      </c>
      <c r="CC54" s="391">
        <f>CC9/BX9-1</f>
        <v>0.14053497437909135</v>
      </c>
      <c r="CD54" s="305"/>
      <c r="CE54" s="391">
        <f>CE9/BZ9-1</f>
        <v>0.16111273151523986</v>
      </c>
      <c r="CF54" s="391">
        <f>CF9/CA9-1</f>
        <v>0.14314151172050837</v>
      </c>
      <c r="CG54" s="391">
        <f>CG9/CB9-1</f>
        <v>0.17025517727768169</v>
      </c>
      <c r="CH54" s="391">
        <f>CH9/CC9-1</f>
        <v>0.17126335475827092</v>
      </c>
      <c r="CI54" s="305"/>
      <c r="CJ54" s="391">
        <f>CJ9/CE9-1</f>
        <v>0.12161271077338531</v>
      </c>
      <c r="CK54" s="391">
        <f>CK9/CF9-1</f>
        <v>8.7139903080623471E-2</v>
      </c>
      <c r="CL54" s="391">
        <f>CL9/CG9-1</f>
        <v>4.7858180290119456E-2</v>
      </c>
      <c r="CM54" s="391">
        <f>CM9/CH9-1</f>
        <v>7.1027419887677024E-3</v>
      </c>
      <c r="CN54" s="305"/>
      <c r="CO54" s="391">
        <f>CO9/CJ9-1</f>
        <v>1.463017917133258E-2</v>
      </c>
      <c r="CP54" s="391">
        <f>CP9/CK9-1</f>
        <v>3.797225008358418E-2</v>
      </c>
      <c r="CQ54" s="391">
        <f>CQ9/CL9-1</f>
        <v>-5.6339537801944894E-3</v>
      </c>
      <c r="CR54" s="391">
        <f>CR9/CM9-1</f>
        <v>-4.5978896725165419E-2</v>
      </c>
      <c r="CS54" s="305"/>
      <c r="CT54" s="391">
        <f>CT9/CO9-1</f>
        <v>3.7913957032320589E-3</v>
      </c>
      <c r="CU54" s="391">
        <f>CU9/CP9-1</f>
        <v>2.1610580084767461E-2</v>
      </c>
      <c r="CV54" s="391">
        <f>CV9/CQ9-1</f>
        <v>6.5029922582236166E-2</v>
      </c>
      <c r="CW54" s="391">
        <f>CW9/CR9-1</f>
        <v>8.5577841451766945E-2</v>
      </c>
      <c r="CX54" s="305"/>
      <c r="CY54" s="391">
        <f>CY9/CT9-1</f>
        <v>0.1091258933479935</v>
      </c>
      <c r="CZ54" s="391">
        <f>CZ9/CU9-1</f>
        <v>7.7246452968996238E-2</v>
      </c>
      <c r="DA54" s="391">
        <f>DA9/CV9-1</f>
        <v>4.1224389039743237E-2</v>
      </c>
      <c r="DB54" s="391">
        <f>DB9/CW9-1</f>
        <v>6.2467006862572561E-2</v>
      </c>
      <c r="DC54" s="305"/>
      <c r="DD54" s="391">
        <f>DD9/CY9-1</f>
        <v>3.1474597273853711E-2</v>
      </c>
      <c r="DE54" s="391">
        <f>DE9/CZ9-1</f>
        <v>3.6097560975609788E-2</v>
      </c>
      <c r="DF54" s="391">
        <f>DF9/DA9-1</f>
        <v>3.7458511142721695E-2</v>
      </c>
      <c r="DG54" s="391">
        <f>DG9/DB9-1</f>
        <v>-3.3123550844650351E-3</v>
      </c>
      <c r="DH54" s="305"/>
      <c r="DI54" s="391">
        <f>DI9/DD9-1</f>
        <v>1.9461797212878329E-2</v>
      </c>
      <c r="DJ54" s="391">
        <f>DJ9/DE9-1</f>
        <v>-1.0122410546139382E-2</v>
      </c>
      <c r="DK54" s="391">
        <f>DK9/DF9-1</f>
        <v>2.6051188299817118E-2</v>
      </c>
      <c r="DL54" s="391">
        <f>DL9/DG9-1</f>
        <v>5.3838484546360865E-2</v>
      </c>
      <c r="DM54" s="305"/>
      <c r="DN54" s="391">
        <f>DN9/DI9-1</f>
        <v>-1.0370021211407066E-2</v>
      </c>
      <c r="DO54" s="391">
        <f>DO9/DJ9-1</f>
        <v>1.9976218787158162E-2</v>
      </c>
      <c r="DP54" s="391">
        <f>DP9/DK9-1</f>
        <v>-1.024498886414249E-2</v>
      </c>
      <c r="DQ54" s="391">
        <f>DQ9/DL9-1</f>
        <v>-3.8315988647114496E-2</v>
      </c>
      <c r="DR54" s="305"/>
      <c r="DS54" s="391">
        <f>DS9/DN9-1</f>
        <v>-3.0721600381043102E-2</v>
      </c>
      <c r="DT54" s="391">
        <f>DT9/DO9-1</f>
        <v>-1.095826532991373E-2</v>
      </c>
      <c r="DU54" s="391">
        <f>DU9/DP9-1</f>
        <v>-1.5751575157515796E-2</v>
      </c>
      <c r="DV54" s="391">
        <f>DV9/DQ9-1</f>
        <v>3.9022790621413339E-2</v>
      </c>
      <c r="DW54" s="305"/>
      <c r="DX54" s="391">
        <f>DX9/DS9-1</f>
        <v>1.3022113022113091E-2</v>
      </c>
      <c r="DY54" s="391">
        <f>DY9/DT9-1</f>
        <v>5.8934464875060044E-3</v>
      </c>
      <c r="DZ54" s="391">
        <f>DZ9/DU9-1</f>
        <v>1.2117055326931858E-2</v>
      </c>
      <c r="EA54" s="391">
        <f>EA9/DV9-1</f>
        <v>7.8901688496133549E-3</v>
      </c>
      <c r="EB54" s="305"/>
      <c r="EC54" s="391">
        <f>EC9/DX9-1</f>
        <v>-3.6623817608537501E-2</v>
      </c>
      <c r="ED54" s="391">
        <f>ED9/DY9-1</f>
        <v>-1.9920318725099584E-2</v>
      </c>
      <c r="EE54" s="391">
        <f>EE9/DZ9-1</f>
        <v>-2.2588660492432799E-2</v>
      </c>
      <c r="EF54" s="391">
        <f>EF9/EA9-1</f>
        <v>-2.8495381243150097E-2</v>
      </c>
      <c r="EG54" s="305"/>
      <c r="EH54" s="391">
        <f>EH9/EC9-1</f>
        <v>-3.2477341389728132E-2</v>
      </c>
      <c r="EI54" s="391">
        <f>EI9/ED9-1</f>
        <v>-9.0865614538497841E-3</v>
      </c>
      <c r="EJ54" s="391">
        <f>EJ9/EE9-1</f>
        <v>1.1555350127108177E-3</v>
      </c>
      <c r="EK54" s="391">
        <f>EK9/EF9-1</f>
        <v>9.2022562449637357E-2</v>
      </c>
      <c r="EL54" s="391"/>
      <c r="EM54" s="1205">
        <f>EM9/EH9-1</f>
        <v>3.4599999999999964E-2</v>
      </c>
      <c r="EN54" s="1205">
        <f>EN9/EI9-1</f>
        <v>7.6000000000000512E-3</v>
      </c>
      <c r="EO54" s="1205">
        <f>EO9/EJ9-1</f>
        <v>-1.2850000000000139E-2</v>
      </c>
      <c r="EP54" s="1205">
        <f>EP9/EK9-1</f>
        <v>-6.1799999999999966E-2</v>
      </c>
      <c r="EQ54" s="391" t="s">
        <v>271</v>
      </c>
      <c r="ER54" s="391">
        <f t="shared" ref="ER54:FU54" si="25">ER9/EQ9-1</f>
        <v>0.17806012952728234</v>
      </c>
      <c r="ES54" s="391">
        <f t="shared" si="25"/>
        <v>0.17887505293274253</v>
      </c>
      <c r="ET54" s="391">
        <f t="shared" si="25"/>
        <v>0.190311216786889</v>
      </c>
      <c r="EU54" s="391">
        <f t="shared" si="25"/>
        <v>0.19028799019607856</v>
      </c>
      <c r="EV54" s="391">
        <f t="shared" si="25"/>
        <v>0.23913734524207886</v>
      </c>
      <c r="EW54" s="391">
        <f t="shared" si="25"/>
        <v>0.24034815952274236</v>
      </c>
      <c r="EX54" s="391">
        <f t="shared" si="25"/>
        <v>0.28117395855139193</v>
      </c>
      <c r="EY54" s="391">
        <f t="shared" si="25"/>
        <v>0.20313690735287016</v>
      </c>
      <c r="EZ54" s="391">
        <f t="shared" si="25"/>
        <v>0.23773800146671364</v>
      </c>
      <c r="FA54" s="391">
        <f t="shared" si="25"/>
        <v>0.35006078587134493</v>
      </c>
      <c r="FB54" s="391">
        <f t="shared" si="25"/>
        <v>0.21723058418126828</v>
      </c>
      <c r="FC54" s="391">
        <f t="shared" si="25"/>
        <v>0.21787036000900573</v>
      </c>
      <c r="FD54" s="391">
        <f t="shared" si="25"/>
        <v>0.12738755729041018</v>
      </c>
      <c r="FE54" s="391">
        <f t="shared" si="25"/>
        <v>0.13797899241392741</v>
      </c>
      <c r="FF54" s="391">
        <f t="shared" si="25"/>
        <v>0.14541865016622912</v>
      </c>
      <c r="FG54" s="391">
        <f t="shared" si="25"/>
        <v>0.16289124173643144</v>
      </c>
      <c r="FH54" s="393">
        <f t="shared" si="25"/>
        <v>5.700236395819358E-2</v>
      </c>
      <c r="FI54" s="391">
        <f t="shared" si="25"/>
        <v>-5.1780717143082855E-3</v>
      </c>
      <c r="FJ54" s="391">
        <f t="shared" si="25"/>
        <v>4.8180548214657559E-2</v>
      </c>
      <c r="FK54" s="1263"/>
      <c r="FL54" s="391">
        <f>FL9/FJ9-1</f>
        <v>7.0613575503551074E-2</v>
      </c>
      <c r="FM54" s="391">
        <f t="shared" si="25"/>
        <v>2.2456636398238361E-2</v>
      </c>
      <c r="FN54" s="391">
        <f t="shared" si="25"/>
        <v>2.5313763029142677E-2</v>
      </c>
      <c r="FO54" s="391">
        <f t="shared" si="25"/>
        <v>-1.2914937759336054E-2</v>
      </c>
      <c r="FP54" s="391">
        <f t="shared" si="25"/>
        <v>-4.2036677000678591E-4</v>
      </c>
      <c r="FQ54" s="391">
        <f t="shared" si="25"/>
        <v>9.5147978762550878E-3</v>
      </c>
      <c r="FR54" s="391">
        <f t="shared" si="25"/>
        <v>-2.6973547177671309E-2</v>
      </c>
      <c r="FS54" s="391">
        <f t="shared" si="25"/>
        <v>2.1888044525313122E-2</v>
      </c>
      <c r="FT54" s="391">
        <f t="shared" si="25"/>
        <v>-1.6232563498298047E-2</v>
      </c>
      <c r="FU54" s="391">
        <f t="shared" si="25"/>
        <v>-1.4577373172829033E-2</v>
      </c>
      <c r="FV54" s="394">
        <f>FV9/FU9-1</f>
        <v>-1.4999999999999902E-2</v>
      </c>
      <c r="FW54" s="391">
        <f>FW9/FV9-1</f>
        <v>-1.5000000000000013E-2</v>
      </c>
      <c r="FX54" s="394">
        <f>FX9/FW9-1</f>
        <v>-1.5000000000000013E-2</v>
      </c>
    </row>
    <row r="55" spans="1:263" x14ac:dyDescent="0.2">
      <c r="A55" s="334" t="s">
        <v>200</v>
      </c>
      <c r="B55" s="305"/>
      <c r="C55" s="391" t="s">
        <v>271</v>
      </c>
      <c r="D55" s="391" t="s">
        <v>271</v>
      </c>
      <c r="E55" s="391" t="s">
        <v>271</v>
      </c>
      <c r="F55" s="391">
        <f>INDEX('qtrP&amp;L'!$13:$13,MATCH(C$6,'qtrP&amp;L'!$6:$6,0)+2)%</f>
        <v>8.199999999999999E-2</v>
      </c>
      <c r="G55" s="305"/>
      <c r="H55" s="391">
        <f>INDEX('qtrP&amp;L'!$10:$10,MATCH(H$6,'qtrP&amp;L'!$6:$6,0)+2)%</f>
        <v>0.15526795841209831</v>
      </c>
      <c r="I55" s="391">
        <f>INDEX('qtrP&amp;L'!$11:$11,MATCH(H$6,'qtrP&amp;L'!$6:$6,0)+2)%</f>
        <v>0.11151231802911536</v>
      </c>
      <c r="J55" s="391">
        <f>INDEX('qtrP&amp;L'!$12:$12,MATCH(H$6,'qtrP&amp;L'!$6:$6,0)+2)%</f>
        <v>0.12907095158597659</v>
      </c>
      <c r="K55" s="391">
        <f>INDEX('qtrP&amp;L'!$13:$13,MATCH(H$6,'qtrP&amp;L'!$6:$6,0)+2)%</f>
        <v>6.2896916848333845E-2</v>
      </c>
      <c r="L55" s="305"/>
      <c r="M55" s="391">
        <f>INDEX('qtrP&amp;L'!$10:$10,MATCH(M$6,'qtrP&amp;L'!$6:$6,0)+2)%</f>
        <v>1E-3</v>
      </c>
      <c r="N55" s="391">
        <f>INDEX('qtrP&amp;L'!$11:$11,MATCH(M$6,'qtrP&amp;L'!$6:$6,0)+2)%</f>
        <v>0.109</v>
      </c>
      <c r="O55" s="391">
        <f>INDEX('qtrP&amp;L'!$12:$12,MATCH(M$6,'qtrP&amp;L'!$6:$6,0)+2)%</f>
        <v>0.16399999999999998</v>
      </c>
      <c r="P55" s="391">
        <f>INDEX('qtrP&amp;L'!$13:$13,MATCH(M$6,'qtrP&amp;L'!$6:$6,0)+2)%</f>
        <v>0.121</v>
      </c>
      <c r="Q55" s="305"/>
      <c r="R55" s="391">
        <f>INDEX('qtrP&amp;L'!$10:$10,MATCH(R$6,'qtrP&amp;L'!$6:$6,0)+2)%</f>
        <v>8.900000000000001E-2</v>
      </c>
      <c r="S55" s="391">
        <f>INDEX('qtrP&amp;L'!$11:$11,MATCH(R$6,'qtrP&amp;L'!$6:$6,0)+2)%</f>
        <v>8.199999999999999E-2</v>
      </c>
      <c r="T55" s="391">
        <f>INDEX('qtrP&amp;L'!$12:$12,MATCH(R$6,'qtrP&amp;L'!$6:$6,0)+2)%</f>
        <v>8.8000000000000009E-2</v>
      </c>
      <c r="U55" s="391">
        <f>INDEX('qtrP&amp;L'!$13:$13,MATCH(R$6,'qtrP&amp;L'!$6:$6,0)+2)%</f>
        <v>8.5000000000000006E-2</v>
      </c>
      <c r="V55" s="305"/>
      <c r="W55" s="391">
        <f>INDEX('qtrP&amp;L'!$10:$10,MATCH(W$6,'qtrP&amp;L'!$6:$6,0)+2)%</f>
        <v>0.12300000000000001</v>
      </c>
      <c r="X55" s="391">
        <f>INDEX('qtrP&amp;L'!$11:$11,MATCH(W$6,'qtrP&amp;L'!$6:$6,0)+2)%</f>
        <v>5.4000000000000006E-2</v>
      </c>
      <c r="Y55" s="391">
        <f>INDEX('qtrP&amp;L'!$12:$12,MATCH(W$6,'qtrP&amp;L'!$6:$6,0)+2)%</f>
        <v>1.8000000000000002E-2</v>
      </c>
      <c r="Z55" s="391">
        <f>INDEX('qtrP&amp;L'!$13:$13,MATCH(W$6,'qtrP&amp;L'!$6:$6,0)+2)%</f>
        <v>6.6000000000000003E-2</v>
      </c>
      <c r="AA55" s="305"/>
      <c r="AB55" s="391">
        <f>INDEX('qtrP&amp;L'!$10:$10,MATCH(AB$6,'qtrP&amp;L'!$6:$6,0)+2)%</f>
        <v>3.4000000000000002E-2</v>
      </c>
      <c r="AC55" s="391">
        <f>INDEX('qtrP&amp;L'!$11:$11,MATCH(AB$6,'qtrP&amp;L'!$6:$6,0)+2)%</f>
        <v>8.4000000000000005E-2</v>
      </c>
      <c r="AD55" s="391">
        <f>INDEX('qtrP&amp;L'!$12:$12,MATCH(AB$6,'qtrP&amp;L'!$6:$6,0)+2)%</f>
        <v>5.5E-2</v>
      </c>
      <c r="AE55" s="391">
        <f>INDEX('qtrP&amp;L'!$13:$13,MATCH(AB$6,'qtrP&amp;L'!$6:$6,0)+2)%</f>
        <v>7.2000000000000008E-2</v>
      </c>
      <c r="AF55" s="305"/>
      <c r="AG55" s="391">
        <f>INDEX('qtrP&amp;L'!$10:$10,MATCH(AG$6,'qtrP&amp;L'!$6:$6,0)+2)%</f>
        <v>9.6000000000000002E-2</v>
      </c>
      <c r="AH55" s="391">
        <f>INDEX('qtrP&amp;L'!$11:$11,MATCH(AG$6,'qtrP&amp;L'!$6:$6,0)+2)%</f>
        <v>0.10400000000000001</v>
      </c>
      <c r="AI55" s="391">
        <f>INDEX('qtrP&amp;L'!$12:$12,MATCH(AG$6,'qtrP&amp;L'!$6:$6,0)+2)%</f>
        <v>0.10800000000000001</v>
      </c>
      <c r="AJ55" s="391">
        <f>INDEX('qtrP&amp;L'!$13:$13,MATCH(AG$6,'qtrP&amp;L'!$6:$6,0)+2)%</f>
        <v>0.17399999999999999</v>
      </c>
      <c r="AK55" s="305"/>
      <c r="AL55" s="391">
        <f>INDEX('qtrP&amp;L'!$10:$10,MATCH(AL$6,'qtrP&amp;L'!$6:$6,0)+2)%</f>
        <v>9.2810309601080346E-2</v>
      </c>
      <c r="AM55" s="391">
        <f>INDEX('qtrP&amp;L'!$11:$11,MATCH(AL$6,'qtrP&amp;L'!$6:$6,0)+2)%</f>
        <v>0.106</v>
      </c>
      <c r="AN55" s="391">
        <f>INDEX('qtrP&amp;L'!$12:$12,MATCH(AL$6,'qtrP&amp;L'!$6:$6,0)+2)%</f>
        <v>0.106</v>
      </c>
      <c r="AO55" s="391">
        <f>INDEX('qtrP&amp;L'!$13:$13,MATCH(AL$6,'qtrP&amp;L'!$6:$6,0)+2)%</f>
        <v>9.8478706624605686E-2</v>
      </c>
      <c r="AP55" s="305"/>
      <c r="AQ55" s="391">
        <f>INDEX('qtrP&amp;L'!$10:$10,MATCH(AQ$6,'qtrP&amp;L'!$6:$6,0)+2)%</f>
        <v>0.1164488315874295</v>
      </c>
      <c r="AR55" s="391">
        <f>INDEX('qtrP&amp;L'!$11:$11,MATCH(AQ$6,'qtrP&amp;L'!$6:$6,0)+2)%</f>
        <v>0.10400000000000001</v>
      </c>
      <c r="AS55" s="391">
        <f>INDEX('qtrP&amp;L'!$12:$12,MATCH(AQ$6,'qtrP&amp;L'!$6:$6,0)+2)%</f>
        <v>4.3204871463126501E-2</v>
      </c>
      <c r="AT55" s="391">
        <f>INDEX('qtrP&amp;L'!$13:$13,MATCH(AQ$6,'qtrP&amp;L'!$6:$6,0)+2)%</f>
        <v>6.3955098875533148E-2</v>
      </c>
      <c r="AU55" s="305"/>
      <c r="AV55" s="391">
        <f>INDEX('qtrP&amp;L'!$10:$10,MATCH(AV$6,'qtrP&amp;L'!$6:$6,0)+2)%</f>
        <v>0.10800000000000001</v>
      </c>
      <c r="AW55" s="391">
        <f>INDEX('qtrP&amp;L'!$11:$11,MATCH(AV$6,'qtrP&amp;L'!$6:$6,0)+2)%</f>
        <v>8.8000000000000009E-2</v>
      </c>
      <c r="AX55" s="391">
        <f>INDEX('qtrP&amp;L'!$12:$12,MATCH(AV$6,'qtrP&amp;L'!$6:$6,0)+2)%</f>
        <v>6.9398588680343362E-2</v>
      </c>
      <c r="AY55" s="391">
        <f>INDEX('qtrP&amp;L'!$13:$13,MATCH(AV$6,'qtrP&amp;L'!$6:$6,0)+2)%</f>
        <v>7.099912908242613E-2</v>
      </c>
      <c r="AZ55" s="305"/>
      <c r="BA55" s="391">
        <f>INDEX('qtrP&amp;L'!$10:$10,MATCH(BA$6,'qtrP&amp;L'!$6:$6,0)+2)%</f>
        <v>7.1052331732725654E-2</v>
      </c>
      <c r="BB55" s="391">
        <f>INDEX('qtrP&amp;L'!$11:$11,MATCH(BA$6,'qtrP&amp;L'!$6:$6,0)+2)%</f>
        <v>7.0999999999999994E-2</v>
      </c>
      <c r="BC55" s="391">
        <f>INDEX('qtrP&amp;L'!$12:$12,MATCH(BA$6,'qtrP&amp;L'!$6:$6,0)+2)%</f>
        <v>9.4762145328719724E-2</v>
      </c>
      <c r="BD55" s="391">
        <f>INDEX('qtrP&amp;L'!$13:$13,MATCH(BA$6,'qtrP&amp;L'!$6:$6,0)+2)%</f>
        <v>0.12420237506185056</v>
      </c>
      <c r="BE55" s="305"/>
      <c r="BF55" s="391">
        <f>INDEX('qtrP&amp;L'!$10:$10,MATCH(BF$6,'qtrP&amp;L'!$6:$6,0)+2)%</f>
        <v>5.2999999999999999E-2</v>
      </c>
      <c r="BG55" s="391">
        <f>INDEX('qtrP&amp;L'!$11:$11,MATCH(BF$6,'qtrP&amp;L'!$6:$6,0)+2)%</f>
        <v>5.4000000000000006E-2</v>
      </c>
      <c r="BH55" s="391">
        <f>INDEX('qtrP&amp;L'!$12:$12,MATCH(BF$6,'qtrP&amp;L'!$6:$6,0)+2)%</f>
        <v>7.0999999999999994E-2</v>
      </c>
      <c r="BI55" s="391">
        <f>INDEX('qtrP&amp;L'!$13:$13,MATCH(BF$6,'qtrP&amp;L'!$6:$6,0)+2)%</f>
        <v>0.10099999999999999</v>
      </c>
      <c r="BJ55" s="305"/>
      <c r="BK55" s="391">
        <f>INDEX('qtrP&amp;L'!$10:$10,MATCH(BK$6,'qtrP&amp;L'!$6:$6,0)+2)%</f>
        <v>9.0999999999999998E-2</v>
      </c>
      <c r="BL55" s="391">
        <f>INDEX('qtrP&amp;L'!$11:$11,MATCH(BK$6,'qtrP&amp;L'!$6:$6,0)+2)%</f>
        <v>0.106</v>
      </c>
      <c r="BM55" s="391">
        <f>INDEX('qtrP&amp;L'!$12:$12,MATCH(BK$6,'qtrP&amp;L'!$6:$6,0)+2)%</f>
        <v>5.9000000000000004E-2</v>
      </c>
      <c r="BN55" s="391">
        <f>INDEX('qtrP&amp;L'!$13:$13,MATCH(BK$6,'qtrP&amp;L'!$6:$6,0)+2)%</f>
        <v>1.2E-2</v>
      </c>
      <c r="BO55" s="305"/>
      <c r="BP55" s="391">
        <f>INDEX('qtrP&amp;L'!$10:$10,MATCH(BP$6,'qtrP&amp;L'!$6:$6,0)+2)%</f>
        <v>-2.4E-2</v>
      </c>
      <c r="BQ55" s="391">
        <f>INDEX('qtrP&amp;L'!$11:$11,MATCH(BP$6,'qtrP&amp;L'!$6:$6,0)+2)%</f>
        <v>1.2562805651150154E-2</v>
      </c>
      <c r="BR55" s="391">
        <f>INDEX('qtrP&amp;L'!$12:$12,MATCH(BP$6,'qtrP&amp;L'!$6:$6,0)+2)%</f>
        <v>-1.3000000000000001E-2</v>
      </c>
      <c r="BS55" s="391">
        <f>INDEX('qtrP&amp;L'!$13:$13,MATCH(BP$6,'qtrP&amp;L'!$6:$6,0)+2)%</f>
        <v>-2.0410567393806679E-2</v>
      </c>
      <c r="BT55" s="305"/>
      <c r="BU55" s="391">
        <f>INDEX('qtrP&amp;L'!$10:$10,MATCH(BU$6,'qtrP&amp;L'!$6:$6,0)+2)%</f>
        <v>-1E-3</v>
      </c>
      <c r="BV55" s="391">
        <f>INDEX('qtrP&amp;L'!$11:$11,MATCH(BU$6,'qtrP&amp;L'!$6:$6,0)+2)%</f>
        <v>-1.2E-2</v>
      </c>
      <c r="BW55" s="391">
        <f>INDEX('qtrP&amp;L'!$12:$12,MATCH(BU$6,'qtrP&amp;L'!$6:$6,0)+2)%</f>
        <v>1.4420168373482999E-2</v>
      </c>
      <c r="BX55" s="391">
        <f>INDEX('qtrP&amp;L'!$13:$13,MATCH(BU$6,'qtrP&amp;L'!$6:$6,0)+2)%</f>
        <v>1.3887733836761713E-2</v>
      </c>
      <c r="BY55" s="305"/>
      <c r="BZ55" s="391">
        <f>INDEX('qtrP&amp;L'!$10:$10,MATCH(BZ$6,'qtrP&amp;L'!$6:$6,0)+2)%</f>
        <v>3.7000000000000005E-2</v>
      </c>
      <c r="CA55" s="391">
        <f>INDEX('qtrP&amp;L'!$11:$11,MATCH(BZ$6,'qtrP&amp;L'!$6:$6,0)+2)%</f>
        <v>5.4554620684879346E-2</v>
      </c>
      <c r="CB55" s="391">
        <f>INDEX('qtrP&amp;L'!$12:$12,MATCH(BZ$6,'qtrP&amp;L'!$6:$6,0)+2)%</f>
        <v>3.5000000000000003E-2</v>
      </c>
      <c r="CC55" s="391">
        <f>INDEX('qtrP&amp;L'!$13:$13,MATCH(BZ$6,'qtrP&amp;L'!$6:$6,0)+2)%</f>
        <v>2.7128076699843077E-2</v>
      </c>
      <c r="CD55" s="305"/>
      <c r="CE55" s="391">
        <f>INDEX('qtrP&amp;L'!$10:$10,MATCH(CE$6,'qtrP&amp;L'!$6:$6,0)+2)%</f>
        <v>6.9000000000000006E-2</v>
      </c>
      <c r="CF55" s="391">
        <f>INDEX('qtrP&amp;L'!$11:$11,MATCH(CE$6,'qtrP&amp;L'!$6:$6,0)+2)%</f>
        <v>5.50959910125891E-2</v>
      </c>
      <c r="CG55" s="391">
        <f>INDEX('qtrP&amp;L'!$12:$12,MATCH(CE$6,'qtrP&amp;L'!$6:$6,0)+2)%</f>
        <v>8.5000000000000006E-2</v>
      </c>
      <c r="CH55" s="391">
        <f>INDEX('qtrP&amp;L'!$13:$13,MATCH(CE$6,'qtrP&amp;L'!$6:$6,0)+2)%</f>
        <v>4.0999999999999995E-2</v>
      </c>
      <c r="CI55" s="305"/>
      <c r="CJ55" s="391">
        <f>INDEX('qtrP&amp;L'!$10:$10,MATCH(CJ$6,'qtrP&amp;L'!$6:$6,0)+2)%</f>
        <v>3.9E-2</v>
      </c>
      <c r="CK55" s="391">
        <f>INDEX('qtrP&amp;L'!$11:$11,MATCH(CJ$6,'qtrP&amp;L'!$6:$6,0)+2)%</f>
        <v>1.3000000000000001E-2</v>
      </c>
      <c r="CL55" s="391">
        <f>INDEX('qtrP&amp;L'!$12:$12,MATCH(CJ$6,'qtrP&amp;L'!$6:$6,0)+2)%</f>
        <v>-2.5683781240196588E-2</v>
      </c>
      <c r="CM55" s="391">
        <f>INDEX('qtrP&amp;L'!$13:$13,MATCH(CJ$6,'qtrP&amp;L'!$6:$6,0)+2)%</f>
        <v>-0.04</v>
      </c>
      <c r="CN55" s="305"/>
      <c r="CO55" s="391">
        <f>INDEX('qtrP&amp;L'!$10:$10,MATCH(CO$6,'qtrP&amp;L'!$6:$6,0)+2)%</f>
        <v>-6.7000000000000004E-2</v>
      </c>
      <c r="CP55" s="391">
        <f>INDEX('qtrP&amp;L'!$11:$11,MATCH(CO$6,'qtrP&amp;L'!$6:$6,0)+2)%</f>
        <v>-4.5999999999999999E-2</v>
      </c>
      <c r="CQ55" s="391">
        <f>INDEX('qtrP&amp;L'!$12:$12,MATCH(CO$6,'qtrP&amp;L'!$6:$6,0)+2)%</f>
        <v>-6.7000000000000004E-2</v>
      </c>
      <c r="CR55" s="391">
        <f>INDEX('qtrP&amp;L'!$13:$13,MATCH(CO$6,'qtrP&amp;L'!$6:$6,0)+2)%</f>
        <v>-9.0999999999999998E-2</v>
      </c>
      <c r="CS55" s="396"/>
      <c r="CT55" s="391">
        <f>INDEX('qtrP&amp;L'!$10:$10,MATCH(CT$6,'qtrP&amp;L'!$6:$6,0)+2)%</f>
        <v>-4.2000000000000003E-2</v>
      </c>
      <c r="CU55" s="391">
        <f>INDEX('qtrP&amp;L'!$11:$11,MATCH(CT$6,'qtrP&amp;L'!$6:$6,0)+2)%</f>
        <v>-2.3E-2</v>
      </c>
      <c r="CV55" s="391">
        <f>INDEX('qtrP&amp;L'!$12:$12,MATCH(CT$6,'qtrP&amp;L'!$6:$6,0)+2)%</f>
        <v>2.4E-2</v>
      </c>
      <c r="CW55" s="391">
        <f>INDEX('qtrP&amp;L'!$13:$13,MATCH(CT$6,'qtrP&amp;L'!$6:$6,0)+2)%</f>
        <v>4.4999999999999998E-2</v>
      </c>
      <c r="CX55" s="305"/>
      <c r="CY55" s="391">
        <f>INDEX('qtrP&amp;L'!$10:$10,MATCH(CY$6,'qtrP&amp;L'!$6:$6,0)+2)%</f>
        <v>7.400000000000001E-2</v>
      </c>
      <c r="CZ55" s="391">
        <f>INDEX('qtrP&amp;L'!$11:$11,MATCH(CY$6,'qtrP&amp;L'!$6:$6,0)+2)%</f>
        <v>4.5999999999999999E-2</v>
      </c>
      <c r="DA55" s="391">
        <f>INDEX('qtrP&amp;L'!$12:$12,MATCH(CY$6,'qtrP&amp;L'!$6:$6,0)+2)%</f>
        <v>1.8000000000000002E-2</v>
      </c>
      <c r="DB55" s="391">
        <f>INDEX('qtrP&amp;L'!$13:$13,MATCH(CY$6,'qtrP&amp;L'!$6:$6,0)+2)%</f>
        <v>4.2999999999999997E-2</v>
      </c>
      <c r="DC55" s="305"/>
      <c r="DD55" s="391">
        <f>INDEX('qtrP&amp;L'!$10:$10,MATCH(DD$6,'qtrP&amp;L'!$6:$6,0)+2)%</f>
        <v>1.3000000000000001E-2</v>
      </c>
      <c r="DE55" s="391">
        <f>INDEX('qtrP&amp;L'!$11:$11,MATCH(DD$6,'qtrP&amp;L'!$6:$6,0)+2)%</f>
        <v>1.9E-2</v>
      </c>
      <c r="DF55" s="391">
        <f>INDEX('qtrP&amp;L'!$12:$12,MATCH(DD$6,'qtrP&amp;L'!$6:$6,0)+2)%</f>
        <v>2.1000000000000001E-2</v>
      </c>
      <c r="DG55" s="391">
        <f>INDEX('qtrP&amp;L'!$13:$13,MATCH(DD$6,'qtrP&amp;L'!$6:$6,0)+2)%</f>
        <v>-2.1000000000000001E-2</v>
      </c>
      <c r="DH55" s="305"/>
      <c r="DI55" s="391">
        <f>INDEX('qtrP&amp;L'!$10:$10,MATCH(DI$6,'qtrP&amp;L'!$6:$6,0)+2)%</f>
        <v>2E-3</v>
      </c>
      <c r="DJ55" s="391">
        <f>INDEX('qtrP&amp;L'!$11:$11,MATCH(DI$6,'qtrP&amp;L'!$6:$6,0)+2)%</f>
        <v>-2.7000000000000003E-2</v>
      </c>
      <c r="DK55" s="391">
        <f>INDEX('qtrP&amp;L'!$12:$12,MATCH(DI$6,'qtrP&amp;L'!$6:$6,0)+2)%</f>
        <v>1.1000000000000001E-2</v>
      </c>
      <c r="DL55" s="391">
        <f>INDEX('qtrP&amp;L'!$13:$13,MATCH(DI$6,'qtrP&amp;L'!$6:$6,0)+2)%</f>
        <v>1.9E-2</v>
      </c>
      <c r="DM55" s="305"/>
      <c r="DN55" s="391">
        <f>INDEX('qtrP&amp;L'!$10:$10,MATCH(DN$6,'qtrP&amp;L'!$6:$6,0)+2)%</f>
        <v>-1.9E-2</v>
      </c>
      <c r="DO55" s="391">
        <f>INDEX('qtrP&amp;L'!$11:$11,MATCH(DN$6,'qtrP&amp;L'!$6:$6,0)+2)%</f>
        <v>9.0000000000000011E-3</v>
      </c>
      <c r="DP55" s="391">
        <f>INDEX('qtrP&amp;L'!$12:$12,MATCH(DN$6,'qtrP&amp;L'!$6:$6,0)+2)%</f>
        <v>-1.6E-2</v>
      </c>
      <c r="DQ55" s="391">
        <f>INDEX('qtrP&amp;L'!$13:$13,MATCH(DN$6,'qtrP&amp;L'!$6:$6,0)+2)%</f>
        <v>-0.02</v>
      </c>
      <c r="DR55" s="305"/>
      <c r="DS55" s="391">
        <f>INDEX('qtrP&amp;L'!$10:$10,MATCH(DS$6,'qtrP&amp;L'!$6:$6,0)+2)%</f>
        <v>-3.4000000000000002E-2</v>
      </c>
      <c r="DT55" s="391">
        <f>INDEX('qtrP&amp;L'!$11:$11,MATCH(DS$6,'qtrP&amp;L'!$6:$6,0)+2)%</f>
        <v>-1.3000000000000001E-2</v>
      </c>
      <c r="DU55" s="391">
        <f>INDEX('qtrP&amp;L'!$12:$12,MATCH(DS$6,'qtrP&amp;L'!$6:$6,0)+2)%</f>
        <v>-1.8000000000000002E-2</v>
      </c>
      <c r="DV55" s="391">
        <f>INDEX('qtrP&amp;L'!$13:$13,MATCH(DS$6,'qtrP&amp;L'!$6:$6,0)+2)%</f>
        <v>3.7000000000000005E-2</v>
      </c>
      <c r="DW55" s="305"/>
      <c r="DX55" s="391">
        <f>INDEX('qtrP&amp;L'!$10:$10,MATCH(DX$6,'qtrP&amp;L'!$6:$6,0)+2)%</f>
        <v>1.3999999999999999E-2</v>
      </c>
      <c r="DY55" s="391">
        <f>INDEX('qtrP&amp;L'!$11:$11,MATCH(DX$6,'qtrP&amp;L'!$6:$6,0)+2)%</f>
        <v>1E-3</v>
      </c>
      <c r="DZ55" s="391">
        <f>INDEX('qtrP&amp;L'!$12:$12,MATCH(DX$6,'qtrP&amp;L'!$6:$6,0)+2)%</f>
        <v>0.01</v>
      </c>
      <c r="EA55" s="391">
        <f>INDEX('qtrP&amp;L'!$13:$13,MATCH(DX$6,'qtrP&amp;L'!$6:$6,0)+2)%</f>
        <v>4.0000000000000001E-3</v>
      </c>
      <c r="EB55" s="305"/>
      <c r="EC55" s="391">
        <f>INDEX('qtrP&amp;L'!$10:$10,MATCH(EC$6,'qtrP&amp;L'!$6:$6,0)+2)%</f>
        <v>-3.9E-2</v>
      </c>
      <c r="ED55" s="391">
        <f>INDEX('qtrP&amp;L'!$11:$11,MATCH(EC$6,'qtrP&amp;L'!$6:$6,0)+2)%</f>
        <v>-1.8000000000000002E-2</v>
      </c>
      <c r="EE55" s="391">
        <f>INDEX('qtrP&amp;L'!$12:$12,MATCH(EC$6,'qtrP&amp;L'!$6:$6,0)+2)%</f>
        <v>-1.7000000000000001E-2</v>
      </c>
      <c r="EF55" s="391">
        <f>INDEX('qtrP&amp;L'!$13:$13,MATCH(EC$6,'qtrP&amp;L'!$6:$6,0)+2)%</f>
        <v>-2.2000000000000002E-2</v>
      </c>
      <c r="EG55" s="305"/>
      <c r="EH55" s="391">
        <f>INDEX('qtrP&amp;L'!$10:$10,MATCH(EH$6,'qtrP&amp;L'!$6:$6,0)+2)%</f>
        <v>-2.7000000000000003E-2</v>
      </c>
      <c r="EI55" s="391">
        <f>INDEX('qtrP&amp;L'!$11:$11,MATCH(EH$6,'qtrP&amp;L'!$6:$6,0)+2)%</f>
        <v>-4.0000000000000001E-3</v>
      </c>
      <c r="EJ55" s="391">
        <f>INDEX('qtrP&amp;L'!$12:$12,MATCH(EH$6,'qtrP&amp;L'!$6:$6,0)+2)%</f>
        <v>1E-3</v>
      </c>
      <c r="EK55" s="391">
        <f>INDEX('qtrP&amp;L'!$13:$13,MATCH(EH$6,'qtrP&amp;L'!$6:$6,0)+2)%</f>
        <v>6.3E-2</v>
      </c>
      <c r="EL55" s="391"/>
      <c r="EM55" s="1205">
        <f>INDEX('qtrP&amp;L'!$10:$10,MATCH(EM$6,'qtrP&amp;L'!$6:$6,0)+2)%</f>
        <v>0.03</v>
      </c>
      <c r="EN55" s="1205">
        <f>INDEX('qtrP&amp;L'!$11:$11,MATCH(EM$6,'qtrP&amp;L'!$6:$6,0)+2)%</f>
        <v>0.01</v>
      </c>
      <c r="EO55" s="1205">
        <f>INDEX('qtrP&amp;L'!$12:$12,MATCH(EM$6,'qtrP&amp;L'!$6:$6,0)+2)%</f>
        <v>-5.4000000000000003E-3</v>
      </c>
      <c r="EP55" s="1205">
        <f>INDEX('qtrP&amp;L'!$13:$13,MATCH(EM$6,'qtrP&amp;L'!$6:$6,0)+2)%</f>
        <v>-2.0400000000000001E-2</v>
      </c>
      <c r="EQ55" s="391">
        <f>INDEX('qtrP&amp;L'!$14:$14,MATCH(EQ$6,'qtrP&amp;L'!$6:$6,0)+2)%</f>
        <v>8.199999999999999E-2</v>
      </c>
      <c r="ER55" s="391">
        <f>INDEX('qtrP&amp;L'!$14:$14,MATCH(ER$6,'qtrP&amp;L'!$6:$6,0)+2)%</f>
        <v>8.199999999999999E-2</v>
      </c>
      <c r="ES55" s="391">
        <f>INDEX('qtrP&amp;L'!$14:$14,MATCH(ES$6,'qtrP&amp;L'!$6:$6,0)+2)%</f>
        <v>0.105</v>
      </c>
      <c r="ET55" s="391">
        <f>INDEX('qtrP&amp;L'!$14:$14,MATCH(ET$6,'qtrP&amp;L'!$6:$6,0)+2)%</f>
        <v>8.3000000000000004E-2</v>
      </c>
      <c r="EU55" s="391">
        <f>INDEX('qtrP&amp;L'!$14:$14,MATCH(EU$6,'qtrP&amp;L'!$6:$6,0)+2)%</f>
        <v>6.3003061579048975E-2</v>
      </c>
      <c r="EV55" s="391">
        <f>INDEX('qtrP&amp;L'!$14:$14,MATCH(EV$6,'qtrP&amp;L'!$6:$6,0)+2)%</f>
        <v>5.9000000000000004E-2</v>
      </c>
      <c r="EW55" s="391">
        <f>INDEX('qtrP&amp;L'!$14:$14,MATCH(EW$6,'qtrP&amp;L'!$6:$6,0)+2)%</f>
        <v>0.113</v>
      </c>
      <c r="EX55" s="391">
        <f>INDEX('qtrP&amp;L'!$14:$14,MATCH(EX$6,'qtrP&amp;L'!$6:$6,0)+2)%</f>
        <v>0.10076240554180867</v>
      </c>
      <c r="EY55" s="391">
        <f>INDEX('qtrP&amp;L'!$14:$14,MATCH(EY$6,'qtrP&amp;L'!$6:$6,0)+2)%</f>
        <v>7.9000000000000001E-2</v>
      </c>
      <c r="EZ55" s="391">
        <f>INDEX('qtrP&amp;L'!$14:$14,MATCH(EZ$6,'qtrP&amp;L'!$6:$6,0)+2)%</f>
        <v>8.1509495323657338E-2</v>
      </c>
      <c r="FA55" s="391">
        <f>INDEX('qtrP&amp;L'!$14:$14,MATCH(FA$6,'qtrP&amp;L'!$6:$6,0)+2)%</f>
        <v>9.5515620428464607E-2</v>
      </c>
      <c r="FB55" s="391">
        <f>INDEX('qtrP&amp;L'!$14:$14,MATCH(FB$6,'qtrP&amp;L'!$6:$6,0)+2)%</f>
        <v>6.8000000000000005E-2</v>
      </c>
      <c r="FC55" s="391">
        <f>INDEX('qtrP&amp;L'!$14:$14,MATCH(FC$6,'qtrP&amp;L'!$6:$6,0)+2)%</f>
        <v>5.9056288469869427E-2</v>
      </c>
      <c r="FD55" s="391">
        <f>INDEX('qtrP&amp;L'!$14:$14,MATCH(FD$6,'qtrP&amp;L'!$6:$6,0)+2)%</f>
        <v>-1.2342184383842436E-2</v>
      </c>
      <c r="FE55" s="391">
        <f>INDEX('qtrP&amp;L'!$14:$14,MATCH(FE$6,'qtrP&amp;L'!$6:$6,0)+2)%</f>
        <v>5.4574854495884851E-3</v>
      </c>
      <c r="FF55" s="391">
        <f>INDEX('qtrP&amp;L'!$14:$14,MATCH(FF$6,'qtrP&amp;L'!$6:$6,0)+2)%</f>
        <v>3.6890876124815335E-2</v>
      </c>
      <c r="FG55" s="391">
        <f>INDEX('qtrP&amp;L'!$14:$14,MATCH(FG$6,'qtrP&amp;L'!$6:$6,0)+2)%</f>
        <v>5.9000000000000004E-2</v>
      </c>
      <c r="FH55" s="393">
        <f>INDEX('qtrP&amp;L'!$14:$14,MATCH(FH$6,'qtrP&amp;L'!$6:$6,0)+2)%</f>
        <v>-7.9988102247825314E-3</v>
      </c>
      <c r="FI55" s="391">
        <f>INDEX('qtrP&amp;L'!$14:$14,MATCH(FI$6,'qtrP&amp;L'!$6:$6,0)+2)%</f>
        <v>-6.9000000000000006E-2</v>
      </c>
      <c r="FJ55" s="391">
        <f>INDEX('qtrP&amp;L'!$14:$14,MATCH(FJ$6,'qtrP&amp;L'!$6:$6,0)+2)%</f>
        <v>6.5541130581591653E-3</v>
      </c>
      <c r="FK55" s="1263"/>
      <c r="FL55" s="391">
        <f>INDEX('qtrP&amp;L'!$14:$14,MATCH(FL$6,'qtrP&amp;L'!$6:$6,0)+2)%</f>
        <v>4.4736447175248759E-2</v>
      </c>
      <c r="FM55" s="391">
        <f>INDEX('qtrP&amp;L'!$14:$14,MATCH(FM$6,'qtrP&amp;L'!$6:$6,0)+2)%</f>
        <v>5.0000000000000001E-3</v>
      </c>
      <c r="FN55" s="391">
        <f>INDEX('qtrP&amp;L'!$14:$14,MATCH(FN$6,'qtrP&amp;L'!$6:$6,0)+2)%</f>
        <v>3.0000000000000001E-3</v>
      </c>
      <c r="FO55" s="391">
        <f>'yrP&amp;L'!Z9</f>
        <v>-1.2309600126110033E-2</v>
      </c>
      <c r="FP55" s="391">
        <f>'yrP&amp;L'!AA9</f>
        <v>-3.0000000000000001E-3</v>
      </c>
      <c r="FQ55" s="391">
        <f>'yrP&amp;L'!AB9</f>
        <v>6.9999999999999993E-3</v>
      </c>
      <c r="FR55" s="391">
        <f>'yrP&amp;L'!AC9</f>
        <v>-2.4E-2</v>
      </c>
      <c r="FS55" s="391">
        <f>'yrP&amp;L'!AD9</f>
        <v>1.4999999999999999E-2</v>
      </c>
      <c r="FT55" s="391">
        <f>'yrP&amp;L'!AE9</f>
        <v>4.3939297182834743E-4</v>
      </c>
      <c r="FU55" s="391">
        <f>'yrP&amp;L'!AF9</f>
        <v>-1.4999999999999999E-2</v>
      </c>
      <c r="FV55" s="394">
        <f>'yrP&amp;L'!AG9</f>
        <v>-1.4999999999999999E-2</v>
      </c>
      <c r="FW55" s="391">
        <f>'yrP&amp;L'!AH9</f>
        <v>-1.4999999999999999E-2</v>
      </c>
      <c r="FX55" s="394">
        <f>'yrP&amp;L'!AI9</f>
        <v>-1.4999999999999999E-2</v>
      </c>
    </row>
    <row r="56" spans="1:263" x14ac:dyDescent="0.2">
      <c r="A56" s="334" t="s">
        <v>179</v>
      </c>
      <c r="B56" s="305"/>
      <c r="C56" s="391" t="str">
        <f>IF(ISERROR(C14/#REF!-1),"NA ",C14/#REF!-1)</f>
        <v xml:space="preserve">NA </v>
      </c>
      <c r="D56" s="391" t="str">
        <f>IF(ISERROR(D14/#REF!-1),"NA ",D14/#REF!-1)</f>
        <v xml:space="preserve">NA </v>
      </c>
      <c r="E56" s="391" t="str">
        <f>IF(ISERROR(E14/#REF!-1),"NA ",E14/#REF!-1)</f>
        <v xml:space="preserve">NA </v>
      </c>
      <c r="F56" s="391" t="str">
        <f>IF(ISERROR(F14/#REF!-1),"NA ",F14/#REF!-1)</f>
        <v xml:space="preserve">NA </v>
      </c>
      <c r="G56" s="305"/>
      <c r="H56" s="391">
        <f>IF(ISERROR(H14/C14-1),"NA ",H14/C14-1)</f>
        <v>0.15401509951956083</v>
      </c>
      <c r="I56" s="391">
        <f>IF(ISERROR(I14/D14-1),"NA ",I14/D14-1)</f>
        <v>0.14148642796909527</v>
      </c>
      <c r="J56" s="391">
        <f>IF(ISERROR(J14/E14-1),"NA ",J14/E14-1)</f>
        <v>0.20801748410088794</v>
      </c>
      <c r="K56" s="391">
        <f>IF(ISERROR(K14/F14-1),"NA ",K14/F14-1)</f>
        <v>0.22260756475560872</v>
      </c>
      <c r="L56" s="305"/>
      <c r="M56" s="391">
        <f>IF(ISERROR(M14/H14-1),"NA ",M14/H14-1)</f>
        <v>0.12767138495698016</v>
      </c>
      <c r="N56" s="391">
        <f>IF(ISERROR(N14/I14-1),"NA ",N14/I14-1)</f>
        <v>0.1834481381651194</v>
      </c>
      <c r="O56" s="391">
        <f>IF(ISERROR(O14/J14-1),"NA ",O14/J14-1)</f>
        <v>0.18111288587541141</v>
      </c>
      <c r="P56" s="391">
        <f>IF(ISERROR(P14/K14-1),"NA ",P14/K14-1)</f>
        <v>0.18986200986910151</v>
      </c>
      <c r="Q56" s="305"/>
      <c r="R56" s="391">
        <f>IF(ISERROR(R14/M14-1),"NA ",R14/M14-1)</f>
        <v>0.13753032593790659</v>
      </c>
      <c r="S56" s="391">
        <f>IF(ISERROR(S14/N14-1),"NA ",S14/N14-1)</f>
        <v>0.14687969227135445</v>
      </c>
      <c r="T56" s="391">
        <f>IF(ISERROR(T14/O14-1),"NA ",T14/O14-1)</f>
        <v>0.12004250269091732</v>
      </c>
      <c r="U56" s="391">
        <f>IF(ISERROR(U14/P14-1),"NA ",U14/P14-1)</f>
        <v>0.1385822665358778</v>
      </c>
      <c r="V56" s="305"/>
      <c r="W56" s="391">
        <f>IF(ISERROR(W14/R14-1),"NA ",W14/R14-1)</f>
        <v>0.20323004404605527</v>
      </c>
      <c r="X56" s="391">
        <f>IF(ISERROR(X14/S14-1),"NA ",X14/S14-1)</f>
        <v>0.11965459921446331</v>
      </c>
      <c r="Y56" s="391">
        <f>IF(ISERROR(Y14/T14-1),"NA ",Y14/T14-1)</f>
        <v>0.12530031417482879</v>
      </c>
      <c r="Z56" s="391">
        <f>IF(ISERROR(Z14/U14-1),"NA ",Z14/U14-1)</f>
        <v>0.21692948592117611</v>
      </c>
      <c r="AA56" s="305"/>
      <c r="AB56" s="391">
        <f>IF(ISERROR(AB14/W14-1),"NA ",AB14/W14-1)</f>
        <v>0.18876115856399722</v>
      </c>
      <c r="AC56" s="391">
        <f>IF(ISERROR(AC14/X14-1),"NA ",AC14/X14-1)</f>
        <v>0.20070158842773234</v>
      </c>
      <c r="AD56" s="391">
        <f>IF(ISERROR(AD14/Y14-1),"NA ",AD14/Y14-1)</f>
        <v>0.2430503093009253</v>
      </c>
      <c r="AE56" s="391">
        <f>IF(ISERROR(AE14/Z14-1),"NA ",AE14/Z14-1)</f>
        <v>0.24534456492517243</v>
      </c>
      <c r="AF56" s="305"/>
      <c r="AG56" s="391">
        <f>IF(ISERROR(AG14/AB14-1),"NA ",AG14/AB14-1)</f>
        <v>0.2521744767749674</v>
      </c>
      <c r="AH56" s="391">
        <f>IF(ISERROR(AH14/AC14-1),"NA ",AH14/AC14-1)</f>
        <v>0.28504524614559745</v>
      </c>
      <c r="AI56" s="391">
        <f>IF(ISERROR(AI14/AD14-1),"NA ",AI14/AD14-1)</f>
        <v>0.21834868849859967</v>
      </c>
      <c r="AJ56" s="391">
        <f>IF(ISERROR(AJ14/AE14-1),"NA ",AJ14/AE14-1)</f>
        <v>0.18425105060157754</v>
      </c>
      <c r="AK56" s="305"/>
      <c r="AL56" s="391">
        <f>IF(ISERROR(AL14/AG14-1),"NA ",AL14/AG14-1)</f>
        <v>0.26629562516179139</v>
      </c>
      <c r="AM56" s="391">
        <f>IF(ISERROR(AM14/AH14-1),"NA ",AM14/AH14-1)</f>
        <v>0.29637513943408922</v>
      </c>
      <c r="AN56" s="391">
        <f>IF(ISERROR(AN14/AI14-1),"NA ",AN14/AI14-1)</f>
        <v>0.25115670454874062</v>
      </c>
      <c r="AO56" s="391">
        <f>IF(ISERROR(AO14/AJ14-1),"NA ",AO14/AJ14-1)</f>
        <v>0.25617203307954517</v>
      </c>
      <c r="AP56" s="305"/>
      <c r="AQ56" s="391">
        <f>IF(ISERROR(AQ14/AL14-1),"NA ",AQ14/AL14-1)</f>
        <v>0.22992006868777737</v>
      </c>
      <c r="AR56" s="391">
        <f>IF(ISERROR(AR14/AM14-1),"NA ",AR14/AM14-1)</f>
        <v>0.21364248415383091</v>
      </c>
      <c r="AS56" s="391">
        <f>IF(ISERROR(AS14/AN14-1),"NA ",AS14/AN14-1)</f>
        <v>0.17964926472712572</v>
      </c>
      <c r="AT56" s="391">
        <f>IF(ISERROR(AT14/AO14-1),"NA ",AT14/AO14-1)</f>
        <v>0.19421279724474205</v>
      </c>
      <c r="AU56" s="305"/>
      <c r="AV56" s="391">
        <f>IF(ISERROR(AV14/AQ14-1),"NA ",AV14/AQ14-1)</f>
        <v>0.19212485871949991</v>
      </c>
      <c r="AW56" s="391">
        <f>IF(ISERROR(AW14/AR14-1),"NA ",AW14/AR14-1)</f>
        <v>0.18725341097899584</v>
      </c>
      <c r="AX56" s="391">
        <f>IF(ISERROR(AX14/AS14-1),"NA ",AX14/AS14-1)</f>
        <v>0.21108857932169522</v>
      </c>
      <c r="AY56" s="391">
        <f>IF(ISERROR(AY14/AT14-1),"NA ",AY14/AT14-1)</f>
        <v>0.19132217010555652</v>
      </c>
      <c r="AZ56" s="305"/>
      <c r="BA56" s="391">
        <f>IF(ISERROR(BA14/AV14-1),"NA ",BA14/AV14-1)</f>
        <v>0.32805376239142237</v>
      </c>
      <c r="BB56" s="391">
        <f>IF(ISERROR(BB14/AW14-1),"NA ",BB14/AW14-1)</f>
        <v>0.32575557277658751</v>
      </c>
      <c r="BC56" s="391">
        <f>IF(ISERROR(BC14/AX14-1),"NA ",BC14/AX14-1)</f>
        <v>0.2913597922758655</v>
      </c>
      <c r="BD56" s="391">
        <f>IF(ISERROR(BD14/AY14-1),"NA ",BD14/AY14-1)</f>
        <v>0.36026601748969811</v>
      </c>
      <c r="BE56" s="305"/>
      <c r="BF56" s="391">
        <f>IF(ISERROR(BF14/AQ14-1),"NA ",BF14/AQ14-1)</f>
        <v>0.88091992996919499</v>
      </c>
      <c r="BG56" s="391">
        <f>IF(ISERROR(BG14/AR14-1),"NA ",BG14/AR14-1)</f>
        <v>0.86797711762127205</v>
      </c>
      <c r="BH56" s="391">
        <f>IF(ISERROR(BH14/AS14-1),"NA ",BH14/AS14-1)</f>
        <v>0.87235251474362752</v>
      </c>
      <c r="BI56" s="391">
        <f>IF(ISERROR(BI14/AT14-1),"NA ",BI14/AT14-1)</f>
        <v>0.88585640103369223</v>
      </c>
      <c r="BJ56" s="305"/>
      <c r="BK56" s="391">
        <f>IF(ISERROR(BK14/AV14-1),"NA ",BK14/AV14-1)</f>
        <v>0.9218707155770578</v>
      </c>
      <c r="BL56" s="391">
        <f>IF(ISERROR(BL14/AW14-1),"NA ",BL14/AW14-1)</f>
        <v>0.93918949719651712</v>
      </c>
      <c r="BM56" s="391">
        <f>IF(ISERROR(BM14/AX14-1),"NA ",BM14/AX14-1)</f>
        <v>0.84791972529939197</v>
      </c>
      <c r="BN56" s="391">
        <f>IF(ISERROR(BN14/AY14-1),"NA ",BN14/AY14-1)</f>
        <v>0.79835847080743672</v>
      </c>
      <c r="BO56" s="305"/>
      <c r="BP56" s="391">
        <f>IF(ISERROR(BP14/BA14-1),"NA ",BP14/BA14-1)</f>
        <v>0.72562255910637052</v>
      </c>
      <c r="BQ56" s="391">
        <f>IF(ISERROR(BQ14/BB14-1),"NA ",BQ14/BB14-1)</f>
        <v>0.64528540630125386</v>
      </c>
      <c r="BR56" s="391">
        <f>IF(ISERROR(BR14/BC14-1),"NA ",BR14/BC14-1)</f>
        <v>0.71846910332299796</v>
      </c>
      <c r="BS56" s="391">
        <f>IF(ISERROR(BS14/BD14-1),"NA ",BS14/BD14-1)</f>
        <v>0.56670232655795383</v>
      </c>
      <c r="BT56" s="305"/>
      <c r="BU56" s="391">
        <f>IF(ISERROR(BU14/BP14-1),"NA ",BU14/BP14-1)</f>
        <v>0.21677445260359329</v>
      </c>
      <c r="BV56" s="391">
        <f>IF(ISERROR(BV14/BQ14-1),"NA ",BV14/BQ14-1)</f>
        <v>0.2278181818181817</v>
      </c>
      <c r="BW56" s="391">
        <f>IF(ISERROR(BW14/BR14-1),"NA ",BW14/BR14-1)</f>
        <v>0.24290583025023227</v>
      </c>
      <c r="BX56" s="391">
        <f>IF(ISERROR(BX14/BS14-1),"NA ",BX14/BS14-1)</f>
        <v>0.21665762603701344</v>
      </c>
      <c r="BY56" s="305"/>
      <c r="BZ56" s="391">
        <f>IF(ISERROR(BZ14/BU14-1),"NA ",BZ14/BU14-1)</f>
        <v>0.14250000000000007</v>
      </c>
      <c r="CA56" s="391">
        <f>IF(ISERROR(CA14/BV14-1),"NA ",CA14/BV14-1)</f>
        <v>0.15163801188403281</v>
      </c>
      <c r="CB56" s="391">
        <f>IF(ISERROR(CB14/BW14-1),"NA ",CB14/BW14-1)</f>
        <v>0.14389196005689397</v>
      </c>
      <c r="CC56" s="391">
        <f>IF(ISERROR(CC14/BX14-1),"NA ",CC14/BX14-1)</f>
        <v>0.13532502579986128</v>
      </c>
      <c r="CD56" s="305"/>
      <c r="CE56" s="391">
        <f>IF(ISERROR(CE14/BZ14-1),"NA ",CE14/BZ14-1)</f>
        <v>0.12721517140773142</v>
      </c>
      <c r="CF56" s="391">
        <f>IF(ISERROR(CF14/CA14-1),"NA ",CF14/CA14-1)</f>
        <v>0.13479160508424459</v>
      </c>
      <c r="CG56" s="391">
        <f>IF(ISERROR(CG14/CB14-1),"NA ",CG14/CB14-1)</f>
        <v>0.13729778233559786</v>
      </c>
      <c r="CH56" s="391">
        <f>IF(ISERROR(CH14/CC14-1),"NA ",CH14/CC14-1)</f>
        <v>0.19819819819819839</v>
      </c>
      <c r="CI56" s="305"/>
      <c r="CJ56" s="391">
        <f>IF(ISERROR(CJ14/CE14-1),"NA ",CJ14/CE14-1)</f>
        <v>0.12203088885035207</v>
      </c>
      <c r="CK56" s="391">
        <f>IF(ISERROR(CK14/CF14-1),"NA ",CK14/CF14-1)</f>
        <v>0.10250065121125296</v>
      </c>
      <c r="CL56" s="391">
        <f>IF(ISERROR(CL14/CG14-1),"NA ",CL14/CG14-1)</f>
        <v>9.5461482451651758E-2</v>
      </c>
      <c r="CM56" s="391">
        <f>IF(ISERROR(CM14/CH14-1),"NA ",CM14/CH14-1)</f>
        <v>3.3352612299980544E-2</v>
      </c>
      <c r="CN56" s="305"/>
      <c r="CO56" s="391">
        <f>IF(ISERROR(CO14/CJ14-1),"NA ",CO14/CJ14-1)</f>
        <v>7.6869665513264129E-2</v>
      </c>
      <c r="CP56" s="391">
        <f>IF(ISERROR(CP14/CK14-1),"NA ",CP14/CK14-1)</f>
        <v>0.10538452451269942</v>
      </c>
      <c r="CQ56" s="391">
        <f>IF(ISERROR(CQ14/CL14-1),"NA ",CQ14/CL14-1)</f>
        <v>3.0936310319992E-2</v>
      </c>
      <c r="CR56" s="391">
        <f>IF(ISERROR(CR14/CM14-1),"NA ",CR14/CM14-1)</f>
        <v>3.1716417910447658E-2</v>
      </c>
      <c r="CS56" s="396"/>
      <c r="CT56" s="391">
        <f>IF(ISERROR(CT14/CO14-1),"NA ",CT14/CO14-1)</f>
        <v>4.536408874455633E-2</v>
      </c>
      <c r="CU56" s="391">
        <f>IF(ISERROR(CU14/CP14-1),"NA ",CU14/CP14-1)</f>
        <v>4.4129151401933076E-2</v>
      </c>
      <c r="CV56" s="391">
        <f>IF(ISERROR(CV14/CQ14-1),"NA ",CV14/CQ14-1)</f>
        <v>4.7938704568114332E-2</v>
      </c>
      <c r="CW56" s="391">
        <f>IF(ISERROR(CW14/CR14-1),"NA ",CW14/CR14-1)</f>
        <v>7.8661844484629206E-2</v>
      </c>
      <c r="CX56" s="305"/>
      <c r="CY56" s="391">
        <f>IF(ISERROR(CY14/CT14-1),"NA ",CY14/CT14-1)</f>
        <v>-3.0737704918032405E-3</v>
      </c>
      <c r="CZ56" s="391">
        <f>IF(ISERROR(CZ14/CU14-1),"NA ",CZ14/CU14-1)</f>
        <v>6.1412487205732003E-3</v>
      </c>
      <c r="DA56" s="391">
        <f>IF(ISERROR(DA14/CV14-1),"NA ",DA14/CV14-1)</f>
        <v>8.5714285714286742E-3</v>
      </c>
      <c r="DB56" s="391">
        <f>IF(ISERROR(DB14/CW14-1),"NA ",DB14/CW14-1)</f>
        <v>-1.6764459346186089E-2</v>
      </c>
      <c r="DC56" s="305"/>
      <c r="DD56" s="391">
        <f>IF(ISERROR(DD14/CY14-1),"NA ",DD14/CY14-1)</f>
        <v>3.1860226104830414E-2</v>
      </c>
      <c r="DE56" s="391">
        <f>IF(ISERROR(DE14/CZ14-1),"NA ",DE14/CZ14-1)</f>
        <v>8.1383519837232576E-3</v>
      </c>
      <c r="DF56" s="391">
        <f>IF(ISERROR(DF14/DA14-1),"NA ",DF14/DA14-1)</f>
        <v>1.0387157695939564E-2</v>
      </c>
      <c r="DG56" s="391">
        <f>IF(ISERROR(DG14/DB14-1),"NA ",DG14/DB14-1)</f>
        <v>4.2625745950555238E-3</v>
      </c>
      <c r="DH56" s="305"/>
      <c r="DI56" s="391">
        <f>IF(ISERROR(DI14/DD14-1),"NA ",DI14/DD14-1)</f>
        <v>-1.9920318725099584E-3</v>
      </c>
      <c r="DJ56" s="391">
        <f>IF(ISERROR(DJ14/DE14-1),"NA ",DJ14/DE14-1)</f>
        <v>-1.6145307769929396E-2</v>
      </c>
      <c r="DK56" s="391">
        <f>IF(ISERROR(DK14/DF14-1),"NA ",DK14/DF14-1)</f>
        <v>6.5420560747664336E-3</v>
      </c>
      <c r="DL56" s="391">
        <f>IF(ISERROR(DL14/DG14-1),"NA ",DL14/DG14-1)</f>
        <v>2.8862478777589073E-2</v>
      </c>
      <c r="DM56" s="305"/>
      <c r="DN56" s="391">
        <f>IF(ISERROR(DN14/DI14-1),"NA ",DN14/DI14-1)</f>
        <v>-4.9900199600798611E-3</v>
      </c>
      <c r="DO56" s="391">
        <f>IF(ISERROR(DO14/DJ14-1),"NA ",DO14/DJ14-1)</f>
        <v>2.564102564102555E-2</v>
      </c>
      <c r="DP56" s="391">
        <f>IF(ISERROR(DP14/DK14-1),"NA ",DP14/DK14-1)</f>
        <v>-3.71402042711233E-3</v>
      </c>
      <c r="DQ56" s="391">
        <f>IF(ISERROR(DQ14/DL14-1),"NA ",DQ14/DL14-1)</f>
        <v>2.4752475247524774E-2</v>
      </c>
      <c r="DR56" s="305"/>
      <c r="DS56" s="391">
        <f>IF(ISERROR(DS14/DN14-1),"NA ",DS14/DN14-1)</f>
        <v>3.0090270812437314E-3</v>
      </c>
      <c r="DT56" s="391">
        <f>IF(ISERROR(DT14/DO14-1),"NA ",DT14/DO14-1)</f>
        <v>-1.9000000000000017E-2</v>
      </c>
      <c r="DU56" s="391">
        <f>IF(ISERROR(DU14/DP14-1),"NA ",DU14/DP14-1)</f>
        <v>2.2367194780987809E-2</v>
      </c>
      <c r="DV56" s="391">
        <f>IF(ISERROR(DV14/DQ14-1),"NA ",DV14/DQ14-1)</f>
        <v>2.4154589371980784E-2</v>
      </c>
      <c r="DW56" s="305"/>
      <c r="DX56" s="391">
        <f>IF(ISERROR(DX14/DS14-1),"NA ",DX14/DS14-1)</f>
        <v>1.6000000000000014E-2</v>
      </c>
      <c r="DY56" s="391">
        <f>IF(ISERROR(DY14/DT14-1),"NA ",DY14/DT14-1)</f>
        <v>2.4464831804281273E-2</v>
      </c>
      <c r="DZ56" s="391">
        <f>IF(ISERROR(DZ14/DU14-1),"NA ",DZ14/DU14-1)</f>
        <v>1.8231540565176729E-3</v>
      </c>
      <c r="EA56" s="391">
        <f>IF(ISERROR(EA14/DV14-1),"NA ",EA14/DV14-1)</f>
        <v>4.7169811320754818E-2</v>
      </c>
      <c r="EB56" s="305"/>
      <c r="EC56" s="391">
        <f>IF(ISERROR(EC14/DX14-1),"NA ",EC14/DX14-1)</f>
        <v>-7.8740157480314821E-3</v>
      </c>
      <c r="ED56" s="391">
        <f>IF(ISERROR(ED14/DY14-1),"NA ",ED14/DY14-1)</f>
        <v>-1.8905472636815968E-2</v>
      </c>
      <c r="EE56" s="391">
        <f>IF(ISERROR(EE14/DZ14-1),"NA ",EE14/DZ14-1)</f>
        <v>-1.7288444040036377E-2</v>
      </c>
      <c r="EF56" s="391">
        <f>IF(ISERROR(EF14/EA14-1),"NA ",EF14/EA14-1)</f>
        <v>2.1021021021021102E-2</v>
      </c>
      <c r="EG56" s="305"/>
      <c r="EH56" s="391">
        <f>IF(ISERROR(EH14/EC14-1),"NA ",EH14/EC14-1)</f>
        <v>-3.2738095238095233E-2</v>
      </c>
      <c r="EI56" s="391">
        <f>IF(ISERROR(EI14/ED14-1),"NA ",EI14/ED14-1)</f>
        <v>-3.0425963488843744E-3</v>
      </c>
      <c r="EJ56" s="391">
        <f>IF(ISERROR(EJ14/EE14-1),"NA ",EJ14/EE14-1)</f>
        <v>1.388888888888884E-2</v>
      </c>
      <c r="EK56" s="391">
        <f>IF(ISERROR(EK14/EF14-1),"NA ",EK14/EF14-1)</f>
        <v>7.2794117647058787E-2</v>
      </c>
      <c r="EL56" s="391"/>
      <c r="EM56" s="1205">
        <f>IF(ISERROR(EM14/EH14-1),"NA ",EM14/EH14-1)</f>
        <v>5.0000000000000044E-2</v>
      </c>
      <c r="EN56" s="1205">
        <f>IF(ISERROR(EN14/EI14-1),"NA ",EN14/EI14-1)</f>
        <v>-9.4999999999999529E-3</v>
      </c>
      <c r="EO56" s="1205">
        <f>IF(ISERROR(EO14/EJ14-1),"NA ",EO14/EJ14-1)</f>
        <v>-9.4999999999999529E-3</v>
      </c>
      <c r="EP56" s="1205">
        <f>IF(ISERROR(EP14/EK14-1),"NA ",EP14/EK14-1)</f>
        <v>-2.0000000000000018E-2</v>
      </c>
      <c r="EQ56" s="391" t="str">
        <f>IF(ISERROR(EQ14/#REF!-1),"NA ",EQ14/#REF!-1)</f>
        <v xml:space="preserve">NA </v>
      </c>
      <c r="ER56" s="391">
        <f t="shared" ref="ER56:FU56" si="26">IF(ISERROR(ER14/EQ14-1),"NA ",ER14/EQ14-1)</f>
        <v>0.18493532502658239</v>
      </c>
      <c r="ES56" s="391">
        <f t="shared" si="26"/>
        <v>0.17245945628073733</v>
      </c>
      <c r="ET56" s="391">
        <f t="shared" si="26"/>
        <v>0.13519568431924722</v>
      </c>
      <c r="EU56" s="391">
        <f t="shared" si="26"/>
        <v>0.16804615983793014</v>
      </c>
      <c r="EV56" s="391">
        <f t="shared" si="26"/>
        <v>0.22289313603797201</v>
      </c>
      <c r="EW56" s="391">
        <f t="shared" si="26"/>
        <v>0.22863060841990457</v>
      </c>
      <c r="EX56" s="391">
        <f t="shared" si="26"/>
        <v>0.26587110658565605</v>
      </c>
      <c r="EY56" s="391">
        <f t="shared" si="26"/>
        <v>0.20257722162721215</v>
      </c>
      <c r="EZ56" s="391">
        <f t="shared" si="26"/>
        <v>0.19474189055262681</v>
      </c>
      <c r="FA56" s="391">
        <f t="shared" si="26"/>
        <v>0.32881594718995477</v>
      </c>
      <c r="FB56" s="391">
        <f t="shared" si="26"/>
        <v>0.1825081619472313</v>
      </c>
      <c r="FC56" s="391">
        <f t="shared" si="26"/>
        <v>0.19199791187458204</v>
      </c>
      <c r="FD56" s="391">
        <f t="shared" si="26"/>
        <v>0.17627019549385858</v>
      </c>
      <c r="FE56" s="391">
        <f t="shared" si="26"/>
        <v>0.22496429237944215</v>
      </c>
      <c r="FF56" s="391">
        <f t="shared" si="26"/>
        <v>0.14282153823475108</v>
      </c>
      <c r="FG56" s="391">
        <f t="shared" si="26"/>
        <v>0.15196542553191472</v>
      </c>
      <c r="FH56" s="393">
        <f t="shared" si="26"/>
        <v>8.4351674635625207E-2</v>
      </c>
      <c r="FI56" s="391">
        <f t="shared" si="26"/>
        <v>5.8530100601479784E-2</v>
      </c>
      <c r="FJ56" s="391">
        <f t="shared" si="26"/>
        <v>-6.6177711077380907E-3</v>
      </c>
      <c r="FK56" s="1263"/>
      <c r="FL56" s="391">
        <f>IF(ISERROR(FL14/FJ14-1),"NA ",FL14/FJ14-1)</f>
        <v>5.9984813971146522E-2</v>
      </c>
      <c r="FM56" s="391">
        <f t="shared" si="26"/>
        <v>1.313276026743071E-2</v>
      </c>
      <c r="FN56" s="391">
        <f t="shared" si="26"/>
        <v>5.4206929059628095E-3</v>
      </c>
      <c r="FO56" s="391">
        <f t="shared" si="26"/>
        <v>1.0782934833567737E-2</v>
      </c>
      <c r="FP56" s="391">
        <f t="shared" si="26"/>
        <v>8.8126159554731132E-3</v>
      </c>
      <c r="FQ56" s="391">
        <f t="shared" si="26"/>
        <v>2.3448275862068879E-2</v>
      </c>
      <c r="FR56" s="391">
        <f t="shared" si="26"/>
        <v>-4.0431266846361336E-3</v>
      </c>
      <c r="FS56" s="391">
        <f t="shared" si="26"/>
        <v>1.7591339648173276E-2</v>
      </c>
      <c r="FT56" s="391">
        <f t="shared" si="26"/>
        <v>-3.78989361702331E-5</v>
      </c>
      <c r="FU56" s="391">
        <f t="shared" si="26"/>
        <v>1.9075840135909239E-3</v>
      </c>
      <c r="FV56" s="394">
        <f>IF(ISERROR(FV14/FU14-1),"NA ",FV14/FU14-1)</f>
        <v>-7.7395577395579229E-3</v>
      </c>
      <c r="FW56" s="391">
        <f>IF(ISERROR(FW14/FV14-1),"NA ",FW14/FV14-1)</f>
        <v>-6.9918699186989341E-3</v>
      </c>
      <c r="FX56" s="394">
        <f>IF(ISERROR(FX14/FW14-1),"NA ",FX14/FW14-1)</f>
        <v>-1.2219758064516251E-2</v>
      </c>
    </row>
    <row r="57" spans="1:263" x14ac:dyDescent="0.2">
      <c r="A57" s="334" t="s">
        <v>180</v>
      </c>
      <c r="B57" s="305"/>
      <c r="C57" s="391" t="str">
        <f>IF(ISERROR(#REF!/#REF!-1),"NA ",#REF!/#REF!-1)</f>
        <v xml:space="preserve">NA </v>
      </c>
      <c r="D57" s="391" t="str">
        <f>IF(ISERROR(#REF!/#REF!-1),"NA ",#REF!/#REF!-1)</f>
        <v xml:space="preserve">NA </v>
      </c>
      <c r="E57" s="391" t="str">
        <f>IF(ISERROR(#REF!/#REF!-1),"NA ",#REF!/#REF!-1)</f>
        <v xml:space="preserve">NA </v>
      </c>
      <c r="F57" s="391" t="str">
        <f>IF(ISERROR(#REF!/#REF!-1),"NA ",#REF!/#REF!-1)</f>
        <v xml:space="preserve">NA </v>
      </c>
      <c r="G57" s="305"/>
      <c r="H57" s="391">
        <f>((H20/C20)-1)</f>
        <v>0.41693811074918385</v>
      </c>
      <c r="I57" s="391">
        <f>((I20/D20)-1)</f>
        <v>0.46374133949192342</v>
      </c>
      <c r="J57" s="391">
        <f>((J20/E20)-1)</f>
        <v>0.12680178532230979</v>
      </c>
      <c r="K57" s="391">
        <f>((K20/F20)-1)</f>
        <v>8.5392110352881412E-2</v>
      </c>
      <c r="L57" s="305"/>
      <c r="M57" s="391">
        <f>((M20/H20)-1)</f>
        <v>0.3316730523627065</v>
      </c>
      <c r="N57" s="391">
        <f>((N20/I20)-1)</f>
        <v>0.57320921426316906</v>
      </c>
      <c r="O57" s="391">
        <f>((O20/J20)-1)</f>
        <v>0.3291558441558442</v>
      </c>
      <c r="P57" s="391">
        <f>((P20/K20)-1)</f>
        <v>0.28897555727398117</v>
      </c>
      <c r="Q57" s="305"/>
      <c r="R57" s="391">
        <f>((R20/M20)-1)</f>
        <v>0.37249448547041131</v>
      </c>
      <c r="S57" s="391">
        <f>((S20/N20)-1)</f>
        <v>0.32434058770434393</v>
      </c>
      <c r="T57" s="391">
        <f>((T20/O20)-1)</f>
        <v>0.2059700034198062</v>
      </c>
      <c r="U57" s="391">
        <f>((U20/P20)-1)</f>
        <v>0.30562366320622036</v>
      </c>
      <c r="V57" s="305"/>
      <c r="W57" s="391">
        <f>((W20/R20)-1)</f>
        <v>0.61043952204598173</v>
      </c>
      <c r="X57" s="391">
        <f>((X20/S20)-1)</f>
        <v>0.49526694433926277</v>
      </c>
      <c r="Y57" s="391">
        <f>((Y20/T20)-1)</f>
        <v>0.32392140976301453</v>
      </c>
      <c r="Z57" s="391">
        <f>((Z20/U20)-1)</f>
        <v>0.21394466087303887</v>
      </c>
      <c r="AA57" s="305"/>
      <c r="AB57" s="391">
        <f>((AB20/W20)-1)</f>
        <v>0.13988805484444722</v>
      </c>
      <c r="AC57" s="391">
        <f>((AC20/X20)-1)</f>
        <v>0.22441124335275076</v>
      </c>
      <c r="AD57" s="391">
        <f>((AD20/Y20)-1)</f>
        <v>-5.7250390134941043E-2</v>
      </c>
      <c r="AE57" s="391">
        <f>((AE20/Z20)-1)</f>
        <v>0.19455598709762323</v>
      </c>
      <c r="AF57" s="305"/>
      <c r="AG57" s="391">
        <f>((AG20/AB20)-1)</f>
        <v>0.27593163564386525</v>
      </c>
      <c r="AH57" s="391">
        <f>((AH20/AC20)-1)</f>
        <v>0.29223196558570574</v>
      </c>
      <c r="AI57" s="391">
        <f>((AI20/AD20)-1)</f>
        <v>0.36572541382668122</v>
      </c>
      <c r="AJ57" s="391">
        <f>((AJ20/AE20)-1)</f>
        <v>0.29329347257046745</v>
      </c>
      <c r="AK57" s="305"/>
      <c r="AL57" s="391">
        <f>((AL20/AG20)-1)</f>
        <v>0.37887828162291304</v>
      </c>
      <c r="AM57" s="391">
        <f>((AM20/AH20)-1)</f>
        <v>0.42821932716622291</v>
      </c>
      <c r="AN57" s="391">
        <f>((AN20/AI20)-1)</f>
        <v>0.41950663054327419</v>
      </c>
      <c r="AO57" s="391">
        <f>((AO20/AJ20)-1)</f>
        <v>0.30434087882822936</v>
      </c>
      <c r="AP57" s="305"/>
      <c r="AQ57" s="391">
        <f>((AQ20/AL20)-1)</f>
        <v>0.25080051925573432</v>
      </c>
      <c r="AR57" s="391">
        <f>((AR20/AM20)-1)</f>
        <v>0.29621629798964522</v>
      </c>
      <c r="AS57" s="391">
        <f>((AS20/AN20)-1)</f>
        <v>0.3438807969194726</v>
      </c>
      <c r="AT57" s="391">
        <f>((AT20/AO20)-1)</f>
        <v>0.23948711666462463</v>
      </c>
      <c r="AU57" s="305"/>
      <c r="AV57" s="391">
        <f>((AV20/AQ20)-1)</f>
        <v>0.16979173873935949</v>
      </c>
      <c r="AW57" s="391">
        <f>((AW20/AR20)-1)</f>
        <v>0.375028907231022</v>
      </c>
      <c r="AX57" s="391">
        <f>((AX20/AS20)-1)</f>
        <v>0.15277189485486531</v>
      </c>
      <c r="AY57" s="391">
        <f>((AY20/AT20)-1)</f>
        <v>0.37261232531017585</v>
      </c>
      <c r="AZ57" s="305"/>
      <c r="BA57" s="391">
        <f>((BA20/AV20)-1)</f>
        <v>0.69444608741941694</v>
      </c>
      <c r="BB57" s="391">
        <f>((BB20/AW20)-1)</f>
        <v>0.49552347659884854</v>
      </c>
      <c r="BC57" s="391">
        <f>((BC20/AX20)-1)</f>
        <v>0.44012406384749103</v>
      </c>
      <c r="BD57" s="391">
        <f>((BD20/AY20)-1)</f>
        <v>0.43842645929339441</v>
      </c>
      <c r="BE57" s="305"/>
      <c r="BF57" s="391">
        <f>((BF20/AQ20)-1)</f>
        <v>1.5485712308863189</v>
      </c>
      <c r="BG57" s="391">
        <f>((BG20/AR20)-1)</f>
        <v>1.7019043111217718</v>
      </c>
      <c r="BH57" s="391">
        <f>((BH20/AS20)-1)</f>
        <v>1.152423072131556</v>
      </c>
      <c r="BI57" s="391">
        <f>((BI20/AT20)-1)</f>
        <v>1.5661037497776218</v>
      </c>
      <c r="BJ57" s="305"/>
      <c r="BK57" s="391">
        <f>((BK20/AV20)-1)</f>
        <v>1.9717868338558047</v>
      </c>
      <c r="BL57" s="391">
        <f>((BL20/AW20)-1)</f>
        <v>1.7192364761210168</v>
      </c>
      <c r="BM57" s="391">
        <f>((BM20/AX20)-1)</f>
        <v>1.4327537202943819</v>
      </c>
      <c r="BN57" s="391">
        <f>((BN20/AY20)-1)</f>
        <v>1.2142281105990809</v>
      </c>
      <c r="BO57" s="305"/>
      <c r="BP57" s="391">
        <f>((BP20/BA20)-1)</f>
        <v>0.67722877687796279</v>
      </c>
      <c r="BQ57" s="391">
        <f>((BQ20/BB20)-1)</f>
        <v>0.68750472955361386</v>
      </c>
      <c r="BR57" s="391">
        <f>((BR20/BC20)-1)</f>
        <v>0.54743769651580743</v>
      </c>
      <c r="BS57" s="391">
        <f>((BS20/BD20)-1)</f>
        <v>0.35056215022042303</v>
      </c>
      <c r="BT57" s="305"/>
      <c r="BU57" s="391">
        <f>((BU20/BP20)-1)</f>
        <v>-5.9818831719537613E-2</v>
      </c>
      <c r="BV57" s="391">
        <f>((BV20/BQ20)-1)</f>
        <v>0.25201793721973176</v>
      </c>
      <c r="BW57" s="391">
        <f>((BW20/BR20)-1)</f>
        <v>0.12267106347897849</v>
      </c>
      <c r="BX57" s="391">
        <f>((BX20/BS20)-1)</f>
        <v>0.30953545836421914</v>
      </c>
      <c r="BY57" s="305"/>
      <c r="BZ57" s="391">
        <f>((BZ20/BU20)-1)</f>
        <v>0.20475926950747358</v>
      </c>
      <c r="CA57" s="391">
        <f>((CA20/BV20)-1)</f>
        <v>0.2217446673034047</v>
      </c>
      <c r="CB57" s="391">
        <f>((CB20/BW20)-1)</f>
        <v>0.15504565756395139</v>
      </c>
      <c r="CC57" s="391">
        <f>((CC20/BX20)-1)</f>
        <v>0.17289879219350501</v>
      </c>
      <c r="CD57" s="305"/>
      <c r="CE57" s="391">
        <f>((CE20/BZ20)-1)</f>
        <v>0.2956132292145135</v>
      </c>
      <c r="CF57" s="391">
        <f>((CF20/CA20)-1)</f>
        <v>0.22282410423452936</v>
      </c>
      <c r="CG57" s="391">
        <f>((CG20/CB20)-1)</f>
        <v>0.38139117427075608</v>
      </c>
      <c r="CH57" s="391">
        <f>((CH20/CC20)-1)</f>
        <v>0.26737451737451878</v>
      </c>
      <c r="CI57" s="305"/>
      <c r="CJ57" s="391">
        <f>((CJ20/CE20)-1)</f>
        <v>0.22706564322561262</v>
      </c>
      <c r="CK57" s="391">
        <f>((CK20/CF20)-1)</f>
        <v>0.18170678756655922</v>
      </c>
      <c r="CL57" s="391">
        <f>((CL20/CG20)-1)</f>
        <v>-0.10418426353063603</v>
      </c>
      <c r="CM57" s="391">
        <f>((CM20/CH20)-1)</f>
        <v>-0.13201320132013195</v>
      </c>
      <c r="CN57" s="305"/>
      <c r="CO57" s="391">
        <f>((CO20/CJ20)-1)</f>
        <v>-0.2157555619763073</v>
      </c>
      <c r="CP57" s="391">
        <f>((CP20/CK20)-1)</f>
        <v>-8.3566828441394625E-2</v>
      </c>
      <c r="CQ57" s="391">
        <f>((CQ20/CL20)-1)</f>
        <v>-0.13768812330009073</v>
      </c>
      <c r="CR57" s="391">
        <f>((CR20/CM20)-1)</f>
        <v>-0.16203568294823067</v>
      </c>
      <c r="CS57" s="396"/>
      <c r="CT57" s="391">
        <f>((CT20/CO20)-1)</f>
        <v>-7.5257804124129635E-2</v>
      </c>
      <c r="CU57" s="391">
        <f>((CU20/CP20)-1)</f>
        <v>-1.8568487439397874E-2</v>
      </c>
      <c r="CV57" s="391">
        <f>((CV20/CQ20)-1)</f>
        <v>0.18806051748972297</v>
      </c>
      <c r="CW57" s="391">
        <f>((CW20/CR20)-1)</f>
        <v>0.26178010471204183</v>
      </c>
      <c r="CX57" s="305"/>
      <c r="CY57" s="391">
        <f>((CY20/CT20)-1)</f>
        <v>0.54581673306772904</v>
      </c>
      <c r="CZ57" s="391">
        <f>((CZ20/CU20)-1)</f>
        <v>0.22305764411027562</v>
      </c>
      <c r="DA57" s="391">
        <f>((DA20/CV20)-1)</f>
        <v>5.0147492625368661E-2</v>
      </c>
      <c r="DB57" s="391">
        <f>((DB20/CW20)-1)</f>
        <v>0.1908713692946058</v>
      </c>
      <c r="DC57" s="305"/>
      <c r="DD57" s="391">
        <f>((DD20/CY20)-1)</f>
        <v>7.7319587628865705E-3</v>
      </c>
      <c r="DE57" s="391">
        <f>((DE20/CZ20)-1)</f>
        <v>0.12090163934426235</v>
      </c>
      <c r="DF57" s="391">
        <f>((DF20/DA20)-1)</f>
        <v>0.1685393258426966</v>
      </c>
      <c r="DG57" s="391">
        <f>((DG20/DB20)-1)</f>
        <v>-6.5040650406504086E-2</v>
      </c>
      <c r="DH57" s="305"/>
      <c r="DI57" s="391">
        <f>((DI20/DD20)-1)</f>
        <v>-0.17902813299232734</v>
      </c>
      <c r="DJ57" s="391">
        <f>((DJ20/DE20)-1)</f>
        <v>-0.1645338208409507</v>
      </c>
      <c r="DK57" s="391">
        <f>((DK20/DF20)-1)</f>
        <v>2.1634615384615419E-2</v>
      </c>
      <c r="DL57" s="391">
        <f>((DL20/DG20)-1)</f>
        <v>-0.14782608695652177</v>
      </c>
      <c r="DM57" s="305"/>
      <c r="DN57" s="391">
        <f>((DN20/DI20)-1)</f>
        <v>-1.2461059190031154E-2</v>
      </c>
      <c r="DO57" s="391">
        <f>((DO20/DJ20)-1)</f>
        <v>-1.3129102844638973E-2</v>
      </c>
      <c r="DP57" s="391">
        <f>((DP20/DK20)-1)</f>
        <v>-0.14117647058823535</v>
      </c>
      <c r="DQ57" s="391">
        <f>((DQ20/DL20)-1)</f>
        <v>-0.11224489795918369</v>
      </c>
      <c r="DR57" s="305"/>
      <c r="DS57" s="391">
        <f>((DS20/DN20)-1)</f>
        <v>-0.11671924290220825</v>
      </c>
      <c r="DT57" s="391">
        <f>((DT20/DO20)-1)</f>
        <v>0</v>
      </c>
      <c r="DU57" s="391">
        <f>((DU20/DP20)-1)</f>
        <v>-0.16712328767123286</v>
      </c>
      <c r="DV57" s="391">
        <f>((DV20/DQ20)-1)</f>
        <v>7.3891625615763568E-2</v>
      </c>
      <c r="DW57" s="305"/>
      <c r="DX57" s="391">
        <f>((DX20/DS20)-1)</f>
        <v>0</v>
      </c>
      <c r="DY57" s="391">
        <f>((DY20/DT20)-1)</f>
        <v>-5.9866962305986648E-2</v>
      </c>
      <c r="DZ57" s="391">
        <f>((DZ20/DU20)-1)</f>
        <v>1.3157894736842035E-2</v>
      </c>
      <c r="EA57" s="391">
        <f>((EA20/DV20)-1)</f>
        <v>-0.172782874617737</v>
      </c>
      <c r="EB57" s="305"/>
      <c r="EC57" s="391">
        <f>((EC20/DX20)-1)</f>
        <v>-0.3928571428571429</v>
      </c>
      <c r="ED57" s="391">
        <f>((ED20/DY20)-1)</f>
        <v>1.4150943396226356E-2</v>
      </c>
      <c r="EE57" s="391">
        <f>((EE20/DZ20)-1)</f>
        <v>-4.220779220779225E-2</v>
      </c>
      <c r="EF57" s="391">
        <f>((EF20/EA20)-1)</f>
        <v>-0.12569316081330872</v>
      </c>
      <c r="EG57" s="305"/>
      <c r="EH57" s="391">
        <f>((EH20/EC20)-1)</f>
        <v>8.8235294117646967E-2</v>
      </c>
      <c r="EI57" s="391">
        <f>((EI20/ED20)-1)</f>
        <v>-5.3488372093023262E-2</v>
      </c>
      <c r="EJ57" s="391">
        <f>((EJ20/EE20)-1)</f>
        <v>-0.12881355932203387</v>
      </c>
      <c r="EK57" s="391">
        <f>((EK20/EF20)-1)</f>
        <v>0.19873150105708248</v>
      </c>
      <c r="EL57" s="391"/>
      <c r="EM57" s="1205">
        <f>((EM20/EH20)-1)</f>
        <v>-2.8675299783783359E-2</v>
      </c>
      <c r="EN57" s="1205">
        <f>((EN20/EI20)-1)</f>
        <v>6.5285112530713674E-2</v>
      </c>
      <c r="EO57" s="1205">
        <f>((EO20/EJ20)-1)</f>
        <v>-5.8060735408561603E-3</v>
      </c>
      <c r="EP57" s="1205">
        <f>((EP20/EK20)-1)</f>
        <v>-0.174541281128749</v>
      </c>
      <c r="EQ57" s="391" t="s">
        <v>271</v>
      </c>
      <c r="ER57" s="391">
        <f t="shared" ref="ER57:FU57" si="27">((ER20/EQ20)-1)</f>
        <v>0.16465066959902463</v>
      </c>
      <c r="ES57" s="391">
        <f t="shared" si="27"/>
        <v>0.38696026032270625</v>
      </c>
      <c r="ET57" s="391">
        <f t="shared" si="27"/>
        <v>0.24305268532250568</v>
      </c>
      <c r="EU57" s="391">
        <f t="shared" si="27"/>
        <v>0.2108335941167252</v>
      </c>
      <c r="EV57" s="391">
        <f t="shared" si="27"/>
        <v>0.21092759358721058</v>
      </c>
      <c r="EW57" s="391">
        <f t="shared" si="27"/>
        <v>0.26236735565026303</v>
      </c>
      <c r="EX57" s="391">
        <f t="shared" si="27"/>
        <v>0.36751061986178346</v>
      </c>
      <c r="EY57" s="391">
        <f t="shared" si="27"/>
        <v>0.24716991337809802</v>
      </c>
      <c r="EZ57" s="391">
        <f t="shared" si="27"/>
        <v>0.39077757125154955</v>
      </c>
      <c r="FA57" s="391">
        <f t="shared" si="27"/>
        <v>0.41428421870928345</v>
      </c>
      <c r="FB57" s="391">
        <f t="shared" si="27"/>
        <v>0.32449880538576226</v>
      </c>
      <c r="FC57" s="391">
        <f t="shared" si="27"/>
        <v>0.28143877055964306</v>
      </c>
      <c r="FD57" s="391">
        <f t="shared" si="27"/>
        <v>-6.5872097501135429E-2</v>
      </c>
      <c r="FE57" s="391">
        <f t="shared" si="27"/>
        <v>0.18555682046208255</v>
      </c>
      <c r="FF57" s="391">
        <f t="shared" si="27"/>
        <v>0.1845440339183273</v>
      </c>
      <c r="FG57" s="391">
        <f t="shared" si="27"/>
        <v>0.28361462828040196</v>
      </c>
      <c r="FH57" s="393">
        <f t="shared" si="27"/>
        <v>-5.6347078162920505E-3</v>
      </c>
      <c r="FI57" s="391">
        <f t="shared" si="27"/>
        <v>-0.14858284180909009</v>
      </c>
      <c r="FJ57" s="391">
        <f t="shared" si="27"/>
        <v>0.21003830594637196</v>
      </c>
      <c r="FK57" s="1263"/>
      <c r="FL57" s="391">
        <f>((FL20/FJ20)-1)</f>
        <v>0.12587412587412583</v>
      </c>
      <c r="FM57" s="391">
        <f t="shared" si="27"/>
        <v>3.1533683707596794E-2</v>
      </c>
      <c r="FN57" s="391">
        <f t="shared" si="27"/>
        <v>-0.1250578971746179</v>
      </c>
      <c r="FO57" s="391">
        <f t="shared" si="27"/>
        <v>-7.7818951826363114E-2</v>
      </c>
      <c r="FP57" s="391">
        <f t="shared" si="27"/>
        <v>-3.0424799081515519E-2</v>
      </c>
      <c r="FQ57" s="391">
        <f t="shared" si="27"/>
        <v>-8.0521018354055673E-2</v>
      </c>
      <c r="FR57" s="391">
        <f t="shared" si="27"/>
        <v>-0.11912427559562133</v>
      </c>
      <c r="FS57" s="391">
        <f t="shared" si="27"/>
        <v>3.5087719298245723E-2</v>
      </c>
      <c r="FT57" s="391">
        <f t="shared" si="27"/>
        <v>-5.592581706214772E-2</v>
      </c>
      <c r="FU57" s="391">
        <f t="shared" si="27"/>
        <v>-0.1218117116209444</v>
      </c>
      <c r="FV57" s="394">
        <f>((FV20/FU20)-1)</f>
        <v>-8.2843012351590195E-2</v>
      </c>
      <c r="FW57" s="391">
        <f>((FW20/FV20)-1)</f>
        <v>-9.4874554098480113E-2</v>
      </c>
      <c r="FX57" s="394">
        <f>((FX20/FW20)-1)</f>
        <v>-5.6920121803448742E-2</v>
      </c>
    </row>
    <row r="58" spans="1:263" x14ac:dyDescent="0.2">
      <c r="A58" s="334" t="s">
        <v>187</v>
      </c>
      <c r="B58" s="305"/>
      <c r="C58" s="391" t="str">
        <f>IF(ISERROR(C19/#REF!-1),"NA ",C19/#REF!-1)</f>
        <v xml:space="preserve">NA </v>
      </c>
      <c r="D58" s="391" t="str">
        <f>IF(ISERROR(D19/#REF!-1),"NA ",D19/#REF!-1)</f>
        <v xml:space="preserve">NA </v>
      </c>
      <c r="E58" s="391" t="str">
        <f>IF(ISERROR(E19/#REF!-1),"NA ",E19/#REF!-1)</f>
        <v xml:space="preserve">NA </v>
      </c>
      <c r="F58" s="391" t="str">
        <f>IF(ISERROR(F19/#REF!-1),"NA ",F19/#REF!-1)</f>
        <v xml:space="preserve">NA </v>
      </c>
      <c r="G58" s="305"/>
      <c r="H58" s="391">
        <f>((H33/C33)-1)</f>
        <v>-1</v>
      </c>
      <c r="I58" s="391">
        <f>((I33/D33)-1)</f>
        <v>-1</v>
      </c>
      <c r="J58" s="391">
        <f>((J33/E33)-1)</f>
        <v>0.13830888236863648</v>
      </c>
      <c r="K58" s="391">
        <f>((K33/F33)-1)</f>
        <v>0.12609376374351644</v>
      </c>
      <c r="L58" s="305"/>
      <c r="M58" s="391" t="s">
        <v>236</v>
      </c>
      <c r="N58" s="391" t="s">
        <v>236</v>
      </c>
      <c r="O58" s="391">
        <f>((O33/J33)-1)</f>
        <v>1</v>
      </c>
      <c r="P58" s="391">
        <f>((P33/K33)-1)</f>
        <v>0.16666666666666674</v>
      </c>
      <c r="Q58" s="305"/>
      <c r="R58" s="391">
        <f>((R33/M33)-1)</f>
        <v>2</v>
      </c>
      <c r="S58" s="391">
        <f>((S33/N33)-1)</f>
        <v>1</v>
      </c>
      <c r="T58" s="391">
        <f>((T33/O33)-1)</f>
        <v>0</v>
      </c>
      <c r="U58" s="391">
        <f>((U33/P33)-1)</f>
        <v>0.4285714285714286</v>
      </c>
      <c r="V58" s="305"/>
      <c r="W58" s="391">
        <f>((W33/R33)-1)</f>
        <v>0.33333333333333348</v>
      </c>
      <c r="X58" s="391">
        <f>((X33/S33)-1)</f>
        <v>0.5</v>
      </c>
      <c r="Y58" s="391">
        <f>((Y33/T33)-1)</f>
        <v>0.25</v>
      </c>
      <c r="Z58" s="391">
        <f>((Z33/U33)-1)</f>
        <v>0.19999999999999996</v>
      </c>
      <c r="AA58" s="305"/>
      <c r="AB58" s="391">
        <f>((AB33/W33)-1)</f>
        <v>0</v>
      </c>
      <c r="AC58" s="391">
        <f>((AC33/X33)-1)</f>
        <v>0.33333333333333348</v>
      </c>
      <c r="AD58" s="391">
        <f>((AD33/Y33)-1)</f>
        <v>0</v>
      </c>
      <c r="AE58" s="391">
        <f>((AE33/Z33)-1)</f>
        <v>0.16666666666666674</v>
      </c>
      <c r="AF58" s="305"/>
      <c r="AG58" s="391">
        <f>((AG33/AB33)-1)</f>
        <v>0.25</v>
      </c>
      <c r="AH58" s="391">
        <f>((AH33/AC33)-1)</f>
        <v>0.25</v>
      </c>
      <c r="AI58" s="391">
        <f>((AI33/AD33)-1)</f>
        <v>0.40000000000000013</v>
      </c>
      <c r="AJ58" s="391">
        <f>((AJ33/AE33)-1)</f>
        <v>0.21428571428571419</v>
      </c>
      <c r="AK58" s="305"/>
      <c r="AL58" s="391">
        <f>((AL33/AG33)-1)</f>
        <v>0</v>
      </c>
      <c r="AM58" s="391">
        <f>((AM33/AH33)-1)</f>
        <v>0.40000000000000013</v>
      </c>
      <c r="AN58" s="391">
        <f>((AN33/AI33)-1)</f>
        <v>0.4285714285714286</v>
      </c>
      <c r="AO58" s="391">
        <f>((AO33/AJ33)-1)</f>
        <v>0.29411764705882337</v>
      </c>
      <c r="AP58" s="305"/>
      <c r="AQ58" s="391">
        <f>((AQ33/AL33)-1)</f>
        <v>0.40000000000000013</v>
      </c>
      <c r="AR58" s="391">
        <f>((AR33/AM33)-1)</f>
        <v>0.28571428571428559</v>
      </c>
      <c r="AS58" s="391">
        <f>((AS33/AN33)-1)</f>
        <v>9.9999999999999867E-2</v>
      </c>
      <c r="AT58" s="391">
        <f>((AT33/AO33)-1)</f>
        <v>0.27272727272727293</v>
      </c>
      <c r="AU58" s="305"/>
      <c r="AV58" s="391">
        <f>((AV33/AQ33)-1)</f>
        <v>0.5714285714285714</v>
      </c>
      <c r="AW58" s="391">
        <f>((AW33/AR33)-1)</f>
        <v>0.44444444444444464</v>
      </c>
      <c r="AX58" s="391">
        <f>((AX33/AS33)-1)</f>
        <v>0.36363636363636354</v>
      </c>
      <c r="AY58" s="391">
        <f>((AY33/AT33)-1)</f>
        <v>0.28571428571428559</v>
      </c>
      <c r="AZ58" s="305"/>
      <c r="BA58" s="391">
        <f>((BA33/AV33)-1)</f>
        <v>0.36363636363636354</v>
      </c>
      <c r="BB58" s="391">
        <f>((BB33/AW33)-1)</f>
        <v>0.38461538461538458</v>
      </c>
      <c r="BC58" s="391">
        <f>((BC33/AX33)-1)</f>
        <v>0.46666666666666679</v>
      </c>
      <c r="BD58" s="391">
        <f>((BD33/AY33)-1)</f>
        <v>0.44444444444444464</v>
      </c>
      <c r="BE58" s="305"/>
      <c r="BF58" s="391">
        <f>((BF33/AQ33)-1)</f>
        <v>1.9999999999999996</v>
      </c>
      <c r="BG58" s="391">
        <f>((BG33/AR33)-1)</f>
        <v>1.7777777777777777</v>
      </c>
      <c r="BH58" s="391">
        <f>((BH33/AS33)-1)</f>
        <v>1.5454545454545459</v>
      </c>
      <c r="BI58" s="391">
        <f>((BI33/AT33)-1)</f>
        <v>1.3928571428571428</v>
      </c>
      <c r="BJ58" s="305"/>
      <c r="BK58" s="391">
        <f>((BK33/AV33)-1)</f>
        <v>1.7272727272727271</v>
      </c>
      <c r="BL58" s="391">
        <f>((BL33/AW33)-1)</f>
        <v>1.7692307692307692</v>
      </c>
      <c r="BM58" s="391">
        <f>((BM33/AX33)-1)</f>
        <v>1.5333333333333337</v>
      </c>
      <c r="BN58" s="391">
        <f>((BN33/AY33)-1)</f>
        <v>1.2222222222222223</v>
      </c>
      <c r="BO58" s="305"/>
      <c r="BP58" s="391">
        <f>((BP33/BA33)-1)</f>
        <v>1.0666666666666669</v>
      </c>
      <c r="BQ58" s="391">
        <f>((BQ33/BB33)-1)</f>
        <v>0.7777777777777779</v>
      </c>
      <c r="BR58" s="391">
        <f>((BR33/BC33)-1)</f>
        <v>0.54545454545454564</v>
      </c>
      <c r="BS58" s="391">
        <f>((BS33/BD33)-1)</f>
        <v>0.3653846153846152</v>
      </c>
      <c r="BT58" s="305"/>
      <c r="BU58" s="391">
        <f>((BU33/BP33)-1)</f>
        <v>-3.2258064516129115E-2</v>
      </c>
      <c r="BV58" s="391">
        <f>((BV33/BQ33)-1)</f>
        <v>0.34375</v>
      </c>
      <c r="BW58" s="391">
        <f>((BW33/BR33)-1)</f>
        <v>0.14705882352941169</v>
      </c>
      <c r="BX58" s="391">
        <f>((BX33/BS33)-1)</f>
        <v>0.29577464788732399</v>
      </c>
      <c r="BY58" s="305"/>
      <c r="BZ58" s="391">
        <f>((BZ33/BU33)-1)</f>
        <v>0.19999999999999996</v>
      </c>
      <c r="CA58" s="391">
        <f>((CA33/BV33)-1)</f>
        <v>0.2093023255813955</v>
      </c>
      <c r="CB58" s="391">
        <f>((CB33/BW33)-1)</f>
        <v>0.15384615384615374</v>
      </c>
      <c r="CC58" s="391">
        <f>((CC33/BX33)-1)</f>
        <v>0.17391304347826098</v>
      </c>
      <c r="CD58" s="305"/>
      <c r="CE58" s="391">
        <f>((CE33/BZ33)-1)</f>
        <v>0.33333333333333326</v>
      </c>
      <c r="CF58" s="391">
        <f>((CF33/CA33)-1)</f>
        <v>0.32692307692307687</v>
      </c>
      <c r="CG58" s="391">
        <f>((CG33/CB33)-1)</f>
        <v>0.51111111111111107</v>
      </c>
      <c r="CH58" s="391">
        <f>((CH33/CC33)-1)</f>
        <v>0.37037037037037024</v>
      </c>
      <c r="CI58" s="305"/>
      <c r="CJ58" s="391">
        <f>((CJ33/CE33)-1)</f>
        <v>0.33333333333333348</v>
      </c>
      <c r="CK58" s="391">
        <f>((CK33/CF33)-1)</f>
        <v>0.20289855072463769</v>
      </c>
      <c r="CL58" s="391">
        <f>((CL33/CG33)-1)</f>
        <v>-0.10294117647058831</v>
      </c>
      <c r="CM58" s="391">
        <f>((CM33/CH33)-1)</f>
        <v>-0.1148648648648648</v>
      </c>
      <c r="CN58" s="305"/>
      <c r="CO58" s="391">
        <f>((CO33/CJ33)-1)</f>
        <v>-0.234375</v>
      </c>
      <c r="CP58" s="391">
        <f>((CP33/CK33)-1)</f>
        <v>-7.2289156626505924E-2</v>
      </c>
      <c r="CQ58" s="391">
        <f>((CQ33/CL33)-1)</f>
        <v>-0.14754098360655732</v>
      </c>
      <c r="CR58" s="391">
        <f>((CR33/CM33)-1)</f>
        <v>-0.16030534351145032</v>
      </c>
      <c r="CS58" s="396"/>
      <c r="CT58" s="391">
        <f>((CT33/CO33)-1)</f>
        <v>-8.1632653061224469E-2</v>
      </c>
      <c r="CU58" s="391">
        <f>((CU33/CP33)-1)</f>
        <v>-2.5974025974025983E-2</v>
      </c>
      <c r="CV58" s="391">
        <f>((CV33/CQ33)-1)</f>
        <v>0.21153846153846145</v>
      </c>
      <c r="CW58" s="391">
        <f>((CW33/CR33)-1)</f>
        <v>0.27272727272727249</v>
      </c>
      <c r="CX58" s="305"/>
      <c r="CY58" s="391">
        <f>((CY33/CT33)-1)</f>
        <v>0.39999999999999991</v>
      </c>
      <c r="CZ58" s="391">
        <f>((CZ33/CU33)-1)</f>
        <v>0.10666666666666669</v>
      </c>
      <c r="DA58" s="391">
        <f>((DA33/CV33)-1)</f>
        <v>-9.5238095238095344E-2</v>
      </c>
      <c r="DB58" s="391">
        <f>((DB33/CW33)-1)</f>
        <v>0.18571428571428572</v>
      </c>
      <c r="DC58" s="305"/>
      <c r="DD58" s="391">
        <f>((DD33/CY33)-1)</f>
        <v>9.5238095238095122E-2</v>
      </c>
      <c r="DE58" s="391">
        <f>((DE33/CZ33)-1)</f>
        <v>0.30120481927710863</v>
      </c>
      <c r="DF58" s="391">
        <f>((DF33/DA33)-1)</f>
        <v>0.40350877192982471</v>
      </c>
      <c r="DG58" s="391">
        <f>((DG33/DB33)-1)</f>
        <v>9.0361445783132543E-2</v>
      </c>
      <c r="DH58" s="305"/>
      <c r="DI58" s="391">
        <f>((DI33/DD33)-1)</f>
        <v>-8.6956521739130377E-2</v>
      </c>
      <c r="DJ58" s="391">
        <f>((DJ33/DE33)-1)</f>
        <v>-7.4074074074074181E-2</v>
      </c>
      <c r="DK58" s="391">
        <f>((DK33/DF33)-1)</f>
        <v>0.14095744680851063</v>
      </c>
      <c r="DL58" s="391">
        <f>((DL33/DG33)-1)</f>
        <v>-8.0406080997248552E-2</v>
      </c>
      <c r="DM58" s="305"/>
      <c r="DN58" s="391">
        <f>((DN33/DI33)-1)</f>
        <v>4.6337817638266054E-2</v>
      </c>
      <c r="DO58" s="391">
        <f>((DO33/DJ33)-1)</f>
        <v>4.0540540540540571E-2</v>
      </c>
      <c r="DP58" s="391">
        <f>((DP33/DK33)-1)</f>
        <v>-0.11047667928401872</v>
      </c>
      <c r="DQ58" s="391">
        <f>((DQ33/DL33)-1)</f>
        <v>-6.4498464498464525E-2</v>
      </c>
      <c r="DR58" s="305"/>
      <c r="DS58" s="391">
        <f>((DS33/DN33)-1)</f>
        <v>-8.8337257980115158E-2</v>
      </c>
      <c r="DT58" s="391">
        <f>((DT33/DO33)-1)</f>
        <v>8.2926829268292535E-2</v>
      </c>
      <c r="DU58" s="391">
        <f>((DU33/DP33)-1)</f>
        <v>-0.13419477540974445</v>
      </c>
      <c r="DV58" s="391">
        <f>((DV33/DQ33)-1)</f>
        <v>0.17840648886215638</v>
      </c>
      <c r="DW58" s="305"/>
      <c r="DX58" s="391">
        <f>((DX33/DS33)-1)</f>
        <v>4.6178217821782219E-2</v>
      </c>
      <c r="DY58" s="391">
        <f>((DY33/DT33)-1)</f>
        <v>-3.6693255982595985E-2</v>
      </c>
      <c r="DZ58" s="391">
        <f>((DZ33/DU33)-1)</f>
        <v>6.9272300469483516E-2</v>
      </c>
      <c r="EA58" s="391">
        <f>((EA33/DV33)-1)</f>
        <v>-0.13734765155138173</v>
      </c>
      <c r="EB58" s="305"/>
      <c r="EC58" s="391">
        <f>((EC33/DX33)-1)</f>
        <v>-0.50174255391989053</v>
      </c>
      <c r="ED58" s="391">
        <f>((ED33/DY33)-1)</f>
        <v>0.12626572663405078</v>
      </c>
      <c r="EE58" s="391">
        <f>((EE33/DZ33)-1)</f>
        <v>6.8961629523845325E-2</v>
      </c>
      <c r="EF58" s="391">
        <f>((EF33/EA33)-1)</f>
        <v>-9.0270270270270347E-2</v>
      </c>
      <c r="EG58" s="305"/>
      <c r="EH58" s="391">
        <f>((EH33/EC33)-1)</f>
        <v>0.23208785322083836</v>
      </c>
      <c r="EI58" s="391">
        <f>((EI33/ED33)-1)</f>
        <v>1.27225148917125E-2</v>
      </c>
      <c r="EJ58" s="391">
        <f>((EJ33/EE33)-1)</f>
        <v>-0.12281667804673901</v>
      </c>
      <c r="EK58" s="391">
        <f>((EK33/EF33)-1)</f>
        <v>0.35562208915502347</v>
      </c>
      <c r="EL58" s="391"/>
      <c r="EM58" s="1205">
        <f>((EM33/EH33)-1)</f>
        <v>0.26780085282772936</v>
      </c>
      <c r="EN58" s="1205">
        <f>((EN33/EI33)-1)</f>
        <v>0.34097833092835184</v>
      </c>
      <c r="EO58" s="1205">
        <f>((EO33/EJ33)-1)</f>
        <v>0.2043355335096082</v>
      </c>
      <c r="EP58" s="1205">
        <f>((EP33/EK33)-1)</f>
        <v>-6.2781861242120929E-2</v>
      </c>
      <c r="EQ58" s="391" t="s">
        <v>271</v>
      </c>
      <c r="ER58" s="391">
        <f t="shared" ref="ER58:FU58" si="28">((ER33/EQ33)-1)</f>
        <v>0.79999999999999982</v>
      </c>
      <c r="ES58" s="391">
        <f t="shared" si="28"/>
        <v>0.66666666666666674</v>
      </c>
      <c r="ET58" s="391">
        <f t="shared" si="28"/>
        <v>0.26666666666666683</v>
      </c>
      <c r="EU58" s="391">
        <f t="shared" si="28"/>
        <v>0.21052631578947367</v>
      </c>
      <c r="EV58" s="391">
        <f t="shared" si="28"/>
        <v>0.21739130434782616</v>
      </c>
      <c r="EW58" s="391">
        <f t="shared" si="28"/>
        <v>0.21428571428571419</v>
      </c>
      <c r="EX58" s="391">
        <f t="shared" si="28"/>
        <v>0.32352941176470584</v>
      </c>
      <c r="EY58" s="391">
        <f t="shared" si="28"/>
        <v>0.22222222222222232</v>
      </c>
      <c r="EZ58" s="391">
        <f t="shared" si="28"/>
        <v>0.41818181818181821</v>
      </c>
      <c r="FA58" s="391">
        <f t="shared" si="28"/>
        <v>0.37179487179487181</v>
      </c>
      <c r="FB58" s="391">
        <f t="shared" si="28"/>
        <v>0.32710280373831768</v>
      </c>
      <c r="FC58" s="391">
        <f t="shared" si="28"/>
        <v>0.29577464788732399</v>
      </c>
      <c r="FD58" s="391">
        <f t="shared" si="28"/>
        <v>-8.1521739130434812E-2</v>
      </c>
      <c r="FE58" s="391">
        <f t="shared" si="28"/>
        <v>0.2071005917159765</v>
      </c>
      <c r="FF58" s="391">
        <f t="shared" si="28"/>
        <v>0.19117647058823528</v>
      </c>
      <c r="FG58" s="391">
        <f t="shared" si="28"/>
        <v>0.36213991769547316</v>
      </c>
      <c r="FH58" s="393">
        <f t="shared" si="28"/>
        <v>2.4169184290030232E-2</v>
      </c>
      <c r="FI58" s="391">
        <f t="shared" si="28"/>
        <v>-0.14749262536873153</v>
      </c>
      <c r="FJ58" s="391">
        <f t="shared" si="28"/>
        <v>0.10034602076124566</v>
      </c>
      <c r="FK58" s="1263"/>
      <c r="FL58" s="391">
        <f>((FL33/FJ33)-1)</f>
        <v>0.15094339622641506</v>
      </c>
      <c r="FM58" s="391">
        <f t="shared" si="28"/>
        <v>0.17759562841530041</v>
      </c>
      <c r="FN58" s="391">
        <f>((FN33/FM33)-1)</f>
        <v>-3.4806701800812578E-2</v>
      </c>
      <c r="FO58" s="391">
        <f>((FO33/FN33)-1)</f>
        <v>-2.6410977395468938E-2</v>
      </c>
      <c r="FP58" s="391">
        <f>((FP33/FO33)-1)</f>
        <v>4.729967707069882E-2</v>
      </c>
      <c r="FQ58" s="391">
        <f>((FQ33/FP33)-1)</f>
        <v>-5.4366640049685167E-2</v>
      </c>
      <c r="FR58" s="391">
        <f t="shared" si="28"/>
        <v>-6.2456609200820745E-2</v>
      </c>
      <c r="FS58" s="391">
        <f t="shared" si="28"/>
        <v>0.13489976612803978</v>
      </c>
      <c r="FT58" s="391">
        <f t="shared" si="28"/>
        <v>0.13033983723543385</v>
      </c>
      <c r="FU58" s="391">
        <f t="shared" si="28"/>
        <v>-0.14039349976589699</v>
      </c>
      <c r="FV58" s="394">
        <f>((FV33/FU33)-1)</f>
        <v>-8.3098474395561173E-2</v>
      </c>
      <c r="FW58" s="391">
        <f>((FW33/FV33)-1)</f>
        <v>-9.3489525835023901E-2</v>
      </c>
      <c r="FX58" s="394">
        <f>((FX33/FW33)-1)</f>
        <v>-4.1691564774440804E-2</v>
      </c>
    </row>
    <row r="59" spans="1:263" x14ac:dyDescent="0.2">
      <c r="A59" s="397" t="s">
        <v>190</v>
      </c>
      <c r="B59" s="313"/>
      <c r="C59" s="398" t="str">
        <f>IF(ISERROR(C42/#REF!-1),"NA ",C42/#REF!-1)</f>
        <v xml:space="preserve">NA </v>
      </c>
      <c r="D59" s="398" t="str">
        <f>IF(ISERROR(D42/#REF!-1),"NA ",D42/#REF!-1)</f>
        <v xml:space="preserve">NA </v>
      </c>
      <c r="E59" s="398" t="str">
        <f>IF(ISERROR(E42/#REF!-1),"NA ",E42/#REF!-1)</f>
        <v xml:space="preserve">NA </v>
      </c>
      <c r="F59" s="398" t="str">
        <f>IF(ISERROR(F42/#REF!-1),"NA ",F42/#REF!-1)</f>
        <v xml:space="preserve">NA </v>
      </c>
      <c r="G59" s="313"/>
      <c r="H59" s="398">
        <f>IF(ISERROR(H42/C42-1),"NA ",H42/C42-1)</f>
        <v>0.26163063909774342</v>
      </c>
      <c r="I59" s="398">
        <f>IF(ISERROR(I42/D42-1),"NA ",I42/D42-1)</f>
        <v>0.28340413868713621</v>
      </c>
      <c r="J59" s="398">
        <f>IF(ISERROR(J42/E42-1),"NA ",J42/E42-1)</f>
        <v>0.17736635915582055</v>
      </c>
      <c r="K59" s="398">
        <f>IF(ISERROR(K42/F42-1),"NA ",K42/F42-1)</f>
        <v>9.2509412774952171E-2</v>
      </c>
      <c r="L59" s="313"/>
      <c r="M59" s="398">
        <f>IF(ISERROR(M42/H42-1),"NA ",M42/H42-1)</f>
        <v>0.29211285967036016</v>
      </c>
      <c r="N59" s="398">
        <f>IF(ISERROR(N42/I42-1),"NA ",N42/I42-1)</f>
        <v>0.44111051788574263</v>
      </c>
      <c r="O59" s="398">
        <f>IF(ISERROR(O42/J42-1),"NA ",O42/J42-1)</f>
        <v>0.30719690871035255</v>
      </c>
      <c r="P59" s="398">
        <f>IF(ISERROR(P42/K42-1),"NA ",P42/K42-1)</f>
        <v>0.27772907282566051</v>
      </c>
      <c r="Q59" s="313"/>
      <c r="R59" s="398">
        <f>IF(ISERROR(R42/M42-1),"NA ",R42/M42-1)</f>
        <v>0.33366964543096</v>
      </c>
      <c r="S59" s="398">
        <f>IF(ISERROR(S42/N42-1),"NA ",S42/N42-1)</f>
        <v>0.29994072317723774</v>
      </c>
      <c r="T59" s="398">
        <f>IF(ISERROR(T42/O42-1),"NA ",T42/O42-1)</f>
        <v>0.20527979636244176</v>
      </c>
      <c r="U59" s="398">
        <f>IF(ISERROR(U42/P42-1),"NA ",U42/P42-1)</f>
        <v>0.30050158519850645</v>
      </c>
      <c r="V59" s="313"/>
      <c r="W59" s="398">
        <f>IF(ISERROR(W42/R42-1),"NA ",W42/R42-1)</f>
        <v>0.37712093375121691</v>
      </c>
      <c r="X59" s="398">
        <f>IF(ISERROR(X42/S42-1),"NA ",X42/S42-1)</f>
        <v>0.2811217510259898</v>
      </c>
      <c r="Y59" s="398">
        <f>IF(ISERROR(Y42/T42-1),"NA ",Y42/T42-1)</f>
        <v>8.2024730047348893E-2</v>
      </c>
      <c r="Z59" s="398">
        <f>IF(ISERROR(Z42/U42-1),"NA ",Z42/U42-1)</f>
        <v>0.20885258427783882</v>
      </c>
      <c r="AA59" s="313"/>
      <c r="AB59" s="398">
        <f>IF(ISERROR(AB42/W42-1),"NA ",AB42/W42-1)</f>
        <v>0.14220129487933986</v>
      </c>
      <c r="AC59" s="398">
        <f>IF(ISERROR(AC42/X42-1),"NA ",AC42/X42-1)</f>
        <v>0.26227976508275841</v>
      </c>
      <c r="AD59" s="398">
        <f>IF(ISERROR(AD42/Y42-1),"NA ",AD42/Y42-1)</f>
        <v>0.20598142609790648</v>
      </c>
      <c r="AE59" s="398">
        <f>IF(ISERROR(AE42/Z42-1),"NA ",AE42/Z42-1)</f>
        <v>0.24551898505575886</v>
      </c>
      <c r="AF59" s="313"/>
      <c r="AG59" s="398">
        <f>IF(ISERROR(AG42/AB42-1),"NA ",AG42/AB42-1)</f>
        <v>0.23789893160190911</v>
      </c>
      <c r="AH59" s="398">
        <f>IF(ISERROR(AH42/AC42-1),"NA ",AH42/AC42-1)</f>
        <v>0.32917415670931582</v>
      </c>
      <c r="AI59" s="398">
        <f>IF(ISERROR(AI42/AD42-1),"NA ",AI42/AD42-1)</f>
        <v>0.36817374960843763</v>
      </c>
      <c r="AJ59" s="398">
        <f>IF(ISERROR(AJ42/AE42-1),"NA ",AJ42/AE42-1)</f>
        <v>0.23061586979374327</v>
      </c>
      <c r="AK59" s="313"/>
      <c r="AL59" s="398">
        <f>IF(ISERROR(AL42/AG42-1),"NA ",AL42/AG42-1)</f>
        <v>0.19273463950713254</v>
      </c>
      <c r="AM59" s="398">
        <f>IF(ISERROR(AM42/AH42-1),"NA ",AM42/AH42-1)</f>
        <v>0.44375497215592641</v>
      </c>
      <c r="AN59" s="398">
        <f>IF(ISERROR(AN42/AI42-1),"NA ",AN42/AI42-1)</f>
        <v>0.39437533389299917</v>
      </c>
      <c r="AO59" s="398">
        <f>IF(ISERROR(AO42/AJ42-1),"NA ",AO42/AJ42-1)</f>
        <v>0.37835184148772161</v>
      </c>
      <c r="AP59" s="313"/>
      <c r="AQ59" s="398">
        <f>IF(ISERROR(AQ42/AL42-1),"NA ",AQ42/AL42-1)</f>
        <v>0.38167477139998773</v>
      </c>
      <c r="AR59" s="398">
        <f>IF(ISERROR(AR42/AM42-1),"NA ",AR42/AM42-1)</f>
        <v>0.29433913746234674</v>
      </c>
      <c r="AS59" s="398">
        <f>IF(ISERROR(AS42/AN42-1),"NA ",AS42/AN42-1)</f>
        <v>0.13447907829561556</v>
      </c>
      <c r="AT59" s="398">
        <f>IF(ISERROR(AT42/AO42-1),"NA ",AT42/AO42-1)</f>
        <v>0.25178621038459625</v>
      </c>
      <c r="AU59" s="313"/>
      <c r="AV59" s="398">
        <f>IF(ISERROR(AV42/AQ42-1),"NA ",AV42/AQ42-1)</f>
        <v>0.45521445531549221</v>
      </c>
      <c r="AW59" s="398">
        <f>IF(ISERROR(AW42/AR42-1),"NA ",AW42/AR42-1)</f>
        <v>0.41169876115738835</v>
      </c>
      <c r="AX59" s="398">
        <f>IF(ISERROR(AX42/AS42-1),"NA ",AX42/AS42-1)</f>
        <v>0.38467012423109304</v>
      </c>
      <c r="AY59" s="398">
        <f>IF(ISERROR(AY42/AT42-1),"NA ",AY42/AT42-1)</f>
        <v>0.28954002515265143</v>
      </c>
      <c r="AZ59" s="313"/>
      <c r="BA59" s="398">
        <f>IF(ISERROR(BA42/AV42-1),"NA ",BA42/AV42-1)</f>
        <v>0.37440259214257088</v>
      </c>
      <c r="BB59" s="398">
        <f>IF(ISERROR(BB42/AW42-1),"NA ",BB42/AW42-1)</f>
        <v>0.43747047174837372</v>
      </c>
      <c r="BC59" s="398">
        <f>IF(ISERROR(BC42/AX42-1),"NA ",BC42/AX42-1)</f>
        <v>0.44034563556701367</v>
      </c>
      <c r="BD59" s="398">
        <f>IF(ISERROR(BD42/AY42-1),"NA ",BD42/AY42-1)</f>
        <v>0.45817649057619536</v>
      </c>
      <c r="BE59" s="313"/>
      <c r="BF59" s="398">
        <f>IF(ISERROR(BF42/AQ42-1),"NA ",BF42/AQ42-1)</f>
        <v>1.7829345098765614</v>
      </c>
      <c r="BG59" s="398">
        <f>IF(ISERROR(BG42/AR42-1),"NA ",BG42/AR42-1)</f>
        <v>1.6705217897231379</v>
      </c>
      <c r="BH59" s="398">
        <f>IF(ISERROR(BH42/AS42-1),"NA ",BH42/AS42-1)</f>
        <v>1.5563623205885881</v>
      </c>
      <c r="BI59" s="398">
        <f>IF(ISERROR(BI42/AT42-1),"NA ",BI42/AT42-1)</f>
        <v>1.4379861944948682</v>
      </c>
      <c r="BJ59" s="313"/>
      <c r="BK59" s="398">
        <f>IF(ISERROR(BK42/AV42-1),"NA ",BK42/AV42-1)</f>
        <v>1.606642365330095</v>
      </c>
      <c r="BL59" s="398">
        <f>IF(ISERROR(BL42/AW42-1),"NA ",BL42/AW42-1)</f>
        <v>1.601501794312481</v>
      </c>
      <c r="BM59" s="398">
        <f>IF(ISERROR(BM42/AX42-1),"NA ",BM42/AX42-1)</f>
        <v>1.3924461904305634</v>
      </c>
      <c r="BN59" s="398">
        <f>IF(ISERROR(BN42/AY42-1),"NA ",BN42/AY42-1)</f>
        <v>1.2694929988923578</v>
      </c>
      <c r="BO59" s="313"/>
      <c r="BP59" s="398">
        <f>IF(ISERROR(BP42/BA42-1),"NA ",BP42/BA42-1)</f>
        <v>1.0890468051427513</v>
      </c>
      <c r="BQ59" s="398">
        <f>IF(ISERROR(BQ42/BB42-1),"NA ",BQ42/BB42-1)</f>
        <v>0.80558177914839701</v>
      </c>
      <c r="BR59" s="398">
        <f>IF(ISERROR(BR42/BC42-1),"NA ",BR42/BC42-1)</f>
        <v>0.61233943733520402</v>
      </c>
      <c r="BS59" s="398">
        <f>IF(ISERROR(BS42/BD42-1),"NA ",BS42/BD42-1)</f>
        <v>0.43720512176447413</v>
      </c>
      <c r="BT59" s="313"/>
      <c r="BU59" s="398">
        <f>IF(ISERROR(BU42/BP42-1),"NA ",BU42/BP42-1)</f>
        <v>-2.877709440015197E-3</v>
      </c>
      <c r="BV59" s="398">
        <f>IF(ISERROR(BV42/BQ42-1),"NA ",BV42/BQ42-1)</f>
        <v>0.24934159566227776</v>
      </c>
      <c r="BW59" s="398">
        <f>IF(ISERROR(BW42/BR42-1),"NA ",BW42/BR42-1)</f>
        <v>0.13885450658264964</v>
      </c>
      <c r="BX59" s="398">
        <f>IF(ISERROR(BX42/BS42-1),"NA ",BX42/BS42-1)</f>
        <v>0.28023373341756042</v>
      </c>
      <c r="BY59" s="313"/>
      <c r="BZ59" s="398">
        <f>IF(ISERROR(BZ42/BU42-1),"NA ",BZ42/BU42-1)</f>
        <v>0.20331447049313023</v>
      </c>
      <c r="CA59" s="398">
        <f>IF(ISERROR(CA42/BV42-1),"NA ",CA42/BV42-1)</f>
        <v>0.20776241552482988</v>
      </c>
      <c r="CB59" s="398">
        <f>IF(ISERROR(CB42/BW42-1),"NA ",CB42/BW42-1)</f>
        <v>0.16095247505187227</v>
      </c>
      <c r="CC59" s="398">
        <f>IF(ISERROR(CC42/BX42-1),"NA ",CC42/BX42-1)</f>
        <v>0.17240120200729248</v>
      </c>
      <c r="CD59" s="313"/>
      <c r="CE59" s="398">
        <f>IF(ISERROR(CE42/BZ42-1),"NA ",CE42/BZ42-1)</f>
        <v>0.26120927107826541</v>
      </c>
      <c r="CF59" s="398">
        <f>IF(ISERROR(CF42/CA42-1),"NA ",CF42/CA42-1)</f>
        <v>0.21023357289527866</v>
      </c>
      <c r="CG59" s="398">
        <f>IF(ISERROR(CG42/CB42-1),"NA ",CG42/CB42-1)</f>
        <v>0.31546666666666745</v>
      </c>
      <c r="CH59" s="398">
        <f>IF(ISERROR(CH42/CC42-1),"NA ",CH42/CC42-1)</f>
        <v>0.25112233445566901</v>
      </c>
      <c r="CI59" s="313"/>
      <c r="CJ59" s="398">
        <f>IF(ISERROR(CJ42/CE42-1),"NA ",CJ42/CE42-1)</f>
        <v>0.20065412744831757</v>
      </c>
      <c r="CK59" s="398">
        <f>IF(ISERROR(CK42/CF42-1),"NA ",CK42/CF42-1)</f>
        <v>0.16626052211313791</v>
      </c>
      <c r="CL59" s="398">
        <f>IF(ISERROR(CL42/CG42-1),"NA ",CL42/CG42-1)</f>
        <v>-3.7959724133172612E-2</v>
      </c>
      <c r="CM59" s="398">
        <f>IF(ISERROR(CM42/CH42-1),"NA ",CM42/CH42-1)</f>
        <v>-9.1836734693877653E-2</v>
      </c>
      <c r="CN59" s="313"/>
      <c r="CO59" s="398">
        <f>IF(ISERROR(CO42/CJ42-1),"NA ",CO42/CJ42-1)</f>
        <v>-0.10957409050576739</v>
      </c>
      <c r="CP59" s="398">
        <f>IF(ISERROR(CP42/CK42-1),"NA ",CP42/CK42-1)</f>
        <v>-1.9403527914166108E-2</v>
      </c>
      <c r="CQ59" s="398">
        <f>IF(ISERROR(CQ42/CL42-1),"NA ",CQ42/CL42-1)</f>
        <v>-5.6646491817978206E-2</v>
      </c>
      <c r="CR59" s="398">
        <f>IF(ISERROR(CR42/CM42-1),"NA ",CR42/CM42-1)</f>
        <v>-0.11594023953574528</v>
      </c>
      <c r="CS59" s="399"/>
      <c r="CT59" s="398">
        <f>IF(ISERROR(CT42/CO42-1),"NA ",CT42/CO42-1)</f>
        <v>-2.3427768532451654E-2</v>
      </c>
      <c r="CU59" s="398">
        <f>IF(ISERROR(CU42/CP42-1),"NA ",CU42/CP42-1)</f>
        <v>6.9914507723982666E-3</v>
      </c>
      <c r="CV59" s="398">
        <f>IF(ISERROR(CV42/CQ42-1),"NA ",CV42/CQ42-1)</f>
        <v>0.16198940189625288</v>
      </c>
      <c r="CW59" s="398">
        <f>IF(ISERROR(CW42/CR42-1),"NA ",CW42/CR42-1)</f>
        <v>0.22625698324022347</v>
      </c>
      <c r="CX59" s="313"/>
      <c r="CY59" s="398">
        <f>IF(ISERROR(CY42/CT42-1),"NA ",CY42/CT42-1)</f>
        <v>0.43877551020408156</v>
      </c>
      <c r="CZ59" s="398">
        <f>IF(ISERROR(CZ42/CU42-1),"NA ",CZ42/CU42-1)</f>
        <v>0.23020257826887658</v>
      </c>
      <c r="DA59" s="398">
        <f>IF(ISERROR(DA42/CV42-1),"NA ",DA42/CV42-1)</f>
        <v>0.15132924335378317</v>
      </c>
      <c r="DB59" s="398">
        <f>IF(ISERROR(DB42/CW42-1),"NA ",DB42/CW42-1)</f>
        <v>0.19589977220956722</v>
      </c>
      <c r="DC59" s="313"/>
      <c r="DD59" s="398">
        <f>IF(ISERROR(DD42/CY42-1),"NA ",DD42/CY42-1)</f>
        <v>3.1914893617021267E-2</v>
      </c>
      <c r="DE59" s="398">
        <f>IF(ISERROR(DE42/CZ42-1),"NA ",DE42/CZ42-1)</f>
        <v>0.1032934131736527</v>
      </c>
      <c r="DF59" s="398">
        <f>IF(ISERROR(DF42/DA42-1),"NA ",DF42/DA42-1)</f>
        <v>9.7690941385435215E-2</v>
      </c>
      <c r="DG59" s="398">
        <f>IF(ISERROR(DG42/DB42-1),"NA ",DG42/DB42-1)</f>
        <v>-4.8571428571428599E-2</v>
      </c>
      <c r="DH59" s="313"/>
      <c r="DI59" s="398">
        <f>IF(ISERROR(DI42/DD42-1),"NA ",DI42/DD42-1)</f>
        <v>-0.10309278350515461</v>
      </c>
      <c r="DJ59" s="398">
        <f>IF(ISERROR(DJ42/DE42-1),"NA ",DJ42/DE42-1)</f>
        <v>-9.49796472184532E-2</v>
      </c>
      <c r="DK59" s="398">
        <f>IF(ISERROR(DK42/DF42-1),"NA ",DK42/DF42-1)</f>
        <v>2.7508090614886793E-2</v>
      </c>
      <c r="DL59" s="398">
        <f>IF(ISERROR(DL42/DG42-1),"NA ",DL42/DG42-1)</f>
        <v>-9.9099099099099086E-2</v>
      </c>
      <c r="DM59" s="313"/>
      <c r="DN59" s="398">
        <f>IF(ISERROR(DN42/DI42-1),"NA ",DN42/DI42-1)</f>
        <v>1.7241379310344751E-2</v>
      </c>
      <c r="DO59" s="398">
        <f>IF(ISERROR(DO42/DJ42-1),"NA ",DO42/DJ42-1)</f>
        <v>1.3493253373313419E-2</v>
      </c>
      <c r="DP59" s="398">
        <f>IF(ISERROR(DP42/DK42-1),"NA ",DP42/DK42-1)</f>
        <v>-6.6141732283464538E-2</v>
      </c>
      <c r="DQ59" s="398">
        <f>IF(ISERROR(DQ42/DL42-1),"NA ",DQ42/DL42-1)</f>
        <v>-7.4444444444444424E-2</v>
      </c>
      <c r="DR59" s="313"/>
      <c r="DS59" s="398">
        <f>IF(ISERROR(DS42/DN42-1),"NA ",DS42/DN42-1)</f>
        <v>-6.5913370998116783E-2</v>
      </c>
      <c r="DT59" s="398">
        <f>IF(ISERROR(DT42/DO42-1),"NA ",DT42/DO42-1)</f>
        <v>-4.4378698224851743E-3</v>
      </c>
      <c r="DU59" s="398">
        <f>IF(ISERROR(DU42/DP42-1),"NA ",DU42/DP42-1)</f>
        <v>-0.10455311973018555</v>
      </c>
      <c r="DV59" s="398">
        <f>IF(ISERROR(DV42/DQ42-1),"NA ",DV42/DQ42-1)</f>
        <v>5.0420168067226934E-2</v>
      </c>
      <c r="DW59" s="313"/>
      <c r="DX59" s="398">
        <f>IF(ISERROR(DX42/DS42-1),"NA ",DX42/DS42-1)</f>
        <v>2.2177419354838745E-2</v>
      </c>
      <c r="DY59" s="398">
        <f>IF(ISERROR(DY42/DT42-1),"NA ",DY42/DT42-1)</f>
        <v>-2.3774145616641928E-2</v>
      </c>
      <c r="DZ59" s="398">
        <f>IF(ISERROR(DZ42/DU42-1),"NA ",DZ42/DU42-1)</f>
        <v>2.4482109227871973E-2</v>
      </c>
      <c r="EA59" s="398">
        <f>IF(ISERROR(EA42/DV42-1),"NA ",EA42/DV42-1)</f>
        <v>-0.10857142857142854</v>
      </c>
      <c r="EB59" s="313"/>
      <c r="EC59" s="398">
        <f>IF(ISERROR(EC42/DX42-1),"NA ",EC42/DX42-1)</f>
        <v>-0.20315581854043396</v>
      </c>
      <c r="ED59" s="398">
        <f>IF(ISERROR(ED42/DY42-1),"NA ",ED42/DY42-1)</f>
        <v>1.0654490106544845E-2</v>
      </c>
      <c r="EE59" s="398">
        <f>IF(ISERROR(EE42/DZ42-1),"NA ",EE42/DZ42-1)</f>
        <v>-3.125E-2</v>
      </c>
      <c r="EF59" s="398">
        <f>IF(ISERROR(EF42/EA42-1),"NA ",EF42/EA42-1)</f>
        <v>-8.7179487179487203E-2</v>
      </c>
      <c r="EG59" s="313"/>
      <c r="EH59" s="398">
        <f>IF(ISERROR(EH42/EC42-1),"NA ",EH42/EC42-1)</f>
        <v>4.7029702970297071E-2</v>
      </c>
      <c r="EI59" s="398">
        <f>IF(ISERROR(EI42/ED42-1),"NA ",EI42/ED42-1)</f>
        <v>-2.108433734939763E-2</v>
      </c>
      <c r="EJ59" s="398">
        <f>IF(ISERROR(EJ42/EE42-1),"NA ",EJ42/EE42-1)</f>
        <v>-5.1233396584440261E-2</v>
      </c>
      <c r="EK59" s="398">
        <f>IF(ISERROR(EK42/EF42-1),"NA ",EK42/EF42-1)</f>
        <v>0.1713483146067416</v>
      </c>
      <c r="EL59" s="398"/>
      <c r="EM59" s="1206">
        <f>IF(ISERROR(EM42/EH42-1),"NA ",EM42/EH42-1)</f>
        <v>4.007256595744968E-3</v>
      </c>
      <c r="EN59" s="1206">
        <f>IF(ISERROR(EN42/EI42-1),"NA ",EN42/EI42-1)</f>
        <v>3.6263139692308544E-2</v>
      </c>
      <c r="EO59" s="1206">
        <f>IF(ISERROR(EO42/EJ42-1),"NA ",EO42/EJ42-1)</f>
        <v>-8.9843218000000835E-3</v>
      </c>
      <c r="EP59" s="1206">
        <f>IF(ISERROR(EP42/EK42-1),"NA ",EP42/EK42-1)</f>
        <v>-0.15703226187050445</v>
      </c>
      <c r="EQ59" s="398" t="str">
        <f>IF(ISERROR(EQ42/#REF!-1),"NA ",EQ42/#REF!-1)</f>
        <v xml:space="preserve">NA </v>
      </c>
      <c r="ER59" s="398">
        <f>IF(ISERROR(ER42/EQ42-1),"NA ",ER42/EQ42-1)</f>
        <v>0.15995025277405284</v>
      </c>
      <c r="ES59" s="398">
        <f t="shared" ref="ES59:FP59" si="29">IF(ISERROR(ES42/ER42-1),"NA ",ES42/ER42-1)</f>
        <v>0.34983847610560304</v>
      </c>
      <c r="ET59" s="398">
        <f t="shared" si="29"/>
        <v>0.24173715700433229</v>
      </c>
      <c r="EU59" s="398">
        <f t="shared" si="29"/>
        <v>0.2143236911625428</v>
      </c>
      <c r="EV59" s="398">
        <f t="shared" si="29"/>
        <v>0.22333125816669575</v>
      </c>
      <c r="EW59" s="398">
        <f t="shared" si="29"/>
        <v>0.2750562023957297</v>
      </c>
      <c r="EX59" s="398">
        <f t="shared" si="29"/>
        <v>0.3635171467042102</v>
      </c>
      <c r="EY59" s="398">
        <f t="shared" si="29"/>
        <v>0.24961883134010421</v>
      </c>
      <c r="EZ59" s="398">
        <f t="shared" si="29"/>
        <v>0.3700928469017144</v>
      </c>
      <c r="FA59" s="398">
        <f t="shared" si="29"/>
        <v>0.42327144698327879</v>
      </c>
      <c r="FB59" s="398">
        <f t="shared" si="29"/>
        <v>0.31186613847898048</v>
      </c>
      <c r="FC59" s="398">
        <f t="shared" si="29"/>
        <v>0.27905568032714556</v>
      </c>
      <c r="FD59" s="398">
        <f t="shared" si="29"/>
        <v>-1.9609077163442512E-2</v>
      </c>
      <c r="FE59" s="398">
        <f t="shared" si="29"/>
        <v>0.1888695414934769</v>
      </c>
      <c r="FF59" s="398">
        <f t="shared" si="29"/>
        <v>0.18291595600140997</v>
      </c>
      <c r="FG59" s="398">
        <f t="shared" si="29"/>
        <v>0.25668777815816757</v>
      </c>
      <c r="FH59" s="400">
        <f t="shared" si="29"/>
        <v>2.4621890594699103E-2</v>
      </c>
      <c r="FI59" s="398">
        <f t="shared" si="29"/>
        <v>-7.9423937608011808E-2</v>
      </c>
      <c r="FJ59" s="398">
        <f t="shared" si="29"/>
        <v>0.22601402479176547</v>
      </c>
      <c r="FK59" s="1263"/>
      <c r="FL59" s="398">
        <f>IF(ISERROR(FL42/FJ42-1),"NA ",FL42/FJ42-1)</f>
        <v>0.11700039261876727</v>
      </c>
      <c r="FM59" s="398">
        <f t="shared" si="29"/>
        <v>3.1985940246045619E-2</v>
      </c>
      <c r="FN59" s="398">
        <f t="shared" si="29"/>
        <v>-7.2207084468664862E-2</v>
      </c>
      <c r="FO59" s="398">
        <f t="shared" si="29"/>
        <v>-3.3406754772393521E-2</v>
      </c>
      <c r="FP59" s="398">
        <f t="shared" si="29"/>
        <v>-2.2028104823395345E-2</v>
      </c>
      <c r="FQ59" s="398">
        <f t="shared" ref="FQ59:FX59" si="30">IF(ISERROR(FQ42/FP42-1),"NA ",FQ42/FP42-1)</f>
        <v>-3.3786407766990267E-2</v>
      </c>
      <c r="FR59" s="398">
        <f t="shared" si="30"/>
        <v>-7.2749196141479122E-2</v>
      </c>
      <c r="FS59" s="398">
        <f t="shared" si="30"/>
        <v>4.3346337234503762E-2</v>
      </c>
      <c r="FT59" s="398">
        <f t="shared" si="30"/>
        <v>-4.577937555463274E-2</v>
      </c>
      <c r="FU59" s="398">
        <f t="shared" si="30"/>
        <v>-6.8720992770973766E-2</v>
      </c>
      <c r="FV59" s="401">
        <f t="shared" si="30"/>
        <v>-4.3130671778105811E-2</v>
      </c>
      <c r="FW59" s="398">
        <f t="shared" si="30"/>
        <v>-4.7467697005768472E-2</v>
      </c>
      <c r="FX59" s="401">
        <f t="shared" si="30"/>
        <v>-2.5888988124340817E-2</v>
      </c>
    </row>
    <row r="60" spans="1:263" s="305" customFormat="1" x14ac:dyDescent="0.2">
      <c r="EM60" s="1193"/>
      <c r="EN60" s="1193"/>
      <c r="EO60" s="1193"/>
      <c r="EP60" s="1193"/>
      <c r="FN60" s="878"/>
      <c r="FO60" s="878"/>
      <c r="FP60" s="878"/>
      <c r="FQ60" s="878"/>
      <c r="FX60" s="1211"/>
      <c r="FZ60"/>
      <c r="GA60"/>
      <c r="GB60"/>
      <c r="GC60"/>
      <c r="GD60"/>
      <c r="GE60"/>
      <c r="GF60" s="303"/>
      <c r="GG60" s="303"/>
      <c r="GH60" s="303"/>
      <c r="GI60" s="303"/>
      <c r="GJ60" s="303"/>
      <c r="GK60" s="303"/>
      <c r="GL60" s="303"/>
      <c r="GM60" s="303"/>
      <c r="GN60" s="303"/>
      <c r="GO60" s="303"/>
      <c r="GP60" s="303"/>
      <c r="GQ60" s="303"/>
      <c r="GR60" s="303"/>
      <c r="GS60" s="303"/>
      <c r="GT60" s="303"/>
      <c r="GU60" s="303"/>
      <c r="GV60" s="303"/>
      <c r="GW60" s="303"/>
      <c r="GX60" s="303"/>
      <c r="GY60" s="303"/>
      <c r="GZ60" s="303"/>
      <c r="HA60" s="303"/>
      <c r="HB60" s="303"/>
      <c r="HC60" s="303"/>
      <c r="HD60" s="303"/>
      <c r="HE60" s="303"/>
      <c r="HF60" s="303"/>
      <c r="HG60" s="303"/>
      <c r="HH60" s="303"/>
      <c r="HI60" s="303"/>
      <c r="HJ60" s="303"/>
      <c r="HK60" s="303"/>
      <c r="HL60" s="303"/>
      <c r="HM60" s="303"/>
      <c r="HN60" s="303"/>
      <c r="HO60" s="303"/>
      <c r="HP60" s="303"/>
      <c r="HQ60" s="303"/>
      <c r="HR60" s="303"/>
      <c r="HS60" s="303"/>
      <c r="HT60" s="303"/>
      <c r="HU60" s="303"/>
      <c r="HV60" s="303"/>
      <c r="HW60" s="303"/>
      <c r="HX60" s="303"/>
      <c r="HY60" s="303"/>
      <c r="HZ60" s="303"/>
      <c r="IA60" s="303"/>
      <c r="IB60" s="303"/>
      <c r="IC60" s="303"/>
      <c r="ID60" s="303"/>
      <c r="IE60" s="303"/>
      <c r="IF60" s="303"/>
      <c r="IG60" s="303"/>
      <c r="IH60" s="303"/>
      <c r="II60" s="303"/>
      <c r="IJ60" s="303"/>
      <c r="IK60" s="303"/>
      <c r="IL60" s="303"/>
      <c r="IM60" s="303"/>
      <c r="IN60" s="303"/>
      <c r="IO60" s="303"/>
      <c r="IP60" s="303"/>
      <c r="IQ60" s="303"/>
      <c r="IR60" s="303"/>
      <c r="IS60" s="303"/>
      <c r="IT60" s="303"/>
      <c r="IU60" s="303"/>
      <c r="IV60" s="303"/>
      <c r="IW60" s="303"/>
      <c r="IX60" s="303"/>
      <c r="IY60" s="303"/>
      <c r="IZ60" s="303"/>
      <c r="JA60" s="303"/>
      <c r="JB60" s="303"/>
      <c r="JC60" s="303"/>
    </row>
    <row r="61" spans="1:263" s="305" customFormat="1" x14ac:dyDescent="0.2">
      <c r="EM61" s="1193"/>
      <c r="EN61" s="1193"/>
      <c r="EO61" s="1193"/>
      <c r="EP61" s="1193"/>
      <c r="FN61" s="363"/>
      <c r="FO61" s="363"/>
      <c r="FP61" s="363"/>
      <c r="FQ61" s="363"/>
      <c r="FX61" s="1211"/>
      <c r="FZ61"/>
      <c r="GA61"/>
      <c r="GB61"/>
      <c r="GC61"/>
      <c r="GD61"/>
      <c r="GE61"/>
      <c r="GF61" s="303"/>
      <c r="GG61" s="303"/>
      <c r="GH61" s="303"/>
      <c r="GI61" s="303"/>
      <c r="GJ61" s="303"/>
      <c r="GK61" s="303"/>
      <c r="GL61" s="303"/>
      <c r="GM61" s="303"/>
      <c r="GN61" s="303"/>
      <c r="GO61" s="303"/>
      <c r="GP61" s="303"/>
      <c r="GQ61" s="303"/>
      <c r="GR61" s="303"/>
      <c r="GS61" s="303"/>
      <c r="GT61" s="303"/>
      <c r="GU61" s="303"/>
      <c r="GV61" s="303"/>
      <c r="GW61" s="303"/>
      <c r="GX61" s="303"/>
      <c r="GY61" s="303"/>
      <c r="GZ61" s="303"/>
      <c r="HA61" s="303"/>
      <c r="HB61" s="303"/>
      <c r="HC61" s="303"/>
      <c r="HD61" s="303"/>
      <c r="HE61" s="303"/>
      <c r="HF61" s="303"/>
      <c r="HG61" s="303"/>
      <c r="HH61" s="303"/>
      <c r="HI61" s="303"/>
      <c r="HJ61" s="303"/>
      <c r="HK61" s="303"/>
      <c r="HL61" s="303"/>
      <c r="HM61" s="303"/>
      <c r="HN61" s="303"/>
      <c r="HO61" s="303"/>
      <c r="HP61" s="303"/>
      <c r="HQ61" s="303"/>
      <c r="HR61" s="303"/>
      <c r="HS61" s="303"/>
      <c r="HT61" s="303"/>
      <c r="HU61" s="303"/>
      <c r="HV61" s="303"/>
      <c r="HW61" s="303"/>
      <c r="HX61" s="303"/>
      <c r="HY61" s="303"/>
      <c r="HZ61" s="303"/>
      <c r="IA61" s="303"/>
      <c r="IB61" s="303"/>
      <c r="IC61" s="303"/>
      <c r="ID61" s="303"/>
      <c r="IE61" s="303"/>
      <c r="IF61" s="303"/>
      <c r="IG61" s="303"/>
      <c r="IH61" s="303"/>
      <c r="II61" s="303"/>
      <c r="IJ61" s="303"/>
      <c r="IK61" s="303"/>
      <c r="IL61" s="303"/>
      <c r="IM61" s="303"/>
      <c r="IN61" s="303"/>
      <c r="IO61" s="303"/>
      <c r="IP61" s="303"/>
      <c r="IQ61" s="303"/>
      <c r="IR61" s="303"/>
      <c r="IS61" s="303"/>
      <c r="IT61" s="303"/>
      <c r="IU61" s="303"/>
      <c r="IV61" s="303"/>
      <c r="IW61" s="303"/>
      <c r="IX61" s="303"/>
      <c r="IY61" s="303"/>
      <c r="IZ61" s="303"/>
      <c r="JA61" s="303"/>
      <c r="JB61" s="303"/>
      <c r="JC61" s="303"/>
    </row>
    <row r="62" spans="1:263" x14ac:dyDescent="0.2">
      <c r="A62" s="402" t="s">
        <v>202</v>
      </c>
      <c r="B62" s="324"/>
      <c r="C62" s="324"/>
      <c r="D62" s="324"/>
      <c r="E62" s="324"/>
      <c r="F62" s="324"/>
      <c r="G62" s="324"/>
      <c r="H62" s="324"/>
      <c r="I62" s="324"/>
      <c r="J62" s="324"/>
      <c r="K62" s="324"/>
      <c r="L62" s="324"/>
      <c r="M62" s="324"/>
      <c r="N62" s="324"/>
      <c r="O62" s="324"/>
      <c r="P62" s="324"/>
      <c r="Q62" s="324"/>
      <c r="R62" s="324"/>
      <c r="S62" s="324"/>
      <c r="T62" s="324"/>
      <c r="U62" s="324"/>
      <c r="V62" s="324"/>
      <c r="W62" s="324"/>
      <c r="X62" s="324"/>
      <c r="Y62" s="324"/>
      <c r="Z62" s="324"/>
      <c r="AA62" s="324"/>
      <c r="AB62" s="324"/>
      <c r="AC62" s="324"/>
      <c r="AD62" s="324"/>
      <c r="AE62" s="324"/>
      <c r="AF62" s="324"/>
      <c r="AG62" s="324"/>
      <c r="AH62" s="324"/>
      <c r="AI62" s="324"/>
      <c r="AJ62" s="324"/>
      <c r="AK62" s="324"/>
      <c r="AL62" s="324"/>
      <c r="AM62" s="324"/>
      <c r="AN62" s="324"/>
      <c r="AO62" s="324"/>
      <c r="AP62" s="324"/>
      <c r="AQ62" s="324"/>
      <c r="AR62" s="324"/>
      <c r="AS62" s="324"/>
      <c r="AT62" s="324"/>
      <c r="AU62" s="324"/>
      <c r="AV62" s="324"/>
      <c r="AW62" s="324"/>
      <c r="AX62" s="324"/>
      <c r="AY62" s="324"/>
      <c r="AZ62" s="324"/>
      <c r="BA62" s="324"/>
      <c r="BB62" s="324"/>
      <c r="BC62" s="324"/>
      <c r="BD62" s="324"/>
      <c r="BE62" s="324"/>
      <c r="BF62" s="324"/>
      <c r="BG62" s="324"/>
      <c r="BH62" s="324"/>
      <c r="BI62" s="324"/>
      <c r="BJ62" s="324"/>
      <c r="BK62" s="324"/>
      <c r="BL62" s="324"/>
      <c r="BM62" s="324"/>
      <c r="BN62" s="324"/>
      <c r="BO62" s="324"/>
      <c r="BP62" s="324"/>
      <c r="BQ62" s="324"/>
      <c r="BR62" s="324"/>
      <c r="BS62" s="324"/>
      <c r="BT62" s="324"/>
      <c r="BU62" s="324"/>
      <c r="BV62" s="324"/>
      <c r="BW62" s="324"/>
      <c r="BX62" s="324"/>
      <c r="BY62" s="324"/>
      <c r="BZ62" s="324"/>
      <c r="CA62" s="324"/>
      <c r="CB62" s="324"/>
      <c r="CC62" s="324"/>
      <c r="CD62" s="324"/>
      <c r="CE62" s="324"/>
      <c r="CF62" s="324"/>
      <c r="CG62" s="324"/>
      <c r="CH62" s="324"/>
      <c r="CI62" s="324"/>
      <c r="CJ62" s="324"/>
      <c r="CK62" s="324"/>
      <c r="CL62" s="324"/>
      <c r="CM62" s="324"/>
      <c r="CN62" s="324"/>
      <c r="CO62" s="324"/>
      <c r="CP62" s="403"/>
      <c r="CQ62" s="403"/>
      <c r="CR62" s="403"/>
      <c r="CS62" s="403"/>
      <c r="DN62" s="899">
        <f>DO62-1</f>
        <v>2005</v>
      </c>
      <c r="DO62" s="404">
        <f>DP62-1</f>
        <v>2006</v>
      </c>
      <c r="DP62" s="404">
        <f>DQ62-1</f>
        <v>2007</v>
      </c>
      <c r="DQ62" s="404">
        <f>DS62-1</f>
        <v>2008</v>
      </c>
      <c r="DR62" s="305"/>
      <c r="DS62" s="404">
        <f>DT62-1</f>
        <v>2009</v>
      </c>
      <c r="DT62" s="404">
        <f>DU62-1</f>
        <v>2010</v>
      </c>
      <c r="DU62" s="404">
        <f>DV62-1</f>
        <v>2011</v>
      </c>
      <c r="DV62" s="404">
        <v>2012</v>
      </c>
      <c r="DW62" s="305">
        <v>2013</v>
      </c>
      <c r="DX62" s="404">
        <v>2013</v>
      </c>
      <c r="EB62" s="691">
        <v>2016</v>
      </c>
      <c r="EC62" s="899">
        <v>2014</v>
      </c>
      <c r="ED62" s="404">
        <v>2015</v>
      </c>
      <c r="EE62" s="404">
        <v>2016</v>
      </c>
      <c r="EF62" s="1183">
        <v>2017</v>
      </c>
      <c r="EG62" s="305"/>
      <c r="EH62" s="305"/>
      <c r="EI62" s="305"/>
      <c r="EJ62" s="305"/>
      <c r="EK62" s="305"/>
      <c r="EL62" s="335"/>
      <c r="EM62" s="1207" t="s">
        <v>202</v>
      </c>
      <c r="EN62" s="1208"/>
      <c r="EO62" s="1208"/>
      <c r="EP62" s="1208"/>
      <c r="EQ62" s="403">
        <f t="shared" ref="EQ62:FT62" si="31">EQ6</f>
        <v>1990</v>
      </c>
      <c r="ER62" s="403">
        <f t="shared" si="31"/>
        <v>1991</v>
      </c>
      <c r="ES62" s="403">
        <f t="shared" si="31"/>
        <v>1992</v>
      </c>
      <c r="ET62" s="403">
        <f t="shared" si="31"/>
        <v>1993</v>
      </c>
      <c r="EU62" s="403">
        <f t="shared" si="31"/>
        <v>1994</v>
      </c>
      <c r="EV62" s="403">
        <f t="shared" si="31"/>
        <v>1995</v>
      </c>
      <c r="EW62" s="403">
        <f t="shared" si="31"/>
        <v>1996</v>
      </c>
      <c r="EX62" s="403">
        <f t="shared" si="31"/>
        <v>1997</v>
      </c>
      <c r="EY62" s="403">
        <f t="shared" si="31"/>
        <v>1998</v>
      </c>
      <c r="EZ62" s="403">
        <f t="shared" si="31"/>
        <v>1999</v>
      </c>
      <c r="FA62" s="403">
        <f t="shared" si="31"/>
        <v>2000</v>
      </c>
      <c r="FB62" s="403">
        <f t="shared" si="31"/>
        <v>2001</v>
      </c>
      <c r="FC62" s="403">
        <f t="shared" si="31"/>
        <v>2002</v>
      </c>
      <c r="FD62" s="403">
        <f t="shared" si="31"/>
        <v>2003</v>
      </c>
      <c r="FE62" s="403">
        <f t="shared" si="31"/>
        <v>2004</v>
      </c>
      <c r="FF62" s="403">
        <f t="shared" si="31"/>
        <v>2005</v>
      </c>
      <c r="FG62" s="403">
        <f t="shared" si="31"/>
        <v>2006</v>
      </c>
      <c r="FH62" s="403">
        <f t="shared" si="31"/>
        <v>2007</v>
      </c>
      <c r="FI62" s="403">
        <f t="shared" si="31"/>
        <v>2008</v>
      </c>
      <c r="FJ62" s="403">
        <f t="shared" si="31"/>
        <v>2009</v>
      </c>
      <c r="FK62" s="403"/>
      <c r="FL62" s="403">
        <f t="shared" si="31"/>
        <v>2010</v>
      </c>
      <c r="FM62" s="403">
        <f t="shared" si="31"/>
        <v>2011</v>
      </c>
      <c r="FN62" s="403">
        <f t="shared" si="31"/>
        <v>2012</v>
      </c>
      <c r="FO62" s="403">
        <f t="shared" si="31"/>
        <v>2013</v>
      </c>
      <c r="FP62" s="403">
        <f t="shared" si="31"/>
        <v>2014</v>
      </c>
      <c r="FQ62" s="403">
        <f t="shared" si="31"/>
        <v>2015</v>
      </c>
      <c r="FR62" s="403">
        <f t="shared" si="31"/>
        <v>2016</v>
      </c>
      <c r="FS62" s="1219">
        <f t="shared" si="31"/>
        <v>2017</v>
      </c>
      <c r="FT62" s="1219">
        <f t="shared" si="31"/>
        <v>2018</v>
      </c>
      <c r="FU62" s="1219">
        <f>FU6</f>
        <v>2019</v>
      </c>
      <c r="FV62" s="1220">
        <f>FV6</f>
        <v>2020</v>
      </c>
      <c r="FW62" s="1219">
        <f>FW6</f>
        <v>2021</v>
      </c>
      <c r="FX62" s="1220">
        <f>FX6</f>
        <v>2022</v>
      </c>
    </row>
    <row r="63" spans="1:263" x14ac:dyDescent="0.2">
      <c r="A63" s="334" t="s">
        <v>212</v>
      </c>
      <c r="B63" s="305"/>
      <c r="C63" s="305"/>
      <c r="D63" s="305"/>
      <c r="E63" s="305"/>
      <c r="F63" s="305"/>
      <c r="G63" s="305"/>
      <c r="H63" s="305"/>
      <c r="I63" s="305"/>
      <c r="J63" s="305"/>
      <c r="K63" s="305"/>
      <c r="L63" s="305"/>
      <c r="M63" s="305"/>
      <c r="N63" s="305"/>
      <c r="O63" s="305"/>
      <c r="P63" s="305"/>
      <c r="Q63" s="305"/>
      <c r="R63" s="305"/>
      <c r="S63" s="305"/>
      <c r="T63" s="305"/>
      <c r="U63" s="305"/>
      <c r="V63" s="305"/>
      <c r="W63" s="305"/>
      <c r="X63" s="305"/>
      <c r="Y63" s="305"/>
      <c r="Z63" s="305"/>
      <c r="AA63" s="305"/>
      <c r="AB63" s="305"/>
      <c r="AC63" s="305"/>
      <c r="AD63" s="305"/>
      <c r="AE63" s="305"/>
      <c r="AF63" s="305"/>
      <c r="AG63" s="305"/>
      <c r="AH63" s="305"/>
      <c r="AI63" s="305"/>
      <c r="AJ63" s="305"/>
      <c r="AK63" s="305"/>
      <c r="AL63" s="305"/>
      <c r="AM63" s="305"/>
      <c r="AN63" s="305"/>
      <c r="AO63" s="305"/>
      <c r="AP63" s="305"/>
      <c r="AQ63" s="305"/>
      <c r="AR63" s="305"/>
      <c r="AS63" s="305"/>
      <c r="AT63" s="305"/>
      <c r="AU63" s="305"/>
      <c r="AV63" s="305"/>
      <c r="AW63" s="305"/>
      <c r="AX63" s="305"/>
      <c r="AY63" s="305"/>
      <c r="AZ63" s="305"/>
      <c r="BA63" s="305"/>
      <c r="BB63" s="305"/>
      <c r="BC63" s="305"/>
      <c r="BD63" s="305"/>
      <c r="BE63" s="305"/>
      <c r="BF63" s="305"/>
      <c r="BG63" s="305"/>
      <c r="BH63" s="305"/>
      <c r="BI63" s="305"/>
      <c r="BJ63" s="305"/>
      <c r="BK63" s="305"/>
      <c r="BL63" s="305"/>
      <c r="BM63" s="305"/>
      <c r="BN63" s="305"/>
      <c r="BO63" s="305"/>
      <c r="BP63" s="305"/>
      <c r="BQ63" s="305"/>
      <c r="BR63" s="305"/>
      <c r="BS63" s="305"/>
      <c r="BT63" s="305"/>
      <c r="BU63" s="305"/>
      <c r="BV63" s="305"/>
      <c r="BW63" s="305"/>
      <c r="BX63" s="305"/>
      <c r="BY63" s="305"/>
      <c r="BZ63" s="305"/>
      <c r="CA63" s="305"/>
      <c r="CB63" s="305"/>
      <c r="CC63" s="305"/>
      <c r="CD63" s="305"/>
      <c r="CE63" s="305"/>
      <c r="CF63" s="305"/>
      <c r="CG63" s="305"/>
      <c r="CH63" s="305"/>
      <c r="CI63" s="305"/>
      <c r="CJ63" s="305"/>
      <c r="CK63" s="305"/>
      <c r="CL63" s="305"/>
      <c r="CM63" s="305"/>
      <c r="CN63" s="305"/>
      <c r="CO63" s="305"/>
      <c r="CP63" s="305"/>
      <c r="CQ63" s="305"/>
      <c r="CR63" s="305"/>
      <c r="CS63" s="405"/>
      <c r="DN63" s="900">
        <f>INDEX(turn!$R:$R,MATCH(DN62,turn!$B:$B,0)+5)</f>
        <v>3.7342140240767914</v>
      </c>
      <c r="DO63" s="406">
        <f>INDEX(turn!$R:$R,MATCH(DO62,turn!$B:$B,0)+5)</f>
        <v>3.8149449080981022</v>
      </c>
      <c r="DP63" s="406">
        <f>INDEX(turn!$R:$R,MATCH(DP62,turn!$B:$B,0)+5)</f>
        <v>3.4457944237353484</v>
      </c>
      <c r="DQ63" s="406">
        <f>INDEX(turn!$R:$R,MATCH(DQ62,turn!$B:$B,0)+5)</f>
        <v>3.423520531477239</v>
      </c>
      <c r="DR63" s="305"/>
      <c r="DS63" s="406">
        <f>INDEX(turn!$R:$R,MATCH(DS62,turn!$B:$B,0)+5)</f>
        <v>3.502787799278452</v>
      </c>
      <c r="DT63" s="405">
        <f>INDEX(turn!$R:$R,MATCH(DT62,turn!$B:$B,0)+5)</f>
        <v>3.5156286726323449</v>
      </c>
      <c r="DU63" s="405">
        <f>INDEX(turn!$R:$R,MATCH(DU62,turn!$B:$B,0)+5)</f>
        <v>3.4657524036669898</v>
      </c>
      <c r="DV63" s="405">
        <f>INDEX(turn!$R:$R,MATCH(DV62,turn!$B:$B,0)+5)</f>
        <v>3.6334072431633406</v>
      </c>
      <c r="DW63" s="305">
        <f>INDEX(turn!$R:$R,MATCH(DW62,turn!$B:$B,0)+5)</f>
        <v>3.4204046978916089</v>
      </c>
      <c r="DX63" s="405">
        <f>INDEX(turn!$R:$R,MATCH(DX62,turn!$B:$B,0)+5)</f>
        <v>3.4204046978916089</v>
      </c>
      <c r="EC63" s="1181">
        <f>INDEX(turn!$R:$R,MATCH(EC62,turn!$B:$B,0)+5)</f>
        <v>3.3291139240506329</v>
      </c>
      <c r="ED63" s="405">
        <f>INDEX(turn!$R:$R,MATCH(ED62,turn!$B:$B,0)+5)</f>
        <v>3.1237901171676006</v>
      </c>
      <c r="EE63" s="405">
        <f>INDEX(turn!$R:$R,MATCH(EE62,turn!$B:$B,0)+5)</f>
        <v>3.049917017745436</v>
      </c>
      <c r="EF63" s="407">
        <f>INDEX(turn!$R:$R,MATCH(EF62,turn!$B:$B,0)+5)</f>
        <v>3.3190677388578438</v>
      </c>
      <c r="EG63" s="305"/>
      <c r="EH63" s="305"/>
      <c r="EI63" s="305"/>
      <c r="EJ63" s="305"/>
      <c r="EK63" s="305"/>
      <c r="EL63" s="335"/>
      <c r="EM63" s="1193" t="s">
        <v>203</v>
      </c>
      <c r="EN63" s="1193"/>
      <c r="EO63" s="1193"/>
      <c r="EP63" s="1193"/>
      <c r="EQ63" s="408">
        <f>yrSales!C16</f>
        <v>66</v>
      </c>
      <c r="ER63" s="408">
        <f>yrSales!D16</f>
        <v>75</v>
      </c>
      <c r="ES63" s="408">
        <f>yrSales!E16</f>
        <v>79</v>
      </c>
      <c r="ET63" s="408">
        <f>yrSales!F16</f>
        <v>90</v>
      </c>
      <c r="EU63" s="408">
        <f>yrSales!G16</f>
        <v>108</v>
      </c>
      <c r="EV63" s="408">
        <f>yrSales!H16</f>
        <v>128</v>
      </c>
      <c r="EW63" s="408">
        <f>yrSales!I16</f>
        <v>150</v>
      </c>
      <c r="EX63" s="408">
        <f>yrSales!J16</f>
        <v>182</v>
      </c>
      <c r="EY63" s="408">
        <f>yrSales!K16</f>
        <v>213</v>
      </c>
      <c r="EZ63" s="408">
        <f>yrSales!L16</f>
        <v>259</v>
      </c>
      <c r="FA63" s="408">
        <f>yrSales!M16</f>
        <v>320</v>
      </c>
      <c r="FB63" s="408">
        <f>yrSales!N16</f>
        <v>382</v>
      </c>
      <c r="FC63" s="408">
        <f>yrSales!O16</f>
        <v>457</v>
      </c>
      <c r="FD63" s="408">
        <f>yrSales!P16</f>
        <v>542</v>
      </c>
      <c r="FE63" s="408">
        <f>yrSales!Q16</f>
        <v>637</v>
      </c>
      <c r="FF63" s="408">
        <f>yrSales!R16</f>
        <v>732</v>
      </c>
      <c r="FG63" s="408">
        <f>yrSales!S16</f>
        <v>817</v>
      </c>
      <c r="FH63" s="408">
        <f>yrSales!T16</f>
        <v>929</v>
      </c>
      <c r="FI63" s="408">
        <f>yrSales!U16</f>
        <v>1004</v>
      </c>
      <c r="FJ63" s="408">
        <f>yrSales!V16</f>
        <v>1058</v>
      </c>
      <c r="FK63" s="408"/>
      <c r="FL63" s="408">
        <f>yrSales!W16</f>
        <v>1089</v>
      </c>
      <c r="FM63" s="408">
        <f>yrSales!X16</f>
        <v>1127</v>
      </c>
      <c r="FN63" s="408">
        <f>yrSales!Y16</f>
        <v>1146</v>
      </c>
      <c r="FO63" s="408">
        <f>yrSales!Z16</f>
        <v>1158</v>
      </c>
      <c r="FP63" s="408">
        <f>yrSales!AA16</f>
        <v>1162</v>
      </c>
      <c r="FQ63" s="408">
        <f>yrSales!AB16</f>
        <v>1166</v>
      </c>
      <c r="FR63" s="408">
        <f>yrSales!AC16</f>
        <v>1154</v>
      </c>
      <c r="FS63" s="408">
        <f>yrSales!AD16</f>
        <v>1158</v>
      </c>
      <c r="FT63" s="408">
        <f>yrSales!AE16</f>
        <v>1163</v>
      </c>
      <c r="FU63" s="408">
        <f>yrSales!AF16</f>
        <v>1167</v>
      </c>
      <c r="FV63" s="409">
        <f>yrSales!AG16</f>
        <v>1167</v>
      </c>
      <c r="FW63" s="408">
        <f>yrSales!AH16</f>
        <v>1167</v>
      </c>
      <c r="FX63" s="409">
        <f>yrSales!AI16</f>
        <v>1167</v>
      </c>
    </row>
    <row r="64" spans="1:263" x14ac:dyDescent="0.2">
      <c r="A64" s="334" t="s">
        <v>213</v>
      </c>
      <c r="B64" s="305"/>
      <c r="C64" s="305"/>
      <c r="D64" s="305"/>
      <c r="E64" s="305"/>
      <c r="F64" s="305"/>
      <c r="G64" s="305"/>
      <c r="H64" s="305"/>
      <c r="I64" s="305"/>
      <c r="J64" s="305"/>
      <c r="K64" s="305"/>
      <c r="L64" s="305"/>
      <c r="M64" s="305"/>
      <c r="N64" s="305"/>
      <c r="O64" s="305"/>
      <c r="P64" s="305"/>
      <c r="Q64" s="305"/>
      <c r="R64" s="305"/>
      <c r="S64" s="305"/>
      <c r="T64" s="305"/>
      <c r="U64" s="305"/>
      <c r="V64" s="305"/>
      <c r="W64" s="305"/>
      <c r="X64" s="305"/>
      <c r="Y64" s="305"/>
      <c r="Z64" s="305"/>
      <c r="AA64" s="305"/>
      <c r="AB64" s="305"/>
      <c r="AC64" s="305"/>
      <c r="AD64" s="305"/>
      <c r="AE64" s="305"/>
      <c r="AF64" s="305"/>
      <c r="AG64" s="305"/>
      <c r="AH64" s="305"/>
      <c r="AI64" s="305"/>
      <c r="AJ64" s="305"/>
      <c r="AK64" s="305"/>
      <c r="AL64" s="305"/>
      <c r="AM64" s="305"/>
      <c r="AN64" s="305"/>
      <c r="AO64" s="305"/>
      <c r="AP64" s="305"/>
      <c r="AQ64" s="305"/>
      <c r="AR64" s="305"/>
      <c r="AS64" s="305"/>
      <c r="AT64" s="305"/>
      <c r="AU64" s="305"/>
      <c r="AV64" s="305"/>
      <c r="AW64" s="305"/>
      <c r="AX64" s="305"/>
      <c r="AY64" s="305"/>
      <c r="AZ64" s="305"/>
      <c r="BA64" s="305"/>
      <c r="BB64" s="305"/>
      <c r="BC64" s="305"/>
      <c r="BD64" s="305"/>
      <c r="BE64" s="305"/>
      <c r="BF64" s="305"/>
      <c r="BG64" s="305"/>
      <c r="BH64" s="305"/>
      <c r="BI64" s="305"/>
      <c r="BJ64" s="305"/>
      <c r="BK64" s="305"/>
      <c r="BL64" s="305"/>
      <c r="BM64" s="305"/>
      <c r="BN64" s="305"/>
      <c r="BO64" s="305"/>
      <c r="BP64" s="305"/>
      <c r="BQ64" s="305"/>
      <c r="BR64" s="305"/>
      <c r="BS64" s="305"/>
      <c r="BT64" s="305"/>
      <c r="BU64" s="305"/>
      <c r="BV64" s="305"/>
      <c r="BW64" s="305"/>
      <c r="BX64" s="305"/>
      <c r="BY64" s="305"/>
      <c r="BZ64" s="305"/>
      <c r="CA64" s="305"/>
      <c r="CB64" s="305"/>
      <c r="CC64" s="305"/>
      <c r="CD64" s="305"/>
      <c r="CE64" s="305"/>
      <c r="CF64" s="305"/>
      <c r="CG64" s="305"/>
      <c r="CH64" s="305"/>
      <c r="CI64" s="305"/>
      <c r="CJ64" s="305"/>
      <c r="CK64" s="305"/>
      <c r="CL64" s="305"/>
      <c r="CM64" s="305"/>
      <c r="CN64" s="305"/>
      <c r="CO64" s="305"/>
      <c r="CP64" s="305"/>
      <c r="CQ64" s="305"/>
      <c r="CR64" s="305"/>
      <c r="CS64" s="396"/>
      <c r="DN64" s="901">
        <f>bal!S80</f>
        <v>0.37092548695726785</v>
      </c>
      <c r="DO64" s="392">
        <f>bal!T80</f>
        <v>0.36238906785583802</v>
      </c>
      <c r="DP64" s="392">
        <f>bal!U80</f>
        <v>0.29273920215930549</v>
      </c>
      <c r="DQ64" s="392">
        <f>bal!V80</f>
        <v>0.31475526973919254</v>
      </c>
      <c r="DR64" s="392"/>
      <c r="DS64" s="392">
        <f>bal!W80</f>
        <v>0.4064317482039001</v>
      </c>
      <c r="DT64" s="392">
        <f>bal!X80</f>
        <v>0.37483530961791833</v>
      </c>
      <c r="DU64" s="392">
        <f>bal!Y80</f>
        <v>0.38339552238805968</v>
      </c>
      <c r="DV64" s="392">
        <f>bal!Z80</f>
        <v>0.34871931696905017</v>
      </c>
      <c r="DW64" s="392">
        <f>bal!AA80</f>
        <v>0.3523489932885906</v>
      </c>
      <c r="DX64" s="392">
        <f>bal!AA80</f>
        <v>0.3523489932885906</v>
      </c>
      <c r="EC64" s="901">
        <f>bal!AB80</f>
        <v>0.3961719979024646</v>
      </c>
      <c r="ED64" s="392">
        <f>bal!AC80</f>
        <v>0.30980683506686479</v>
      </c>
      <c r="EE64" s="392">
        <f>bal!AD80</f>
        <v>0.39710144927536234</v>
      </c>
      <c r="EF64" s="410">
        <f>bal!AE80</f>
        <v>0.3588368153585545</v>
      </c>
      <c r="EG64" s="305"/>
      <c r="EH64" s="305"/>
      <c r="EI64" s="305"/>
      <c r="EJ64" s="305"/>
      <c r="EK64" s="305"/>
      <c r="EL64" s="335"/>
      <c r="EM64" s="1193" t="s">
        <v>204</v>
      </c>
      <c r="EN64" s="1193"/>
      <c r="EO64" s="1193"/>
      <c r="EP64" s="1193"/>
      <c r="EQ64" s="408">
        <f>yrSales!C29</f>
        <v>5152</v>
      </c>
      <c r="ER64" s="408">
        <f>yrSales!D29</f>
        <v>5139</v>
      </c>
      <c r="ES64" s="408">
        <f>yrSales!E29</f>
        <v>5658</v>
      </c>
      <c r="ET64" s="408">
        <f>yrSales!F29</f>
        <v>6531</v>
      </c>
      <c r="EU64" s="408">
        <f>yrSales!G29</f>
        <v>8025</v>
      </c>
      <c r="EV64" s="408">
        <f>yrSales!H29</f>
        <v>9685</v>
      </c>
      <c r="EW64" s="408">
        <f>yrSales!I29</f>
        <v>11577</v>
      </c>
      <c r="EX64" s="408">
        <f>yrSales!J29</f>
        <v>14795</v>
      </c>
      <c r="EY64" s="408">
        <f>yrSales!K29</f>
        <v>17775.099999999999</v>
      </c>
      <c r="EZ64" s="408">
        <f>yrSales!L29</f>
        <v>21963</v>
      </c>
      <c r="FA64" s="408">
        <f>yrSales!M29</f>
        <v>27763</v>
      </c>
      <c r="FB64" s="408">
        <f>yrSales!N29</f>
        <v>33548</v>
      </c>
      <c r="FC64" s="408">
        <f>yrSales!O29</f>
        <v>40579</v>
      </c>
      <c r="FD64" s="408">
        <f>yrSales!P29</f>
        <v>48427</v>
      </c>
      <c r="FE64" s="408">
        <f>yrSales!Q29</f>
        <v>57386</v>
      </c>
      <c r="FF64" s="408">
        <f>yrSales!R29</f>
        <v>65855</v>
      </c>
      <c r="FG64" s="408">
        <f>yrSales!S29</f>
        <v>73027</v>
      </c>
      <c r="FH64" s="408">
        <f>yrSales!T29</f>
        <v>82538</v>
      </c>
      <c r="FI64" s="408">
        <f>yrSales!U29</f>
        <v>88564.576628654002</v>
      </c>
      <c r="FJ64" s="408">
        <f>yrSales!V29</f>
        <v>92584.656355077328</v>
      </c>
      <c r="FK64" s="408"/>
      <c r="FL64" s="408">
        <f>yrSales!W29</f>
        <v>95819</v>
      </c>
      <c r="FM64" s="408">
        <f>yrSales!X29</f>
        <v>98463</v>
      </c>
      <c r="FN64" s="408">
        <f>yrSales!Y29</f>
        <v>99565.2</v>
      </c>
      <c r="FO64" s="408">
        <f>yrSales!Z29</f>
        <v>100300</v>
      </c>
      <c r="FP64" s="408">
        <f>yrSales!AA29</f>
        <v>100394</v>
      </c>
      <c r="FQ64" s="408">
        <f>yrSales!AB29</f>
        <v>100400</v>
      </c>
      <c r="FR64" s="408">
        <f>yrSales!AC29</f>
        <v>99100</v>
      </c>
      <c r="FS64" s="408">
        <f>yrSales!AD29</f>
        <v>99200</v>
      </c>
      <c r="FT64" s="408">
        <f>yrSales!AE29</f>
        <v>99536.25</v>
      </c>
      <c r="FU64" s="408">
        <f>yrSales!AF29</f>
        <v>99878.593078245918</v>
      </c>
      <c r="FV64" s="409">
        <f>yrSales!AG29</f>
        <v>99878.593078245918</v>
      </c>
      <c r="FW64" s="408">
        <f>yrSales!AH29</f>
        <v>99878.593078245918</v>
      </c>
      <c r="FX64" s="409">
        <f>yrSales!AI29</f>
        <v>99878.593078245918</v>
      </c>
    </row>
    <row r="65" spans="1:263" x14ac:dyDescent="0.2">
      <c r="A65" s="334" t="s">
        <v>214</v>
      </c>
      <c r="B65" s="305"/>
      <c r="C65" s="305"/>
      <c r="D65" s="305"/>
      <c r="E65" s="305"/>
      <c r="F65" s="305"/>
      <c r="G65" s="305"/>
      <c r="H65" s="305"/>
      <c r="I65" s="305"/>
      <c r="J65" s="305"/>
      <c r="K65" s="305"/>
      <c r="L65" s="305"/>
      <c r="M65" s="305"/>
      <c r="N65" s="305"/>
      <c r="O65" s="305"/>
      <c r="P65" s="305"/>
      <c r="Q65" s="305"/>
      <c r="R65" s="305"/>
      <c r="S65" s="305"/>
      <c r="T65" s="305"/>
      <c r="U65" s="305"/>
      <c r="V65" s="305"/>
      <c r="W65" s="305"/>
      <c r="X65" s="305"/>
      <c r="Y65" s="305"/>
      <c r="Z65" s="305"/>
      <c r="AA65" s="305"/>
      <c r="AB65" s="305"/>
      <c r="AC65" s="305"/>
      <c r="AD65" s="305"/>
      <c r="AE65" s="305"/>
      <c r="AF65" s="305"/>
      <c r="AG65" s="305"/>
      <c r="AH65" s="305"/>
      <c r="AI65" s="305"/>
      <c r="AJ65" s="305"/>
      <c r="AK65" s="305"/>
      <c r="AL65" s="305"/>
      <c r="AM65" s="305"/>
      <c r="AN65" s="305"/>
      <c r="AO65" s="305"/>
      <c r="AP65" s="305"/>
      <c r="AQ65" s="305"/>
      <c r="AR65" s="305"/>
      <c r="AS65" s="305"/>
      <c r="AT65" s="305"/>
      <c r="AU65" s="305"/>
      <c r="AV65" s="305"/>
      <c r="AW65" s="305"/>
      <c r="AX65" s="305"/>
      <c r="AY65" s="305"/>
      <c r="AZ65" s="305"/>
      <c r="BA65" s="305"/>
      <c r="BB65" s="305"/>
      <c r="BC65" s="305"/>
      <c r="BD65" s="305"/>
      <c r="BE65" s="305"/>
      <c r="BF65" s="305"/>
      <c r="BG65" s="305"/>
      <c r="BH65" s="305"/>
      <c r="BI65" s="305"/>
      <c r="BJ65" s="305"/>
      <c r="BK65" s="305"/>
      <c r="BL65" s="305"/>
      <c r="BM65" s="305"/>
      <c r="BN65" s="305"/>
      <c r="BO65" s="305"/>
      <c r="BP65" s="305"/>
      <c r="BQ65" s="305"/>
      <c r="BR65" s="305"/>
      <c r="BS65" s="305"/>
      <c r="BT65" s="305"/>
      <c r="BU65" s="305"/>
      <c r="BV65" s="305"/>
      <c r="BW65" s="305"/>
      <c r="BX65" s="305"/>
      <c r="BY65" s="305"/>
      <c r="BZ65" s="305"/>
      <c r="CA65" s="305"/>
      <c r="CB65" s="305"/>
      <c r="CC65" s="305"/>
      <c r="CD65" s="305"/>
      <c r="CE65" s="305"/>
      <c r="CF65" s="305"/>
      <c r="CG65" s="305"/>
      <c r="CH65" s="305"/>
      <c r="CI65" s="305"/>
      <c r="CJ65" s="305"/>
      <c r="CK65" s="305"/>
      <c r="CL65" s="305"/>
      <c r="CM65" s="305"/>
      <c r="CN65" s="305"/>
      <c r="CO65" s="305"/>
      <c r="CP65" s="305"/>
      <c r="CQ65" s="305"/>
      <c r="CR65" s="305"/>
      <c r="CS65" s="396"/>
      <c r="DN65" s="901">
        <f>INDEX(dtc!53:53,MATCH(DN62,dtc!5:5,0))</f>
        <v>0.15212822193490322</v>
      </c>
      <c r="DO65" s="392">
        <f>INDEX(dtc!53:53,MATCH(DO62,dtc!5:5,0))</f>
        <v>0.16114360105486425</v>
      </c>
      <c r="DP65" s="392">
        <f>INDEX(dtc!53:53,MATCH(DP62,dtc!5:5,0))</f>
        <v>0.25735463136806974</v>
      </c>
      <c r="DQ65" s="392">
        <f>INDEX(dtc!53:53,MATCH(DQ62,dtc!5:5,0))</f>
        <v>0.23801952994047465</v>
      </c>
      <c r="DR65" s="395"/>
      <c r="DS65" s="392">
        <f>INDEX(dtc!53:53,MATCH(DS62,dtc!5:5,0))</f>
        <v>0.42023939064200216</v>
      </c>
      <c r="DT65" s="392">
        <f>INDEX(dtc!53:53,MATCH(DT62,dtc!5:5,0))</f>
        <v>0.38657127132636215</v>
      </c>
      <c r="DU65" s="392">
        <f>INDEX(dtc!53:53,MATCH(DU62,dtc!5:5,0))</f>
        <v>0.43901406960753198</v>
      </c>
      <c r="DV65" s="391">
        <f>INDEX(dtc!53:53,MATCH(DV62,dtc!5:5,0))</f>
        <v>0.4524046104928458</v>
      </c>
      <c r="DW65" s="395">
        <f>INDEX(dtc!53:53,MATCH(DW62,dtc!5:5,0))</f>
        <v>0.49260235103364408</v>
      </c>
      <c r="DX65" s="391">
        <f>INDEX(dtc!53:53,MATCH(DX62,dtc!5:5,0))</f>
        <v>0.49260235103364408</v>
      </c>
      <c r="EC65" s="393">
        <f>INDEX(dtc!53:53,MATCH(EC62,dtc!5:5,0))</f>
        <v>0.50947030497592294</v>
      </c>
      <c r="ED65" s="391">
        <f>INDEX(dtc!53:53,MATCH(ED62,dtc!5:5,0))</f>
        <v>0.49599662873999156</v>
      </c>
      <c r="EE65" s="391">
        <f>INDEX(dtc!53:53,MATCH(EE62,dtc!5:5,0))</f>
        <v>0.52914849667202202</v>
      </c>
      <c r="EF65" s="394">
        <f>INDEX(dtc!53:53,MATCH(EF62,dtc!5:5,0))</f>
        <v>0.58133387555917038</v>
      </c>
      <c r="EG65" s="305"/>
      <c r="EH65" s="305"/>
      <c r="EI65" s="305"/>
      <c r="EJ65" s="305"/>
      <c r="EK65" s="305"/>
      <c r="EL65" s="335"/>
      <c r="EM65" s="1193" t="s">
        <v>205</v>
      </c>
      <c r="EN65" s="1193"/>
      <c r="EO65" s="1193"/>
      <c r="EP65" s="1193"/>
      <c r="EQ65" s="391" t="s">
        <v>94</v>
      </c>
      <c r="ER65" s="392">
        <f t="shared" ref="ER65:FU65" si="32">ER64/EQ64-1</f>
        <v>-2.5232919254658537E-3</v>
      </c>
      <c r="ES65" s="392">
        <f t="shared" si="32"/>
        <v>0.10099241097489786</v>
      </c>
      <c r="ET65" s="392">
        <f t="shared" si="32"/>
        <v>0.1542948038176033</v>
      </c>
      <c r="EU65" s="392">
        <f t="shared" si="32"/>
        <v>0.22875516766192017</v>
      </c>
      <c r="EV65" s="392">
        <f t="shared" si="32"/>
        <v>0.20685358255451702</v>
      </c>
      <c r="EW65" s="392">
        <f t="shared" si="32"/>
        <v>0.1953536396489417</v>
      </c>
      <c r="EX65" s="392">
        <f t="shared" si="32"/>
        <v>0.27796493046557824</v>
      </c>
      <c r="EY65" s="392">
        <f t="shared" si="32"/>
        <v>0.20142615748563686</v>
      </c>
      <c r="EZ65" s="392">
        <f t="shared" si="32"/>
        <v>0.23560486298248673</v>
      </c>
      <c r="FA65" s="392">
        <f t="shared" si="32"/>
        <v>0.26408049902108099</v>
      </c>
      <c r="FB65" s="392">
        <f t="shared" si="32"/>
        <v>0.20837085329395233</v>
      </c>
      <c r="FC65" s="392">
        <f t="shared" si="32"/>
        <v>0.20958030284964835</v>
      </c>
      <c r="FD65" s="392">
        <f t="shared" si="32"/>
        <v>0.1934005273663717</v>
      </c>
      <c r="FE65" s="392">
        <f t="shared" si="32"/>
        <v>0.18500010324818805</v>
      </c>
      <c r="FF65" s="392">
        <f t="shared" si="32"/>
        <v>0.14757954901892445</v>
      </c>
      <c r="FG65" s="392">
        <f t="shared" si="32"/>
        <v>0.10890592969402468</v>
      </c>
      <c r="FH65" s="392">
        <f t="shared" si="32"/>
        <v>0.13023950045873445</v>
      </c>
      <c r="FI65" s="392">
        <f t="shared" si="32"/>
        <v>7.3015782168867727E-2</v>
      </c>
      <c r="FJ65" s="392">
        <f t="shared" si="32"/>
        <v>4.5391508427565563E-2</v>
      </c>
      <c r="FK65" s="392"/>
      <c r="FL65" s="392">
        <f>FL64/FJ64-1</f>
        <v>3.4933905597904102E-2</v>
      </c>
      <c r="FM65" s="392">
        <f t="shared" si="32"/>
        <v>2.759369227397479E-2</v>
      </c>
      <c r="FN65" s="392">
        <f t="shared" si="32"/>
        <v>1.1194052588281878E-2</v>
      </c>
      <c r="FO65" s="392">
        <f t="shared" si="32"/>
        <v>7.3800886253430065E-3</v>
      </c>
      <c r="FP65" s="392">
        <f t="shared" si="32"/>
        <v>9.3718843469581259E-4</v>
      </c>
      <c r="FQ65" s="392">
        <f t="shared" si="32"/>
        <v>5.9764527760686192E-5</v>
      </c>
      <c r="FR65" s="392">
        <f t="shared" si="32"/>
        <v>-1.294820717131473E-2</v>
      </c>
      <c r="FS65" s="392">
        <f t="shared" si="32"/>
        <v>1.0090817356205317E-3</v>
      </c>
      <c r="FT65" s="392">
        <f t="shared" si="32"/>
        <v>3.3896169354838968E-3</v>
      </c>
      <c r="FU65" s="392">
        <f t="shared" si="32"/>
        <v>3.4393809114359186E-3</v>
      </c>
      <c r="FV65" s="410">
        <f>FV64/FU64-1</f>
        <v>0</v>
      </c>
      <c r="FW65" s="392">
        <f>FW64/FV64-1</f>
        <v>0</v>
      </c>
      <c r="FX65" s="410">
        <f>FX64/FW64-1</f>
        <v>0</v>
      </c>
      <c r="FY65" s="392"/>
    </row>
    <row r="66" spans="1:263" x14ac:dyDescent="0.2">
      <c r="A66" s="334" t="s">
        <v>215</v>
      </c>
      <c r="B66" s="305"/>
      <c r="C66" s="305"/>
      <c r="D66" s="305"/>
      <c r="E66" s="305"/>
      <c r="F66" s="305"/>
      <c r="G66" s="305"/>
      <c r="H66" s="305"/>
      <c r="I66" s="305"/>
      <c r="J66" s="305"/>
      <c r="K66" s="305"/>
      <c r="L66" s="305"/>
      <c r="M66" s="305"/>
      <c r="N66" s="305"/>
      <c r="O66" s="305"/>
      <c r="P66" s="305"/>
      <c r="Q66" s="305"/>
      <c r="R66" s="305"/>
      <c r="S66" s="305"/>
      <c r="T66" s="305"/>
      <c r="U66" s="305"/>
      <c r="V66" s="305"/>
      <c r="W66" s="305"/>
      <c r="X66" s="305"/>
      <c r="Y66" s="305"/>
      <c r="Z66" s="305"/>
      <c r="AA66" s="305"/>
      <c r="AB66" s="305"/>
      <c r="AC66" s="305"/>
      <c r="AD66" s="305"/>
      <c r="AE66" s="305"/>
      <c r="AF66" s="305"/>
      <c r="AG66" s="305"/>
      <c r="AH66" s="305"/>
      <c r="AI66" s="305"/>
      <c r="AJ66" s="305"/>
      <c r="AK66" s="305"/>
      <c r="AL66" s="305"/>
      <c r="AM66" s="305"/>
      <c r="AN66" s="305"/>
      <c r="AO66" s="305"/>
      <c r="AP66" s="305"/>
      <c r="AQ66" s="305"/>
      <c r="AR66" s="305"/>
      <c r="AS66" s="305"/>
      <c r="AT66" s="305"/>
      <c r="AU66" s="305"/>
      <c r="AV66" s="305"/>
      <c r="AW66" s="305"/>
      <c r="AX66" s="305"/>
      <c r="AY66" s="305"/>
      <c r="AZ66" s="305"/>
      <c r="BA66" s="305"/>
      <c r="BB66" s="305"/>
      <c r="BC66" s="305"/>
      <c r="BD66" s="305"/>
      <c r="BE66" s="305"/>
      <c r="BF66" s="305"/>
      <c r="BG66" s="305"/>
      <c r="BH66" s="305"/>
      <c r="BI66" s="305"/>
      <c r="BJ66" s="305"/>
      <c r="BK66" s="305"/>
      <c r="BL66" s="305"/>
      <c r="BM66" s="305"/>
      <c r="BN66" s="305"/>
      <c r="BO66" s="305"/>
      <c r="BP66" s="305"/>
      <c r="BQ66" s="305"/>
      <c r="BR66" s="305"/>
      <c r="BS66" s="305"/>
      <c r="BT66" s="305"/>
      <c r="BU66" s="305"/>
      <c r="BV66" s="305"/>
      <c r="BW66" s="305"/>
      <c r="BX66" s="305"/>
      <c r="BY66" s="305"/>
      <c r="BZ66" s="305"/>
      <c r="CA66" s="305"/>
      <c r="CB66" s="305"/>
      <c r="CC66" s="305"/>
      <c r="CD66" s="305"/>
      <c r="CE66" s="305"/>
      <c r="CF66" s="305"/>
      <c r="CG66" s="305"/>
      <c r="CH66" s="305"/>
      <c r="CI66" s="305"/>
      <c r="CJ66" s="305"/>
      <c r="CK66" s="305"/>
      <c r="CL66" s="305"/>
      <c r="CM66" s="305"/>
      <c r="CN66" s="305"/>
      <c r="CO66" s="305"/>
      <c r="CP66" s="305"/>
      <c r="CQ66" s="305"/>
      <c r="CR66" s="305"/>
      <c r="CS66" s="396"/>
      <c r="CT66" s="305"/>
      <c r="CU66" s="305"/>
      <c r="CV66" s="305"/>
      <c r="CW66" s="305"/>
      <c r="CX66" s="305"/>
      <c r="CY66" s="305"/>
      <c r="CZ66" s="305"/>
      <c r="DA66" s="305"/>
      <c r="DB66" s="305"/>
      <c r="DC66" s="305"/>
      <c r="DD66" s="305"/>
      <c r="DE66" s="305"/>
      <c r="DF66" s="305"/>
      <c r="DG66" s="305"/>
      <c r="DH66" s="305"/>
      <c r="DI66" s="305"/>
      <c r="DJ66" s="305"/>
      <c r="DK66" s="305"/>
      <c r="DL66" s="305"/>
      <c r="DM66" s="305"/>
      <c r="DN66" s="901">
        <f>flow!T8/((bal!S48+bal!R48)/2)</f>
        <v>0.15295418392211876</v>
      </c>
      <c r="DO66" s="392">
        <f>flow!U8/((bal!T48+bal!S48)/2)</f>
        <v>0.19150001161783248</v>
      </c>
      <c r="DP66" s="392">
        <f>flow!V8/((bal!U48+bal!T48)/2)</f>
        <v>0.18491766611186625</v>
      </c>
      <c r="DQ66" s="392">
        <f>flow!W8/((bal!V48+bal!U48)/2)</f>
        <v>0.13768360722883416</v>
      </c>
      <c r="DR66" s="392"/>
      <c r="DS66" s="392">
        <f>flow!X8/((bal!W48+bal!V48)/2)</f>
        <v>0.13585366442339802</v>
      </c>
      <c r="DT66" s="392">
        <f>flow!Y8/((bal!X48+bal!W48)/2)</f>
        <v>0.1451999740714332</v>
      </c>
      <c r="DU66" s="392">
        <f>flow!Z8/((bal!Y48+bal!X48)/2)</f>
        <v>0.1625574592561638</v>
      </c>
      <c r="DV66" s="392">
        <f>flow!AA8/((bal!Z48+bal!Y48)/2)</f>
        <v>0.1569829954999801</v>
      </c>
      <c r="DW66" s="392">
        <f>flow!AB8/((bal!AA48+bal!Z48)/2)</f>
        <v>0.14785862785862786</v>
      </c>
      <c r="DX66" s="392">
        <f>flow!AB8/((bal!AA48+bal!Z48)/2)</f>
        <v>0.14785862785862786</v>
      </c>
      <c r="EC66" s="901">
        <f>flow!AC8/((bal!AB48+bal!AA48)/2)</f>
        <v>0.14488031081589173</v>
      </c>
      <c r="ED66" s="392">
        <f>flow!AD8/((bal!AC48+bal!AB48)/2)</f>
        <v>0.1172320689805339</v>
      </c>
      <c r="EE66" s="392">
        <f>flow!AE8/((bal!AD48+bal!AC48)/2)</f>
        <v>0.10422191761353782</v>
      </c>
      <c r="EF66" s="410">
        <f>flow!AF8/((bal!AE48+bal!DC48)/2)</f>
        <v>0.31662366384076668</v>
      </c>
      <c r="EG66" s="305"/>
      <c r="EH66" s="305"/>
      <c r="EI66" s="305"/>
      <c r="EJ66" s="305"/>
      <c r="EK66" s="305"/>
      <c r="EL66" s="335"/>
      <c r="EM66" s="1193" t="s">
        <v>206</v>
      </c>
      <c r="EN66" s="1193"/>
      <c r="EO66" s="1193"/>
      <c r="EP66" s="1193"/>
      <c r="EQ66" s="408">
        <f>yrSales!C35</f>
        <v>78060.606060606064</v>
      </c>
      <c r="ER66" s="408">
        <f>yrSales!D35</f>
        <v>72893.617021276601</v>
      </c>
      <c r="ES66" s="408">
        <f>yrSales!E35</f>
        <v>73480.519480519477</v>
      </c>
      <c r="ET66" s="408">
        <f>yrSales!F35</f>
        <v>77289.940828402367</v>
      </c>
      <c r="EU66" s="408">
        <f>yrSales!G35</f>
        <v>81060.606060606064</v>
      </c>
      <c r="EV66" s="408">
        <f>yrSales!H35</f>
        <v>82076.271186440674</v>
      </c>
      <c r="EW66" s="408">
        <f>yrSales!I35</f>
        <v>83287.769784172662</v>
      </c>
      <c r="EX66" s="408">
        <f>yrSales!J35</f>
        <v>89126.506024096379</v>
      </c>
      <c r="EY66" s="408">
        <f>yrSales!K35</f>
        <v>90000.506329113923</v>
      </c>
      <c r="EZ66" s="408">
        <f>yrSales!L35</f>
        <v>93063.559322033892</v>
      </c>
      <c r="FA66" s="408">
        <f>yrSales!M35</f>
        <v>95899.827288428321</v>
      </c>
      <c r="FB66" s="408">
        <f>yrSales!N35</f>
        <v>95578.347578347573</v>
      </c>
      <c r="FC66" s="408">
        <f>yrSales!O35</f>
        <v>96731.823599523239</v>
      </c>
      <c r="FD66" s="408">
        <f>yrSales!P35</f>
        <v>96950.950950950952</v>
      </c>
      <c r="FE66" s="408">
        <f>yrSales!Q35</f>
        <v>97346.904156064469</v>
      </c>
      <c r="FF66" s="408">
        <f>yrSales!R35</f>
        <v>96208.91161431701</v>
      </c>
      <c r="FG66" s="408">
        <f>yrSales!S35</f>
        <v>94289.218850871534</v>
      </c>
      <c r="FH66" s="408">
        <f>yrSales!T35</f>
        <v>94545.246277205035</v>
      </c>
      <c r="FI66" s="408">
        <f>yrSales!U35</f>
        <v>91634.326568705641</v>
      </c>
      <c r="FJ66" s="408">
        <f>yrSales!V35</f>
        <v>89800.830606282572</v>
      </c>
      <c r="FK66" s="408"/>
      <c r="FL66" s="408">
        <f>yrSales!W35</f>
        <v>89258.500232883089</v>
      </c>
      <c r="FM66" s="408">
        <f>yrSales!X35</f>
        <v>88865.523465703969</v>
      </c>
      <c r="FN66" s="408">
        <f>yrSales!Y35</f>
        <v>87606.863176418832</v>
      </c>
      <c r="FO66" s="408">
        <f>yrSales!Z35</f>
        <v>87065.972222222234</v>
      </c>
      <c r="FP66" s="408">
        <f>yrSales!AA35</f>
        <v>86546.551724137928</v>
      </c>
      <c r="FQ66" s="408">
        <f>yrSales!AB35</f>
        <v>86254.295532646051</v>
      </c>
      <c r="FR66" s="408">
        <f>yrSales!AC35</f>
        <v>85431.034482758623</v>
      </c>
      <c r="FS66" s="408">
        <f>yrSales!AD35</f>
        <v>85813.148788927341</v>
      </c>
      <c r="FT66" s="408">
        <f>yrSales!AE35</f>
        <v>85770.142180094786</v>
      </c>
      <c r="FU66" s="408">
        <f>yrSales!AF35</f>
        <v>85732.697921241124</v>
      </c>
      <c r="FV66" s="409">
        <f>yrSales!AG35</f>
        <v>85585.769561478941</v>
      </c>
      <c r="FW66" s="408">
        <f>yrSales!AH35</f>
        <v>85585.769561478941</v>
      </c>
      <c r="FX66" s="409">
        <f>yrSales!AI35</f>
        <v>85585.769561478941</v>
      </c>
    </row>
    <row r="67" spans="1:263" s="313" customFormat="1" x14ac:dyDescent="0.2">
      <c r="A67" s="944" t="s">
        <v>557</v>
      </c>
      <c r="DX67" s="945">
        <f>-flow!AB20</f>
        <v>643</v>
      </c>
      <c r="DY67" s="305"/>
      <c r="DZ67" s="305"/>
      <c r="EA67" s="305"/>
      <c r="EB67" s="305"/>
      <c r="EC67" s="1182">
        <f>-flow!AC20</f>
        <v>682</v>
      </c>
      <c r="ED67" s="945">
        <f>-flow!AD20</f>
        <v>690</v>
      </c>
      <c r="EE67" s="945">
        <f>-flow!AE20</f>
        <v>768</v>
      </c>
      <c r="EF67" s="946">
        <f>-flow!AF20</f>
        <v>672</v>
      </c>
      <c r="EG67" s="305"/>
      <c r="EH67" s="305"/>
      <c r="EI67" s="305"/>
      <c r="EJ67" s="305"/>
      <c r="EK67" s="305"/>
      <c r="EL67" s="335"/>
      <c r="EM67" s="1193" t="s">
        <v>563</v>
      </c>
      <c r="EN67" s="1193"/>
      <c r="EO67" s="1193"/>
      <c r="EP67" s="1193"/>
      <c r="EQ67" s="881">
        <f>yrSales!C38</f>
        <v>163.77293934681182</v>
      </c>
      <c r="ER67" s="881">
        <f>yrSales!D38</f>
        <v>180.82324361092216</v>
      </c>
      <c r="ES67" s="881">
        <f>yrSales!E38</f>
        <v>203.17791979253496</v>
      </c>
      <c r="ET67" s="881">
        <f>yrSales!F38</f>
        <v>214.22594142259413</v>
      </c>
      <c r="EU67" s="881">
        <f>yrSales!G38</f>
        <v>213.52569387194285</v>
      </c>
      <c r="EV67" s="881">
        <f>yrSales!H38</f>
        <v>217.4668548842462</v>
      </c>
      <c r="EW67" s="881">
        <f>yrSales!I38</f>
        <v>224.67312576427429</v>
      </c>
      <c r="EX67" s="881">
        <f>yrSales!J38</f>
        <v>232.07068102532989</v>
      </c>
      <c r="EY67" s="881">
        <f>yrSales!K38</f>
        <v>226.07851986945082</v>
      </c>
      <c r="EZ67" s="881">
        <f>yrSales!L38</f>
        <v>229.35067353497021</v>
      </c>
      <c r="FA67" s="881">
        <f>yrSales!M38</f>
        <v>247.44399308208989</v>
      </c>
      <c r="FB67" s="881">
        <f>yrSales!N38</f>
        <v>244.28392947431945</v>
      </c>
      <c r="FC67" s="881">
        <f>yrSales!O38</f>
        <v>246.0695832827445</v>
      </c>
      <c r="FD67" s="881">
        <f>yrSales!P38</f>
        <v>231.04060400422443</v>
      </c>
      <c r="FE67" s="881">
        <f>yrSales!Q38</f>
        <v>221.1580807651234</v>
      </c>
      <c r="FF67" s="882">
        <f>yrSales!R38</f>
        <v>217.4958009104113</v>
      </c>
      <c r="FG67" s="882">
        <f>yrSales!S38</f>
        <v>224.43946659754326</v>
      </c>
      <c r="FH67" s="882">
        <f>yrSales!T38</f>
        <v>211.79185549448783</v>
      </c>
      <c r="FI67" s="882">
        <f>yrSales!U38</f>
        <v>191.5622584172761</v>
      </c>
      <c r="FJ67" s="882">
        <f>yrSales!V38</f>
        <v>189.65578509010552</v>
      </c>
      <c r="FK67" s="882"/>
      <c r="FL67" s="882">
        <f>yrSales!W38</f>
        <v>195.22975674462674</v>
      </c>
      <c r="FM67" s="882">
        <f>yrSales!X38</f>
        <v>193.57428892022935</v>
      </c>
      <c r="FN67" s="882">
        <f>yrSales!Y38</f>
        <v>194.71974193574448</v>
      </c>
      <c r="FO67" s="882">
        <f>yrSales!Z38</f>
        <v>190.43835545157432</v>
      </c>
      <c r="FP67" s="882">
        <f>yrSales!AA38</f>
        <v>189.57218451971659</v>
      </c>
      <c r="FQ67" s="882">
        <f>yrSales!AB38</f>
        <v>191.28061595465999</v>
      </c>
      <c r="FR67" s="882">
        <f>yrSales!AC38</f>
        <v>187.32832080200501</v>
      </c>
      <c r="FS67" s="882">
        <f>yrSales!AD38</f>
        <v>192.58698940998485</v>
      </c>
      <c r="FT67" s="882">
        <f>yrSales!AE38</f>
        <v>189.0449195856317</v>
      </c>
      <c r="FU67" s="882">
        <f>yrSales!AF38</f>
        <v>185.65521390252775</v>
      </c>
      <c r="FV67" s="883">
        <f>yrSales!AG38</f>
        <v>182.55698314781336</v>
      </c>
      <c r="FW67" s="882">
        <f>yrSales!AH38</f>
        <v>179.81862840059614</v>
      </c>
      <c r="FX67" s="883">
        <f>yrSales!AI38</f>
        <v>177.12134897458719</v>
      </c>
      <c r="FY67" s="305"/>
      <c r="FZ67"/>
      <c r="GA67"/>
      <c r="GB67"/>
      <c r="GC67"/>
      <c r="GD67"/>
      <c r="GE67"/>
      <c r="GF67" s="303"/>
      <c r="GG67" s="303"/>
      <c r="GH67" s="303"/>
      <c r="GI67" s="303"/>
      <c r="GJ67" s="303"/>
      <c r="GK67" s="303"/>
      <c r="GL67" s="303"/>
      <c r="GM67" s="303"/>
      <c r="GN67" s="303"/>
      <c r="GO67" s="303"/>
      <c r="GP67" s="303"/>
      <c r="GQ67" s="303"/>
      <c r="GR67" s="303"/>
      <c r="GS67" s="303"/>
      <c r="GT67" s="303"/>
      <c r="GU67" s="303"/>
      <c r="GV67" s="303"/>
      <c r="GW67" s="303"/>
      <c r="GX67" s="303"/>
      <c r="GY67" s="303"/>
      <c r="GZ67" s="303"/>
      <c r="HA67" s="303"/>
      <c r="HB67" s="303"/>
      <c r="HC67" s="303"/>
      <c r="HD67" s="303"/>
      <c r="HE67" s="303"/>
      <c r="HF67" s="303"/>
      <c r="HG67" s="303"/>
      <c r="HH67" s="303"/>
      <c r="HI67" s="303"/>
      <c r="HJ67" s="303"/>
      <c r="HK67" s="303"/>
      <c r="HL67" s="303"/>
      <c r="HM67" s="303"/>
      <c r="HN67" s="303"/>
      <c r="HO67" s="303"/>
      <c r="HP67" s="303"/>
      <c r="HQ67" s="303"/>
      <c r="HR67" s="303"/>
      <c r="HS67" s="303"/>
      <c r="HT67" s="303"/>
      <c r="HU67" s="303"/>
      <c r="HV67" s="303"/>
      <c r="HW67" s="303"/>
      <c r="HX67" s="303"/>
      <c r="HY67" s="303"/>
      <c r="HZ67" s="303"/>
      <c r="IA67" s="303"/>
      <c r="IB67" s="303"/>
      <c r="IC67" s="303"/>
      <c r="ID67" s="303"/>
      <c r="IE67" s="303"/>
      <c r="IF67" s="303"/>
      <c r="IG67" s="303"/>
      <c r="IH67" s="303"/>
      <c r="II67" s="303"/>
      <c r="IJ67" s="303"/>
      <c r="IK67" s="303"/>
      <c r="IL67" s="303"/>
      <c r="IM67" s="303"/>
      <c r="IN67" s="303"/>
      <c r="IO67" s="303"/>
      <c r="IP67" s="303"/>
      <c r="IQ67" s="303"/>
      <c r="IR67" s="303"/>
      <c r="IS67" s="303"/>
      <c r="IT67" s="303"/>
      <c r="IU67" s="303"/>
      <c r="IV67" s="303"/>
      <c r="IW67" s="303"/>
      <c r="IX67" s="303"/>
      <c r="IY67" s="303"/>
      <c r="IZ67" s="303"/>
      <c r="JA67" s="303"/>
      <c r="JB67" s="303"/>
      <c r="JC67" s="303"/>
    </row>
    <row r="68" spans="1:263" x14ac:dyDescent="0.2">
      <c r="DG68" s="305"/>
      <c r="DH68" s="305"/>
      <c r="DI68" s="305"/>
      <c r="DJ68" s="305"/>
      <c r="DK68" s="305"/>
      <c r="DL68" s="305"/>
      <c r="DM68" s="305"/>
      <c r="DR68" s="305"/>
      <c r="DW68" s="305"/>
      <c r="EB68" s="305"/>
      <c r="EF68" s="305"/>
      <c r="EG68" s="305"/>
      <c r="EH68" s="305"/>
      <c r="EI68" s="305"/>
      <c r="EJ68" s="305"/>
      <c r="EK68" s="305"/>
      <c r="EL68" s="335"/>
      <c r="EM68" s="1187" t="s">
        <v>564</v>
      </c>
      <c r="EN68" s="1187"/>
      <c r="EO68" s="1187"/>
      <c r="EP68" s="1187"/>
      <c r="EQ68" s="411">
        <f>yrSales!C39</f>
        <v>0</v>
      </c>
      <c r="ER68" s="411">
        <f>yrSales!D39</f>
        <v>0.10410941106701377</v>
      </c>
      <c r="ES68" s="411">
        <f>yrSales!E39</f>
        <v>0.12362722698257422</v>
      </c>
      <c r="ET68" s="411">
        <f>yrSales!F39</f>
        <v>5.4376093826240091E-2</v>
      </c>
      <c r="EU68" s="411">
        <f>yrSales!G39</f>
        <v>-3.2687336837042835E-3</v>
      </c>
      <c r="EV68" s="411">
        <f>yrSales!H39</f>
        <v>1.8457549257125727E-2</v>
      </c>
      <c r="EW68" s="411">
        <f>yrSales!I39</f>
        <v>3.3137329750153599E-2</v>
      </c>
      <c r="EX68" s="411">
        <f>yrSales!J39</f>
        <v>3.2925857224317401E-2</v>
      </c>
      <c r="EY68" s="411">
        <f>yrSales!K39</f>
        <v>-2.5820414407389247E-2</v>
      </c>
      <c r="EZ68" s="411">
        <f>yrSales!L39</f>
        <v>1.4473527460321822E-2</v>
      </c>
      <c r="FA68" s="411">
        <f>yrSales!M39</f>
        <v>7.8889323795078736E-2</v>
      </c>
      <c r="FB68" s="411">
        <f>yrSales!N39</f>
        <v>-1.2770823685835375E-2</v>
      </c>
      <c r="FC68" s="411">
        <f>yrSales!O39</f>
        <v>7.309747359425689E-3</v>
      </c>
      <c r="FD68" s="411">
        <f>yrSales!P39</f>
        <v>-6.1076135774372098E-2</v>
      </c>
      <c r="FE68" s="411">
        <f>yrSales!Q39</f>
        <v>-4.2773967293300297E-2</v>
      </c>
      <c r="FF68" s="884" t="str">
        <f>yrSales!R7</f>
        <v xml:space="preserve">NA </v>
      </c>
      <c r="FG68" s="884" t="str">
        <f>yrSales!S7</f>
        <v xml:space="preserve">NA </v>
      </c>
      <c r="FH68" s="884">
        <f>yrSales!T7/yrSales!T26*1000</f>
        <v>208.86060489184584</v>
      </c>
      <c r="FI68" s="884">
        <f>yrSales!U7/yrSales!U26*1000</f>
        <v>187.54127864270978</v>
      </c>
      <c r="FJ68" s="884">
        <f>yrSales!V7/yrSales!V26*1000</f>
        <v>184.40044956193631</v>
      </c>
      <c r="FK68" s="884"/>
      <c r="FL68" s="879">
        <f>yrSales!W7/yrSales!W26*1000</f>
        <v>187.58659297668964</v>
      </c>
      <c r="FM68" s="879">
        <f>yrSales!X7/yrSales!X26*1000</f>
        <v>183.39321192905157</v>
      </c>
      <c r="FN68" s="879">
        <f>yrSales!Y7/yrSales!Y26*1000</f>
        <v>180.36825058249278</v>
      </c>
      <c r="FO68" s="879">
        <f>yrSales!Z7/yrSales!Z26*1000</f>
        <v>173.37685600094463</v>
      </c>
      <c r="FP68" s="879">
        <f>yrSales!AA7/yrSales!AA26*1000</f>
        <v>169.42019691669904</v>
      </c>
      <c r="FQ68" s="879">
        <f>yrSales!AB7/yrSales!AB26*1000</f>
        <v>168.11737178401745</v>
      </c>
      <c r="FR68" s="879">
        <f>yrSales!AC7/yrSales!AC26*1000</f>
        <v>160.51781194235591</v>
      </c>
      <c r="FS68" s="879">
        <f>yrSales!AD7/yrSales!AD26*1000</f>
        <v>160.07916118242562</v>
      </c>
      <c r="FT68" s="879">
        <f>yrSales!AE7/yrSales!AE26*1000</f>
        <v>153.3648029925215</v>
      </c>
      <c r="FU68" s="879">
        <f>yrSales!AF7/yrSales!AF26*1000</f>
        <v>146.54064395376676</v>
      </c>
      <c r="FV68" s="880">
        <f>yrSales!AG7/yrSales!AG26*1000</f>
        <v>139.60469403955526</v>
      </c>
      <c r="FW68" s="879">
        <f>yrSales!AH7/yrSales!AH26*1000</f>
        <v>132.5711103815122</v>
      </c>
      <c r="FX68" s="880">
        <f>yrSales!AI7/yrSales!AI26*1000</f>
        <v>125.14907915359488</v>
      </c>
    </row>
    <row r="69" spans="1:263" x14ac:dyDescent="0.2">
      <c r="A69" s="412" t="s">
        <v>88</v>
      </c>
      <c r="EH69" s="305"/>
      <c r="EI69" s="305"/>
      <c r="EJ69" s="305"/>
      <c r="EK69" s="305"/>
      <c r="EL69" s="305"/>
    </row>
    <row r="70" spans="1:263" x14ac:dyDescent="0.2">
      <c r="A70" s="412"/>
    </row>
    <row r="71" spans="1:263" x14ac:dyDescent="0.2">
      <c r="A71" s="303" t="s">
        <v>101</v>
      </c>
      <c r="H71" s="413">
        <f>INDEX(qtrSales!$J:$J,MATCH(sumry!H5,qtrSales!$A:$A,0)+1)</f>
        <v>68</v>
      </c>
      <c r="I71" s="413">
        <f>INDEX(qtrSales!$J:$J,MATCH(sumry!I5,qtrSales!$A:$A,0)+2)</f>
        <v>68</v>
      </c>
      <c r="J71" s="413">
        <f>INDEX(qtrSales!$J:$J,MATCH(sumry!J5,qtrSales!$A:$A,0)+3)</f>
        <v>75</v>
      </c>
      <c r="K71" s="413">
        <f>INDEX(qtrSales!$J:$J,MATCH(sumry!K5,qtrSales!$A:$A,0)+4)</f>
        <v>75</v>
      </c>
      <c r="M71" s="413">
        <f>INDEX(qtrSales!$J:$J,MATCH(sumry!M5,qtrSales!$A:$A,0)+1)</f>
        <v>76</v>
      </c>
      <c r="N71" s="413">
        <f>INDEX(qtrSales!$J:$J,MATCH(sumry!N5,qtrSales!$A:$A,0)+2)</f>
        <v>78</v>
      </c>
      <c r="O71" s="413">
        <f>INDEX(qtrSales!$J:$J,MATCH(sumry!O5,qtrSales!$A:$A,0)+3)</f>
        <v>81</v>
      </c>
      <c r="P71" s="413">
        <f>INDEX(qtrSales!$J:$J,MATCH(sumry!P5,qtrSales!$A:$A,0)+4)</f>
        <v>79</v>
      </c>
      <c r="R71" s="413">
        <f>INDEX(qtrSales!$J:$J,MATCH(sumry!R5,qtrSales!$A:$A,0)+1)</f>
        <v>82</v>
      </c>
      <c r="S71" s="413">
        <f>INDEX(qtrSales!$J:$J,MATCH(sumry!S5,qtrSales!$A:$A,0)+2)</f>
        <v>85</v>
      </c>
      <c r="T71" s="413">
        <f>INDEX(qtrSales!$J:$J,MATCH(sumry!T5,qtrSales!$A:$A,0)+3)</f>
        <v>85</v>
      </c>
      <c r="U71" s="413">
        <f>INDEX(qtrSales!$J:$J,MATCH(sumry!U5,qtrSales!$A:$A,0)+4)</f>
        <v>90</v>
      </c>
      <c r="W71" s="413">
        <f>INDEX(qtrSales!$J:$J,MATCH(sumry!W5,qtrSales!$A:$A,0)+1)</f>
        <v>92</v>
      </c>
      <c r="X71" s="413">
        <f>INDEX(qtrSales!$J:$J,MATCH(sumry!X5,qtrSales!$A:$A,0)+2)</f>
        <v>92</v>
      </c>
      <c r="Y71" s="413">
        <f>INDEX(qtrSales!$J:$J,MATCH(sumry!Y5,qtrSales!$A:$A,0)+3)</f>
        <v>99</v>
      </c>
      <c r="Z71" s="413">
        <f>INDEX(qtrSales!$J:$J,MATCH(sumry!Z5,qtrSales!$A:$A,0)+4)</f>
        <v>108</v>
      </c>
      <c r="AB71" s="413">
        <f>INDEX(qtrSales!$J:$J,MATCH(sumry!AB5,qtrSales!$A:$A,0)+1)</f>
        <v>109</v>
      </c>
      <c r="AC71" s="413">
        <f>INDEX(qtrSales!$J:$J,MATCH(sumry!AC5,qtrSales!$A:$A,0)+2)</f>
        <v>109</v>
      </c>
      <c r="AD71" s="413">
        <f>INDEX(qtrSales!$J:$J,MATCH(sumry!AD5,qtrSales!$A:$A,0)+3)</f>
        <v>128</v>
      </c>
      <c r="AE71" s="413">
        <f>INDEX(qtrSales!$J:$J,MATCH(sumry!AE5,qtrSales!$A:$A,0)+4)</f>
        <v>128</v>
      </c>
      <c r="AG71" s="413">
        <f>INDEX(qtrSales!$J:$J,MATCH(sumry!AG5,qtrSales!$A:$A,0)+1)</f>
        <v>136</v>
      </c>
      <c r="AH71" s="413">
        <f>INDEX(qtrSales!$J:$J,MATCH(sumry!AH5,qtrSales!$A:$A,0)+2)</f>
        <v>138</v>
      </c>
      <c r="AI71" s="413">
        <f>INDEX(qtrSales!$J:$J,MATCH(sumry!AI5,qtrSales!$A:$A,0)+3)</f>
        <v>150</v>
      </c>
      <c r="AJ71" s="413">
        <f>INDEX(qtrSales!$J:$J,MATCH(sumry!AJ5,qtrSales!$A:$A,0)+4)</f>
        <v>150</v>
      </c>
      <c r="AL71" s="413">
        <f>INDEX(qtrSales!$J:$J,MATCH(sumry!AL5,qtrSales!$A:$A,0)+1)</f>
        <v>170</v>
      </c>
      <c r="AM71" s="413">
        <f>INDEX(qtrSales!$J:$J,MATCH(sumry!AM5,qtrSales!$A:$A,0)+2)</f>
        <v>172</v>
      </c>
      <c r="AN71" s="413">
        <f>INDEX(qtrSales!$J:$J,MATCH(sumry!AN5,qtrSales!$A:$A,0)+3)</f>
        <v>182</v>
      </c>
      <c r="AO71" s="413">
        <f>INDEX(qtrSales!$J:$J,MATCH(sumry!AO5,qtrSales!$A:$A,0)+4)</f>
        <v>182</v>
      </c>
      <c r="AQ71" s="413">
        <f>INDEX(qtrSales!$J:$J,MATCH(sumry!AQ5,qtrSales!$A:$A,0)+1)</f>
        <v>197</v>
      </c>
      <c r="AR71" s="413">
        <f>INDEX(qtrSales!$J:$J,MATCH(sumry!AR5,qtrSales!$A:$A,0)+2)</f>
        <v>197</v>
      </c>
      <c r="AS71" s="413">
        <f>INDEX(qtrSales!$J:$J,MATCH(sumry!AS5,qtrSales!$A:$A,0)+3)</f>
        <v>214</v>
      </c>
      <c r="AT71" s="413">
        <f>INDEX(qtrSales!$J:$J,MATCH(sumry!AT5,qtrSales!$A:$A,0)+4)</f>
        <v>213</v>
      </c>
      <c r="AV71" s="413">
        <f>INDEX(qtrSales!$J:$J,MATCH(sumry!AV5,qtrSales!$A:$A,0)+1)</f>
        <v>226</v>
      </c>
      <c r="AW71" s="413">
        <f>INDEX(qtrSales!$J:$J,MATCH(sumry!AW5,qtrSales!$A:$A,0)+2)</f>
        <v>231</v>
      </c>
      <c r="AX71" s="413">
        <f>INDEX(qtrSales!$J:$J,MATCH(sumry!AX5,qtrSales!$A:$A,0)+3)</f>
        <v>257</v>
      </c>
      <c r="AY71" s="413">
        <f>INDEX(qtrSales!$J:$J,MATCH(sumry!AY5,qtrSales!$A:$A,0)+4)</f>
        <v>259</v>
      </c>
      <c r="BA71" s="413">
        <f>INDEX(qtrSales!$J:$J,MATCH(sumry!BA5,qtrSales!$A:$A,0)+1)</f>
        <v>298</v>
      </c>
      <c r="BB71" s="413">
        <f>INDEX(qtrSales!$J:$J,MATCH(sumry!BB5,qtrSales!$A:$A,0)+2)</f>
        <v>298</v>
      </c>
      <c r="BC71" s="413">
        <f>INDEX(qtrSales!$J:$J,MATCH(sumry!BC5,qtrSales!$A:$A,0)+3)</f>
        <v>320</v>
      </c>
      <c r="BD71" s="413">
        <f>INDEX(qtrSales!$J:$J,MATCH(sumry!BD5,qtrSales!$A:$A,0)+4)</f>
        <v>320</v>
      </c>
      <c r="BF71" s="413">
        <f>INDEX(qtrSales!$J:$J,MATCH(sumry!BF5,qtrSales!$A:$A,0)+1)</f>
        <v>354</v>
      </c>
      <c r="BG71" s="413">
        <f>INDEX(qtrSales!$J:$J,MATCH(sumry!BG5,qtrSales!$A:$A,0)+2)</f>
        <v>354</v>
      </c>
      <c r="BH71" s="413">
        <f>INDEX(qtrSales!$J:$J,MATCH(sumry!BH5,qtrSales!$A:$A,0)+3)</f>
        <v>382</v>
      </c>
      <c r="BI71" s="413">
        <f>INDEX(qtrSales!$J:$J,MATCH(sumry!BI5,qtrSales!$A:$A,0)+4)</f>
        <v>382</v>
      </c>
      <c r="BK71" s="413">
        <f>INDEX(qtrSales!$J:$J,MATCH(sumry!BK5,qtrSales!$A:$A,0)+1)</f>
        <v>420</v>
      </c>
      <c r="BL71" s="413">
        <f>INDEX(qtrSales!$J:$J,MATCH(sumry!BL5,qtrSales!$A:$A,0)+2)</f>
        <v>420</v>
      </c>
      <c r="BM71" s="413">
        <f>INDEX(qtrSales!$J:$J,MATCH(sumry!BM5,qtrSales!$A:$A,0)+3)</f>
        <v>457</v>
      </c>
      <c r="BN71" s="413">
        <f>INDEX(qtrSales!$J:$J,MATCH(sumry!BN5,qtrSales!$A:$A,0)+4)</f>
        <v>457</v>
      </c>
      <c r="BP71" s="413">
        <f>INDEX(qtrSales!$J:$J,MATCH(sumry!BP5,qtrSales!$A:$A,0)+1)</f>
        <v>492</v>
      </c>
      <c r="BQ71" s="413">
        <f>INDEX(qtrSales!$J:$J,MATCH(sumry!BQ5,qtrSales!$A:$A,0)+2)</f>
        <v>492</v>
      </c>
      <c r="BR71" s="413">
        <f>INDEX(qtrSales!$J:$J,MATCH(sumry!BR5,qtrSales!$A:$A,0)+3)</f>
        <v>542</v>
      </c>
      <c r="BS71" s="413">
        <f>INDEX(qtrSales!$J:$J,MATCH(sumry!BS5,qtrSales!$A:$A,0)+4)</f>
        <v>542</v>
      </c>
      <c r="BU71" s="413">
        <f>INDEX(qtrSales!$J:$J,MATCH(sumry!BU5,qtrSales!$A:$A,0)+1)</f>
        <v>589</v>
      </c>
      <c r="BV71" s="413">
        <f>INDEX(qtrSales!$J:$J,MATCH(sumry!BV5,qtrSales!$A:$A,0)+2)</f>
        <v>589</v>
      </c>
      <c r="BW71" s="413">
        <f>INDEX(qtrSales!$J:$J,MATCH(sumry!BW5,qtrSales!$A:$A,0)+3)</f>
        <v>637</v>
      </c>
      <c r="BX71" s="413">
        <f>INDEX(qtrSales!$J:$J,MATCH(sumry!BX5,qtrSales!$A:$A,0)+4)</f>
        <v>637</v>
      </c>
      <c r="BZ71" s="413">
        <f>INDEX(qtrSales!$J:$J,MATCH(sumry!BZ5,qtrSales!$A:$A,0)+1)</f>
        <v>669</v>
      </c>
      <c r="CA71" s="413">
        <f>INDEX(qtrSales!$J:$J,MATCH(sumry!CA5,qtrSales!$A:$A,0)+2)</f>
        <v>670</v>
      </c>
      <c r="CB71" s="413">
        <f>INDEX(qtrSales!$J:$J,MATCH(sumry!CB5,qtrSales!$A:$A,0)+3)</f>
        <v>732</v>
      </c>
      <c r="CC71" s="413">
        <f>INDEX(qtrSales!$J:$J,MATCH(sumry!CC5,qtrSales!$A:$A,0)+4)</f>
        <v>732</v>
      </c>
      <c r="CE71" s="413">
        <f>INDEX(qtrSales!$J:$J,MATCH(sumry!CE5,qtrSales!$A:$A,0)+1)</f>
        <v>749</v>
      </c>
      <c r="CF71" s="413">
        <f>INDEX(qtrSales!$J:$J,MATCH(sumry!CF5,qtrSales!$A:$A,0)+2)</f>
        <v>749</v>
      </c>
      <c r="CG71" s="413">
        <f>INDEX(qtrSales!$J:$J,MATCH(sumry!CG5,qtrSales!$A:$A,0)+3)</f>
        <v>814</v>
      </c>
      <c r="CH71" s="413">
        <f>INDEX(qtrSales!$J:$J,MATCH(sumry!CH5,qtrSales!$A:$A,0)+4)</f>
        <v>817</v>
      </c>
      <c r="CJ71" s="413">
        <f>INDEX(qtrSales!$J:$J,MATCH(sumry!CJ5,qtrSales!$A:$A,0)+1)</f>
        <v>834</v>
      </c>
      <c r="CK71" s="413">
        <f>INDEX(qtrSales!$J:$J,MATCH(sumry!CK5,qtrSales!$A:$A,0)+2)</f>
        <v>834</v>
      </c>
      <c r="CL71" s="413">
        <f>INDEX(qtrSales!$J:$J,MATCH(sumry!CL5,qtrSales!$A:$A,0)+3)</f>
        <v>914</v>
      </c>
      <c r="CM71" s="413">
        <f>INDEX(qtrSales!$J:$J,MATCH(sumry!CM5,qtrSales!$A:$A,0)+4)</f>
        <v>929</v>
      </c>
      <c r="CO71" s="413">
        <f>INDEX(qtrSales!$J:$J,MATCH(sumry!CO5,qtrSales!$A:$A,0)+1)</f>
        <v>957</v>
      </c>
      <c r="CP71" s="413">
        <f>INDEX(qtrSales!$J:$J,MATCH(sumry!CP5,qtrSales!$A:$A,0)+2)</f>
        <v>957</v>
      </c>
      <c r="CQ71" s="413">
        <f>INDEX(qtrSales!$J:$J,MATCH(sumry!CQ5,qtrSales!$A:$A,0)+3)</f>
        <v>1004</v>
      </c>
      <c r="CR71" s="413">
        <f>INDEX(qtrSales!$J:$J,MATCH(sumry!CR5,qtrSales!$A:$A,0)+4)</f>
        <v>1004</v>
      </c>
      <c r="CT71" s="413">
        <f>INDEX(qtrSales!$J:$J,MATCH(sumry!CT5,qtrSales!$A:$A,0)+1)</f>
        <v>1022</v>
      </c>
      <c r="CU71" s="413">
        <f>INDEX(qtrSales!$J:$J,MATCH(sumry!CU5,qtrSales!$A:$A,0)+2)</f>
        <v>1022</v>
      </c>
      <c r="CV71" s="413">
        <f>INDEX(qtrSales!$J:$J,MATCH(sumry!CV5,qtrSales!$A:$A,0)+3)</f>
        <v>1059</v>
      </c>
      <c r="CW71" s="413">
        <f>INDEX(qtrSales!$J:$J,MATCH(sumry!CW5,qtrSales!$A:$A,0)+4)</f>
        <v>1058</v>
      </c>
      <c r="CY71" s="413">
        <f>INDEX(qtrSales!$J:$J,MATCH(sumry!CY5,qtrSales!$A:$A,0)+1)</f>
        <v>1067</v>
      </c>
      <c r="CZ71" s="413">
        <f>INDEX(qtrSales!$J:$J,MATCH(sumry!CZ5,qtrSales!$A:$A,0)+2)</f>
        <v>1067</v>
      </c>
      <c r="DA71" s="413">
        <f>INDEX(qtrSales!$J:$J,MATCH(sumry!DA5,qtrSales!$A:$A,0)+3)</f>
        <v>1089</v>
      </c>
      <c r="DB71" s="413">
        <f>INDEX(qtrSales!$J:$J,MATCH(sumry!DB5,qtrSales!$A:$A,0)+4)</f>
        <v>1089</v>
      </c>
      <c r="DD71" s="413">
        <f>INDEX(qtrSales!$J:$J,MATCH(sumry!DD5,qtrSales!$A:$A,0)+1)</f>
        <v>1097</v>
      </c>
      <c r="DE71" s="413">
        <f>INDEX(qtrSales!$J:$J,MATCH(sumry!DE5,qtrSales!$A:$A,0)+2)</f>
        <v>1097</v>
      </c>
      <c r="DF71" s="413">
        <f>INDEX(qtrSales!$J:$J,MATCH(sumry!DF5,qtrSales!$A:$A,0)+3)</f>
        <v>1127</v>
      </c>
      <c r="DG71" s="413">
        <f>INDEX(qtrSales!$J:$J,MATCH(sumry!DG5,qtrSales!$A:$A,0)+4)</f>
        <v>1127</v>
      </c>
      <c r="DI71" s="413">
        <f>INDEX(qtrSales!$J:$J,MATCH(sumry!DI5,qtrSales!$A:$A,0)+1)</f>
        <v>1134</v>
      </c>
      <c r="DJ71" s="413">
        <f>INDEX(qtrSales!$J:$J,MATCH(sumry!DJ5,qtrSales!$A:$A,0)+2)</f>
        <v>1134</v>
      </c>
      <c r="DK71" s="413">
        <f>INDEX(qtrSales!$J:$J,MATCH(sumry!DK5,qtrSales!$A:$A,0)+3)</f>
        <v>1146</v>
      </c>
      <c r="DL71" s="413">
        <f>INDEX(qtrSales!$J:$J,MATCH(sumry!DL5,qtrSales!$A:$A,0)+4)</f>
        <v>1146</v>
      </c>
      <c r="DN71" s="413">
        <f>INDEX(qtrSales!$J:$J,MATCH(sumry!DN5,qtrSales!$A:$A,0)+1)</f>
        <v>1155</v>
      </c>
      <c r="DO71" s="413">
        <f>INDEX(qtrSales!$J:$J,MATCH(sumry!DO5,qtrSales!$A:$A,0)+2)</f>
        <v>1155</v>
      </c>
      <c r="DP71" s="413">
        <f>INDEX(qtrSales!$J:$J,MATCH(sumry!DP5,qtrSales!$A:$A,0)+3)</f>
        <v>1158</v>
      </c>
      <c r="DQ71" s="413">
        <f>INDEX(qtrSales!$J:$J,MATCH(sumry!DQ5,qtrSales!$A:$A,0)+4)</f>
        <v>1158</v>
      </c>
      <c r="DS71" s="413">
        <f>INDEX(qtrSales!$J:$J,MATCH(sumry!DS5,qtrSales!$A:$A,0)+1)</f>
        <v>1160</v>
      </c>
      <c r="DT71" s="413">
        <f>INDEX(qtrSales!$J:$J,MATCH(sumry!DT5,qtrSales!$A:$A,0)+2)</f>
        <v>1160</v>
      </c>
      <c r="DU71" s="413">
        <f>INDEX(qtrSales!$J:$J,MATCH(sumry!DU5,qtrSales!$A:$A,0)+3)</f>
        <v>1163</v>
      </c>
      <c r="DV71" s="413">
        <f>INDEX(qtrSales!$J:$J,MATCH(sumry!DV5,qtrSales!$A:$A,0)+4)</f>
        <v>1162</v>
      </c>
      <c r="DX71" s="413">
        <f>INDEX(qtrSales!$J:$J,MATCH(sumry!DX5,qtrSales!$A:$A,0)+1)</f>
        <v>1164</v>
      </c>
      <c r="DY71" s="413">
        <f>INDEX(qtrSales!$J:$J,MATCH(sumry!DY5,qtrSales!$A:$A,0)+2)</f>
        <v>1164</v>
      </c>
      <c r="DZ71" s="413">
        <f>INDEX(qtrSales!$J:$J,MATCH(sumry!DZ5,qtrSales!$A:$A,0)+3)</f>
        <v>1166</v>
      </c>
      <c r="EA71" s="413">
        <f>INDEX(qtrSales!$J:$J,MATCH(sumry!EA5,qtrSales!$A:$A,0)+4)</f>
        <v>1166</v>
      </c>
      <c r="EC71" s="413">
        <f>INDEX(qtrSales!$J:$J,MATCH(sumry!EC5,qtrSales!$A:$A,0)+1)</f>
        <v>1167</v>
      </c>
      <c r="ED71" s="413">
        <f>INDEX(qtrSales!$J:$J,MATCH(sumry!ED5,qtrSales!$A:$A,0)+2)</f>
        <v>1150</v>
      </c>
      <c r="EE71" s="413">
        <f>INDEX(qtrSales!$J:$J,MATCH(sumry!EE5,qtrSales!$A:$A,0)+3)</f>
        <v>1155</v>
      </c>
      <c r="EF71" s="413">
        <f>INDEX(qtrSales!$J:$J,MATCH(sumry!EF5,qtrSales!$A:$A,0)+4)</f>
        <v>1154</v>
      </c>
      <c r="EH71" s="413">
        <f>INDEX(qtrSales!$J:$J,MATCH(sumry!EH5,qtrSales!$A:$A,0)+1)</f>
        <v>1154</v>
      </c>
      <c r="EI71" s="413">
        <f>INDEX(qtrSales!$J:$J,MATCH(sumry!EI5,qtrSales!$A:$A,0)+2)</f>
        <v>1154</v>
      </c>
      <c r="EJ71" s="413">
        <f>INDEX(qtrSales!$J:$J,MATCH(sumry!EJ5,qtrSales!$A:$A,0)+3)</f>
        <v>1156</v>
      </c>
      <c r="EK71" s="413">
        <f>INDEX(qtrSales!$J:$J,MATCH(sumry!EK5,qtrSales!$A:$A,0)+4)</f>
        <v>1158</v>
      </c>
      <c r="EL71" s="413"/>
      <c r="EM71" s="260"/>
      <c r="EN71" s="260"/>
      <c r="EO71" s="260"/>
      <c r="EP71" s="260"/>
      <c r="EQ71" s="414">
        <f t="shared" ref="EQ71:FQ71" si="33">EQ63</f>
        <v>66</v>
      </c>
      <c r="ER71" s="414">
        <f t="shared" si="33"/>
        <v>75</v>
      </c>
      <c r="ES71" s="414">
        <f t="shared" si="33"/>
        <v>79</v>
      </c>
      <c r="ET71" s="414">
        <f t="shared" si="33"/>
        <v>90</v>
      </c>
      <c r="EU71" s="414">
        <f t="shared" si="33"/>
        <v>108</v>
      </c>
      <c r="EV71" s="414">
        <f t="shared" si="33"/>
        <v>128</v>
      </c>
      <c r="EW71" s="414">
        <f t="shared" si="33"/>
        <v>150</v>
      </c>
      <c r="EX71" s="414">
        <f t="shared" si="33"/>
        <v>182</v>
      </c>
      <c r="EY71" s="414">
        <f t="shared" si="33"/>
        <v>213</v>
      </c>
      <c r="EZ71" s="414">
        <f t="shared" si="33"/>
        <v>259</v>
      </c>
      <c r="FA71" s="414">
        <f t="shared" si="33"/>
        <v>320</v>
      </c>
      <c r="FB71" s="414">
        <f t="shared" si="33"/>
        <v>382</v>
      </c>
      <c r="FC71" s="414">
        <f t="shared" si="33"/>
        <v>457</v>
      </c>
      <c r="FD71" s="414">
        <f t="shared" si="33"/>
        <v>542</v>
      </c>
      <c r="FE71" s="414">
        <f t="shared" si="33"/>
        <v>637</v>
      </c>
      <c r="FF71" s="414">
        <f t="shared" si="33"/>
        <v>732</v>
      </c>
      <c r="FG71" s="414">
        <f t="shared" si="33"/>
        <v>817</v>
      </c>
      <c r="FH71" s="414">
        <f t="shared" si="33"/>
        <v>929</v>
      </c>
      <c r="FI71" s="414">
        <f t="shared" si="33"/>
        <v>1004</v>
      </c>
      <c r="FJ71" s="414">
        <f t="shared" si="33"/>
        <v>1058</v>
      </c>
      <c r="FK71" s="414"/>
      <c r="FL71" s="414">
        <f t="shared" si="33"/>
        <v>1089</v>
      </c>
      <c r="FM71" s="414">
        <f t="shared" si="33"/>
        <v>1127</v>
      </c>
      <c r="FN71" s="414">
        <f t="shared" si="33"/>
        <v>1146</v>
      </c>
      <c r="FO71" s="414">
        <f t="shared" si="33"/>
        <v>1158</v>
      </c>
      <c r="FP71" s="414">
        <f t="shared" si="33"/>
        <v>1162</v>
      </c>
      <c r="FQ71" s="414">
        <f t="shared" si="33"/>
        <v>1166</v>
      </c>
      <c r="FR71" s="414">
        <f t="shared" ref="FR71:FW71" si="34">FR63</f>
        <v>1154</v>
      </c>
      <c r="FS71" s="414">
        <f t="shared" si="34"/>
        <v>1158</v>
      </c>
      <c r="FT71" s="414">
        <f t="shared" si="34"/>
        <v>1163</v>
      </c>
      <c r="FU71" s="414">
        <f t="shared" si="34"/>
        <v>1167</v>
      </c>
      <c r="FV71" s="414">
        <f t="shared" si="34"/>
        <v>1167</v>
      </c>
      <c r="FW71" s="414">
        <f t="shared" si="34"/>
        <v>1167</v>
      </c>
      <c r="FX71" s="414">
        <f>FX63</f>
        <v>1167</v>
      </c>
    </row>
    <row r="72" spans="1:263" x14ac:dyDescent="0.2">
      <c r="A72" s="303" t="s">
        <v>279</v>
      </c>
      <c r="C72" s="415" t="str">
        <f>INDEX(qtrSales!$AA:$AA,MATCH(sumry!C5,qtrSales!$A:$A,0)+1)</f>
        <v>NA</v>
      </c>
      <c r="D72" s="415" t="str">
        <f>INDEX(qtrSales!$AA:$AA,MATCH(sumry!D5,qtrSales!$A:$A,0)+2)</f>
        <v>NA</v>
      </c>
      <c r="E72" s="415" t="str">
        <f>INDEX(qtrSales!$AA:$AA,MATCH(sumry!E5,qtrSales!$A:$A,0)+3)</f>
        <v>NA</v>
      </c>
      <c r="F72" s="415" t="str">
        <f>INDEX(qtrSales!$AA:$AA,MATCH(sumry!F5,qtrSales!$A:$A,0)+4)</f>
        <v>NA</v>
      </c>
      <c r="H72" s="416">
        <f>INDEX(qtrSales!$AA:$AA,MATCH(sumry!H5,qtrSales!$A:$A,0)+1)/1000</f>
        <v>1.167</v>
      </c>
      <c r="I72" s="416">
        <f>INDEX(qtrSales!$AA:$AA,MATCH(sumry!I5,qtrSales!$A:$A,0)+2)/1000</f>
        <v>1.1499999999999999</v>
      </c>
      <c r="J72" s="416">
        <f>INDEX(qtrSales!$AA:$AA,MATCH(sumry!J5,qtrSales!$A:$A,0)+3)/1000</f>
        <v>1.155</v>
      </c>
      <c r="K72" s="416">
        <f>INDEX(qtrSales!$AA:$AA,MATCH(sumry!K5,qtrSales!$A:$A,0)+4)/1000</f>
        <v>1.1539999999999999</v>
      </c>
      <c r="M72" s="416">
        <f>INDEX(qtrSales!$AA:$AA,MATCH(sumry!M5,qtrSales!$A:$A,0)+1)/1000</f>
        <v>1.1539999999999999</v>
      </c>
      <c r="N72" s="416">
        <f>INDEX(qtrSales!$AA:$AA,MATCH(sumry!N5,qtrSales!$A:$A,0)+2)/1000</f>
        <v>1.1539999999999999</v>
      </c>
      <c r="O72" s="416">
        <f>INDEX(qtrSales!$AA:$AA,MATCH(sumry!O5,qtrSales!$A:$A,0)+3)/1000</f>
        <v>1.1559999999999999</v>
      </c>
      <c r="P72" s="416">
        <f>INDEX(qtrSales!$AA:$AA,MATCH(sumry!P5,qtrSales!$A:$A,0)+4)/1000</f>
        <v>1.1579999999999999</v>
      </c>
      <c r="R72" s="416">
        <f>INDEX(qtrSales!$AA:$AA,MATCH(sumry!R5,qtrSales!$A:$A,0)+1)/1000</f>
        <v>1.1599999999999999</v>
      </c>
      <c r="S72" s="416">
        <f>INDEX(qtrSales!$AA:$AA,MATCH(sumry!S5,qtrSales!$A:$A,0)+2)/1000</f>
        <v>1.1619999999999999</v>
      </c>
      <c r="T72" s="416">
        <f>INDEX(qtrSales!$AA:$AA,MATCH(sumry!T5,qtrSales!$A:$A,0)+3)/1000</f>
        <v>1.163</v>
      </c>
      <c r="U72" s="416">
        <f>INDEX(qtrSales!$AA:$AA,MATCH(sumry!U5,qtrSales!$A:$A,0)+4)/1000</f>
        <v>1.163</v>
      </c>
      <c r="W72" s="416">
        <f>INDEX(qtrSales!$AA:$AA,MATCH(sumry!W5,qtrSales!$A:$A,0)+1)/1000</f>
        <v>6.6970000000000001</v>
      </c>
      <c r="X72" s="416">
        <f>INDEX(qtrSales!$AA:$AA,MATCH(sumry!X5,qtrSales!$A:$A,0)+2)/1000</f>
        <v>6.6970000000000001</v>
      </c>
      <c r="Y72" s="416">
        <f>INDEX(qtrSales!$AA:$AA,MATCH(sumry!Y5,qtrSales!$A:$A,0)+3)/1000</f>
        <v>7.2779999999999996</v>
      </c>
      <c r="Z72" s="416">
        <f>INDEX(qtrSales!$AA:$AA,MATCH(sumry!Z5,qtrSales!$A:$A,0)+4)/1000</f>
        <v>8.0250000000000004</v>
      </c>
      <c r="AB72" s="416">
        <f>INDEX(qtrSales!$AA:$AA,MATCH(sumry!AB5,qtrSales!$A:$A,0)+1)/1000</f>
        <v>8.1080000000000005</v>
      </c>
      <c r="AC72" s="416">
        <f>INDEX(qtrSales!$AA:$AA,MATCH(sumry!AC5,qtrSales!$A:$A,0)+2)/1000</f>
        <v>8.1080000000000005</v>
      </c>
      <c r="AD72" s="416">
        <f>INDEX(qtrSales!$AA:$AA,MATCH(sumry!AD5,qtrSales!$A:$A,0)+3)/1000</f>
        <v>9.6850000000000005</v>
      </c>
      <c r="AE72" s="416">
        <f>INDEX(qtrSales!$AA:$AA,MATCH(sumry!AE5,qtrSales!$A:$A,0)+4)/1000</f>
        <v>9.6850000000000005</v>
      </c>
      <c r="AG72" s="416">
        <f>INDEX(qtrSales!$AA:$AA,MATCH(sumry!AG5,qtrSales!$A:$A,0)+1)/1000</f>
        <v>10.372999999999999</v>
      </c>
      <c r="AH72" s="416">
        <f>INDEX(qtrSales!$AA:$AA,MATCH(sumry!AH5,qtrSales!$A:$A,0)+2)/1000</f>
        <v>10.545</v>
      </c>
      <c r="AI72" s="416">
        <f>INDEX(qtrSales!$AA:$AA,MATCH(sumry!AI5,qtrSales!$A:$A,0)+3)/1000</f>
        <v>11.577</v>
      </c>
      <c r="AJ72" s="416">
        <f>INDEX(qtrSales!$AA:$AA,MATCH(sumry!AJ5,qtrSales!$A:$A,0)+4)/1000</f>
        <v>11.577</v>
      </c>
      <c r="AL72" s="416">
        <f>INDEX(qtrSales!$AA:$AA,MATCH(sumry!AL5,qtrSales!$A:$A,0)+1)/1000</f>
        <v>13.577</v>
      </c>
      <c r="AM72" s="416">
        <f>INDEX(qtrSales!$AA:$AA,MATCH(sumry!AM5,qtrSales!$A:$A,0)+2)/1000</f>
        <v>13.776999999999999</v>
      </c>
      <c r="AN72" s="416">
        <f>INDEX(qtrSales!$AA:$AA,MATCH(sumry!AN5,qtrSales!$A:$A,0)+3)/1000</f>
        <v>14.795</v>
      </c>
      <c r="AO72" s="416">
        <f>INDEX(qtrSales!$AA:$AA,MATCH(sumry!AO5,qtrSales!$A:$A,0)+4)/1000</f>
        <v>14.795</v>
      </c>
      <c r="AQ72" s="416">
        <f>INDEX(qtrSales!$AA:$AA,MATCH(sumry!AQ5,qtrSales!$A:$A,0)+1)/1000</f>
        <v>16.147100000000002</v>
      </c>
      <c r="AR72" s="416">
        <f>INDEX(qtrSales!$AA:$AA,MATCH(sumry!AR5,qtrSales!$A:$A,0)+2)/1000</f>
        <v>16.147100000000002</v>
      </c>
      <c r="AS72" s="416">
        <f>INDEX(qtrSales!$AA:$AA,MATCH(sumry!AS5,qtrSales!$A:$A,0)+3)/1000</f>
        <v>17.866899999999998</v>
      </c>
      <c r="AT72" s="416">
        <f>INDEX(qtrSales!$AA:$AA,MATCH(sumry!AT5,qtrSales!$A:$A,0)+4)/1000</f>
        <v>17.794899999999998</v>
      </c>
      <c r="AV72" s="416">
        <f>INDEX(qtrSales!$AA:$AA,MATCH(sumry!AV5,qtrSales!$A:$A,0)+1)/1000</f>
        <v>18.943000000000001</v>
      </c>
      <c r="AW72" s="416">
        <f>INDEX(qtrSales!$AA:$AA,MATCH(sumry!AW5,qtrSales!$A:$A,0)+2)/1000</f>
        <v>19.373000000000001</v>
      </c>
      <c r="AX72" s="416">
        <f>INDEX(qtrSales!$AA:$AA,MATCH(sumry!AX5,qtrSales!$A:$A,0)+3)/1000</f>
        <v>21.88</v>
      </c>
      <c r="AY72" s="416">
        <f>INDEX(qtrSales!$AA:$AA,MATCH(sumry!AY5,qtrSales!$A:$A,0)+4)/1000</f>
        <v>21.963000000000001</v>
      </c>
      <c r="BA72" s="416">
        <f>INDEX(qtrSales!$AA:$AA,MATCH(sumry!BA5,qtrSales!$A:$A,0)+1)/1000</f>
        <v>25.724</v>
      </c>
      <c r="BB72" s="416">
        <f>INDEX(qtrSales!$AA:$AA,MATCH(sumry!BB5,qtrSales!$A:$A,0)+2)/1000</f>
        <v>25.744</v>
      </c>
      <c r="BC72" s="416">
        <f>INDEX(qtrSales!$AA:$AA,MATCH(sumry!BC5,qtrSales!$A:$A,0)+3)/1000</f>
        <v>27.745999999999999</v>
      </c>
      <c r="BD72" s="416">
        <f>INDEX(qtrSales!$AA:$AA,MATCH(sumry!BD5,qtrSales!$A:$A,0)+4)/1000</f>
        <v>27.763000000000002</v>
      </c>
      <c r="BF72" s="416">
        <f>INDEX(qtrSales!$AA:$AA,MATCH(sumry!BF5,qtrSales!$A:$A,0)+1)/1000</f>
        <v>30.902000000000001</v>
      </c>
      <c r="BG72" s="416">
        <f>INDEX(qtrSales!$AA:$AA,MATCH(sumry!BG5,qtrSales!$A:$A,0)+2)/1000</f>
        <v>30.902000000000001</v>
      </c>
      <c r="BH72" s="416">
        <f>INDEX(qtrSales!$AA:$AA,MATCH(sumry!BH5,qtrSales!$A:$A,0)+3)/1000</f>
        <v>33.457999999999998</v>
      </c>
      <c r="BI72" s="416">
        <f>INDEX(qtrSales!$AA:$AA,MATCH(sumry!BI5,qtrSales!$A:$A,0)+4)/1000</f>
        <v>33.548000000000002</v>
      </c>
      <c r="BK72" s="416">
        <f>INDEX(qtrSales!$AA:$AA,MATCH(sumry!BK5,qtrSales!$A:$A,0)+1)/1000</f>
        <v>37.042000000000002</v>
      </c>
      <c r="BL72" s="416">
        <f>INDEX(qtrSales!$AA:$AA,MATCH(sumry!BL5,qtrSales!$A:$A,0)+2)/1000</f>
        <v>37.054000000000002</v>
      </c>
      <c r="BM72" s="416">
        <f>INDEX(qtrSales!$AA:$AA,MATCH(sumry!BM5,qtrSales!$A:$A,0)+3)/1000</f>
        <v>40.557000000000002</v>
      </c>
      <c r="BN72" s="416">
        <f>INDEX(qtrSales!$AA:$AA,MATCH(sumry!BN5,qtrSales!$A:$A,0)+4)/1000</f>
        <v>40.579000000000001</v>
      </c>
      <c r="BP72" s="416">
        <f>INDEX(qtrSales!$AA:$AA,MATCH(sumry!BP5,qtrSales!$A:$A,0)+1)/1000</f>
        <v>43.603999999999999</v>
      </c>
      <c r="BQ72" s="416">
        <f>INDEX(qtrSales!$AA:$AA,MATCH(sumry!BQ5,qtrSales!$A:$A,0)+2)/1000</f>
        <v>43.691000000000003</v>
      </c>
      <c r="BR72" s="416">
        <f>INDEX(qtrSales!$AA:$AA,MATCH(sumry!BR5,qtrSales!$A:$A,0)+3)/1000</f>
        <v>48.427</v>
      </c>
      <c r="BS72" s="416">
        <f>INDEX(qtrSales!$AA:$AA,MATCH(sumry!BS5,qtrSales!$A:$A,0)+4)/1000</f>
        <v>48.427</v>
      </c>
      <c r="BU72" s="416">
        <f>INDEX(qtrSales!$AA:$AA,MATCH(sumry!BU5,qtrSales!$A:$A,0)+1)/1000</f>
        <v>52.616999999999997</v>
      </c>
      <c r="BV72" s="416">
        <f>INDEX(qtrSales!$AA:$AA,MATCH(sumry!BV5,qtrSales!$A:$A,0)+2)/1000</f>
        <v>52.701999999999998</v>
      </c>
      <c r="BW72" s="416">
        <f>INDEX(qtrSales!$AA:$AA,MATCH(sumry!BW5,qtrSales!$A:$A,0)+3)/1000</f>
        <v>57.386000000000003</v>
      </c>
      <c r="BX72" s="416">
        <f>INDEX(qtrSales!$AA:$AA,MATCH(sumry!BX5,qtrSales!$A:$A,0)+4)/1000</f>
        <v>57.386000000000003</v>
      </c>
      <c r="BZ72" s="416">
        <f>INDEX(qtrSales!$AA:$AA,MATCH(sumry!BZ5,qtrSales!$A:$A,0)+1)/1000</f>
        <v>60.264000000000003</v>
      </c>
      <c r="CA72" s="416">
        <f>INDEX(qtrSales!$AA:$AA,MATCH(sumry!CA5,qtrSales!$A:$A,0)+2)/1000</f>
        <v>60.395000000000003</v>
      </c>
      <c r="CB72" s="416">
        <f>INDEX(qtrSales!$AA:$AA,MATCH(sumry!CB5,qtrSales!$A:$A,0)+3)/1000</f>
        <v>65.766000000000005</v>
      </c>
      <c r="CC72" s="416">
        <f>INDEX(qtrSales!$AA:$AA,MATCH(sumry!CC5,qtrSales!$A:$A,0)+4)/1000</f>
        <v>65.855000000000004</v>
      </c>
      <c r="CE72" s="416">
        <f>INDEX(qtrSales!$AA:$AA,MATCH(sumry!CE5,qtrSales!$A:$A,0)+1)/1000</f>
        <v>67.317999999999998</v>
      </c>
      <c r="CF72" s="416">
        <f>INDEX(qtrSales!$AA:$AA,MATCH(sumry!CF5,qtrSales!$A:$A,0)+2)/1000</f>
        <v>67.317999999999998</v>
      </c>
      <c r="CG72" s="416">
        <f>INDEX(qtrSales!$AA:$AA,MATCH(sumry!CG5,qtrSales!$A:$A,0)+3)/1000</f>
        <v>72.751999999999995</v>
      </c>
      <c r="CH72" s="416">
        <f>INDEX(qtrSales!$AA:$AA,MATCH(sumry!CH5,qtrSales!$A:$A,0)+4)/1000</f>
        <v>73.027000000000001</v>
      </c>
      <c r="CJ72" s="416">
        <f>INDEX(qtrSales!$AA:$AA,MATCH(sumry!CJ5,qtrSales!$A:$A,0)+1)/1000</f>
        <v>74.448999999999998</v>
      </c>
      <c r="CK72" s="416">
        <f>INDEX(qtrSales!$AA:$AA,MATCH(sumry!CK5,qtrSales!$A:$A,0)+2)/1000</f>
        <v>74.448999999999998</v>
      </c>
      <c r="CL72" s="416">
        <f>INDEX(qtrSales!$AA:$AA,MATCH(sumry!CL5,qtrSales!$A:$A,0)+3)/1000</f>
        <v>81.224000000000004</v>
      </c>
      <c r="CM72" s="416">
        <f>INDEX(qtrSales!$AA:$AA,MATCH(sumry!CM5,qtrSales!$A:$A,0)+4)/1000</f>
        <v>82.537999999999997</v>
      </c>
      <c r="CO72" s="416">
        <f>INDEX(qtrSales!$AA:$AA,MATCH(sumry!CO5,qtrSales!$A:$A,0)+1)/1000</f>
        <v>84.921999999999997</v>
      </c>
      <c r="CP72" s="416">
        <f>INDEX(qtrSales!$AA:$AA,MATCH(sumry!CP5,qtrSales!$A:$A,0)+2)/1000</f>
        <v>84.941999999999993</v>
      </c>
      <c r="CQ72" s="416">
        <f>INDEX(qtrSales!$AA:$AA,MATCH(sumry!CQ5,qtrSales!$A:$A,0)+3)/1000</f>
        <v>88.978999999999999</v>
      </c>
      <c r="CR72" s="416">
        <f>INDEX(qtrSales!$AA:$AA,MATCH(sumry!CR5,qtrSales!$A:$A,0)+4)/1000</f>
        <v>88.978999999999999</v>
      </c>
      <c r="CT72" s="416">
        <f>INDEX(qtrSales!$AA:$AA,MATCH(sumry!CT5,qtrSales!$A:$A,0)+1)/1000</f>
        <v>90.554000000000002</v>
      </c>
      <c r="CU72" s="416">
        <f>INDEX(qtrSales!$AA:$AA,MATCH(sumry!CU5,qtrSales!$A:$A,0)+2)/1000</f>
        <v>90.554000000000002</v>
      </c>
      <c r="CV72" s="416">
        <f>INDEX(qtrSales!$AA:$AA,MATCH(sumry!CV5,qtrSales!$A:$A,0)+3)/1000</f>
        <v>93.37</v>
      </c>
      <c r="CW72" s="416">
        <f>INDEX(qtrSales!$AA:$AA,MATCH(sumry!CW5,qtrSales!$A:$A,0)+4)/1000</f>
        <v>93.289000000000001</v>
      </c>
      <c r="CY72" s="416">
        <f>INDEX(qtrSales!$AA:$AA,MATCH(sumry!CY5,qtrSales!$A:$A,0)+1)/1000</f>
        <v>94.063000000000002</v>
      </c>
      <c r="CZ72" s="416">
        <f>INDEX(qtrSales!$AA:$AA,MATCH(sumry!CZ5,qtrSales!$A:$A,0)+2)/1000</f>
        <v>94.063000000000002</v>
      </c>
      <c r="DA72" s="416">
        <f>INDEX(qtrSales!$AA:$AA,MATCH(sumry!DA5,qtrSales!$A:$A,0)+3)/1000</f>
        <v>95.819000000000003</v>
      </c>
      <c r="DB72" s="416">
        <f>INDEX(qtrSales!$AA:$AA,MATCH(sumry!DB5,qtrSales!$A:$A,0)+4)/1000</f>
        <v>95.819000000000003</v>
      </c>
      <c r="DC72" s="413"/>
      <c r="DD72" s="416">
        <f>INDEX(qtrSales!$AA:$AA,MATCH(sumry!DD5,qtrSales!$A:$A,0)+1)/1000</f>
        <v>96.38</v>
      </c>
      <c r="DE72" s="416">
        <f>INDEX(qtrSales!$AA:$AA,MATCH(sumry!DE5,qtrSales!$A:$A,0)+2)/1000</f>
        <v>96.38</v>
      </c>
      <c r="DF72" s="416">
        <f>INDEX(qtrSales!$AA:$AA,MATCH(sumry!DF5,qtrSales!$A:$A,0)+3)/1000</f>
        <v>98.462999999999994</v>
      </c>
      <c r="DG72" s="416">
        <f>INDEX(qtrSales!$AA:$AA,MATCH(sumry!DG5,qtrSales!$A:$A,0)+4)/1000</f>
        <v>98.462999999999994</v>
      </c>
      <c r="DH72" s="413"/>
      <c r="DI72" s="413">
        <f>INDEX(qtrSales!$AA:$AA,MATCH(sumry!DI5,qtrSales!$A:$A,0)+1)/1000</f>
        <v>98.953000000000003</v>
      </c>
      <c r="DJ72" s="413">
        <f>INDEX(qtrSales!$AA:$AA,MATCH(sumry!DJ5,qtrSales!$A:$A,0)+2)/1000</f>
        <v>98.847999999999999</v>
      </c>
      <c r="DK72" s="413">
        <f>INDEX(qtrSales!$AA:$AA,MATCH(sumry!DK5,qtrSales!$A:$A,0)+3)/1000</f>
        <v>99.56519999999999</v>
      </c>
      <c r="DL72" s="413">
        <f>INDEX(qtrSales!$AA:$AA,MATCH(sumry!DL5,qtrSales!$A:$A,0)+4)/1000</f>
        <v>99.56519999999999</v>
      </c>
      <c r="DM72" s="413" t="e">
        <f>INDEX(qtrSales!$AA:$AA,MATCH(sumry!DM5,qtrSales!$A:$A,0)+1)/1000</f>
        <v>#N/A</v>
      </c>
      <c r="DN72" s="413">
        <f>INDEX(qtrSales!$AA:$AA,MATCH(sumry!DN5,qtrSales!$A:$A,0)+1)/1000</f>
        <v>100.07</v>
      </c>
      <c r="DO72" s="413">
        <f>INDEX(qtrSales!$AA:$AA,MATCH(sumry!DO5,qtrSales!$A:$A,0)+2)/1000</f>
        <v>100.107</v>
      </c>
      <c r="DP72" s="413">
        <f>INDEX(qtrSales!$AA:$AA,MATCH(sumry!DP5,qtrSales!$A:$A,0)+3)/1000</f>
        <v>100.27500000000001</v>
      </c>
      <c r="DQ72" s="413">
        <f>INDEX(qtrSales!$AA:$AA,MATCH(sumry!DQ5,qtrSales!$A:$A,0)+4)/1000</f>
        <v>100.3</v>
      </c>
      <c r="DR72" s="413" t="e">
        <f>INDEX(qtrSales!$AA:$AA,MATCH(sumry!DR5,qtrSales!$A:$A,0)+1)/1000</f>
        <v>#N/A</v>
      </c>
      <c r="DS72" s="413">
        <f>INDEX(qtrSales!$AA:$AA,MATCH(sumry!DS5,qtrSales!$A:$A,0)+1)/1000</f>
        <v>100.34</v>
      </c>
      <c r="DT72" s="413">
        <f>INDEX(qtrSales!$AA:$AA,MATCH(sumry!DT5,qtrSales!$A:$A,0)+2)/1000</f>
        <v>100.34</v>
      </c>
      <c r="DU72" s="413">
        <f>INDEX(qtrSales!$AA:$AA,MATCH(sumry!DU5,qtrSales!$A:$A,0)+3)/1000</f>
        <v>100.494</v>
      </c>
      <c r="DV72" s="413">
        <f>INDEX(qtrSales!$AA:$AA,MATCH(sumry!DV5,qtrSales!$A:$A,0)+4)/1000</f>
        <v>100.39400000000001</v>
      </c>
      <c r="DW72" s="413"/>
      <c r="DX72" s="413">
        <f>INDEX(qtrSales!$AA:$AA,MATCH(sumry!DX5,qtrSales!$A:$A,0)+1)/1000</f>
        <v>100.50700000000001</v>
      </c>
      <c r="DY72" s="413">
        <f>INDEX(qtrSales!$AA:$AA,MATCH(sumry!DY5,qtrSales!$A:$A,0)+2)/1000</f>
        <v>100.50700000000001</v>
      </c>
      <c r="DZ72" s="413">
        <f>INDEX(qtrSales!$AA:$AA,MATCH(sumry!DZ5,qtrSales!$A:$A,0)+3)/1000</f>
        <v>100.67</v>
      </c>
      <c r="EA72" s="413">
        <f>INDEX(qtrSales!$AA:$AA,MATCH(sumry!EA5,qtrSales!$A:$A,0)+4)/1000</f>
        <v>100.4</v>
      </c>
      <c r="EB72" s="413" t="e">
        <f>INDEX(qtrSales!$AA:$AA,MATCH(sumry!EB5,qtrSales!$A:$A,0)+1)/1000</f>
        <v>#N/A</v>
      </c>
      <c r="EC72" s="413">
        <f>INDEX(qtrSales!$AA:$AA,MATCH(sumry!EC5,qtrSales!$A:$A,0)+1)/1000</f>
        <v>100.6</v>
      </c>
      <c r="ED72" s="413">
        <f>INDEX(qtrSales!$AA:$AA,MATCH(sumry!ED5,qtrSales!$A:$A,0)+2)/1000</f>
        <v>99.1</v>
      </c>
      <c r="EE72" s="413">
        <f>INDEX(qtrSales!$AA:$AA,MATCH(sumry!EE5,qtrSales!$A:$A,0)+3)/1000</f>
        <v>99.2</v>
      </c>
      <c r="EF72" s="413">
        <f>INDEX(qtrSales!$AA:$AA,MATCH(sumry!EF5,qtrSales!$A:$A,0)+4)/1000</f>
        <v>99.1</v>
      </c>
      <c r="EG72" s="413"/>
      <c r="EH72" s="413">
        <f>INDEX(qtrSales!$AA:$AA,MATCH(sumry!EH5,qtrSales!$A:$A,0)+1)/1000</f>
        <v>99.1</v>
      </c>
      <c r="EI72" s="413">
        <f>INDEX(qtrSales!$AA:$AA,MATCH(sumry!EI5,qtrSales!$A:$A,0)+2)/1000</f>
        <v>99.1</v>
      </c>
      <c r="EJ72" s="413">
        <f>INDEX(qtrSales!$AA:$AA,MATCH(sumry!EJ5,qtrSales!$A:$A,0)+3)/1000</f>
        <v>99.1</v>
      </c>
      <c r="EK72" s="413">
        <f>INDEX(qtrSales!$AA:$AA,MATCH(sumry!EK5,qtrSales!$A:$A,0)+4)/1000</f>
        <v>99.2</v>
      </c>
      <c r="EL72" s="413"/>
      <c r="EM72" s="260"/>
      <c r="EN72" s="260"/>
      <c r="EO72" s="260"/>
      <c r="EP72" s="260"/>
      <c r="EQ72" s="413">
        <f t="shared" ref="EQ72:EV72" si="35">EQ64</f>
        <v>5152</v>
      </c>
      <c r="ER72" s="413">
        <f t="shared" si="35"/>
        <v>5139</v>
      </c>
      <c r="ES72" s="413">
        <f t="shared" si="35"/>
        <v>5658</v>
      </c>
      <c r="ET72" s="413">
        <f t="shared" si="35"/>
        <v>6531</v>
      </c>
      <c r="EU72" s="413">
        <f t="shared" si="35"/>
        <v>8025</v>
      </c>
      <c r="EV72" s="413">
        <f t="shared" si="35"/>
        <v>9685</v>
      </c>
      <c r="EW72" s="413">
        <f t="shared" ref="EW72:FE72" si="36">EW64/1000</f>
        <v>11.577</v>
      </c>
      <c r="EX72" s="413">
        <f t="shared" si="36"/>
        <v>14.795</v>
      </c>
      <c r="EY72" s="413">
        <f t="shared" si="36"/>
        <v>17.775099999999998</v>
      </c>
      <c r="EZ72" s="413">
        <f t="shared" si="36"/>
        <v>21.963000000000001</v>
      </c>
      <c r="FA72" s="413">
        <f t="shared" si="36"/>
        <v>27.763000000000002</v>
      </c>
      <c r="FB72" s="413">
        <f t="shared" si="36"/>
        <v>33.548000000000002</v>
      </c>
      <c r="FC72" s="413">
        <f t="shared" si="36"/>
        <v>40.579000000000001</v>
      </c>
      <c r="FD72" s="413">
        <f t="shared" si="36"/>
        <v>48.427</v>
      </c>
      <c r="FE72" s="413">
        <f t="shared" si="36"/>
        <v>57.386000000000003</v>
      </c>
      <c r="FF72" s="413">
        <f>FF64/1000</f>
        <v>65.855000000000004</v>
      </c>
      <c r="FG72" s="413">
        <f t="shared" ref="FG72:FQ72" si="37">FG64/1000</f>
        <v>73.027000000000001</v>
      </c>
      <c r="FH72" s="413">
        <f t="shared" si="37"/>
        <v>82.537999999999997</v>
      </c>
      <c r="FI72" s="413">
        <f t="shared" si="37"/>
        <v>88.564576628653995</v>
      </c>
      <c r="FJ72" s="413">
        <f t="shared" si="37"/>
        <v>92.584656355077328</v>
      </c>
      <c r="FK72" s="413"/>
      <c r="FL72" s="413">
        <f t="shared" si="37"/>
        <v>95.819000000000003</v>
      </c>
      <c r="FM72" s="413">
        <f t="shared" si="37"/>
        <v>98.462999999999994</v>
      </c>
      <c r="FN72" s="413">
        <f t="shared" si="37"/>
        <v>99.56519999999999</v>
      </c>
      <c r="FO72" s="413">
        <f t="shared" si="37"/>
        <v>100.3</v>
      </c>
      <c r="FP72" s="413">
        <f t="shared" si="37"/>
        <v>100.39400000000001</v>
      </c>
      <c r="FQ72" s="413">
        <f t="shared" si="37"/>
        <v>100.4</v>
      </c>
      <c r="FR72" s="413">
        <f t="shared" ref="FR72:FW72" si="38">FR64/1000</f>
        <v>99.1</v>
      </c>
      <c r="FS72" s="413">
        <f t="shared" si="38"/>
        <v>99.2</v>
      </c>
      <c r="FT72" s="413">
        <f t="shared" si="38"/>
        <v>99.536249999999995</v>
      </c>
      <c r="FU72" s="413">
        <f t="shared" si="38"/>
        <v>99.878593078245913</v>
      </c>
      <c r="FV72" s="413">
        <f t="shared" si="38"/>
        <v>99.878593078245913</v>
      </c>
      <c r="FW72" s="413">
        <f t="shared" si="38"/>
        <v>99.878593078245913</v>
      </c>
      <c r="FX72" s="413">
        <f>FX64/1000</f>
        <v>99.878593078245913</v>
      </c>
    </row>
    <row r="73" spans="1:263" s="417" customFormat="1" x14ac:dyDescent="0.2">
      <c r="A73" s="303" t="s">
        <v>7</v>
      </c>
      <c r="C73" s="418">
        <v>0.35</v>
      </c>
      <c r="D73" s="418">
        <v>0.35</v>
      </c>
      <c r="E73" s="418">
        <v>0.35</v>
      </c>
      <c r="F73" s="418">
        <v>0.35</v>
      </c>
      <c r="G73" s="418"/>
      <c r="H73" s="418">
        <v>0.35</v>
      </c>
      <c r="I73" s="418">
        <v>0.35</v>
      </c>
      <c r="J73" s="418">
        <v>0.35</v>
      </c>
      <c r="K73" s="418">
        <v>0.35</v>
      </c>
      <c r="L73" s="418"/>
      <c r="M73" s="418">
        <v>0.35</v>
      </c>
      <c r="N73" s="418">
        <v>0.35</v>
      </c>
      <c r="O73" s="418">
        <v>0.35</v>
      </c>
      <c r="P73" s="418">
        <v>0.35</v>
      </c>
      <c r="Q73" s="418"/>
      <c r="R73" s="418">
        <v>0.35</v>
      </c>
      <c r="S73" s="418">
        <v>0.35</v>
      </c>
      <c r="T73" s="418">
        <v>0.35</v>
      </c>
      <c r="U73" s="418">
        <v>0.35</v>
      </c>
      <c r="V73" s="418"/>
      <c r="W73" s="418">
        <v>0.35</v>
      </c>
      <c r="X73" s="418">
        <v>0.35</v>
      </c>
      <c r="Y73" s="418">
        <v>0.35</v>
      </c>
      <c r="Z73" s="418">
        <v>0.35</v>
      </c>
      <c r="AA73" s="418"/>
      <c r="AB73" s="418">
        <v>0.35</v>
      </c>
      <c r="AC73" s="418">
        <v>0.35</v>
      </c>
      <c r="AD73" s="418">
        <v>0.35</v>
      </c>
      <c r="AE73" s="418">
        <v>0.35</v>
      </c>
      <c r="AG73" s="418">
        <v>0.35</v>
      </c>
      <c r="AH73" s="418">
        <v>0.35</v>
      </c>
      <c r="AI73" s="418">
        <v>0.35</v>
      </c>
      <c r="AJ73" s="418">
        <v>0.35</v>
      </c>
      <c r="AK73" s="418"/>
      <c r="AL73" s="418">
        <v>0.35</v>
      </c>
      <c r="AM73" s="418">
        <v>0.35</v>
      </c>
      <c r="AN73" s="418">
        <v>0.35</v>
      </c>
      <c r="AO73" s="418">
        <v>0.35</v>
      </c>
      <c r="AQ73" s="418">
        <v>0.35</v>
      </c>
      <c r="AR73" s="418">
        <v>0.35</v>
      </c>
      <c r="AS73" s="418">
        <v>0.35</v>
      </c>
      <c r="AT73" s="418">
        <v>0.35</v>
      </c>
      <c r="AU73" s="418"/>
      <c r="AV73" s="418">
        <v>0.35</v>
      </c>
      <c r="AW73" s="418">
        <v>0.35</v>
      </c>
      <c r="AX73" s="418">
        <v>0.35</v>
      </c>
      <c r="AY73" s="418">
        <v>0.35</v>
      </c>
      <c r="BA73" s="418">
        <v>0.35</v>
      </c>
      <c r="BB73" s="418">
        <v>0.35</v>
      </c>
      <c r="BC73" s="418">
        <v>0.35</v>
      </c>
      <c r="BD73" s="418">
        <v>0.35</v>
      </c>
      <c r="BE73" s="418"/>
      <c r="BF73" s="418">
        <v>0.35</v>
      </c>
      <c r="BG73" s="418">
        <v>0.35</v>
      </c>
      <c r="BH73" s="418">
        <v>0.35</v>
      </c>
      <c r="BI73" s="418">
        <v>0.35</v>
      </c>
      <c r="BK73" s="418">
        <v>0.35</v>
      </c>
      <c r="BL73" s="418">
        <v>0.35</v>
      </c>
      <c r="BM73" s="418">
        <v>0.35</v>
      </c>
      <c r="BN73" s="418">
        <v>0.35</v>
      </c>
      <c r="BP73" s="418">
        <v>0.35</v>
      </c>
      <c r="BQ73" s="418">
        <v>0.35</v>
      </c>
      <c r="BR73" s="418">
        <v>0.35</v>
      </c>
      <c r="BS73" s="418">
        <v>0.35</v>
      </c>
      <c r="BU73" s="418">
        <v>0.35</v>
      </c>
      <c r="BV73" s="418">
        <v>0.35</v>
      </c>
      <c r="BW73" s="418">
        <v>0.35</v>
      </c>
      <c r="BX73" s="418">
        <v>0.35</v>
      </c>
      <c r="BY73" s="418"/>
      <c r="BZ73" s="418">
        <v>0.35</v>
      </c>
      <c r="CA73" s="418">
        <v>0.35</v>
      </c>
      <c r="CB73" s="418">
        <v>0.35</v>
      </c>
      <c r="CC73" s="418">
        <v>0.35</v>
      </c>
      <c r="CE73" s="418">
        <v>0.35</v>
      </c>
      <c r="CF73" s="418">
        <v>0.35</v>
      </c>
      <c r="CG73" s="418">
        <v>0.35</v>
      </c>
      <c r="CH73" s="418">
        <v>0.35</v>
      </c>
      <c r="CI73" s="418"/>
      <c r="CJ73" s="418">
        <v>0.35</v>
      </c>
      <c r="CK73" s="418">
        <v>0.35</v>
      </c>
      <c r="CL73" s="418">
        <v>0.35</v>
      </c>
      <c r="CM73" s="418">
        <v>0.35</v>
      </c>
      <c r="CO73" s="418">
        <v>0.35</v>
      </c>
      <c r="CP73" s="418">
        <v>0.35</v>
      </c>
      <c r="CQ73" s="418">
        <v>0.35</v>
      </c>
      <c r="CR73" s="418">
        <v>0.35</v>
      </c>
      <c r="CS73" s="418"/>
      <c r="CT73" s="418">
        <v>0.35</v>
      </c>
      <c r="CU73" s="418">
        <v>0.35</v>
      </c>
      <c r="CV73" s="418">
        <v>0.35</v>
      </c>
      <c r="CW73" s="418">
        <v>0.35</v>
      </c>
      <c r="CY73" s="418">
        <v>0.35</v>
      </c>
      <c r="CZ73" s="418">
        <v>0.35</v>
      </c>
      <c r="DA73" s="418">
        <v>0.35</v>
      </c>
      <c r="DB73" s="418">
        <v>0.35</v>
      </c>
      <c r="DD73" s="418">
        <v>0.35</v>
      </c>
      <c r="DE73" s="418">
        <v>0.35</v>
      </c>
      <c r="DF73" s="418">
        <v>0.35</v>
      </c>
      <c r="DG73" s="418">
        <v>0.35</v>
      </c>
      <c r="DI73" s="418">
        <v>0.35</v>
      </c>
      <c r="DJ73" s="418">
        <v>0.35</v>
      </c>
      <c r="DK73" s="418">
        <v>0.35</v>
      </c>
      <c r="DL73" s="418">
        <v>0.35</v>
      </c>
      <c r="DN73" s="418">
        <v>0.35</v>
      </c>
      <c r="DO73" s="418">
        <v>0.35</v>
      </c>
      <c r="DP73" s="418">
        <v>0.35</v>
      </c>
      <c r="DQ73" s="418">
        <v>0.35</v>
      </c>
      <c r="DS73" s="418">
        <v>0.35</v>
      </c>
      <c r="DT73" s="418">
        <v>0.35</v>
      </c>
      <c r="DU73" s="418">
        <v>0.35</v>
      </c>
      <c r="DV73" s="418">
        <v>0.35</v>
      </c>
      <c r="DX73" s="418">
        <v>0.35</v>
      </c>
      <c r="DY73" s="418">
        <v>0.35</v>
      </c>
      <c r="DZ73" s="418">
        <v>0.35</v>
      </c>
      <c r="EA73" s="418">
        <v>0.35</v>
      </c>
      <c r="EC73" s="418">
        <v>0.35</v>
      </c>
      <c r="ED73" s="418">
        <v>0.35</v>
      </c>
      <c r="EE73" s="418">
        <v>0.35</v>
      </c>
      <c r="EF73" s="418">
        <v>0.35</v>
      </c>
      <c r="EH73" s="418">
        <v>0.35</v>
      </c>
      <c r="EI73" s="418">
        <v>0.35</v>
      </c>
      <c r="EJ73" s="418">
        <v>0.35</v>
      </c>
      <c r="EK73" s="418">
        <v>0.35</v>
      </c>
      <c r="EL73" s="418"/>
      <c r="EM73" s="1209"/>
      <c r="EN73" s="1209"/>
      <c r="EO73" s="1209"/>
      <c r="EP73" s="1209"/>
      <c r="EQ73" s="418">
        <v>0.35</v>
      </c>
      <c r="ER73" s="418">
        <v>0.35</v>
      </c>
      <c r="ES73" s="418">
        <v>0.35</v>
      </c>
      <c r="ET73" s="418">
        <v>0.35</v>
      </c>
      <c r="EU73" s="418">
        <v>0.35</v>
      </c>
      <c r="EV73" s="418">
        <v>0.35</v>
      </c>
      <c r="EW73" s="418">
        <v>0.35</v>
      </c>
      <c r="EX73" s="418">
        <v>0.35</v>
      </c>
      <c r="EY73" s="418">
        <v>0.35</v>
      </c>
      <c r="EZ73" s="418">
        <v>0.35</v>
      </c>
      <c r="FA73" s="418">
        <v>0.35</v>
      </c>
      <c r="FB73" s="418">
        <v>0.35</v>
      </c>
      <c r="FC73" s="418">
        <v>0.35</v>
      </c>
      <c r="FD73" s="418">
        <v>0.35</v>
      </c>
      <c r="FE73" s="418">
        <v>0.35</v>
      </c>
      <c r="FF73" s="418">
        <v>0.35</v>
      </c>
      <c r="FG73" s="418">
        <v>0.35</v>
      </c>
      <c r="FH73" s="418">
        <v>0.35</v>
      </c>
      <c r="FI73" s="418">
        <v>0.35</v>
      </c>
      <c r="FJ73" s="418">
        <v>0.35</v>
      </c>
      <c r="FK73" s="418"/>
      <c r="FL73" s="418">
        <v>0.35</v>
      </c>
      <c r="FM73" s="418">
        <v>0.35</v>
      </c>
      <c r="FN73" s="418">
        <v>0.35</v>
      </c>
      <c r="FO73" s="418">
        <v>0.35</v>
      </c>
      <c r="FP73" s="418">
        <v>0.35</v>
      </c>
      <c r="FQ73" s="418">
        <v>0.35</v>
      </c>
      <c r="FR73" s="418">
        <v>0.35</v>
      </c>
      <c r="FS73" s="1218">
        <v>0.35</v>
      </c>
      <c r="FT73" s="1218">
        <v>0.21</v>
      </c>
      <c r="FU73" s="1218">
        <v>0.21</v>
      </c>
      <c r="FV73" s="1218">
        <v>0.21</v>
      </c>
      <c r="FW73" s="1218">
        <v>0.21</v>
      </c>
      <c r="FX73" s="1218">
        <v>0.21</v>
      </c>
      <c r="FY73" s="418"/>
      <c r="FZ73"/>
      <c r="GA73"/>
      <c r="GB73"/>
      <c r="GC73"/>
      <c r="GD73"/>
      <c r="GE73"/>
      <c r="GF73" s="303"/>
      <c r="GG73" s="303"/>
      <c r="GH73" s="303"/>
      <c r="GI73" s="303"/>
      <c r="GJ73" s="303"/>
      <c r="GK73" s="303"/>
      <c r="GL73" s="303"/>
      <c r="GM73" s="303"/>
      <c r="GN73" s="303"/>
      <c r="GO73" s="303"/>
      <c r="GP73" s="303"/>
      <c r="GQ73" s="303"/>
      <c r="GR73" s="303"/>
      <c r="GS73" s="303"/>
      <c r="GT73" s="303"/>
      <c r="GU73" s="303"/>
      <c r="GV73" s="303"/>
      <c r="GW73" s="303"/>
      <c r="GX73" s="303"/>
      <c r="GY73" s="303"/>
      <c r="GZ73" s="303"/>
      <c r="HA73" s="303"/>
      <c r="HB73" s="303"/>
      <c r="HC73" s="303"/>
      <c r="HD73" s="303"/>
      <c r="HE73" s="303"/>
      <c r="HF73" s="303"/>
      <c r="HG73" s="303"/>
      <c r="HH73" s="303"/>
      <c r="HI73" s="303"/>
      <c r="HJ73" s="303"/>
      <c r="HK73" s="303"/>
      <c r="HL73" s="303"/>
      <c r="HM73" s="303"/>
      <c r="HN73" s="303"/>
      <c r="HO73" s="303"/>
      <c r="HP73" s="303"/>
      <c r="HQ73" s="303"/>
      <c r="HR73" s="303"/>
      <c r="HS73" s="303"/>
      <c r="HT73" s="303"/>
      <c r="HU73" s="303"/>
      <c r="HV73" s="303"/>
      <c r="HW73" s="303"/>
      <c r="HX73" s="303"/>
      <c r="HY73" s="303"/>
      <c r="HZ73" s="303"/>
      <c r="IA73" s="303"/>
      <c r="IB73" s="303"/>
      <c r="IC73" s="303"/>
      <c r="ID73" s="303"/>
      <c r="IE73" s="303"/>
      <c r="IF73" s="303"/>
      <c r="IG73" s="303"/>
      <c r="IH73" s="303"/>
      <c r="II73" s="303"/>
      <c r="IJ73" s="303"/>
      <c r="IK73" s="303"/>
      <c r="IL73" s="303"/>
      <c r="IM73" s="303"/>
      <c r="IN73" s="303"/>
      <c r="IO73" s="303"/>
      <c r="IP73" s="303"/>
      <c r="IQ73" s="303"/>
      <c r="IR73" s="303"/>
      <c r="IS73" s="303"/>
      <c r="IT73" s="303"/>
      <c r="IU73" s="303"/>
      <c r="IV73" s="303"/>
      <c r="IW73" s="303"/>
      <c r="IX73" s="303"/>
      <c r="IY73" s="303"/>
      <c r="IZ73" s="303"/>
      <c r="JA73" s="303"/>
      <c r="JB73" s="303"/>
      <c r="JC73" s="303"/>
    </row>
    <row r="74" spans="1:263" x14ac:dyDescent="0.2">
      <c r="A74" s="303" t="s">
        <v>458</v>
      </c>
      <c r="B74" s="413"/>
      <c r="C74" s="413"/>
      <c r="D74" s="413"/>
      <c r="E74" s="413"/>
      <c r="F74" s="413"/>
      <c r="G74" s="413"/>
      <c r="H74" s="413"/>
      <c r="I74" s="413"/>
      <c r="J74" s="413"/>
      <c r="K74" s="413"/>
      <c r="L74" s="413"/>
      <c r="M74" s="413"/>
      <c r="N74" s="413"/>
      <c r="O74" s="413"/>
      <c r="P74" s="413"/>
      <c r="Q74" s="413"/>
      <c r="R74" s="413"/>
      <c r="S74" s="413"/>
      <c r="T74" s="413"/>
      <c r="U74" s="413"/>
      <c r="V74" s="413"/>
      <c r="W74" s="413"/>
      <c r="X74" s="413"/>
      <c r="Y74" s="413"/>
      <c r="Z74" s="413"/>
      <c r="AA74" s="413"/>
      <c r="AB74" s="413"/>
      <c r="AC74" s="413"/>
      <c r="AD74" s="413"/>
      <c r="AE74" s="413"/>
      <c r="AF74" s="413"/>
      <c r="AG74" s="413"/>
      <c r="AH74" s="413"/>
      <c r="AI74" s="413"/>
      <c r="AJ74" s="413"/>
      <c r="AK74" s="413"/>
      <c r="AL74" s="413"/>
      <c r="AM74" s="413"/>
      <c r="AN74" s="413"/>
      <c r="AO74" s="413"/>
      <c r="AP74" s="413"/>
      <c r="AQ74" s="413"/>
      <c r="AR74" s="413"/>
      <c r="AS74" s="413"/>
      <c r="AT74" s="413"/>
      <c r="AU74" s="413"/>
      <c r="AV74" s="413"/>
      <c r="AW74" s="413"/>
      <c r="AX74" s="413"/>
      <c r="AY74" s="413"/>
      <c r="AZ74" s="413"/>
      <c r="BA74" s="413"/>
      <c r="BB74" s="413"/>
      <c r="BC74" s="413"/>
      <c r="BD74" s="413"/>
      <c r="BE74" s="413"/>
      <c r="BF74" s="413"/>
      <c r="BG74" s="413"/>
      <c r="BH74" s="413"/>
      <c r="BI74" s="413"/>
      <c r="BJ74" s="413"/>
      <c r="BK74" s="413"/>
      <c r="BL74" s="413"/>
      <c r="BM74" s="413"/>
      <c r="BN74" s="413"/>
      <c r="BO74" s="413"/>
      <c r="BP74" s="413"/>
      <c r="BQ74" s="413"/>
      <c r="BR74" s="413"/>
      <c r="BS74" s="413"/>
      <c r="BT74" s="413"/>
      <c r="BU74" s="413"/>
      <c r="BV74" s="413"/>
      <c r="BW74" s="413"/>
      <c r="BX74" s="413"/>
      <c r="BY74" s="413"/>
      <c r="BZ74" s="413"/>
      <c r="CA74" s="413"/>
      <c r="CB74" s="413"/>
      <c r="CC74" s="413"/>
      <c r="CD74" s="413"/>
      <c r="CE74" s="413"/>
      <c r="CF74" s="413"/>
      <c r="CG74" s="413"/>
      <c r="CH74" s="413"/>
      <c r="CI74" s="413"/>
      <c r="CJ74" s="413"/>
      <c r="CK74" s="413"/>
      <c r="CL74" s="413"/>
      <c r="CM74" s="413"/>
      <c r="CN74" s="413"/>
      <c r="CO74" s="413"/>
      <c r="CP74" s="413"/>
      <c r="CQ74" s="413"/>
      <c r="CR74" s="413"/>
      <c r="CS74" s="413"/>
      <c r="CT74" s="413"/>
      <c r="CU74" s="413"/>
      <c r="CV74" s="413"/>
      <c r="CW74" s="413"/>
      <c r="CX74" s="413"/>
      <c r="CY74" s="413"/>
      <c r="CZ74" s="413"/>
      <c r="DA74" s="413"/>
      <c r="DB74" s="413"/>
      <c r="DC74" s="413"/>
      <c r="DD74" s="413"/>
      <c r="DE74" s="413"/>
      <c r="DF74" s="413"/>
      <c r="DG74" s="413"/>
      <c r="DH74" s="413"/>
      <c r="DI74" s="413"/>
      <c r="DJ74" s="413"/>
      <c r="DK74" s="413"/>
      <c r="DL74" s="413"/>
      <c r="DM74" s="413"/>
      <c r="DN74" s="413"/>
      <c r="DO74" s="413"/>
      <c r="DP74" s="413"/>
      <c r="DQ74" s="413"/>
      <c r="DR74" s="413"/>
      <c r="DS74" s="413"/>
      <c r="DT74" s="413"/>
      <c r="DU74" s="413"/>
      <c r="DV74" s="413"/>
      <c r="DW74" s="413"/>
      <c r="DX74" s="413"/>
      <c r="DY74" s="413"/>
      <c r="DZ74" s="413"/>
      <c r="EA74" s="413"/>
      <c r="EB74" s="413"/>
      <c r="EG74" s="413"/>
      <c r="EQ74" s="413"/>
      <c r="ER74" s="413"/>
      <c r="ES74" s="413"/>
      <c r="ET74" s="413"/>
      <c r="EU74" s="413"/>
      <c r="EV74" s="413"/>
      <c r="EW74" s="413"/>
      <c r="EX74" s="413"/>
      <c r="EY74" s="413"/>
      <c r="EZ74" s="413"/>
      <c r="FA74" s="413"/>
      <c r="FB74" s="413"/>
      <c r="FC74" s="413"/>
      <c r="FD74" s="413"/>
      <c r="FE74" s="413"/>
      <c r="FF74" s="413"/>
      <c r="FG74" s="413"/>
      <c r="FH74" s="413"/>
      <c r="FI74" s="413"/>
      <c r="FJ74" s="413"/>
      <c r="FK74" s="413"/>
      <c r="FL74" s="413"/>
      <c r="FM74" s="413">
        <f>-flow!Z47</f>
        <v>271</v>
      </c>
      <c r="FN74" s="413">
        <f>-flow!AA47</f>
        <v>300</v>
      </c>
      <c r="FO74" s="413">
        <f>-flow!AB47</f>
        <v>302</v>
      </c>
      <c r="FP74" s="413">
        <f>-flow!AC47</f>
        <v>317</v>
      </c>
      <c r="FQ74" s="413">
        <f>-flow!AD47</f>
        <v>349</v>
      </c>
      <c r="FR74" s="413">
        <f>-flow!AE47</f>
        <v>358</v>
      </c>
      <c r="FS74" s="413">
        <f>-flow!AF47</f>
        <v>368</v>
      </c>
      <c r="FT74" s="413">
        <f>-flow!AG47</f>
        <v>403.56583333333344</v>
      </c>
      <c r="FU74" s="413">
        <f>-flow!AH47</f>
        <v>436.8515000000001</v>
      </c>
      <c r="FV74" s="413">
        <f>-flow!AI47</f>
        <v>467.07191666666677</v>
      </c>
      <c r="FW74" s="413">
        <f>-flow!AJ47</f>
        <v>494.09644166666681</v>
      </c>
      <c r="FX74" s="413">
        <f>-flow!AK47</f>
        <v>521.85515250000014</v>
      </c>
    </row>
    <row r="75" spans="1:263" x14ac:dyDescent="0.2">
      <c r="A75" s="303" t="s">
        <v>459</v>
      </c>
      <c r="B75" s="413"/>
      <c r="C75" s="413"/>
      <c r="D75" s="413"/>
      <c r="E75" s="413"/>
      <c r="F75" s="413"/>
      <c r="G75" s="413"/>
      <c r="H75" s="413"/>
      <c r="I75" s="413"/>
      <c r="J75" s="413"/>
      <c r="K75" s="413"/>
      <c r="L75" s="413"/>
      <c r="M75" s="413"/>
      <c r="N75" s="413"/>
      <c r="O75" s="413"/>
      <c r="P75" s="413"/>
      <c r="Q75" s="413"/>
      <c r="R75" s="413"/>
      <c r="S75" s="413"/>
      <c r="T75" s="413"/>
      <c r="U75" s="413"/>
      <c r="V75" s="413"/>
      <c r="W75" s="413"/>
      <c r="X75" s="413"/>
      <c r="Y75" s="413"/>
      <c r="Z75" s="413"/>
      <c r="AA75" s="413"/>
      <c r="AB75" s="413"/>
      <c r="AC75" s="413"/>
      <c r="AD75" s="413"/>
      <c r="AE75" s="413"/>
      <c r="AF75" s="413"/>
      <c r="AG75" s="413"/>
      <c r="AH75" s="413"/>
      <c r="AI75" s="413"/>
      <c r="AJ75" s="413"/>
      <c r="AK75" s="413"/>
      <c r="AL75" s="413"/>
      <c r="AM75" s="413"/>
      <c r="AN75" s="413"/>
      <c r="AO75" s="413"/>
      <c r="AP75" s="413"/>
      <c r="AQ75" s="413"/>
      <c r="AR75" s="413"/>
      <c r="AS75" s="413"/>
      <c r="AT75" s="413"/>
      <c r="AU75" s="413"/>
      <c r="AV75" s="413"/>
      <c r="AW75" s="413"/>
      <c r="AX75" s="413"/>
      <c r="AY75" s="413"/>
      <c r="AZ75" s="413"/>
      <c r="BA75" s="413"/>
      <c r="BB75" s="413"/>
      <c r="BC75" s="413"/>
      <c r="BD75" s="413"/>
      <c r="BE75" s="413"/>
      <c r="BF75" s="413"/>
      <c r="BG75" s="413"/>
      <c r="BH75" s="413"/>
      <c r="BI75" s="413"/>
      <c r="BJ75" s="413"/>
      <c r="BK75" s="413"/>
      <c r="BL75" s="413"/>
      <c r="BM75" s="413"/>
      <c r="BN75" s="413"/>
      <c r="BO75" s="413"/>
      <c r="BP75" s="413"/>
      <c r="BQ75" s="413"/>
      <c r="BR75" s="413"/>
      <c r="BS75" s="413"/>
      <c r="BT75" s="413"/>
      <c r="BU75" s="413"/>
      <c r="BV75" s="413"/>
      <c r="BW75" s="413"/>
      <c r="BX75" s="413"/>
      <c r="BY75" s="413"/>
      <c r="BZ75" s="413"/>
      <c r="CA75" s="413"/>
      <c r="CB75" s="413"/>
      <c r="CC75" s="413"/>
      <c r="CD75" s="413"/>
      <c r="CE75" s="413"/>
      <c r="CF75" s="413"/>
      <c r="CG75" s="413"/>
      <c r="CH75" s="413"/>
      <c r="CI75" s="413"/>
      <c r="CJ75" s="413"/>
      <c r="CK75" s="413"/>
      <c r="CL75" s="413"/>
      <c r="CM75" s="413"/>
      <c r="CN75" s="413"/>
      <c r="CO75" s="413"/>
      <c r="CP75" s="413"/>
      <c r="CQ75" s="413"/>
      <c r="CR75" s="413"/>
      <c r="CS75" s="413"/>
      <c r="CT75" s="413"/>
      <c r="CU75" s="413"/>
      <c r="CV75" s="413"/>
      <c r="CW75" s="413"/>
      <c r="CX75" s="413"/>
      <c r="CY75" s="413"/>
      <c r="CZ75" s="413"/>
      <c r="DA75" s="413"/>
      <c r="DB75" s="413"/>
      <c r="DC75" s="413"/>
      <c r="DD75" s="413"/>
      <c r="DE75" s="413"/>
      <c r="DF75" s="413"/>
      <c r="DG75" s="413"/>
      <c r="DH75" s="413"/>
      <c r="DI75" s="413"/>
      <c r="DJ75" s="413"/>
      <c r="DK75" s="413"/>
      <c r="DL75" s="413"/>
      <c r="DM75" s="413"/>
      <c r="DN75" s="413"/>
      <c r="DO75" s="413"/>
      <c r="DP75" s="413"/>
      <c r="DQ75" s="413"/>
      <c r="DR75" s="413"/>
      <c r="DS75" s="413"/>
      <c r="DT75" s="413"/>
      <c r="DU75" s="413"/>
      <c r="DV75" s="413"/>
      <c r="DW75" s="413"/>
      <c r="DX75" s="413"/>
      <c r="DY75" s="413"/>
      <c r="DZ75" s="413"/>
      <c r="EA75" s="413"/>
      <c r="EB75" s="413"/>
      <c r="EG75" s="413"/>
      <c r="EQ75" s="413"/>
      <c r="ER75" s="413"/>
      <c r="ES75" s="413"/>
      <c r="ET75" s="413"/>
      <c r="EU75" s="413"/>
      <c r="EV75" s="413"/>
      <c r="EW75" s="413"/>
      <c r="EX75" s="413"/>
      <c r="EY75" s="413">
        <f>flow!M41</f>
        <v>0</v>
      </c>
      <c r="EZ75" s="413">
        <f>flow!N41</f>
        <v>0</v>
      </c>
      <c r="FA75" s="413">
        <f>flow!O41</f>
        <v>0</v>
      </c>
      <c r="FB75" s="413">
        <f>flow!P41</f>
        <v>0</v>
      </c>
      <c r="FC75" s="413">
        <f>flow!Q41</f>
        <v>0</v>
      </c>
      <c r="FD75" s="413">
        <f>flow!R41</f>
        <v>0</v>
      </c>
      <c r="FE75" s="413">
        <f>flow!S41</f>
        <v>0</v>
      </c>
      <c r="FF75" s="413">
        <f>flow!T41</f>
        <v>0</v>
      </c>
      <c r="FG75" s="413">
        <f>flow!U41</f>
        <v>-1628.4159999999999</v>
      </c>
      <c r="FH75" s="413">
        <f>flow!V41</f>
        <v>-747.91499999999996</v>
      </c>
      <c r="FI75" s="413">
        <f>flow!W41</f>
        <v>-262</v>
      </c>
      <c r="FJ75" s="413">
        <f>flow!X41</f>
        <v>-1</v>
      </c>
      <c r="FK75" s="413"/>
      <c r="FL75" s="413">
        <f>flow!Y41</f>
        <v>-1004</v>
      </c>
      <c r="FM75" s="413">
        <f>flow!Z41</f>
        <v>-2311</v>
      </c>
      <c r="FN75" s="413">
        <f>flow!AA41</f>
        <v>-1293</v>
      </c>
      <c r="FO75" s="413">
        <f>flow!AB41</f>
        <v>-812</v>
      </c>
      <c r="FP75" s="413">
        <f>flow!AC41</f>
        <v>-696</v>
      </c>
      <c r="FQ75" s="413">
        <f>flow!AD41</f>
        <v>-1028</v>
      </c>
      <c r="FR75" s="413">
        <f>flow!AE41</f>
        <v>-574</v>
      </c>
      <c r="FS75" s="413">
        <f>flow!AF41</f>
        <v>-320</v>
      </c>
      <c r="FT75" s="413">
        <f>flow!AG41</f>
        <v>-350</v>
      </c>
      <c r="FU75" s="413">
        <f>flow!AH41</f>
        <v>-400</v>
      </c>
      <c r="FV75" s="413">
        <f>flow!AI41</f>
        <v>-400</v>
      </c>
      <c r="FW75" s="413">
        <f>flow!AJ41</f>
        <v>-400</v>
      </c>
      <c r="FX75" s="413">
        <f>flow!AK41</f>
        <v>-400</v>
      </c>
    </row>
    <row r="76" spans="1:263" x14ac:dyDescent="0.2">
      <c r="A76" s="303" t="s">
        <v>460</v>
      </c>
      <c r="EY76" s="413">
        <f>flow!M12</f>
        <v>0</v>
      </c>
      <c r="EZ76" s="413">
        <f>flow!N12</f>
        <v>0</v>
      </c>
      <c r="FA76" s="413">
        <f>flow!O12</f>
        <v>0</v>
      </c>
      <c r="FB76" s="413">
        <f>flow!P12</f>
        <v>0</v>
      </c>
      <c r="FC76" s="413">
        <f>flow!Q12</f>
        <v>0</v>
      </c>
      <c r="FD76" s="413">
        <f>flow!R12</f>
        <v>0</v>
      </c>
      <c r="FE76" s="413">
        <f>flow!S12</f>
        <v>43.375</v>
      </c>
      <c r="FF76" s="413">
        <f>flow!T12</f>
        <v>43.941000000000003</v>
      </c>
      <c r="FG76" s="413">
        <f>flow!U12</f>
        <v>44.698999999999998</v>
      </c>
      <c r="FH76" s="413">
        <f>flow!V12</f>
        <v>53.606999999999999</v>
      </c>
      <c r="FI76" s="413">
        <f>flow!W12</f>
        <v>55</v>
      </c>
      <c r="FJ76" s="413">
        <f>flow!X12</f>
        <v>67</v>
      </c>
      <c r="FK76" s="413"/>
      <c r="FL76" s="413">
        <f>flow!Y12</f>
        <v>66</v>
      </c>
      <c r="FM76" s="413">
        <f>flow!Z12</f>
        <v>57</v>
      </c>
      <c r="FN76" s="413">
        <f>flow!AA12</f>
        <v>50</v>
      </c>
      <c r="FO76" s="413">
        <f>flow!AB12</f>
        <v>55</v>
      </c>
      <c r="FP76" s="413">
        <f>flow!AC12</f>
        <v>48</v>
      </c>
      <c r="FQ76" s="413">
        <f>flow!AD12</f>
        <v>48</v>
      </c>
      <c r="FR76" s="413">
        <f>flow!AE12</f>
        <v>41</v>
      </c>
      <c r="FS76" s="413">
        <f>flow!AF12</f>
        <v>55</v>
      </c>
      <c r="FT76" s="413">
        <f>flow!AG12</f>
        <v>54.10720900759361</v>
      </c>
      <c r="FU76" s="413">
        <f>flow!AH12</f>
        <v>53.318468030549667</v>
      </c>
      <c r="FV76" s="413">
        <f>flow!AI12</f>
        <v>52.518691010091423</v>
      </c>
      <c r="FW76" s="413">
        <f>flow!AJ12</f>
        <v>51.730910644940053</v>
      </c>
      <c r="FX76" s="413">
        <f>flow!AK12</f>
        <v>50.954946985265948</v>
      </c>
    </row>
    <row r="77" spans="1:263" customFormat="1" ht="11.1" customHeight="1" outlineLevel="1" x14ac:dyDescent="0.2"/>
    <row r="80" spans="1:263" x14ac:dyDescent="0.2">
      <c r="FL80" s="421"/>
    </row>
    <row r="81" spans="115:175" x14ac:dyDescent="0.2">
      <c r="FL81" s="421"/>
    </row>
    <row r="83" spans="115:175" x14ac:dyDescent="0.2">
      <c r="DW83" s="303">
        <v>2015</v>
      </c>
    </row>
    <row r="84" spans="115:175" x14ac:dyDescent="0.2">
      <c r="DW84" s="303">
        <v>3.2155217619297325</v>
      </c>
      <c r="FP84" s="303">
        <f>45/53-1</f>
        <v>-0.15094339622641506</v>
      </c>
    </row>
    <row r="85" spans="115:175" x14ac:dyDescent="0.2">
      <c r="DW85" s="303">
        <v>0.30980683506686479</v>
      </c>
    </row>
    <row r="86" spans="115:175" x14ac:dyDescent="0.2">
      <c r="DW86" s="303">
        <v>0.49599662873999156</v>
      </c>
      <c r="FR86" s="303">
        <f>10.5*4.3</f>
        <v>45.15</v>
      </c>
      <c r="FS86" s="303">
        <f>10.5*4.4</f>
        <v>46.2</v>
      </c>
    </row>
    <row r="87" spans="115:175" x14ac:dyDescent="0.2">
      <c r="DW87" s="303">
        <v>0.11722696394356384</v>
      </c>
    </row>
    <row r="89" spans="115:175" x14ac:dyDescent="0.2">
      <c r="DK89" s="902"/>
      <c r="DL89" s="902"/>
      <c r="DM89" s="902"/>
      <c r="DN89" s="902"/>
      <c r="DO89" s="902"/>
      <c r="DP89" s="902"/>
      <c r="DQ89" s="902"/>
      <c r="DR89" s="902"/>
      <c r="DS89" s="902"/>
      <c r="DT89" s="902"/>
      <c r="DU89" s="902"/>
      <c r="DV89" s="902"/>
    </row>
    <row r="90" spans="115:175" x14ac:dyDescent="0.2">
      <c r="DK90" s="902"/>
      <c r="DL90" s="902"/>
      <c r="DM90" s="902"/>
      <c r="DN90" s="902"/>
      <c r="DO90" s="902"/>
      <c r="DP90" s="902"/>
      <c r="DQ90" s="902"/>
      <c r="DR90" s="902"/>
      <c r="DS90" s="902"/>
      <c r="DT90" s="902"/>
      <c r="DU90" s="902"/>
      <c r="DV90" s="902"/>
    </row>
    <row r="91" spans="115:175" x14ac:dyDescent="0.2">
      <c r="DK91" s="902"/>
      <c r="DL91" s="902"/>
      <c r="DM91" s="902"/>
      <c r="DN91" s="902"/>
      <c r="DO91" s="902"/>
      <c r="DP91" s="902"/>
      <c r="DQ91" s="902"/>
      <c r="DR91" s="902"/>
      <c r="DS91" s="902"/>
      <c r="DT91" s="902"/>
      <c r="DU91" s="902"/>
      <c r="DV91" s="902"/>
    </row>
    <row r="92" spans="115:175" x14ac:dyDescent="0.2">
      <c r="DK92" s="902"/>
      <c r="DL92" s="902"/>
      <c r="DM92" s="902"/>
      <c r="DN92" s="902"/>
      <c r="DO92" s="902"/>
      <c r="DP92" s="902"/>
      <c r="DQ92" s="902"/>
      <c r="DR92" s="902"/>
      <c r="DS92" s="902"/>
      <c r="DT92" s="902"/>
      <c r="DU92" s="902"/>
      <c r="DV92" s="902"/>
    </row>
  </sheetData>
  <mergeCells count="1">
    <mergeCell ref="EC4:EF4"/>
  </mergeCells>
  <phoneticPr fontId="11" type="noConversion"/>
  <printOptions horizontalCentered="1" verticalCentered="1"/>
  <pageMargins left="0" right="0" top="0" bottom="0" header="0" footer="0"/>
  <pageSetup paperSize="5" scale="87" orientation="landscape" horizontalDpi="300" verticalDpi="300" r:id="rId1"/>
  <headerFooter alignWithMargins="0"/>
  <colBreaks count="1" manualBreakCount="1">
    <brk id="168" max="1048575" man="1"/>
  </colBreaks>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AS239"/>
  <sheetViews>
    <sheetView showGridLines="0" topLeftCell="A167" zoomScale="90" zoomScaleNormal="90" workbookViewId="0">
      <selection activeCell="H207" sqref="H207"/>
    </sheetView>
  </sheetViews>
  <sheetFormatPr defaultRowHeight="10.5" customHeight="1" outlineLevelRow="1" outlineLevelCol="1" x14ac:dyDescent="0.2"/>
  <cols>
    <col min="1" max="1" width="8.42578125" style="303" customWidth="1"/>
    <col min="2" max="2" width="3.5703125" style="303" hidden="1" customWidth="1" outlineLevel="1"/>
    <col min="3" max="3" width="3.7109375" style="303" hidden="1" customWidth="1" outlineLevel="1"/>
    <col min="4" max="4" width="8.28515625" style="303" customWidth="1" collapsed="1"/>
    <col min="5" max="5" width="1.85546875" style="303" customWidth="1"/>
    <col min="6" max="6" width="8" style="303" customWidth="1"/>
    <col min="7" max="7" width="3.140625" style="303" customWidth="1"/>
    <col min="8" max="8" width="8" style="303" customWidth="1"/>
    <col min="9" max="9" width="1.85546875" style="303" customWidth="1"/>
    <col min="10" max="10" width="8.28515625" style="303" customWidth="1"/>
    <col min="11" max="11" width="8.5703125" style="303" bestFit="1" customWidth="1"/>
    <col min="12" max="12" width="7.28515625" style="303" customWidth="1"/>
    <col min="13" max="13" width="1.7109375" style="303" customWidth="1"/>
    <col min="14" max="14" width="8.7109375" style="303" customWidth="1"/>
    <col min="15" max="15" width="1.85546875" style="303" customWidth="1"/>
    <col min="16" max="16" width="7" style="303" bestFit="1" customWidth="1"/>
    <col min="17" max="17" width="5.7109375" style="303" customWidth="1"/>
    <col min="18" max="18" width="1.7109375" style="303" customWidth="1"/>
    <col min="19" max="19" width="12.85546875" style="303" bestFit="1" customWidth="1"/>
    <col min="20" max="20" width="1.7109375" style="303" customWidth="1"/>
    <col min="21" max="21" width="9.140625" style="303" outlineLevel="1"/>
    <col min="22" max="22" width="1.7109375" style="303" customWidth="1"/>
    <col min="23" max="23" width="7.28515625" style="303" customWidth="1"/>
    <col min="24" max="24" width="1.7109375" style="303" customWidth="1"/>
    <col min="25" max="25" width="7.85546875" style="303" customWidth="1"/>
    <col min="26" max="26" width="1.7109375" style="303" customWidth="1"/>
    <col min="27" max="27" width="9.140625" style="303" customWidth="1"/>
    <col min="28" max="28" width="1.7109375" style="303" customWidth="1"/>
    <col min="29" max="29" width="8.85546875" style="303" bestFit="1" customWidth="1"/>
    <col min="30" max="30" width="1.7109375" style="303" customWidth="1"/>
    <col min="31" max="31" width="9.28515625" style="303" customWidth="1"/>
    <col min="32" max="32" width="1.85546875" style="303" customWidth="1"/>
    <col min="33" max="33" width="14.42578125" style="303" customWidth="1"/>
    <col min="34" max="34" width="6.85546875" style="303" customWidth="1"/>
    <col min="35" max="35" width="1.7109375" style="303" customWidth="1"/>
    <col min="36" max="36" width="9.42578125" style="303" customWidth="1"/>
    <col min="37" max="37" width="1.7109375" style="303" customWidth="1"/>
    <col min="38" max="38" width="9.140625" style="303"/>
    <col min="39" max="39" width="1.7109375" style="303" customWidth="1"/>
    <col min="40" max="40" width="8.7109375" style="303" customWidth="1"/>
    <col min="41" max="41" width="2.42578125" style="303" bestFit="1" customWidth="1"/>
    <col min="42" max="42" width="7.5703125" style="303" customWidth="1"/>
    <col min="43" max="43" width="7.5703125" style="303" bestFit="1" customWidth="1"/>
    <col min="44" max="44" width="16" style="303" customWidth="1"/>
    <col min="45" max="16384" width="9.140625" style="303"/>
  </cols>
  <sheetData>
    <row r="1" spans="1:43" ht="12" customHeight="1" x14ac:dyDescent="0.2">
      <c r="A1" s="310" t="s">
        <v>453</v>
      </c>
      <c r="B1" s="310"/>
      <c r="C1" s="310"/>
      <c r="W1" s="662"/>
    </row>
    <row r="2" spans="1:43" ht="12" customHeight="1" x14ac:dyDescent="0.2">
      <c r="A2" s="312" t="s">
        <v>573</v>
      </c>
      <c r="B2" s="312"/>
      <c r="C2" s="312"/>
      <c r="D2" s="313"/>
      <c r="E2" s="313"/>
      <c r="F2" s="313"/>
      <c r="G2" s="313"/>
      <c r="H2" s="313"/>
      <c r="I2" s="313"/>
      <c r="J2" s="313"/>
      <c r="K2" s="313"/>
      <c r="L2" s="313"/>
      <c r="M2" s="313"/>
      <c r="N2" s="313"/>
      <c r="O2" s="313"/>
      <c r="P2" s="313"/>
      <c r="Q2" s="313"/>
      <c r="R2" s="313"/>
      <c r="S2" s="313"/>
      <c r="T2" s="313"/>
      <c r="U2" s="313"/>
      <c r="V2" s="313"/>
      <c r="W2" s="313"/>
      <c r="X2" s="313"/>
      <c r="Y2" s="313"/>
      <c r="Z2" s="313"/>
      <c r="AA2" s="313"/>
      <c r="AB2" s="313"/>
      <c r="AC2" s="313"/>
      <c r="AD2" s="313"/>
      <c r="AE2" s="313"/>
      <c r="AF2" s="313"/>
      <c r="AG2" s="313"/>
      <c r="AH2" s="313"/>
      <c r="AI2" s="313"/>
      <c r="AJ2" s="313"/>
      <c r="AK2" s="313"/>
      <c r="AL2" s="313"/>
      <c r="AM2" s="313"/>
      <c r="AN2" s="313"/>
      <c r="AO2" s="313"/>
      <c r="AP2" s="313"/>
      <c r="AQ2" s="313"/>
    </row>
    <row r="4" spans="1:43" ht="10.5" customHeight="1" x14ac:dyDescent="0.2">
      <c r="A4" s="773"/>
      <c r="B4" s="773"/>
      <c r="C4" s="773"/>
      <c r="D4" s="773"/>
      <c r="E4" s="773"/>
      <c r="F4" s="773"/>
      <c r="G4" s="773"/>
      <c r="H4" s="773"/>
      <c r="I4" s="773"/>
      <c r="J4" s="774" t="s">
        <v>85</v>
      </c>
      <c r="K4" s="775"/>
      <c r="L4" s="775"/>
      <c r="M4" s="776"/>
      <c r="N4" s="773"/>
      <c r="O4" s="775"/>
      <c r="P4" s="775"/>
      <c r="Q4" s="775"/>
      <c r="R4" s="775"/>
      <c r="S4" s="775"/>
      <c r="T4" s="775"/>
      <c r="U4" s="775"/>
      <c r="V4" s="775"/>
      <c r="W4" s="775"/>
      <c r="X4" s="775"/>
      <c r="Y4" s="776"/>
      <c r="Z4" s="777"/>
      <c r="AA4" s="774" t="s">
        <v>84</v>
      </c>
      <c r="AB4" s="775"/>
      <c r="AC4" s="775"/>
      <c r="AD4" s="775"/>
      <c r="AE4" s="775"/>
      <c r="AF4" s="775"/>
      <c r="AG4" s="778"/>
      <c r="AH4" s="775"/>
      <c r="AI4" s="775"/>
      <c r="AJ4" s="775"/>
      <c r="AK4" s="775"/>
      <c r="AL4" s="779"/>
      <c r="AM4" s="779"/>
      <c r="AN4" s="780"/>
    </row>
    <row r="5" spans="1:43" ht="10.5" customHeight="1" x14ac:dyDescent="0.2">
      <c r="A5" s="781"/>
      <c r="B5" s="781"/>
      <c r="C5" s="781"/>
      <c r="D5" s="782" t="s">
        <v>98</v>
      </c>
      <c r="E5" s="782"/>
      <c r="F5" s="783"/>
      <c r="G5" s="781"/>
      <c r="H5" s="784" t="s">
        <v>48</v>
      </c>
      <c r="I5" s="781"/>
      <c r="J5" s="781"/>
      <c r="K5" s="781"/>
      <c r="L5" s="781"/>
      <c r="M5" s="781"/>
      <c r="N5" s="784"/>
      <c r="O5" s="781"/>
      <c r="P5" s="785" t="s">
        <v>49</v>
      </c>
      <c r="Q5" s="785"/>
      <c r="R5" s="786" t="s">
        <v>232</v>
      </c>
      <c r="S5" s="787"/>
      <c r="T5" s="788"/>
      <c r="U5" s="787"/>
      <c r="V5" s="788"/>
      <c r="W5" s="788"/>
      <c r="X5" s="789"/>
      <c r="Y5" s="789"/>
      <c r="Z5" s="790"/>
      <c r="AA5" s="791"/>
      <c r="AB5" s="791"/>
      <c r="AC5" s="791"/>
      <c r="AD5" s="781"/>
      <c r="AE5" s="781"/>
      <c r="AF5" s="781"/>
      <c r="AG5" s="785" t="s">
        <v>49</v>
      </c>
      <c r="AH5" s="785"/>
      <c r="AI5" s="786" t="s">
        <v>232</v>
      </c>
      <c r="AJ5" s="787"/>
      <c r="AK5" s="788"/>
      <c r="AL5" s="792" t="s">
        <v>86</v>
      </c>
      <c r="AM5" s="789"/>
      <c r="AN5" s="789"/>
    </row>
    <row r="6" spans="1:43" ht="10.5" customHeight="1" x14ac:dyDescent="0.2">
      <c r="A6" s="781"/>
      <c r="B6" s="781"/>
      <c r="C6" s="781"/>
      <c r="D6" s="781"/>
      <c r="E6" s="781"/>
      <c r="F6" s="781" t="s">
        <v>100</v>
      </c>
      <c r="G6" s="781"/>
      <c r="H6" s="793" t="s">
        <v>50</v>
      </c>
      <c r="I6" s="781"/>
      <c r="J6" s="782" t="s">
        <v>51</v>
      </c>
      <c r="K6" s="783"/>
      <c r="L6" s="783"/>
      <c r="M6" s="794"/>
      <c r="N6" s="793"/>
      <c r="O6" s="781"/>
      <c r="P6" s="795" t="s">
        <v>52</v>
      </c>
      <c r="Q6" s="795"/>
      <c r="R6" s="786"/>
      <c r="S6" s="781"/>
      <c r="T6" s="796"/>
      <c r="U6" s="797" t="s">
        <v>99</v>
      </c>
      <c r="V6" s="796"/>
      <c r="W6" s="797" t="s">
        <v>547</v>
      </c>
      <c r="X6" s="790"/>
      <c r="Y6" s="798" t="s">
        <v>69</v>
      </c>
      <c r="Z6" s="790"/>
      <c r="AA6" s="792"/>
      <c r="AB6" s="792" t="s">
        <v>73</v>
      </c>
      <c r="AC6" s="792"/>
      <c r="AD6" s="794"/>
      <c r="AE6" s="799"/>
      <c r="AF6" s="781"/>
      <c r="AG6" s="795" t="s">
        <v>52</v>
      </c>
      <c r="AH6" s="795"/>
      <c r="AI6" s="786"/>
      <c r="AJ6" s="781"/>
      <c r="AK6" s="796"/>
      <c r="AL6" s="800" t="s">
        <v>82</v>
      </c>
      <c r="AM6" s="790"/>
      <c r="AN6" s="798" t="s">
        <v>69</v>
      </c>
    </row>
    <row r="7" spans="1:43" ht="10.5" customHeight="1" x14ac:dyDescent="0.2">
      <c r="A7" s="781"/>
      <c r="B7" s="781"/>
      <c r="C7" s="781"/>
      <c r="D7" s="793" t="s">
        <v>99</v>
      </c>
      <c r="E7" s="801"/>
      <c r="F7" s="793" t="s">
        <v>101</v>
      </c>
      <c r="G7" s="801"/>
      <c r="H7" s="796" t="s">
        <v>53</v>
      </c>
      <c r="I7" s="801"/>
      <c r="J7" s="802" t="s">
        <v>99</v>
      </c>
      <c r="K7" s="801"/>
      <c r="L7" s="802" t="s">
        <v>54</v>
      </c>
      <c r="M7" s="801"/>
      <c r="N7" s="796" t="s">
        <v>55</v>
      </c>
      <c r="O7" s="801"/>
      <c r="P7" s="803" t="s">
        <v>56</v>
      </c>
      <c r="Q7" s="803"/>
      <c r="R7" s="786"/>
      <c r="S7" s="793" t="s">
        <v>99</v>
      </c>
      <c r="T7" s="796"/>
      <c r="U7" s="804" t="s">
        <v>350</v>
      </c>
      <c r="V7" s="796"/>
      <c r="W7" s="804" t="s">
        <v>68</v>
      </c>
      <c r="X7" s="805"/>
      <c r="Y7" s="804" t="s">
        <v>70</v>
      </c>
      <c r="Z7" s="805"/>
      <c r="AA7" s="792" t="s">
        <v>99</v>
      </c>
      <c r="AB7" s="800"/>
      <c r="AC7" s="792" t="s">
        <v>54</v>
      </c>
      <c r="AD7" s="801"/>
      <c r="AE7" s="793" t="s">
        <v>55</v>
      </c>
      <c r="AF7" s="801"/>
      <c r="AG7" s="803" t="s">
        <v>77</v>
      </c>
      <c r="AH7" s="803"/>
      <c r="AI7" s="786"/>
      <c r="AJ7" s="793" t="s">
        <v>99</v>
      </c>
      <c r="AK7" s="796"/>
      <c r="AL7" s="792" t="s">
        <v>83</v>
      </c>
      <c r="AM7" s="805"/>
      <c r="AN7" s="804" t="s">
        <v>70</v>
      </c>
      <c r="AP7" s="806" t="s">
        <v>87</v>
      </c>
      <c r="AQ7" s="806" t="s">
        <v>102</v>
      </c>
    </row>
    <row r="8" spans="1:43" ht="10.5" customHeight="1" x14ac:dyDescent="0.2">
      <c r="A8" s="807"/>
      <c r="B8" s="807"/>
      <c r="C8" s="807"/>
      <c r="D8" s="793" t="s">
        <v>47</v>
      </c>
      <c r="E8" s="807"/>
      <c r="F8" s="793" t="s">
        <v>57</v>
      </c>
      <c r="G8" s="807"/>
      <c r="H8" s="793" t="s">
        <v>58</v>
      </c>
      <c r="I8" s="807"/>
      <c r="J8" s="793" t="s">
        <v>59</v>
      </c>
      <c r="K8" s="807"/>
      <c r="L8" s="793" t="s">
        <v>60</v>
      </c>
      <c r="M8" s="807"/>
      <c r="N8" s="793" t="s">
        <v>61</v>
      </c>
      <c r="O8" s="807"/>
      <c r="P8" s="785" t="s">
        <v>62</v>
      </c>
      <c r="Q8" s="785"/>
      <c r="R8" s="808"/>
      <c r="S8" s="793" t="s">
        <v>71</v>
      </c>
      <c r="T8" s="793"/>
      <c r="U8" s="793" t="s">
        <v>71</v>
      </c>
      <c r="V8" s="793"/>
      <c r="W8" s="793">
        <v>-9</v>
      </c>
      <c r="X8" s="809"/>
      <c r="Y8" s="793" t="s">
        <v>72</v>
      </c>
      <c r="Z8" s="810"/>
      <c r="AA8" s="793" t="s">
        <v>74</v>
      </c>
      <c r="AB8" s="807"/>
      <c r="AC8" s="793" t="s">
        <v>75</v>
      </c>
      <c r="AD8" s="807"/>
      <c r="AE8" s="793" t="s">
        <v>76</v>
      </c>
      <c r="AF8" s="807"/>
      <c r="AG8" s="793" t="s">
        <v>78</v>
      </c>
      <c r="AH8" s="783"/>
      <c r="AI8" s="808"/>
      <c r="AJ8" s="793" t="s">
        <v>79</v>
      </c>
      <c r="AK8" s="793"/>
      <c r="AL8" s="793" t="s">
        <v>80</v>
      </c>
      <c r="AM8" s="809"/>
      <c r="AN8" s="793" t="s">
        <v>81</v>
      </c>
      <c r="AO8" s="313"/>
      <c r="AP8" s="811" t="s">
        <v>98</v>
      </c>
      <c r="AQ8" s="811" t="s">
        <v>233</v>
      </c>
    </row>
    <row r="9" spans="1:43" ht="10.5" customHeight="1" outlineLevel="1" x14ac:dyDescent="0.2">
      <c r="A9" s="812"/>
      <c r="B9" s="812"/>
      <c r="C9" s="812"/>
      <c r="J9" s="685"/>
      <c r="L9" s="813"/>
      <c r="P9" s="306"/>
      <c r="W9" s="814" t="s">
        <v>541</v>
      </c>
      <c r="Y9" s="765"/>
      <c r="AA9" s="815"/>
      <c r="AC9" s="421"/>
      <c r="AG9" s="306"/>
      <c r="AN9" s="765"/>
    </row>
    <row r="10" spans="1:43" ht="10.5" customHeight="1" outlineLevel="1" x14ac:dyDescent="0.2">
      <c r="A10" s="812">
        <f>A17-1</f>
        <v>1990</v>
      </c>
      <c r="B10" s="812"/>
      <c r="C10" s="812"/>
      <c r="D10" s="420"/>
      <c r="F10" s="420"/>
      <c r="J10" s="685"/>
      <c r="W10" s="816" t="s">
        <v>542</v>
      </c>
      <c r="AA10" s="815"/>
    </row>
    <row r="11" spans="1:43" ht="10.5" customHeight="1" outlineLevel="1" x14ac:dyDescent="0.2">
      <c r="A11" s="303" t="s">
        <v>63</v>
      </c>
      <c r="D11" s="817" t="str">
        <f>INDEX('qtrP&amp;L'!$10:$10,MATCH($A10,'qtrP&amp;L'!$6:$6,0)+1)</f>
        <v>NA</v>
      </c>
      <c r="F11" s="817" t="str">
        <f>INDEX('qtrP&amp;L'!$10:$10,MATCH($A10,'qtrP&amp;L'!$6:$6,0)+2)</f>
        <v>NA</v>
      </c>
      <c r="G11" s="303" t="s">
        <v>102</v>
      </c>
      <c r="H11" s="818" t="s">
        <v>94</v>
      </c>
      <c r="I11" s="303" t="s">
        <v>102</v>
      </c>
      <c r="J11" s="819" t="s">
        <v>94</v>
      </c>
      <c r="L11" s="453" t="s">
        <v>271</v>
      </c>
      <c r="N11" s="445"/>
      <c r="O11" s="303" t="s">
        <v>102</v>
      </c>
      <c r="P11" s="306"/>
      <c r="Q11" s="303" t="s">
        <v>102</v>
      </c>
      <c r="S11" s="319">
        <f>INDEX('qtrP&amp;L'!$10:$10,MATCH($A10,'qtrP&amp;L'!$6:$6,0))</f>
        <v>161.37200000000001</v>
      </c>
      <c r="U11" s="319">
        <f>S11-AP11</f>
        <v>161.37200000000001</v>
      </c>
      <c r="W11" s="820" t="s">
        <v>540</v>
      </c>
      <c r="Y11" s="761" t="str">
        <f>IF(ISERROR(W11/W4),"NA",(W11/W4-1)*100)</f>
        <v>NA</v>
      </c>
      <c r="Z11" s="303" t="s">
        <v>102</v>
      </c>
      <c r="AA11" s="819" t="s">
        <v>94</v>
      </c>
      <c r="AC11" s="453" t="s">
        <v>271</v>
      </c>
      <c r="AE11" s="445"/>
      <c r="AF11" s="303" t="s">
        <v>102</v>
      </c>
      <c r="AG11" s="306"/>
      <c r="AH11" s="303" t="s">
        <v>102</v>
      </c>
      <c r="AJ11" s="319">
        <f>U11</f>
        <v>161.37200000000001</v>
      </c>
      <c r="AL11" s="821" t="str">
        <f>IF(ISERROR(AJ11/AC11),"NA",AJ11/AC11)</f>
        <v>NA</v>
      </c>
      <c r="AN11" s="761" t="s">
        <v>94</v>
      </c>
      <c r="AO11" s="303" t="s">
        <v>102</v>
      </c>
      <c r="AP11" s="822"/>
      <c r="AQ11" s="489"/>
    </row>
    <row r="12" spans="1:43" ht="10.5" customHeight="1" outlineLevel="1" x14ac:dyDescent="0.2">
      <c r="A12" s="303" t="s">
        <v>64</v>
      </c>
      <c r="D12" s="817" t="str">
        <f>INDEX('qtrP&amp;L'!$11:$11,MATCH($A10,'qtrP&amp;L'!$6:$6,0)+1)</f>
        <v>NA</v>
      </c>
      <c r="F12" s="817" t="str">
        <f>INDEX('qtrP&amp;L'!$11:$11,MATCH($A10,'qtrP&amp;L'!$6:$6,0)+2)</f>
        <v>NA</v>
      </c>
      <c r="H12" s="818" t="s">
        <v>94</v>
      </c>
      <c r="J12" s="819" t="s">
        <v>94</v>
      </c>
      <c r="L12" s="453" t="s">
        <v>271</v>
      </c>
      <c r="N12" s="445"/>
      <c r="P12" s="306"/>
      <c r="S12" s="413">
        <f>INDEX('qtrP&amp;L'!$11:$11,MATCH($A10,'qtrP&amp;L'!$6:$6,0))</f>
        <v>156.04499999999999</v>
      </c>
      <c r="U12" s="413">
        <f>S12-AP12</f>
        <v>156.04499999999999</v>
      </c>
      <c r="W12" s="820" t="s">
        <v>540</v>
      </c>
      <c r="Y12" s="761" t="str">
        <f>IF(ISERROR(W12/W5),"NA",(W12/W5-1)*100)</f>
        <v>NA</v>
      </c>
      <c r="AA12" s="819" t="s">
        <v>94</v>
      </c>
      <c r="AC12" s="453" t="s">
        <v>271</v>
      </c>
      <c r="AE12" s="445"/>
      <c r="AG12" s="306"/>
      <c r="AJ12" s="413">
        <f>U12</f>
        <v>156.04499999999999</v>
      </c>
      <c r="AL12" s="823" t="str">
        <f>IF(ISERROR(AJ12/AC12),"NA",AJ12/AC12)</f>
        <v>NA</v>
      </c>
      <c r="AN12" s="761" t="s">
        <v>94</v>
      </c>
      <c r="AP12" s="824"/>
      <c r="AQ12" s="479"/>
    </row>
    <row r="13" spans="1:43" ht="10.5" customHeight="1" outlineLevel="1" x14ac:dyDescent="0.2">
      <c r="A13" s="303" t="s">
        <v>65</v>
      </c>
      <c r="D13" s="817" t="str">
        <f>INDEX('qtrP&amp;L'!$12:$12,MATCH($A10,'qtrP&amp;L'!$6:$6,0)+1)</f>
        <v>NA</v>
      </c>
      <c r="F13" s="817" t="str">
        <f>INDEX('qtrP&amp;L'!$12:$12,MATCH($A10,'qtrP&amp;L'!$6:$6,0)+2)</f>
        <v>NA</v>
      </c>
      <c r="H13" s="818" t="s">
        <v>94</v>
      </c>
      <c r="J13" s="819" t="s">
        <v>94</v>
      </c>
      <c r="L13" s="453" t="s">
        <v>271</v>
      </c>
      <c r="N13" s="445"/>
      <c r="P13" s="306"/>
      <c r="S13" s="413">
        <f>INDEX('qtrP&amp;L'!$12:$12,MATCH($A10,'qtrP&amp;L'!$6:$6,0))</f>
        <v>199.64400000000001</v>
      </c>
      <c r="U13" s="413">
        <f>S13-AP13</f>
        <v>199.64400000000001</v>
      </c>
      <c r="W13" s="825" t="s">
        <v>546</v>
      </c>
      <c r="Y13" s="761" t="str">
        <f>IF(ISERROR(W13/W6),"NA",(W13/W6-1)*100)</f>
        <v>NA</v>
      </c>
      <c r="AA13" s="819" t="s">
        <v>94</v>
      </c>
      <c r="AC13" s="453" t="s">
        <v>271</v>
      </c>
      <c r="AE13" s="445"/>
      <c r="AG13" s="306"/>
      <c r="AJ13" s="413">
        <f>U13</f>
        <v>199.64400000000001</v>
      </c>
      <c r="AL13" s="823" t="str">
        <f>IF(ISERROR(AJ13/AC13),"NA",AJ13/AC13)</f>
        <v>NA</v>
      </c>
      <c r="AN13" s="761" t="s">
        <v>94</v>
      </c>
      <c r="AP13" s="824"/>
      <c r="AQ13" s="479"/>
    </row>
    <row r="14" spans="1:43" ht="10.5" customHeight="1" outlineLevel="1" x14ac:dyDescent="0.2">
      <c r="A14" s="303" t="s">
        <v>66</v>
      </c>
      <c r="D14" s="826" t="str">
        <f>INDEX('qtrP&amp;L'!$13:$13,MATCH($A10,'qtrP&amp;L'!$6:$6,0)+1)</f>
        <v>NA</v>
      </c>
      <c r="F14" s="826">
        <f>INDEX('qtrP&amp;L'!$13:$13,MATCH($A10,'qtrP&amp;L'!$6:$6,0)+2)</f>
        <v>8.1999999999999993</v>
      </c>
      <c r="H14" s="827" t="s">
        <v>94</v>
      </c>
      <c r="J14" s="819" t="s">
        <v>94</v>
      </c>
      <c r="L14" s="455" t="s">
        <v>271</v>
      </c>
      <c r="N14" s="828"/>
      <c r="P14" s="829"/>
      <c r="S14" s="491">
        <f>INDEX('qtrP&amp;L'!$13:$13,MATCH($A10,'qtrP&amp;L'!$6:$6,0))</f>
        <v>272.73399999999998</v>
      </c>
      <c r="U14" s="491">
        <f>S14-AP14</f>
        <v>272.73399999999998</v>
      </c>
      <c r="W14" s="820" t="s">
        <v>540</v>
      </c>
      <c r="Y14" s="830" t="str">
        <f>IF(ISERROR(W14/W7),"NA",(W14/W7-1)*100)</f>
        <v>NA</v>
      </c>
      <c r="AA14" s="819" t="s">
        <v>94</v>
      </c>
      <c r="AC14" s="455" t="s">
        <v>271</v>
      </c>
      <c r="AE14" s="828"/>
      <c r="AG14" s="829"/>
      <c r="AJ14" s="491">
        <f>U14</f>
        <v>272.73399999999998</v>
      </c>
      <c r="AL14" s="831" t="str">
        <f>IF(ISERROR(AJ14/AC14),"NA",AJ14/AC14)</f>
        <v>NA</v>
      </c>
      <c r="AN14" s="830" t="s">
        <v>94</v>
      </c>
      <c r="AP14" s="832"/>
      <c r="AQ14" s="572"/>
    </row>
    <row r="15" spans="1:43" ht="10.5" customHeight="1" outlineLevel="1" x14ac:dyDescent="0.2">
      <c r="A15" s="573" t="s">
        <v>67</v>
      </c>
      <c r="B15" s="573"/>
      <c r="C15" s="573"/>
      <c r="D15" s="817" t="str">
        <f>INDEX('qtrP&amp;L'!$14:$14,MATCH($A10,'qtrP&amp;L'!$6:$6,0)+1)</f>
        <v>NA</v>
      </c>
      <c r="F15" s="817">
        <f>INDEX('qtrP&amp;L'!$14:$14,MATCH($A10,'qtrP&amp;L'!$6:$6,0)+2)</f>
        <v>8.1999999999999993</v>
      </c>
      <c r="H15" s="818" t="s">
        <v>94</v>
      </c>
      <c r="J15" s="819" t="s">
        <v>94</v>
      </c>
      <c r="L15" s="453" t="s">
        <v>271</v>
      </c>
      <c r="N15" s="818" t="s">
        <v>94</v>
      </c>
      <c r="P15" s="818" t="s">
        <v>94</v>
      </c>
      <c r="S15" s="319">
        <f>INDEX('qtrP&amp;L'!$14:$14,MATCH($A10,'qtrP&amp;L'!$6:$6,0))</f>
        <v>789.79500000000007</v>
      </c>
      <c r="U15" s="319">
        <f>S15-AP15</f>
        <v>789.79500000000007</v>
      </c>
      <c r="W15" s="821" t="str">
        <f>IF(ISERROR(U15/L15),"NA",U15/L15)</f>
        <v>NA</v>
      </c>
      <c r="Y15" s="761" t="str">
        <f>IF(ISERROR(W15/W8),"NA",(W15/W8-1)*100)</f>
        <v>NA</v>
      </c>
      <c r="AA15" s="819" t="s">
        <v>94</v>
      </c>
      <c r="AC15" s="453" t="s">
        <v>271</v>
      </c>
      <c r="AE15" s="818" t="s">
        <v>94</v>
      </c>
      <c r="AG15" s="306"/>
      <c r="AJ15" s="319">
        <f>SUM(AJ11:AJ14)</f>
        <v>789.79500000000007</v>
      </c>
      <c r="AL15" s="821" t="str">
        <f>IF(ISERROR(AJ15/AC15),"NA",AJ15/AC15)</f>
        <v>NA</v>
      </c>
      <c r="AN15" s="761" t="s">
        <v>94</v>
      </c>
      <c r="AP15" s="489"/>
      <c r="AQ15" s="489"/>
    </row>
    <row r="16" spans="1:43" ht="10.5" customHeight="1" outlineLevel="1" x14ac:dyDescent="0.2">
      <c r="A16" s="573"/>
      <c r="B16" s="573"/>
      <c r="C16" s="573"/>
      <c r="D16" s="817"/>
      <c r="F16" s="817"/>
      <c r="J16" s="685"/>
      <c r="L16" s="813"/>
      <c r="P16" s="306"/>
      <c r="S16" s="489"/>
      <c r="U16" s="489"/>
      <c r="W16" s="489"/>
      <c r="Y16" s="765"/>
      <c r="AA16" s="815"/>
      <c r="AC16" s="813"/>
      <c r="AG16" s="306"/>
      <c r="AL16" s="489"/>
      <c r="AN16" s="765"/>
      <c r="AP16" s="489"/>
      <c r="AQ16" s="489"/>
    </row>
    <row r="17" spans="1:43" ht="10.5" customHeight="1" outlineLevel="1" x14ac:dyDescent="0.2">
      <c r="A17" s="812">
        <f>A24-1</f>
        <v>1991</v>
      </c>
      <c r="B17" s="812"/>
      <c r="C17" s="812"/>
      <c r="J17" s="685"/>
      <c r="AA17" s="815"/>
    </row>
    <row r="18" spans="1:43" ht="10.5" customHeight="1" outlineLevel="1" x14ac:dyDescent="0.2">
      <c r="A18" s="303" t="s">
        <v>63</v>
      </c>
      <c r="B18" s="303">
        <v>1</v>
      </c>
      <c r="C18" s="303">
        <v>101</v>
      </c>
      <c r="D18" s="477">
        <f>INDEX('qtrP&amp;L'!$10:$10,MATCH($A17,'qtrP&amp;L'!$6:$6,0)+1)</f>
        <v>18.438142924423072</v>
      </c>
      <c r="F18" s="477">
        <f>INDEX('qtrP&amp;L'!$10:$10,MATCH($A17,'qtrP&amp;L'!$6:$6,0)+2)</f>
        <v>15.526795841209831</v>
      </c>
      <c r="G18" s="303" t="s">
        <v>102</v>
      </c>
      <c r="H18" s="445">
        <f>D18-F18</f>
        <v>2.9113470832132418</v>
      </c>
      <c r="I18" s="303" t="s">
        <v>102</v>
      </c>
      <c r="J18" s="686">
        <f>INDEX(stores!D:D,MATCH(B18,stores!C:C,0))</f>
        <v>68</v>
      </c>
      <c r="L18" s="453" t="s">
        <v>271</v>
      </c>
      <c r="N18" s="445"/>
      <c r="O18" s="303" t="s">
        <v>102</v>
      </c>
      <c r="P18" s="306"/>
      <c r="Q18" s="303" t="s">
        <v>102</v>
      </c>
      <c r="S18" s="319">
        <f>INDEX('qtrP&amp;L'!$10:$10,MATCH($A17,'qtrP&amp;L'!$6:$6,0))</f>
        <v>191.126</v>
      </c>
      <c r="U18" s="319">
        <f>S18-AP18</f>
        <v>191.126</v>
      </c>
      <c r="W18" s="821" t="str">
        <f>IF(ISERROR(U18/L18),"NA",U18/L18)</f>
        <v>NA</v>
      </c>
      <c r="Y18" s="761" t="str">
        <f>IF(ISERROR(W18/W11),"NA",(W18/W11-1)*100)</f>
        <v>NA</v>
      </c>
      <c r="Z18" s="303" t="s">
        <v>102</v>
      </c>
      <c r="AA18" s="686">
        <f>INDEX(stores!D:D,MATCH(C18,stores!C:C,0))</f>
        <v>1167</v>
      </c>
      <c r="AC18" s="453" t="s">
        <v>271</v>
      </c>
      <c r="AE18" s="445"/>
      <c r="AF18" s="303" t="s">
        <v>102</v>
      </c>
      <c r="AG18" s="306"/>
      <c r="AH18" s="303" t="s">
        <v>102</v>
      </c>
      <c r="AJ18" s="319">
        <f>U18</f>
        <v>191.126</v>
      </c>
      <c r="AL18" s="833" t="str">
        <f>IF(ISERROR(AJ18/AC18),"NA",AJ18/AC18*100)</f>
        <v>NA</v>
      </c>
      <c r="AN18" s="761" t="s">
        <v>94</v>
      </c>
      <c r="AO18" s="303" t="s">
        <v>102</v>
      </c>
      <c r="AP18" s="822"/>
      <c r="AQ18" s="489"/>
    </row>
    <row r="19" spans="1:43" ht="10.5" customHeight="1" outlineLevel="1" x14ac:dyDescent="0.2">
      <c r="A19" s="303" t="s">
        <v>64</v>
      </c>
      <c r="B19" s="303">
        <f t="shared" ref="B19:C21" si="0">B18+1</f>
        <v>2</v>
      </c>
      <c r="C19" s="303">
        <f t="shared" si="0"/>
        <v>102</v>
      </c>
      <c r="D19" s="477">
        <f>INDEX('qtrP&amp;L'!$11:$11,MATCH($A17,'qtrP&amp;L'!$6:$6,0)+1)</f>
        <v>14.454163862988256</v>
      </c>
      <c r="F19" s="477">
        <f>INDEX('qtrP&amp;L'!$11:$11,MATCH($A17,'qtrP&amp;L'!$6:$6,0)+2)</f>
        <v>11.151231802911536</v>
      </c>
      <c r="H19" s="445">
        <f>D19-F19</f>
        <v>3.3029320600767207</v>
      </c>
      <c r="J19" s="686">
        <f>INDEX(stores!D:D,MATCH(B19,stores!C:C,0))</f>
        <v>68</v>
      </c>
      <c r="L19" s="413">
        <f>AVERAGEA(J18:J19)</f>
        <v>68</v>
      </c>
      <c r="N19" s="445"/>
      <c r="P19" s="306"/>
      <c r="S19" s="413">
        <f>INDEX('qtrP&amp;L'!$11:$11,MATCH($A17,'qtrP&amp;L'!$6:$6,0))</f>
        <v>178.6</v>
      </c>
      <c r="U19" s="413">
        <f>S19-AP19</f>
        <v>178.6</v>
      </c>
      <c r="W19" s="823">
        <f>IF(ISERROR(U19/L19),"NA",U19/L19)</f>
        <v>2.6264705882352941</v>
      </c>
      <c r="Y19" s="761" t="str">
        <f>IF(ISERROR(W19/W12),"NA",(W19/W12-1)*100)</f>
        <v>NA</v>
      </c>
      <c r="AA19" s="686">
        <f>INDEX(stores!D:D,MATCH(C19,stores!C:C,0))</f>
        <v>1150</v>
      </c>
      <c r="AC19" s="413">
        <f>AVERAGEA(AA18:AA19)</f>
        <v>1158.5</v>
      </c>
      <c r="AE19" s="445"/>
      <c r="AG19" s="306"/>
      <c r="AJ19" s="413">
        <f>U19</f>
        <v>178.6</v>
      </c>
      <c r="AL19" s="415">
        <f>IF(ISERROR(AJ19/AC19),"NA",AJ19/AC19*100)</f>
        <v>15.416486836426413</v>
      </c>
      <c r="AN19" s="761" t="s">
        <v>94</v>
      </c>
      <c r="AP19" s="824"/>
      <c r="AQ19" s="479"/>
    </row>
    <row r="20" spans="1:43" ht="10.5" customHeight="1" outlineLevel="1" x14ac:dyDescent="0.2">
      <c r="A20" s="303" t="s">
        <v>65</v>
      </c>
      <c r="B20" s="303">
        <f t="shared" si="0"/>
        <v>3</v>
      </c>
      <c r="C20" s="303">
        <f t="shared" si="0"/>
        <v>103</v>
      </c>
      <c r="D20" s="477">
        <f>INDEX('qtrP&amp;L'!$12:$12,MATCH($A17,'qtrP&amp;L'!$6:$6,0)+1)</f>
        <v>20.013624251167062</v>
      </c>
      <c r="F20" s="477">
        <f>INDEX('qtrP&amp;L'!$12:$12,MATCH($A17,'qtrP&amp;L'!$6:$6,0)+2)</f>
        <v>12.907095158597659</v>
      </c>
      <c r="H20" s="445">
        <f>D20-F20</f>
        <v>7.1065290925694029</v>
      </c>
      <c r="J20" s="686">
        <f>INDEX(stores!D:D,MATCH(B20,stores!C:C,0))</f>
        <v>75</v>
      </c>
      <c r="L20" s="413">
        <f>AVERAGEA(J19:J20)</f>
        <v>71.5</v>
      </c>
      <c r="N20" s="445"/>
      <c r="P20" s="306"/>
      <c r="S20" s="413">
        <f>INDEX('qtrP&amp;L'!$12:$12,MATCH($A17,'qtrP&amp;L'!$6:$6,0))</f>
        <v>239.6</v>
      </c>
      <c r="U20" s="413">
        <f>S20-AP20</f>
        <v>239.6</v>
      </c>
      <c r="W20" s="823">
        <f>IF(ISERROR(U20/L20),"NA",U20/L20)</f>
        <v>3.3510489510489512</v>
      </c>
      <c r="Y20" s="761" t="str">
        <f>IF(ISERROR(W20/W13),"NA",(W20/W13-1)*100)</f>
        <v>NA</v>
      </c>
      <c r="AA20" s="686">
        <f>INDEX(stores!D:D,MATCH(C20,stores!C:C,0))</f>
        <v>1155</v>
      </c>
      <c r="AC20" s="413">
        <f>AVERAGEA(AA19:AA20)</f>
        <v>1152.5</v>
      </c>
      <c r="AE20" s="445"/>
      <c r="AG20" s="306"/>
      <c r="AJ20" s="413">
        <f>U20</f>
        <v>239.6</v>
      </c>
      <c r="AL20" s="415">
        <f>IF(ISERROR(AJ20/AC20),"NA",AJ20/AC20*100)</f>
        <v>20.789587852494577</v>
      </c>
      <c r="AN20" s="761" t="s">
        <v>94</v>
      </c>
      <c r="AP20" s="824"/>
      <c r="AQ20" s="479"/>
    </row>
    <row r="21" spans="1:43" ht="10.5" customHeight="1" outlineLevel="1" x14ac:dyDescent="0.2">
      <c r="A21" s="303" t="s">
        <v>66</v>
      </c>
      <c r="B21" s="303">
        <f t="shared" si="0"/>
        <v>4</v>
      </c>
      <c r="C21" s="303">
        <f t="shared" si="0"/>
        <v>104</v>
      </c>
      <c r="D21" s="834">
        <f>INDEX('qtrP&amp;L'!$13:$13,MATCH($A17,'qtrP&amp;L'!$6:$6,0)+1)</f>
        <v>17.733762567190038</v>
      </c>
      <c r="F21" s="834">
        <f>INDEX('qtrP&amp;L'!$13:$13,MATCH($A17,'qtrP&amp;L'!$6:$6,0)+2)</f>
        <v>6.2896916848333841</v>
      </c>
      <c r="H21" s="828">
        <f>D21-F21</f>
        <v>11.444070882356653</v>
      </c>
      <c r="J21" s="686">
        <f>INDEX(stores!D:D,MATCH(B21,stores!C:C,0))</f>
        <v>75</v>
      </c>
      <c r="L21" s="491">
        <f>AVERAGEA(J20:J21)</f>
        <v>75</v>
      </c>
      <c r="N21" s="828"/>
      <c r="P21" s="829"/>
      <c r="S21" s="491">
        <f>INDEX('qtrP&amp;L'!$13:$13,MATCH($A17,'qtrP&amp;L'!$6:$6,0))</f>
        <v>321.10000000000002</v>
      </c>
      <c r="U21" s="491">
        <f>S21-AP21</f>
        <v>321.10000000000002</v>
      </c>
      <c r="W21" s="831">
        <f>IF(ISERROR(U21/L21),"NA",U21/L21)</f>
        <v>4.2813333333333334</v>
      </c>
      <c r="Y21" s="830" t="str">
        <f>IF(ISERROR(W21/W14),"NA",(W21/W14-1)*100)</f>
        <v>NA</v>
      </c>
      <c r="AA21" s="686">
        <f>INDEX(stores!D:D,MATCH(C21,stores!C:C,0))</f>
        <v>1154</v>
      </c>
      <c r="AC21" s="491">
        <f>AVERAGEA(AA20:AA21)</f>
        <v>1154.5</v>
      </c>
      <c r="AE21" s="828"/>
      <c r="AG21" s="829"/>
      <c r="AJ21" s="491">
        <f>U21</f>
        <v>321.10000000000002</v>
      </c>
      <c r="AL21" s="835">
        <f>IF(ISERROR(AJ21/AC21),"NA",AJ21/AC21*100)</f>
        <v>27.812906019922046</v>
      </c>
      <c r="AN21" s="830" t="s">
        <v>94</v>
      </c>
      <c r="AP21" s="832"/>
      <c r="AQ21" s="572"/>
    </row>
    <row r="22" spans="1:43" ht="10.5" customHeight="1" outlineLevel="1" x14ac:dyDescent="0.2">
      <c r="A22" s="573" t="s">
        <v>67</v>
      </c>
      <c r="B22" s="573"/>
      <c r="C22" s="573"/>
      <c r="D22" s="477">
        <f>INDEX('qtrP&amp;L'!$14:$14,MATCH($A17,'qtrP&amp;L'!$6:$6,0)+1)</f>
        <v>17.806012952728235</v>
      </c>
      <c r="F22" s="477">
        <f>INDEX('qtrP&amp;L'!$14:$14,MATCH($A17,'qtrP&amp;L'!$6:$6,0)+2)</f>
        <v>8.1999999999999993</v>
      </c>
      <c r="H22" s="445">
        <f>D22-F22</f>
        <v>9.6060129527282356</v>
      </c>
      <c r="J22" s="685"/>
      <c r="L22" s="453" t="s">
        <v>271</v>
      </c>
      <c r="N22" s="818" t="s">
        <v>94</v>
      </c>
      <c r="P22" s="818" t="s">
        <v>94</v>
      </c>
      <c r="S22" s="319">
        <f>INDEX('qtrP&amp;L'!$14:$14,MATCH($A17,'qtrP&amp;L'!$6:$6,0))</f>
        <v>930.42600000000004</v>
      </c>
      <c r="U22" s="319">
        <f>S22-AP22</f>
        <v>930.42600000000004</v>
      </c>
      <c r="W22" s="821" t="str">
        <f>IF(ISERROR(U22/L22),"NA",U22/L22)</f>
        <v>NA</v>
      </c>
      <c r="Y22" s="761" t="str">
        <f>IF(ISERROR(W22/W15),"NA",(W22/W15-1)*100)</f>
        <v>NA</v>
      </c>
      <c r="AA22" s="815"/>
      <c r="AC22" s="453" t="s">
        <v>271</v>
      </c>
      <c r="AE22" s="818" t="s">
        <v>94</v>
      </c>
      <c r="AG22" s="818" t="s">
        <v>94</v>
      </c>
      <c r="AJ22" s="319">
        <f>SUM(AJ18:AJ21)</f>
        <v>930.42600000000004</v>
      </c>
      <c r="AL22" s="833" t="str">
        <f>IF(ISERROR(AJ22/AC22),"NA",AJ22/AC22*100)</f>
        <v>NA</v>
      </c>
      <c r="AM22" s="833"/>
      <c r="AN22" s="761" t="s">
        <v>94</v>
      </c>
      <c r="AP22" s="489"/>
      <c r="AQ22" s="489"/>
    </row>
    <row r="23" spans="1:43" ht="10.5" customHeight="1" outlineLevel="1" x14ac:dyDescent="0.2">
      <c r="A23" s="573"/>
      <c r="B23" s="573"/>
      <c r="C23" s="573"/>
      <c r="D23" s="477"/>
      <c r="F23" s="477"/>
      <c r="J23" s="685"/>
      <c r="L23" s="813"/>
      <c r="P23" s="306"/>
      <c r="S23" s="489"/>
      <c r="U23" s="489"/>
      <c r="W23" s="489"/>
      <c r="Y23" s="765"/>
      <c r="AA23" s="815"/>
      <c r="AC23" s="813"/>
      <c r="AG23" s="306"/>
      <c r="AL23" s="489"/>
      <c r="AN23" s="765"/>
      <c r="AP23" s="489"/>
      <c r="AQ23" s="489"/>
    </row>
    <row r="24" spans="1:43" ht="10.5" customHeight="1" outlineLevel="1" x14ac:dyDescent="0.2">
      <c r="A24" s="812">
        <f>A31-1</f>
        <v>1992</v>
      </c>
      <c r="B24" s="812"/>
      <c r="C24" s="812"/>
      <c r="J24" s="685"/>
      <c r="AA24" s="815"/>
    </row>
    <row r="25" spans="1:43" ht="10.5" customHeight="1" outlineLevel="1" x14ac:dyDescent="0.2">
      <c r="A25" s="303" t="s">
        <v>63</v>
      </c>
      <c r="B25" s="303">
        <f>B21+1</f>
        <v>5</v>
      </c>
      <c r="C25" s="303">
        <f>C21+1</f>
        <v>105</v>
      </c>
      <c r="D25" s="477">
        <f>INDEX('qtrP&amp;L'!$10:$10,MATCH($A24,'qtrP&amp;L'!$6:$6,0)+1)</f>
        <v>10.712304971589415</v>
      </c>
      <c r="F25" s="477">
        <f>INDEX('qtrP&amp;L'!$10:$10,MATCH($A24,'qtrP&amp;L'!$6:$6,0)+2)</f>
        <v>0.1</v>
      </c>
      <c r="G25" s="303" t="s">
        <v>102</v>
      </c>
      <c r="H25" s="445">
        <f>D25-F25</f>
        <v>10.612304971589415</v>
      </c>
      <c r="I25" s="303" t="s">
        <v>102</v>
      </c>
      <c r="J25" s="686">
        <f>INDEX(stores!D:D,MATCH(B25,stores!C:C,0))</f>
        <v>76</v>
      </c>
      <c r="L25" s="413">
        <f>AVERAGEA(J25,J21)</f>
        <v>75.5</v>
      </c>
      <c r="N25" s="818" t="s">
        <v>271</v>
      </c>
      <c r="O25" s="303" t="s">
        <v>102</v>
      </c>
      <c r="P25" s="818" t="s">
        <v>271</v>
      </c>
      <c r="Q25" s="303" t="s">
        <v>102</v>
      </c>
      <c r="S25" s="319">
        <f>INDEX('qtrP&amp;L'!$10:$10,MATCH($A24,'qtrP&amp;L'!$6:$6,0))</f>
        <v>211.6</v>
      </c>
      <c r="U25" s="319">
        <f>S25-AP25</f>
        <v>211.6</v>
      </c>
      <c r="W25" s="821">
        <f>IF(ISERROR(U25/L25),"NA",U25/L25)</f>
        <v>2.8026490066225165</v>
      </c>
      <c r="Y25" s="761" t="str">
        <f>IF(ISERROR(W25/W18),"NA",(W25/W18-1)*100)</f>
        <v>NA</v>
      </c>
      <c r="Z25" s="303" t="s">
        <v>102</v>
      </c>
      <c r="AA25" s="686">
        <f>INDEX(stores!D:D,MATCH(C25,stores!C:C,0))</f>
        <v>1154</v>
      </c>
      <c r="AC25" s="413">
        <f>AVERAGEA(AA25,AA21)</f>
        <v>1154</v>
      </c>
      <c r="AE25" s="818" t="s">
        <v>271</v>
      </c>
      <c r="AF25" s="303" t="s">
        <v>102</v>
      </c>
      <c r="AG25" s="818" t="s">
        <v>271</v>
      </c>
      <c r="AH25" s="303" t="s">
        <v>102</v>
      </c>
      <c r="AJ25" s="319">
        <f>U25</f>
        <v>211.6</v>
      </c>
      <c r="AL25" s="833">
        <f>IF(ISERROR(AJ25/AC25),"NA",AJ25/AC25*100)</f>
        <v>18.336221837088388</v>
      </c>
      <c r="AN25" s="761" t="s">
        <v>94</v>
      </c>
      <c r="AO25" s="303" t="s">
        <v>102</v>
      </c>
      <c r="AP25" s="822"/>
      <c r="AQ25" s="489"/>
    </row>
    <row r="26" spans="1:43" ht="10.5" customHeight="1" outlineLevel="1" x14ac:dyDescent="0.2">
      <c r="A26" s="303" t="s">
        <v>64</v>
      </c>
      <c r="B26" s="303">
        <f t="shared" ref="B26:C28" si="1">B25+1</f>
        <v>6</v>
      </c>
      <c r="C26" s="303">
        <f t="shared" si="1"/>
        <v>106</v>
      </c>
      <c r="D26" s="477">
        <f>INDEX('qtrP&amp;L'!$11:$11,MATCH($A24,'qtrP&amp;L'!$6:$6,0)+1)</f>
        <v>21.836506159014558</v>
      </c>
      <c r="F26" s="477">
        <f>INDEX('qtrP&amp;L'!$11:$11,MATCH($A24,'qtrP&amp;L'!$6:$6,0)+2)</f>
        <v>10.9</v>
      </c>
      <c r="H26" s="445">
        <f>D26-F26</f>
        <v>10.936506159014558</v>
      </c>
      <c r="J26" s="686">
        <f>INDEX(stores!D:D,MATCH(B26,stores!C:C,0))</f>
        <v>78</v>
      </c>
      <c r="L26" s="413">
        <f>AVERAGEA(J25:J26)</f>
        <v>77</v>
      </c>
      <c r="N26" s="445">
        <f>(L26/L19-1)*100</f>
        <v>13.235294117647056</v>
      </c>
      <c r="P26" s="306">
        <f>(H26/N26)*100</f>
        <v>82.631379868110017</v>
      </c>
      <c r="S26" s="413">
        <f>INDEX('qtrP&amp;L'!$11:$11,MATCH($A24,'qtrP&amp;L'!$6:$6,0))</f>
        <v>217.6</v>
      </c>
      <c r="U26" s="413">
        <f>S26-AP26</f>
        <v>217.6</v>
      </c>
      <c r="W26" s="823">
        <f>IF(ISERROR(U26/L26),"NA",U26/L26)</f>
        <v>2.825974025974026</v>
      </c>
      <c r="Y26" s="761">
        <f>IF(ISERROR(W26/W19),"NA",(W26/W19-1)*100)</f>
        <v>7.5958755689998769</v>
      </c>
      <c r="AA26" s="686">
        <f>INDEX(stores!D:D,MATCH(C26,stores!C:C,0))</f>
        <v>1154</v>
      </c>
      <c r="AC26" s="413">
        <f>AVERAGEA(AA25:AA26)</f>
        <v>1154</v>
      </c>
      <c r="AE26" s="445">
        <f>(AC26/AC19-1)*100</f>
        <v>-0.38843331894691246</v>
      </c>
      <c r="AG26" s="306">
        <f>(H26/AE26)*100</f>
        <v>-2815.5427522707596</v>
      </c>
      <c r="AJ26" s="413">
        <f>U26</f>
        <v>217.6</v>
      </c>
      <c r="AL26" s="415">
        <f>IF(ISERROR(AJ26/AC26),"NA",AJ26/AC26*100)</f>
        <v>18.856152512998268</v>
      </c>
      <c r="AN26" s="765">
        <f>(AL26/AL19-1)*100</f>
        <v>22.311605186497729</v>
      </c>
      <c r="AP26" s="824"/>
      <c r="AQ26" s="479"/>
    </row>
    <row r="27" spans="1:43" ht="10.5" customHeight="1" outlineLevel="1" x14ac:dyDescent="0.2">
      <c r="A27" s="303" t="s">
        <v>65</v>
      </c>
      <c r="B27" s="303">
        <f t="shared" si="1"/>
        <v>7</v>
      </c>
      <c r="C27" s="303">
        <f t="shared" si="1"/>
        <v>107</v>
      </c>
      <c r="D27" s="477">
        <f>INDEX('qtrP&amp;L'!$12:$12,MATCH($A24,'qtrP&amp;L'!$6:$6,0)+1)</f>
        <v>19.031719532554249</v>
      </c>
      <c r="F27" s="477">
        <f>INDEX('qtrP&amp;L'!$12:$12,MATCH($A24,'qtrP&amp;L'!$6:$6,0)+2)</f>
        <v>16.399999999999999</v>
      </c>
      <c r="H27" s="445">
        <f>D27-F27</f>
        <v>2.63171953255425</v>
      </c>
      <c r="J27" s="686">
        <f>INDEX(stores!D:D,MATCH(B27,stores!C:C,0))</f>
        <v>81</v>
      </c>
      <c r="L27" s="413">
        <f>AVERAGEA(J26:J27)</f>
        <v>79.5</v>
      </c>
      <c r="N27" s="445">
        <f>(L27/L20-1)*100</f>
        <v>11.188811188811187</v>
      </c>
      <c r="P27" s="306">
        <f>(H27/N27)*100</f>
        <v>23.520993322203616</v>
      </c>
      <c r="S27" s="413">
        <f>INDEX('qtrP&amp;L'!$12:$12,MATCH($A24,'qtrP&amp;L'!$6:$6,0))</f>
        <v>285.2</v>
      </c>
      <c r="U27" s="413">
        <f>S27-AP27</f>
        <v>285.2</v>
      </c>
      <c r="W27" s="823">
        <f>IF(ISERROR(U27/L27),"NA",U27/L27)</f>
        <v>3.5874213836477984</v>
      </c>
      <c r="Y27" s="761">
        <f>IF(ISERROR(W27/W20),"NA",(W27/W20-1)*100)</f>
        <v>7.0536848626116866</v>
      </c>
      <c r="AA27" s="686">
        <f>INDEX(stores!D:D,MATCH(C27,stores!C:C,0))</f>
        <v>1156</v>
      </c>
      <c r="AC27" s="413">
        <f>AVERAGEA(AA26:AA27)</f>
        <v>1155</v>
      </c>
      <c r="AE27" s="445">
        <f>(AC27/AC20-1)*100</f>
        <v>0.21691973969630851</v>
      </c>
      <c r="AG27" s="306">
        <f>(H27/AE27)*100</f>
        <v>1213.2227045075308</v>
      </c>
      <c r="AJ27" s="413">
        <f>U27</f>
        <v>285.2</v>
      </c>
      <c r="AL27" s="415">
        <f>IF(ISERROR(AJ27/AC27),"NA",AJ27/AC27*100)</f>
        <v>24.692640692640691</v>
      </c>
      <c r="AN27" s="765">
        <f>(AL27/AL20-1)*100</f>
        <v>18.774075117981614</v>
      </c>
      <c r="AP27" s="824"/>
      <c r="AQ27" s="479"/>
    </row>
    <row r="28" spans="1:43" ht="10.5" customHeight="1" outlineLevel="1" x14ac:dyDescent="0.2">
      <c r="A28" s="303" t="s">
        <v>66</v>
      </c>
      <c r="B28" s="303">
        <f t="shared" si="1"/>
        <v>8</v>
      </c>
      <c r="C28" s="303">
        <f t="shared" si="1"/>
        <v>108</v>
      </c>
      <c r="D28" s="834">
        <f>INDEX('qtrP&amp;L'!$13:$13,MATCH($A24,'qtrP&amp;L'!$6:$6,0)+1)</f>
        <v>18.156337589535966</v>
      </c>
      <c r="F28" s="834">
        <f>INDEX('qtrP&amp;L'!$13:$13,MATCH($A24,'qtrP&amp;L'!$6:$6,0)+2)</f>
        <v>12.1</v>
      </c>
      <c r="H28" s="828">
        <f>D28-F28</f>
        <v>6.0563375895359659</v>
      </c>
      <c r="J28" s="686">
        <f>INDEX(stores!D:D,MATCH(B28,stores!C:C,0))</f>
        <v>79</v>
      </c>
      <c r="L28" s="491">
        <f>AVERAGEA(J27:J28)</f>
        <v>80</v>
      </c>
      <c r="N28" s="828">
        <f>(L28/L21-1)*100</f>
        <v>6.6666666666666652</v>
      </c>
      <c r="P28" s="829">
        <f>(H28/N28)*100</f>
        <v>90.845063843039512</v>
      </c>
      <c r="S28" s="491">
        <f>INDEX('qtrP&amp;L'!$13:$13,MATCH($A24,'qtrP&amp;L'!$6:$6,0))</f>
        <v>379.4</v>
      </c>
      <c r="U28" s="491">
        <f>S28-AP28</f>
        <v>379.4</v>
      </c>
      <c r="W28" s="831">
        <f>IF(ISERROR(U28/L28),"NA",U28/L28)</f>
        <v>4.7424999999999997</v>
      </c>
      <c r="Y28" s="830">
        <f>IF(ISERROR(W28/W21),"NA",(W28/W21-1)*100)</f>
        <v>10.771566490189954</v>
      </c>
      <c r="AA28" s="686">
        <f>INDEX(stores!D:D,MATCH(C28,stores!C:C,0))</f>
        <v>1158</v>
      </c>
      <c r="AC28" s="491">
        <f>AVERAGEA(AA27:AA28)</f>
        <v>1157</v>
      </c>
      <c r="AE28" s="828">
        <f>(AC28/AC21-1)*100</f>
        <v>0.21654395842356511</v>
      </c>
      <c r="AG28" s="829">
        <f>(H28/AE28)*100</f>
        <v>2796.8166988476428</v>
      </c>
      <c r="AJ28" s="491">
        <f>U28</f>
        <v>379.4</v>
      </c>
      <c r="AL28" s="835">
        <f>IF(ISERROR(AJ28/AC28),"NA",AJ28/AC28*100)</f>
        <v>32.791702679343125</v>
      </c>
      <c r="AN28" s="836">
        <f>(AL28/AL21-1)*100</f>
        <v>17.901030032082321</v>
      </c>
      <c r="AP28" s="832"/>
      <c r="AQ28" s="572"/>
    </row>
    <row r="29" spans="1:43" ht="10.5" customHeight="1" outlineLevel="1" x14ac:dyDescent="0.2">
      <c r="A29" s="573" t="s">
        <v>67</v>
      </c>
      <c r="B29" s="573"/>
      <c r="C29" s="573"/>
      <c r="D29" s="477">
        <f>INDEX('qtrP&amp;L'!$14:$14,MATCH($A24,'qtrP&amp;L'!$6:$6,0)+1)</f>
        <v>17.887505293274252</v>
      </c>
      <c r="F29" s="477">
        <f>INDEX('qtrP&amp;L'!$14:$14,MATCH($A24,'qtrP&amp;L'!$6:$6,0)+2)</f>
        <v>10.5</v>
      </c>
      <c r="H29" s="445">
        <f>D29-F29</f>
        <v>7.387505293274252</v>
      </c>
      <c r="J29" s="685"/>
      <c r="L29" s="413">
        <f>AVERAGEA(L25:L28)</f>
        <v>78</v>
      </c>
      <c r="N29" s="818" t="s">
        <v>94</v>
      </c>
      <c r="P29" s="818" t="s">
        <v>94</v>
      </c>
      <c r="S29" s="319">
        <f>INDEX('qtrP&amp;L'!$14:$14,MATCH($A24,'qtrP&amp;L'!$6:$6,0))</f>
        <v>1096.856</v>
      </c>
      <c r="U29" s="319">
        <f>S29-AP29</f>
        <v>1096.856</v>
      </c>
      <c r="W29" s="821">
        <f>IF(ISERROR(U29/L29),"NA",U29/L29)</f>
        <v>14.06225641025641</v>
      </c>
      <c r="Y29" s="761" t="str">
        <f>IF(ISERROR(W29/W22),"NA",(W29/W22-1)*100)</f>
        <v>NA</v>
      </c>
      <c r="AA29" s="815"/>
      <c r="AC29" s="413">
        <f>AVERAGEA(AC25:AC28)</f>
        <v>1155</v>
      </c>
      <c r="AE29" s="818" t="s">
        <v>94</v>
      </c>
      <c r="AG29" s="818" t="s">
        <v>94</v>
      </c>
      <c r="AJ29" s="319">
        <f>SUM(AJ25:AJ28)</f>
        <v>1093.8</v>
      </c>
      <c r="AL29" s="833">
        <f>IF(ISERROR(AJ29/AC29),"NA",AJ29/AC29*100)</f>
        <v>94.701298701298697</v>
      </c>
      <c r="AN29" s="761" t="s">
        <v>94</v>
      </c>
      <c r="AP29" s="489"/>
      <c r="AQ29" s="489"/>
    </row>
    <row r="30" spans="1:43" ht="10.5" customHeight="1" outlineLevel="1" x14ac:dyDescent="0.2">
      <c r="A30" s="812"/>
      <c r="B30" s="812"/>
      <c r="C30" s="812"/>
      <c r="J30" s="685"/>
      <c r="L30" s="813"/>
      <c r="P30" s="306"/>
      <c r="Y30" s="765"/>
      <c r="AA30" s="815"/>
      <c r="AC30" s="813"/>
      <c r="AG30" s="306"/>
      <c r="AN30" s="765"/>
    </row>
    <row r="31" spans="1:43" ht="10.5" customHeight="1" outlineLevel="1" x14ac:dyDescent="0.2">
      <c r="A31" s="812">
        <f>A38-1</f>
        <v>1993</v>
      </c>
      <c r="B31" s="812"/>
      <c r="C31" s="812"/>
      <c r="J31" s="685"/>
      <c r="AA31" s="815"/>
    </row>
    <row r="32" spans="1:43" ht="10.5" customHeight="1" outlineLevel="1" x14ac:dyDescent="0.2">
      <c r="A32" s="303" t="s">
        <v>63</v>
      </c>
      <c r="B32" s="303">
        <f>B28+1</f>
        <v>9</v>
      </c>
      <c r="C32" s="303">
        <f>C28+1</f>
        <v>109</v>
      </c>
      <c r="D32" s="477">
        <f>INDEX('qtrP&amp;L'!$10:$10,MATCH($A31,'qtrP&amp;L'!$6:$6,0)+1)</f>
        <v>18.241965973534981</v>
      </c>
      <c r="F32" s="477">
        <f>INDEX('qtrP&amp;L'!$10:$10,MATCH($A31,'qtrP&amp;L'!$6:$6,0)+2)</f>
        <v>8.9</v>
      </c>
      <c r="G32" s="303" t="s">
        <v>102</v>
      </c>
      <c r="H32" s="445">
        <f>D32-F32</f>
        <v>9.3419659735349807</v>
      </c>
      <c r="I32" s="303" t="s">
        <v>102</v>
      </c>
      <c r="J32" s="686">
        <f>INDEX(stores!D:D,MATCH(B32,stores!C:C,0))</f>
        <v>82</v>
      </c>
      <c r="L32" s="413">
        <f>AVERAGEA(J32,J28)</f>
        <v>80.5</v>
      </c>
      <c r="N32" s="445">
        <f>(L32/L25-1)*100</f>
        <v>6.6225165562913801</v>
      </c>
      <c r="O32" s="303" t="s">
        <v>102</v>
      </c>
      <c r="P32" s="306">
        <f>(H32/N32)*100</f>
        <v>141.06368620037844</v>
      </c>
      <c r="Q32" s="303" t="s">
        <v>102</v>
      </c>
      <c r="S32" s="319">
        <f>INDEX('qtrP&amp;L'!$10:$10,MATCH($A31,'qtrP&amp;L'!$6:$6,0))</f>
        <v>250.2</v>
      </c>
      <c r="U32" s="319">
        <f>S32-AP32</f>
        <v>250.2</v>
      </c>
      <c r="W32" s="821">
        <f>IF(ISERROR(U32/L32),"NA",U32/L32)</f>
        <v>3.1080745341614904</v>
      </c>
      <c r="Y32" s="761">
        <f>IF(ISERROR(W32/W25),"NA",(W32/W25-1)*100)</f>
        <v>10.897744484495519</v>
      </c>
      <c r="Z32" s="303" t="s">
        <v>102</v>
      </c>
      <c r="AA32" s="686">
        <f>INDEX(stores!D:D,MATCH(C32,stores!C:C,0))</f>
        <v>1160</v>
      </c>
      <c r="AC32" s="413">
        <f>AVERAGEA(AA32,AA28)</f>
        <v>1159</v>
      </c>
      <c r="AE32" s="445">
        <f>(AC32/AC25-1)*100</f>
        <v>0.43327556325822858</v>
      </c>
      <c r="AF32" s="303" t="s">
        <v>102</v>
      </c>
      <c r="AG32" s="306">
        <f>(H32/AE32)*100</f>
        <v>2156.1257466918919</v>
      </c>
      <c r="AH32" s="303" t="s">
        <v>102</v>
      </c>
      <c r="AJ32" s="319">
        <f>U32</f>
        <v>250.2</v>
      </c>
      <c r="AL32" s="833">
        <f>IF(ISERROR(AJ32/AC32),"NA",AJ32/AC32*100)</f>
        <v>21.587575496117342</v>
      </c>
      <c r="AN32" s="765">
        <f>(AL32/AL25-1)*100</f>
        <v>17.731862582794953</v>
      </c>
      <c r="AO32" s="303" t="s">
        <v>102</v>
      </c>
      <c r="AP32" s="822"/>
      <c r="AQ32" s="489"/>
    </row>
    <row r="33" spans="1:43" ht="10.5" customHeight="1" outlineLevel="1" x14ac:dyDescent="0.2">
      <c r="A33" s="303" t="s">
        <v>64</v>
      </c>
      <c r="B33" s="303">
        <f t="shared" ref="B33:C35" si="2">B32+1</f>
        <v>10</v>
      </c>
      <c r="C33" s="303">
        <f t="shared" si="2"/>
        <v>110</v>
      </c>
      <c r="D33" s="477">
        <f>INDEX('qtrP&amp;L'!$11:$11,MATCH($A31,'qtrP&amp;L'!$6:$6,0)+1)</f>
        <v>18.290441176470583</v>
      </c>
      <c r="F33" s="477">
        <f>INDEX('qtrP&amp;L'!$11:$11,MATCH($A31,'qtrP&amp;L'!$6:$6,0)+2)</f>
        <v>8.1999999999999993</v>
      </c>
      <c r="H33" s="445">
        <f>D33-F33</f>
        <v>10.090441176470584</v>
      </c>
      <c r="J33" s="686">
        <f>INDEX(stores!D:D,MATCH(B33,stores!C:C,0))</f>
        <v>85</v>
      </c>
      <c r="L33" s="413">
        <f>AVERAGEA(J32:J33)</f>
        <v>83.5</v>
      </c>
      <c r="N33" s="445">
        <f>(L33/L26-1)*100</f>
        <v>8.441558441558449</v>
      </c>
      <c r="P33" s="306">
        <f>(H33/N33)*100</f>
        <v>119.53291855203605</v>
      </c>
      <c r="S33" s="413">
        <f>INDEX('qtrP&amp;L'!$11:$11,MATCH($A31,'qtrP&amp;L'!$6:$6,0))</f>
        <v>257.39999999999998</v>
      </c>
      <c r="U33" s="413">
        <f>S33-AP33</f>
        <v>257.39999999999998</v>
      </c>
      <c r="W33" s="823">
        <f>IF(ISERROR(U33/L33),"NA",U33/L33)</f>
        <v>3.0826347305389219</v>
      </c>
      <c r="Y33" s="761">
        <f>IF(ISERROR(W33/W26),"NA",(W33/W26-1)*100)</f>
        <v>9.0822032405776465</v>
      </c>
      <c r="AA33" s="686">
        <f>INDEX(stores!D:D,MATCH(C33,stores!C:C,0))</f>
        <v>1162</v>
      </c>
      <c r="AC33" s="413">
        <f>AVERAGEA(AA32:AA33)</f>
        <v>1161</v>
      </c>
      <c r="AE33" s="445">
        <f>(AC33/AC26-1)*100</f>
        <v>0.60658578856152001</v>
      </c>
      <c r="AG33" s="306">
        <f>(H33/AE33)*100</f>
        <v>1663.4813025210217</v>
      </c>
      <c r="AJ33" s="413">
        <f>U33</f>
        <v>257.39999999999998</v>
      </c>
      <c r="AL33" s="415">
        <f>IF(ISERROR(AJ33/AC33),"NA",AJ33/AC33*100)</f>
        <v>22.170542635658911</v>
      </c>
      <c r="AN33" s="765">
        <f>(AL33/AL26-1)*100</f>
        <v>17.577234382124928</v>
      </c>
      <c r="AP33" s="824"/>
      <c r="AQ33" s="479"/>
    </row>
    <row r="34" spans="1:43" ht="10.5" customHeight="1" outlineLevel="1" x14ac:dyDescent="0.2">
      <c r="A34" s="303" t="s">
        <v>65</v>
      </c>
      <c r="B34" s="303">
        <f t="shared" si="2"/>
        <v>11</v>
      </c>
      <c r="C34" s="303">
        <f t="shared" si="2"/>
        <v>111</v>
      </c>
      <c r="D34" s="477">
        <f>INDEX('qtrP&amp;L'!$12:$12,MATCH($A31,'qtrP&amp;L'!$6:$6,0)+1)</f>
        <v>19.530154277699864</v>
      </c>
      <c r="F34" s="477">
        <f>INDEX('qtrP&amp;L'!$12:$12,MATCH($A31,'qtrP&amp;L'!$6:$6,0)+2)</f>
        <v>8.8000000000000007</v>
      </c>
      <c r="H34" s="445">
        <f>D34-F34</f>
        <v>10.730154277699864</v>
      </c>
      <c r="J34" s="686">
        <f>INDEX(stores!D:D,MATCH(B34,stores!C:C,0))</f>
        <v>85</v>
      </c>
      <c r="L34" s="413">
        <f>AVERAGEA(J33:J34)</f>
        <v>85</v>
      </c>
      <c r="N34" s="445">
        <f>(L34/L27-1)*100</f>
        <v>6.9182389937106903</v>
      </c>
      <c r="P34" s="306">
        <f>(H34/N34)*100</f>
        <v>155.09950274129807</v>
      </c>
      <c r="S34" s="413">
        <f>INDEX('qtrP&amp;L'!$12:$12,MATCH($A31,'qtrP&amp;L'!$6:$6,0))</f>
        <v>340.9</v>
      </c>
      <c r="U34" s="413">
        <f>S34-AP34</f>
        <v>340.9</v>
      </c>
      <c r="W34" s="823">
        <f>IF(ISERROR(U34/L34),"NA",U34/L34)</f>
        <v>4.0105882352941178</v>
      </c>
      <c r="Y34" s="761">
        <f>IF(ISERROR(W34/W27),"NA",(W34/W27-1)*100)</f>
        <v>11.795850177378121</v>
      </c>
      <c r="AA34" s="686">
        <f>INDEX(stores!D:D,MATCH(C34,stores!C:C,0))</f>
        <v>1163</v>
      </c>
      <c r="AC34" s="413">
        <f>AVERAGEA(AA33:AA34)</f>
        <v>1162.5</v>
      </c>
      <c r="AE34" s="445">
        <f>(AC34/AC27-1)*100</f>
        <v>0.64935064935065512</v>
      </c>
      <c r="AG34" s="306">
        <f>(H34/AE34)*100</f>
        <v>1652.4437587657644</v>
      </c>
      <c r="AJ34" s="413">
        <f>U34</f>
        <v>340.9</v>
      </c>
      <c r="AL34" s="415">
        <f>IF(ISERROR(AJ34/AC34),"NA",AJ34/AC34*100)</f>
        <v>29.324731182795698</v>
      </c>
      <c r="AN34" s="765">
        <f>(AL34/AL27-1)*100</f>
        <v>18.758991992037299</v>
      </c>
      <c r="AP34" s="824"/>
      <c r="AQ34" s="479"/>
    </row>
    <row r="35" spans="1:43" ht="10.5" customHeight="1" outlineLevel="1" x14ac:dyDescent="0.2">
      <c r="A35" s="303" t="s">
        <v>66</v>
      </c>
      <c r="B35" s="303">
        <f t="shared" si="2"/>
        <v>12</v>
      </c>
      <c r="C35" s="303">
        <f t="shared" si="2"/>
        <v>112</v>
      </c>
      <c r="D35" s="834">
        <f>INDEX('qtrP&amp;L'!$13:$13,MATCH($A31,'qtrP&amp;L'!$6:$6,0)+1)</f>
        <v>20.479704797047994</v>
      </c>
      <c r="F35" s="834">
        <f>INDEX('qtrP&amp;L'!$13:$13,MATCH($A31,'qtrP&amp;L'!$6:$6,0)+2)</f>
        <v>8.5</v>
      </c>
      <c r="H35" s="828">
        <f>D35-F35</f>
        <v>11.979704797047994</v>
      </c>
      <c r="J35" s="686">
        <f>INDEX(stores!D:D,MATCH(B35,stores!C:C,0))</f>
        <v>90</v>
      </c>
      <c r="L35" s="491">
        <f>AVERAGEA(J34:J35)</f>
        <v>87.5</v>
      </c>
      <c r="N35" s="828">
        <f>(L35/L28-1)*100</f>
        <v>9.375</v>
      </c>
      <c r="P35" s="829">
        <f>(H35/N35)*100</f>
        <v>127.7835178351786</v>
      </c>
      <c r="S35" s="491">
        <f>INDEX('qtrP&amp;L'!$13:$13,MATCH($A31,'qtrP&amp;L'!$6:$6,0))</f>
        <v>457.1</v>
      </c>
      <c r="U35" s="491">
        <f>S35-AP35</f>
        <v>457.1</v>
      </c>
      <c r="W35" s="831">
        <f>IF(ISERROR(U35/L35),"NA",U35/L35)</f>
        <v>5.2240000000000002</v>
      </c>
      <c r="Y35" s="830">
        <f>IF(ISERROR(W35/W28),"NA",(W35/W28-1)*100)</f>
        <v>10.152872957301007</v>
      </c>
      <c r="AA35" s="686">
        <f>INDEX(stores!D:D,MATCH(C35,stores!C:C,0))</f>
        <v>1163</v>
      </c>
      <c r="AC35" s="491">
        <f>AVERAGEA(AA34:AA35)</f>
        <v>1163</v>
      </c>
      <c r="AE35" s="828">
        <f>(AC35/AC28-1)*100</f>
        <v>0.51858254105445756</v>
      </c>
      <c r="AG35" s="829">
        <f>(H35/AE35)*100</f>
        <v>2310.0864083640599</v>
      </c>
      <c r="AJ35" s="491">
        <f>U35</f>
        <v>457.1</v>
      </c>
      <c r="AL35" s="835">
        <f>IF(ISERROR(AJ35/AC35),"NA",AJ35/AC35*100)</f>
        <v>39.303525365434226</v>
      </c>
      <c r="AN35" s="836">
        <f>(AL35/AL28-1)*100</f>
        <v>19.858141401706387</v>
      </c>
      <c r="AP35" s="832"/>
      <c r="AQ35" s="572"/>
    </row>
    <row r="36" spans="1:43" ht="10.5" customHeight="1" outlineLevel="1" x14ac:dyDescent="0.2">
      <c r="A36" s="573" t="s">
        <v>67</v>
      </c>
      <c r="B36" s="573"/>
      <c r="C36" s="573"/>
      <c r="D36" s="477">
        <f>INDEX('qtrP&amp;L'!$14:$14,MATCH($A31,'qtrP&amp;L'!$6:$6,0)+1)</f>
        <v>19.031121678688901</v>
      </c>
      <c r="F36" s="477">
        <f>INDEX('qtrP&amp;L'!$14:$14,MATCH($A31,'qtrP&amp;L'!$6:$6,0)+2)</f>
        <v>8.3000000000000007</v>
      </c>
      <c r="H36" s="445">
        <f>D36-F36</f>
        <v>10.731121678688901</v>
      </c>
      <c r="J36" s="685"/>
      <c r="L36" s="413">
        <f>AVERAGEA(L32:L35)</f>
        <v>84.125</v>
      </c>
      <c r="N36" s="445">
        <f>(L36/L29-1)*100</f>
        <v>7.8525641025640969</v>
      </c>
      <c r="P36" s="306">
        <f>(H36/N36)*100</f>
        <v>136.65754954085466</v>
      </c>
      <c r="S36" s="319">
        <f>INDEX('qtrP&amp;L'!$14:$14,MATCH($A31,'qtrP&amp;L'!$6:$6,0))</f>
        <v>1305.5999999999999</v>
      </c>
      <c r="U36" s="319">
        <f>S36-AP36</f>
        <v>1305.5999999999999</v>
      </c>
      <c r="W36" s="821">
        <f>IF(ISERROR(U36/L36),"NA",U36/L36)</f>
        <v>15.519762258543832</v>
      </c>
      <c r="Y36" s="761">
        <f>IF(ISERROR(W36/W29),"NA",(W36/W29-1)*100)</f>
        <v>10.364665568353448</v>
      </c>
      <c r="AA36" s="815"/>
      <c r="AC36" s="413">
        <f>AVERAGEA(AC32:AC35)</f>
        <v>1161.375</v>
      </c>
      <c r="AE36" s="445">
        <f>(AC36/AC29-1)*100</f>
        <v>0.55194805194804797</v>
      </c>
      <c r="AG36" s="306">
        <f>(H36/AE36)*100</f>
        <v>1944.226751197768</v>
      </c>
      <c r="AJ36" s="319">
        <f>SUM(AJ32:AJ35)</f>
        <v>1305.5999999999999</v>
      </c>
      <c r="AL36" s="833">
        <f>IF(ISERROR(AJ36/AC36),"NA",AJ36/AC36*100)</f>
        <v>112.41846948659993</v>
      </c>
      <c r="AN36" s="765">
        <f>(AL36/AL29-1)*100</f>
        <v>18.708477104610456</v>
      </c>
      <c r="AP36" s="489"/>
      <c r="AQ36" s="489"/>
    </row>
    <row r="37" spans="1:43" ht="10.5" customHeight="1" outlineLevel="1" x14ac:dyDescent="0.2">
      <c r="A37" s="573"/>
      <c r="B37" s="573"/>
      <c r="C37" s="573"/>
      <c r="D37" s="477"/>
      <c r="F37" s="477"/>
      <c r="J37" s="685"/>
      <c r="L37" s="813"/>
      <c r="P37" s="306"/>
      <c r="S37" s="489"/>
      <c r="U37" s="489"/>
      <c r="W37" s="489"/>
      <c r="Y37" s="765"/>
      <c r="AA37" s="815"/>
      <c r="AC37" s="813"/>
      <c r="AG37" s="306"/>
      <c r="AL37" s="489"/>
      <c r="AN37" s="765"/>
      <c r="AP37" s="489"/>
      <c r="AQ37" s="489"/>
    </row>
    <row r="38" spans="1:43" ht="10.5" customHeight="1" outlineLevel="1" x14ac:dyDescent="0.2">
      <c r="A38" s="812">
        <f>A45-1</f>
        <v>1994</v>
      </c>
      <c r="B38" s="812"/>
      <c r="C38" s="812"/>
      <c r="J38" s="685"/>
      <c r="AA38" s="815"/>
    </row>
    <row r="39" spans="1:43" ht="10.5" customHeight="1" outlineLevel="1" x14ac:dyDescent="0.2">
      <c r="A39" s="303" t="s">
        <v>63</v>
      </c>
      <c r="B39" s="303">
        <f>B35+1</f>
        <v>13</v>
      </c>
      <c r="C39" s="303">
        <f>C35+1</f>
        <v>113</v>
      </c>
      <c r="D39" s="477">
        <f>INDEX('qtrP&amp;L'!$10:$10,MATCH($A38,'qtrP&amp;L'!$6:$6,0)+1)</f>
        <v>23.021582733812963</v>
      </c>
      <c r="F39" s="477">
        <f>INDEX('qtrP&amp;L'!$10:$10,MATCH($A38,'qtrP&amp;L'!$6:$6,0)+2)</f>
        <v>12.3</v>
      </c>
      <c r="G39" s="303" t="s">
        <v>102</v>
      </c>
      <c r="H39" s="445">
        <f>D39-F39</f>
        <v>10.721582733812962</v>
      </c>
      <c r="I39" s="303" t="s">
        <v>102</v>
      </c>
      <c r="J39" s="686">
        <f>INDEX(stores!D:D,MATCH(B39,stores!C:C,0))</f>
        <v>92</v>
      </c>
      <c r="L39" s="413">
        <f>AVERAGEA(J39,J35)</f>
        <v>91</v>
      </c>
      <c r="N39" s="445">
        <f>(L39/L32-1)*100</f>
        <v>13.043478260869556</v>
      </c>
      <c r="O39" s="303" t="s">
        <v>102</v>
      </c>
      <c r="P39" s="306">
        <f>(H39/N39)*100</f>
        <v>82.19880095923277</v>
      </c>
      <c r="Q39" s="303" t="s">
        <v>102</v>
      </c>
      <c r="S39" s="319">
        <f>INDEX('qtrP&amp;L'!$10:$10,MATCH($A38,'qtrP&amp;L'!$6:$6,0))</f>
        <v>307.8</v>
      </c>
      <c r="U39" s="319">
        <f>S39-AP39</f>
        <v>307.8</v>
      </c>
      <c r="W39" s="821">
        <f>IF(ISERROR(U39/L39),"NA",U39/L39)</f>
        <v>3.3824175824175824</v>
      </c>
      <c r="Y39" s="761">
        <f>IF(ISERROR(W39/W32),"NA",(W39/W32-1)*100)</f>
        <v>8.8267847260653056</v>
      </c>
      <c r="Z39" s="303" t="s">
        <v>102</v>
      </c>
      <c r="AA39" s="686">
        <f>INDEX(stores!D:D,MATCH(C39,stores!C:C,0))</f>
        <v>6697</v>
      </c>
      <c r="AC39" s="413">
        <f>AVERAGEA(AA39,AA35)</f>
        <v>3930</v>
      </c>
      <c r="AE39" s="445">
        <f>(AC39/AC32-1)*100</f>
        <v>239.08541846419328</v>
      </c>
      <c r="AF39" s="303" t="s">
        <v>102</v>
      </c>
      <c r="AG39" s="306">
        <f>(H39/AE39)*100</f>
        <v>4.4844151528290226</v>
      </c>
      <c r="AH39" s="303" t="s">
        <v>102</v>
      </c>
      <c r="AJ39" s="319">
        <f>U39</f>
        <v>307.8</v>
      </c>
      <c r="AL39" s="833">
        <f>IF(ISERROR(AJ39/AC39),"NA",AJ39/AC39*100)</f>
        <v>7.8320610687022914</v>
      </c>
      <c r="AN39" s="765">
        <f>(AL39/AL32-1)*100</f>
        <v>-63.719589214124881</v>
      </c>
      <c r="AO39" s="303" t="s">
        <v>102</v>
      </c>
      <c r="AP39" s="822"/>
      <c r="AQ39" s="489"/>
    </row>
    <row r="40" spans="1:43" ht="10.5" customHeight="1" outlineLevel="1" x14ac:dyDescent="0.2">
      <c r="A40" s="303" t="s">
        <v>64</v>
      </c>
      <c r="B40" s="303">
        <f t="shared" ref="B40:C42" si="3">B39+1</f>
        <v>14</v>
      </c>
      <c r="C40" s="303">
        <f t="shared" si="3"/>
        <v>114</v>
      </c>
      <c r="D40" s="477">
        <f>INDEX('qtrP&amp;L'!$11:$11,MATCH($A38,'qtrP&amp;L'!$6:$6,0)+1)</f>
        <v>13.597513597513601</v>
      </c>
      <c r="F40" s="477">
        <f>INDEX('qtrP&amp;L'!$11:$11,MATCH($A38,'qtrP&amp;L'!$6:$6,0)+2)</f>
        <v>5.4</v>
      </c>
      <c r="H40" s="445">
        <f>D40-F40</f>
        <v>8.1975135975136002</v>
      </c>
      <c r="J40" s="686">
        <f>INDEX(stores!D:D,MATCH(B40,stores!C:C,0))</f>
        <v>92</v>
      </c>
      <c r="L40" s="413">
        <f>AVERAGEA(J39:J40)</f>
        <v>92</v>
      </c>
      <c r="N40" s="445">
        <f>(L40/L33-1)*100</f>
        <v>10.179640718562876</v>
      </c>
      <c r="P40" s="306">
        <f>(H40/N40)*100</f>
        <v>80.528515928515944</v>
      </c>
      <c r="S40" s="413">
        <f>INDEX('qtrP&amp;L'!$11:$11,MATCH($A38,'qtrP&amp;L'!$6:$6,0))</f>
        <v>292.39999999999998</v>
      </c>
      <c r="U40" s="413">
        <f>S40-AP40</f>
        <v>292.39999999999998</v>
      </c>
      <c r="W40" s="823">
        <f>IF(ISERROR(U40/L40),"NA",U40/L40)</f>
        <v>3.178260869565217</v>
      </c>
      <c r="Y40" s="761">
        <f>IF(ISERROR(W40/W33),"NA",(W40/W33-1)*100)</f>
        <v>3.1020911455694078</v>
      </c>
      <c r="AA40" s="686">
        <f>INDEX(stores!D:D,MATCH(C40,stores!C:C,0))</f>
        <v>6697</v>
      </c>
      <c r="AC40" s="413">
        <f>AVERAGEA(AA39:AA40)</f>
        <v>6697</v>
      </c>
      <c r="AE40" s="445">
        <f>(AC40/AC33-1)*100</f>
        <v>476.83031869078383</v>
      </c>
      <c r="AG40" s="306">
        <f>(H40/AE40)*100</f>
        <v>1.719167862484337</v>
      </c>
      <c r="AJ40" s="413">
        <f>U40</f>
        <v>292.39999999999998</v>
      </c>
      <c r="AL40" s="415">
        <f>IF(ISERROR(AJ40/AC40),"NA",AJ40/AC40*100)</f>
        <v>4.3661340898909957</v>
      </c>
      <c r="AN40" s="765">
        <f>(AL40/AL33-1)*100</f>
        <v>-80.306597986155992</v>
      </c>
      <c r="AP40" s="824"/>
      <c r="AQ40" s="479"/>
    </row>
    <row r="41" spans="1:43" ht="10.5" customHeight="1" outlineLevel="1" x14ac:dyDescent="0.2">
      <c r="A41" s="303" t="s">
        <v>65</v>
      </c>
      <c r="B41" s="303">
        <f t="shared" si="3"/>
        <v>15</v>
      </c>
      <c r="C41" s="303">
        <f t="shared" si="3"/>
        <v>115</v>
      </c>
      <c r="D41" s="477">
        <f>INDEX('qtrP&amp;L'!$12:$12,MATCH($A38,'qtrP&amp;L'!$6:$6,0)+1)</f>
        <v>14.256380170137884</v>
      </c>
      <c r="F41" s="477">
        <f>INDEX('qtrP&amp;L'!$12:$12,MATCH($A38,'qtrP&amp;L'!$6:$6,0)+2)</f>
        <v>1.8</v>
      </c>
      <c r="H41" s="445">
        <f>D41-F41</f>
        <v>12.456380170137884</v>
      </c>
      <c r="J41" s="686">
        <f>INDEX(stores!D:D,MATCH(B41,stores!C:C,0))</f>
        <v>99</v>
      </c>
      <c r="L41" s="413">
        <f>AVERAGEA(J40:J41)</f>
        <v>95.5</v>
      </c>
      <c r="N41" s="445">
        <f>(L41/L34-1)*100</f>
        <v>12.352941176470589</v>
      </c>
      <c r="P41" s="306">
        <f>(H41/N41)*100</f>
        <v>100.83736328206858</v>
      </c>
      <c r="S41" s="413">
        <f>INDEX('qtrP&amp;L'!$12:$12,MATCH($A38,'qtrP&amp;L'!$6:$6,0))</f>
        <v>389.5</v>
      </c>
      <c r="U41" s="413">
        <f>S41-AP41</f>
        <v>389.5</v>
      </c>
      <c r="W41" s="823">
        <f>IF(ISERROR(U41/L41),"NA",U41/L41)</f>
        <v>4.0785340314136125</v>
      </c>
      <c r="Y41" s="761">
        <f>IF(ISERROR(W41/W34),"NA",(W41/W34-1)*100)</f>
        <v>1.694160360855701</v>
      </c>
      <c r="AA41" s="686">
        <f>INDEX(stores!D:D,MATCH(C41,stores!C:C,0))</f>
        <v>7278</v>
      </c>
      <c r="AC41" s="413">
        <f>AVERAGEA(AA40:AA41)</f>
        <v>6987.5</v>
      </c>
      <c r="AE41" s="445">
        <f>(AC41/AC34-1)*100</f>
        <v>501.07526881720429</v>
      </c>
      <c r="AG41" s="306">
        <f>(H41/AE41)*100</f>
        <v>2.4859299481176467</v>
      </c>
      <c r="AJ41" s="413">
        <f>U41</f>
        <v>389.5</v>
      </c>
      <c r="AL41" s="415">
        <f>IF(ISERROR(AJ41/AC41),"NA",AJ41/AC41*100)</f>
        <v>5.5742397137745971</v>
      </c>
      <c r="AN41" s="765">
        <f>(AL41/AL34-1)*100</f>
        <v>-80.991335678313376</v>
      </c>
      <c r="AP41" s="824"/>
      <c r="AQ41" s="479"/>
    </row>
    <row r="42" spans="1:43" ht="10.5" customHeight="1" outlineLevel="1" x14ac:dyDescent="0.2">
      <c r="A42" s="303" t="s">
        <v>66</v>
      </c>
      <c r="B42" s="303">
        <f t="shared" si="3"/>
        <v>16</v>
      </c>
      <c r="C42" s="303">
        <f t="shared" si="3"/>
        <v>116</v>
      </c>
      <c r="D42" s="834">
        <f>INDEX('qtrP&amp;L'!$13:$13,MATCH($A38,'qtrP&amp;L'!$6:$6,0)+1)</f>
        <v>23.460949464012248</v>
      </c>
      <c r="F42" s="834">
        <f>INDEX('qtrP&amp;L'!$13:$13,MATCH($A38,'qtrP&amp;L'!$6:$6,0)+2)</f>
        <v>6.6</v>
      </c>
      <c r="H42" s="828">
        <f>D42-F42</f>
        <v>16.860949464012251</v>
      </c>
      <c r="J42" s="686">
        <f>INDEX(stores!D:D,MATCH(B42,stores!C:C,0))</f>
        <v>108</v>
      </c>
      <c r="L42" s="491">
        <f>AVERAGEA(J41:J42)</f>
        <v>103.5</v>
      </c>
      <c r="N42" s="828">
        <f>(L42/L35-1)*100</f>
        <v>18.285714285714285</v>
      </c>
      <c r="P42" s="829">
        <f>(H42/N42)*100</f>
        <v>92.208317381317002</v>
      </c>
      <c r="S42" s="491">
        <f>INDEX('qtrP&amp;L'!$13:$13,MATCH($A38,'qtrP&amp;L'!$6:$6,0))</f>
        <v>564.34</v>
      </c>
      <c r="U42" s="491">
        <f>S42-AP42</f>
        <v>564.34</v>
      </c>
      <c r="W42" s="831">
        <f>IF(ISERROR(U42/L42),"NA",U42/L42)</f>
        <v>5.4525603864734302</v>
      </c>
      <c r="Y42" s="830">
        <f>IF(ISERROR(W42/W35),"NA",(W42/W35-1)*100)</f>
        <v>4.3751988222325844</v>
      </c>
      <c r="AA42" s="686">
        <f>INDEX(stores!D:D,MATCH(C42,stores!C:C,0))</f>
        <v>8025</v>
      </c>
      <c r="AC42" s="491">
        <f>AVERAGEA(AA41:AA42)</f>
        <v>7651.5</v>
      </c>
      <c r="AE42" s="828">
        <f>(AC42/AC35-1)*100</f>
        <v>557.91057609630275</v>
      </c>
      <c r="AG42" s="829">
        <f>(H42/AE42)*100</f>
        <v>3.0221598561526153</v>
      </c>
      <c r="AJ42" s="491">
        <f>U42</f>
        <v>564.34</v>
      </c>
      <c r="AL42" s="835">
        <f>IF(ISERROR(AJ42/AC42),"NA",AJ42/AC42*100)</f>
        <v>7.3755472783114424</v>
      </c>
      <c r="AN42" s="836">
        <f>(AL42/AL35-1)*100</f>
        <v>-81.234387476096686</v>
      </c>
      <c r="AP42" s="832"/>
      <c r="AQ42" s="572"/>
    </row>
    <row r="43" spans="1:43" ht="10.5" customHeight="1" outlineLevel="1" x14ac:dyDescent="0.2">
      <c r="A43" s="573" t="s">
        <v>67</v>
      </c>
      <c r="B43" s="573"/>
      <c r="C43" s="573"/>
      <c r="D43" s="477">
        <f>INDEX('qtrP&amp;L'!$14:$14,MATCH($A38,'qtrP&amp;L'!$6:$6,0)+1)</f>
        <v>19.028799019607856</v>
      </c>
      <c r="F43" s="477">
        <f>INDEX('qtrP&amp;L'!$14:$14,MATCH($A38,'qtrP&amp;L'!$6:$6,0)+2)</f>
        <v>6.3003061579048971</v>
      </c>
      <c r="H43" s="445">
        <f>D43-F43</f>
        <v>12.728492861702959</v>
      </c>
      <c r="J43" s="685"/>
      <c r="L43" s="413">
        <f>AVERAGEA(L39:L42)</f>
        <v>95.5</v>
      </c>
      <c r="N43" s="445">
        <f>(L43/L36-1)*100</f>
        <v>13.521545319465078</v>
      </c>
      <c r="P43" s="306">
        <f>(H43/N43)*100</f>
        <v>94.134897757429599</v>
      </c>
      <c r="S43" s="319">
        <f>INDEX('qtrP&amp;L'!$14:$14,MATCH($A38,'qtrP&amp;L'!$6:$6,0))</f>
        <v>1554.04</v>
      </c>
      <c r="U43" s="319">
        <f>S43-AP43</f>
        <v>1554.04</v>
      </c>
      <c r="W43" s="821">
        <f>IF(ISERROR(U43/L43),"NA",U43/L43)</f>
        <v>16.272670157068063</v>
      </c>
      <c r="Y43" s="761">
        <f>IF(ISERROR(W43/W36),"NA",(W43/W36-1)*100)</f>
        <v>4.8512850002566665</v>
      </c>
      <c r="AA43" s="815"/>
      <c r="AC43" s="413">
        <f>AVERAGEA(AC39:AC42)</f>
        <v>6316.5</v>
      </c>
      <c r="AE43" s="445">
        <f>(AC43/AC36-1)*100</f>
        <v>443.8811753309655</v>
      </c>
      <c r="AG43" s="306">
        <f>(H43/AE43)*100</f>
        <v>2.8675450929434829</v>
      </c>
      <c r="AJ43" s="319">
        <f>SUM(AJ39:AJ42)</f>
        <v>1554.04</v>
      </c>
      <c r="AL43" s="833">
        <f>IF(ISERROR(AJ43/AC43),"NA",AJ43/AC43*100)</f>
        <v>24.602865510963348</v>
      </c>
      <c r="AN43" s="765">
        <f>(AL43/AL36-1)*100</f>
        <v>-78.114925756131242</v>
      </c>
      <c r="AP43" s="489"/>
      <c r="AQ43" s="489"/>
    </row>
    <row r="44" spans="1:43" ht="10.5" customHeight="1" outlineLevel="1" x14ac:dyDescent="0.2">
      <c r="A44" s="573"/>
      <c r="B44" s="573"/>
      <c r="C44" s="573"/>
      <c r="D44" s="477"/>
      <c r="F44" s="477"/>
      <c r="J44" s="685"/>
      <c r="L44" s="813"/>
      <c r="P44" s="306"/>
      <c r="S44" s="489"/>
      <c r="U44" s="489"/>
      <c r="W44" s="489"/>
      <c r="Y44" s="765"/>
      <c r="AA44" s="815"/>
      <c r="AC44" s="813"/>
      <c r="AG44" s="306"/>
      <c r="AL44" s="489"/>
      <c r="AN44" s="765"/>
      <c r="AP44" s="489"/>
      <c r="AQ44" s="489"/>
    </row>
    <row r="45" spans="1:43" ht="10.5" customHeight="1" outlineLevel="1" x14ac:dyDescent="0.2">
      <c r="A45" s="812">
        <v>1995</v>
      </c>
      <c r="B45" s="812"/>
      <c r="C45" s="812"/>
      <c r="J45" s="685"/>
      <c r="AA45" s="815"/>
    </row>
    <row r="46" spans="1:43" ht="10.5" customHeight="1" outlineLevel="1" x14ac:dyDescent="0.2">
      <c r="A46" s="303" t="s">
        <v>63</v>
      </c>
      <c r="B46" s="303">
        <f>B42+1</f>
        <v>17</v>
      </c>
      <c r="C46" s="303">
        <f>C42+1</f>
        <v>117</v>
      </c>
      <c r="D46" s="477">
        <f>INDEX('qtrP&amp;L'!$10:$10,MATCH($A45,'qtrP&amp;L'!$6:$6,0)+1)</f>
        <v>19.688109161793356</v>
      </c>
      <c r="F46" s="477">
        <f>INDEX('qtrP&amp;L'!$10:$10,MATCH($A45,'qtrP&amp;L'!$6:$6,0)+2)</f>
        <v>3.4</v>
      </c>
      <c r="G46" s="303" t="s">
        <v>102</v>
      </c>
      <c r="H46" s="445">
        <f>D46-F46</f>
        <v>16.288109161793358</v>
      </c>
      <c r="I46" s="303" t="s">
        <v>102</v>
      </c>
      <c r="J46" s="686">
        <f>INDEX(stores!D:D,MATCH(B46,stores!C:C,0))</f>
        <v>109</v>
      </c>
      <c r="L46" s="413">
        <f>AVERAGEA(J46,J42)</f>
        <v>108.5</v>
      </c>
      <c r="N46" s="445">
        <f>(L46/L39-1)*100</f>
        <v>19.23076923076923</v>
      </c>
      <c r="O46" s="303" t="s">
        <v>102</v>
      </c>
      <c r="P46" s="306">
        <f>(H46/N46)*100</f>
        <v>84.698167641325455</v>
      </c>
      <c r="Q46" s="303" t="s">
        <v>102</v>
      </c>
      <c r="S46" s="319">
        <f>INDEX('qtrP&amp;L'!$10:$10,MATCH($A45,'qtrP&amp;L'!$6:$6,0))</f>
        <v>368.4</v>
      </c>
      <c r="U46" s="319">
        <f>S46-AP46</f>
        <v>368.4</v>
      </c>
      <c r="W46" s="821">
        <f>IF(ISERROR(U46/L46),"NA",U46/L46)</f>
        <v>3.395391705069124</v>
      </c>
      <c r="Y46" s="761">
        <f>IF(ISERROR(W46/W39),"NA",(W46/W39-1)*100)</f>
        <v>0.38357542602023287</v>
      </c>
      <c r="Z46" s="303" t="s">
        <v>102</v>
      </c>
      <c r="AA46" s="686">
        <f>INDEX(stores!D:D,MATCH(C46,stores!C:C,0))</f>
        <v>8108</v>
      </c>
      <c r="AC46" s="413">
        <f>AVERAGEA(AA46,AA42)</f>
        <v>8066.5</v>
      </c>
      <c r="AE46" s="445">
        <f>(AC46/AC39-1)*100</f>
        <v>105.25445292620863</v>
      </c>
      <c r="AF46" s="303" t="s">
        <v>102</v>
      </c>
      <c r="AG46" s="306">
        <f>(H46/AE46)*100</f>
        <v>15.474983441520104</v>
      </c>
      <c r="AH46" s="303" t="s">
        <v>102</v>
      </c>
      <c r="AJ46" s="319">
        <f>U46</f>
        <v>368.4</v>
      </c>
      <c r="AL46" s="833">
        <f>IF(ISERROR(AJ46/AC46),"NA",AJ46/AC46*100)</f>
        <v>4.5670365090187817</v>
      </c>
      <c r="AN46" s="765">
        <f>(AL46/AL39-1)*100</f>
        <v>-41.687935411163714</v>
      </c>
      <c r="AO46" s="303" t="s">
        <v>102</v>
      </c>
      <c r="AP46" s="822"/>
      <c r="AQ46" s="489"/>
    </row>
    <row r="47" spans="1:43" ht="10.5" customHeight="1" outlineLevel="1" x14ac:dyDescent="0.2">
      <c r="A47" s="303" t="s">
        <v>64</v>
      </c>
      <c r="B47" s="303">
        <f t="shared" ref="B47:C49" si="4">B46+1</f>
        <v>18</v>
      </c>
      <c r="C47" s="303">
        <f t="shared" si="4"/>
        <v>118</v>
      </c>
      <c r="D47" s="477">
        <f>INDEX('qtrP&amp;L'!$11:$11,MATCH($A45,'qtrP&amp;L'!$6:$6,0)+1)</f>
        <v>24.247606019151856</v>
      </c>
      <c r="F47" s="477">
        <f>INDEX('qtrP&amp;L'!$11:$11,MATCH($A45,'qtrP&amp;L'!$6:$6,0)+2)</f>
        <v>8.4</v>
      </c>
      <c r="H47" s="445">
        <f>D47-F47</f>
        <v>15.847606019151856</v>
      </c>
      <c r="J47" s="686">
        <f>INDEX(stores!D:D,MATCH(B47,stores!C:C,0))</f>
        <v>109</v>
      </c>
      <c r="L47" s="413">
        <f>AVERAGEA(J46:J47)</f>
        <v>109</v>
      </c>
      <c r="N47" s="445">
        <f>(L47/L40-1)*100</f>
        <v>18.478260869565212</v>
      </c>
      <c r="P47" s="306">
        <f>(H47/N47)*100</f>
        <v>85.763514927174782</v>
      </c>
      <c r="S47" s="413">
        <f>INDEX('qtrP&amp;L'!$11:$11,MATCH($A45,'qtrP&amp;L'!$6:$6,0))</f>
        <v>363.3</v>
      </c>
      <c r="U47" s="413">
        <f>S47-AP47</f>
        <v>363.3</v>
      </c>
      <c r="W47" s="823">
        <f>IF(ISERROR(U47/L47),"NA",U47/L47)</f>
        <v>3.33302752293578</v>
      </c>
      <c r="Y47" s="761">
        <f>IF(ISERROR(W47/W40),"NA",(W47/W40-1)*100)</f>
        <v>4.8695390253391979</v>
      </c>
      <c r="AA47" s="686">
        <f>INDEX(stores!D:D,MATCH(C47,stores!C:C,0))</f>
        <v>8108</v>
      </c>
      <c r="AC47" s="413">
        <f>AVERAGEA(AA46:AA47)</f>
        <v>8108</v>
      </c>
      <c r="AE47" s="445">
        <f>(AC47/AC40-1)*100</f>
        <v>21.06913543377631</v>
      </c>
      <c r="AG47" s="306">
        <f>(H47/AE47)*100</f>
        <v>75.21716336659108</v>
      </c>
      <c r="AJ47" s="413">
        <f>U47</f>
        <v>363.3</v>
      </c>
      <c r="AL47" s="415">
        <f>IF(ISERROR(AJ47/AC47),"NA",AJ47/AC47*100)</f>
        <v>4.4807597434632465</v>
      </c>
      <c r="AN47" s="765">
        <f>(AL47/AL40-1)*100</f>
        <v>2.6253351640675993</v>
      </c>
      <c r="AP47" s="824"/>
      <c r="AQ47" s="479"/>
    </row>
    <row r="48" spans="1:43" ht="10.5" customHeight="1" outlineLevel="1" x14ac:dyDescent="0.2">
      <c r="A48" s="303" t="s">
        <v>65</v>
      </c>
      <c r="B48" s="303">
        <f t="shared" si="4"/>
        <v>19</v>
      </c>
      <c r="C48" s="303">
        <f t="shared" si="4"/>
        <v>119</v>
      </c>
      <c r="D48" s="477">
        <f>INDEX('qtrP&amp;L'!$12:$12,MATCH($A45,'qtrP&amp;L'!$6:$6,0)+1)</f>
        <v>24.955070603337614</v>
      </c>
      <c r="F48" s="477">
        <f>INDEX('qtrP&amp;L'!$12:$12,MATCH($A45,'qtrP&amp;L'!$6:$6,0)+2)</f>
        <v>5.5</v>
      </c>
      <c r="H48" s="445">
        <f>D48-F48</f>
        <v>19.455070603337614</v>
      </c>
      <c r="J48" s="686">
        <f>INDEX(stores!D:D,MATCH(B48,stores!C:C,0))</f>
        <v>128</v>
      </c>
      <c r="L48" s="413">
        <f>AVERAGEA(J47:J48)</f>
        <v>118.5</v>
      </c>
      <c r="N48" s="445">
        <f>(L48/L41-1)*100</f>
        <v>24.083769633507845</v>
      </c>
      <c r="P48" s="306">
        <f>(H48/N48)*100</f>
        <v>80.78083663559751</v>
      </c>
      <c r="S48" s="413">
        <f>INDEX('qtrP&amp;L'!$12:$12,MATCH($A45,'qtrP&amp;L'!$6:$6,0))</f>
        <v>486.7</v>
      </c>
      <c r="U48" s="413">
        <f>S48-AP48</f>
        <v>486.7</v>
      </c>
      <c r="W48" s="823">
        <f>IF(ISERROR(U48/L48),"NA",U48/L48)</f>
        <v>4.1071729957805907</v>
      </c>
      <c r="Y48" s="761">
        <f>IF(ISERROR(W48/W41),"NA",(W48/W41-1)*100)</f>
        <v>0.70218770142398412</v>
      </c>
      <c r="AA48" s="686">
        <f>INDEX(stores!D:D,MATCH(C48,stores!C:C,0))</f>
        <v>9685</v>
      </c>
      <c r="AC48" s="413">
        <f>AVERAGEA(AA47:AA48)</f>
        <v>8896.5</v>
      </c>
      <c r="AE48" s="445">
        <f>(AC48/AC41-1)*100</f>
        <v>27.320214669051879</v>
      </c>
      <c r="AG48" s="306">
        <f>(H48/AE48)*100</f>
        <v>71.211265500692292</v>
      </c>
      <c r="AJ48" s="413">
        <f>U48</f>
        <v>486.7</v>
      </c>
      <c r="AL48" s="415">
        <f>IF(ISERROR(AJ48/AC48),"NA",AJ48/AC48*100)</f>
        <v>5.4706907210700839</v>
      </c>
      <c r="AN48" s="765">
        <f>(AL48/AL41-1)*100</f>
        <v>-1.8576343684795549</v>
      </c>
      <c r="AP48" s="824"/>
      <c r="AQ48" s="479"/>
    </row>
    <row r="49" spans="1:43" ht="10.5" customHeight="1" outlineLevel="1" x14ac:dyDescent="0.2">
      <c r="A49" s="303" t="s">
        <v>66</v>
      </c>
      <c r="B49" s="303">
        <f t="shared" si="4"/>
        <v>20</v>
      </c>
      <c r="C49" s="303">
        <f t="shared" si="4"/>
        <v>120</v>
      </c>
      <c r="D49" s="834">
        <f>INDEX('qtrP&amp;L'!$13:$13,MATCH($A45,'qtrP&amp;L'!$6:$6,0)+1)</f>
        <v>25.279087075167439</v>
      </c>
      <c r="F49" s="834">
        <f>INDEX('qtrP&amp;L'!$13:$13,MATCH($A45,'qtrP&amp;L'!$6:$6,0)+2)</f>
        <v>7.2</v>
      </c>
      <c r="H49" s="828">
        <f>D49-F49</f>
        <v>18.07908707516744</v>
      </c>
      <c r="J49" s="686">
        <f>INDEX(stores!D:D,MATCH(B49,stores!C:C,0))</f>
        <v>128</v>
      </c>
      <c r="L49" s="491">
        <f>AVERAGEA(J48:J49)</f>
        <v>128</v>
      </c>
      <c r="N49" s="828">
        <f>(L49/L42-1)*100</f>
        <v>23.671497584541058</v>
      </c>
      <c r="P49" s="829">
        <f>(H49/N49)*100</f>
        <v>76.374918868564507</v>
      </c>
      <c r="S49" s="491">
        <f>INDEX('qtrP&amp;L'!$13:$13,MATCH($A45,'qtrP&amp;L'!$6:$6,0))</f>
        <v>707</v>
      </c>
      <c r="U49" s="491">
        <f>S49-AP49</f>
        <v>707</v>
      </c>
      <c r="W49" s="831">
        <f>IF(ISERROR(U49/L49),"NA",U49/L49)</f>
        <v>5.5234375</v>
      </c>
      <c r="Y49" s="830">
        <f>IF(ISERROR(W49/W42),"NA",(W49/W42-1)*100)</f>
        <v>1.2998868146861797</v>
      </c>
      <c r="AA49" s="686">
        <f>INDEX(stores!D:D,MATCH(C49,stores!C:C,0))</f>
        <v>9685</v>
      </c>
      <c r="AC49" s="491">
        <f>AVERAGEA(AA48:AA49)</f>
        <v>9685</v>
      </c>
      <c r="AE49" s="828">
        <f>(AC49/AC42-1)*100</f>
        <v>26.576488270273813</v>
      </c>
      <c r="AG49" s="829">
        <f>(H49/AE49)*100</f>
        <v>68.026621468228967</v>
      </c>
      <c r="AJ49" s="491">
        <f>U49</f>
        <v>707</v>
      </c>
      <c r="AL49" s="835">
        <f>IF(ISERROR(AJ49/AC49),"NA",AJ49/AC49*100)</f>
        <v>7.2999483737738773</v>
      </c>
      <c r="AN49" s="836">
        <f>(AL49/AL42-1)*100</f>
        <v>-1.0249938300832429</v>
      </c>
      <c r="AP49" s="832"/>
      <c r="AQ49" s="572"/>
    </row>
    <row r="50" spans="1:43" ht="10.5" customHeight="1" outlineLevel="1" x14ac:dyDescent="0.2">
      <c r="A50" s="573" t="s">
        <v>67</v>
      </c>
      <c r="B50" s="573"/>
      <c r="C50" s="573"/>
      <c r="D50" s="477">
        <f>INDEX('qtrP&amp;L'!$14:$14,MATCH($A45,'qtrP&amp;L'!$6:$6,0)+1)</f>
        <v>23.913734524207886</v>
      </c>
      <c r="F50" s="477">
        <f>INDEX('qtrP&amp;L'!$14:$14,MATCH($A45,'qtrP&amp;L'!$6:$6,0)+2)</f>
        <v>5.9</v>
      </c>
      <c r="H50" s="445">
        <f>D50-F50</f>
        <v>18.013734524207884</v>
      </c>
      <c r="J50" s="685"/>
      <c r="L50" s="413">
        <f>AVERAGEA(L46:L49)</f>
        <v>116</v>
      </c>
      <c r="N50" s="445">
        <f>(L50/L43-1)*100</f>
        <v>21.465968586387429</v>
      </c>
      <c r="P50" s="306">
        <f>(H50/N50)*100</f>
        <v>83.917641320090411</v>
      </c>
      <c r="S50" s="319">
        <f>INDEX('qtrP&amp;L'!$14:$14,MATCH($A45,'qtrP&amp;L'!$6:$6,0))</f>
        <v>1925.6690000000001</v>
      </c>
      <c r="U50" s="319">
        <f>S50-AP50</f>
        <v>1925.6690000000001</v>
      </c>
      <c r="W50" s="821">
        <f>IF(ISERROR(U50/L50),"NA",U50/L50)</f>
        <v>16.600594827586207</v>
      </c>
      <c r="Y50" s="761">
        <f>IF(ISERROR(W50/W43),"NA",(W50/W43-1)*100)</f>
        <v>2.01518661260216</v>
      </c>
      <c r="AA50" s="815"/>
      <c r="AC50" s="413">
        <f>AVERAGEA(AC46:AC49)</f>
        <v>8689</v>
      </c>
      <c r="AE50" s="445">
        <f>(AC50/AC43-1)*100</f>
        <v>37.560357793081621</v>
      </c>
      <c r="AG50" s="306">
        <f>(H50/AE50)*100</f>
        <v>47.959432717453772</v>
      </c>
      <c r="AJ50" s="319">
        <f>SUM(AJ46:AJ49)</f>
        <v>1925.4</v>
      </c>
      <c r="AL50" s="833">
        <f>IF(ISERROR(AJ50/AC50),"NA",AJ50/AC50*100)</f>
        <v>22.159051674531018</v>
      </c>
      <c r="AN50" s="765">
        <f>(AL50/AL43-1)*100</f>
        <v>-9.9330455444034964</v>
      </c>
      <c r="AP50" s="489"/>
      <c r="AQ50" s="489"/>
    </row>
    <row r="51" spans="1:43" ht="10.5" customHeight="1" outlineLevel="1" x14ac:dyDescent="0.2">
      <c r="A51" s="812"/>
      <c r="B51" s="812"/>
      <c r="C51" s="812"/>
      <c r="J51" s="685"/>
      <c r="L51" s="813"/>
      <c r="P51" s="306"/>
      <c r="Y51" s="765"/>
      <c r="AA51" s="815"/>
      <c r="AC51" s="813"/>
      <c r="AG51" s="306"/>
      <c r="AN51" s="765"/>
    </row>
    <row r="52" spans="1:43" ht="10.5" customHeight="1" outlineLevel="1" x14ac:dyDescent="0.2">
      <c r="A52" s="812">
        <v>1996</v>
      </c>
      <c r="B52" s="812"/>
      <c r="C52" s="812"/>
      <c r="J52" s="685"/>
      <c r="AA52" s="815"/>
    </row>
    <row r="53" spans="1:43" ht="10.5" customHeight="1" outlineLevel="1" x14ac:dyDescent="0.2">
      <c r="A53" s="303" t="s">
        <v>63</v>
      </c>
      <c r="B53" s="303">
        <f>B49+1</f>
        <v>21</v>
      </c>
      <c r="C53" s="303">
        <f>C49+1</f>
        <v>121</v>
      </c>
      <c r="D53" s="477">
        <f>INDEX('qtrP&amp;L'!$10:$10,MATCH($A52,'qtrP&amp;L'!$6:$6,0)+1)</f>
        <v>27.225841476655809</v>
      </c>
      <c r="F53" s="477">
        <f>INDEX('qtrP&amp;L'!$10:$10,MATCH($A52,'qtrP&amp;L'!$6:$6,0)+2)</f>
        <v>9.6</v>
      </c>
      <c r="G53" s="303" t="s">
        <v>102</v>
      </c>
      <c r="H53" s="445">
        <f>D53-F53</f>
        <v>17.625841476655808</v>
      </c>
      <c r="I53" s="303" t="s">
        <v>102</v>
      </c>
      <c r="J53" s="686">
        <f>INDEX(stores!D:D,MATCH(B53,stores!C:C,0))</f>
        <v>136</v>
      </c>
      <c r="L53" s="413">
        <f>AVERAGEA(J53,J49)</f>
        <v>132</v>
      </c>
      <c r="N53" s="445">
        <f>(L53/L46-1)*100</f>
        <v>21.658986175115214</v>
      </c>
      <c r="O53" s="303" t="s">
        <v>102</v>
      </c>
      <c r="P53" s="306">
        <f>(H53/N53)*100</f>
        <v>81.378885115623603</v>
      </c>
      <c r="Q53" s="303" t="s">
        <v>102</v>
      </c>
      <c r="S53" s="319">
        <f>INDEX('qtrP&amp;L'!$10:$10,MATCH($A52,'qtrP&amp;L'!$6:$6,0))</f>
        <v>468.7</v>
      </c>
      <c r="U53" s="319">
        <f>S53-AP53</f>
        <v>468.7</v>
      </c>
      <c r="W53" s="821">
        <f>IF(ISERROR(U53/L53),"NA",U53/L53)</f>
        <v>3.5507575757575758</v>
      </c>
      <c r="Y53" s="761">
        <f>IF(ISERROR(W53/W46),"NA",(W53/W46-1)*100)</f>
        <v>4.5757863652814867</v>
      </c>
      <c r="Z53" s="303" t="s">
        <v>102</v>
      </c>
      <c r="AA53" s="686">
        <f>INDEX(stores!D:D,MATCH(C53,stores!C:C,0))</f>
        <v>10373</v>
      </c>
      <c r="AC53" s="413">
        <f>AVERAGEA(AA53,AA49)</f>
        <v>10029</v>
      </c>
      <c r="AE53" s="445">
        <f>(AC53/AC46-1)*100</f>
        <v>24.32901506229468</v>
      </c>
      <c r="AF53" s="303" t="s">
        <v>102</v>
      </c>
      <c r="AG53" s="306">
        <f>(H53/AE53)*100</f>
        <v>72.447821794366391</v>
      </c>
      <c r="AH53" s="303" t="s">
        <v>102</v>
      </c>
      <c r="AJ53" s="319">
        <f>U53</f>
        <v>468.7</v>
      </c>
      <c r="AL53" s="833">
        <f>IF(ISERROR(AJ53/AC53),"NA",AJ53/AC53*100)</f>
        <v>4.6734470036893008</v>
      </c>
      <c r="AN53" s="765">
        <f>(AL53/AL46-1)*100</f>
        <v>2.3299681195975586</v>
      </c>
      <c r="AO53" s="303" t="s">
        <v>102</v>
      </c>
      <c r="AP53" s="822"/>
      <c r="AQ53" s="489"/>
    </row>
    <row r="54" spans="1:43" ht="10.5" customHeight="1" outlineLevel="1" x14ac:dyDescent="0.2">
      <c r="A54" s="303" t="s">
        <v>64</v>
      </c>
      <c r="B54" s="303">
        <f t="shared" ref="B54:C56" si="5">B53+1</f>
        <v>22</v>
      </c>
      <c r="C54" s="303">
        <f t="shared" si="5"/>
        <v>122</v>
      </c>
      <c r="D54" s="477">
        <f>INDEX('qtrP&amp;L'!$11:$11,MATCH($A52,'qtrP&amp;L'!$6:$6,0)+1)</f>
        <v>30.635838150289029</v>
      </c>
      <c r="F54" s="477">
        <f>INDEX('qtrP&amp;L'!$11:$11,MATCH($A52,'qtrP&amp;L'!$6:$6,0)+2)</f>
        <v>10.4</v>
      </c>
      <c r="H54" s="445">
        <f>D54-F54</f>
        <v>20.235838150289027</v>
      </c>
      <c r="J54" s="686">
        <f>INDEX(stores!D:D,MATCH(B54,stores!C:C,0))</f>
        <v>138</v>
      </c>
      <c r="L54" s="413">
        <f>AVERAGEA(J53:J54)</f>
        <v>137</v>
      </c>
      <c r="N54" s="445">
        <f>(L54/L47-1)*100</f>
        <v>25.688073394495415</v>
      </c>
      <c r="P54" s="306">
        <f>(H54/N54)*100</f>
        <v>78.7752270850537</v>
      </c>
      <c r="S54" s="413">
        <f>INDEX('qtrP&amp;L'!$11:$11,MATCH($A52,'qtrP&amp;L'!$6:$6,0))</f>
        <v>474.6</v>
      </c>
      <c r="U54" s="413">
        <f>S54-AP54</f>
        <v>474.6</v>
      </c>
      <c r="W54" s="823">
        <f>IF(ISERROR(U54/L54),"NA",U54/L54)</f>
        <v>3.4642335766423358</v>
      </c>
      <c r="Y54" s="761">
        <f>IF(ISERROR(W54/W47),"NA",(W54/W47-1)*100)</f>
        <v>3.9365427619087789</v>
      </c>
      <c r="AA54" s="686">
        <f>INDEX(stores!D:D,MATCH(C54,stores!C:C,0))</f>
        <v>10545</v>
      </c>
      <c r="AC54" s="413">
        <f>AVERAGEA(AA53:AA54)</f>
        <v>10459</v>
      </c>
      <c r="AE54" s="445">
        <f>(AC54/AC47-1)*100</f>
        <v>28.996053280710399</v>
      </c>
      <c r="AG54" s="306">
        <f>(H54/AE54)*100</f>
        <v>69.788249988321354</v>
      </c>
      <c r="AJ54" s="413">
        <f>U54</f>
        <v>474.6</v>
      </c>
      <c r="AL54" s="415">
        <f>IF(ISERROR(AJ54/AC54),"NA",AJ54/AC54*100)</f>
        <v>4.5377187111578543</v>
      </c>
      <c r="AN54" s="765">
        <f>(AL54/AL47-1)*100</f>
        <v>1.27118995339357</v>
      </c>
      <c r="AP54" s="824"/>
      <c r="AQ54" s="479"/>
    </row>
    <row r="55" spans="1:43" ht="10.5" customHeight="1" outlineLevel="1" x14ac:dyDescent="0.2">
      <c r="A55" s="303" t="s">
        <v>65</v>
      </c>
      <c r="B55" s="303">
        <f t="shared" si="5"/>
        <v>23</v>
      </c>
      <c r="C55" s="303">
        <f t="shared" si="5"/>
        <v>123</v>
      </c>
      <c r="D55" s="477">
        <f>INDEX('qtrP&amp;L'!$12:$12,MATCH($A52,'qtrP&amp;L'!$6:$6,0)+1)</f>
        <v>22.909389767824131</v>
      </c>
      <c r="F55" s="477">
        <f>INDEX('qtrP&amp;L'!$12:$12,MATCH($A52,'qtrP&amp;L'!$6:$6,0)+2)</f>
        <v>10.8</v>
      </c>
      <c r="H55" s="445">
        <f>D55-F55</f>
        <v>12.10938976782413</v>
      </c>
      <c r="J55" s="686">
        <f>INDEX(stores!D:D,MATCH(B55,stores!C:C,0))</f>
        <v>150</v>
      </c>
      <c r="L55" s="413">
        <f>AVERAGEA(J54:J55)</f>
        <v>144</v>
      </c>
      <c r="N55" s="445">
        <f>(L55/L48-1)*100</f>
        <v>21.518987341772156</v>
      </c>
      <c r="P55" s="306">
        <f>(H55/N55)*100</f>
        <v>56.273046568123888</v>
      </c>
      <c r="S55" s="413">
        <f>INDEX('qtrP&amp;L'!$12:$12,MATCH($A52,'qtrP&amp;L'!$6:$6,0))</f>
        <v>598.20000000000005</v>
      </c>
      <c r="U55" s="413">
        <f>S55-AP55</f>
        <v>598.20000000000005</v>
      </c>
      <c r="W55" s="823">
        <f>IF(ISERROR(U55/L55),"NA",U55/L55)</f>
        <v>4.1541666666666668</v>
      </c>
      <c r="Y55" s="761">
        <f>IF(ISERROR(W55/W48),"NA",(W55/W48-1)*100)</f>
        <v>1.1441853297719407</v>
      </c>
      <c r="AA55" s="686">
        <f>INDEX(stores!D:D,MATCH(C55,stores!C:C,0))</f>
        <v>11577</v>
      </c>
      <c r="AC55" s="413">
        <f>AVERAGEA(AA54:AA55)</f>
        <v>11061</v>
      </c>
      <c r="AE55" s="445">
        <f>(AC55/AC48-1)*100</f>
        <v>24.329792615073352</v>
      </c>
      <c r="AG55" s="306">
        <f>(H55/AE55)*100</f>
        <v>49.771857735942405</v>
      </c>
      <c r="AJ55" s="413">
        <f>U55</f>
        <v>598.20000000000005</v>
      </c>
      <c r="AL55" s="415">
        <f>IF(ISERROR(AJ55/AC55),"NA",AJ55/AC55*100)</f>
        <v>5.4081909411445626</v>
      </c>
      <c r="AN55" s="765">
        <f>(AL55/AL48-1)*100</f>
        <v>-1.1424476928444616</v>
      </c>
      <c r="AP55" s="824"/>
      <c r="AQ55" s="479"/>
    </row>
    <row r="56" spans="1:43" ht="10.5" customHeight="1" outlineLevel="1" x14ac:dyDescent="0.2">
      <c r="A56" s="303" t="s">
        <v>66</v>
      </c>
      <c r="B56" s="303">
        <f t="shared" si="5"/>
        <v>24</v>
      </c>
      <c r="C56" s="303">
        <f t="shared" si="5"/>
        <v>124</v>
      </c>
      <c r="D56" s="834">
        <f>INDEX('qtrP&amp;L'!$13:$13,MATCH($A52,'qtrP&amp;L'!$6:$6,0)+1)</f>
        <v>19.801980198019798</v>
      </c>
      <c r="F56" s="834">
        <f>INDEX('qtrP&amp;L'!$13:$13,MATCH($A52,'qtrP&amp;L'!$6:$6,0)+2)</f>
        <v>17.399999999999999</v>
      </c>
      <c r="H56" s="828">
        <f>D56-F56</f>
        <v>2.4019801980197997</v>
      </c>
      <c r="J56" s="686">
        <f>INDEX(stores!D:D,MATCH(B56,stores!C:C,0))</f>
        <v>150</v>
      </c>
      <c r="L56" s="491">
        <f>AVERAGEA(J55:J56)</f>
        <v>150</v>
      </c>
      <c r="N56" s="828">
        <f>(L56/L49-1)*100</f>
        <v>17.1875</v>
      </c>
      <c r="P56" s="829">
        <f>(H56/N56)*100</f>
        <v>13.975157515751564</v>
      </c>
      <c r="S56" s="491">
        <f>INDEX('qtrP&amp;L'!$13:$13,MATCH($A52,'qtrP&amp;L'!$6:$6,0))</f>
        <v>847</v>
      </c>
      <c r="U56" s="491">
        <f>S56-AP56</f>
        <v>847</v>
      </c>
      <c r="W56" s="831">
        <f>IF(ISERROR(U56/L56),"NA",U56/L56)</f>
        <v>5.6466666666666665</v>
      </c>
      <c r="Y56" s="830">
        <f>IF(ISERROR(W56/W49),"NA",(W56/W49-1)*100)</f>
        <v>2.2310231023102256</v>
      </c>
      <c r="AA56" s="686">
        <f>INDEX(stores!D:D,MATCH(C56,stores!C:C,0))</f>
        <v>11577</v>
      </c>
      <c r="AC56" s="491">
        <f>AVERAGEA(AA55:AA56)</f>
        <v>11577</v>
      </c>
      <c r="AE56" s="828">
        <f>(AC56/AC49-1)*100</f>
        <v>19.53536396489417</v>
      </c>
      <c r="AG56" s="829">
        <f>(H56/AE56)*100</f>
        <v>12.295548740920589</v>
      </c>
      <c r="AJ56" s="491">
        <f>U56</f>
        <v>847</v>
      </c>
      <c r="AL56" s="835">
        <f>IF(ISERROR(AJ56/AC56),"NA",AJ56/AC56*100)</f>
        <v>7.3162304569404855</v>
      </c>
      <c r="AN56" s="836">
        <f>(AL56/AL49-1)*100</f>
        <v>0.2230438125439882</v>
      </c>
      <c r="AP56" s="832"/>
      <c r="AQ56" s="572"/>
    </row>
    <row r="57" spans="1:43" ht="10.5" customHeight="1" outlineLevel="1" x14ac:dyDescent="0.2">
      <c r="A57" s="573" t="s">
        <v>67</v>
      </c>
      <c r="B57" s="573"/>
      <c r="C57" s="573"/>
      <c r="D57" s="477">
        <f>INDEX('qtrP&amp;L'!$14:$14,MATCH($A52,'qtrP&amp;L'!$6:$6,0)+1)</f>
        <v>24.034815952274236</v>
      </c>
      <c r="F57" s="477">
        <f>INDEX('qtrP&amp;L'!$14:$14,MATCH($A52,'qtrP&amp;L'!$6:$6,0)+2)</f>
        <v>11.3</v>
      </c>
      <c r="H57" s="445">
        <f>D57-F57</f>
        <v>12.734815952274236</v>
      </c>
      <c r="J57" s="685"/>
      <c r="L57" s="413">
        <f>AVERAGEA(L53:L56)</f>
        <v>140.75</v>
      </c>
      <c r="N57" s="445">
        <f>(L57/L50-1)*100</f>
        <v>21.336206896551737</v>
      </c>
      <c r="P57" s="306">
        <f>(H57/N57)*100</f>
        <v>59.686410119749922</v>
      </c>
      <c r="S57" s="319">
        <f>INDEX('qtrP&amp;L'!$14:$14,MATCH($A52,'qtrP&amp;L'!$6:$6,0))</f>
        <v>2388.5</v>
      </c>
      <c r="U57" s="319">
        <f>S57-AP57</f>
        <v>2388.5</v>
      </c>
      <c r="W57" s="821">
        <f>IF(ISERROR(U57/L57),"NA",U57/L57)</f>
        <v>16.96980461811723</v>
      </c>
      <c r="Y57" s="761">
        <f>IF(ISERROR(W57/W50),"NA",(W57/W50-1)*100)</f>
        <v>2.2240756693699071</v>
      </c>
      <c r="AC57" s="413">
        <f>AVERAGEA(AC53:AC56)</f>
        <v>10781.5</v>
      </c>
      <c r="AE57" s="445">
        <f>(AC57/AC50-1)*100</f>
        <v>24.082172862239617</v>
      </c>
      <c r="AG57" s="306">
        <f>(H57/AE57)*100</f>
        <v>52.88067661137913</v>
      </c>
      <c r="AJ57" s="319">
        <f>SUM(AJ53:AJ56)</f>
        <v>2388.5</v>
      </c>
      <c r="AL57" s="833">
        <f>IF(ISERROR(AJ57/AC57),"NA",AJ57/AC57*100)</f>
        <v>22.153689189815889</v>
      </c>
      <c r="AN57" s="765">
        <f>(AL57/AL50-1)*100</f>
        <v>-2.4199973870231428E-2</v>
      </c>
      <c r="AP57" s="489"/>
      <c r="AQ57" s="489"/>
    </row>
    <row r="58" spans="1:43" ht="10.5" customHeight="1" outlineLevel="1" x14ac:dyDescent="0.2">
      <c r="A58" s="573"/>
      <c r="B58" s="573"/>
      <c r="C58" s="573"/>
      <c r="D58" s="477"/>
      <c r="F58" s="477"/>
      <c r="J58" s="685"/>
      <c r="L58" s="813"/>
      <c r="P58" s="306"/>
      <c r="S58" s="489"/>
      <c r="U58" s="489"/>
      <c r="W58" s="489"/>
      <c r="Y58" s="765"/>
      <c r="AA58" s="815"/>
      <c r="AC58" s="813"/>
      <c r="AG58" s="306"/>
      <c r="AL58" s="489"/>
      <c r="AN58" s="765"/>
      <c r="AP58" s="489"/>
      <c r="AQ58" s="489"/>
    </row>
    <row r="59" spans="1:43" ht="10.5" customHeight="1" outlineLevel="1" x14ac:dyDescent="0.2">
      <c r="A59" s="812">
        <f>A66-1</f>
        <v>1997</v>
      </c>
      <c r="B59" s="812"/>
      <c r="C59" s="812"/>
      <c r="J59" s="685"/>
      <c r="AA59" s="815"/>
    </row>
    <row r="60" spans="1:43" ht="10.5" customHeight="1" outlineLevel="1" x14ac:dyDescent="0.2">
      <c r="A60" s="303" t="s">
        <v>63</v>
      </c>
      <c r="B60" s="303">
        <f>B56+1</f>
        <v>25</v>
      </c>
      <c r="C60" s="303">
        <f>C56+1</f>
        <v>125</v>
      </c>
      <c r="D60" s="477">
        <f>INDEX('qtrP&amp;L'!$10:$10,MATCH($A59,'qtrP&amp;L'!$6:$6,0)+1)</f>
        <v>28.130360571794345</v>
      </c>
      <c r="F60" s="477">
        <f>INDEX('qtrP&amp;L'!$10:$10,MATCH($A59,'qtrP&amp;L'!$6:$6,0)+2)</f>
        <v>9.2810309601080352</v>
      </c>
      <c r="G60" s="303" t="s">
        <v>102</v>
      </c>
      <c r="H60" s="445">
        <f>D60-F60</f>
        <v>18.849329611686308</v>
      </c>
      <c r="I60" s="303" t="s">
        <v>102</v>
      </c>
      <c r="J60" s="686">
        <f>INDEX(stores!D:D,MATCH(B60,stores!C:C,0))</f>
        <v>170</v>
      </c>
      <c r="L60" s="413">
        <f>AVERAGEA(J60,J56)</f>
        <v>160</v>
      </c>
      <c r="N60" s="445">
        <f>(L60/L53-1)*100</f>
        <v>21.212121212121215</v>
      </c>
      <c r="O60" s="303" t="s">
        <v>102</v>
      </c>
      <c r="P60" s="306">
        <f>(H60/N60)*100</f>
        <v>88.861125312235444</v>
      </c>
      <c r="Q60" s="303" t="s">
        <v>102</v>
      </c>
      <c r="S60" s="319">
        <f>INDEX('qtrP&amp;L'!$10:$10,MATCH($A59,'qtrP&amp;L'!$6:$6,0))</f>
        <v>600.54700000000003</v>
      </c>
      <c r="U60" s="319">
        <f>S60-AP60</f>
        <v>600.54700000000003</v>
      </c>
      <c r="W60" s="821">
        <f>IF(ISERROR(U60/L60),"NA",U60/L60)</f>
        <v>3.7534187500000002</v>
      </c>
      <c r="Y60" s="761">
        <f>IF(ISERROR(W60/W53),"NA",(W60/W53-1)*100)</f>
        <v>5.7075474717303232</v>
      </c>
      <c r="Z60" s="303" t="s">
        <v>102</v>
      </c>
      <c r="AA60" s="686">
        <f>INDEX(stores!D:D,MATCH(C60,stores!C:C,0))</f>
        <v>13577</v>
      </c>
      <c r="AC60" s="413">
        <f>AVERAGEA(AA60,AA56)</f>
        <v>12577</v>
      </c>
      <c r="AE60" s="445">
        <f>(AC60/AC53-1)*100</f>
        <v>25.406321667165209</v>
      </c>
      <c r="AF60" s="303" t="s">
        <v>102</v>
      </c>
      <c r="AG60" s="306">
        <f>(H60/AE60)*100</f>
        <v>74.191493985715098</v>
      </c>
      <c r="AH60" s="303" t="s">
        <v>102</v>
      </c>
      <c r="AJ60" s="319">
        <f>U60</f>
        <v>600.54700000000003</v>
      </c>
      <c r="AL60" s="833">
        <f>IF(ISERROR(AJ60/AC60),"NA",AJ60/AC60*100)</f>
        <v>4.7749622326468959</v>
      </c>
      <c r="AN60" s="765">
        <f>(AL60/AL53-1)*100</f>
        <v>2.1721703247615132</v>
      </c>
      <c r="AO60" s="303" t="s">
        <v>102</v>
      </c>
      <c r="AP60" s="822"/>
      <c r="AQ60" s="489"/>
    </row>
    <row r="61" spans="1:43" ht="10.5" customHeight="1" outlineLevel="1" x14ac:dyDescent="0.2">
      <c r="A61" s="303" t="s">
        <v>64</v>
      </c>
      <c r="B61" s="303">
        <f t="shared" ref="B61:C63" si="6">B60+1</f>
        <v>26</v>
      </c>
      <c r="C61" s="303">
        <f t="shared" si="6"/>
        <v>126</v>
      </c>
      <c r="D61" s="477">
        <f>INDEX('qtrP&amp;L'!$11:$11,MATCH($A59,'qtrP&amp;L'!$6:$6,0)+1)</f>
        <v>31.465865992414656</v>
      </c>
      <c r="F61" s="477">
        <f>INDEX('qtrP&amp;L'!$11:$11,MATCH($A59,'qtrP&amp;L'!$6:$6,0)+2)</f>
        <v>10.6</v>
      </c>
      <c r="H61" s="445">
        <f>D61-F61</f>
        <v>20.865865992414655</v>
      </c>
      <c r="J61" s="686">
        <f>INDEX(stores!D:D,MATCH(B61,stores!C:C,0))</f>
        <v>172</v>
      </c>
      <c r="L61" s="413">
        <f>AVERAGEA(J60:J61)</f>
        <v>171</v>
      </c>
      <c r="N61" s="445">
        <f>(L61/L54-1)*100</f>
        <v>24.817518248175176</v>
      </c>
      <c r="P61" s="306">
        <f>(H61/N61)*100</f>
        <v>84.077165910612024</v>
      </c>
      <c r="S61" s="413">
        <f>INDEX('qtrP&amp;L'!$11:$11,MATCH($A59,'qtrP&amp;L'!$6:$6,0))</f>
        <v>623.93700000000001</v>
      </c>
      <c r="U61" s="413">
        <f>S61-AP61</f>
        <v>623.93700000000001</v>
      </c>
      <c r="W61" s="823">
        <f>IF(ISERROR(U61/L61),"NA",U61/L61)</f>
        <v>3.6487543859649123</v>
      </c>
      <c r="Y61" s="761">
        <f>IF(ISERROR(W61/W54),"NA",(W61/W54-1)*100)</f>
        <v>5.3264540407064853</v>
      </c>
      <c r="AA61" s="686">
        <f>INDEX(stores!D:D,MATCH(C61,stores!C:C,0))</f>
        <v>13777</v>
      </c>
      <c r="AC61" s="413">
        <f>AVERAGEA(AA60:AA61)</f>
        <v>13677</v>
      </c>
      <c r="AE61" s="445">
        <f>(AC61/AC54-1)*100</f>
        <v>30.767759824074957</v>
      </c>
      <c r="AG61" s="306">
        <f>(H61/AE61)*100</f>
        <v>67.817306530349569</v>
      </c>
      <c r="AJ61" s="413">
        <f>U61</f>
        <v>623.93700000000001</v>
      </c>
      <c r="AL61" s="415">
        <f>IF(ISERROR(AJ61/AC61),"NA",AJ61/AC61*100)</f>
        <v>4.5619434086422457</v>
      </c>
      <c r="AN61" s="765">
        <f>(AL61/AL54-1)*100</f>
        <v>0.53385189841814729</v>
      </c>
      <c r="AP61" s="824"/>
      <c r="AQ61" s="479"/>
    </row>
    <row r="62" spans="1:43" ht="10.5" customHeight="1" outlineLevel="1" x14ac:dyDescent="0.2">
      <c r="A62" s="303" t="s">
        <v>65</v>
      </c>
      <c r="B62" s="303">
        <f t="shared" si="6"/>
        <v>27</v>
      </c>
      <c r="C62" s="303">
        <f t="shared" si="6"/>
        <v>127</v>
      </c>
      <c r="D62" s="477">
        <f>INDEX('qtrP&amp;L'!$12:$12,MATCH($A59,'qtrP&amp;L'!$6:$6,0)+1)</f>
        <v>26.68004012036107</v>
      </c>
      <c r="F62" s="477">
        <f>INDEX('qtrP&amp;L'!$12:$12,MATCH($A59,'qtrP&amp;L'!$6:$6,0)+2)</f>
        <v>10.6</v>
      </c>
      <c r="H62" s="445">
        <f>D62-F62</f>
        <v>16.080040120361069</v>
      </c>
      <c r="J62" s="686">
        <f>INDEX(stores!D:D,MATCH(B62,stores!C:C,0))</f>
        <v>182</v>
      </c>
      <c r="L62" s="413">
        <f>AVERAGEA(J61:J62)</f>
        <v>177</v>
      </c>
      <c r="N62" s="445">
        <f>(L62/L55-1)*100</f>
        <v>22.916666666666675</v>
      </c>
      <c r="P62" s="306">
        <f>(H62/N62)*100</f>
        <v>70.16744779793919</v>
      </c>
      <c r="S62" s="413">
        <f>INDEX('qtrP&amp;L'!$12:$12,MATCH($A59,'qtrP&amp;L'!$6:$6,0))</f>
        <v>757.8</v>
      </c>
      <c r="U62" s="413">
        <f>S62-AP62</f>
        <v>757.8</v>
      </c>
      <c r="W62" s="823">
        <f>IF(ISERROR(U62/L62),"NA",U62/L62)</f>
        <v>4.2813559322033896</v>
      </c>
      <c r="Y62" s="761">
        <f>IF(ISERROR(W62/W55),"NA",(W62/W55-1)*100)</f>
        <v>3.0617275555479884</v>
      </c>
      <c r="AA62" s="686">
        <f>INDEX(stores!D:D,MATCH(C62,stores!C:C,0))</f>
        <v>14795</v>
      </c>
      <c r="AC62" s="413">
        <f>AVERAGEA(AA61:AA62)</f>
        <v>14286</v>
      </c>
      <c r="AE62" s="445">
        <f>(AC62/AC55-1)*100</f>
        <v>29.15649579604014</v>
      </c>
      <c r="AG62" s="306">
        <f>(H62/AE62)*100</f>
        <v>55.150798068624432</v>
      </c>
      <c r="AJ62" s="413">
        <f>U62</f>
        <v>757.8</v>
      </c>
      <c r="AL62" s="415">
        <f>IF(ISERROR(AJ62/AC62),"NA",AJ62/AC62*100)</f>
        <v>5.3044939101217974</v>
      </c>
      <c r="AN62" s="765">
        <f>(AL62/AL55-1)*100</f>
        <v>-1.9174069878682753</v>
      </c>
      <c r="AP62" s="824"/>
      <c r="AQ62" s="479"/>
    </row>
    <row r="63" spans="1:43" ht="10.5" customHeight="1" outlineLevel="1" x14ac:dyDescent="0.2">
      <c r="A63" s="303" t="s">
        <v>66</v>
      </c>
      <c r="B63" s="303">
        <f t="shared" si="6"/>
        <v>28</v>
      </c>
      <c r="C63" s="303">
        <f t="shared" si="6"/>
        <v>128</v>
      </c>
      <c r="D63" s="834">
        <f>INDEX('qtrP&amp;L'!$13:$13,MATCH($A59,'qtrP&amp;L'!$6:$6,0)+1)</f>
        <v>27.2491145218418</v>
      </c>
      <c r="F63" s="834">
        <f>INDEX('qtrP&amp;L'!$13:$13,MATCH($A59,'qtrP&amp;L'!$6:$6,0)+2)</f>
        <v>9.8478706624605685</v>
      </c>
      <c r="H63" s="828">
        <f>D63-F63</f>
        <v>17.401243859381232</v>
      </c>
      <c r="J63" s="686">
        <f>INDEX(stores!D:D,MATCH(B63,stores!C:C,0))</f>
        <v>182</v>
      </c>
      <c r="L63" s="491">
        <f>AVERAGEA(J62:J63)</f>
        <v>182</v>
      </c>
      <c r="N63" s="828">
        <f>(L63/L56-1)*100</f>
        <v>21.333333333333336</v>
      </c>
      <c r="P63" s="829">
        <f>(H63/N63)*100</f>
        <v>81.568330590849513</v>
      </c>
      <c r="S63" s="491">
        <f>INDEX('qtrP&amp;L'!$13:$13,MATCH($A59,'qtrP&amp;L'!$6:$6,0))</f>
        <v>1077.8</v>
      </c>
      <c r="U63" s="491">
        <f>S63-AP63</f>
        <v>1077.8</v>
      </c>
      <c r="W63" s="831">
        <f>IF(ISERROR(U63/L63),"NA",U63/L63)</f>
        <v>5.9219780219780214</v>
      </c>
      <c r="Y63" s="830">
        <f>IF(ISERROR(W63/W56),"NA",(W63/W56-1)*100)</f>
        <v>4.875643836682797</v>
      </c>
      <c r="AA63" s="686">
        <f>INDEX(stores!D:D,MATCH(C63,stores!C:C,0))</f>
        <v>14795</v>
      </c>
      <c r="AC63" s="491">
        <f>AVERAGEA(AA62:AA63)</f>
        <v>14795</v>
      </c>
      <c r="AE63" s="828">
        <f>(AC63/AC56-1)*100</f>
        <v>27.796493046557824</v>
      </c>
      <c r="AG63" s="829">
        <f>(H63/AE63)*100</f>
        <v>62.602299614685073</v>
      </c>
      <c r="AJ63" s="491">
        <f>U63</f>
        <v>1077.8</v>
      </c>
      <c r="AL63" s="835">
        <f>IF(ISERROR(AJ63/AC63),"NA",AJ63/AC63*100)</f>
        <v>7.284893545116593</v>
      </c>
      <c r="AN63" s="836">
        <f>(AL63/AL56-1)*100</f>
        <v>-0.42832045830601961</v>
      </c>
      <c r="AP63" s="832"/>
      <c r="AQ63" s="572"/>
    </row>
    <row r="64" spans="1:43" ht="10.5" customHeight="1" outlineLevel="1" x14ac:dyDescent="0.2">
      <c r="A64" s="573" t="s">
        <v>67</v>
      </c>
      <c r="B64" s="573"/>
      <c r="C64" s="573"/>
      <c r="D64" s="477">
        <f>INDEX('qtrP&amp;L'!$14:$14,MATCH($A59,'qtrP&amp;L'!$6:$6,0)+1)</f>
        <v>28.117395855139193</v>
      </c>
      <c r="F64" s="477">
        <f>INDEX('qtrP&amp;L'!$14:$14,MATCH($A59,'qtrP&amp;L'!$6:$6,0)+2)</f>
        <v>10.076240554180867</v>
      </c>
      <c r="H64" s="445">
        <f>D64-F64</f>
        <v>18.041155300958327</v>
      </c>
      <c r="J64" s="685"/>
      <c r="L64" s="413">
        <f>AVERAGEA(L60:L63)</f>
        <v>172.5</v>
      </c>
      <c r="N64" s="445">
        <f>(L64/L57-1)*100</f>
        <v>22.557726465364112</v>
      </c>
      <c r="P64" s="306">
        <f>(H64/N64)*100</f>
        <v>79.977719956216859</v>
      </c>
      <c r="S64" s="319">
        <f>INDEX('qtrP&amp;L'!$14:$14,MATCH($A59,'qtrP&amp;L'!$6:$6,0))</f>
        <v>3060.0839999999998</v>
      </c>
      <c r="U64" s="319">
        <f>S64-AP64</f>
        <v>3060.0839999999998</v>
      </c>
      <c r="W64" s="821">
        <f>IF(ISERROR(U64/L64),"NA",U64/L64)</f>
        <v>17.739617391304346</v>
      </c>
      <c r="Y64" s="761">
        <f>IF(ISERROR(W64/W57),"NA",(W64/W57-1)*100)</f>
        <v>4.5363679223816789</v>
      </c>
      <c r="AA64" s="815"/>
      <c r="AC64" s="413">
        <f>AVERAGEA(AC60:AC63)</f>
        <v>13833.75</v>
      </c>
      <c r="AE64" s="445">
        <f>(AC64/AC57-1)*100</f>
        <v>28.310068172332237</v>
      </c>
      <c r="AG64" s="306">
        <f>(H64/AE64)*100</f>
        <v>63.726993489157898</v>
      </c>
      <c r="AJ64" s="319">
        <f>SUM(AJ60:AJ63)</f>
        <v>3060.0839999999998</v>
      </c>
      <c r="AL64" s="833">
        <f>IF(ISERROR(AJ64/AC64),"NA",AJ64/AC64*100)</f>
        <v>22.120422878828951</v>
      </c>
      <c r="AN64" s="765">
        <f>(AL64/AL57-1)*100</f>
        <v>-0.15016149545977742</v>
      </c>
      <c r="AP64" s="489"/>
      <c r="AQ64" s="489"/>
    </row>
    <row r="65" spans="1:43" ht="10.5" customHeight="1" outlineLevel="1" x14ac:dyDescent="0.2">
      <c r="A65" s="573"/>
      <c r="B65" s="573"/>
      <c r="C65" s="573"/>
      <c r="D65" s="477"/>
      <c r="F65" s="477"/>
      <c r="J65" s="685"/>
      <c r="L65" s="813"/>
      <c r="P65" s="306"/>
      <c r="S65" s="489"/>
      <c r="W65" s="489"/>
      <c r="Y65" s="765"/>
      <c r="AA65" s="815"/>
      <c r="AC65" s="813"/>
      <c r="AG65" s="306"/>
      <c r="AL65" s="489"/>
      <c r="AN65" s="765"/>
      <c r="AP65" s="489"/>
      <c r="AQ65" s="489"/>
    </row>
    <row r="66" spans="1:43" ht="10.5" customHeight="1" outlineLevel="1" x14ac:dyDescent="0.2">
      <c r="A66" s="812">
        <f>A73-1</f>
        <v>1998</v>
      </c>
      <c r="B66" s="812"/>
      <c r="C66" s="812"/>
      <c r="J66" s="685"/>
      <c r="AA66" s="815"/>
    </row>
    <row r="67" spans="1:43" ht="10.5" customHeight="1" outlineLevel="1" x14ac:dyDescent="0.2">
      <c r="A67" s="303" t="s">
        <v>63</v>
      </c>
      <c r="B67" s="303">
        <f>B63+1</f>
        <v>29</v>
      </c>
      <c r="C67" s="303">
        <f>C63+1</f>
        <v>129</v>
      </c>
      <c r="D67" s="477">
        <f>INDEX('qtrP&amp;L'!$10:$10,MATCH($A66,'qtrP&amp;L'!$6:$6,0)+1)</f>
        <v>23.986965216710754</v>
      </c>
      <c r="F67" s="477">
        <f>INDEX('qtrP&amp;L'!$10:$10,MATCH($A66,'qtrP&amp;L'!$6:$6,0)+2)</f>
        <v>11.64488315874295</v>
      </c>
      <c r="G67" s="303" t="s">
        <v>102</v>
      </c>
      <c r="H67" s="445">
        <f>D67-F67</f>
        <v>12.342082057967804</v>
      </c>
      <c r="I67" s="303" t="s">
        <v>102</v>
      </c>
      <c r="J67" s="686">
        <f>INDEX(stores!D:D,MATCH(B67,stores!C:C,0))</f>
        <v>197</v>
      </c>
      <c r="L67" s="413">
        <f>AVERAGEA(J67,J63)</f>
        <v>189.5</v>
      </c>
      <c r="N67" s="445">
        <f>(L67/L60-1)*100</f>
        <v>18.437499999999996</v>
      </c>
      <c r="O67" s="303" t="s">
        <v>102</v>
      </c>
      <c r="P67" s="306">
        <f>(H67/N67)*100</f>
        <v>66.940106077113526</v>
      </c>
      <c r="Q67" s="303" t="s">
        <v>102</v>
      </c>
      <c r="S67" s="319">
        <f>INDEX('qtrP&amp;L'!$10:$10,MATCH($A66,'qtrP&amp;L'!$6:$6,0))</f>
        <v>744.6</v>
      </c>
      <c r="U67" s="319">
        <f>S67-AP67</f>
        <v>744.6</v>
      </c>
      <c r="W67" s="821">
        <f>IF(ISERROR(U67/L67),"NA",U67/L67)</f>
        <v>3.9292875989445912</v>
      </c>
      <c r="Y67" s="761">
        <f>IF(ISERROR(W67/W60),"NA",(W67/W60-1)*100)</f>
        <v>4.6855642990697666</v>
      </c>
      <c r="Z67" s="303" t="s">
        <v>102</v>
      </c>
      <c r="AA67" s="686">
        <f>INDEX(stores!D:D,MATCH(C67,stores!C:C,0))</f>
        <v>16147.1</v>
      </c>
      <c r="AC67" s="413">
        <f>AVERAGEA(AA67,AA63)</f>
        <v>15471.05</v>
      </c>
      <c r="AE67" s="445">
        <f>(AC67/AC60-1)*100</f>
        <v>23.010654369086424</v>
      </c>
      <c r="AF67" s="303" t="s">
        <v>102</v>
      </c>
      <c r="AG67" s="306">
        <f>(H67/AE67)*100</f>
        <v>53.636380174171528</v>
      </c>
      <c r="AH67" s="303" t="s">
        <v>102</v>
      </c>
      <c r="AJ67" s="319">
        <f>U67</f>
        <v>744.6</v>
      </c>
      <c r="AL67" s="833">
        <f>IF(ISERROR(AJ67/AC67),"NA",AJ67/AC67*100)</f>
        <v>4.812860148470854</v>
      </c>
      <c r="AN67" s="765">
        <f>(AL67/AL60-1)*100</f>
        <v>0.79367990734766636</v>
      </c>
      <c r="AO67" s="303" t="s">
        <v>102</v>
      </c>
      <c r="AP67" s="822"/>
      <c r="AQ67" s="489"/>
    </row>
    <row r="68" spans="1:43" ht="10.5" customHeight="1" outlineLevel="1" x14ac:dyDescent="0.2">
      <c r="A68" s="303" t="s">
        <v>64</v>
      </c>
      <c r="B68" s="303">
        <f t="shared" ref="B68:C70" si="7">B67+1</f>
        <v>30</v>
      </c>
      <c r="C68" s="303">
        <f t="shared" si="7"/>
        <v>130</v>
      </c>
      <c r="D68" s="477">
        <f>INDEX('qtrP&amp;L'!$11:$11,MATCH($A66,'qtrP&amp;L'!$6:$6,0)+1)</f>
        <v>21.606828894583895</v>
      </c>
      <c r="F68" s="477">
        <f>INDEX('qtrP&amp;L'!$11:$11,MATCH($A66,'qtrP&amp;L'!$6:$6,0)+2)</f>
        <v>10.4</v>
      </c>
      <c r="H68" s="445">
        <f>D68-F68</f>
        <v>11.206828894583895</v>
      </c>
      <c r="J68" s="686">
        <f>INDEX(stores!D:D,MATCH(B68,stores!C:C,0))</f>
        <v>197</v>
      </c>
      <c r="L68" s="413">
        <f>AVERAGEA(J67:J68)</f>
        <v>197</v>
      </c>
      <c r="N68" s="445">
        <f>(L68/L61-1)*100</f>
        <v>15.204678362573109</v>
      </c>
      <c r="P68" s="306">
        <f>(H68/N68)*100</f>
        <v>73.706451575917114</v>
      </c>
      <c r="S68" s="413">
        <f>INDEX('qtrP&amp;L'!$11:$11,MATCH($A66,'qtrP&amp;L'!$6:$6,0))</f>
        <v>758.75</v>
      </c>
      <c r="U68" s="413">
        <f>S68-AP68</f>
        <v>758.75</v>
      </c>
      <c r="W68" s="823">
        <f>IF(ISERROR(U68/L68),"NA",U68/L68)</f>
        <v>3.8515228426395938</v>
      </c>
      <c r="Y68" s="761">
        <f>IF(ISERROR(W68/W61),"NA",(W68/W61-1)*100)</f>
        <v>5.557196654689589</v>
      </c>
      <c r="AA68" s="686">
        <f>INDEX(stores!D:D,MATCH(C68,stores!C:C,0))</f>
        <v>16147.1</v>
      </c>
      <c r="AC68" s="413">
        <f>AVERAGEA(AA67:AA68)</f>
        <v>16147.1</v>
      </c>
      <c r="AE68" s="445">
        <f>(AC68/AC61-1)*100</f>
        <v>18.06024713021861</v>
      </c>
      <c r="AG68" s="306">
        <f>(H68/AE68)*100</f>
        <v>62.052467022073586</v>
      </c>
      <c r="AJ68" s="413">
        <f>U68</f>
        <v>758.75</v>
      </c>
      <c r="AL68" s="415">
        <f>IF(ISERROR(AJ68/AC68),"NA",AJ68/AC68*100)</f>
        <v>4.6989861956636174</v>
      </c>
      <c r="AN68" s="765">
        <f>(AL68/AL61-1)*100</f>
        <v>3.0040439949727382</v>
      </c>
      <c r="AP68" s="824"/>
      <c r="AQ68" s="479"/>
    </row>
    <row r="69" spans="1:43" ht="10.5" customHeight="1" outlineLevel="1" x14ac:dyDescent="0.2">
      <c r="A69" s="303" t="s">
        <v>65</v>
      </c>
      <c r="B69" s="303">
        <f t="shared" si="7"/>
        <v>31</v>
      </c>
      <c r="C69" s="303">
        <f t="shared" si="7"/>
        <v>131</v>
      </c>
      <c r="D69" s="477">
        <f>INDEX('qtrP&amp;L'!$12:$12,MATCH($A66,'qtrP&amp;L'!$6:$6,0)+1)</f>
        <v>17.293481129585643</v>
      </c>
      <c r="F69" s="477">
        <f>INDEX('qtrP&amp;L'!$12:$12,MATCH($A66,'qtrP&amp;L'!$6:$6,0)+2)</f>
        <v>4.32048714631265</v>
      </c>
      <c r="H69" s="445">
        <f>D69-F69</f>
        <v>12.972993983272993</v>
      </c>
      <c r="J69" s="686">
        <f>INDEX(stores!D:D,MATCH(B69,stores!C:C,0))</f>
        <v>214</v>
      </c>
      <c r="L69" s="413">
        <f>AVERAGEA(J68:J69)</f>
        <v>205.5</v>
      </c>
      <c r="N69" s="445">
        <f>(L69/L62-1)*100</f>
        <v>16.101694915254239</v>
      </c>
      <c r="P69" s="306">
        <f>(H69/N69)*100</f>
        <v>80.569120527695418</v>
      </c>
      <c r="S69" s="413">
        <f>INDEX('qtrP&amp;L'!$12:$12,MATCH($A66,'qtrP&amp;L'!$6:$6,0))</f>
        <v>888.85</v>
      </c>
      <c r="U69" s="413">
        <f>S69-AP69</f>
        <v>888.85</v>
      </c>
      <c r="W69" s="823">
        <f>IF(ISERROR(U69/L69),"NA",U69/L69)</f>
        <v>4.3253041362530418</v>
      </c>
      <c r="Y69" s="761">
        <f>IF(ISERROR(W69/W62),"NA",(W69/W62-1)*100)</f>
        <v>1.0265019948256127</v>
      </c>
      <c r="AA69" s="686">
        <f>INDEX(stores!D:D,MATCH(C69,stores!C:C,0))</f>
        <v>17866.899999999998</v>
      </c>
      <c r="AC69" s="413">
        <f>AVERAGEA(AA68:AA69)</f>
        <v>17007</v>
      </c>
      <c r="AE69" s="445">
        <f>(AC69/AC62-1)*100</f>
        <v>19.046619067618643</v>
      </c>
      <c r="AG69" s="306">
        <f>(H69/AE69)*100</f>
        <v>68.111794209863291</v>
      </c>
      <c r="AJ69" s="413">
        <f>U69</f>
        <v>888.85</v>
      </c>
      <c r="AL69" s="415">
        <f>IF(ISERROR(AJ69/AC69),"NA",AJ69/AC69*100)</f>
        <v>5.2263773740224622</v>
      </c>
      <c r="AN69" s="765">
        <f>(AL69/AL62-1)*100</f>
        <v>-1.4726482379455064</v>
      </c>
      <c r="AP69" s="824"/>
      <c r="AQ69" s="479"/>
    </row>
    <row r="70" spans="1:43" ht="10.5" customHeight="1" outlineLevel="1" x14ac:dyDescent="0.2">
      <c r="A70" s="303" t="s">
        <v>66</v>
      </c>
      <c r="B70" s="303">
        <f t="shared" si="7"/>
        <v>32</v>
      </c>
      <c r="C70" s="303">
        <f t="shared" si="7"/>
        <v>132</v>
      </c>
      <c r="D70" s="834">
        <f>INDEX('qtrP&amp;L'!$13:$13,MATCH($A66,'qtrP&amp;L'!$6:$6,0)+1)</f>
        <v>19.641863054370013</v>
      </c>
      <c r="F70" s="834">
        <f>INDEX('qtrP&amp;L'!$13:$13,MATCH($A66,'qtrP&amp;L'!$6:$6,0)+2)</f>
        <v>6.395509887553315</v>
      </c>
      <c r="H70" s="828">
        <f>D70-F70</f>
        <v>13.246353166816698</v>
      </c>
      <c r="J70" s="686">
        <f>INDEX(stores!D:D,MATCH(B70,stores!C:C,0))</f>
        <v>213</v>
      </c>
      <c r="L70" s="491">
        <f>AVERAGEA(J69:J70)</f>
        <v>213.5</v>
      </c>
      <c r="N70" s="828">
        <f>(L70/L63-1)*100</f>
        <v>17.307692307692314</v>
      </c>
      <c r="P70" s="829">
        <f>(H70/N70)*100</f>
        <v>76.534484963829783</v>
      </c>
      <c r="S70" s="491">
        <f>INDEX('qtrP&amp;L'!$13:$13,MATCH($A66,'qtrP&amp;L'!$6:$6,0))</f>
        <v>1289.5</v>
      </c>
      <c r="U70" s="491">
        <f>S70-AP70</f>
        <v>1289.5</v>
      </c>
      <c r="W70" s="831">
        <f>IF(ISERROR(U70/L70),"NA",U70/L70)</f>
        <v>6.0398126463700237</v>
      </c>
      <c r="Y70" s="830">
        <f>IF(ISERROR(W70/W63),"NA",(W70/W63-1)*100)</f>
        <v>1.9897848988072342</v>
      </c>
      <c r="AA70" s="686">
        <f>INDEX(stores!D:D,MATCH(C70,stores!C:C,0))</f>
        <v>17794.899999999998</v>
      </c>
      <c r="AC70" s="491">
        <f>AVERAGEA(AA69:AA70)</f>
        <v>17830.899999999998</v>
      </c>
      <c r="AE70" s="828">
        <f>(AC70/AC63-1)*100</f>
        <v>20.519770192632624</v>
      </c>
      <c r="AG70" s="829">
        <f>(H70/AE70)*100</f>
        <v>64.554100959535305</v>
      </c>
      <c r="AJ70" s="491">
        <f>U70</f>
        <v>1289.5</v>
      </c>
      <c r="AL70" s="835">
        <f>IF(ISERROR(AJ70/AC70),"NA",AJ70/AC70*100)</f>
        <v>7.2318278942734251</v>
      </c>
      <c r="AN70" s="836">
        <f>(AL70/AL63-1)*100</f>
        <v>-0.72843412898929705</v>
      </c>
      <c r="AP70" s="832"/>
      <c r="AQ70" s="572"/>
    </row>
    <row r="71" spans="1:43" ht="10.5" customHeight="1" outlineLevel="1" x14ac:dyDescent="0.2">
      <c r="A71" s="573" t="s">
        <v>67</v>
      </c>
      <c r="B71" s="573"/>
      <c r="C71" s="573"/>
      <c r="D71" s="477">
        <f>INDEX('qtrP&amp;L'!$14:$14,MATCH($A66,'qtrP&amp;L'!$6:$6,0)+1)</f>
        <v>20.313690735287015</v>
      </c>
      <c r="F71" s="477">
        <f>INDEX('qtrP&amp;L'!$14:$14,MATCH($A66,'qtrP&amp;L'!$6:$6,0)+2)</f>
        <v>7.9</v>
      </c>
      <c r="H71" s="445">
        <f>D71-F71</f>
        <v>12.413690735287014</v>
      </c>
      <c r="J71" s="685"/>
      <c r="L71" s="413">
        <f>AVERAGEA(L67:L70)</f>
        <v>201.375</v>
      </c>
      <c r="N71" s="445">
        <f>(L71/L64-1)*100</f>
        <v>16.739130434782613</v>
      </c>
      <c r="P71" s="306">
        <f>(H71/N71)*100</f>
        <v>74.159710886130199</v>
      </c>
      <c r="S71" s="319">
        <f>INDEX('qtrP&amp;L'!$14:$14,MATCH($A66,'qtrP&amp;L'!$6:$6,0))</f>
        <v>3681.7</v>
      </c>
      <c r="U71" s="319">
        <f>S71-AP71</f>
        <v>3681.7</v>
      </c>
      <c r="W71" s="821">
        <f>IF(ISERROR(U71/L71),"NA",U71/L71)</f>
        <v>18.282805710738671</v>
      </c>
      <c r="Y71" s="761">
        <f>IF(ISERROR(W71/W64),"NA",(W71/W64-1)*100)</f>
        <v>3.0620069613259249</v>
      </c>
      <c r="AA71" s="815"/>
      <c r="AC71" s="413">
        <f>AVERAGEA(AC67:AC70)</f>
        <v>16614.012500000001</v>
      </c>
      <c r="AE71" s="445">
        <f>(AC71/AC64-1)*100</f>
        <v>20.097677780789745</v>
      </c>
      <c r="AG71" s="306">
        <f>(H71/AE71)*100</f>
        <v>61.766791520324659</v>
      </c>
      <c r="AJ71" s="319">
        <f>SUM(AJ67:AJ70)</f>
        <v>3681.7</v>
      </c>
      <c r="AL71" s="833">
        <f>IF(ISERROR(AJ71/AC71),"NA",AJ71/AC71*100)</f>
        <v>22.160209642312473</v>
      </c>
      <c r="AN71" s="765">
        <f>(AL71/AL64-1)*100</f>
        <v>0.17986438912793723</v>
      </c>
      <c r="AP71" s="489"/>
      <c r="AQ71" s="489"/>
    </row>
    <row r="72" spans="1:43" ht="10.5" customHeight="1" outlineLevel="1" x14ac:dyDescent="0.2">
      <c r="J72" s="685"/>
      <c r="L72" s="813"/>
      <c r="P72" s="306"/>
      <c r="Y72" s="765"/>
      <c r="AA72" s="815"/>
      <c r="AC72" s="813"/>
      <c r="AG72" s="306"/>
      <c r="AN72" s="765"/>
    </row>
    <row r="73" spans="1:43" ht="10.5" customHeight="1" outlineLevel="1" x14ac:dyDescent="0.2">
      <c r="A73" s="812">
        <f>A80-1</f>
        <v>1999</v>
      </c>
      <c r="B73" s="812"/>
      <c r="C73" s="812"/>
      <c r="J73" s="685"/>
      <c r="AA73" s="815"/>
    </row>
    <row r="74" spans="1:43" ht="10.5" customHeight="1" outlineLevel="1" x14ac:dyDescent="0.2">
      <c r="A74" s="303" t="s">
        <v>63</v>
      </c>
      <c r="B74" s="303">
        <f>B70+1</f>
        <v>33</v>
      </c>
      <c r="C74" s="303">
        <f>C70+1</f>
        <v>133</v>
      </c>
      <c r="D74" s="477">
        <f>INDEX('qtrP&amp;L'!$10:$10,MATCH($A73,'qtrP&amp;L'!$6:$6,0)+1)</f>
        <v>22.2535589578297</v>
      </c>
      <c r="F74" s="477">
        <f>INDEX('qtrP&amp;L'!$10:$10,MATCH($A73,'qtrP&amp;L'!$6:$6,0)+2)</f>
        <v>10.8</v>
      </c>
      <c r="G74" s="303" t="s">
        <v>102</v>
      </c>
      <c r="H74" s="445">
        <f>D74-F74</f>
        <v>11.453558957829699</v>
      </c>
      <c r="I74" s="303" t="s">
        <v>102</v>
      </c>
      <c r="J74" s="686">
        <f>INDEX(stores!D:D,MATCH(B74,stores!C:C,0))</f>
        <v>226</v>
      </c>
      <c r="L74" s="413">
        <f>AVERAGEA(J74,J70)</f>
        <v>219.5</v>
      </c>
      <c r="N74" s="445">
        <f>(L74/L67-1)*100</f>
        <v>15.831134564643801</v>
      </c>
      <c r="O74" s="303" t="s">
        <v>102</v>
      </c>
      <c r="P74" s="306">
        <f>(H74/N74)*100</f>
        <v>72.34831408362426</v>
      </c>
      <c r="Q74" s="303" t="s">
        <v>102</v>
      </c>
      <c r="S74" s="319">
        <f>INDEX('qtrP&amp;L'!$10:$10,MATCH($A73,'qtrP&amp;L'!$6:$6,0))</f>
        <v>910.3</v>
      </c>
      <c r="U74" s="319">
        <f>S74-AP74</f>
        <v>910.3</v>
      </c>
      <c r="W74" s="821">
        <f>IF(ISERROR(U74/L74),"NA",U74/L74)</f>
        <v>4.1471526195899768</v>
      </c>
      <c r="Y74" s="761">
        <f>IF(ISERROR(W74/W67),"NA",(W74/W67-1)*100)</f>
        <v>5.5446442938894114</v>
      </c>
      <c r="Z74" s="303" t="s">
        <v>102</v>
      </c>
      <c r="AA74" s="686">
        <f>INDEX(stores!D:D,MATCH(C74,stores!C:C,0))</f>
        <v>18943</v>
      </c>
      <c r="AC74" s="413">
        <f>AVERAGEA(AA74,AA70)</f>
        <v>18368.949999999997</v>
      </c>
      <c r="AE74" s="445">
        <f>(AC74/AC67-1)*100</f>
        <v>18.731113919223308</v>
      </c>
      <c r="AF74" s="303" t="s">
        <v>102</v>
      </c>
      <c r="AG74" s="306">
        <f>(H74/AE74)*100</f>
        <v>61.14723879862359</v>
      </c>
      <c r="AH74" s="303" t="s">
        <v>102</v>
      </c>
      <c r="AJ74" s="319">
        <f>U74</f>
        <v>910.3</v>
      </c>
      <c r="AL74" s="833">
        <f>IF(ISERROR(AJ74/AC74),"NA",AJ74/AC74*100)</f>
        <v>4.9556452600720249</v>
      </c>
      <c r="AN74" s="765">
        <f>(AL74/AL67-1)*100</f>
        <v>2.9667413387554298</v>
      </c>
      <c r="AO74" s="303" t="s">
        <v>102</v>
      </c>
      <c r="AP74" s="822"/>
      <c r="AQ74" s="489"/>
    </row>
    <row r="75" spans="1:43" ht="10.5" customHeight="1" outlineLevel="1" x14ac:dyDescent="0.2">
      <c r="A75" s="303" t="s">
        <v>64</v>
      </c>
      <c r="B75" s="303">
        <f t="shared" ref="B75:C77" si="8">B74+1</f>
        <v>34</v>
      </c>
      <c r="C75" s="303">
        <f t="shared" si="8"/>
        <v>134</v>
      </c>
      <c r="D75" s="477">
        <f>INDEX('qtrP&amp;L'!$11:$11,MATCH($A73,'qtrP&amp;L'!$6:$6,0)+1)</f>
        <v>23.822075782537077</v>
      </c>
      <c r="F75" s="477">
        <f>INDEX('qtrP&amp;L'!$11:$11,MATCH($A73,'qtrP&amp;L'!$6:$6,0)+2)</f>
        <v>8.8000000000000007</v>
      </c>
      <c r="H75" s="445">
        <f>D75-F75</f>
        <v>15.022075782537076</v>
      </c>
      <c r="J75" s="686">
        <f>INDEX(stores!D:D,MATCH(B75,stores!C:C,0))</f>
        <v>231</v>
      </c>
      <c r="L75" s="413">
        <f>AVERAGEA(J74:J75)</f>
        <v>228.5</v>
      </c>
      <c r="N75" s="445">
        <f>(L75/L68-1)*100</f>
        <v>15.989847715736039</v>
      </c>
      <c r="P75" s="306">
        <f>(H75/N75)*100</f>
        <v>93.947585052692204</v>
      </c>
      <c r="S75" s="413">
        <f>INDEX('qtrP&amp;L'!$11:$11,MATCH($A73,'qtrP&amp;L'!$6:$6,0))</f>
        <v>939.5</v>
      </c>
      <c r="U75" s="413">
        <f>S75-AP75</f>
        <v>939.5</v>
      </c>
      <c r="W75" s="823">
        <f>IF(ISERROR(U75/L75),"NA",U75/L75)</f>
        <v>4.1115973741794312</v>
      </c>
      <c r="Y75" s="761">
        <f>IF(ISERROR(W75/W68),"NA",(W75/W68-1)*100)</f>
        <v>6.7525117249882083</v>
      </c>
      <c r="AA75" s="686">
        <f>INDEX(stores!D:D,MATCH(C75,stores!C:C,0))</f>
        <v>19373</v>
      </c>
      <c r="AC75" s="413">
        <f>AVERAGEA(AA74:AA75)</f>
        <v>19158</v>
      </c>
      <c r="AE75" s="445">
        <f>(AC75/AC68-1)*100</f>
        <v>18.646691975648878</v>
      </c>
      <c r="AG75" s="306">
        <f>(H75/AE75)*100</f>
        <v>80.561612763029132</v>
      </c>
      <c r="AJ75" s="413">
        <f>U75</f>
        <v>939.5</v>
      </c>
      <c r="AL75" s="415">
        <f>IF(ISERROR(AJ75/AC75),"NA",AJ75/AC75*100)</f>
        <v>4.9039565716671891</v>
      </c>
      <c r="AN75" s="765">
        <f>(AL75/AL68-1)*100</f>
        <v>4.3620127293143574</v>
      </c>
      <c r="AP75" s="824"/>
      <c r="AQ75" s="479"/>
    </row>
    <row r="76" spans="1:43" ht="10.5" customHeight="1" outlineLevel="1" x14ac:dyDescent="0.2">
      <c r="A76" s="303" t="s">
        <v>65</v>
      </c>
      <c r="B76" s="303">
        <f t="shared" si="8"/>
        <v>35</v>
      </c>
      <c r="C76" s="303">
        <f t="shared" si="8"/>
        <v>135</v>
      </c>
      <c r="D76" s="477">
        <f>INDEX('qtrP&amp;L'!$12:$12,MATCH($A73,'qtrP&amp;L'!$6:$6,0)+1)</f>
        <v>23.719412724306686</v>
      </c>
      <c r="F76" s="477">
        <f>INDEX('qtrP&amp;L'!$12:$12,MATCH($A73,'qtrP&amp;L'!$6:$6,0)+2)</f>
        <v>6.939858868034336</v>
      </c>
      <c r="H76" s="445">
        <f>D76-F76</f>
        <v>16.779553856272351</v>
      </c>
      <c r="J76" s="686">
        <f>INDEX(stores!D:D,MATCH(B76,stores!C:C,0))</f>
        <v>257</v>
      </c>
      <c r="L76" s="413">
        <f>AVERAGEA(J75:J76)</f>
        <v>244</v>
      </c>
      <c r="N76" s="445">
        <f>(L76/L69-1)*100</f>
        <v>18.734793187347943</v>
      </c>
      <c r="P76" s="306">
        <f>(H76/N76)*100</f>
        <v>89.563592661401714</v>
      </c>
      <c r="S76" s="413">
        <f>INDEX('qtrP&amp;L'!$12:$12,MATCH($A73,'qtrP&amp;L'!$6:$6,0))</f>
        <v>1099.68</v>
      </c>
      <c r="U76" s="413">
        <f>S76-AP76</f>
        <v>1099.68</v>
      </c>
      <c r="W76" s="823">
        <f>IF(ISERROR(U76/L76),"NA",U76/L76)</f>
        <v>4.50688524590164</v>
      </c>
      <c r="Y76" s="761">
        <f>IF(ISERROR(W76/W69),"NA",(W76/W69-1)*100)</f>
        <v>4.1981119460861693</v>
      </c>
      <c r="AA76" s="686">
        <f>INDEX(stores!D:D,MATCH(C76,stores!C:C,0))</f>
        <v>21880</v>
      </c>
      <c r="AC76" s="413">
        <f>AVERAGEA(AA75:AA76)</f>
        <v>20626.5</v>
      </c>
      <c r="AE76" s="445">
        <f>(AC76/AC69-1)*100</f>
        <v>21.282413124007761</v>
      </c>
      <c r="AG76" s="306">
        <f>(H76/AE76)*100</f>
        <v>78.842346300213805</v>
      </c>
      <c r="AJ76" s="413">
        <f>U76</f>
        <v>1099.68</v>
      </c>
      <c r="AL76" s="415">
        <f>IF(ISERROR(AJ76/AC76),"NA",AJ76/AC76*100)</f>
        <v>5.3313940804305151</v>
      </c>
      <c r="AN76" s="765">
        <f>(AL76/AL69-1)*100</f>
        <v>2.0093594260918612</v>
      </c>
      <c r="AP76" s="824"/>
      <c r="AQ76" s="479"/>
    </row>
    <row r="77" spans="1:43" ht="10.5" customHeight="1" outlineLevel="1" x14ac:dyDescent="0.2">
      <c r="A77" s="303" t="s">
        <v>66</v>
      </c>
      <c r="B77" s="303">
        <f t="shared" si="8"/>
        <v>36</v>
      </c>
      <c r="C77" s="303">
        <f t="shared" si="8"/>
        <v>136</v>
      </c>
      <c r="D77" s="834">
        <f>INDEX('qtrP&amp;L'!$13:$13,MATCH($A73,'qtrP&amp;L'!$6:$6,0)+1)</f>
        <v>24.660721209771232</v>
      </c>
      <c r="F77" s="834">
        <f>INDEX('qtrP&amp;L'!$13:$13,MATCH($A73,'qtrP&amp;L'!$6:$6,0)+2)</f>
        <v>7.0999129082426133</v>
      </c>
      <c r="H77" s="828">
        <f>D77-F77</f>
        <v>17.560808301528617</v>
      </c>
      <c r="J77" s="686">
        <f>INDEX(stores!D:D,MATCH(B77,stores!C:C,0))</f>
        <v>259</v>
      </c>
      <c r="L77" s="491">
        <f>AVERAGEA(J76:J77)</f>
        <v>258</v>
      </c>
      <c r="N77" s="828">
        <f>(L77/L70-1)*100</f>
        <v>20.843091334894616</v>
      </c>
      <c r="P77" s="829">
        <f>(H77/N77)*100</f>
        <v>84.252417356772114</v>
      </c>
      <c r="S77" s="491">
        <f>INDEX('qtrP&amp;L'!$13:$13,MATCH($A73,'qtrP&amp;L'!$6:$6,0))</f>
        <v>1607.5</v>
      </c>
      <c r="U77" s="491">
        <f>S77-AP77</f>
        <v>1607.5</v>
      </c>
      <c r="W77" s="831">
        <f>IF(ISERROR(U77/L77),"NA",U77/L77)</f>
        <v>6.2306201550387597</v>
      </c>
      <c r="Y77" s="830">
        <f>IF(ISERROR(W77/W70),"NA",(W77/W70-1)*100)</f>
        <v>3.1591627065354899</v>
      </c>
      <c r="AA77" s="686">
        <f>INDEX(stores!D:D,MATCH(C77,stores!C:C,0))</f>
        <v>21963</v>
      </c>
      <c r="AC77" s="491">
        <f>AVERAGEA(AA76:AA77)</f>
        <v>21921.5</v>
      </c>
      <c r="AE77" s="828">
        <f>(AC77/AC70-1)*100</f>
        <v>22.941074202648238</v>
      </c>
      <c r="AG77" s="829">
        <f>(H77/AE77)*100</f>
        <v>76.547454345016931</v>
      </c>
      <c r="AJ77" s="491">
        <f>U77</f>
        <v>1607.5</v>
      </c>
      <c r="AL77" s="835">
        <f>IF(ISERROR(AJ77/AC77),"NA",AJ77/AC77*100)</f>
        <v>7.3329836005747788</v>
      </c>
      <c r="AN77" s="836">
        <f>(AL77/AL70-1)*100</f>
        <v>1.3987571023565737</v>
      </c>
      <c r="AP77" s="832"/>
      <c r="AQ77" s="572"/>
    </row>
    <row r="78" spans="1:43" ht="10.5" customHeight="1" outlineLevel="1" x14ac:dyDescent="0.2">
      <c r="A78" s="573" t="s">
        <v>67</v>
      </c>
      <c r="B78" s="573"/>
      <c r="C78" s="573"/>
      <c r="D78" s="477">
        <f>INDEX('qtrP&amp;L'!$14:$14,MATCH($A73,'qtrP&amp;L'!$6:$6,0)+1)</f>
        <v>23.773800146671363</v>
      </c>
      <c r="F78" s="477">
        <f>INDEX('qtrP&amp;L'!$14:$14,MATCH($A73,'qtrP&amp;L'!$6:$6,0)+2)</f>
        <v>8.1509495323657344</v>
      </c>
      <c r="H78" s="445">
        <f>D78-F78</f>
        <v>15.622850614305628</v>
      </c>
      <c r="J78" s="685"/>
      <c r="L78" s="413">
        <f>AVERAGEA(L74:L77)</f>
        <v>237.5</v>
      </c>
      <c r="N78" s="445">
        <f>(L78/L71-1)*100</f>
        <v>17.939168218497837</v>
      </c>
      <c r="P78" s="306">
        <f>(H78/N78)*100</f>
        <v>87.087931971094648</v>
      </c>
      <c r="S78" s="319">
        <f>INDEX('qtrP&amp;L'!$14:$14,MATCH($A73,'qtrP&amp;L'!$6:$6,0))</f>
        <v>4556.9799999999996</v>
      </c>
      <c r="U78" s="319">
        <f>S78-AP78</f>
        <v>4556.9799999999996</v>
      </c>
      <c r="W78" s="821">
        <f>IF(ISERROR(U78/L78),"NA",U78/L78)</f>
        <v>19.187284210526315</v>
      </c>
      <c r="Y78" s="761">
        <f>IF(ISERROR(W78/W71),"NA",(W78/W71-1)*100)</f>
        <v>4.9471537033092483</v>
      </c>
      <c r="AA78" s="815"/>
      <c r="AC78" s="413">
        <f>AVERAGEA(AC74:AC77)</f>
        <v>20018.737499999999</v>
      </c>
      <c r="AE78" s="445">
        <f>(AC78/AC71-1)*100</f>
        <v>20.49309280343925</v>
      </c>
      <c r="AG78" s="306">
        <f>(H78/AE78)*100</f>
        <v>76.234713638166539</v>
      </c>
      <c r="AJ78" s="319">
        <f>SUM(AJ74:AJ77)</f>
        <v>4556.9799999999996</v>
      </c>
      <c r="AL78" s="833">
        <f>IF(ISERROR(AJ78/AC78),"NA",AJ78/AC78*100)</f>
        <v>22.763573377192241</v>
      </c>
      <c r="AN78" s="765">
        <f>(AL78/AL71-1)*100</f>
        <v>2.7227347783195688</v>
      </c>
      <c r="AP78" s="489"/>
      <c r="AQ78" s="489"/>
    </row>
    <row r="79" spans="1:43" ht="10.5" customHeight="1" outlineLevel="1" x14ac:dyDescent="0.2">
      <c r="A79" s="573"/>
      <c r="B79" s="573"/>
      <c r="C79" s="573"/>
      <c r="D79" s="477"/>
      <c r="F79" s="477"/>
      <c r="J79" s="685"/>
      <c r="L79" s="813"/>
      <c r="P79" s="306"/>
      <c r="S79" s="489"/>
      <c r="W79" s="489"/>
      <c r="Y79" s="765"/>
      <c r="AA79" s="815"/>
      <c r="AC79" s="813"/>
      <c r="AG79" s="306"/>
      <c r="AL79" s="489"/>
      <c r="AN79" s="765"/>
      <c r="AP79" s="489"/>
      <c r="AQ79" s="489"/>
    </row>
    <row r="80" spans="1:43" ht="10.5" customHeight="1" outlineLevel="1" x14ac:dyDescent="0.2">
      <c r="A80" s="812">
        <v>2000</v>
      </c>
      <c r="B80" s="812"/>
      <c r="C80" s="812"/>
      <c r="J80" s="685"/>
      <c r="AA80" s="815"/>
    </row>
    <row r="81" spans="1:43" ht="10.5" customHeight="1" outlineLevel="1" x14ac:dyDescent="0.2">
      <c r="A81" s="303" t="s">
        <v>63</v>
      </c>
      <c r="B81" s="303">
        <f>B77+1</f>
        <v>37</v>
      </c>
      <c r="C81" s="303">
        <f>C77+1</f>
        <v>137</v>
      </c>
      <c r="D81" s="477">
        <f>INDEX('qtrP&amp;L'!$10:$10,MATCH($A80,'qtrP&amp;L'!$6:$6,0)+1)</f>
        <v>34.977479951664293</v>
      </c>
      <c r="F81" s="477">
        <f>INDEX('qtrP&amp;L'!$10:$10,MATCH($A80,'qtrP&amp;L'!$6:$6,0)+2)</f>
        <v>7.1052331732725653</v>
      </c>
      <c r="G81" s="303" t="s">
        <v>102</v>
      </c>
      <c r="H81" s="445">
        <f>D81-F81</f>
        <v>27.872246778391727</v>
      </c>
      <c r="I81" s="303" t="s">
        <v>102</v>
      </c>
      <c r="J81" s="686">
        <f>INDEX(stores!D:D,MATCH(B81,stores!C:C,0))</f>
        <v>298</v>
      </c>
      <c r="L81" s="413">
        <f>AVERAGEA(J81,J77)</f>
        <v>278.5</v>
      </c>
      <c r="N81" s="445">
        <f>(L81/L74-1)*100</f>
        <v>26.87927107061503</v>
      </c>
      <c r="O81" s="303" t="s">
        <v>102</v>
      </c>
      <c r="P81" s="306">
        <f>(H81/N81)*100</f>
        <v>103.69420623486417</v>
      </c>
      <c r="Q81" s="303" t="s">
        <v>102</v>
      </c>
      <c r="S81" s="319">
        <f>INDEX('qtrP&amp;L'!$10:$10,MATCH($A80,'qtrP&amp;L'!$6:$6,0))</f>
        <v>1228.7</v>
      </c>
      <c r="U81" s="319">
        <f>S81-AP81</f>
        <v>1228.7</v>
      </c>
      <c r="W81" s="821">
        <f>IF(ISERROR(U81/L81),"NA",U81/L81)</f>
        <v>4.4118491921005392</v>
      </c>
      <c r="Y81" s="761">
        <f>IF(ISERROR(W81/W74),"NA",(W81/W74-1)*100)</f>
        <v>6.3826098721375901</v>
      </c>
      <c r="Z81" s="303" t="s">
        <v>102</v>
      </c>
      <c r="AA81" s="686">
        <f>INDEX(stores!D:D,MATCH(C81,stores!C:C,0))</f>
        <v>25724</v>
      </c>
      <c r="AC81" s="413">
        <f>AVERAGEA(AA81,AA77)</f>
        <v>23843.5</v>
      </c>
      <c r="AE81" s="445">
        <f>(AC81/AC74-1)*100</f>
        <v>29.803282169095159</v>
      </c>
      <c r="AF81" s="303" t="s">
        <v>102</v>
      </c>
      <c r="AG81" s="306">
        <f>(H81/AE81)*100</f>
        <v>93.520729093704176</v>
      </c>
      <c r="AH81" s="303" t="s">
        <v>102</v>
      </c>
      <c r="AJ81" s="319">
        <f>U81</f>
        <v>1228.7</v>
      </c>
      <c r="AL81" s="833">
        <f>IF(ISERROR(AJ81/AC81),"NA",AJ81/AC81*100)</f>
        <v>5.1531864030029153</v>
      </c>
      <c r="AN81" s="765">
        <f>(AL81/AL74-1)*100</f>
        <v>3.986184090344258</v>
      </c>
      <c r="AO81" s="303" t="s">
        <v>102</v>
      </c>
      <c r="AP81" s="822"/>
      <c r="AQ81" s="489"/>
    </row>
    <row r="82" spans="1:43" ht="10.5" customHeight="1" outlineLevel="1" x14ac:dyDescent="0.2">
      <c r="A82" s="303" t="s">
        <v>64</v>
      </c>
      <c r="B82" s="303">
        <f t="shared" ref="B82:C84" si="9">B81+1</f>
        <v>38</v>
      </c>
      <c r="C82" s="303">
        <f t="shared" si="9"/>
        <v>138</v>
      </c>
      <c r="D82" s="477">
        <f>INDEX('qtrP&amp;L'!$11:$11,MATCH($A80,'qtrP&amp;L'!$6:$6,0)+1)</f>
        <v>33.624268227780753</v>
      </c>
      <c r="F82" s="477">
        <f>INDEX('qtrP&amp;L'!$11:$11,MATCH($A80,'qtrP&amp;L'!$6:$6,0)+2)</f>
        <v>7.1</v>
      </c>
      <c r="H82" s="445">
        <f>D82-F82</f>
        <v>26.524268227780752</v>
      </c>
      <c r="J82" s="686">
        <f>INDEX(stores!D:D,MATCH(B82,stores!C:C,0))</f>
        <v>298</v>
      </c>
      <c r="L82" s="413">
        <f>AVERAGEA(J81:J82)</f>
        <v>298</v>
      </c>
      <c r="N82" s="445">
        <f>(L82/L75-1)*100</f>
        <v>30.415754923413573</v>
      </c>
      <c r="P82" s="306">
        <f>(H82/N82)*100</f>
        <v>87.205687626588499</v>
      </c>
      <c r="S82" s="413">
        <f>INDEX('qtrP&amp;L'!$11:$11,MATCH($A80,'qtrP&amp;L'!$6:$6,0))</f>
        <v>1255.4000000000001</v>
      </c>
      <c r="U82" s="413">
        <f>S82-AP82</f>
        <v>1255.4000000000001</v>
      </c>
      <c r="W82" s="823">
        <f>IF(ISERROR(U82/L82),"NA",U82/L82)</f>
        <v>4.2127516778523493</v>
      </c>
      <c r="Y82" s="761">
        <f>IF(ISERROR(W82/W75),"NA",(W82/W75-1)*100)</f>
        <v>2.4602190941204638</v>
      </c>
      <c r="AA82" s="686">
        <f>INDEX(stores!D:D,MATCH(C82,stores!C:C,0))</f>
        <v>25744</v>
      </c>
      <c r="AC82" s="413">
        <f>AVERAGEA(AA81:AA82)</f>
        <v>25734</v>
      </c>
      <c r="AE82" s="445">
        <f>(AC82/AC75-1)*100</f>
        <v>34.32508612590042</v>
      </c>
      <c r="AG82" s="306">
        <f>(H82/AE82)*100</f>
        <v>77.273712090605756</v>
      </c>
      <c r="AJ82" s="413">
        <f>U82</f>
        <v>1255.4000000000001</v>
      </c>
      <c r="AL82" s="415">
        <f>IF(ISERROR(AJ82/AC82),"NA",AJ82/AC82*100)</f>
        <v>4.8783710266573408</v>
      </c>
      <c r="AN82" s="765">
        <f>(AL82/AL75-1)*100</f>
        <v>-0.52173269962605406</v>
      </c>
      <c r="AP82" s="824"/>
      <c r="AQ82" s="479"/>
    </row>
    <row r="83" spans="1:43" ht="10.5" customHeight="1" outlineLevel="1" x14ac:dyDescent="0.2">
      <c r="A83" s="303" t="s">
        <v>65</v>
      </c>
      <c r="B83" s="303">
        <f t="shared" si="9"/>
        <v>39</v>
      </c>
      <c r="C83" s="303">
        <f t="shared" si="9"/>
        <v>139</v>
      </c>
      <c r="D83" s="477">
        <f>INDEX('qtrP&amp;L'!$12:$12,MATCH($A80,'qtrP&amp;L'!$6:$6,0)+1)</f>
        <v>31.401862359959253</v>
      </c>
      <c r="F83" s="477">
        <f>INDEX('qtrP&amp;L'!$12:$12,MATCH($A80,'qtrP&amp;L'!$6:$6,0)+2)</f>
        <v>9.4762145328719729</v>
      </c>
      <c r="H83" s="445">
        <f>D83-F83</f>
        <v>21.925647827087282</v>
      </c>
      <c r="J83" s="686">
        <f>INDEX(stores!D:D,MATCH(B83,stores!C:C,0))</f>
        <v>320</v>
      </c>
      <c r="L83" s="413">
        <f>AVERAGEA(J82:J83)</f>
        <v>309</v>
      </c>
      <c r="N83" s="445">
        <f>(L83/L76-1)*100</f>
        <v>26.639344262295083</v>
      </c>
      <c r="P83" s="306">
        <f>(H83/N83)*100</f>
        <v>82.305508766296882</v>
      </c>
      <c r="S83" s="413">
        <f>INDEX('qtrP&amp;L'!$12:$12,MATCH($A80,'qtrP&amp;L'!$6:$6,0))</f>
        <v>1445</v>
      </c>
      <c r="U83" s="413">
        <f>S83-AP83</f>
        <v>1445</v>
      </c>
      <c r="W83" s="823">
        <f>IF(ISERROR(U83/L83),"NA",U83/L83)</f>
        <v>4.6763754045307442</v>
      </c>
      <c r="Y83" s="761">
        <f>IF(ISERROR(W83/W76),"NA",(W83/W76-1)*100)</f>
        <v>3.760693902362644</v>
      </c>
      <c r="AA83" s="686">
        <f>INDEX(stores!D:D,MATCH(C83,stores!C:C,0))</f>
        <v>27746</v>
      </c>
      <c r="AC83" s="413">
        <f>AVERAGEA(AA82:AA83)</f>
        <v>26745</v>
      </c>
      <c r="AE83" s="445">
        <f>(AC83/AC76-1)*100</f>
        <v>29.663297214748006</v>
      </c>
      <c r="AG83" s="306">
        <f>(H83/AE83)*100</f>
        <v>73.915073123382527</v>
      </c>
      <c r="AJ83" s="413">
        <f>U83</f>
        <v>1445</v>
      </c>
      <c r="AL83" s="415">
        <f>IF(ISERROR(AJ83/AC83),"NA",AJ83/AC83*100)</f>
        <v>5.4028790428117404</v>
      </c>
      <c r="AN83" s="765">
        <f>(AL83/AL76-1)*100</f>
        <v>1.3408305839483603</v>
      </c>
      <c r="AP83" s="824"/>
      <c r="AQ83" s="479"/>
    </row>
    <row r="84" spans="1:43" ht="10.5" customHeight="1" outlineLevel="1" x14ac:dyDescent="0.2">
      <c r="A84" s="303" t="s">
        <v>66</v>
      </c>
      <c r="B84" s="303">
        <f t="shared" si="9"/>
        <v>40</v>
      </c>
      <c r="C84" s="303">
        <f t="shared" si="9"/>
        <v>140</v>
      </c>
      <c r="D84" s="834">
        <f>INDEX('qtrP&amp;L'!$13:$13,MATCH($A80,'qtrP&amp;L'!$6:$6,0)+1)</f>
        <v>38.29548989113529</v>
      </c>
      <c r="F84" s="834">
        <f>INDEX('qtrP&amp;L'!$13:$13,MATCH($A80,'qtrP&amp;L'!$6:$6,0)+2)</f>
        <v>12.420237506185055</v>
      </c>
      <c r="H84" s="828">
        <f>D84-F84</f>
        <v>25.875252384950237</v>
      </c>
      <c r="J84" s="686">
        <f>INDEX(stores!D:D,MATCH(B84,stores!C:C,0))</f>
        <v>320</v>
      </c>
      <c r="L84" s="491">
        <f>AVERAGEA(J83:J84)</f>
        <v>320</v>
      </c>
      <c r="N84" s="828">
        <f>(L84/L77-1)*100</f>
        <v>24.031007751937985</v>
      </c>
      <c r="P84" s="829">
        <f>(H84/N84)*100</f>
        <v>107.67443734382518</v>
      </c>
      <c r="S84" s="491">
        <f>INDEX('qtrP&amp;L'!$13:$13,MATCH($A80,'qtrP&amp;L'!$6:$6,0))</f>
        <v>2223.1</v>
      </c>
      <c r="U84" s="491">
        <f>S84-AP84</f>
        <v>2223.1</v>
      </c>
      <c r="W84" s="831">
        <f>IF(ISERROR(U84/L84),"NA",U84/L84)</f>
        <v>6.9471875000000001</v>
      </c>
      <c r="Y84" s="830">
        <f>IF(ISERROR(W84/W77),"NA",(W84/W77-1)*100)</f>
        <v>11.500738724727832</v>
      </c>
      <c r="AA84" s="686">
        <f>INDEX(stores!D:D,MATCH(C84,stores!C:C,0))</f>
        <v>27763</v>
      </c>
      <c r="AC84" s="491">
        <f>AVERAGEA(AA83:AA84)</f>
        <v>27754.5</v>
      </c>
      <c r="AE84" s="828">
        <f>(AC84/AC77-1)*100</f>
        <v>26.608580617202282</v>
      </c>
      <c r="AG84" s="829">
        <f>(H84/AE84)*100</f>
        <v>97.244015970630343</v>
      </c>
      <c r="AJ84" s="491">
        <f>U84</f>
        <v>2223.1</v>
      </c>
      <c r="AL84" s="835">
        <f>IF(ISERROR(AJ84/AC84),"NA",AJ84/AC84*100)</f>
        <v>8.0098722729647438</v>
      </c>
      <c r="AN84" s="836">
        <f>(AL84/AL77-1)*100</f>
        <v>9.2307402997179544</v>
      </c>
      <c r="AP84" s="832"/>
      <c r="AQ84" s="572"/>
    </row>
    <row r="85" spans="1:43" ht="10.5" customHeight="1" outlineLevel="1" x14ac:dyDescent="0.2">
      <c r="A85" s="573" t="s">
        <v>67</v>
      </c>
      <c r="B85" s="573"/>
      <c r="C85" s="573"/>
      <c r="D85" s="477">
        <f>INDEX('qtrP&amp;L'!$14:$14,MATCH($A80,'qtrP&amp;L'!$6:$6,0)+1)</f>
        <v>35.006078587134496</v>
      </c>
      <c r="F85" s="477">
        <f>INDEX('qtrP&amp;L'!$14:$14,MATCH($A80,'qtrP&amp;L'!$6:$6,0)+2)</f>
        <v>9.5515620428464612</v>
      </c>
      <c r="H85" s="445">
        <f>D85-F85</f>
        <v>25.454516544288033</v>
      </c>
      <c r="J85" s="685"/>
      <c r="L85" s="413">
        <f>AVERAGEA(L81:L84)</f>
        <v>301.375</v>
      </c>
      <c r="N85" s="445">
        <f>(L85/L78-1)*100</f>
        <v>26.89473684210526</v>
      </c>
      <c r="P85" s="306">
        <f>(H85/N85)*100</f>
        <v>94.644973452342995</v>
      </c>
      <c r="S85" s="319">
        <f>INDEX('qtrP&amp;L'!$14:$14,MATCH($A80,'qtrP&amp;L'!$6:$6,0))</f>
        <v>6152.2000000000007</v>
      </c>
      <c r="U85" s="319">
        <f>S85-AP85</f>
        <v>6152.2000000000007</v>
      </c>
      <c r="W85" s="821">
        <f>IF(ISERROR(U85/L85),"NA",U85/L85)</f>
        <v>20.4137702198258</v>
      </c>
      <c r="Y85" s="761">
        <f>IF(ISERROR(W85/W78),"NA",(W85/W78-1)*100)</f>
        <v>6.3921813834738828</v>
      </c>
      <c r="AA85" s="815"/>
      <c r="AC85" s="413">
        <f>AVERAGEA(AC81:AC84)</f>
        <v>26019.25</v>
      </c>
      <c r="AE85" s="445">
        <f>(AC85/AC78-1)*100</f>
        <v>29.974480158901141</v>
      </c>
      <c r="AG85" s="306">
        <f>(H85/AE85)*100</f>
        <v>84.92062717801339</v>
      </c>
      <c r="AJ85" s="319">
        <f>SUM(AJ81:AJ84)</f>
        <v>6152.2000000000007</v>
      </c>
      <c r="AL85" s="833">
        <f>IF(ISERROR(AJ85/AC85),"NA",AJ85/AC85*100)</f>
        <v>23.644801445083932</v>
      </c>
      <c r="AN85" s="765">
        <f>(AL85/AL78-1)*100</f>
        <v>3.8712202749970226</v>
      </c>
      <c r="AP85" s="489"/>
      <c r="AQ85" s="489"/>
    </row>
    <row r="86" spans="1:43" ht="10.5" customHeight="1" outlineLevel="1" x14ac:dyDescent="0.2">
      <c r="J86" s="685"/>
      <c r="L86" s="813"/>
      <c r="P86" s="306"/>
      <c r="Y86" s="765"/>
      <c r="AA86" s="815"/>
      <c r="AC86" s="813"/>
      <c r="AG86" s="306"/>
      <c r="AN86" s="765"/>
    </row>
    <row r="87" spans="1:43" ht="10.5" customHeight="1" outlineLevel="1" x14ac:dyDescent="0.2">
      <c r="A87" s="812">
        <v>2001</v>
      </c>
      <c r="B87" s="812"/>
      <c r="C87" s="812"/>
      <c r="J87" s="685"/>
      <c r="AA87" s="815"/>
    </row>
    <row r="88" spans="1:43" ht="10.5" customHeight="1" outlineLevel="1" x14ac:dyDescent="0.2">
      <c r="A88" s="303" t="s">
        <v>63</v>
      </c>
      <c r="B88" s="303">
        <f>B84+1</f>
        <v>41</v>
      </c>
      <c r="C88" s="303">
        <f>C84+1</f>
        <v>141</v>
      </c>
      <c r="D88" s="477">
        <f>INDEX('qtrP&amp;L'!$10:$10,MATCH($A87,'qtrP&amp;L'!$6:$6,0)+1)</f>
        <v>21.128021486123536</v>
      </c>
      <c r="F88" s="477">
        <f>INDEX('qtrP&amp;L'!$10:$10,MATCH($A87,'qtrP&amp;L'!$6:$6,0)+2)</f>
        <v>5.3</v>
      </c>
      <c r="G88" s="303" t="s">
        <v>102</v>
      </c>
      <c r="H88" s="445">
        <f>D88-F88</f>
        <v>15.828021486123536</v>
      </c>
      <c r="I88" s="303" t="s">
        <v>102</v>
      </c>
      <c r="J88" s="686">
        <f>INDEX(stores!D:D,MATCH(B88,stores!C:C,0))</f>
        <v>354</v>
      </c>
      <c r="L88" s="413">
        <f>AVERAGEA(J88,J84)</f>
        <v>337</v>
      </c>
      <c r="N88" s="445">
        <f>(L88/L81-1)*100</f>
        <v>21.005385996409331</v>
      </c>
      <c r="O88" s="303" t="s">
        <v>102</v>
      </c>
      <c r="P88" s="306">
        <f>(H88/N88)*100</f>
        <v>75.352204852741977</v>
      </c>
      <c r="Q88" s="303" t="s">
        <v>102</v>
      </c>
      <c r="S88" s="319">
        <f>INDEX('qtrP&amp;L'!$10:$10,MATCH($A87,'qtrP&amp;L'!$6:$6,0))</f>
        <v>1488.3</v>
      </c>
      <c r="U88" s="319">
        <f>S88-AP88</f>
        <v>1488.3</v>
      </c>
      <c r="W88" s="821">
        <f>IF(ISERROR(U88/L88),"NA",U88/L88)</f>
        <v>4.4163204747774483</v>
      </c>
      <c r="Y88" s="761">
        <f>IF(ISERROR(W88/W81),"NA",(W88/W81-1)*100)</f>
        <v>0.10134713319112088</v>
      </c>
      <c r="Z88" s="303" t="s">
        <v>102</v>
      </c>
      <c r="AA88" s="686">
        <f>INDEX(stores!D:D,MATCH(C88,stores!C:C,0))</f>
        <v>30902</v>
      </c>
      <c r="AC88" s="413">
        <f>AVERAGEA(AA88,AA84)</f>
        <v>29332.5</v>
      </c>
      <c r="AE88" s="445">
        <f>(AC88/AC81-1)*100</f>
        <v>23.020949105626265</v>
      </c>
      <c r="AF88" s="303" t="s">
        <v>102</v>
      </c>
      <c r="AG88" s="306">
        <f>(H88/AE88)*100</f>
        <v>68.754860685805539</v>
      </c>
      <c r="AH88" s="303" t="s">
        <v>102</v>
      </c>
      <c r="AJ88" s="319">
        <f>U88</f>
        <v>1488.3</v>
      </c>
      <c r="AL88" s="833">
        <f>IF(ISERROR(AJ88/AC88),"NA",AJ88/AC88*100)</f>
        <v>5.0738941447200201</v>
      </c>
      <c r="AN88" s="765">
        <f>(AL88/AL74-1)*100</f>
        <v>2.3861450616882163</v>
      </c>
      <c r="AO88" s="303" t="s">
        <v>102</v>
      </c>
      <c r="AP88" s="822"/>
      <c r="AQ88" s="489"/>
    </row>
    <row r="89" spans="1:43" ht="10.5" customHeight="1" outlineLevel="1" x14ac:dyDescent="0.2">
      <c r="A89" s="303" t="s">
        <v>64</v>
      </c>
      <c r="B89" s="303">
        <f t="shared" ref="B89:C91" si="10">B88+1</f>
        <v>42</v>
      </c>
      <c r="C89" s="303">
        <f t="shared" si="10"/>
        <v>142</v>
      </c>
      <c r="D89" s="477">
        <f>INDEX('qtrP&amp;L'!$11:$11,MATCH($A87,'qtrP&amp;L'!$6:$6,0)+1)</f>
        <v>20.742392862832549</v>
      </c>
      <c r="F89" s="477">
        <f>INDEX('qtrP&amp;L'!$11:$11,MATCH($A87,'qtrP&amp;L'!$6:$6,0)+2)</f>
        <v>5.4</v>
      </c>
      <c r="H89" s="445">
        <f>D89-F89</f>
        <v>15.342392862832549</v>
      </c>
      <c r="J89" s="686">
        <f>INDEX(stores!D:D,MATCH(B89,stores!C:C,0))</f>
        <v>354</v>
      </c>
      <c r="L89" s="413">
        <f>AVERAGEA(J88:J89)</f>
        <v>354</v>
      </c>
      <c r="N89" s="445">
        <f>(L89/L82-1)*100</f>
        <v>18.791946308724828</v>
      </c>
      <c r="P89" s="306">
        <f>(H89/N89)*100</f>
        <v>81.643447734358944</v>
      </c>
      <c r="S89" s="413">
        <f>INDEX('qtrP&amp;L'!$11:$11,MATCH($A87,'qtrP&amp;L'!$6:$6,0))</f>
        <v>1515.8</v>
      </c>
      <c r="U89" s="413">
        <f>S89-AP89</f>
        <v>1515.8</v>
      </c>
      <c r="W89" s="823">
        <f>IF(ISERROR(U89/L89),"NA",U89/L89)</f>
        <v>4.2819209039548021</v>
      </c>
      <c r="Y89" s="761">
        <f>IF(ISERROR(W89/W82),"NA",(W89/W82-1)*100)</f>
        <v>1.6419013365087665</v>
      </c>
      <c r="AA89" s="686">
        <f>INDEX(stores!D:D,MATCH(C89,stores!C:C,0))</f>
        <v>30902</v>
      </c>
      <c r="AC89" s="413">
        <f>AVERAGEA(AA88:AA89)</f>
        <v>30902</v>
      </c>
      <c r="AE89" s="445">
        <f>(AC89/AC82-1)*100</f>
        <v>20.082381285458915</v>
      </c>
      <c r="AG89" s="306">
        <f>(H89/AE89)*100</f>
        <v>76.397279011635646</v>
      </c>
      <c r="AJ89" s="413">
        <f>U89</f>
        <v>1515.8</v>
      </c>
      <c r="AL89" s="415">
        <f>IF(ISERROR(AJ89/AC89),"NA",AJ89/AC89*100)</f>
        <v>4.9051841304769912</v>
      </c>
      <c r="AN89" s="765">
        <f>(AL89/AL75-1)*100</f>
        <v>2.5032008172631848E-2</v>
      </c>
      <c r="AP89" s="824"/>
      <c r="AQ89" s="479"/>
    </row>
    <row r="90" spans="1:43" ht="10.5" customHeight="1" outlineLevel="1" x14ac:dyDescent="0.2">
      <c r="A90" s="303" t="s">
        <v>65</v>
      </c>
      <c r="B90" s="303">
        <f t="shared" si="10"/>
        <v>43</v>
      </c>
      <c r="C90" s="303">
        <f t="shared" si="10"/>
        <v>143</v>
      </c>
      <c r="D90" s="477">
        <f>INDEX('qtrP&amp;L'!$12:$12,MATCH($A87,'qtrP&amp;L'!$6:$6,0)+1)</f>
        <v>21.823252595155719</v>
      </c>
      <c r="F90" s="477">
        <f>INDEX('qtrP&amp;L'!$12:$12,MATCH($A87,'qtrP&amp;L'!$6:$6,0)+2)</f>
        <v>7.1</v>
      </c>
      <c r="H90" s="445">
        <f>D90-F90</f>
        <v>14.723252595155719</v>
      </c>
      <c r="J90" s="686">
        <f>INDEX(stores!D:D,MATCH(B90,stores!C:C,0))</f>
        <v>382</v>
      </c>
      <c r="L90" s="413">
        <f>AVERAGEA(J89:J90)</f>
        <v>368</v>
      </c>
      <c r="N90" s="445">
        <f>(L90/L83-1)*100</f>
        <v>19.09385113268609</v>
      </c>
      <c r="P90" s="306">
        <f>(H90/N90)*100</f>
        <v>77.109916133951117</v>
      </c>
      <c r="S90" s="413">
        <f>INDEX('qtrP&amp;L'!$12:$12,MATCH($A87,'qtrP&amp;L'!$6:$6,0))</f>
        <v>1760.346</v>
      </c>
      <c r="U90" s="413">
        <f>S90-AP90</f>
        <v>1760.346</v>
      </c>
      <c r="W90" s="823">
        <f>IF(ISERROR(U90/L90),"NA",U90/L90)</f>
        <v>4.7835489130434778</v>
      </c>
      <c r="Y90" s="761">
        <f>IF(ISERROR(W90/W83),"NA",(W90/W83-1)*100)</f>
        <v>2.291807206258456</v>
      </c>
      <c r="AA90" s="686">
        <f>INDEX(stores!D:D,MATCH(C90,stores!C:C,0))</f>
        <v>33458</v>
      </c>
      <c r="AC90" s="413">
        <f>AVERAGEA(AA89:AA90)</f>
        <v>32180</v>
      </c>
      <c r="AE90" s="445">
        <f>(AC90/AC83-1)*100</f>
        <v>20.321555430921666</v>
      </c>
      <c r="AG90" s="306">
        <f>(H90/AE90)*100</f>
        <v>72.451405824735915</v>
      </c>
      <c r="AJ90" s="413">
        <f>U90</f>
        <v>1760.346</v>
      </c>
      <c r="AL90" s="415">
        <f>IF(ISERROR(AJ90/AC90),"NA",AJ90/AC90*100)</f>
        <v>5.4703107520198886</v>
      </c>
      <c r="AN90" s="765">
        <f>(AL90/AL76-1)*100</f>
        <v>2.6056350270426076</v>
      </c>
      <c r="AP90" s="824"/>
      <c r="AQ90" s="479"/>
    </row>
    <row r="91" spans="1:43" ht="10.5" customHeight="1" outlineLevel="1" x14ac:dyDescent="0.2">
      <c r="A91" s="303" t="s">
        <v>66</v>
      </c>
      <c r="B91" s="303">
        <f t="shared" si="10"/>
        <v>44</v>
      </c>
      <c r="C91" s="303">
        <f t="shared" si="10"/>
        <v>144</v>
      </c>
      <c r="D91" s="834">
        <f>INDEX('qtrP&amp;L'!$13:$13,MATCH($A87,'qtrP&amp;L'!$6:$6,0)+1)</f>
        <v>22.540596464396568</v>
      </c>
      <c r="F91" s="834">
        <f>INDEX('qtrP&amp;L'!$13:$13,MATCH($A87,'qtrP&amp;L'!$6:$6,0)+2)</f>
        <v>10.1</v>
      </c>
      <c r="H91" s="828">
        <f>D91-F91</f>
        <v>12.440596464396569</v>
      </c>
      <c r="J91" s="686">
        <f>INDEX(stores!D:D,MATCH(B91,stores!C:C,0))</f>
        <v>382</v>
      </c>
      <c r="L91" s="491">
        <f>AVERAGEA(J90:J91)</f>
        <v>382</v>
      </c>
      <c r="N91" s="828">
        <f>(L91/L84-1)*100</f>
        <v>19.375000000000007</v>
      </c>
      <c r="P91" s="829">
        <f>(H91/N91)*100</f>
        <v>64.20953013882098</v>
      </c>
      <c r="S91" s="491">
        <f>INDEX('qtrP&amp;L'!$13:$13,MATCH($A87,'qtrP&amp;L'!$6:$6,0))</f>
        <v>2724.2</v>
      </c>
      <c r="U91" s="491">
        <f>S91-AP91</f>
        <v>2724.2</v>
      </c>
      <c r="W91" s="831">
        <f>IF(ISERROR(U91/L91),"NA",U91/L91)</f>
        <v>7.1314136125654448</v>
      </c>
      <c r="Y91" s="830">
        <f>IF(ISERROR(W91/W84),"NA",(W91/W84-1)*100)</f>
        <v>2.6518085565625515</v>
      </c>
      <c r="AA91" s="686">
        <f>INDEX(stores!D:D,MATCH(C91,stores!C:C,0))</f>
        <v>33548</v>
      </c>
      <c r="AC91" s="491">
        <f>AVERAGEA(AA90:AA91)</f>
        <v>33503</v>
      </c>
      <c r="AE91" s="828">
        <f>(AC91/AC84-1)*100</f>
        <v>20.711956619647264</v>
      </c>
      <c r="AG91" s="829">
        <f>(H91/AE91)*100</f>
        <v>60.06480552684954</v>
      </c>
      <c r="AJ91" s="491">
        <f>U91</f>
        <v>2724.2</v>
      </c>
      <c r="AL91" s="835">
        <f>IF(ISERROR(AJ91/AC91),"NA",AJ91/AC91*100)</f>
        <v>8.1312121302569906</v>
      </c>
      <c r="AN91" s="836">
        <f>(AL91/AL77-1)*100</f>
        <v>10.885453631992913</v>
      </c>
      <c r="AP91" s="832"/>
      <c r="AQ91" s="572"/>
    </row>
    <row r="92" spans="1:43" ht="10.5" customHeight="1" outlineLevel="1" x14ac:dyDescent="0.2">
      <c r="A92" s="573" t="s">
        <v>67</v>
      </c>
      <c r="B92" s="573"/>
      <c r="C92" s="573"/>
      <c r="D92" s="477">
        <f>INDEX('qtrP&amp;L'!$14:$14,MATCH($A87,'qtrP&amp;L'!$6:$6,0)+1)</f>
        <v>21.723058418126829</v>
      </c>
      <c r="F92" s="477">
        <f>INDEX('qtrP&amp;L'!$14:$14,MATCH($A87,'qtrP&amp;L'!$6:$6,0)+2)</f>
        <v>6.8</v>
      </c>
      <c r="H92" s="445">
        <f>D92-F92</f>
        <v>14.923058418126828</v>
      </c>
      <c r="J92" s="685"/>
      <c r="L92" s="413">
        <f>AVERAGEA(L88:L91)</f>
        <v>360.25</v>
      </c>
      <c r="N92" s="445">
        <f>(L92/L85-1)*100</f>
        <v>19.535462463708008</v>
      </c>
      <c r="P92" s="306">
        <f>(H92/N92)*100</f>
        <v>76.38958353737533</v>
      </c>
      <c r="S92" s="319">
        <f>INDEX('qtrP&amp;L'!$14:$14,MATCH($A87,'qtrP&amp;L'!$6:$6,0))</f>
        <v>7488.6459999999997</v>
      </c>
      <c r="U92" s="319">
        <f>S92-AP92</f>
        <v>7488.6459999999997</v>
      </c>
      <c r="W92" s="821">
        <f>IF(ISERROR(U92/L92),"NA",U92/L92)</f>
        <v>20.787358778625954</v>
      </c>
      <c r="Y92" s="761">
        <f>IF(ISERROR(W92/W85),"NA",(W92/W85-1)*100)</f>
        <v>1.8300811402164552</v>
      </c>
      <c r="AA92" s="815"/>
      <c r="AC92" s="413">
        <f>AVERAGEA(AC88:AC91)</f>
        <v>31479.375</v>
      </c>
      <c r="AE92" s="445">
        <f>(AC92/AC85-1)*100</f>
        <v>20.984943839657166</v>
      </c>
      <c r="AG92" s="306">
        <f>(H92/AE92)*100</f>
        <v>71.113168241724622</v>
      </c>
      <c r="AJ92" s="319">
        <f>SUM(AJ88:AJ91)</f>
        <v>7488.6459999999997</v>
      </c>
      <c r="AL92" s="833">
        <f>IF(ISERROR(AJ92/AC92),"NA",AJ92/AC92*100)</f>
        <v>23.78905553239224</v>
      </c>
      <c r="AN92" s="765">
        <f>(AL92/AL78-1)*100</f>
        <v>4.504926086110328</v>
      </c>
      <c r="AP92" s="489"/>
      <c r="AQ92" s="489"/>
    </row>
    <row r="93" spans="1:43" ht="10.5" customHeight="1" outlineLevel="1" x14ac:dyDescent="0.2">
      <c r="A93" s="573"/>
      <c r="B93" s="573"/>
      <c r="C93" s="573"/>
      <c r="D93" s="477"/>
      <c r="F93" s="477"/>
      <c r="J93" s="685"/>
      <c r="L93" s="813"/>
      <c r="P93" s="306"/>
      <c r="S93" s="489"/>
      <c r="W93" s="489"/>
      <c r="Y93" s="765"/>
      <c r="AA93" s="815"/>
      <c r="AC93" s="813"/>
      <c r="AG93" s="306"/>
      <c r="AL93" s="489"/>
      <c r="AN93" s="765"/>
      <c r="AP93" s="489"/>
      <c r="AQ93" s="489"/>
    </row>
    <row r="94" spans="1:43" ht="10.5" customHeight="1" outlineLevel="1" x14ac:dyDescent="0.2">
      <c r="A94" s="812">
        <v>2002</v>
      </c>
      <c r="B94" s="812"/>
      <c r="C94" s="812"/>
      <c r="J94" s="685"/>
      <c r="AA94" s="815"/>
    </row>
    <row r="95" spans="1:43" ht="10.5" customHeight="1" outlineLevel="1" x14ac:dyDescent="0.2">
      <c r="A95" s="303" t="s">
        <v>63</v>
      </c>
      <c r="B95" s="303">
        <f>B91+1</f>
        <v>45</v>
      </c>
      <c r="C95" s="303">
        <f>C91+1</f>
        <v>145</v>
      </c>
      <c r="D95" s="477">
        <f>INDEX('qtrP&amp;L'!$10:$10,MATCH($A94,'qtrP&amp;L'!$6:$6,0)+1)</f>
        <v>25.680306389840759</v>
      </c>
      <c r="F95" s="477">
        <f>INDEX('qtrP&amp;L'!$10:$10,MATCH($A94,'qtrP&amp;L'!$6:$6,0)+2)</f>
        <v>9.1</v>
      </c>
      <c r="G95" s="303" t="s">
        <v>102</v>
      </c>
      <c r="H95" s="445">
        <f>D95-F95</f>
        <v>16.580306389840757</v>
      </c>
      <c r="I95" s="303" t="s">
        <v>102</v>
      </c>
      <c r="J95" s="686">
        <f>INDEX(stores!D:D,MATCH(B95,stores!C:C,0))</f>
        <v>420</v>
      </c>
      <c r="L95" s="413">
        <f>AVERAGEA(J95,J91)</f>
        <v>401</v>
      </c>
      <c r="N95" s="445">
        <f>(L95/L88-1)*100</f>
        <v>18.991097922848653</v>
      </c>
      <c r="O95" s="303" t="s">
        <v>102</v>
      </c>
      <c r="P95" s="306">
        <f>(H95/N95)*100</f>
        <v>87.305675834005285</v>
      </c>
      <c r="Q95" s="303" t="s">
        <v>102</v>
      </c>
      <c r="S95" s="319">
        <f>INDEX('qtrP&amp;L'!$10:$10,MATCH($A94,'qtrP&amp;L'!$6:$6,0))</f>
        <v>1870.5</v>
      </c>
      <c r="U95" s="319">
        <f>S95-AP95</f>
        <v>1870.5</v>
      </c>
      <c r="W95" s="821">
        <f>IF(ISERROR(U95/L95),"NA",U95/L95)</f>
        <v>4.664588528678304</v>
      </c>
      <c r="Y95" s="761">
        <f>IF(ISERROR(W95/W88),"NA",(W95/W88-1)*100)</f>
        <v>5.621604123132995</v>
      </c>
      <c r="Z95" s="303" t="s">
        <v>102</v>
      </c>
      <c r="AA95" s="686">
        <f>INDEX(stores!D:D,MATCH(C95,stores!C:C,0))</f>
        <v>37042</v>
      </c>
      <c r="AC95" s="413">
        <f>AVERAGEA(AA95,AA91)</f>
        <v>35295</v>
      </c>
      <c r="AE95" s="445">
        <f>(AC95/AC88-1)*100</f>
        <v>20.327282025057535</v>
      </c>
      <c r="AF95" s="303" t="s">
        <v>102</v>
      </c>
      <c r="AG95" s="306">
        <f>(H95/AE95)*100</f>
        <v>81.566765145493321</v>
      </c>
      <c r="AH95" s="303" t="s">
        <v>102</v>
      </c>
      <c r="AJ95" s="319">
        <f>U95</f>
        <v>1870.5</v>
      </c>
      <c r="AL95" s="833">
        <f>IF(ISERROR(AJ95/AC95),"NA",AJ95/AC95*100)</f>
        <v>5.2996175095622604</v>
      </c>
      <c r="AN95" s="765">
        <f>(AL95/AL88-1)*100</f>
        <v>4.4487204187563023</v>
      </c>
      <c r="AO95" s="303" t="s">
        <v>102</v>
      </c>
      <c r="AP95" s="822"/>
      <c r="AQ95" s="489"/>
    </row>
    <row r="96" spans="1:43" ht="10.5" customHeight="1" outlineLevel="1" x14ac:dyDescent="0.2">
      <c r="A96" s="303" t="s">
        <v>64</v>
      </c>
      <c r="B96" s="303">
        <f t="shared" ref="B96:C98" si="11">B95+1</f>
        <v>46</v>
      </c>
      <c r="C96" s="303">
        <f t="shared" si="11"/>
        <v>146</v>
      </c>
      <c r="D96" s="477">
        <f>INDEX('qtrP&amp;L'!$11:$11,MATCH($A94,'qtrP&amp;L'!$6:$6,0)+1)</f>
        <v>26.791133394906996</v>
      </c>
      <c r="F96" s="477">
        <f>INDEX('qtrP&amp;L'!$11:$11,MATCH($A94,'qtrP&amp;L'!$6:$6,0)+2)</f>
        <v>10.6</v>
      </c>
      <c r="H96" s="445">
        <f>D96-F96</f>
        <v>16.191133394906998</v>
      </c>
      <c r="J96" s="686">
        <f>INDEX(stores!D:D,MATCH(B96,stores!C:C,0))</f>
        <v>420</v>
      </c>
      <c r="L96" s="413">
        <f>AVERAGEA(J95:J96)</f>
        <v>420</v>
      </c>
      <c r="N96" s="445">
        <f>(L96/L89-1)*100</f>
        <v>18.644067796610166</v>
      </c>
      <c r="P96" s="306">
        <f>(H96/N96)*100</f>
        <v>86.843351845410282</v>
      </c>
      <c r="S96" s="413">
        <f>INDEX('qtrP&amp;L'!$11:$11,MATCH($A94,'qtrP&amp;L'!$6:$6,0))</f>
        <v>1921.9</v>
      </c>
      <c r="U96" s="413">
        <f>S96-AP96</f>
        <v>1921.9</v>
      </c>
      <c r="W96" s="823">
        <f>IF(ISERROR(U96/L96),"NA",U96/L96)</f>
        <v>4.5759523809523808</v>
      </c>
      <c r="Y96" s="761">
        <f>IF(ISERROR(W96/W89),"NA",(W96/W89-1)*100)</f>
        <v>6.8668124328501667</v>
      </c>
      <c r="AA96" s="686">
        <f>INDEX(stores!D:D,MATCH(C96,stores!C:C,0))</f>
        <v>37054</v>
      </c>
      <c r="AC96" s="413">
        <f>AVERAGEA(AA95:AA96)</f>
        <v>37048</v>
      </c>
      <c r="AE96" s="445">
        <f>(AC96/AC89-1)*100</f>
        <v>19.888680344314281</v>
      </c>
      <c r="AG96" s="306">
        <f>(H96/AE96)*100</f>
        <v>81.408786880803135</v>
      </c>
      <c r="AJ96" s="413">
        <f>U96</f>
        <v>1921.9</v>
      </c>
      <c r="AL96" s="415">
        <f>IF(ISERROR(AJ96/AC96),"NA",AJ96/AC96*100)</f>
        <v>5.1875944720362774</v>
      </c>
      <c r="AN96" s="765">
        <f>(AL96/AL89-1)*100</f>
        <v>5.757385126576775</v>
      </c>
      <c r="AP96" s="824"/>
      <c r="AQ96" s="479"/>
    </row>
    <row r="97" spans="1:43" ht="10.5" customHeight="1" outlineLevel="1" x14ac:dyDescent="0.2">
      <c r="A97" s="303" t="s">
        <v>65</v>
      </c>
      <c r="B97" s="303">
        <f t="shared" si="11"/>
        <v>47</v>
      </c>
      <c r="C97" s="303">
        <f t="shared" si="11"/>
        <v>147</v>
      </c>
      <c r="D97" s="477">
        <f>INDEX('qtrP&amp;L'!$12:$12,MATCH($A94,'qtrP&amp;L'!$6:$6,0)+1)</f>
        <v>21.760153969730965</v>
      </c>
      <c r="F97" s="477">
        <f>INDEX('qtrP&amp;L'!$12:$12,MATCH($A94,'qtrP&amp;L'!$6:$6,0)+2)</f>
        <v>5.9</v>
      </c>
      <c r="H97" s="445">
        <f>D97-F97</f>
        <v>15.860153969730964</v>
      </c>
      <c r="J97" s="686">
        <f>INDEX(stores!D:D,MATCH(B97,stores!C:C,0))</f>
        <v>457</v>
      </c>
      <c r="L97" s="413">
        <f>AVERAGEA(J96:J97)</f>
        <v>438.5</v>
      </c>
      <c r="N97" s="445">
        <f>(L97/L90-1)*100</f>
        <v>19.157608695652172</v>
      </c>
      <c r="P97" s="306">
        <f>(H97/N97)*100</f>
        <v>82.787754054765898</v>
      </c>
      <c r="S97" s="413">
        <f>INDEX('qtrP&amp;L'!$12:$12,MATCH($A94,'qtrP&amp;L'!$6:$6,0))</f>
        <v>2143.4</v>
      </c>
      <c r="U97" s="413">
        <f>S97-AP97</f>
        <v>2143.4</v>
      </c>
      <c r="W97" s="823">
        <f>IF(ISERROR(U97/L97),"NA",U97/L97)</f>
        <v>4.8880273660205251</v>
      </c>
      <c r="Y97" s="761">
        <f>IF(ISERROR(W97/W90),"NA",(W97/W90-1)*100)</f>
        <v>2.1841200931835836</v>
      </c>
      <c r="AA97" s="686">
        <f>INDEX(stores!D:D,MATCH(C97,stores!C:C,0))</f>
        <v>40557</v>
      </c>
      <c r="AC97" s="413">
        <f>AVERAGEA(AA96:AA97)</f>
        <v>38805.5</v>
      </c>
      <c r="AE97" s="445">
        <f>(AC97/AC90-1)*100</f>
        <v>20.588875077688009</v>
      </c>
      <c r="AG97" s="306">
        <f>(H97/AE97)*100</f>
        <v>77.032639762424324</v>
      </c>
      <c r="AJ97" s="413">
        <f>U97</f>
        <v>2143.4</v>
      </c>
      <c r="AL97" s="415">
        <f>IF(ISERROR(AJ97/AC97),"NA",AJ97/AC97*100)</f>
        <v>5.5234438417234673</v>
      </c>
      <c r="AN97" s="765">
        <f>(AL97/AL90-1)*100</f>
        <v>0.97129929380994628</v>
      </c>
      <c r="AP97" s="824"/>
      <c r="AQ97" s="479"/>
    </row>
    <row r="98" spans="1:43" ht="10.5" customHeight="1" outlineLevel="1" x14ac:dyDescent="0.2">
      <c r="A98" s="303" t="s">
        <v>66</v>
      </c>
      <c r="B98" s="303">
        <f t="shared" si="11"/>
        <v>48</v>
      </c>
      <c r="C98" s="303">
        <f t="shared" si="11"/>
        <v>148</v>
      </c>
      <c r="D98" s="834">
        <f>INDEX('qtrP&amp;L'!$13:$13,MATCH($A94,'qtrP&amp;L'!$6:$6,0)+1)</f>
        <v>16.893032816973808</v>
      </c>
      <c r="F98" s="834">
        <f>INDEX('qtrP&amp;L'!$13:$13,MATCH($A94,'qtrP&amp;L'!$6:$6,0)+2)</f>
        <v>1.2</v>
      </c>
      <c r="H98" s="828">
        <f>D98-F98</f>
        <v>15.693032816973808</v>
      </c>
      <c r="J98" s="686">
        <f>INDEX(stores!D:D,MATCH(B98,stores!C:C,0))</f>
        <v>457</v>
      </c>
      <c r="L98" s="491">
        <f>AVERAGEA(J97:J98)</f>
        <v>457</v>
      </c>
      <c r="N98" s="828">
        <f>(L98/L91-1)*100</f>
        <v>19.633507853403142</v>
      </c>
      <c r="P98" s="829">
        <f>(H98/N98)*100</f>
        <v>79.929847147786589</v>
      </c>
      <c r="S98" s="491">
        <f>INDEX('qtrP&amp;L'!$13:$13,MATCH($A94,'qtrP&amp;L'!$6:$6,0))</f>
        <v>3184.4</v>
      </c>
      <c r="U98" s="491">
        <f>S98-AP98</f>
        <v>3184.4</v>
      </c>
      <c r="W98" s="831">
        <f>IF(ISERROR(U98/L98),"NA",U98/L98)</f>
        <v>6.9680525164113787</v>
      </c>
      <c r="Y98" s="830">
        <f>IF(ISERROR(W98/W91),"NA",(W98/W91-1)*100)</f>
        <v>-2.2907253039737618</v>
      </c>
      <c r="AA98" s="686">
        <f>INDEX(stores!D:D,MATCH(C98,stores!C:C,0))</f>
        <v>40579</v>
      </c>
      <c r="AC98" s="491">
        <f>AVERAGEA(AA97:AA98)</f>
        <v>40568</v>
      </c>
      <c r="AE98" s="828">
        <f>(AC98/AC91-1)*100</f>
        <v>21.087663791302269</v>
      </c>
      <c r="AG98" s="829">
        <f>(H98/AE98)*100</f>
        <v>74.418071969861785</v>
      </c>
      <c r="AJ98" s="491">
        <f>U98</f>
        <v>3184.4</v>
      </c>
      <c r="AL98" s="835">
        <f>IF(ISERROR(AJ98/AC98),"NA",AJ98/AC98*100)</f>
        <v>7.8495365805561033</v>
      </c>
      <c r="AN98" s="836">
        <f>(AL98/AL91-1)*100</f>
        <v>-3.4641274288337187</v>
      </c>
      <c r="AP98" s="832"/>
      <c r="AQ98" s="572"/>
    </row>
    <row r="99" spans="1:43" ht="10.5" customHeight="1" outlineLevel="1" x14ac:dyDescent="0.2">
      <c r="A99" s="573" t="s">
        <v>67</v>
      </c>
      <c r="B99" s="573"/>
      <c r="C99" s="573"/>
      <c r="D99" s="477">
        <f>INDEX('qtrP&amp;L'!$14:$14,MATCH($A94,'qtrP&amp;L'!$6:$6,0)+1)</f>
        <v>21.787036000900571</v>
      </c>
      <c r="F99" s="477">
        <f>INDEX('qtrP&amp;L'!$14:$14,MATCH($A94,'qtrP&amp;L'!$6:$6,0)+2)</f>
        <v>5.9056288469869429</v>
      </c>
      <c r="H99" s="445">
        <f>D99-F99</f>
        <v>15.881407153913628</v>
      </c>
      <c r="J99" s="685"/>
      <c r="L99" s="413">
        <f>AVERAGEA(L95:L98)</f>
        <v>429.125</v>
      </c>
      <c r="N99" s="445">
        <f>(L99/L92-1)*100</f>
        <v>19.118667591950043</v>
      </c>
      <c r="P99" s="306">
        <f>(H99/N99)*100</f>
        <v>83.067541592702469</v>
      </c>
      <c r="S99" s="319">
        <f>INDEX('qtrP&amp;L'!$14:$14,MATCH($A94,'qtrP&amp;L'!$6:$6,0))</f>
        <v>9120.2000000000007</v>
      </c>
      <c r="U99" s="319">
        <f>S99-AP99</f>
        <v>9120.2000000000007</v>
      </c>
      <c r="W99" s="821">
        <f>IF(ISERROR(U99/L99),"NA",U99/L99)</f>
        <v>21.253014855811244</v>
      </c>
      <c r="Y99" s="761">
        <f>IF(ISERROR(W99/W92),"NA",(W99/W92-1)*100)</f>
        <v>2.2400925588684562</v>
      </c>
      <c r="AA99" s="815"/>
      <c r="AC99" s="413">
        <f>AVERAGEA(AC95:AC98)</f>
        <v>37929.125</v>
      </c>
      <c r="AE99" s="445">
        <f>(AC99/AC92-1)*100</f>
        <v>20.488812119046209</v>
      </c>
      <c r="AG99" s="306">
        <f>(H99/AE99)*100</f>
        <v>77.512581313342324</v>
      </c>
      <c r="AJ99" s="319">
        <f>SUM(AJ95:AJ98)</f>
        <v>9120.2000000000007</v>
      </c>
      <c r="AL99" s="833">
        <f>IF(ISERROR(AJ99/AC99),"NA",AJ99/AC99*100)</f>
        <v>24.045374102355382</v>
      </c>
      <c r="AN99" s="765">
        <f>(AL99/AL92-1)*100</f>
        <v>1.0774642549979729</v>
      </c>
      <c r="AP99" s="489"/>
      <c r="AQ99" s="489"/>
    </row>
    <row r="100" spans="1:43" ht="10.5" customHeight="1" outlineLevel="1" x14ac:dyDescent="0.2">
      <c r="J100" s="685"/>
      <c r="L100" s="813"/>
      <c r="P100" s="306"/>
      <c r="Y100" s="765"/>
      <c r="AA100" s="815"/>
      <c r="AC100" s="813"/>
      <c r="AG100" s="306"/>
      <c r="AN100" s="765"/>
    </row>
    <row r="101" spans="1:43" ht="10.5" customHeight="1" outlineLevel="1" x14ac:dyDescent="0.2">
      <c r="A101" s="812">
        <v>2003</v>
      </c>
      <c r="B101" s="812"/>
      <c r="C101" s="812"/>
      <c r="J101" s="685"/>
      <c r="L101" s="813"/>
      <c r="P101" s="306"/>
      <c r="S101" s="489"/>
      <c r="U101" s="489"/>
      <c r="Y101" s="765"/>
      <c r="AA101" s="815"/>
      <c r="AC101" s="813"/>
      <c r="AG101" s="306"/>
      <c r="AL101" s="489"/>
      <c r="AN101" s="765"/>
    </row>
    <row r="102" spans="1:43" ht="10.5" customHeight="1" outlineLevel="1" x14ac:dyDescent="0.2">
      <c r="A102" s="303" t="s">
        <v>63</v>
      </c>
      <c r="B102" s="303">
        <f>B98+1</f>
        <v>49</v>
      </c>
      <c r="C102" s="303">
        <f>C98+1</f>
        <v>149</v>
      </c>
      <c r="D102" s="477">
        <f>INDEX('qtrP&amp;L'!$10:$10,MATCH($A101,'qtrP&amp;L'!$6:$6,0)+1)</f>
        <v>13.21571772253407</v>
      </c>
      <c r="F102" s="477">
        <f>INDEX('qtrP&amp;L'!$10:$10,MATCH($A101,'qtrP&amp;L'!$6:$6,0)+2)</f>
        <v>-2.4</v>
      </c>
      <c r="G102" s="303" t="s">
        <v>102</v>
      </c>
      <c r="H102" s="445">
        <f>D102-F102</f>
        <v>15.61571772253407</v>
      </c>
      <c r="I102" s="303" t="s">
        <v>102</v>
      </c>
      <c r="J102" s="686">
        <f>INDEX(stores!D:D,MATCH(B102,stores!C:C,0))</f>
        <v>492</v>
      </c>
      <c r="K102" s="837">
        <f>J102-J98</f>
        <v>35</v>
      </c>
      <c r="L102" s="413">
        <f>AVERAGEA(J102,J98)</f>
        <v>474.5</v>
      </c>
      <c r="N102" s="445">
        <f>(L102/L95-1)*100</f>
        <v>18.329177057356617</v>
      </c>
      <c r="O102" s="303" t="s">
        <v>102</v>
      </c>
      <c r="P102" s="306">
        <f>(H102/N102)*100</f>
        <v>85.195956554233447</v>
      </c>
      <c r="Q102" s="303" t="s">
        <v>102</v>
      </c>
      <c r="S102" s="319">
        <f>INDEX('qtrP&amp;L'!$10:$10,MATCH($A101,'qtrP&amp;L'!$6:$6,0))</f>
        <v>2117.6999999999998</v>
      </c>
      <c r="U102" s="319">
        <f>S102-AP102</f>
        <v>2117.6999999999998</v>
      </c>
      <c r="W102" s="821">
        <f>IF(ISERROR(U102/L102),"NA",U102/L102)</f>
        <v>4.463013698630137</v>
      </c>
      <c r="Y102" s="761">
        <f>IF(ISERROR(W102/W95),"NA",(W102/W95-1)*100)</f>
        <v>-4.3213850226845762</v>
      </c>
      <c r="Z102" s="303" t="s">
        <v>102</v>
      </c>
      <c r="AA102" s="686">
        <f>INDEX(stores!D:D,MATCH(C102,stores!C:C,0))</f>
        <v>43604</v>
      </c>
      <c r="AC102" s="413">
        <f>AVERAGEA(AA102,AA98)</f>
        <v>42091.5</v>
      </c>
      <c r="AE102" s="445">
        <f>(AC102/AC95-1)*100</f>
        <v>19.256268593285174</v>
      </c>
      <c r="AF102" s="303" t="s">
        <v>102</v>
      </c>
      <c r="AG102" s="306">
        <f>(H102/AE102)*100</f>
        <v>81.094203930970323</v>
      </c>
      <c r="AH102" s="303" t="s">
        <v>102</v>
      </c>
      <c r="AJ102" s="319">
        <f>U102</f>
        <v>2117.6999999999998</v>
      </c>
      <c r="AL102" s="833">
        <f>IF(ISERROR(AJ102/AC102),"NA",AJ102/AC102*100)</f>
        <v>5.0311820676383592</v>
      </c>
      <c r="AN102" s="765">
        <f>(AL102/AL95-1)*100</f>
        <v>-5.0651852032633453</v>
      </c>
      <c r="AO102" s="303" t="s">
        <v>102</v>
      </c>
      <c r="AP102" s="822"/>
      <c r="AQ102" s="489"/>
    </row>
    <row r="103" spans="1:43" ht="10.5" customHeight="1" outlineLevel="1" x14ac:dyDescent="0.2">
      <c r="A103" s="303" t="s">
        <v>64</v>
      </c>
      <c r="B103" s="303">
        <f t="shared" ref="B103:C105" si="12">B102+1</f>
        <v>50</v>
      </c>
      <c r="C103" s="303">
        <f t="shared" si="12"/>
        <v>150</v>
      </c>
      <c r="D103" s="477">
        <f>INDEX('qtrP&amp;L'!$11:$11,MATCH($A101,'qtrP&amp;L'!$6:$6,0)+1)</f>
        <v>14.907123159373526</v>
      </c>
      <c r="F103" s="477">
        <f>INDEX('qtrP&amp;L'!$11:$11,MATCH($A101,'qtrP&amp;L'!$6:$6,0)+2)</f>
        <v>1.2562805651150155</v>
      </c>
      <c r="H103" s="445">
        <f>D103-F103</f>
        <v>13.65084259425851</v>
      </c>
      <c r="J103" s="686">
        <f>INDEX(stores!D:D,MATCH(B103,stores!C:C,0))</f>
        <v>492</v>
      </c>
      <c r="K103" s="837">
        <f>J103-J102</f>
        <v>0</v>
      </c>
      <c r="L103" s="413">
        <f>AVERAGEA(J102:J103)</f>
        <v>492</v>
      </c>
      <c r="N103" s="445">
        <f>(L103/L96-1)*100</f>
        <v>17.142857142857149</v>
      </c>
      <c r="P103" s="306">
        <f>(H103/N103)*100</f>
        <v>79.629915133174606</v>
      </c>
      <c r="S103" s="413">
        <f>INDEX('qtrP&amp;L'!$11:$11,MATCH($A101,'qtrP&amp;L'!$6:$6,0))</f>
        <v>2208.4</v>
      </c>
      <c r="U103" s="413">
        <f>S103-AP103</f>
        <v>2208.4</v>
      </c>
      <c r="W103" s="823">
        <f>IF(ISERROR(U103/L103),"NA",U103/L103)</f>
        <v>4.4886178861788624</v>
      </c>
      <c r="Y103" s="761">
        <f>IF(ISERROR(W103/W96),"NA",(W103/W96-1)*100)</f>
        <v>-1.9085534005347737</v>
      </c>
      <c r="AA103" s="686">
        <f>INDEX(stores!D:D,MATCH(C103,stores!C:C,0))</f>
        <v>43691</v>
      </c>
      <c r="AC103" s="413">
        <f>AVERAGEA(AA102:AA103)</f>
        <v>43647.5</v>
      </c>
      <c r="AE103" s="445">
        <f>(AC103/AC96-1)*100</f>
        <v>17.81337724033687</v>
      </c>
      <c r="AG103" s="306">
        <f>(H103/AE103)*100</f>
        <v>76.632535257532993</v>
      </c>
      <c r="AJ103" s="413">
        <f>U103</f>
        <v>2208.4</v>
      </c>
      <c r="AL103" s="415">
        <f>IF(ISERROR(AJ103/AC103),"NA",AJ103/AC103*100)</f>
        <v>5.0596254080989747</v>
      </c>
      <c r="AN103" s="765">
        <f>(AL103/AL96-1)*100</f>
        <v>-2.4668285970909976</v>
      </c>
      <c r="AP103" s="824"/>
      <c r="AQ103" s="479"/>
    </row>
    <row r="104" spans="1:43" ht="10.5" customHeight="1" outlineLevel="1" x14ac:dyDescent="0.2">
      <c r="A104" s="303" t="s">
        <v>65</v>
      </c>
      <c r="B104" s="303">
        <f t="shared" si="12"/>
        <v>51</v>
      </c>
      <c r="C104" s="303">
        <f t="shared" si="12"/>
        <v>151</v>
      </c>
      <c r="D104" s="477">
        <f>INDEX('qtrP&amp;L'!$12:$12,MATCH($A101,'qtrP&amp;L'!$6:$6,0)+1)</f>
        <v>11.691704768125399</v>
      </c>
      <c r="F104" s="477">
        <f>INDEX('qtrP&amp;L'!$12:$12,MATCH($A101,'qtrP&amp;L'!$6:$6,0)+2)</f>
        <v>-1.3</v>
      </c>
      <c r="H104" s="445">
        <f>D104-F104</f>
        <v>12.9917047681254</v>
      </c>
      <c r="J104" s="686">
        <f>INDEX(stores!D:D,MATCH(B104,stores!C:C,0))</f>
        <v>542</v>
      </c>
      <c r="K104" s="837">
        <f>J104-J103</f>
        <v>50</v>
      </c>
      <c r="L104" s="413">
        <f>AVERAGEA(J103:J104)</f>
        <v>517</v>
      </c>
      <c r="N104" s="445">
        <f>(L104/L97-1)*100</f>
        <v>17.901938426453825</v>
      </c>
      <c r="P104" s="306">
        <f>(H104/N104)*100</f>
        <v>72.571497335324665</v>
      </c>
      <c r="S104" s="413">
        <f>INDEX('qtrP&amp;L'!$12:$12,MATCH($A101,'qtrP&amp;L'!$6:$6,0))</f>
        <v>2394</v>
      </c>
      <c r="U104" s="413">
        <f>S104-AP104</f>
        <v>2394</v>
      </c>
      <c r="W104" s="823">
        <f>IF(ISERROR(U104/L104),"NA",U104/L104)</f>
        <v>4.6305609284332689</v>
      </c>
      <c r="Y104" s="761">
        <f>IF(ISERROR(W104/W97),"NA",(W104/W97-1)*100)</f>
        <v>-5.2672871550812683</v>
      </c>
      <c r="AA104" s="686">
        <f>INDEX(stores!D:D,MATCH(C104,stores!C:C,0))</f>
        <v>48427</v>
      </c>
      <c r="AC104" s="413">
        <f>AVERAGEA(AA103:AA104)</f>
        <v>46059</v>
      </c>
      <c r="AE104" s="445">
        <f>(AC104/AC97-1)*100</f>
        <v>18.691937998479592</v>
      </c>
      <c r="AG104" s="306">
        <f>(H104/AE104)*100</f>
        <v>69.50432196587721</v>
      </c>
      <c r="AJ104" s="413">
        <f>U104</f>
        <v>2394</v>
      </c>
      <c r="AL104" s="415">
        <f>IF(ISERROR(AJ104/AC104),"NA",AJ104/AC104*100)</f>
        <v>5.1976812349377974</v>
      </c>
      <c r="AN104" s="765">
        <f>(AL104/AL97-1)*100</f>
        <v>-5.8978169439308115</v>
      </c>
      <c r="AP104" s="824"/>
      <c r="AQ104" s="479"/>
    </row>
    <row r="105" spans="1:43" ht="10.5" customHeight="1" outlineLevel="1" x14ac:dyDescent="0.2">
      <c r="A105" s="303" t="s">
        <v>66</v>
      </c>
      <c r="B105" s="303">
        <f t="shared" si="12"/>
        <v>52</v>
      </c>
      <c r="C105" s="303">
        <f t="shared" si="12"/>
        <v>152</v>
      </c>
      <c r="D105" s="834">
        <f>INDEX('qtrP&amp;L'!$13:$13,MATCH($A101,'qtrP&amp;L'!$6:$6,0)+1)</f>
        <v>11.854666499183519</v>
      </c>
      <c r="F105" s="834">
        <f>INDEX('qtrP&amp;L'!$13:$13,MATCH($A101,'qtrP&amp;L'!$6:$6,0)+2)</f>
        <v>-2.041056739380668</v>
      </c>
      <c r="H105" s="828">
        <f>D105-F105</f>
        <v>13.895723238564187</v>
      </c>
      <c r="J105" s="686">
        <f>INDEX(stores!D:D,MATCH(B105,stores!C:C,0))</f>
        <v>542</v>
      </c>
      <c r="K105" s="837">
        <f>J105-J104</f>
        <v>0</v>
      </c>
      <c r="L105" s="491">
        <f>AVERAGEA(J104:J105)</f>
        <v>542</v>
      </c>
      <c r="N105" s="828">
        <f>(L105/L98-1)*100</f>
        <v>18.599562363238519</v>
      </c>
      <c r="P105" s="829">
        <f>(H105/N105)*100</f>
        <v>74.70994729439802</v>
      </c>
      <c r="S105" s="491">
        <f>INDEX('qtrP&amp;L'!$13:$13,MATCH($A101,'qtrP&amp;L'!$6:$6,0))</f>
        <v>3561.9</v>
      </c>
      <c r="U105" s="491">
        <f>S105-AP105</f>
        <v>3561.9</v>
      </c>
      <c r="W105" s="831">
        <f>IF(ISERROR(U105/L105),"NA",U105/L105)</f>
        <v>6.5717712177121772</v>
      </c>
      <c r="Y105" s="830">
        <f>IF(ISERROR(W105/W98),"NA",(W105/W98-1)*100)</f>
        <v>-5.6871169923858549</v>
      </c>
      <c r="AA105" s="686">
        <f>INDEX(stores!D:D,MATCH(C105,stores!C:C,0))</f>
        <v>48427</v>
      </c>
      <c r="AC105" s="491">
        <f>AVERAGEA(AA104:AA105)</f>
        <v>48427</v>
      </c>
      <c r="AE105" s="828">
        <f>(AC105/AC98-1)*100</f>
        <v>19.37241175310589</v>
      </c>
      <c r="AG105" s="829">
        <f>(H105/AE105)*100</f>
        <v>71.729443993138077</v>
      </c>
      <c r="AJ105" s="491">
        <f>U105</f>
        <v>3561.9</v>
      </c>
      <c r="AL105" s="835">
        <f>IF(ISERROR(AJ105/AC105),"NA",AJ105/AC105*100)</f>
        <v>7.3551944163379925</v>
      </c>
      <c r="AN105" s="836">
        <f>(AL105/AL98-1)*100</f>
        <v>-6.2977241923126259</v>
      </c>
      <c r="AP105" s="832"/>
      <c r="AQ105" s="572"/>
    </row>
    <row r="106" spans="1:43" ht="10.5" customHeight="1" outlineLevel="1" x14ac:dyDescent="0.2">
      <c r="A106" s="573" t="s">
        <v>67</v>
      </c>
      <c r="B106" s="573"/>
      <c r="C106" s="573"/>
      <c r="D106" s="477">
        <f>INDEX('qtrP&amp;L'!$14:$14,MATCH($A101,'qtrP&amp;L'!$6:$6,0)+1)</f>
        <v>12.738755729041017</v>
      </c>
      <c r="F106" s="477">
        <f>INDEX('qtrP&amp;L'!$14:$14,MATCH($A101,'qtrP&amp;L'!$6:$6,0)+2)</f>
        <v>-1.2342184383842436</v>
      </c>
      <c r="H106" s="445">
        <f>D106-F106</f>
        <v>13.97297416742526</v>
      </c>
      <c r="J106" s="685"/>
      <c r="L106" s="413">
        <f>AVERAGEA(L102:L105)</f>
        <v>506.375</v>
      </c>
      <c r="N106" s="445">
        <f>(L106/L99-1)*100</f>
        <v>18.001747742499276</v>
      </c>
      <c r="P106" s="306">
        <f>(H106/N106)*100</f>
        <v>77.620097599952913</v>
      </c>
      <c r="S106" s="319">
        <f>INDEX('qtrP&amp;L'!$14:$14,MATCH($A101,'qtrP&amp;L'!$6:$6,0))</f>
        <v>10282</v>
      </c>
      <c r="U106" s="319">
        <f>S106-AP106</f>
        <v>10282</v>
      </c>
      <c r="W106" s="821">
        <f>IF(ISERROR(U106/L106),"NA",U106/L106)</f>
        <v>20.305109849419896</v>
      </c>
      <c r="Y106" s="761">
        <f>IF(ISERROR(W106/W99),"NA",(W106/W99-1)*100)</f>
        <v>-4.4600966630960688</v>
      </c>
      <c r="AA106" s="815"/>
      <c r="AC106" s="413">
        <f>AVERAGEA(AC102:AC105)</f>
        <v>45056.25</v>
      </c>
      <c r="AE106" s="445">
        <f>(AC106/AC99-1)*100</f>
        <v>18.79063911967387</v>
      </c>
      <c r="AG106" s="306">
        <f>(H106/AE106)*100</f>
        <v>74.361356622487122</v>
      </c>
      <c r="AJ106" s="319">
        <f>SUM(AJ102:AJ105)</f>
        <v>10282</v>
      </c>
      <c r="AL106" s="833">
        <f>IF(ISERROR(AJ106/AC106),"NA",AJ106/AC106*100)</f>
        <v>22.820363434595645</v>
      </c>
      <c r="AN106" s="765">
        <f>(AL106/AL99-1)*100</f>
        <v>-5.0945793670963972</v>
      </c>
      <c r="AP106" s="489"/>
      <c r="AQ106" s="489"/>
    </row>
    <row r="107" spans="1:43" ht="10.5" customHeight="1" outlineLevel="1" x14ac:dyDescent="0.2">
      <c r="J107" s="685"/>
      <c r="L107" s="413"/>
      <c r="P107" s="306"/>
      <c r="Y107" s="765"/>
      <c r="AA107" s="815"/>
      <c r="AC107" s="413"/>
      <c r="AG107" s="306"/>
      <c r="AN107" s="765"/>
    </row>
    <row r="108" spans="1:43" ht="10.5" customHeight="1" outlineLevel="1" x14ac:dyDescent="0.2">
      <c r="A108" s="812">
        <v>2004</v>
      </c>
      <c r="B108" s="812"/>
      <c r="C108" s="812"/>
      <c r="J108" s="685"/>
      <c r="L108" s="413"/>
      <c r="P108" s="306"/>
      <c r="Y108" s="765"/>
      <c r="AA108" s="815"/>
      <c r="AC108" s="413"/>
      <c r="AG108" s="306"/>
      <c r="AN108" s="765"/>
    </row>
    <row r="109" spans="1:43" ht="10.5" customHeight="1" outlineLevel="1" x14ac:dyDescent="0.2">
      <c r="A109" s="303" t="s">
        <v>63</v>
      </c>
      <c r="B109" s="303">
        <f>B105+1</f>
        <v>53</v>
      </c>
      <c r="C109" s="303">
        <f>C105+1</f>
        <v>153</v>
      </c>
      <c r="D109" s="477">
        <f>INDEX('qtrP&amp;L'!$10:$10,MATCH($A108,'qtrP&amp;L'!$6:$6,0)+1)</f>
        <v>12.395523445247214</v>
      </c>
      <c r="F109" s="477">
        <f>INDEX('qtrP&amp;L'!$10:$10,MATCH($A108,'qtrP&amp;L'!$6:$6,0)+2)</f>
        <v>-0.1</v>
      </c>
      <c r="G109" s="303" t="s">
        <v>102</v>
      </c>
      <c r="H109" s="445">
        <f>D109-F109</f>
        <v>12.495523445247214</v>
      </c>
      <c r="I109" s="303" t="s">
        <v>102</v>
      </c>
      <c r="J109" s="686">
        <f>INDEX(stores!D:D,MATCH(B109,stores!C:C,0))</f>
        <v>589</v>
      </c>
      <c r="K109" s="838">
        <f>J109-J105</f>
        <v>47</v>
      </c>
      <c r="L109" s="413">
        <f>AVERAGEA(J109,J105)</f>
        <v>565.5</v>
      </c>
      <c r="N109" s="445">
        <f>(L109/L102-1)*100</f>
        <v>19.178082191780831</v>
      </c>
      <c r="O109" s="303" t="s">
        <v>102</v>
      </c>
      <c r="P109" s="306">
        <f>(H109/N109)*100</f>
        <v>65.15522939307472</v>
      </c>
      <c r="Q109" s="303" t="s">
        <v>102</v>
      </c>
      <c r="S109" s="319">
        <f>INDEX('qtrP&amp;L'!$10:$10,MATCH($A108,'qtrP&amp;L'!$6:$6,0))</f>
        <v>2380.1999999999998</v>
      </c>
      <c r="U109" s="319">
        <f>S109-AP109</f>
        <v>2380.1999999999998</v>
      </c>
      <c r="W109" s="821">
        <f>IF(ISERROR(U109/L109),"NA",U109/L109)</f>
        <v>4.2090185676392569</v>
      </c>
      <c r="Y109" s="761">
        <f>IF(ISERROR(W109/W102),"NA",(W109/W102-1)*100)</f>
        <v>-5.6911125114592505</v>
      </c>
      <c r="Z109" s="303" t="s">
        <v>102</v>
      </c>
      <c r="AA109" s="686">
        <f>INDEX(stores!D:D,MATCH(C109,stores!C:C,0))</f>
        <v>52617</v>
      </c>
      <c r="AC109" s="413">
        <f>AVERAGEA(AA109,AA105)</f>
        <v>50522</v>
      </c>
      <c r="AE109" s="445">
        <f>(AC109/AC102-1)*100</f>
        <v>20.028984474300039</v>
      </c>
      <c r="AF109" s="303" t="s">
        <v>102</v>
      </c>
      <c r="AG109" s="306">
        <f>(H109/AE109)*100</f>
        <v>62.387204210381718</v>
      </c>
      <c r="AH109" s="303" t="s">
        <v>102</v>
      </c>
      <c r="AJ109" s="319">
        <f>U109</f>
        <v>2380.1999999999998</v>
      </c>
      <c r="AL109" s="833">
        <f>IF(ISERROR(AJ109/AC109),"NA",AJ109/AC109*100)</f>
        <v>4.7112149162740984</v>
      </c>
      <c r="AN109" s="765">
        <f>(AL109/AL102-1)*100</f>
        <v>-6.3596814240207689</v>
      </c>
      <c r="AO109" s="303" t="s">
        <v>102</v>
      </c>
      <c r="AP109" s="822"/>
      <c r="AQ109" s="489"/>
    </row>
    <row r="110" spans="1:43" ht="10.5" customHeight="1" outlineLevel="1" x14ac:dyDescent="0.2">
      <c r="A110" s="303" t="s">
        <v>64</v>
      </c>
      <c r="B110" s="303">
        <f t="shared" ref="B110:C112" si="13">B109+1</f>
        <v>54</v>
      </c>
      <c r="C110" s="303">
        <f t="shared" si="13"/>
        <v>154</v>
      </c>
      <c r="D110" s="477">
        <f>INDEX('qtrP&amp;L'!$11:$11,MATCH($A108,'qtrP&amp;L'!$6:$6,0)+1)</f>
        <v>13.109038217714186</v>
      </c>
      <c r="F110" s="477">
        <f>INDEX('qtrP&amp;L'!$11:$11,MATCH($A108,'qtrP&amp;L'!$6:$6,0)+2)</f>
        <v>-1.2</v>
      </c>
      <c r="H110" s="445">
        <f>D110-F110</f>
        <v>14.309038217714185</v>
      </c>
      <c r="J110" s="686">
        <f>INDEX(stores!D:D,MATCH(B110,stores!C:C,0))</f>
        <v>589</v>
      </c>
      <c r="K110" s="837">
        <f>J110-J109</f>
        <v>0</v>
      </c>
      <c r="L110" s="413">
        <f>AVERAGEA(J109:J110)</f>
        <v>589</v>
      </c>
      <c r="N110" s="445">
        <f>(L110/L103-1)*100</f>
        <v>19.715447154471555</v>
      </c>
      <c r="P110" s="306">
        <f>(H110/N110)*100</f>
        <v>72.577802093972949</v>
      </c>
      <c r="S110" s="413">
        <f>INDEX('qtrP&amp;L'!$11:$11,MATCH($A108,'qtrP&amp;L'!$6:$6,0))</f>
        <v>2497.9</v>
      </c>
      <c r="U110" s="413">
        <f>S110-AP110</f>
        <v>2497.9</v>
      </c>
      <c r="W110" s="823">
        <f>IF(ISERROR(U110/L110),"NA",U110/L110)</f>
        <v>4.2409168081494055</v>
      </c>
      <c r="Y110" s="761">
        <f>IF(ISERROR(W110/W103),"NA",(W110/W103-1)*100)</f>
        <v>-5.5184264802795147</v>
      </c>
      <c r="AA110" s="686">
        <f>INDEX(stores!D:D,MATCH(C110,stores!C:C,0))</f>
        <v>52702</v>
      </c>
      <c r="AC110" s="413">
        <f>AVERAGEA(AA109:AA110)</f>
        <v>52659.5</v>
      </c>
      <c r="AE110" s="445">
        <f>(AC110/AC103-1)*100</f>
        <v>20.647230654676662</v>
      </c>
      <c r="AG110" s="306">
        <f>(H110/AE110)*100</f>
        <v>69.302457346613423</v>
      </c>
      <c r="AJ110" s="413">
        <f>U110</f>
        <v>2497.9</v>
      </c>
      <c r="AL110" s="415">
        <f>IF(ISERROR(AJ110/AC110),"NA",AJ110/AC110*100)</f>
        <v>4.7434935766575839</v>
      </c>
      <c r="AN110" s="765">
        <f>(AL110/AL103-1)*100</f>
        <v>-6.2481272019734195</v>
      </c>
      <c r="AP110" s="824"/>
      <c r="AQ110" s="479"/>
    </row>
    <row r="111" spans="1:43" ht="10.5" customHeight="1" outlineLevel="1" x14ac:dyDescent="0.2">
      <c r="A111" s="303" t="s">
        <v>65</v>
      </c>
      <c r="B111" s="303">
        <f t="shared" si="13"/>
        <v>55</v>
      </c>
      <c r="C111" s="303">
        <f t="shared" si="13"/>
        <v>155</v>
      </c>
      <c r="D111" s="477">
        <f>INDEX('qtrP&amp;L'!$12:$12,MATCH($A108,'qtrP&amp;L'!$6:$6,0)+1)</f>
        <v>14.615705931495416</v>
      </c>
      <c r="F111" s="477">
        <f>INDEX('qtrP&amp;L'!$12:$12,MATCH($A108,'qtrP&amp;L'!$6:$6,0)+2)</f>
        <v>1.4420168373482998</v>
      </c>
      <c r="H111" s="445">
        <f>D111-F111</f>
        <v>13.173689094147116</v>
      </c>
      <c r="J111" s="686">
        <f>INDEX(stores!D:D,MATCH(B111,stores!C:C,0))</f>
        <v>637</v>
      </c>
      <c r="K111" s="837">
        <f>J111-J110</f>
        <v>48</v>
      </c>
      <c r="L111" s="413">
        <f>AVERAGEA(J110:J111)</f>
        <v>613</v>
      </c>
      <c r="N111" s="445">
        <f>(L111/L104-1)*100</f>
        <v>18.568665377176007</v>
      </c>
      <c r="P111" s="306">
        <f>(H111/N111)*100</f>
        <v>70.945804809104814</v>
      </c>
      <c r="S111" s="413">
        <f>INDEX('qtrP&amp;L'!$12:$12,MATCH($A108,'qtrP&amp;L'!$6:$6,0))</f>
        <v>2743.9</v>
      </c>
      <c r="U111" s="413">
        <f>S111-AP111</f>
        <v>2743.9</v>
      </c>
      <c r="W111" s="823">
        <f>IF(ISERROR(U111/L111),"NA",U111/L111)</f>
        <v>4.4761827079934751</v>
      </c>
      <c r="Y111" s="761">
        <f>IF(ISERROR(W111/W104),"NA",(W111/W104-1)*100)</f>
        <v>-3.3338989125886953</v>
      </c>
      <c r="AA111" s="686">
        <f>INDEX(stores!D:D,MATCH(C111,stores!C:C,0))</f>
        <v>57386</v>
      </c>
      <c r="AC111" s="413">
        <f>AVERAGEA(AA110:AA111)</f>
        <v>55044</v>
      </c>
      <c r="AE111" s="445">
        <f>(AC111/AC104-1)*100</f>
        <v>19.507588093532213</v>
      </c>
      <c r="AG111" s="306">
        <f>(H111/AE111)*100</f>
        <v>67.531101389796532</v>
      </c>
      <c r="AJ111" s="413">
        <f>U111</f>
        <v>2743.9</v>
      </c>
      <c r="AL111" s="415">
        <f>IF(ISERROR(AJ111/AC111),"NA",AJ111/AC111*100)</f>
        <v>4.9849211539859022</v>
      </c>
      <c r="AN111" s="765">
        <f>(AL111/AL104-1)*100</f>
        <v>-4.0933653168602095</v>
      </c>
      <c r="AP111" s="824"/>
      <c r="AQ111" s="479"/>
    </row>
    <row r="112" spans="1:43" ht="10.5" customHeight="1" outlineLevel="1" x14ac:dyDescent="0.2">
      <c r="A112" s="303" t="s">
        <v>66</v>
      </c>
      <c r="B112" s="303">
        <f t="shared" si="13"/>
        <v>56</v>
      </c>
      <c r="C112" s="303">
        <f t="shared" si="13"/>
        <v>156</v>
      </c>
      <c r="D112" s="834">
        <f>INDEX('qtrP&amp;L'!$13:$13,MATCH($A108,'qtrP&amp;L'!$6:$6,0)+1)</f>
        <v>14.509110306297202</v>
      </c>
      <c r="F112" s="834">
        <f>INDEX('qtrP&amp;L'!$13:$13,MATCH($A108,'qtrP&amp;L'!$6:$6,0)+2)</f>
        <v>1.3887733836761713</v>
      </c>
      <c r="H112" s="828">
        <f>D112-F112</f>
        <v>13.120336922621032</v>
      </c>
      <c r="J112" s="686">
        <f>INDEX(stores!D:D,MATCH(B112,stores!C:C,0))</f>
        <v>637</v>
      </c>
      <c r="K112" s="837">
        <f>J112-J111</f>
        <v>0</v>
      </c>
      <c r="L112" s="491">
        <f>AVERAGEA(J111:J112)</f>
        <v>637</v>
      </c>
      <c r="N112" s="828">
        <f>(L112/L105-1)*100</f>
        <v>17.527675276752763</v>
      </c>
      <c r="P112" s="829">
        <f>(H112/N112)*100</f>
        <v>74.854974863795803</v>
      </c>
      <c r="S112" s="491">
        <f>INDEX('qtrP&amp;L'!$13:$13,MATCH($A108,'qtrP&amp;L'!$6:$6,0))</f>
        <v>4078.7</v>
      </c>
      <c r="U112" s="491">
        <f>S112-AP112</f>
        <v>4078.7</v>
      </c>
      <c r="W112" s="831">
        <f>IF(ISERROR(U112/L112),"NA",U112/L112)</f>
        <v>6.4029827315541601</v>
      </c>
      <c r="Y112" s="830">
        <f>IF(ISERROR(W112/W105),"NA",(W112/W105-1)*100)</f>
        <v>-2.5683865211725609</v>
      </c>
      <c r="AA112" s="686">
        <f>INDEX(stores!D:D,MATCH(C112,stores!C:C,0))</f>
        <v>57386</v>
      </c>
      <c r="AC112" s="491">
        <f>AVERAGEA(AA111:AA112)</f>
        <v>57386</v>
      </c>
      <c r="AE112" s="828">
        <f>(AC112/AC105-1)*100</f>
        <v>18.500010324818806</v>
      </c>
      <c r="AG112" s="829">
        <f>(H112/AE112)*100</f>
        <v>70.920700541552463</v>
      </c>
      <c r="AJ112" s="491">
        <f>U112</f>
        <v>4078.7</v>
      </c>
      <c r="AL112" s="835">
        <f>IF(ISERROR(AJ112/AC112),"NA",AJ112/AC112*100)</f>
        <v>7.1074826612762694</v>
      </c>
      <c r="AN112" s="836">
        <f>(AL112/AL105-1)*100</f>
        <v>-3.3678478234577258</v>
      </c>
      <c r="AP112" s="832"/>
      <c r="AQ112" s="572"/>
    </row>
    <row r="113" spans="1:43" ht="10.5" customHeight="1" outlineLevel="1" x14ac:dyDescent="0.2">
      <c r="A113" s="573" t="s">
        <v>67</v>
      </c>
      <c r="B113" s="573"/>
      <c r="C113" s="573"/>
      <c r="D113" s="477">
        <f>INDEX('qtrP&amp;L'!$14:$14,MATCH($A108,'qtrP&amp;L'!$6:$6,0)+1)</f>
        <v>13.797899241392741</v>
      </c>
      <c r="F113" s="477">
        <f>INDEX('qtrP&amp;L'!$14:$14,MATCH($A108,'qtrP&amp;L'!$6:$6,0)+2)</f>
        <v>0.5457485449588485</v>
      </c>
      <c r="H113" s="445">
        <f>D113-F113</f>
        <v>13.252150696433892</v>
      </c>
      <c r="J113" s="685"/>
      <c r="L113" s="413">
        <f>AVERAGEA(L109:L112)</f>
        <v>601.125</v>
      </c>
      <c r="N113" s="445">
        <f>(L113/L106-1)*100</f>
        <v>18.711429276721802</v>
      </c>
      <c r="P113" s="306">
        <f>(H113/N113)*100</f>
        <v>70.823829117748929</v>
      </c>
      <c r="S113" s="319">
        <f>INDEX('qtrP&amp;L'!$14:$14,MATCH($A108,'qtrP&amp;L'!$6:$6,0))</f>
        <v>11700.7</v>
      </c>
      <c r="U113" s="319">
        <f>S113-AP113</f>
        <v>11700.7</v>
      </c>
      <c r="W113" s="821">
        <f>IF(ISERROR(U113/L113),"NA",U113/L113)</f>
        <v>19.464670409648576</v>
      </c>
      <c r="Y113" s="761">
        <f>IF(ISERROR(W113/W106),"NA",(W113/W106-1)*100)</f>
        <v>-4.1390538933495646</v>
      </c>
      <c r="AA113" s="815"/>
      <c r="AC113" s="413">
        <f>AVERAGEA(AC109:AC112)</f>
        <v>53902.875</v>
      </c>
      <c r="AE113" s="445">
        <f>(AC113/AC106-1)*100</f>
        <v>19.634623387432381</v>
      </c>
      <c r="AG113" s="306">
        <f>(H113/AE113)*100</f>
        <v>67.493786027575425</v>
      </c>
      <c r="AJ113" s="319">
        <f>SUM(AJ109:AJ112)</f>
        <v>11700.7</v>
      </c>
      <c r="AL113" s="833">
        <f>IF(ISERROR(AJ113/AC113),"NA",AJ113/AC113*100)</f>
        <v>21.707005424107713</v>
      </c>
      <c r="AN113" s="765">
        <f>(AL113/AL106-1)*100</f>
        <v>-4.8787917584173224</v>
      </c>
      <c r="AP113" s="489"/>
      <c r="AQ113" s="489"/>
    </row>
    <row r="114" spans="1:43" ht="10.5" customHeight="1" outlineLevel="1" x14ac:dyDescent="0.2">
      <c r="J114" s="685"/>
      <c r="L114" s="413"/>
      <c r="P114" s="306"/>
      <c r="Y114" s="765"/>
      <c r="AA114" s="815"/>
      <c r="AC114" s="413"/>
      <c r="AG114" s="306"/>
      <c r="AN114" s="765"/>
    </row>
    <row r="115" spans="1:43" ht="10.5" customHeight="1" outlineLevel="1" x14ac:dyDescent="0.2">
      <c r="A115" s="812">
        <v>2005</v>
      </c>
      <c r="B115" s="812"/>
      <c r="C115" s="812"/>
      <c r="J115" s="685"/>
      <c r="L115" s="413"/>
      <c r="P115" s="306"/>
      <c r="Y115" s="765"/>
      <c r="AA115" s="815"/>
      <c r="AC115" s="413"/>
      <c r="AG115" s="306"/>
      <c r="AN115" s="765"/>
    </row>
    <row r="116" spans="1:43" ht="10.5" customHeight="1" outlineLevel="1" x14ac:dyDescent="0.2">
      <c r="A116" s="303" t="s">
        <v>63</v>
      </c>
      <c r="B116" s="303">
        <f>B112+1</f>
        <v>57</v>
      </c>
      <c r="C116" s="303">
        <f>C112+1</f>
        <v>157</v>
      </c>
      <c r="D116" s="477">
        <f>INDEX('qtrP&amp;L'!$10:$10,MATCH($A115,'qtrP&amp;L'!$6:$6,0)+1)</f>
        <v>15.234013948407711</v>
      </c>
      <c r="F116" s="477">
        <f>INDEX('qtrP&amp;L'!$10:$10,MATCH($A115,'qtrP&amp;L'!$6:$6,0)+2)</f>
        <v>3.7</v>
      </c>
      <c r="G116" s="303" t="s">
        <v>102</v>
      </c>
      <c r="H116" s="445">
        <f>D116-F116</f>
        <v>11.534013948407711</v>
      </c>
      <c r="I116" s="303" t="s">
        <v>102</v>
      </c>
      <c r="J116" s="686">
        <f>INDEX(stores!D:D,MATCH(B116,stores!C:C,0))</f>
        <v>669</v>
      </c>
      <c r="K116" s="837">
        <f>J116-J112</f>
        <v>32</v>
      </c>
      <c r="L116" s="413">
        <f>AVERAGEA(J116,J112)</f>
        <v>653</v>
      </c>
      <c r="N116" s="445">
        <f>(L116/L109-1)*100</f>
        <v>15.473032714412028</v>
      </c>
      <c r="O116" s="303" t="s">
        <v>102</v>
      </c>
      <c r="P116" s="306">
        <f>(H116/N116)*100</f>
        <v>74.54268443228068</v>
      </c>
      <c r="Q116" s="303" t="s">
        <v>102</v>
      </c>
      <c r="S116" s="319">
        <f>INDEX('qtrP&amp;L'!$10:$10,MATCH($A115,'qtrP&amp;L'!$6:$6,0))</f>
        <v>2742.8</v>
      </c>
      <c r="U116" s="319">
        <f>S116-AP116</f>
        <v>2742.8</v>
      </c>
      <c r="W116" s="821">
        <f>IF(ISERROR(U116/L116),"NA",U116/L116)</f>
        <v>4.2003062787136294</v>
      </c>
      <c r="Y116" s="761">
        <f>IF(ISERROR(W116/W109),"NA",(W116/W109-1)*100)</f>
        <v>-0.20699098342333855</v>
      </c>
      <c r="Z116" s="303" t="s">
        <v>102</v>
      </c>
      <c r="AA116" s="686">
        <f>INDEX(stores!D:D,MATCH(C116,stores!C:C,0))</f>
        <v>60264</v>
      </c>
      <c r="AC116" s="413">
        <f>AVERAGEA(AA116,AA112)</f>
        <v>58825</v>
      </c>
      <c r="AE116" s="445">
        <f>(AC116/AC109-1)*100</f>
        <v>16.43442460710185</v>
      </c>
      <c r="AF116" s="303" t="s">
        <v>102</v>
      </c>
      <c r="AG116" s="306">
        <f>(H116/AE116)*100</f>
        <v>70.182036938631171</v>
      </c>
      <c r="AH116" s="303" t="s">
        <v>102</v>
      </c>
      <c r="AJ116" s="319">
        <f>U116</f>
        <v>2742.8</v>
      </c>
      <c r="AL116" s="833">
        <f>IF(ISERROR(AJ116/AC116),"NA",AJ116/AC116*100)</f>
        <v>4.6626434339141518</v>
      </c>
      <c r="AN116" s="765">
        <f>(AL116/AL109-1)*100</f>
        <v>-1.0309757296820488</v>
      </c>
      <c r="AO116" s="303" t="s">
        <v>102</v>
      </c>
      <c r="AP116" s="759"/>
      <c r="AQ116" s="489"/>
    </row>
    <row r="117" spans="1:43" ht="10.5" customHeight="1" outlineLevel="1" x14ac:dyDescent="0.2">
      <c r="A117" s="303" t="s">
        <v>64</v>
      </c>
      <c r="B117" s="303">
        <f t="shared" ref="B117:C119" si="14">B116+1</f>
        <v>58</v>
      </c>
      <c r="C117" s="303">
        <f t="shared" si="14"/>
        <v>158</v>
      </c>
      <c r="D117" s="477">
        <f>INDEX('qtrP&amp;L'!$11:$11,MATCH($A115,'qtrP&amp;L'!$6:$6,0)+1)</f>
        <v>15.621121742263488</v>
      </c>
      <c r="F117" s="477">
        <f>INDEX('qtrP&amp;L'!$11:$11,MATCH($A115,'qtrP&amp;L'!$6:$6,0)+2)</f>
        <v>5.4554620684879342</v>
      </c>
      <c r="H117" s="445">
        <f>D117-F117</f>
        <v>10.165659673775554</v>
      </c>
      <c r="J117" s="686">
        <f>INDEX(stores!D:D,MATCH(B117,stores!C:C,0))</f>
        <v>670</v>
      </c>
      <c r="K117" s="837">
        <f>J117-J116</f>
        <v>1</v>
      </c>
      <c r="L117" s="413">
        <f>AVERAGEA(J116:J117)</f>
        <v>669.5</v>
      </c>
      <c r="N117" s="445">
        <f>(L117/L110-1)*100</f>
        <v>13.66723259762308</v>
      </c>
      <c r="P117" s="306">
        <f>(H117/N117)*100</f>
        <v>74.379795625513111</v>
      </c>
      <c r="S117" s="413">
        <f>INDEX('qtrP&amp;L'!$11:$11,MATCH($A115,'qtrP&amp;L'!$6:$6,0))</f>
        <v>2888.1</v>
      </c>
      <c r="U117" s="413">
        <f>S117-AP117</f>
        <v>2888.1</v>
      </c>
      <c r="W117" s="823">
        <f>IF(ISERROR(U117/L117),"NA",U117/L117)</f>
        <v>4.3138162808065719</v>
      </c>
      <c r="Y117" s="761">
        <f>IF(ISERROR(W117/W110),"NA",(W117/W110-1)*100)</f>
        <v>1.718955498421515</v>
      </c>
      <c r="AA117" s="686">
        <f>INDEX(stores!D:D,MATCH(C117,stores!C:C,0))</f>
        <v>60395</v>
      </c>
      <c r="AC117" s="413">
        <f>AVERAGEA(AA116:AA117)</f>
        <v>60329.5</v>
      </c>
      <c r="AE117" s="445">
        <f>(AC117/AC110-1)*100</f>
        <v>14.565273122608446</v>
      </c>
      <c r="AG117" s="306">
        <f>(H117/AE117)*100</f>
        <v>69.793814288289994</v>
      </c>
      <c r="AJ117" s="413">
        <f>U117</f>
        <v>2888.1</v>
      </c>
      <c r="AL117" s="415">
        <f>IF(ISERROR(AJ117/AC117),"NA",AJ117/AC117*100)</f>
        <v>4.7872102371145129</v>
      </c>
      <c r="AN117" s="765">
        <f>(AL117/AL110-1)*100</f>
        <v>0.9216131475766165</v>
      </c>
      <c r="AP117" s="759"/>
      <c r="AQ117" s="479"/>
    </row>
    <row r="118" spans="1:43" ht="10.5" customHeight="1" outlineLevel="1" x14ac:dyDescent="0.2">
      <c r="A118" s="303" t="s">
        <v>65</v>
      </c>
      <c r="B118" s="303">
        <f t="shared" si="14"/>
        <v>59</v>
      </c>
      <c r="C118" s="303">
        <f t="shared" si="14"/>
        <v>159</v>
      </c>
      <c r="D118" s="477">
        <f>INDEX('qtrP&amp;L'!$12:$12,MATCH($A115,'qtrP&amp;L'!$6:$6,0)+1)</f>
        <v>13.68490105324538</v>
      </c>
      <c r="F118" s="477">
        <f>INDEX('qtrP&amp;L'!$12:$12,MATCH($A115,'qtrP&amp;L'!$6:$6,0)+2)</f>
        <v>3.5</v>
      </c>
      <c r="H118" s="445">
        <f>D118-F118</f>
        <v>10.18490105324538</v>
      </c>
      <c r="J118" s="686">
        <f>INDEX(stores!D:D,MATCH(B118,stores!C:C,0))</f>
        <v>732</v>
      </c>
      <c r="K118" s="837">
        <f>J118-J117</f>
        <v>62</v>
      </c>
      <c r="L118" s="413">
        <f>AVERAGEA(J117:J118)</f>
        <v>701</v>
      </c>
      <c r="N118" s="445">
        <f>(L118/L111-1)*100</f>
        <v>14.355628058727564</v>
      </c>
      <c r="P118" s="306">
        <f>(H118/N118)*100</f>
        <v>70.947094836811587</v>
      </c>
      <c r="S118" s="413">
        <f>INDEX('qtrP&amp;L'!$12:$12,MATCH($A115,'qtrP&amp;L'!$6:$6,0))</f>
        <v>3119.4</v>
      </c>
      <c r="U118" s="413">
        <f>S118-AP118</f>
        <v>3119.4</v>
      </c>
      <c r="W118" s="823">
        <f>IF(ISERROR(U118/L118),"NA",U118/L118)</f>
        <v>4.4499286733238232</v>
      </c>
      <c r="Y118" s="761">
        <f>IF(ISERROR(W118/W111),"NA",(W118/W111-1)*100)</f>
        <v>-0.58652732433749355</v>
      </c>
      <c r="AA118" s="686">
        <f>INDEX(stores!D:D,MATCH(C118,stores!C:C,0))</f>
        <v>65766</v>
      </c>
      <c r="AC118" s="413">
        <f>AVERAGEA(AA117:AA118)</f>
        <v>63080.5</v>
      </c>
      <c r="AE118" s="445">
        <f>(AC118/AC111-1)*100</f>
        <v>14.600138071361091</v>
      </c>
      <c r="AG118" s="306">
        <f>(H118/AE118)*100</f>
        <v>69.758936548850713</v>
      </c>
      <c r="AJ118" s="413">
        <f>U118</f>
        <v>3119.4</v>
      </c>
      <c r="AL118" s="415">
        <f>IF(ISERROR(AJ118/AC118),"NA",AJ118/AC118*100)</f>
        <v>4.9451098199919148</v>
      </c>
      <c r="AN118" s="765">
        <f>(AL118/AL111-1)*100</f>
        <v>-0.79863517925764516</v>
      </c>
      <c r="AP118" s="759"/>
      <c r="AQ118" s="479"/>
    </row>
    <row r="119" spans="1:43" ht="10.5" customHeight="1" outlineLevel="1" x14ac:dyDescent="0.2">
      <c r="A119" s="303" t="s">
        <v>66</v>
      </c>
      <c r="B119" s="303">
        <f t="shared" si="14"/>
        <v>60</v>
      </c>
      <c r="C119" s="303">
        <f t="shared" si="14"/>
        <v>160</v>
      </c>
      <c r="D119" s="834">
        <f>INDEX('qtrP&amp;L'!$13:$13,MATCH($A115,'qtrP&amp;L'!$6:$6,0)+1)</f>
        <v>14.053497437909135</v>
      </c>
      <c r="F119" s="834">
        <f>INDEX('qtrP&amp;L'!$13:$13,MATCH($A115,'qtrP&amp;L'!$6:$6,0)+2)</f>
        <v>2.7128076699843078</v>
      </c>
      <c r="H119" s="828">
        <f>D119-F119</f>
        <v>11.340689767924827</v>
      </c>
      <c r="J119" s="686">
        <f>INDEX(stores!D:D,MATCH(B119,stores!C:C,0))</f>
        <v>732</v>
      </c>
      <c r="K119" s="837">
        <f>J119-J118</f>
        <v>0</v>
      </c>
      <c r="L119" s="491">
        <f>AVERAGEA(J118:J119)</f>
        <v>732</v>
      </c>
      <c r="N119" s="828">
        <f>(L119/L112-1)*100</f>
        <v>14.913657770800626</v>
      </c>
      <c r="P119" s="829">
        <f>(H119/N119)*100</f>
        <v>76.042309285980167</v>
      </c>
      <c r="S119" s="491">
        <f>INDEX('qtrP&amp;L'!$13:$13,MATCH($A115,'qtrP&amp;L'!$6:$6,0))</f>
        <v>4651.8999999999996</v>
      </c>
      <c r="U119" s="491">
        <f>S119-AP119</f>
        <v>4651.8999999999996</v>
      </c>
      <c r="W119" s="831">
        <f>IF(ISERROR(U119/L119),"NA",U119/L119)</f>
        <v>6.3550546448087424</v>
      </c>
      <c r="Y119" s="830">
        <f>IF(ISERROR(W119/W112),"NA",(W119/W112-1)*100)</f>
        <v>-0.74852750280312019</v>
      </c>
      <c r="AA119" s="686">
        <f>INDEX(stores!D:D,MATCH(C119,stores!C:C,0))</f>
        <v>65855</v>
      </c>
      <c r="AC119" s="491">
        <f>AVERAGEA(AA118:AA119)</f>
        <v>65810.5</v>
      </c>
      <c r="AE119" s="828">
        <f>(AC119/AC112-1)*100</f>
        <v>14.680409856062449</v>
      </c>
      <c r="AG119" s="829">
        <f>(H119/AE119)*100</f>
        <v>77.250498311132347</v>
      </c>
      <c r="AJ119" s="491">
        <f>U119</f>
        <v>4651.8999999999996</v>
      </c>
      <c r="AL119" s="835">
        <f>IF(ISERROR(AJ119/AC119),"NA",AJ119/AC119*100)</f>
        <v>7.0686288662143575</v>
      </c>
      <c r="AN119" s="836">
        <f>(AL119/AL112-1)*100</f>
        <v>-0.54666042695536987</v>
      </c>
      <c r="AP119" s="839"/>
      <c r="AQ119" s="572"/>
    </row>
    <row r="120" spans="1:43" ht="10.5" customHeight="1" outlineLevel="1" x14ac:dyDescent="0.2">
      <c r="A120" s="573" t="s">
        <v>67</v>
      </c>
      <c r="B120" s="573"/>
      <c r="C120" s="573"/>
      <c r="D120" s="477">
        <f>INDEX('qtrP&amp;L'!$14:$14,MATCH($A115,'qtrP&amp;L'!$6:$6,0)+1)</f>
        <v>14.541865016622912</v>
      </c>
      <c r="F120" s="477">
        <f>INDEX('qtrP&amp;L'!$14:$14,MATCH($A115,'qtrP&amp;L'!$6:$6,0)+2)</f>
        <v>3.6890876124815333</v>
      </c>
      <c r="H120" s="445">
        <f>D120-F120</f>
        <v>10.85277740414138</v>
      </c>
      <c r="J120" s="685"/>
      <c r="L120" s="413">
        <f>AVERAGEA(L116:L119)</f>
        <v>688.875</v>
      </c>
      <c r="N120" s="445">
        <f>(L120/L113-1)*100</f>
        <v>14.597629444791016</v>
      </c>
      <c r="P120" s="306">
        <f>(H120/N120)*100</f>
        <v>74.346163157430055</v>
      </c>
      <c r="S120" s="319">
        <f>INDEX('qtrP&amp;L'!$14:$14,MATCH($A115,'qtrP&amp;L'!$6:$6,0))</f>
        <v>13402.199999999999</v>
      </c>
      <c r="U120" s="319">
        <f>S120-AP120</f>
        <v>13402.199999999999</v>
      </c>
      <c r="W120" s="821">
        <f>IF(ISERROR(U120/L120),"NA",U120/L120)</f>
        <v>19.455198693522046</v>
      </c>
      <c r="Y120" s="761">
        <f>IF(ISERROR(W120/W113),"NA",(W120/W113-1)*100)</f>
        <v>-4.8661066060662339E-2</v>
      </c>
      <c r="AA120" s="815"/>
      <c r="AC120" s="413">
        <f>AVERAGEA(AC116:AC119)</f>
        <v>62011.375</v>
      </c>
      <c r="AE120" s="445">
        <f>(AC120/AC113-1)*100</f>
        <v>15.042796882355525</v>
      </c>
      <c r="AG120" s="306">
        <f>(H120/AE120)*100</f>
        <v>72.146007747210646</v>
      </c>
      <c r="AJ120" s="319">
        <f>SUM(AJ116:AJ119)</f>
        <v>13402.199999999999</v>
      </c>
      <c r="AL120" s="833">
        <f>IF(ISERROR(AJ120/AC120),"NA",AJ120/AC120*100)</f>
        <v>21.612486418822353</v>
      </c>
      <c r="AN120" s="765">
        <f>(AL120/AL113-1)*100</f>
        <v>-0.43543088251309925</v>
      </c>
      <c r="AP120" s="822"/>
      <c r="AQ120" s="489"/>
    </row>
    <row r="121" spans="1:43" ht="10.5" customHeight="1" outlineLevel="1" x14ac:dyDescent="0.2">
      <c r="J121" s="685"/>
      <c r="L121" s="413"/>
      <c r="P121" s="306"/>
      <c r="Y121" s="765"/>
      <c r="AA121" s="815"/>
      <c r="AC121" s="413"/>
      <c r="AG121" s="306"/>
      <c r="AN121" s="765"/>
    </row>
    <row r="122" spans="1:43" ht="10.5" customHeight="1" outlineLevel="1" x14ac:dyDescent="0.2">
      <c r="A122" s="812">
        <v>2006</v>
      </c>
      <c r="B122" s="812"/>
      <c r="C122" s="812"/>
      <c r="J122" s="685"/>
      <c r="L122" s="413"/>
      <c r="P122" s="306"/>
      <c r="Y122" s="765"/>
      <c r="AA122" s="815"/>
      <c r="AC122" s="413"/>
      <c r="AG122" s="306"/>
      <c r="AN122" s="765"/>
    </row>
    <row r="123" spans="1:43" ht="10.5" customHeight="1" outlineLevel="1" x14ac:dyDescent="0.2">
      <c r="A123" s="303" t="s">
        <v>63</v>
      </c>
      <c r="B123" s="303">
        <f>B119+1</f>
        <v>61</v>
      </c>
      <c r="C123" s="303">
        <f>C119+1</f>
        <v>161</v>
      </c>
      <c r="D123" s="477">
        <f>INDEX('qtrP&amp;L'!$10:$10,MATCH($A122,'qtrP&amp;L'!$6:$6,0)+1)</f>
        <v>16.111273151523985</v>
      </c>
      <c r="F123" s="477">
        <f>INDEX('qtrP&amp;L'!$10:$10,MATCH($A122,'qtrP&amp;L'!$6:$6,0)+2)</f>
        <v>6.9</v>
      </c>
      <c r="G123" s="303" t="s">
        <v>102</v>
      </c>
      <c r="H123" s="445">
        <f>D123-F123</f>
        <v>9.2112731515239847</v>
      </c>
      <c r="I123" s="303" t="s">
        <v>102</v>
      </c>
      <c r="J123" s="686">
        <f>INDEX(stores!D:D,MATCH(B123,stores!C:C,0))</f>
        <v>749</v>
      </c>
      <c r="K123" s="837">
        <f>J123-J119</f>
        <v>17</v>
      </c>
      <c r="L123" s="413">
        <f>AVERAGEA(J123,J119)</f>
        <v>740.5</v>
      </c>
      <c r="N123" s="445">
        <f>(L123/L116-1)*100</f>
        <v>13.399693721286376</v>
      </c>
      <c r="O123" s="303" t="s">
        <v>102</v>
      </c>
      <c r="P123" s="306">
        <f>(H123/N123)*100</f>
        <v>68.742415633658965</v>
      </c>
      <c r="Q123" s="303" t="s">
        <v>102</v>
      </c>
      <c r="S123" s="319">
        <f>INDEX('qtrP&amp;L'!$10:$10,MATCH($A122,'qtrP&amp;L'!$6:$6,0))</f>
        <v>3184.7</v>
      </c>
      <c r="U123" s="319">
        <f>S123-AP123</f>
        <v>3184.7</v>
      </c>
      <c r="W123" s="821">
        <f>IF(ISERROR(U123/L123),"NA",U123/L123)</f>
        <v>4.3007427413909518</v>
      </c>
      <c r="Y123" s="761">
        <f>IF(ISERROR(W123/W116),"NA",(W123/W116-1)*100)</f>
        <v>2.391169976968488</v>
      </c>
      <c r="Z123" s="303" t="s">
        <v>102</v>
      </c>
      <c r="AA123" s="686">
        <f>INDEX(stores!D:D,MATCH(C123,stores!C:C,0))</f>
        <v>67318</v>
      </c>
      <c r="AC123" s="413">
        <f>AVERAGEA(AA123,AA119)</f>
        <v>66586.5</v>
      </c>
      <c r="AE123" s="445">
        <f>(AC123/AC116-1)*100</f>
        <v>13.194220144496382</v>
      </c>
      <c r="AF123" s="303" t="s">
        <v>102</v>
      </c>
      <c r="AG123" s="306">
        <f>(H123/AE123)*100</f>
        <v>69.812941201880889</v>
      </c>
      <c r="AH123" s="303" t="s">
        <v>102</v>
      </c>
      <c r="AJ123" s="319">
        <f>U123</f>
        <v>3184.7</v>
      </c>
      <c r="AL123" s="833">
        <f>IF(ISERROR(AJ123/AC123),"NA",AJ123/AC123*100)</f>
        <v>4.7828013185855989</v>
      </c>
      <c r="AN123" s="765">
        <f>(AL123/AL116-1)*100</f>
        <v>2.5770335298956892</v>
      </c>
      <c r="AO123" s="303" t="s">
        <v>102</v>
      </c>
      <c r="AP123" s="822"/>
      <c r="AQ123" s="489"/>
    </row>
    <row r="124" spans="1:43" ht="10.5" customHeight="1" outlineLevel="1" x14ac:dyDescent="0.2">
      <c r="A124" s="303" t="s">
        <v>64</v>
      </c>
      <c r="B124" s="303">
        <f t="shared" ref="B124:C126" si="15">B123+1</f>
        <v>62</v>
      </c>
      <c r="C124" s="303">
        <f t="shared" si="15"/>
        <v>162</v>
      </c>
      <c r="D124" s="477">
        <f>INDEX('qtrP&amp;L'!$11:$11,MATCH($A122,'qtrP&amp;L'!$6:$6,0)+1)</f>
        <v>14.314151172050838</v>
      </c>
      <c r="F124" s="477">
        <f>INDEX('qtrP&amp;L'!$11:$11,MATCH($A122,'qtrP&amp;L'!$6:$6,0)+2)</f>
        <v>5.5095991012589103</v>
      </c>
      <c r="H124" s="445">
        <f>D124-F124</f>
        <v>8.804552070791928</v>
      </c>
      <c r="J124" s="686">
        <f>INDEX(stores!D:D,MATCH(B124,stores!C:C,0))</f>
        <v>749</v>
      </c>
      <c r="K124" s="837">
        <f>J124-J123</f>
        <v>0</v>
      </c>
      <c r="L124" s="413">
        <f>AVERAGEA(J123:J124)</f>
        <v>749</v>
      </c>
      <c r="N124" s="445">
        <f>(L124/L117-1)*100</f>
        <v>11.874533233756534</v>
      </c>
      <c r="P124" s="306">
        <f>(H124/N124)*100</f>
        <v>74.146510835159702</v>
      </c>
      <c r="S124" s="413">
        <f>INDEX('qtrP&amp;L'!$11:$11,MATCH($A122,'qtrP&amp;L'!$6:$6,0))</f>
        <v>3301.5070000000001</v>
      </c>
      <c r="U124" s="413">
        <f>S124-AP124</f>
        <v>3301.5070000000001</v>
      </c>
      <c r="W124" s="823">
        <f>IF(ISERROR(U124/L124),"NA",U124/L124)</f>
        <v>4.4078865153538054</v>
      </c>
      <c r="Y124" s="761">
        <f>IF(ISERROR(W124/W117),"NA",(W124/W117-1)*100)</f>
        <v>2.1806731771535803</v>
      </c>
      <c r="AA124" s="686">
        <f>INDEX(stores!D:D,MATCH(C124,stores!C:C,0))</f>
        <v>67318</v>
      </c>
      <c r="AC124" s="413">
        <f>AVERAGEA(AA123:AA124)</f>
        <v>67318</v>
      </c>
      <c r="AE124" s="445">
        <f>(AC124/AC117-1)*100</f>
        <v>11.583885163974506</v>
      </c>
      <c r="AG124" s="306">
        <f>(H124/AE124)*100</f>
        <v>76.006900501515588</v>
      </c>
      <c r="AJ124" s="413">
        <f>U124</f>
        <v>3301.5070000000001</v>
      </c>
      <c r="AL124" s="415">
        <f>IF(ISERROR(AJ124/AC124),"NA",AJ124/AC124*100)</f>
        <v>4.9043450488725151</v>
      </c>
      <c r="AN124" s="765">
        <f>(AL124/AL117-1)*100</f>
        <v>2.4468282351561177</v>
      </c>
      <c r="AP124" s="824"/>
      <c r="AQ124" s="479"/>
    </row>
    <row r="125" spans="1:43" ht="10.5" customHeight="1" outlineLevel="1" x14ac:dyDescent="0.2">
      <c r="A125" s="303" t="s">
        <v>65</v>
      </c>
      <c r="B125" s="303">
        <f t="shared" si="15"/>
        <v>63</v>
      </c>
      <c r="C125" s="303">
        <f t="shared" si="15"/>
        <v>163</v>
      </c>
      <c r="D125" s="477">
        <f>INDEX('qtrP&amp;L'!$12:$12,MATCH($A122,'qtrP&amp;L'!$6:$6,0)+1)</f>
        <v>17.025517727768168</v>
      </c>
      <c r="F125" s="477">
        <f>INDEX('qtrP&amp;L'!$12:$12,MATCH($A122,'qtrP&amp;L'!$6:$6,0)+2)</f>
        <v>8.5</v>
      </c>
      <c r="H125" s="445">
        <f>D125-F125</f>
        <v>8.5255177277681682</v>
      </c>
      <c r="J125" s="686">
        <f>INDEX(stores!D:D,MATCH(B125,stores!C:C,0))</f>
        <v>814</v>
      </c>
      <c r="K125" s="837">
        <f>J125-J124</f>
        <v>65</v>
      </c>
      <c r="L125" s="413">
        <f>AVERAGEA(J124:J125)</f>
        <v>781.5</v>
      </c>
      <c r="N125" s="445">
        <f>(L125/L118-1)*100</f>
        <v>11.483594864479318</v>
      </c>
      <c r="P125" s="306">
        <f>(H125/N125)*100</f>
        <v>74.240843815720297</v>
      </c>
      <c r="S125" s="413">
        <f>INDEX('qtrP&amp;L'!$12:$12,MATCH($A122,'qtrP&amp;L'!$6:$6,0))</f>
        <v>3650.4940000000001</v>
      </c>
      <c r="U125" s="413">
        <f>S125-AP125</f>
        <v>3650.4940000000001</v>
      </c>
      <c r="W125" s="823">
        <f>IF(ISERROR(U125/L125),"NA",U125/L125)</f>
        <v>4.671137555982086</v>
      </c>
      <c r="Y125" s="761">
        <f>IF(ISERROR(W125/W118),"NA",(W125/W118-1)*100)</f>
        <v>4.9710658057139812</v>
      </c>
      <c r="AA125" s="686">
        <f>INDEX(stores!D:D,MATCH(C125,stores!C:C,0))</f>
        <v>72752</v>
      </c>
      <c r="AC125" s="413">
        <f>AVERAGEA(AA124:AA125)</f>
        <v>70035</v>
      </c>
      <c r="AE125" s="445">
        <f>(AC125/AC118-1)*100</f>
        <v>11.024801642345894</v>
      </c>
      <c r="AG125" s="306">
        <f>(H125/AE125)*100</f>
        <v>77.33035028060678</v>
      </c>
      <c r="AJ125" s="413">
        <f>U125</f>
        <v>3650.4940000000001</v>
      </c>
      <c r="AL125" s="415">
        <f>IF(ISERROR(AJ125/AC125),"NA",AJ125/AC125*100)</f>
        <v>5.2123852359534517</v>
      </c>
      <c r="AN125" s="765">
        <f>(AL125/AL118-1)*100</f>
        <v>5.4048428789388092</v>
      </c>
      <c r="AP125" s="824"/>
      <c r="AQ125" s="479"/>
    </row>
    <row r="126" spans="1:43" ht="10.5" customHeight="1" outlineLevel="1" x14ac:dyDescent="0.2">
      <c r="A126" s="303" t="s">
        <v>66</v>
      </c>
      <c r="B126" s="303">
        <f t="shared" si="15"/>
        <v>64</v>
      </c>
      <c r="C126" s="303">
        <f t="shared" si="15"/>
        <v>164</v>
      </c>
      <c r="D126" s="834">
        <f>INDEX('qtrP&amp;L'!$13:$13,MATCH($A122,'qtrP&amp;L'!$6:$6,0)+1)</f>
        <v>17.126335475827091</v>
      </c>
      <c r="F126" s="834">
        <f>INDEX('qtrP&amp;L'!$13:$13,MATCH($A122,'qtrP&amp;L'!$6:$6,0)+2)</f>
        <v>4.0999999999999996</v>
      </c>
      <c r="H126" s="828">
        <f>D126-F126</f>
        <v>13.026335475827091</v>
      </c>
      <c r="J126" s="686">
        <f>INDEX(stores!D:D,MATCH(B126,stores!C:C,0))</f>
        <v>817</v>
      </c>
      <c r="K126" s="837">
        <f>J126-J125</f>
        <v>3</v>
      </c>
      <c r="L126" s="491">
        <f>AVERAGEA(J125:J126)</f>
        <v>815.5</v>
      </c>
      <c r="N126" s="828">
        <f>(L126/L119-1)*100</f>
        <v>11.407103825136611</v>
      </c>
      <c r="P126" s="829">
        <f>(H126/N126)*100</f>
        <v>114.1949409377896</v>
      </c>
      <c r="S126" s="491">
        <f>INDEX('qtrP&amp;L'!$13:$13,MATCH($A122,'qtrP&amp;L'!$6:$6,0))</f>
        <v>5448.6</v>
      </c>
      <c r="U126" s="491">
        <f>S126-AP126</f>
        <v>5448.6</v>
      </c>
      <c r="W126" s="831">
        <f>IF(ISERROR(U126/L126),"NA",U126/L126)</f>
        <v>6.6812998160637651</v>
      </c>
      <c r="Y126" s="830">
        <f>IF(ISERROR(W126/W119),"NA",(W126/W119-1)*100)</f>
        <v>5.1336328244088847</v>
      </c>
      <c r="AA126" s="686">
        <f>INDEX(stores!D:D,MATCH(C126,stores!C:C,0))</f>
        <v>73027</v>
      </c>
      <c r="AC126" s="491">
        <f>AVERAGEA(AA125:AA126)</f>
        <v>72889.5</v>
      </c>
      <c r="AE126" s="828">
        <f>(AC126/AC119-1)*100</f>
        <v>10.75664217716017</v>
      </c>
      <c r="AG126" s="829">
        <f>(H126/AE126)*100</f>
        <v>121.10038859046752</v>
      </c>
      <c r="AJ126" s="491">
        <f>U126</f>
        <v>5448.6</v>
      </c>
      <c r="AL126" s="835">
        <f>IF(ISERROR(AJ126/AC126),"NA",AJ126/AC126*100)</f>
        <v>7.4751507418764014</v>
      </c>
      <c r="AN126" s="836">
        <f>(AL126/AL119-1)*100</f>
        <v>5.7510711533474312</v>
      </c>
      <c r="AP126" s="602"/>
      <c r="AQ126" s="572"/>
    </row>
    <row r="127" spans="1:43" ht="10.5" customHeight="1" outlineLevel="1" x14ac:dyDescent="0.2">
      <c r="A127" s="573" t="s">
        <v>67</v>
      </c>
      <c r="B127" s="573"/>
      <c r="C127" s="573"/>
      <c r="D127" s="477">
        <f>INDEX('qtrP&amp;L'!$14:$14,MATCH($A122,'qtrP&amp;L'!$6:$6,0)+1)</f>
        <v>16.289124173643145</v>
      </c>
      <c r="F127" s="477">
        <f>INDEX('qtrP&amp;L'!$14:$14,MATCH($A122,'qtrP&amp;L'!$6:$6,0)+2)</f>
        <v>5.9</v>
      </c>
      <c r="H127" s="445">
        <f>D127-F127</f>
        <v>10.389124173643145</v>
      </c>
      <c r="J127" s="685"/>
      <c r="L127" s="413">
        <f>AVERAGEA(L123:L126)</f>
        <v>771.625</v>
      </c>
      <c r="N127" s="445">
        <f>(L127/L120-1)*100</f>
        <v>12.012338958446733</v>
      </c>
      <c r="P127" s="306">
        <f>(H127/N127)*100</f>
        <v>86.487104714422074</v>
      </c>
      <c r="S127" s="319">
        <f>INDEX('qtrP&amp;L'!$14:$14,MATCH($A122,'qtrP&amp;L'!$6:$6,0))</f>
        <v>15585.301000000001</v>
      </c>
      <c r="U127" s="319">
        <f>S127-AP127</f>
        <v>15585.301000000001</v>
      </c>
      <c r="W127" s="821">
        <f>IF(ISERROR(U127/L127),"NA",U127/L127)</f>
        <v>20.198024947351371</v>
      </c>
      <c r="Y127" s="761">
        <f>IF(ISERROR(W127/W120),"NA",(W127/W120-1)*100)</f>
        <v>3.8181375864162259</v>
      </c>
      <c r="AA127" s="815"/>
      <c r="AC127" s="413">
        <f>AVERAGEA(AC123:AC126)</f>
        <v>69207.25</v>
      </c>
      <c r="AE127" s="445">
        <f>(AC127/AC120-1)*100</f>
        <v>11.604121018119651</v>
      </c>
      <c r="AG127" s="306">
        <f>(H127/AE127)*100</f>
        <v>89.529608984779557</v>
      </c>
      <c r="AJ127" s="319">
        <f>SUM(AJ123:AJ126)</f>
        <v>15585.301000000001</v>
      </c>
      <c r="AL127" s="833">
        <f>IF(ISERROR(AJ127/AC127),"NA",AJ127/AC127*100)</f>
        <v>22.519751904605371</v>
      </c>
      <c r="AN127" s="765">
        <f>(AL127/AL120-1)*100</f>
        <v>4.1978764876996255</v>
      </c>
      <c r="AP127" s="822"/>
      <c r="AQ127" s="489"/>
    </row>
    <row r="128" spans="1:43" ht="10.5" customHeight="1" outlineLevel="1" x14ac:dyDescent="0.2">
      <c r="J128" s="685"/>
      <c r="L128" s="413"/>
      <c r="P128" s="306"/>
      <c r="Y128" s="765"/>
      <c r="AA128" s="815"/>
      <c r="AC128" s="413"/>
      <c r="AG128" s="306"/>
      <c r="AN128" s="765"/>
    </row>
    <row r="129" spans="1:43" ht="10.5" customHeight="1" outlineLevel="1" x14ac:dyDescent="0.2">
      <c r="A129" s="812">
        <v>2007</v>
      </c>
      <c r="B129" s="812"/>
      <c r="C129" s="812"/>
      <c r="J129" s="685"/>
      <c r="L129" s="413"/>
      <c r="P129" s="306"/>
      <c r="Y129" s="765"/>
      <c r="AA129" s="815"/>
      <c r="AC129" s="413"/>
      <c r="AG129" s="306"/>
      <c r="AN129" s="765"/>
    </row>
    <row r="130" spans="1:43" ht="10.5" customHeight="1" outlineLevel="1" x14ac:dyDescent="0.2">
      <c r="A130" s="303" t="s">
        <v>63</v>
      </c>
      <c r="B130" s="303">
        <f>B126+1</f>
        <v>65</v>
      </c>
      <c r="C130" s="303">
        <f>C126+1</f>
        <v>165</v>
      </c>
      <c r="D130" s="477">
        <f>INDEX('qtrP&amp;L'!$10:$10,MATCH($A129,'qtrP&amp;L'!$6:$6,0)+1)</f>
        <v>12.161271077338531</v>
      </c>
      <c r="F130" s="477">
        <f>INDEX('qtrP&amp;L'!$10:$10,MATCH($A129,'qtrP&amp;L'!$6:$6,0)+2)</f>
        <v>3.9</v>
      </c>
      <c r="G130" s="303" t="s">
        <v>102</v>
      </c>
      <c r="H130" s="445">
        <f>D130-F130</f>
        <v>8.2612710773385309</v>
      </c>
      <c r="I130" s="303" t="s">
        <v>102</v>
      </c>
      <c r="J130" s="686">
        <f>INDEX(stores!D:D,MATCH(B130,stores!C:C,0))</f>
        <v>834</v>
      </c>
      <c r="K130" s="837">
        <f>J130-J105</f>
        <v>292</v>
      </c>
      <c r="L130" s="413">
        <f>AVERAGEA(J130,J105)</f>
        <v>688</v>
      </c>
      <c r="N130" s="445">
        <f>(L130/L102-1)*100</f>
        <v>44.994731296101165</v>
      </c>
      <c r="O130" s="303" t="s">
        <v>102</v>
      </c>
      <c r="P130" s="306">
        <f>(H130/N130)*100</f>
        <v>18.360529865091955</v>
      </c>
      <c r="Q130" s="303" t="s">
        <v>102</v>
      </c>
      <c r="S130" s="319">
        <f>INDEX('qtrP&amp;L'!$10:$10,MATCH($A129,'qtrP&amp;L'!$6:$6,0))</f>
        <v>3572</v>
      </c>
      <c r="U130" s="319">
        <f>S130-AP130</f>
        <v>3572</v>
      </c>
      <c r="W130" s="821">
        <f>IF(ISERROR(U130/L130),"NA",U130/L130)</f>
        <v>5.191860465116279</v>
      </c>
      <c r="Y130" s="761">
        <f>IF(ISERROR(W130/W123),"NA",(W130/W123-1)*100)</f>
        <v>20.720089001117991</v>
      </c>
      <c r="Z130" s="303" t="s">
        <v>102</v>
      </c>
      <c r="AA130" s="686">
        <f>INDEX(stores!D:D,MATCH(C130,stores!C:C,0))</f>
        <v>74449</v>
      </c>
      <c r="AC130" s="413">
        <f>AVERAGEA(AA130,AA105)</f>
        <v>61438</v>
      </c>
      <c r="AE130" s="445">
        <f>(AC130/AC102-1)*100</f>
        <v>45.962961643087084</v>
      </c>
      <c r="AF130" s="303" t="s">
        <v>102</v>
      </c>
      <c r="AG130" s="306">
        <f>(H130/AE130)*100</f>
        <v>17.973757090522565</v>
      </c>
      <c r="AH130" s="303" t="s">
        <v>102</v>
      </c>
      <c r="AJ130" s="319">
        <f>U130</f>
        <v>3572</v>
      </c>
      <c r="AL130" s="833">
        <f>IF(ISERROR(AJ130/AC130),"NA",AJ130/AC130*100)</f>
        <v>5.8139913408639599</v>
      </c>
      <c r="AN130" s="765">
        <f>(AL130/AL102-1)*100</f>
        <v>15.559152157517776</v>
      </c>
      <c r="AO130" s="303" t="s">
        <v>102</v>
      </c>
      <c r="AP130" s="822"/>
      <c r="AQ130" s="489"/>
    </row>
    <row r="131" spans="1:43" ht="10.5" customHeight="1" outlineLevel="1" x14ac:dyDescent="0.2">
      <c r="A131" s="303" t="s">
        <v>64</v>
      </c>
      <c r="B131" s="303">
        <f t="shared" ref="B131:C133" si="16">B130+1</f>
        <v>66</v>
      </c>
      <c r="C131" s="303">
        <f t="shared" si="16"/>
        <v>166</v>
      </c>
      <c r="D131" s="477">
        <f>INDEX('qtrP&amp;L'!$11:$11,MATCH($A129,'qtrP&amp;L'!$6:$6,0)+1)</f>
        <v>8.7139903080623462</v>
      </c>
      <c r="F131" s="477">
        <f>INDEX('qtrP&amp;L'!$11:$11,MATCH($A129,'qtrP&amp;L'!$6:$6,0)+2)</f>
        <v>1.3</v>
      </c>
      <c r="H131" s="445">
        <f>D131-F131</f>
        <v>7.4139903080623464</v>
      </c>
      <c r="J131" s="686">
        <f>INDEX(stores!D:D,MATCH(B131,stores!C:C,0))</f>
        <v>834</v>
      </c>
      <c r="K131" s="837">
        <f>J131-J130</f>
        <v>0</v>
      </c>
      <c r="L131" s="413">
        <f>AVERAGEA(J130:J131)</f>
        <v>834</v>
      </c>
      <c r="N131" s="445">
        <f>(L131/L103-1)*100</f>
        <v>69.512195121951208</v>
      </c>
      <c r="P131" s="306">
        <f>(H131/N131)*100</f>
        <v>10.665740443177413</v>
      </c>
      <c r="S131" s="413">
        <f>INDEX('qtrP&amp;L'!$11:$11,MATCH($A129,'qtrP&amp;L'!$6:$6,0))</f>
        <v>3589.2</v>
      </c>
      <c r="U131" s="413">
        <f>S131-AP131</f>
        <v>3589.2</v>
      </c>
      <c r="W131" s="823">
        <f>IF(ISERROR(U131/L131),"NA",U131/L131)</f>
        <v>4.3035971223021576</v>
      </c>
      <c r="Y131" s="761">
        <f>IF(ISERROR(W131/W124),"NA",(W131/W124-1)*100)</f>
        <v>-2.3659727329272462</v>
      </c>
      <c r="AA131" s="686">
        <f>INDEX(stores!D:D,MATCH(C131,stores!C:C,0))</f>
        <v>74449</v>
      </c>
      <c r="AC131" s="413">
        <f>AVERAGEA(AA130:AA131)</f>
        <v>74449</v>
      </c>
      <c r="AE131" s="445">
        <f>(AC131/AC103-1)*100</f>
        <v>70.568761097428265</v>
      </c>
      <c r="AG131" s="306">
        <f>(H131/AE131)*100</f>
        <v>10.506051392664359</v>
      </c>
      <c r="AJ131" s="413">
        <f>U131</f>
        <v>3589.2</v>
      </c>
      <c r="AL131" s="415">
        <f>IF(ISERROR(AJ131/AC131),"NA",AJ131/AC131*100)</f>
        <v>4.8210184152910038</v>
      </c>
      <c r="AN131" s="765">
        <f>(AL131/AL103-1)*100</f>
        <v>-4.715902335892908</v>
      </c>
      <c r="AP131" s="824"/>
      <c r="AQ131" s="479"/>
    </row>
    <row r="132" spans="1:43" ht="10.5" customHeight="1" outlineLevel="1" x14ac:dyDescent="0.2">
      <c r="A132" s="303" t="s">
        <v>65</v>
      </c>
      <c r="B132" s="303">
        <f t="shared" si="16"/>
        <v>67</v>
      </c>
      <c r="C132" s="303">
        <f t="shared" si="16"/>
        <v>167</v>
      </c>
      <c r="D132" s="477">
        <f>INDEX('qtrP&amp;L'!$12:$12,MATCH($A129,'qtrP&amp;L'!$6:$6,0)+1)</f>
        <v>4.7858180290119456</v>
      </c>
      <c r="F132" s="477">
        <f>INDEX('qtrP&amp;L'!$12:$12,MATCH($A129,'qtrP&amp;L'!$6:$6,0)+2)</f>
        <v>-2.5683781240196586</v>
      </c>
      <c r="H132" s="445">
        <f>D132-F132</f>
        <v>7.3541961530316042</v>
      </c>
      <c r="J132" s="686">
        <f>INDEX(stores!D:D,MATCH(B132,stores!C:C,0))</f>
        <v>914</v>
      </c>
      <c r="K132" s="837">
        <f>J132-J131</f>
        <v>80</v>
      </c>
      <c r="L132" s="413">
        <f>AVERAGEA(J131:J132)</f>
        <v>874</v>
      </c>
      <c r="N132" s="445">
        <f>(L132/L104-1)*100</f>
        <v>69.052224371373299</v>
      </c>
      <c r="P132" s="306">
        <f>(H132/N132)*100</f>
        <v>10.650194428900111</v>
      </c>
      <c r="S132" s="413">
        <f>INDEX('qtrP&amp;L'!$12:$12,MATCH($A129,'qtrP&amp;L'!$6:$6,0))</f>
        <v>3825.2</v>
      </c>
      <c r="U132" s="413">
        <f>S132-AP132</f>
        <v>3825.2</v>
      </c>
      <c r="W132" s="823">
        <f>IF(ISERROR(U132/L132),"NA",U132/L132)</f>
        <v>4.376659038901602</v>
      </c>
      <c r="Y132" s="761">
        <f>IF(ISERROR(W132/W125),"NA",(W132/W125-1)*100)</f>
        <v>-6.3042141994589791</v>
      </c>
      <c r="AA132" s="686">
        <f>INDEX(stores!D:D,MATCH(C132,stores!C:C,0))</f>
        <v>81224</v>
      </c>
      <c r="AC132" s="413">
        <f>AVERAGEA(AA131:AA132)</f>
        <v>77836.5</v>
      </c>
      <c r="AE132" s="445">
        <f>(AC132/AC104-1)*100</f>
        <v>68.993030678043382</v>
      </c>
      <c r="AG132" s="306">
        <f>(H132/AE132)*100</f>
        <v>10.659331936511137</v>
      </c>
      <c r="AJ132" s="413">
        <f>U132</f>
        <v>3825.2</v>
      </c>
      <c r="AL132" s="415">
        <f>IF(ISERROR(AJ132/AC132),"NA",AJ132/AC132*100)</f>
        <v>4.9144039107616599</v>
      </c>
      <c r="AN132" s="765">
        <f>(AL132/AL104-1)*100</f>
        <v>-5.450071125408817</v>
      </c>
      <c r="AP132" s="824"/>
      <c r="AQ132" s="479"/>
    </row>
    <row r="133" spans="1:43" ht="10.5" customHeight="1" outlineLevel="1" x14ac:dyDescent="0.2">
      <c r="A133" s="303" t="s">
        <v>66</v>
      </c>
      <c r="B133" s="303">
        <f t="shared" si="16"/>
        <v>68</v>
      </c>
      <c r="C133" s="303">
        <f t="shared" si="16"/>
        <v>168</v>
      </c>
      <c r="D133" s="834">
        <f>INDEX('qtrP&amp;L'!$13:$13,MATCH($A129,'qtrP&amp;L'!$6:$6,0)+1)</f>
        <v>0.71027419887677024</v>
      </c>
      <c r="F133" s="834">
        <f>INDEX('qtrP&amp;L'!$13:$13,MATCH($A129,'qtrP&amp;L'!$6:$6,0)+2)</f>
        <v>-4</v>
      </c>
      <c r="H133" s="828">
        <f>D133-F133</f>
        <v>4.7102741988767702</v>
      </c>
      <c r="J133" s="686">
        <f>INDEX(stores!D:D,MATCH(B133,stores!C:C,0))</f>
        <v>929</v>
      </c>
      <c r="K133" s="837">
        <f>J133-J132</f>
        <v>15</v>
      </c>
      <c r="L133" s="491">
        <f>AVERAGEA(J132:J133)</f>
        <v>921.5</v>
      </c>
      <c r="N133" s="828">
        <f>(L133/L105-1)*100</f>
        <v>70.01845018450183</v>
      </c>
      <c r="P133" s="829">
        <f>(H133/N133)*100</f>
        <v>6.7271900284353352</v>
      </c>
      <c r="S133" s="491">
        <f>INDEX('qtrP&amp;L'!$13:$13,MATCH($A129,'qtrP&amp;L'!$6:$6,0))</f>
        <v>5487.3</v>
      </c>
      <c r="U133" s="491">
        <f>S133-AP133</f>
        <v>5487.3</v>
      </c>
      <c r="W133" s="831">
        <f>IF(ISERROR(U133/L133),"NA",U133/L133)</f>
        <v>5.954747693977211</v>
      </c>
      <c r="Y133" s="830">
        <f>IF(ISERROR(W133/W126),"NA",(W133/W126-1)*100)</f>
        <v>-10.874412795242538</v>
      </c>
      <c r="AA133" s="686">
        <f>INDEX(stores!D:D,MATCH(C133,stores!C:C,0))</f>
        <v>82538</v>
      </c>
      <c r="AC133" s="491">
        <f>AVERAGEA(AA132:AA133)</f>
        <v>81881</v>
      </c>
      <c r="AE133" s="828">
        <f>(AC133/AC105-1)*100</f>
        <v>69.081297623226718</v>
      </c>
      <c r="AG133" s="829">
        <f>(H133/AE133)*100</f>
        <v>6.818450667453976</v>
      </c>
      <c r="AJ133" s="491">
        <f>U133</f>
        <v>5487.3</v>
      </c>
      <c r="AL133" s="835">
        <f>IF(ISERROR(AJ133/AC133),"NA",AJ133/AC133*100)</f>
        <v>6.7015546952284417</v>
      </c>
      <c r="AN133" s="836">
        <f>(AL133/AL105-1)*100</f>
        <v>-8.8867769376378405</v>
      </c>
      <c r="AP133" s="832"/>
      <c r="AQ133" s="572"/>
    </row>
    <row r="134" spans="1:43" ht="10.5" customHeight="1" outlineLevel="1" x14ac:dyDescent="0.2">
      <c r="A134" s="573" t="s">
        <v>67</v>
      </c>
      <c r="B134" s="573"/>
      <c r="C134" s="573"/>
      <c r="D134" s="477">
        <f>INDEX('qtrP&amp;L'!$14:$14,MATCH($A129,'qtrP&amp;L'!$6:$6,0)+1)</f>
        <v>5.700236395819358</v>
      </c>
      <c r="F134" s="477">
        <f>INDEX('qtrP&amp;L'!$14:$14,MATCH($A129,'qtrP&amp;L'!$6:$6,0)+2)</f>
        <v>-0.7998810224782531</v>
      </c>
      <c r="H134" s="445">
        <f>D134-F134</f>
        <v>6.5001174182976111</v>
      </c>
      <c r="J134" s="685"/>
      <c r="L134" s="413">
        <f>AVERAGEA(L130:L133)</f>
        <v>829.375</v>
      </c>
      <c r="N134" s="445">
        <f>(L134/L106-1)*100</f>
        <v>63.786719328560856</v>
      </c>
      <c r="P134" s="306">
        <f>(H134/N134)*100</f>
        <v>10.190393057865178</v>
      </c>
      <c r="S134" s="319">
        <f>INDEX('qtrP&amp;L'!$14:$14,MATCH($A129,'qtrP&amp;L'!$6:$6,0))</f>
        <v>16473.7</v>
      </c>
      <c r="U134" s="319">
        <f>S134-AP134</f>
        <v>16473.7</v>
      </c>
      <c r="W134" s="821">
        <f>IF(ISERROR(U134/L134),"NA",U134/L134)</f>
        <v>19.862788244159759</v>
      </c>
      <c r="Y134" s="761">
        <f>IF(ISERROR(W134/W127),"NA",(W134/W127-1)*100)</f>
        <v>-1.6597499214177969</v>
      </c>
      <c r="AC134" s="413">
        <f>AVERAGEA(AC130:AC133)</f>
        <v>73901.125</v>
      </c>
      <c r="AE134" s="445">
        <f>(AC134/AC106-1)*100</f>
        <v>64.019697600221946</v>
      </c>
      <c r="AG134" s="306">
        <f>(H134/AE134)*100</f>
        <v>10.153308531521517</v>
      </c>
      <c r="AJ134" s="319">
        <f>SUM(AJ130:AJ133)</f>
        <v>16473.7</v>
      </c>
      <c r="AL134" s="833">
        <f>IF(ISERROR(AJ134/AC134),"NA",AJ134/AC134*100)</f>
        <v>22.291541569901678</v>
      </c>
      <c r="AN134" s="765">
        <f>(AL134/AL106-1)*100</f>
        <v>-2.3173244642207269</v>
      </c>
      <c r="AP134" s="489"/>
      <c r="AQ134" s="489"/>
    </row>
    <row r="135" spans="1:43" ht="10.5" customHeight="1" outlineLevel="1" x14ac:dyDescent="0.2">
      <c r="J135" s="685"/>
      <c r="L135" s="413"/>
      <c r="P135" s="306"/>
      <c r="Y135" s="765"/>
      <c r="AA135" s="815"/>
      <c r="AC135" s="413"/>
      <c r="AG135" s="306"/>
      <c r="AN135" s="765"/>
    </row>
    <row r="136" spans="1:43" ht="10.5" customHeight="1" outlineLevel="1" x14ac:dyDescent="0.2">
      <c r="A136" s="812">
        <v>2008</v>
      </c>
      <c r="B136" s="812"/>
      <c r="C136" s="812"/>
      <c r="J136" s="685"/>
      <c r="L136" s="413"/>
      <c r="P136" s="306"/>
      <c r="Y136" s="765"/>
      <c r="AA136" s="815"/>
      <c r="AC136" s="413"/>
      <c r="AG136" s="306"/>
      <c r="AN136" s="765"/>
    </row>
    <row r="137" spans="1:43" ht="10.5" customHeight="1" outlineLevel="1" x14ac:dyDescent="0.2">
      <c r="A137" s="303" t="s">
        <v>63</v>
      </c>
      <c r="B137" s="303">
        <f>B133+1</f>
        <v>69</v>
      </c>
      <c r="C137" s="303">
        <f>C133+1</f>
        <v>169</v>
      </c>
      <c r="D137" s="477">
        <f>INDEX('qtrP&amp;L'!$10:$10,MATCH($A136,'qtrP&amp;L'!$6:$6,0)+1)</f>
        <v>1.463017917133258</v>
      </c>
      <c r="F137" s="477">
        <f>INDEX('qtrP&amp;L'!$10:$10,MATCH($A136,'qtrP&amp;L'!$6:$6,0)+2)</f>
        <v>-6.7</v>
      </c>
      <c r="G137" s="303" t="s">
        <v>102</v>
      </c>
      <c r="H137" s="445">
        <f>D137-F137</f>
        <v>8.1630179171332582</v>
      </c>
      <c r="I137" s="303" t="s">
        <v>102</v>
      </c>
      <c r="J137" s="686">
        <f>INDEX(stores!D:D,MATCH(B137,stores!C:C,0))</f>
        <v>957</v>
      </c>
      <c r="K137" s="837">
        <f>J137-J133</f>
        <v>28</v>
      </c>
      <c r="L137" s="413">
        <f>AVERAGEA(J137,J133)</f>
        <v>943</v>
      </c>
      <c r="N137" s="445">
        <f>(L137/L130-1)*100</f>
        <v>37.063953488372107</v>
      </c>
      <c r="O137" s="303" t="s">
        <v>102</v>
      </c>
      <c r="P137" s="306">
        <f>(H137/N137)*100</f>
        <v>22.024142458775213</v>
      </c>
      <c r="Q137" s="303" t="s">
        <v>102</v>
      </c>
      <c r="S137" s="319">
        <f>INDEX('qtrP&amp;L'!$10:$10,MATCH($A136,'qtrP&amp;L'!$6:$6,0))</f>
        <v>3624.259</v>
      </c>
      <c r="U137" s="319">
        <f>S137-AP137</f>
        <v>3624.259</v>
      </c>
      <c r="W137" s="821">
        <f>IF(ISERROR(U137/L137),"NA",U137/L137)</f>
        <v>3.8433287380699892</v>
      </c>
      <c r="Y137" s="761">
        <f>IF(ISERROR(W137/W130),"NA",(W137/W130-1)*100)</f>
        <v>-25.973959356322716</v>
      </c>
      <c r="Z137" s="303" t="s">
        <v>102</v>
      </c>
      <c r="AA137" s="686">
        <f>INDEX(stores!D:D,MATCH(C137,stores!C:C,0))</f>
        <v>84922</v>
      </c>
      <c r="AC137" s="413">
        <f>AVERAGEA(AA137,AA133)</f>
        <v>83730</v>
      </c>
      <c r="AE137" s="445">
        <f>(AC137/AC130-1)*100</f>
        <v>36.283733194439918</v>
      </c>
      <c r="AF137" s="303" t="s">
        <v>102</v>
      </c>
      <c r="AG137" s="306">
        <f>(H137/AE137)*100</f>
        <v>22.497734379725156</v>
      </c>
      <c r="AH137" s="303" t="s">
        <v>102</v>
      </c>
      <c r="AJ137" s="319">
        <f>U137</f>
        <v>3624.259</v>
      </c>
      <c r="AL137" s="833">
        <f>IF(ISERROR(AJ137/AC137),"NA",AJ137/AC137*100)</f>
        <v>4.3285071061746088</v>
      </c>
      <c r="AN137" s="765">
        <f>(AL137/AL130-1)*100</f>
        <v>-25.550162489038176</v>
      </c>
      <c r="AO137" s="303" t="s">
        <v>102</v>
      </c>
      <c r="AP137" s="319"/>
      <c r="AQ137" s="489"/>
    </row>
    <row r="138" spans="1:43" ht="10.5" customHeight="1" outlineLevel="1" x14ac:dyDescent="0.2">
      <c r="A138" s="303" t="s">
        <v>64</v>
      </c>
      <c r="B138" s="303">
        <f t="shared" ref="B138:C140" si="17">B137+1</f>
        <v>70</v>
      </c>
      <c r="C138" s="303">
        <f t="shared" si="17"/>
        <v>170</v>
      </c>
      <c r="D138" s="477">
        <f>INDEX('qtrP&amp;L'!$11:$11,MATCH($A136,'qtrP&amp;L'!$6:$6,0)+1)</f>
        <v>3.797225008358418</v>
      </c>
      <c r="F138" s="477">
        <f>INDEX('qtrP&amp;L'!$11:$11,MATCH($A136,'qtrP&amp;L'!$6:$6,0)+2)</f>
        <v>-4.5999999999999996</v>
      </c>
      <c r="H138" s="445">
        <f>D138-F138</f>
        <v>8.3972250083584186</v>
      </c>
      <c r="J138" s="686">
        <f>INDEX(stores!D:D,MATCH(B138,stores!C:C,0))</f>
        <v>957</v>
      </c>
      <c r="K138" s="837">
        <f>J138-J137</f>
        <v>0</v>
      </c>
      <c r="L138" s="413">
        <f>AVERAGEA(J137:J138)</f>
        <v>957</v>
      </c>
      <c r="N138" s="445">
        <f>(L138/L131-1)*100</f>
        <v>14.748201438848918</v>
      </c>
      <c r="P138" s="306">
        <f>(H138/N138)*100</f>
        <v>56.937281763991244</v>
      </c>
      <c r="S138" s="413">
        <f>INDEX('qtrP&amp;L'!$11:$11,MATCH($A136,'qtrP&amp;L'!$6:$6,0))</f>
        <v>3725.49</v>
      </c>
      <c r="U138" s="413">
        <f>S138-AP138</f>
        <v>3725.49</v>
      </c>
      <c r="W138" s="823">
        <f>IF(ISERROR(U138/L138),"NA",U138/L138)</f>
        <v>3.8928840125391848</v>
      </c>
      <c r="Y138" s="761">
        <f>IF(ISERROR(W138/W131),"NA",(W138/W131-1)*100)</f>
        <v>-9.5434841619948525</v>
      </c>
      <c r="AA138" s="686">
        <f>INDEX(stores!D:D,MATCH(C138,stores!C:C,0))</f>
        <v>84942</v>
      </c>
      <c r="AC138" s="413">
        <f>AVERAGEA(AA137:AA138)</f>
        <v>84932</v>
      </c>
      <c r="AE138" s="445">
        <f>(AC138/AC131-1)*100</f>
        <v>14.080780131365088</v>
      </c>
      <c r="AG138" s="306">
        <f>(H138/AE138)*100</f>
        <v>59.636077902058219</v>
      </c>
      <c r="AJ138" s="413">
        <f>U138</f>
        <v>3725.49</v>
      </c>
      <c r="AL138" s="415">
        <f>IF(ISERROR(AJ138/AC138),"NA",AJ138/AC138*100)</f>
        <v>4.3864385626147975</v>
      </c>
      <c r="AN138" s="765">
        <f>(AL138/AL131-1)*100</f>
        <v>-9.0142748946536511</v>
      </c>
      <c r="AP138" s="413"/>
      <c r="AQ138" s="479"/>
    </row>
    <row r="139" spans="1:43" ht="10.5" customHeight="1" outlineLevel="1" x14ac:dyDescent="0.2">
      <c r="A139" s="303" t="s">
        <v>65</v>
      </c>
      <c r="B139" s="303">
        <f t="shared" si="17"/>
        <v>71</v>
      </c>
      <c r="C139" s="303">
        <f t="shared" si="17"/>
        <v>171</v>
      </c>
      <c r="D139" s="477">
        <f>INDEX('qtrP&amp;L'!$12:$12,MATCH($A136,'qtrP&amp;L'!$6:$6,0)+1)</f>
        <v>-0.56339537801944894</v>
      </c>
      <c r="F139" s="477">
        <f>INDEX('qtrP&amp;L'!$12:$12,MATCH($A136,'qtrP&amp;L'!$6:$6,0)+2)</f>
        <v>-6.7</v>
      </c>
      <c r="H139" s="445">
        <f>D139-F139</f>
        <v>6.1366046219805508</v>
      </c>
      <c r="J139" s="686">
        <f>INDEX(stores!D:D,MATCH(B139,stores!C:C,0))</f>
        <v>1004</v>
      </c>
      <c r="K139" s="837">
        <f>J139-J138</f>
        <v>47</v>
      </c>
      <c r="L139" s="413">
        <f>AVERAGEA(J138:J139)</f>
        <v>980.5</v>
      </c>
      <c r="N139" s="445">
        <f>(L139/L132-1)*100</f>
        <v>12.185354691075512</v>
      </c>
      <c r="P139" s="306">
        <f>(H139/N139)*100</f>
        <v>50.360492390713638</v>
      </c>
      <c r="S139" s="413">
        <f>INDEX('qtrP&amp;L'!$12:$12,MATCH($A136,'qtrP&amp;L'!$6:$6,0))</f>
        <v>3803.6489999999999</v>
      </c>
      <c r="U139" s="413">
        <f>S139-AP139</f>
        <v>3803.6489999999999</v>
      </c>
      <c r="W139" s="823">
        <f>IF(ISERROR(U139/L139),"NA",U139/L139)</f>
        <v>3.8792952575216724</v>
      </c>
      <c r="Y139" s="761">
        <f>IF(ISERROR(W139/W132),"NA",(W139/W132-1)*100)</f>
        <v>-11.364005670972976</v>
      </c>
      <c r="AA139" s="686">
        <f>INDEX(stores!D:D,MATCH(C139,stores!C:C,0))</f>
        <v>88979</v>
      </c>
      <c r="AC139" s="413">
        <f>AVERAGEA(AA138:AA139)</f>
        <v>86960.5</v>
      </c>
      <c r="AE139" s="445">
        <f>(AC139/AC132-1)*100</f>
        <v>11.722007027551351</v>
      </c>
      <c r="AG139" s="306">
        <f>(H139/AE139)*100</f>
        <v>52.351142663172809</v>
      </c>
      <c r="AJ139" s="413">
        <f>U139</f>
        <v>3803.6489999999999</v>
      </c>
      <c r="AL139" s="415">
        <f>IF(ISERROR(AJ139/AC139),"NA",AJ139/AC139*100)</f>
        <v>4.3739962396720351</v>
      </c>
      <c r="AN139" s="765">
        <f>(AL139/AL132-1)*100</f>
        <v>-10.996403244475472</v>
      </c>
      <c r="AP139" s="413"/>
      <c r="AQ139" s="479"/>
    </row>
    <row r="140" spans="1:43" ht="10.5" customHeight="1" outlineLevel="1" x14ac:dyDescent="0.2">
      <c r="A140" s="303" t="s">
        <v>66</v>
      </c>
      <c r="B140" s="303">
        <f t="shared" si="17"/>
        <v>72</v>
      </c>
      <c r="C140" s="303">
        <f t="shared" si="17"/>
        <v>172</v>
      </c>
      <c r="D140" s="834">
        <f>INDEX('qtrP&amp;L'!$13:$13,MATCH($A136,'qtrP&amp;L'!$6:$6,0)+1)</f>
        <v>-4.5978896725165423</v>
      </c>
      <c r="F140" s="834">
        <f>INDEX('qtrP&amp;L'!$13:$13,MATCH($A136,'qtrP&amp;L'!$6:$6,0)+2)</f>
        <v>-9.1</v>
      </c>
      <c r="H140" s="828">
        <f>D140-F140</f>
        <v>4.5021103274834573</v>
      </c>
      <c r="J140" s="686">
        <f>INDEX(stores!D:D,MATCH(B140,stores!C:C,0))</f>
        <v>1004</v>
      </c>
      <c r="K140" s="837">
        <f>J140-J139</f>
        <v>0</v>
      </c>
      <c r="L140" s="491">
        <f>AVERAGEA(J139:J140)</f>
        <v>1004</v>
      </c>
      <c r="N140" s="828">
        <f>(L140/L133-1)*100</f>
        <v>8.9527943570265833</v>
      </c>
      <c r="P140" s="829">
        <f>(H140/N140)*100</f>
        <v>50.287208082133425</v>
      </c>
      <c r="S140" s="491">
        <f>INDEX('qtrP&amp;L'!$13:$13,MATCH($A136,'qtrP&amp;L'!$6:$6,0))</f>
        <v>5235</v>
      </c>
      <c r="U140" s="491">
        <f>S140-AP140</f>
        <v>5235</v>
      </c>
      <c r="W140" s="831">
        <f>IF(ISERROR(U140/L140),"NA",U140/L140)</f>
        <v>5.2141434262948207</v>
      </c>
      <c r="Y140" s="830">
        <f>IF(ISERROR(W140/W133),"NA",(W140/W133-1)*100)</f>
        <v>-12.437206507195208</v>
      </c>
      <c r="AA140" s="686">
        <f>INDEX(stores!D:D,MATCH(C140,stores!C:C,0))</f>
        <v>88979</v>
      </c>
      <c r="AC140" s="491">
        <f>AVERAGEA(AA139:AA140)</f>
        <v>88979</v>
      </c>
      <c r="AE140" s="828">
        <f>(AC140/AC133-1)*100</f>
        <v>8.6686777152208627</v>
      </c>
      <c r="AG140" s="829">
        <f>(H140/AE140)*100</f>
        <v>51.935375559970879</v>
      </c>
      <c r="AJ140" s="491">
        <f>U140</f>
        <v>5235</v>
      </c>
      <c r="AL140" s="835">
        <f>IF(ISERROR(AJ140/AC140),"NA",AJ140/AC140*100)</f>
        <v>5.8834106924105685</v>
      </c>
      <c r="AN140" s="836">
        <f>(AL140/AL133-1)*100</f>
        <v>-12.208271662699378</v>
      </c>
      <c r="AP140" s="491"/>
      <c r="AQ140" s="572"/>
    </row>
    <row r="141" spans="1:43" ht="10.5" customHeight="1" outlineLevel="1" x14ac:dyDescent="0.2">
      <c r="A141" s="573" t="s">
        <v>67</v>
      </c>
      <c r="B141" s="573"/>
      <c r="C141" s="573"/>
      <c r="D141" s="477">
        <f>INDEX('qtrP&amp;L'!$14:$14,MATCH($A136,'qtrP&amp;L'!$6:$6,0)+1)</f>
        <v>-0.51780717143082855</v>
      </c>
      <c r="F141" s="477">
        <f>INDEX('qtrP&amp;L'!$14:$14,MATCH($A136,'qtrP&amp;L'!$6:$6,0)+2)</f>
        <v>-6.9</v>
      </c>
      <c r="H141" s="445">
        <f>D141-F141</f>
        <v>6.3821928285691722</v>
      </c>
      <c r="J141" s="685"/>
      <c r="L141" s="413">
        <f>AVERAGEA(L137:L140)</f>
        <v>971.125</v>
      </c>
      <c r="N141" s="445">
        <f>(L141/L134-1)*100</f>
        <v>17.091183119819142</v>
      </c>
      <c r="P141" s="306">
        <f>(H141/N141)*100</f>
        <v>37.342018886734088</v>
      </c>
      <c r="S141" s="319">
        <f>INDEX('qtrP&amp;L'!$14:$14,MATCH($A136,'qtrP&amp;L'!$6:$6,0))</f>
        <v>16388.398000000001</v>
      </c>
      <c r="U141" s="319">
        <f>S141-AP141</f>
        <v>16388.398000000001</v>
      </c>
      <c r="W141" s="821">
        <f>IF(ISERROR(U141/L141),"NA",U141/L141)</f>
        <v>16.875683356931393</v>
      </c>
      <c r="Y141" s="761">
        <f>IF(ISERROR(W141/W134),"NA",(W141/W134-1)*100)</f>
        <v>-15.038698749188262</v>
      </c>
      <c r="AA141" s="815"/>
      <c r="AC141" s="413">
        <f>AVERAGEA(AC137:AC140)</f>
        <v>86150.375</v>
      </c>
      <c r="AE141" s="445">
        <f>(AC141/AC134-1)*100</f>
        <v>16.575187454859442</v>
      </c>
      <c r="AG141" s="306">
        <f>(H141/AE141)*100</f>
        <v>38.504498642626622</v>
      </c>
      <c r="AJ141" s="319">
        <f>SUM(AJ137:AJ140)</f>
        <v>16388.398000000001</v>
      </c>
      <c r="AL141" s="833">
        <f>IF(ISERROR(AJ141/AC141),"NA",AJ141/AC141*100)</f>
        <v>19.023014119207261</v>
      </c>
      <c r="AN141" s="765">
        <f>(AL141/AL134-1)*100</f>
        <v>-14.662635333877605</v>
      </c>
      <c r="AP141" s="319"/>
      <c r="AQ141" s="489"/>
    </row>
    <row r="142" spans="1:43" ht="10.5" customHeight="1" outlineLevel="1" x14ac:dyDescent="0.2">
      <c r="J142" s="685"/>
      <c r="L142" s="413"/>
      <c r="P142" s="306"/>
      <c r="Y142" s="765"/>
      <c r="AA142" s="815"/>
      <c r="AC142" s="413"/>
      <c r="AG142" s="306"/>
      <c r="AN142" s="765"/>
    </row>
    <row r="143" spans="1:43" ht="10.5" customHeight="1" outlineLevel="1" x14ac:dyDescent="0.2">
      <c r="A143" s="812">
        <v>2009</v>
      </c>
      <c r="B143" s="812"/>
      <c r="C143" s="812"/>
      <c r="J143" s="685"/>
      <c r="L143" s="413"/>
      <c r="P143" s="306"/>
      <c r="Y143" s="765"/>
      <c r="AA143" s="815"/>
      <c r="AC143" s="413"/>
      <c r="AG143" s="306"/>
      <c r="AN143" s="765"/>
    </row>
    <row r="144" spans="1:43" ht="10.5" customHeight="1" outlineLevel="1" x14ac:dyDescent="0.2">
      <c r="A144" s="303" t="s">
        <v>63</v>
      </c>
      <c r="B144" s="303">
        <f>B140+1</f>
        <v>73</v>
      </c>
      <c r="C144" s="303">
        <f>C140+1</f>
        <v>173</v>
      </c>
      <c r="D144" s="477">
        <f>INDEX('qtrP&amp;L'!$10:$10,MATCH($A143,'qtrP&amp;L'!$6:$6,0)+1)</f>
        <v>0.37913957032320589</v>
      </c>
      <c r="F144" s="477">
        <f>INDEX('qtrP&amp;L'!$10:$10,MATCH($A143,'qtrP&amp;L'!$6:$6,0)+2)</f>
        <v>-4.2</v>
      </c>
      <c r="G144" s="303" t="s">
        <v>102</v>
      </c>
      <c r="H144" s="445">
        <f>D144-F144</f>
        <v>4.5791395703232061</v>
      </c>
      <c r="I144" s="303" t="s">
        <v>102</v>
      </c>
      <c r="J144" s="686">
        <f>INDEX(stores!D:D,MATCH(B144,stores!C:C,0))</f>
        <v>1022</v>
      </c>
      <c r="K144" s="837">
        <f>J144-J140</f>
        <v>18</v>
      </c>
      <c r="L144" s="413">
        <f>AVERAGEA(J144,J140)</f>
        <v>1013</v>
      </c>
      <c r="N144" s="445">
        <f>(L144/L137-1)*100</f>
        <v>7.4231177094379541</v>
      </c>
      <c r="O144" s="303" t="s">
        <v>102</v>
      </c>
      <c r="P144" s="306">
        <f>(H144/N144)*100</f>
        <v>61.687551640211268</v>
      </c>
      <c r="Q144" s="303" t="s">
        <v>102</v>
      </c>
      <c r="S144" s="319">
        <f>INDEX('qtrP&amp;L'!$10:$10,MATCH($A143,'qtrP&amp;L'!$6:$6,0))</f>
        <v>3638</v>
      </c>
      <c r="U144" s="319">
        <f>S144-AP144</f>
        <v>3638</v>
      </c>
      <c r="W144" s="821">
        <f>IF(ISERROR(U144/L144),"NA",U144/L144)</f>
        <v>3.5913129318854886</v>
      </c>
      <c r="Y144" s="761">
        <f>IF(ISERROR(W144/W137),"NA",(W144/W137-1)*100)</f>
        <v>-6.5572274286132437</v>
      </c>
      <c r="Z144" s="303" t="s">
        <v>102</v>
      </c>
      <c r="AA144" s="686">
        <f>INDEX(stores!D:D,MATCH(C144,stores!C:C,0))</f>
        <v>90554</v>
      </c>
      <c r="AC144" s="413">
        <f>AVERAGEA(AA144,AA140)</f>
        <v>89766.5</v>
      </c>
      <c r="AE144" s="445">
        <f>(AC144/AC137-1)*100</f>
        <v>7.2094828615788753</v>
      </c>
      <c r="AF144" s="303" t="s">
        <v>102</v>
      </c>
      <c r="AG144" s="306">
        <f>(H144/AE144)*100</f>
        <v>63.51550670473992</v>
      </c>
      <c r="AH144" s="303" t="s">
        <v>102</v>
      </c>
      <c r="AJ144" s="319">
        <f>U144</f>
        <v>3638</v>
      </c>
      <c r="AL144" s="833">
        <f>IF(ISERROR(AJ144/AC144),"NA",AJ144/AC144*100)</f>
        <v>4.0527368227568186</v>
      </c>
      <c r="AN144" s="765">
        <f>(AL144/AL137-1)*100</f>
        <v>-6.3710253131941119</v>
      </c>
      <c r="AO144" s="303" t="s">
        <v>102</v>
      </c>
      <c r="AP144" s="319"/>
      <c r="AQ144" s="419"/>
    </row>
    <row r="145" spans="1:43" ht="10.5" customHeight="1" outlineLevel="1" x14ac:dyDescent="0.2">
      <c r="A145" s="303" t="s">
        <v>64</v>
      </c>
      <c r="B145" s="303">
        <f t="shared" ref="B145:C147" si="18">B144+1</f>
        <v>74</v>
      </c>
      <c r="C145" s="303">
        <f t="shared" si="18"/>
        <v>174</v>
      </c>
      <c r="D145" s="477">
        <f>INDEX('qtrP&amp;L'!$11:$11,MATCH($A143,'qtrP&amp;L'!$6:$6,0)+1)</f>
        <v>2.1610580084767461</v>
      </c>
      <c r="F145" s="477">
        <f>INDEX('qtrP&amp;L'!$11:$11,MATCH($A143,'qtrP&amp;L'!$6:$6,0)+2)</f>
        <v>-2.2999999999999998</v>
      </c>
      <c r="H145" s="445">
        <f>D145-F145</f>
        <v>4.4610580084767459</v>
      </c>
      <c r="J145" s="686">
        <f>INDEX(stores!D:D,MATCH(B145,stores!C:C,0))</f>
        <v>1022</v>
      </c>
      <c r="K145" s="837">
        <f>J145-J144</f>
        <v>0</v>
      </c>
      <c r="L145" s="413">
        <f>AVERAGEA(J144:J145)</f>
        <v>1022</v>
      </c>
      <c r="N145" s="445">
        <f>(L145/L138-1)*100</f>
        <v>6.792058516196442</v>
      </c>
      <c r="P145" s="306">
        <f>(H145/N145)*100</f>
        <v>65.680500217111529</v>
      </c>
      <c r="S145" s="413">
        <f>INDEX('qtrP&amp;L'!$11:$11,MATCH($A143,'qtrP&amp;L'!$6:$6,0))</f>
        <v>3806</v>
      </c>
      <c r="U145" s="413">
        <f>S145-AP145</f>
        <v>3806</v>
      </c>
      <c r="W145" s="823">
        <f>IF(ISERROR(U145/L145),"NA",U145/L145)</f>
        <v>3.7240704500978472</v>
      </c>
      <c r="Y145" s="761">
        <f>IF(ISERROR(W145/W138),"NA",(W145/W138-1)*100)</f>
        <v>-4.3364652503794172</v>
      </c>
      <c r="AA145" s="686">
        <f>INDEX(stores!D:D,MATCH(C145,stores!C:C,0))</f>
        <v>90554</v>
      </c>
      <c r="AC145" s="413">
        <f>AVERAGEA(AA144:AA145)</f>
        <v>90554</v>
      </c>
      <c r="AE145" s="445">
        <f>(AC145/AC138-1)*100</f>
        <v>6.619413177600908</v>
      </c>
      <c r="AG145" s="306">
        <f>(H145/AE145)*100</f>
        <v>67.393557235138175</v>
      </c>
      <c r="AJ145" s="413">
        <f>U145</f>
        <v>3806</v>
      </c>
      <c r="AL145" s="415">
        <f>IF(ISERROR(AJ145/AC145),"NA",AJ145/AC145*100)</f>
        <v>4.2030169843408354</v>
      </c>
      <c r="AN145" s="765">
        <f>(AL145/AL138-1)*100</f>
        <v>-4.1815604084198714</v>
      </c>
      <c r="AP145" s="413"/>
      <c r="AQ145" s="419"/>
    </row>
    <row r="146" spans="1:43" ht="10.5" customHeight="1" outlineLevel="1" x14ac:dyDescent="0.2">
      <c r="A146" s="303" t="s">
        <v>65</v>
      </c>
      <c r="B146" s="303">
        <f t="shared" si="18"/>
        <v>75</v>
      </c>
      <c r="C146" s="303">
        <f t="shared" si="18"/>
        <v>175</v>
      </c>
      <c r="D146" s="477">
        <f>INDEX('qtrP&amp;L'!$12:$12,MATCH($A143,'qtrP&amp;L'!$6:$6,0)+1)</f>
        <v>6.5029922582236166</v>
      </c>
      <c r="F146" s="477">
        <f>INDEX('qtrP&amp;L'!$12:$12,MATCH($A143,'qtrP&amp;L'!$6:$6,0)+2)</f>
        <v>2.4</v>
      </c>
      <c r="H146" s="445">
        <f>D146-F146</f>
        <v>4.1029922582236171</v>
      </c>
      <c r="J146" s="686">
        <f>INDEX(stores!D:D,MATCH(B146,stores!C:C,0))</f>
        <v>1059</v>
      </c>
      <c r="K146" s="837">
        <f>J146-J145</f>
        <v>37</v>
      </c>
      <c r="L146" s="413">
        <f>AVERAGEA(J145:J146)</f>
        <v>1040.5</v>
      </c>
      <c r="N146" s="445">
        <f>(L146/L139-1)*100</f>
        <v>6.1193268740438622</v>
      </c>
      <c r="P146" s="306">
        <f>(H146/N146)*100</f>
        <v>67.049731819804208</v>
      </c>
      <c r="S146" s="413">
        <f>INDEX('qtrP&amp;L'!$12:$12,MATCH($A143,'qtrP&amp;L'!$6:$6,0))</f>
        <v>4051</v>
      </c>
      <c r="U146" s="413">
        <f>S146-AP146</f>
        <v>4051</v>
      </c>
      <c r="W146" s="823">
        <f>IF(ISERROR(U146/L146),"NA",U146/L146)</f>
        <v>3.893320518981259</v>
      </c>
      <c r="Y146" s="761">
        <f>IF(ISERROR(W146/W139),"NA",(W146/W139-1)*100)</f>
        <v>0.36154147927751623</v>
      </c>
      <c r="AA146" s="686">
        <f>INDEX(stores!D:D,MATCH(C146,stores!C:C,0))</f>
        <v>93370</v>
      </c>
      <c r="AC146" s="413">
        <f>AVERAGEA(AA145:AA146)</f>
        <v>91962</v>
      </c>
      <c r="AE146" s="445">
        <f>(AC146/AC139-1)*100</f>
        <v>5.7514618706194121</v>
      </c>
      <c r="AG146" s="306">
        <f>(H146/AE146)*100</f>
        <v>71.338250179197303</v>
      </c>
      <c r="AJ146" s="413">
        <f>U146</f>
        <v>4051</v>
      </c>
      <c r="AL146" s="415">
        <f>IF(ISERROR(AJ146/AC146),"NA",AJ146/AC146*100)</f>
        <v>4.4050803592788323</v>
      </c>
      <c r="AN146" s="765">
        <f>(AL146/AL139-1)*100</f>
        <v>0.71065720918699338</v>
      </c>
      <c r="AP146" s="413"/>
      <c r="AQ146" s="419"/>
    </row>
    <row r="147" spans="1:43" ht="10.5" customHeight="1" outlineLevel="1" x14ac:dyDescent="0.2">
      <c r="A147" s="303" t="s">
        <v>66</v>
      </c>
      <c r="B147" s="303">
        <f t="shared" si="18"/>
        <v>76</v>
      </c>
      <c r="C147" s="303">
        <f t="shared" si="18"/>
        <v>176</v>
      </c>
      <c r="D147" s="834">
        <f>INDEX('qtrP&amp;L'!$13:$13,MATCH($A143,'qtrP&amp;L'!$6:$6,0)+1)</f>
        <v>8.5577841451766936</v>
      </c>
      <c r="F147" s="834">
        <f>INDEX('qtrP&amp;L'!$13:$13,MATCH($A143,'qtrP&amp;L'!$6:$6,0)+2)</f>
        <v>4.5</v>
      </c>
      <c r="H147" s="828">
        <f>D147-F147</f>
        <v>4.0577841451766936</v>
      </c>
      <c r="J147" s="686">
        <f>INDEX(stores!D:D,MATCH(B147,stores!C:C,0))</f>
        <v>1058</v>
      </c>
      <c r="K147" s="837">
        <f>J147-J146</f>
        <v>-1</v>
      </c>
      <c r="L147" s="491">
        <f>AVERAGEA(J146:J147)</f>
        <v>1058.5</v>
      </c>
      <c r="N147" s="828">
        <f>(L147/L140-1)*100</f>
        <v>5.4282868525896477</v>
      </c>
      <c r="P147" s="829">
        <f>(H147/N147)*100</f>
        <v>74.752573977199916</v>
      </c>
      <c r="S147" s="491">
        <f>INDEX('qtrP&amp;L'!$13:$13,MATCH($A143,'qtrP&amp;L'!$6:$6,0))</f>
        <v>5683</v>
      </c>
      <c r="U147" s="491">
        <f>S147-AP147</f>
        <v>5683</v>
      </c>
      <c r="W147" s="831">
        <f>IF(ISERROR(U147/L147),"NA",U147/L147)</f>
        <v>5.3689182805857349</v>
      </c>
      <c r="Y147" s="830">
        <f>IF(ISERROR(W147/W140),"NA",(W147/W140-1)*100)</f>
        <v>2.9683658779002364</v>
      </c>
      <c r="AA147" s="686">
        <f>INDEX(stores!D:D,MATCH(C147,stores!C:C,0))</f>
        <v>93289</v>
      </c>
      <c r="AC147" s="491">
        <f>AVERAGEA(AA146:AA147)</f>
        <v>93329.5</v>
      </c>
      <c r="AE147" s="828">
        <f>(AC147/AC140-1)*100</f>
        <v>4.8893559154407296</v>
      </c>
      <c r="AG147" s="829">
        <f>(H147/AE147)*100</f>
        <v>82.992202150023317</v>
      </c>
      <c r="AJ147" s="491">
        <f>U147</f>
        <v>5683</v>
      </c>
      <c r="AL147" s="835">
        <f>IF(ISERROR(AJ147/AC147),"NA",AJ147/AC147*100)</f>
        <v>6.0891786626950752</v>
      </c>
      <c r="AN147" s="836">
        <f>(AL147/AL140-1)*100</f>
        <v>3.4974265955960204</v>
      </c>
      <c r="AP147" s="491"/>
      <c r="AQ147" s="419"/>
    </row>
    <row r="148" spans="1:43" ht="10.5" customHeight="1" outlineLevel="1" x14ac:dyDescent="0.2">
      <c r="A148" s="573" t="s">
        <v>67</v>
      </c>
      <c r="B148" s="573"/>
      <c r="C148" s="573"/>
      <c r="D148" s="477">
        <f>INDEX('qtrP&amp;L'!$14:$14,MATCH($A143,'qtrP&amp;L'!$6:$6,0)+1)</f>
        <v>4.8180548214657559</v>
      </c>
      <c r="F148" s="477">
        <f>INDEX('qtrP&amp;L'!$14:$14,MATCH($A143,'qtrP&amp;L'!$6:$6,0)+2)</f>
        <v>0.65541130581591656</v>
      </c>
      <c r="H148" s="445">
        <f>D148-F148</f>
        <v>4.1626435156498394</v>
      </c>
      <c r="J148" s="685"/>
      <c r="L148" s="413">
        <f>AVERAGEA(L144:L147)</f>
        <v>1033.5</v>
      </c>
      <c r="N148" s="445">
        <f>(L148/L141-1)*100</f>
        <v>6.4229630583086728</v>
      </c>
      <c r="P148" s="306">
        <f>(H148/N148)*100</f>
        <v>64.808772491149398</v>
      </c>
      <c r="S148" s="319">
        <f>INDEX('qtrP&amp;L'!$14:$14,MATCH($A143,'qtrP&amp;L'!$6:$6,0))</f>
        <v>17178</v>
      </c>
      <c r="U148" s="319">
        <f>S148-AP148</f>
        <v>17178</v>
      </c>
      <c r="W148" s="821">
        <f>IF(ISERROR(U148/L148),"NA",U148/L148)</f>
        <v>16.621190130624093</v>
      </c>
      <c r="Y148" s="761">
        <f>IF(ISERROR(W148/W141),"NA",(W148/W141-1)*100)</f>
        <v>-1.5080469390460038</v>
      </c>
      <c r="AA148" s="815"/>
      <c r="AC148" s="413">
        <f>AVERAGEA(AC144:AC147)</f>
        <v>91403</v>
      </c>
      <c r="AE148" s="445">
        <f>(AC148/AC141-1)*100</f>
        <v>6.0970425259321281</v>
      </c>
      <c r="AG148" s="306">
        <f>(H148/AE148)*100</f>
        <v>68.273158632979118</v>
      </c>
      <c r="AJ148" s="319">
        <f>SUM(AJ144:AJ147)</f>
        <v>17178</v>
      </c>
      <c r="AL148" s="833">
        <f>IF(ISERROR(AJ148/AC148),"NA",AJ148/AC148*100)</f>
        <v>18.793693861251821</v>
      </c>
      <c r="AN148" s="765">
        <f>(AL148/AL141-1)*100</f>
        <v>-1.2054885546444405</v>
      </c>
      <c r="AP148" s="319"/>
      <c r="AQ148" s="419"/>
    </row>
    <row r="149" spans="1:43" ht="10.5" customHeight="1" outlineLevel="1" x14ac:dyDescent="0.2">
      <c r="J149" s="685"/>
      <c r="L149" s="413"/>
      <c r="P149" s="306"/>
      <c r="Y149" s="765"/>
      <c r="AA149" s="815"/>
      <c r="AC149" s="413"/>
      <c r="AG149" s="306"/>
      <c r="AN149" s="765"/>
    </row>
    <row r="150" spans="1:43" ht="12.75" customHeight="1" outlineLevel="1" x14ac:dyDescent="0.2">
      <c r="A150" s="812">
        <v>2010</v>
      </c>
      <c r="B150" s="812"/>
      <c r="C150" s="812"/>
      <c r="J150" s="685"/>
      <c r="L150" s="413"/>
      <c r="P150" s="306"/>
      <c r="Y150" s="765"/>
      <c r="AA150" s="815"/>
      <c r="AC150" s="413"/>
      <c r="AG150" s="306"/>
      <c r="AN150" s="765"/>
    </row>
    <row r="151" spans="1:43" ht="12.75" customHeight="1" outlineLevel="1" x14ac:dyDescent="0.2">
      <c r="A151" s="303" t="s">
        <v>63</v>
      </c>
      <c r="B151" s="303">
        <f>B147+1</f>
        <v>77</v>
      </c>
      <c r="C151" s="303">
        <f>C147+1</f>
        <v>177</v>
      </c>
      <c r="D151" s="477">
        <f>INDEX('qtrP&amp;L'!$10:$10,MATCH($A150,'qtrP&amp;L'!$6:$6,0)+1)</f>
        <v>10.91258933479935</v>
      </c>
      <c r="F151" s="477">
        <f>INDEX('qtrP&amp;L'!$10:$10,MATCH($A150,'qtrP&amp;L'!$6:$6,0)+2)</f>
        <v>7.4</v>
      </c>
      <c r="G151" s="303" t="s">
        <v>102</v>
      </c>
      <c r="H151" s="445">
        <f>D151-F151</f>
        <v>3.5125893347993493</v>
      </c>
      <c r="I151" s="303" t="s">
        <v>102</v>
      </c>
      <c r="J151" s="686">
        <f>INDEX(stores!D:D,MATCH(B151,stores!C:C,0))</f>
        <v>1067</v>
      </c>
      <c r="K151" s="837">
        <f>J151-J147</f>
        <v>9</v>
      </c>
      <c r="L151" s="413">
        <f>AVERAGEA(J151,J147)</f>
        <v>1062.5</v>
      </c>
      <c r="N151" s="445">
        <f>(L151/L144-1)*100</f>
        <v>4.8864758144126386</v>
      </c>
      <c r="O151" s="303" t="s">
        <v>102</v>
      </c>
      <c r="P151" s="306">
        <f>(H151/N151)*100</f>
        <v>71.88389891215634</v>
      </c>
      <c r="Q151" s="303" t="s">
        <v>102</v>
      </c>
      <c r="S151" s="319">
        <f>INDEX('qtrP&amp;L'!$10:$10,MATCH($A150,'qtrP&amp;L'!$6:$6,0))</f>
        <v>4035</v>
      </c>
      <c r="U151" s="319">
        <f>S151-AP151</f>
        <v>4035</v>
      </c>
      <c r="W151" s="821">
        <f>IF(ISERROR(U151/L151),"NA",U151/L151)</f>
        <v>3.7976470588235296</v>
      </c>
      <c r="Y151" s="761">
        <f>IF(ISERROR(W151/W144),"NA",(W151/W144-1)*100)</f>
        <v>5.7453675257898684</v>
      </c>
      <c r="Z151" s="303" t="s">
        <v>102</v>
      </c>
      <c r="AA151" s="686">
        <f>INDEX(stores!D:D,MATCH(C151,stores!C:C,0))</f>
        <v>94063</v>
      </c>
      <c r="AC151" s="413">
        <f>AVERAGEA(AA151,AA147)</f>
        <v>93676</v>
      </c>
      <c r="AE151" s="445">
        <f>(AC151/AC144-1)*100</f>
        <v>4.3551881826739303</v>
      </c>
      <c r="AF151" s="303" t="s">
        <v>102</v>
      </c>
      <c r="AG151" s="306">
        <f>(H151/AE151)*100</f>
        <v>80.65298644897463</v>
      </c>
      <c r="AH151" s="303" t="s">
        <v>102</v>
      </c>
      <c r="AJ151" s="319">
        <f>U151</f>
        <v>4035</v>
      </c>
      <c r="AL151" s="833">
        <f>IF(ISERROR(AJ151/AC151),"NA",AJ151/AC151*100)</f>
        <v>4.3073999743797771</v>
      </c>
      <c r="AN151" s="765">
        <f>(AL151/AL144-1)*100</f>
        <v>6.2837327653002539</v>
      </c>
      <c r="AO151" s="303" t="s">
        <v>102</v>
      </c>
      <c r="AP151" s="319"/>
      <c r="AQ151" s="419"/>
    </row>
    <row r="152" spans="1:43" ht="12.75" customHeight="1" outlineLevel="1" x14ac:dyDescent="0.2">
      <c r="A152" s="303" t="s">
        <v>64</v>
      </c>
      <c r="B152" s="303">
        <f t="shared" ref="B152:C154" si="19">B151+1</f>
        <v>78</v>
      </c>
      <c r="C152" s="303">
        <f t="shared" si="19"/>
        <v>178</v>
      </c>
      <c r="D152" s="477">
        <f>INDEX('qtrP&amp;L'!$11:$11,MATCH($A150,'qtrP&amp;L'!$6:$6,0)+1)</f>
        <v>7.7246452968996238</v>
      </c>
      <c r="F152" s="477">
        <f>INDEX('qtrP&amp;L'!$11:$11,MATCH($A150,'qtrP&amp;L'!$6:$6,0)+2)</f>
        <v>4.5999999999999996</v>
      </c>
      <c r="H152" s="445">
        <f>D152-F152</f>
        <v>3.1246452968996241</v>
      </c>
      <c r="J152" s="686">
        <f>INDEX(stores!D:D,MATCH(B152,stores!C:C,0))</f>
        <v>1067</v>
      </c>
      <c r="K152" s="837">
        <f>J152-J151</f>
        <v>0</v>
      </c>
      <c r="L152" s="413">
        <f>AVERAGEA(J151:J152)</f>
        <v>1067</v>
      </c>
      <c r="N152" s="445">
        <f>(L152/L145-1)*100</f>
        <v>4.4031311154598907</v>
      </c>
      <c r="P152" s="306">
        <f>(H152/N152)*100</f>
        <v>70.964166520698001</v>
      </c>
      <c r="S152" s="413">
        <f>INDEX('qtrP&amp;L'!$11:$11,MATCH($A150,'qtrP&amp;L'!$6:$6,0))</f>
        <v>4100</v>
      </c>
      <c r="U152" s="413">
        <f>S152-AP152</f>
        <v>4100</v>
      </c>
      <c r="W152" s="823">
        <f>IF(ISERROR(U152/L152),"NA",U152/L152)</f>
        <v>3.8425492033739457</v>
      </c>
      <c r="Y152" s="761">
        <f>IF(ISERROR(W152/W145),"NA",(W152/W145-1)*100)</f>
        <v>3.1814315777239255</v>
      </c>
      <c r="AA152" s="686">
        <f>INDEX(stores!D:D,MATCH(C152,stores!C:C,0))</f>
        <v>94063</v>
      </c>
      <c r="AC152" s="413">
        <f>AVERAGEA(AA151:AA152)</f>
        <v>94063</v>
      </c>
      <c r="AE152" s="445">
        <f>(AC152/AC145-1)*100</f>
        <v>3.875035890187073</v>
      </c>
      <c r="AG152" s="306">
        <f>(H152/AE152)*100</f>
        <v>80.635260819449528</v>
      </c>
      <c r="AJ152" s="413">
        <f>U152</f>
        <v>4100</v>
      </c>
      <c r="AL152" s="415">
        <f>IF(ISERROR(AJ152/AC152),"NA",AJ152/AC152*100)</f>
        <v>4.3587808171119358</v>
      </c>
      <c r="AN152" s="765">
        <f>(AL152/AL145-1)*100</f>
        <v>3.706000555111455</v>
      </c>
      <c r="AP152" s="413"/>
      <c r="AQ152" s="419"/>
    </row>
    <row r="153" spans="1:43" ht="12.75" customHeight="1" outlineLevel="1" x14ac:dyDescent="0.2">
      <c r="A153" s="303" t="s">
        <v>65</v>
      </c>
      <c r="B153" s="303">
        <f t="shared" si="19"/>
        <v>79</v>
      </c>
      <c r="C153" s="303">
        <f t="shared" si="19"/>
        <v>179</v>
      </c>
      <c r="D153" s="477">
        <f>INDEX('qtrP&amp;L'!$12:$12,MATCH($A150,'qtrP&amp;L'!$6:$6,0)+1)</f>
        <v>4.1224389039743237</v>
      </c>
      <c r="F153" s="477">
        <f>INDEX('qtrP&amp;L'!$12:$12,MATCH($A150,'qtrP&amp;L'!$6:$6,0)+2)</f>
        <v>1.8</v>
      </c>
      <c r="H153" s="445">
        <f>D153-F153</f>
        <v>2.3224389039743238</v>
      </c>
      <c r="J153" s="686">
        <f>INDEX(stores!D:D,MATCH(B153,stores!C:C,0))</f>
        <v>1089</v>
      </c>
      <c r="K153" s="837">
        <f>J153-J152</f>
        <v>22</v>
      </c>
      <c r="L153" s="413">
        <f>AVERAGEA(J152:J153)</f>
        <v>1078</v>
      </c>
      <c r="N153" s="445">
        <f>(L153/L146-1)*100</f>
        <v>3.6040365209034197</v>
      </c>
      <c r="P153" s="306">
        <f>(H153/N153)*100</f>
        <v>64.4399381222741</v>
      </c>
      <c r="S153" s="413">
        <f>INDEX('qtrP&amp;L'!$12:$12,MATCH($A150,'qtrP&amp;L'!$6:$6,0))</f>
        <v>4218</v>
      </c>
      <c r="U153" s="413">
        <f>S153-AP153</f>
        <v>4218</v>
      </c>
      <c r="W153" s="823">
        <f>IF(ISERROR(U153/L153),"NA",U153/L153)</f>
        <v>3.9128014842300556</v>
      </c>
      <c r="Y153" s="761">
        <f>IF(ISERROR(W153/W146),"NA",(W153/W146-1)*100)</f>
        <v>0.50036890499562947</v>
      </c>
      <c r="AA153" s="686">
        <f>INDEX(stores!D:D,MATCH(C153,stores!C:C,0))</f>
        <v>95819</v>
      </c>
      <c r="AC153" s="413">
        <f>AVERAGEA(AA152:AA153)</f>
        <v>94941</v>
      </c>
      <c r="AE153" s="445">
        <f>(AC153/AC146-1)*100</f>
        <v>3.2393814836563006</v>
      </c>
      <c r="AG153" s="306">
        <f>(H153/AE153)*100</f>
        <v>71.693899458639223</v>
      </c>
      <c r="AJ153" s="413">
        <f>U153</f>
        <v>4218</v>
      </c>
      <c r="AL153" s="415">
        <f>IF(ISERROR(AJ153/AC153),"NA",AJ153/AC153*100)</f>
        <v>4.442759187284735</v>
      </c>
      <c r="AN153" s="765">
        <f>(AL153/AL146-1)*100</f>
        <v>0.85534939054030534</v>
      </c>
      <c r="AP153" s="413"/>
      <c r="AQ153" s="419"/>
    </row>
    <row r="154" spans="1:43" ht="12.75" customHeight="1" outlineLevel="1" x14ac:dyDescent="0.2">
      <c r="A154" s="303" t="s">
        <v>66</v>
      </c>
      <c r="B154" s="303">
        <f t="shared" si="19"/>
        <v>80</v>
      </c>
      <c r="C154" s="303">
        <f t="shared" si="19"/>
        <v>180</v>
      </c>
      <c r="D154" s="834">
        <f>INDEX('qtrP&amp;L'!$13:$13,MATCH($A150,'qtrP&amp;L'!$6:$6,0)+1)</f>
        <v>6.2467006862572561</v>
      </c>
      <c r="F154" s="834">
        <f>INDEX('qtrP&amp;L'!$13:$13,MATCH($A150,'qtrP&amp;L'!$6:$6,0)+2)</f>
        <v>4.3</v>
      </c>
      <c r="H154" s="828">
        <f>D154-F154</f>
        <v>1.9467006862572562</v>
      </c>
      <c r="J154" s="686">
        <f>INDEX(stores!D:D,MATCH(B154,stores!C:C,0))</f>
        <v>1089</v>
      </c>
      <c r="K154" s="837">
        <f>J154-J153</f>
        <v>0</v>
      </c>
      <c r="L154" s="491">
        <f>AVERAGEA(J153:J154)</f>
        <v>1089</v>
      </c>
      <c r="N154" s="828">
        <f>(L154/L147-1)*100</f>
        <v>2.8814359943315937</v>
      </c>
      <c r="P154" s="829">
        <f>(H154/N154)*100</f>
        <v>67.560087750928233</v>
      </c>
      <c r="S154" s="491">
        <f>INDEX('qtrP&amp;L'!$13:$13,MATCH($A150,'qtrP&amp;L'!$6:$6,0))</f>
        <v>6038</v>
      </c>
      <c r="U154" s="491">
        <f>S154-AP154</f>
        <v>6038</v>
      </c>
      <c r="W154" s="831">
        <f>IF(ISERROR(U154/L154),"NA",U154/L154)</f>
        <v>5.5445362718089992</v>
      </c>
      <c r="Y154" s="830">
        <f>IF(ISERROR(W154/W147),"NA",(W154/W147-1)*100)</f>
        <v>3.2710125586807193</v>
      </c>
      <c r="AA154" s="686">
        <f>INDEX(stores!D:D,MATCH(C154,stores!C:C,0))</f>
        <v>95819</v>
      </c>
      <c r="AC154" s="491">
        <f>AVERAGEA(AA153:AA154)</f>
        <v>95819</v>
      </c>
      <c r="AE154" s="828">
        <f>(AC154/AC147-1)*100</f>
        <v>2.6674309837725563</v>
      </c>
      <c r="AG154" s="829">
        <f>(H154/AE154)*100</f>
        <v>72.980358183589473</v>
      </c>
      <c r="AJ154" s="491">
        <f>U154</f>
        <v>6038</v>
      </c>
      <c r="AL154" s="835">
        <f>IF(ISERROR(AJ154/AC154),"NA",AJ154/AC154*100)</f>
        <v>6.301464218996232</v>
      </c>
      <c r="AN154" s="836">
        <f>(AL154/AL147-1)*100</f>
        <v>3.4862757041718817</v>
      </c>
      <c r="AP154" s="491"/>
      <c r="AQ154" s="419"/>
    </row>
    <row r="155" spans="1:43" ht="12.75" customHeight="1" outlineLevel="1" x14ac:dyDescent="0.2">
      <c r="A155" s="573" t="s">
        <v>67</v>
      </c>
      <c r="B155" s="573"/>
      <c r="C155" s="573"/>
      <c r="D155" s="477">
        <f>INDEX('qtrP&amp;L'!$14:$14,MATCH($A150,'qtrP&amp;L'!$6:$6,0)+1)</f>
        <v>7.0613575503551074</v>
      </c>
      <c r="F155" s="477">
        <f>INDEX('qtrP&amp;L'!$14:$14,MATCH($A150,'qtrP&amp;L'!$6:$6,0)+2)</f>
        <v>4.4736447175248761</v>
      </c>
      <c r="H155" s="445">
        <f>D155-F155</f>
        <v>2.5877128328302312</v>
      </c>
      <c r="J155" s="685"/>
      <c r="L155" s="413">
        <f>AVERAGEA(L151:L154)</f>
        <v>1074.125</v>
      </c>
      <c r="N155" s="445">
        <f>(L155/L148-1)*100</f>
        <v>3.9308176100628867</v>
      </c>
      <c r="P155" s="306">
        <f>(H155/N155)*100</f>
        <v>65.831414467201185</v>
      </c>
      <c r="S155" s="319">
        <f>INDEX('qtrP&amp;L'!$14:$14,MATCH($A150,'qtrP&amp;L'!$6:$6,0))</f>
        <v>18391</v>
      </c>
      <c r="U155" s="319">
        <f>S155-AP155</f>
        <v>18391</v>
      </c>
      <c r="W155" s="821">
        <f>IF(ISERROR(U155/L155),"NA",U155/L155)</f>
        <v>17.121843360875133</v>
      </c>
      <c r="Y155" s="761">
        <f>IF(ISERROR(W155/W148),"NA",(W155/W148-1)*100)</f>
        <v>3.0121382784052297</v>
      </c>
      <c r="AA155" s="815"/>
      <c r="AC155" s="413">
        <f>AVERAGEA(AC151:AC154)</f>
        <v>94624.75</v>
      </c>
      <c r="AE155" s="445">
        <f>(AC155/AC148-1)*100</f>
        <v>3.5247748979792881</v>
      </c>
      <c r="AG155" s="306">
        <f>(H155/AE155)*100</f>
        <v>73.414981317352684</v>
      </c>
      <c r="AJ155" s="319">
        <f>SUM(AJ151:AJ154)</f>
        <v>18391</v>
      </c>
      <c r="AL155" s="833">
        <f>IF(ISERROR(AJ155/AC155),"NA",AJ155/AC155*100)</f>
        <v>19.435718456323531</v>
      </c>
      <c r="AN155" s="765">
        <f>(AL155/AL148-1)*100</f>
        <v>3.4161703378355668</v>
      </c>
      <c r="AP155" s="319"/>
      <c r="AQ155" s="419"/>
    </row>
    <row r="156" spans="1:43" ht="12.75" customHeight="1" outlineLevel="1" x14ac:dyDescent="0.2">
      <c r="J156" s="685"/>
      <c r="L156" s="413"/>
      <c r="P156" s="306"/>
      <c r="Y156" s="765"/>
      <c r="AA156" s="815"/>
      <c r="AC156" s="413"/>
      <c r="AG156" s="306"/>
      <c r="AN156" s="765"/>
    </row>
    <row r="157" spans="1:43" ht="12.75" customHeight="1" outlineLevel="1" x14ac:dyDescent="0.2">
      <c r="A157" s="812">
        <v>2011</v>
      </c>
      <c r="B157" s="812"/>
      <c r="C157" s="812"/>
      <c r="J157" s="685"/>
      <c r="L157" s="413"/>
      <c r="P157" s="306"/>
      <c r="Y157" s="765"/>
      <c r="AA157" s="815"/>
      <c r="AC157" s="413"/>
      <c r="AG157" s="306"/>
      <c r="AN157" s="765"/>
    </row>
    <row r="158" spans="1:43" ht="12.75" customHeight="1" outlineLevel="1" x14ac:dyDescent="0.2">
      <c r="A158" s="303" t="s">
        <v>63</v>
      </c>
      <c r="B158" s="303">
        <f>B154+1</f>
        <v>81</v>
      </c>
      <c r="C158" s="303">
        <f>C154+1</f>
        <v>181</v>
      </c>
      <c r="D158" s="477">
        <f>INDEX('qtrP&amp;L'!$10:$10,MATCH($A157,'qtrP&amp;L'!$6:$6,0)+1)</f>
        <v>3.1474597273853711</v>
      </c>
      <c r="F158" s="477">
        <f>INDEX('qtrP&amp;L'!$10:$10,MATCH($A157,'qtrP&amp;L'!$6:$6,0)+2)</f>
        <v>1.3</v>
      </c>
      <c r="G158" s="303" t="s">
        <v>102</v>
      </c>
      <c r="H158" s="445">
        <f>D158-F158</f>
        <v>1.847459727385371</v>
      </c>
      <c r="I158" s="303" t="s">
        <v>102</v>
      </c>
      <c r="J158" s="686">
        <f>INDEX(stores!D:D,MATCH(B158,stores!C:C,0))</f>
        <v>1097</v>
      </c>
      <c r="K158" s="837">
        <f>J158-J154</f>
        <v>8</v>
      </c>
      <c r="L158" s="413">
        <f>AVERAGEA(J158,J154)</f>
        <v>1093</v>
      </c>
      <c r="N158" s="445">
        <f>(L158/L151-1)*100</f>
        <v>2.8705882352941137</v>
      </c>
      <c r="O158" s="303" t="s">
        <v>102</v>
      </c>
      <c r="P158" s="306">
        <f>(H158/N158)*100</f>
        <v>64.358228208097032</v>
      </c>
      <c r="Q158" s="303" t="s">
        <v>102</v>
      </c>
      <c r="S158" s="319">
        <f>INDEX('qtrP&amp;L'!$10:$10,MATCH($A157,'qtrP&amp;L'!$6:$6,0))</f>
        <v>4162</v>
      </c>
      <c r="U158" s="319">
        <f>S158-AP158</f>
        <v>4162</v>
      </c>
      <c r="W158" s="821">
        <f>IF(ISERROR(U158/L158),"NA",U158/L158)</f>
        <v>3.8078682525160108</v>
      </c>
      <c r="Y158" s="761">
        <f>IF(ISERROR(W158/W151),"NA",(W158/W151-1)*100)</f>
        <v>0.26914543490115239</v>
      </c>
      <c r="Z158" s="303" t="s">
        <v>102</v>
      </c>
      <c r="AA158" s="686">
        <f>INDEX(stores!D:D,MATCH(C158,stores!C:C,0))</f>
        <v>96380</v>
      </c>
      <c r="AC158" s="413">
        <f>AVERAGEA(AA158,AA154)</f>
        <v>96099.5</v>
      </c>
      <c r="AE158" s="445">
        <f>(AC158/AC151-1)*100</f>
        <v>2.5871087578462015</v>
      </c>
      <c r="AF158" s="303" t="s">
        <v>102</v>
      </c>
      <c r="AG158" s="306">
        <f>(H158/AE158)*100</f>
        <v>71.410207312792011</v>
      </c>
      <c r="AH158" s="303" t="s">
        <v>102</v>
      </c>
      <c r="AJ158" s="319">
        <f>U158</f>
        <v>4162</v>
      </c>
      <c r="AL158" s="833">
        <f>IF(ISERROR(AJ158/AC158),"NA",AJ158/AC158*100)</f>
        <v>4.330927840415403</v>
      </c>
      <c r="AN158" s="765">
        <f>(AL158/AL151-1)*100</f>
        <v>0.54621967255348292</v>
      </c>
      <c r="AO158" s="303" t="s">
        <v>102</v>
      </c>
      <c r="AP158" s="319"/>
      <c r="AQ158" s="419"/>
    </row>
    <row r="159" spans="1:43" ht="12.75" customHeight="1" outlineLevel="1" x14ac:dyDescent="0.2">
      <c r="A159" s="303" t="s">
        <v>64</v>
      </c>
      <c r="B159" s="303">
        <f t="shared" ref="B159:C161" si="20">B158+1</f>
        <v>82</v>
      </c>
      <c r="C159" s="303">
        <f t="shared" si="20"/>
        <v>182</v>
      </c>
      <c r="D159" s="477">
        <f>INDEX('qtrP&amp;L'!$11:$11,MATCH($A157,'qtrP&amp;L'!$6:$6,0)+1)</f>
        <v>3.6097560975609788</v>
      </c>
      <c r="F159" s="477">
        <f>INDEX('qtrP&amp;L'!$11:$11,MATCH($A157,'qtrP&amp;L'!$6:$6,0)+2)</f>
        <v>1.9</v>
      </c>
      <c r="H159" s="445">
        <f>D159-F159</f>
        <v>1.7097560975609789</v>
      </c>
      <c r="J159" s="686">
        <f>INDEX(stores!D:D,MATCH(B159,stores!C:C,0))</f>
        <v>1097</v>
      </c>
      <c r="K159" s="837">
        <f>J159-J158</f>
        <v>0</v>
      </c>
      <c r="L159" s="413">
        <f>AVERAGEA(J158:J159)</f>
        <v>1097</v>
      </c>
      <c r="N159" s="445">
        <f>(L159/L152-1)*100</f>
        <v>2.8116213683224034</v>
      </c>
      <c r="P159" s="306">
        <f>(H159/N159)*100</f>
        <v>60.810325203252056</v>
      </c>
      <c r="S159" s="413">
        <f>INDEX('qtrP&amp;L'!$11:$11,MATCH($A157,'qtrP&amp;L'!$6:$6,0))</f>
        <v>4248</v>
      </c>
      <c r="U159" s="413">
        <f>S159-AP159</f>
        <v>4248</v>
      </c>
      <c r="W159" s="823">
        <f>IF(ISERROR(U159/L159),"NA",U159/L159)</f>
        <v>3.8723792160437558</v>
      </c>
      <c r="Y159" s="761">
        <f>IF(ISERROR(W159/W152),"NA",(W159/W152-1)*100)</f>
        <v>0.77630789069969008</v>
      </c>
      <c r="AA159" s="686">
        <f>INDEX(stores!D:D,MATCH(C159,stores!C:C,0))</f>
        <v>96380</v>
      </c>
      <c r="AC159" s="413">
        <f>AVERAGEA(AA158:AA159)</f>
        <v>96380</v>
      </c>
      <c r="AE159" s="445">
        <f>(AC159/AC152-1)*100</f>
        <v>2.4632427203044704</v>
      </c>
      <c r="AG159" s="306">
        <f>(H159/AE159)*100</f>
        <v>69.410784551091396</v>
      </c>
      <c r="AJ159" s="413">
        <f>U159</f>
        <v>4248</v>
      </c>
      <c r="AL159" s="415">
        <f>IF(ISERROR(AJ159/AC159),"NA",AJ159/AC159*100)</f>
        <v>4.4075534343224732</v>
      </c>
      <c r="AN159" s="765">
        <f>(AL159/AL152-1)*100</f>
        <v>1.1189509006523934</v>
      </c>
      <c r="AP159" s="413"/>
      <c r="AQ159" s="419"/>
    </row>
    <row r="160" spans="1:43" ht="12.75" customHeight="1" outlineLevel="1" x14ac:dyDescent="0.2">
      <c r="A160" s="303" t="s">
        <v>65</v>
      </c>
      <c r="B160" s="303">
        <f t="shared" si="20"/>
        <v>83</v>
      </c>
      <c r="C160" s="303">
        <f t="shared" si="20"/>
        <v>183</v>
      </c>
      <c r="D160" s="477">
        <f>INDEX('qtrP&amp;L'!$12:$12,MATCH($A157,'qtrP&amp;L'!$6:$6,0)+1)</f>
        <v>3.7458511142721695</v>
      </c>
      <c r="F160" s="477">
        <f>INDEX('qtrP&amp;L'!$12:$12,MATCH($A157,'qtrP&amp;L'!$6:$6,0)+2)</f>
        <v>2.1</v>
      </c>
      <c r="H160" s="445">
        <f>D160-F160</f>
        <v>1.6458511142721695</v>
      </c>
      <c r="J160" s="686">
        <f>INDEX(stores!D:D,MATCH(B160,stores!C:C,0))</f>
        <v>1127</v>
      </c>
      <c r="K160" s="837">
        <f>J160-J159</f>
        <v>30</v>
      </c>
      <c r="L160" s="413">
        <f>AVERAGEA(J159:J160)</f>
        <v>1112</v>
      </c>
      <c r="N160" s="445">
        <f>(L160/L153-1)*100</f>
        <v>3.153988868274582</v>
      </c>
      <c r="P160" s="306">
        <f>(H160/N160)*100</f>
        <v>52.183161799570556</v>
      </c>
      <c r="S160" s="413">
        <f>INDEX('qtrP&amp;L'!$12:$12,MATCH($A157,'qtrP&amp;L'!$6:$6,0))</f>
        <v>4376</v>
      </c>
      <c r="U160" s="413">
        <f>S160-AP160</f>
        <v>4376</v>
      </c>
      <c r="W160" s="823">
        <f>IF(ISERROR(U160/L160),"NA",U160/L160)</f>
        <v>3.935251798561151</v>
      </c>
      <c r="Y160" s="761">
        <f>IF(ISERROR(W160/W153),"NA",(W160/W153-1)*100)</f>
        <v>0.57376573847607304</v>
      </c>
      <c r="AA160" s="686">
        <f>INDEX(stores!D:D,MATCH(C160,stores!C:C,0))</f>
        <v>98463</v>
      </c>
      <c r="AC160" s="413">
        <f>AVERAGEA(AA159:AA160)</f>
        <v>97421.5</v>
      </c>
      <c r="AE160" s="445">
        <f>(AC160/AC153-1)*100</f>
        <v>2.6126752404124653</v>
      </c>
      <c r="AG160" s="306">
        <f>(H160/AE160)*100</f>
        <v>62.994860165335268</v>
      </c>
      <c r="AJ160" s="413">
        <f>U160</f>
        <v>4376</v>
      </c>
      <c r="AL160" s="415">
        <f>IF(ISERROR(AJ160/AC160),"NA",AJ160/AC160*100)</f>
        <v>4.4918216204841848</v>
      </c>
      <c r="AN160" s="765">
        <f>(AL160/AL153-1)*100</f>
        <v>1.1043234875270258</v>
      </c>
      <c r="AP160" s="413"/>
      <c r="AQ160" s="419"/>
    </row>
    <row r="161" spans="1:45" ht="12.75" customHeight="1" outlineLevel="1" x14ac:dyDescent="0.2">
      <c r="A161" s="303" t="s">
        <v>66</v>
      </c>
      <c r="B161" s="303">
        <f t="shared" si="20"/>
        <v>84</v>
      </c>
      <c r="C161" s="303">
        <f t="shared" si="20"/>
        <v>184</v>
      </c>
      <c r="D161" s="834">
        <f>INDEX('qtrP&amp;L'!$13:$13,MATCH($A157,'qtrP&amp;L'!$6:$6,0)+1)</f>
        <v>-0.33123550844650351</v>
      </c>
      <c r="F161" s="834">
        <f>INDEX('qtrP&amp;L'!$13:$13,MATCH($A157,'qtrP&amp;L'!$6:$6,0)+2)</f>
        <v>-2.1</v>
      </c>
      <c r="H161" s="828">
        <f>D161-F161</f>
        <v>1.7687644915534966</v>
      </c>
      <c r="J161" s="686">
        <f>INDEX(stores!D:D,MATCH(B161,stores!C:C,0))</f>
        <v>1127</v>
      </c>
      <c r="K161" s="837">
        <f>J161-J160</f>
        <v>0</v>
      </c>
      <c r="L161" s="491">
        <f>AVERAGEA(J160:J161)</f>
        <v>1127</v>
      </c>
      <c r="N161" s="828">
        <f>(L161/L154-1)*100</f>
        <v>3.489439853076215</v>
      </c>
      <c r="P161" s="829">
        <f>(H161/N161)*100</f>
        <v>50.689066613204183</v>
      </c>
      <c r="S161" s="491">
        <f>INDEX('qtrP&amp;L'!$13:$13,MATCH($A157,'qtrP&amp;L'!$6:$6,0))</f>
        <v>6018</v>
      </c>
      <c r="U161" s="491">
        <f>S161-AP161</f>
        <v>6018</v>
      </c>
      <c r="W161" s="831">
        <f>IF(ISERROR(U161/L161),"NA",U161/L161)</f>
        <v>5.3398402839396626</v>
      </c>
      <c r="Y161" s="830">
        <f>IF(ISERROR(W161/W154),"NA",(W161/W154-1)*100)</f>
        <v>-3.6918504602468927</v>
      </c>
      <c r="AA161" s="686">
        <f>INDEX(stores!D:D,MATCH(C161,stores!C:C,0))</f>
        <v>98463</v>
      </c>
      <c r="AC161" s="491">
        <f>AVERAGEA(AA160:AA161)</f>
        <v>98463</v>
      </c>
      <c r="AE161" s="828">
        <f>(AC161/AC154-1)*100</f>
        <v>2.759369227397479</v>
      </c>
      <c r="AG161" s="829">
        <f>(H161/AE161)*100</f>
        <v>64.100319521998898</v>
      </c>
      <c r="AJ161" s="491">
        <f>U161</f>
        <v>6018</v>
      </c>
      <c r="AL161" s="835">
        <f>IF(ISERROR(AJ161/AC161),"NA",AJ161/AC161*100)</f>
        <v>6.1119405258828188</v>
      </c>
      <c r="AN161" s="836">
        <f>(AL161/AL154-1)*100</f>
        <v>-3.0076135724468656</v>
      </c>
      <c r="AP161" s="491"/>
      <c r="AQ161" s="419"/>
    </row>
    <row r="162" spans="1:45" ht="12.75" customHeight="1" outlineLevel="1" x14ac:dyDescent="0.2">
      <c r="A162" s="573" t="s">
        <v>67</v>
      </c>
      <c r="B162" s="573"/>
      <c r="C162" s="573"/>
      <c r="D162" s="477">
        <f>INDEX('qtrP&amp;L'!$14:$14,MATCH($A157,'qtrP&amp;L'!$6:$6,0)+1)</f>
        <v>2.2456636398238361</v>
      </c>
      <c r="F162" s="477">
        <f>INDEX('qtrP&amp;L'!$14:$14,MATCH($A157,'qtrP&amp;L'!$6:$6,0)+2)</f>
        <v>0.5</v>
      </c>
      <c r="H162" s="445">
        <f>D162-F162</f>
        <v>1.7456636398238361</v>
      </c>
      <c r="J162" s="685"/>
      <c r="K162" s="813">
        <f>J161-J154</f>
        <v>38</v>
      </c>
      <c r="L162" s="413">
        <f>AVERAGE(J161,J154)</f>
        <v>1108</v>
      </c>
      <c r="N162" s="445">
        <f>(L162/L155-1)*100</f>
        <v>3.1537297800535269</v>
      </c>
      <c r="P162" s="306">
        <f>(H162/N162)*100</f>
        <v>55.352352977882838</v>
      </c>
      <c r="S162" s="319">
        <f>INDEX('qtrP&amp;L'!$14:$14,MATCH($A157,'qtrP&amp;L'!$6:$6,0))</f>
        <v>18804</v>
      </c>
      <c r="U162" s="319">
        <f>S162-AP162</f>
        <v>18804</v>
      </c>
      <c r="W162" s="821">
        <f>IF(ISERROR(U162/L162),"NA",U162/L162)</f>
        <v>16.971119133574007</v>
      </c>
      <c r="Y162" s="761">
        <f>IF(ISERROR(W162/W155),"NA",(W162/W155-1)*100)</f>
        <v>-0.88030373905617632</v>
      </c>
      <c r="AA162" s="815"/>
      <c r="AC162" s="413">
        <f>AVERAGEA(AC158:AC161)</f>
        <v>97091</v>
      </c>
      <c r="AE162" s="445">
        <f>(AC162/AC155-1)*100</f>
        <v>2.6063477050137562</v>
      </c>
      <c r="AG162" s="306">
        <f>(H162/AE162)*100</f>
        <v>66.977388951817645</v>
      </c>
      <c r="AJ162" s="319">
        <f>SUM(AJ158:AJ161)</f>
        <v>18804</v>
      </c>
      <c r="AL162" s="833">
        <f>IF(ISERROR(AJ162/AC162),"NA",AJ162/AC162*100)</f>
        <v>19.367397596069665</v>
      </c>
      <c r="AN162" s="765">
        <f>(AL162/AL155-1)*100</f>
        <v>-0.35152217504795802</v>
      </c>
      <c r="AP162" s="319"/>
      <c r="AQ162" s="419"/>
    </row>
    <row r="163" spans="1:45" ht="12.75" customHeight="1" outlineLevel="1" x14ac:dyDescent="0.2">
      <c r="J163" s="685"/>
      <c r="L163" s="413"/>
      <c r="P163" s="306"/>
      <c r="Y163" s="765"/>
      <c r="AA163" s="815"/>
      <c r="AC163" s="413"/>
      <c r="AG163" s="306"/>
      <c r="AN163" s="765"/>
    </row>
    <row r="164" spans="1:45" ht="12.75" customHeight="1" x14ac:dyDescent="0.2">
      <c r="A164" s="812">
        <v>2012</v>
      </c>
      <c r="B164" s="840"/>
      <c r="C164" s="840"/>
      <c r="J164" s="685"/>
      <c r="L164" s="413"/>
      <c r="P164" s="306"/>
      <c r="Y164" s="765"/>
      <c r="AA164" s="815"/>
      <c r="AC164" s="413"/>
      <c r="AG164" s="306"/>
      <c r="AN164" s="765"/>
      <c r="AP164" s="489"/>
    </row>
    <row r="165" spans="1:45" ht="12.75" customHeight="1" x14ac:dyDescent="0.2">
      <c r="A165" s="303" t="s">
        <v>63</v>
      </c>
      <c r="B165" s="303">
        <f>B161+1</f>
        <v>85</v>
      </c>
      <c r="C165" s="303">
        <f>C161+1</f>
        <v>185</v>
      </c>
      <c r="D165" s="477">
        <f>INDEX('qtrP&amp;L'!$10:$10,MATCH($A164,'qtrP&amp;L'!$6:$6,0)+1)</f>
        <v>1.9461797212878329</v>
      </c>
      <c r="F165" s="477">
        <f>INDEX('qtrP&amp;L'!$10:$10,MATCH($A164,'qtrP&amp;L'!$6:$6,0)+2)</f>
        <v>0.2</v>
      </c>
      <c r="G165" s="303" t="s">
        <v>102</v>
      </c>
      <c r="H165" s="445">
        <f>D165-F165</f>
        <v>1.7461797212878329</v>
      </c>
      <c r="I165" s="303" t="s">
        <v>102</v>
      </c>
      <c r="J165" s="686">
        <f>INDEX(stores!D:D,MATCH(B165,stores!C:C,0))</f>
        <v>1134</v>
      </c>
      <c r="K165" s="1005">
        <f>J165-J161</f>
        <v>7</v>
      </c>
      <c r="L165" s="413">
        <f>AVERAGEA(J165,J161)</f>
        <v>1130.5</v>
      </c>
      <c r="N165" s="445">
        <f>(L165/L158-1)*100</f>
        <v>3.4309240622140802</v>
      </c>
      <c r="O165" s="303" t="s">
        <v>102</v>
      </c>
      <c r="P165" s="306">
        <f>(H165/N165)*100</f>
        <v>50.895318276469517</v>
      </c>
      <c r="Q165" s="303" t="s">
        <v>102</v>
      </c>
      <c r="S165" s="319">
        <f>INDEX('qtrP&amp;L'!$10:$10,MATCH($A164,'qtrP&amp;L'!$6:$6,0))</f>
        <v>4243</v>
      </c>
      <c r="U165" s="319">
        <f>S165-AP165</f>
        <v>3992</v>
      </c>
      <c r="W165" s="821">
        <f>IF(ISERROR(U165/L165),"NA",U165/L165)</f>
        <v>3.5311808934099957</v>
      </c>
      <c r="Y165" s="761">
        <f>IF(ISERROR(W165/W158),"NA",(W165/W158-1)*100)</f>
        <v>-7.2662009491320179</v>
      </c>
      <c r="Z165" s="303" t="s">
        <v>102</v>
      </c>
      <c r="AA165" s="686">
        <f>INDEX(stores!D:D,MATCH(C165,stores!C:C,0))</f>
        <v>98953</v>
      </c>
      <c r="AC165" s="413">
        <f>AVERAGEA(AA165,AA161)</f>
        <v>98708</v>
      </c>
      <c r="AE165" s="445">
        <f>(AC165/AC158-1)*100</f>
        <v>2.7143741642776442</v>
      </c>
      <c r="AF165" s="303" t="s">
        <v>102</v>
      </c>
      <c r="AG165" s="306">
        <f>(H165/AE165)*100</f>
        <v>64.330840761318925</v>
      </c>
      <c r="AH165" s="303" t="s">
        <v>102</v>
      </c>
      <c r="AJ165" s="319">
        <f>U165</f>
        <v>3992</v>
      </c>
      <c r="AL165" s="833">
        <f>IF(ISERROR(AJ165/AC165),"NA",AJ165/AC165*100)</f>
        <v>4.0442517323823806</v>
      </c>
      <c r="AN165" s="765">
        <f>(AL165/AL158-1)*100</f>
        <v>-6.6192769447187549</v>
      </c>
      <c r="AO165" s="303" t="s">
        <v>102</v>
      </c>
      <c r="AP165" s="319">
        <v>251</v>
      </c>
      <c r="AQ165" s="841"/>
    </row>
    <row r="166" spans="1:45" ht="12.75" customHeight="1" x14ac:dyDescent="0.2">
      <c r="A166" s="303" t="s">
        <v>64</v>
      </c>
      <c r="B166" s="303">
        <f t="shared" ref="B166:C168" si="21">B165+1</f>
        <v>86</v>
      </c>
      <c r="C166" s="303">
        <f t="shared" si="21"/>
        <v>186</v>
      </c>
      <c r="D166" s="477">
        <f>INDEX('qtrP&amp;L'!$11:$11,MATCH($A164,'qtrP&amp;L'!$6:$6,0)+1)</f>
        <v>-1.0122410546139382</v>
      </c>
      <c r="F166" s="477">
        <f>INDEX('qtrP&amp;L'!$11:$11,MATCH($A164,'qtrP&amp;L'!$6:$6,0)+2)</f>
        <v>-2.7</v>
      </c>
      <c r="H166" s="445">
        <f>D166-F166</f>
        <v>1.687758945386062</v>
      </c>
      <c r="J166" s="686">
        <f>INDEX(stores!D:D,MATCH(B166,stores!C:C,0))</f>
        <v>1134</v>
      </c>
      <c r="K166" s="1005">
        <f>J166-J165</f>
        <v>0</v>
      </c>
      <c r="L166" s="413">
        <f>AVERAGEA(J165:J166)</f>
        <v>1134</v>
      </c>
      <c r="N166" s="445">
        <f>(L166/L159-1)*100</f>
        <v>3.3728350045578948</v>
      </c>
      <c r="P166" s="306">
        <f>(H166/N166)*100</f>
        <v>50.039771975364985</v>
      </c>
      <c r="S166" s="413">
        <f>INDEX('qtrP&amp;L'!$11:$11,MATCH($A164,'qtrP&amp;L'!$6:$6,0))</f>
        <v>4205</v>
      </c>
      <c r="U166" s="413">
        <f>S166-AP166</f>
        <v>3968</v>
      </c>
      <c r="W166" s="823">
        <f>IF(ISERROR(U166/L166),"NA",U166/L166)</f>
        <v>3.4991181657848323</v>
      </c>
      <c r="Y166" s="761">
        <f>IF(ISERROR(W166/W159),"NA",(W166/W159-1)*100)</f>
        <v>-9.6390624325338727</v>
      </c>
      <c r="AA166" s="686">
        <f>INDEX(stores!D:D,MATCH(C166,stores!C:C,0))</f>
        <v>98848</v>
      </c>
      <c r="AC166" s="413">
        <f>AVERAGEA(AA165:AA166)</f>
        <v>98900.5</v>
      </c>
      <c r="AE166" s="445">
        <f>(AC166/AC159-1)*100</f>
        <v>2.6151691222245255</v>
      </c>
      <c r="AG166" s="306">
        <f>(H166/AE166)*100</f>
        <v>64.537277189569053</v>
      </c>
      <c r="AJ166" s="413">
        <f>U166</f>
        <v>3968</v>
      </c>
      <c r="AL166" s="415">
        <f>IF(ISERROR(AJ166/AC166),"NA",AJ166/AC166*100)</f>
        <v>4.0121131844631721</v>
      </c>
      <c r="AN166" s="765">
        <f>(AL166/AL159-1)*100</f>
        <v>-8.9718764786815957</v>
      </c>
      <c r="AP166" s="413">
        <v>237</v>
      </c>
      <c r="AQ166" s="841"/>
    </row>
    <row r="167" spans="1:45" ht="12.75" customHeight="1" x14ac:dyDescent="0.2">
      <c r="A167" s="303" t="s">
        <v>65</v>
      </c>
      <c r="B167" s="303">
        <f t="shared" si="21"/>
        <v>87</v>
      </c>
      <c r="C167" s="303">
        <f t="shared" si="21"/>
        <v>187</v>
      </c>
      <c r="D167" s="477">
        <f>INDEX('qtrP&amp;L'!$12:$12,MATCH($A164,'qtrP&amp;L'!$6:$6,0)+1)</f>
        <v>2.6051188299817118</v>
      </c>
      <c r="F167" s="477">
        <f>INDEX('qtrP&amp;L'!$12:$12,MATCH($A164,'qtrP&amp;L'!$6:$6,0)+2)</f>
        <v>1.1000000000000001</v>
      </c>
      <c r="H167" s="445">
        <f>D167-F167</f>
        <v>1.5051188299817118</v>
      </c>
      <c r="J167" s="686">
        <f>INDEX(stores!D:D,MATCH(B167,stores!C:C,0))</f>
        <v>1146</v>
      </c>
      <c r="K167" s="1005">
        <f>J167-J166</f>
        <v>12</v>
      </c>
      <c r="L167" s="413">
        <f>AVERAGEA(J166:J167)</f>
        <v>1140</v>
      </c>
      <c r="N167" s="445">
        <f>(L167/L160-1)*100</f>
        <v>2.5179856115107979</v>
      </c>
      <c r="P167" s="306">
        <f>(H167/N167)*100</f>
        <v>59.774719247844963</v>
      </c>
      <c r="S167" s="413">
        <f>INDEX('qtrP&amp;L'!$12:$12,MATCH($A164,'qtrP&amp;L'!$6:$6,0))</f>
        <v>4490</v>
      </c>
      <c r="U167" s="413">
        <f>S167-AP167</f>
        <v>4195</v>
      </c>
      <c r="W167" s="823">
        <f>IF(ISERROR(U167/L167),"NA",U167/L167)</f>
        <v>3.6798245614035086</v>
      </c>
      <c r="Y167" s="761">
        <f>IF(ISERROR(W167/W160),"NA",(W167/W160-1)*100)</f>
        <v>-6.4907469771320443</v>
      </c>
      <c r="AA167" s="686">
        <f>INDEX(stores!D:D,MATCH(C167,stores!C:C,0))</f>
        <v>99565.2</v>
      </c>
      <c r="AC167" s="413">
        <f>AVERAGEA(AA166:AA167)</f>
        <v>99206.6</v>
      </c>
      <c r="AE167" s="445">
        <f>(AC167/AC160-1)*100</f>
        <v>1.8323470691787858</v>
      </c>
      <c r="AG167" s="306">
        <f>(H167/AE167)*100</f>
        <v>82.141579796685022</v>
      </c>
      <c r="AJ167" s="413">
        <f>U167</f>
        <v>4195</v>
      </c>
      <c r="AL167" s="415">
        <f>IF(ISERROR(AJ167/AC167),"NA",AJ167/AC167*100)</f>
        <v>4.2285493102273435</v>
      </c>
      <c r="AN167" s="765">
        <f>(AL167/AL160-1)*100</f>
        <v>-5.8611479373141817</v>
      </c>
      <c r="AP167" s="413">
        <v>295</v>
      </c>
      <c r="AQ167" s="841"/>
    </row>
    <row r="168" spans="1:45" ht="12.75" customHeight="1" x14ac:dyDescent="0.2">
      <c r="A168" s="303" t="s">
        <v>66</v>
      </c>
      <c r="B168" s="303">
        <f t="shared" si="21"/>
        <v>88</v>
      </c>
      <c r="C168" s="303">
        <f t="shared" si="21"/>
        <v>188</v>
      </c>
      <c r="D168" s="834">
        <f>((S168/S161)-1)*100</f>
        <v>5.3838484546360865</v>
      </c>
      <c r="F168" s="834">
        <f>INDEX('qtrP&amp;L'!$13:$13,MATCH($A164,'qtrP&amp;L'!$6:$6,0)+2)</f>
        <v>1.9</v>
      </c>
      <c r="H168" s="828">
        <f>D168-F168</f>
        <v>3.4838484546360866</v>
      </c>
      <c r="J168" s="686">
        <f>INDEX(stores!D:D,MATCH(B168,stores!C:C,0))</f>
        <v>1146</v>
      </c>
      <c r="K168" s="1005">
        <f>J168-J167</f>
        <v>0</v>
      </c>
      <c r="L168" s="491">
        <f>AVERAGEA(J167:J168)</f>
        <v>1146</v>
      </c>
      <c r="N168" s="828">
        <f>(L168/L161-1)*100</f>
        <v>1.685891748003554</v>
      </c>
      <c r="P168" s="829">
        <f>(H168/N168)*100</f>
        <v>206.64722149341358</v>
      </c>
      <c r="S168" s="491">
        <f>INDEX('qtrP&amp;L'!$13:$13,MATCH($A164,'qtrP&amp;L'!$6:$6,0))</f>
        <v>6342</v>
      </c>
      <c r="U168" s="491">
        <f>S168-AP168</f>
        <v>5704</v>
      </c>
      <c r="W168" s="831">
        <f>IF(ISERROR(U168/L168),"NA",U168/L168)</f>
        <v>4.9773123909249568</v>
      </c>
      <c r="Y168" s="830">
        <f>IF(ISERROR(W168/W161),"NA",(W168/W161-1)*100)</f>
        <v>-6.78911491238906</v>
      </c>
      <c r="AA168" s="686">
        <f>INDEX(stores!D:D,MATCH(C168,stores!C:C,0))</f>
        <v>99565.2</v>
      </c>
      <c r="AC168" s="491">
        <f>AVERAGEA(AA167:AA168)</f>
        <v>99565.2</v>
      </c>
      <c r="AE168" s="828">
        <f>(AC168/AC161-1)*100</f>
        <v>1.1194052588281878</v>
      </c>
      <c r="AG168" s="829">
        <f>(H168/AE168)*100</f>
        <v>311.22316311815774</v>
      </c>
      <c r="AJ168" s="491">
        <f>U168</f>
        <v>5704</v>
      </c>
      <c r="AL168" s="835">
        <f>IF(ISERROR(AJ168/AC168),"NA",AJ168/AC168*100)</f>
        <v>5.7289092976260783</v>
      </c>
      <c r="AN168" s="836">
        <f>(AL168/AL161-1)*100</f>
        <v>-6.2669331717918659</v>
      </c>
      <c r="AP168" s="491">
        <v>638</v>
      </c>
      <c r="AQ168" s="841"/>
    </row>
    <row r="169" spans="1:45" ht="12.75" customHeight="1" x14ac:dyDescent="0.2">
      <c r="A169" s="573" t="s">
        <v>67</v>
      </c>
      <c r="B169" s="573"/>
      <c r="C169" s="573"/>
      <c r="D169" s="477">
        <f>INDEX('qtrP&amp;L'!$14:$14,MATCH($A164,'qtrP&amp;L'!$6:$6,0)+1)</f>
        <v>2.5313763029142677</v>
      </c>
      <c r="F169" s="477">
        <f>INDEX('qtrP&amp;L'!$14:$14,MATCH($A164,'qtrP&amp;L'!$6:$6,0)+2)</f>
        <v>0.3</v>
      </c>
      <c r="H169" s="445">
        <f>D169-F169</f>
        <v>2.2313763029142679</v>
      </c>
      <c r="J169" s="685"/>
      <c r="K169" s="1006">
        <f>J168-J161</f>
        <v>19</v>
      </c>
      <c r="L169" s="413">
        <f>AVERAGE(J168,J161)</f>
        <v>1136.5</v>
      </c>
      <c r="N169" s="445">
        <f>(L169/L162-1)*100</f>
        <v>2.5722021660649741</v>
      </c>
      <c r="P169" s="306">
        <f>(H169/N169)*100</f>
        <v>86.74964714487777</v>
      </c>
      <c r="S169" s="319">
        <f>INDEX('qtrP&amp;L'!$14:$14,MATCH($A164,'qtrP&amp;L'!$6:$6,0))</f>
        <v>19280</v>
      </c>
      <c r="U169" s="319">
        <f>S169-AP169</f>
        <v>17859</v>
      </c>
      <c r="W169" s="821">
        <f>IF(ISERROR(U169/L169),"NA",U169/L169)</f>
        <v>15.714034315882094</v>
      </c>
      <c r="Y169" s="761">
        <f>IF(ISERROR(W169/W162),"NA",(W169/W162-1)*100)</f>
        <v>-7.4072004786356116</v>
      </c>
      <c r="AA169" s="815"/>
      <c r="AC169" s="413">
        <f>AVERAGEA(AC165:AC168)</f>
        <v>99095.074999999997</v>
      </c>
      <c r="AE169" s="445">
        <f>(AC169/AC162-1)*100</f>
        <v>2.0641202583143725</v>
      </c>
      <c r="AG169" s="306">
        <f>(H169/AE169)*100</f>
        <v>108.10301841310748</v>
      </c>
      <c r="AJ169" s="319">
        <f>SUM(AJ165:AJ168)</f>
        <v>17859</v>
      </c>
      <c r="AL169" s="833">
        <f>IF(ISERROR(AJ169/AC169),"NA",AJ169/AC169*100)</f>
        <v>18.022086365038827</v>
      </c>
      <c r="AN169" s="765">
        <f>(AL169/AL162-1)*100</f>
        <v>-6.9462674288457311</v>
      </c>
      <c r="AP169" s="319">
        <f>SUM(AP165:AP168)</f>
        <v>1421</v>
      </c>
      <c r="AQ169" s="841"/>
      <c r="AS169" s="319"/>
    </row>
    <row r="170" spans="1:45" ht="12.75" customHeight="1" x14ac:dyDescent="0.2">
      <c r="J170" s="685"/>
      <c r="K170" s="1005"/>
      <c r="L170" s="413"/>
      <c r="P170" s="306"/>
      <c r="Y170" s="765"/>
      <c r="AA170" s="815"/>
      <c r="AC170" s="413"/>
      <c r="AG170" s="306"/>
      <c r="AN170" s="765"/>
    </row>
    <row r="171" spans="1:45" ht="12.75" customHeight="1" x14ac:dyDescent="0.2">
      <c r="A171" s="812">
        <v>2013</v>
      </c>
      <c r="B171" s="840"/>
      <c r="C171" s="840"/>
      <c r="J171" s="685"/>
      <c r="K171" s="1005"/>
      <c r="L171" s="413"/>
      <c r="P171" s="306"/>
      <c r="Y171" s="765"/>
      <c r="AA171" s="815"/>
      <c r="AC171" s="413"/>
      <c r="AG171" s="306"/>
      <c r="AN171" s="765"/>
      <c r="AP171" s="489"/>
    </row>
    <row r="172" spans="1:45" ht="12.75" customHeight="1" x14ac:dyDescent="0.2">
      <c r="A172" s="303" t="s">
        <v>63</v>
      </c>
      <c r="B172" s="303">
        <f>B168+1</f>
        <v>89</v>
      </c>
      <c r="C172" s="303">
        <f>C168+1</f>
        <v>189</v>
      </c>
      <c r="D172" s="477">
        <f>INDEX('qtrP&amp;L'!10:10,MATCH($A$171,'qtrP&amp;L'!$6:$6,0)+1)</f>
        <v>-1.0370021211407066</v>
      </c>
      <c r="E172" s="303" t="s">
        <v>102</v>
      </c>
      <c r="F172" s="1000">
        <v>-1.9</v>
      </c>
      <c r="G172" s="303" t="s">
        <v>102</v>
      </c>
      <c r="H172" s="445">
        <f>D172-F172</f>
        <v>0.86299787885929335</v>
      </c>
      <c r="I172" s="303" t="s">
        <v>102</v>
      </c>
      <c r="J172" s="686">
        <f>stores!D293</f>
        <v>1155</v>
      </c>
      <c r="K172" s="1005">
        <f>J172-J168</f>
        <v>9</v>
      </c>
      <c r="L172" s="413">
        <f>AVERAGEA(J172,J168)</f>
        <v>1150.5</v>
      </c>
      <c r="N172" s="445">
        <f>(L172/L165-1)*100</f>
        <v>1.769128704113232</v>
      </c>
      <c r="O172" s="303" t="s">
        <v>102</v>
      </c>
      <c r="P172" s="306">
        <f>(H172/N172)*100</f>
        <v>48.780955102521347</v>
      </c>
      <c r="Q172" s="303" t="s">
        <v>102</v>
      </c>
      <c r="S172" s="1008">
        <v>4199</v>
      </c>
      <c r="U172" s="319">
        <f>S172-AP172</f>
        <v>3870.19</v>
      </c>
      <c r="W172" s="489">
        <f>U172/L172</f>
        <v>3.3639200347674922</v>
      </c>
      <c r="Y172" s="765">
        <f>(W172/W165-1)*100</f>
        <v>-4.7366833841520624</v>
      </c>
      <c r="Z172" s="303" t="s">
        <v>102</v>
      </c>
      <c r="AA172" s="686">
        <f>stores!D615</f>
        <v>100070</v>
      </c>
      <c r="AC172" s="413">
        <f>AVERAGEA(AA172,AA168)</f>
        <v>99817.600000000006</v>
      </c>
      <c r="AE172" s="490">
        <f>(AC172/AC165-1)*100</f>
        <v>1.1241236779187203</v>
      </c>
      <c r="AF172" s="303" t="s">
        <v>102</v>
      </c>
      <c r="AG172" s="306">
        <f>(H172/AE172)*100</f>
        <v>76.770723347550756</v>
      </c>
      <c r="AH172" s="303" t="s">
        <v>102</v>
      </c>
      <c r="AJ172" s="319">
        <f>U172</f>
        <v>3870.19</v>
      </c>
      <c r="AL172" s="489">
        <f>AJ172/AC172*100</f>
        <v>3.8772621261180391</v>
      </c>
      <c r="AN172" s="765">
        <f>(AL172/AL165-1)*100</f>
        <v>-4.129060635055259</v>
      </c>
      <c r="AO172" s="303" t="s">
        <v>102</v>
      </c>
      <c r="AP172" s="319">
        <f>AP165*(1+AQ172)</f>
        <v>328.81</v>
      </c>
      <c r="AQ172" s="1011">
        <v>0.31</v>
      </c>
      <c r="AR172" s="581"/>
    </row>
    <row r="173" spans="1:45" ht="12.75" customHeight="1" x14ac:dyDescent="0.2">
      <c r="A173" s="303" t="s">
        <v>64</v>
      </c>
      <c r="B173" s="303">
        <f t="shared" ref="B173:C175" si="22">B172+1</f>
        <v>90</v>
      </c>
      <c r="C173" s="303">
        <f t="shared" si="22"/>
        <v>190</v>
      </c>
      <c r="D173" s="477">
        <f>INDEX('qtrP&amp;L'!11:11,MATCH($A$171,'qtrP&amp;L'!$6:$6,0)+1)</f>
        <v>1.9976218787158162</v>
      </c>
      <c r="F173" s="1000">
        <v>0.9</v>
      </c>
      <c r="H173" s="445">
        <f>D173-F173</f>
        <v>1.0976218787158163</v>
      </c>
      <c r="J173" s="686">
        <f>stores!D294</f>
        <v>1155</v>
      </c>
      <c r="K173" s="1005">
        <f>J173-J172</f>
        <v>0</v>
      </c>
      <c r="L173" s="413">
        <f>AVERAGEA(J172:J173)</f>
        <v>1155</v>
      </c>
      <c r="N173" s="445">
        <f>(L173/L166-1)*100</f>
        <v>1.8518518518518601</v>
      </c>
      <c r="P173" s="306">
        <f>(H173/N173)*100</f>
        <v>59.271581450653819</v>
      </c>
      <c r="Q173" s="414"/>
      <c r="S173" s="985">
        <v>4289</v>
      </c>
      <c r="U173" s="413">
        <f>S173-AP173</f>
        <v>3985.64</v>
      </c>
      <c r="W173" s="479">
        <f>U173/L173</f>
        <v>3.4507705627705625</v>
      </c>
      <c r="Y173" s="765">
        <f>(W173/W166-1)*100</f>
        <v>-1.3817082111436951</v>
      </c>
      <c r="AA173" s="686">
        <f>stores!D616</f>
        <v>100107</v>
      </c>
      <c r="AC173" s="413">
        <f>AVERAGEA(AA172:AA173)</f>
        <v>100088.5</v>
      </c>
      <c r="AE173" s="490">
        <f>(AC173/AC166-1)*100</f>
        <v>1.2012072739773894</v>
      </c>
      <c r="AG173" s="306">
        <f>(H173/AE173)*100</f>
        <v>91.37655944102093</v>
      </c>
      <c r="AJ173" s="413">
        <f>U173</f>
        <v>3985.64</v>
      </c>
      <c r="AL173" s="479">
        <f>AJ173/AC173*100</f>
        <v>3.9821158274926689</v>
      </c>
      <c r="AN173" s="765">
        <f>(AL173/AL166-1)*100</f>
        <v>-0.7476697588360004</v>
      </c>
      <c r="AP173" s="413">
        <f>AP166*(1+AQ173)</f>
        <v>303.36</v>
      </c>
      <c r="AQ173" s="1011">
        <v>0.28000000000000003</v>
      </c>
      <c r="AR173" s="581"/>
    </row>
    <row r="174" spans="1:45" ht="12.75" customHeight="1" x14ac:dyDescent="0.2">
      <c r="A174" s="303" t="s">
        <v>65</v>
      </c>
      <c r="B174" s="303">
        <f t="shared" si="22"/>
        <v>91</v>
      </c>
      <c r="C174" s="303">
        <f t="shared" si="22"/>
        <v>191</v>
      </c>
      <c r="D174" s="477">
        <f>INDEX('qtrP&amp;L'!12:12,MATCH($A$171,'qtrP&amp;L'!$6:$6,0)+1)</f>
        <v>-1.024498886414249</v>
      </c>
      <c r="F174" s="1000">
        <v>-1.6</v>
      </c>
      <c r="H174" s="445">
        <f>D174-F174</f>
        <v>0.57550111358575107</v>
      </c>
      <c r="J174" s="686">
        <f>stores!D295</f>
        <v>1158</v>
      </c>
      <c r="K174" s="1005">
        <f>J174-J173</f>
        <v>3</v>
      </c>
      <c r="L174" s="413">
        <f>AVERAGEA(J173:J174)</f>
        <v>1156.5</v>
      </c>
      <c r="N174" s="445">
        <f>(L174/L167-1)*100</f>
        <v>1.4473684210526416</v>
      </c>
      <c r="P174" s="306">
        <f>(H174/N174)*100</f>
        <v>39.761895120469795</v>
      </c>
      <c r="Q174" s="414"/>
      <c r="S174" s="985">
        <v>4444</v>
      </c>
      <c r="U174" s="413">
        <f>S174-AP174</f>
        <v>4104.75</v>
      </c>
      <c r="W174" s="479">
        <f>U174/L174</f>
        <v>3.5492866407263293</v>
      </c>
      <c r="Y174" s="765">
        <f>(W174/W167-1)*100</f>
        <v>-3.5473952222165539</v>
      </c>
      <c r="AA174" s="686">
        <f>stores!D617</f>
        <v>100275</v>
      </c>
      <c r="AC174" s="413">
        <f>AVERAGEA(AA173:AA174)</f>
        <v>100191</v>
      </c>
      <c r="AE174" s="490">
        <f>(AC174/AC167-1)*100</f>
        <v>0.99227269153463471</v>
      </c>
      <c r="AG174" s="306">
        <f>(H174/AE174)*100</f>
        <v>57.998281973848265</v>
      </c>
      <c r="AJ174" s="413">
        <f>U174</f>
        <v>4104.75</v>
      </c>
      <c r="AL174" s="479">
        <f>AJ174/AC174*100</f>
        <v>4.0969248734916306</v>
      </c>
      <c r="AN174" s="765">
        <f>(AL174/AL167-1)*100</f>
        <v>-3.1127563398009928</v>
      </c>
      <c r="AP174" s="413">
        <f>AP167*(1+AQ174)</f>
        <v>339.25</v>
      </c>
      <c r="AQ174" s="1011">
        <v>0.15</v>
      </c>
    </row>
    <row r="175" spans="1:45" ht="12.75" customHeight="1" x14ac:dyDescent="0.2">
      <c r="A175" s="303" t="s">
        <v>66</v>
      </c>
      <c r="B175" s="303">
        <f t="shared" si="22"/>
        <v>92</v>
      </c>
      <c r="C175" s="303">
        <f t="shared" si="22"/>
        <v>192</v>
      </c>
      <c r="D175" s="834">
        <f>INDEX('qtrP&amp;L'!13:13,MATCH($A$171,'qtrP&amp;L'!$6:$6,0)+1)</f>
        <v>-3.8315988647114496</v>
      </c>
      <c r="F175" s="1001">
        <v>-2</v>
      </c>
      <c r="H175" s="828">
        <f>D175-F175</f>
        <v>-1.8315988647114496</v>
      </c>
      <c r="J175" s="686">
        <f>stores!D296</f>
        <v>1158</v>
      </c>
      <c r="K175" s="1005">
        <f>J175-J174</f>
        <v>0</v>
      </c>
      <c r="L175" s="491">
        <f>AVERAGEA(J174:J175)</f>
        <v>1158</v>
      </c>
      <c r="N175" s="828">
        <f>(L175/L168-1)*100</f>
        <v>1.0471204188481575</v>
      </c>
      <c r="P175" s="829">
        <f>(H175/N175)*100</f>
        <v>-174.91769157994511</v>
      </c>
      <c r="S175" s="1009">
        <v>6099</v>
      </c>
      <c r="U175" s="491">
        <f>S175-AP175</f>
        <v>5358.92</v>
      </c>
      <c r="W175" s="831">
        <f>U175/L175</f>
        <v>4.6277374784110537</v>
      </c>
      <c r="Y175" s="830">
        <f>(W175/W168-1)*100</f>
        <v>-7.0233669309420215</v>
      </c>
      <c r="AA175" s="686">
        <f>stores!D618</f>
        <v>100300</v>
      </c>
      <c r="AC175" s="491">
        <f>AVERAGEA(AA174:AA175)</f>
        <v>100287.5</v>
      </c>
      <c r="AE175" s="828">
        <f>(AC175/AC168-1)*100</f>
        <v>0.72545427518853067</v>
      </c>
      <c r="AG175" s="829">
        <f>(H175/AE175)*100</f>
        <v>-252.47612804204022</v>
      </c>
      <c r="AJ175" s="491">
        <f>U175</f>
        <v>5358.92</v>
      </c>
      <c r="AL175" s="835">
        <f>AJ175/AC175*100</f>
        <v>5.3435572728405836</v>
      </c>
      <c r="AN175" s="836">
        <f>(AL175/AL168-1)*100</f>
        <v>-6.7264466020639402</v>
      </c>
      <c r="AP175" s="491">
        <f>AP168*(1+AQ175)</f>
        <v>740.07999999999993</v>
      </c>
      <c r="AQ175" s="1011">
        <v>0.16</v>
      </c>
    </row>
    <row r="176" spans="1:45" ht="12.75" customHeight="1" x14ac:dyDescent="0.2">
      <c r="A176" s="573" t="s">
        <v>67</v>
      </c>
      <c r="B176" s="573"/>
      <c r="C176" s="573"/>
      <c r="D176" s="477">
        <f>'yrP&amp;L'!Z8*100</f>
        <v>-1.2914937759336054</v>
      </c>
      <c r="F176" s="477">
        <f>SUMPRODUCT(F172:F175,S172:S175)/S176</f>
        <v>-1.2309600126110032</v>
      </c>
      <c r="H176" s="445">
        <f>D176-F176</f>
        <v>-6.0533763322602185E-2</v>
      </c>
      <c r="J176" s="685"/>
      <c r="K176" s="1006">
        <f>J175-J168</f>
        <v>12</v>
      </c>
      <c r="L176" s="413">
        <f>AVERAGE(J175,J168)</f>
        <v>1152</v>
      </c>
      <c r="N176" s="445">
        <f>(L176/L169-1)*100</f>
        <v>1.363836339639235</v>
      </c>
      <c r="P176" s="306">
        <f>(H176/N176)*100</f>
        <v>-4.4384917429766322</v>
      </c>
      <c r="S176" s="319">
        <f>INDEX('qtrP&amp;L'!$14:$14,MATCH($A171,'qtrP&amp;L'!$6:$6,0))</f>
        <v>19031</v>
      </c>
      <c r="U176" s="319">
        <f>S176-AP176</f>
        <v>17319.5</v>
      </c>
      <c r="W176" s="821">
        <f>IF(ISERROR(U176/L176),"NA",U176/L176)</f>
        <v>15.034288194444445</v>
      </c>
      <c r="Y176" s="761">
        <f>IF(ISERROR(W176/W169),"NA",(W176/W169-1)*100)</f>
        <v>-4.3257263397384449</v>
      </c>
      <c r="AA176" s="815"/>
      <c r="AC176" s="413">
        <f>AVERAGE(AA175,AA168)</f>
        <v>99932.6</v>
      </c>
      <c r="AE176" s="445">
        <f>(AC176/AC169-1)*100</f>
        <v>0.84517318343015901</v>
      </c>
      <c r="AG176" s="306">
        <f>(H176/AE176)*100</f>
        <v>-7.1622910557720507</v>
      </c>
      <c r="AJ176" s="319">
        <f>U176</f>
        <v>17319.5</v>
      </c>
      <c r="AL176" s="833">
        <f>IF(ISERROR(AJ176/AC176),"NA",AJ176/AC176*100)</f>
        <v>17.331181216139676</v>
      </c>
      <c r="AN176" s="765">
        <f>(AL176/AL169-1)*100</f>
        <v>-3.8336579622625933</v>
      </c>
      <c r="AP176" s="319">
        <f>SUM(AP172:AP175)</f>
        <v>1711.5</v>
      </c>
      <c r="AQ176" s="841"/>
    </row>
    <row r="177" spans="1:43" ht="12.75" customHeight="1" x14ac:dyDescent="0.2">
      <c r="A177" s="573"/>
      <c r="B177" s="573"/>
      <c r="C177" s="573"/>
      <c r="D177" s="477"/>
      <c r="F177" s="445">
        <f>SUMPRODUCT(F172:F173,S172:S173)/SUM(S172:S173)</f>
        <v>-0.48515551366635251</v>
      </c>
      <c r="H177" s="445">
        <f>SUMPRODUCT(F174:F175,S174:S175)/(S174+S175)</f>
        <v>-1.8313952385469032</v>
      </c>
      <c r="J177" s="685"/>
      <c r="K177" s="1006"/>
      <c r="L177" s="413"/>
      <c r="N177" s="445"/>
      <c r="P177" s="306"/>
      <c r="U177" s="319"/>
      <c r="W177" s="821"/>
      <c r="Y177" s="761"/>
      <c r="AA177" s="815"/>
      <c r="AC177" s="413"/>
      <c r="AE177" s="445"/>
      <c r="AG177" s="306"/>
      <c r="AJ177" s="319"/>
      <c r="AL177" s="833"/>
      <c r="AN177" s="765"/>
      <c r="AP177" s="419"/>
      <c r="AQ177" s="841"/>
    </row>
    <row r="178" spans="1:43" ht="12.75" customHeight="1" x14ac:dyDescent="0.2">
      <c r="A178" s="812">
        <v>2014</v>
      </c>
      <c r="B178" s="840"/>
      <c r="C178" s="840"/>
      <c r="J178" s="685"/>
      <c r="K178" s="1005"/>
      <c r="L178" s="413"/>
      <c r="P178" s="306"/>
      <c r="Y178" s="765"/>
      <c r="AA178" s="815"/>
      <c r="AC178" s="413"/>
      <c r="AG178" s="306"/>
      <c r="AN178" s="765"/>
      <c r="AP178" s="489"/>
    </row>
    <row r="179" spans="1:43" ht="12.75" customHeight="1" x14ac:dyDescent="0.2">
      <c r="A179" s="303" t="s">
        <v>63</v>
      </c>
      <c r="B179" s="303">
        <f>B175+1</f>
        <v>93</v>
      </c>
      <c r="C179" s="303">
        <f>C175+1</f>
        <v>193</v>
      </c>
      <c r="D179" s="477">
        <f>INDEX('qtrP&amp;L'!10:10,MATCH($A$178,'qtrP&amp;L'!$6:$6,0)+1)</f>
        <v>-3.0721600381043102</v>
      </c>
      <c r="F179" s="1000">
        <v>-3.4</v>
      </c>
      <c r="H179" s="842">
        <f>D179-F179</f>
        <v>0.32783996189568976</v>
      </c>
      <c r="I179" s="303" t="s">
        <v>102</v>
      </c>
      <c r="J179" s="686">
        <f>stores!D298</f>
        <v>1160</v>
      </c>
      <c r="K179" s="1005">
        <f>J179-J175</f>
        <v>2</v>
      </c>
      <c r="L179" s="413">
        <f>AVERAGEA(J179,J175)</f>
        <v>1159</v>
      </c>
      <c r="N179" s="445">
        <f>(L179/L172-1)*100</f>
        <v>0.73880921338549399</v>
      </c>
      <c r="O179" s="303" t="s">
        <v>102</v>
      </c>
      <c r="P179" s="306">
        <f>(H179/N179)*100</f>
        <v>44.374103077763088</v>
      </c>
      <c r="Q179" s="414" t="s">
        <v>102</v>
      </c>
      <c r="S179" s="1008">
        <v>4070</v>
      </c>
      <c r="U179" s="413">
        <f>S179-AP179</f>
        <v>3691.8685</v>
      </c>
      <c r="W179" s="479">
        <f>U179/L179</f>
        <v>3.1853912855910269</v>
      </c>
      <c r="Y179" s="765">
        <f>(W179/W172-1)*100</f>
        <v>-5.3071638841380775</v>
      </c>
      <c r="Z179" s="303" t="s">
        <v>102</v>
      </c>
      <c r="AA179" s="686">
        <f>stores!D620</f>
        <v>100340</v>
      </c>
      <c r="AC179" s="413">
        <f>AVERAGEA(AA179,AA175)</f>
        <v>100320</v>
      </c>
      <c r="AE179" s="490">
        <f>(AC179/AC172-1)*100</f>
        <v>0.50331805212706637</v>
      </c>
      <c r="AF179" s="303" t="s">
        <v>102</v>
      </c>
      <c r="AG179" s="306">
        <f>(H179/AE179)*100</f>
        <v>65.135744786067022</v>
      </c>
      <c r="AH179" s="303" t="s">
        <v>102</v>
      </c>
      <c r="AJ179" s="413">
        <f>U179</f>
        <v>3691.8685</v>
      </c>
      <c r="AL179" s="479">
        <f>AJ179/AC179*100</f>
        <v>3.6800922049441782</v>
      </c>
      <c r="AN179" s="765">
        <f>(AL179/AL172-1)*100</f>
        <v>-5.0852873692929794</v>
      </c>
      <c r="AO179" s="303" t="s">
        <v>102</v>
      </c>
      <c r="AP179" s="413">
        <f>AP172*(1+AQ179)</f>
        <v>378.13149999999996</v>
      </c>
      <c r="AQ179" s="1011">
        <v>0.15</v>
      </c>
    </row>
    <row r="180" spans="1:43" ht="12.75" customHeight="1" x14ac:dyDescent="0.2">
      <c r="A180" s="303" t="s">
        <v>64</v>
      </c>
      <c r="B180" s="303">
        <f t="shared" ref="B180:C182" si="23">B179+1</f>
        <v>94</v>
      </c>
      <c r="C180" s="303">
        <f t="shared" si="23"/>
        <v>194</v>
      </c>
      <c r="D180" s="477">
        <f>INDEX('qtrP&amp;L'!11:11,MATCH($A$178,'qtrP&amp;L'!$6:$6,0)+1)</f>
        <v>-1.095826532991373</v>
      </c>
      <c r="F180" s="1000">
        <v>-1.3</v>
      </c>
      <c r="H180" s="842">
        <f>D180-F180</f>
        <v>0.20417346700862704</v>
      </c>
      <c r="J180" s="686">
        <f>stores!D299</f>
        <v>1160</v>
      </c>
      <c r="K180" s="1005">
        <f>J180-J179</f>
        <v>0</v>
      </c>
      <c r="L180" s="413">
        <f>AVERAGEA(J179:J180)</f>
        <v>1160</v>
      </c>
      <c r="N180" s="445">
        <f>(L180/L173-1)*100</f>
        <v>0.43290043290042934</v>
      </c>
      <c r="P180" s="306">
        <f>(H180/N180)*100</f>
        <v>47.164070878993236</v>
      </c>
      <c r="Q180" s="414"/>
      <c r="S180" s="985">
        <v>4242</v>
      </c>
      <c r="U180" s="413">
        <f>S180-AP180</f>
        <v>3893.136</v>
      </c>
      <c r="W180" s="479">
        <f>U180/L180</f>
        <v>3.3561517241379311</v>
      </c>
      <c r="Y180" s="765">
        <f>(W180/W173-1)*100</f>
        <v>-2.7419626112917705</v>
      </c>
      <c r="AA180" s="686">
        <f>stores!D621</f>
        <v>100340</v>
      </c>
      <c r="AC180" s="413">
        <f>AVERAGEA(AA179:AA180)</f>
        <v>100340</v>
      </c>
      <c r="AE180" s="490">
        <f>(AC180/AC173-1)*100</f>
        <v>0.25127761930692216</v>
      </c>
      <c r="AG180" s="306">
        <f>(H180/AE180)*100</f>
        <v>81.254139374521884</v>
      </c>
      <c r="AJ180" s="413">
        <f>U180</f>
        <v>3893.136</v>
      </c>
      <c r="AL180" s="479">
        <f>AJ180/AC180*100</f>
        <v>3.8799441897548337</v>
      </c>
      <c r="AN180" s="765">
        <f>(AL180/AL173-1)*100</f>
        <v>-2.5657625785879601</v>
      </c>
      <c r="AP180" s="413">
        <f>AP173*(1+AQ180)</f>
        <v>348.86399999999998</v>
      </c>
      <c r="AQ180" s="1011">
        <v>0.15</v>
      </c>
    </row>
    <row r="181" spans="1:43" ht="12.75" customHeight="1" x14ac:dyDescent="0.2">
      <c r="A181" s="303" t="s">
        <v>65</v>
      </c>
      <c r="B181" s="303">
        <f t="shared" si="23"/>
        <v>95</v>
      </c>
      <c r="C181" s="303">
        <f t="shared" si="23"/>
        <v>195</v>
      </c>
      <c r="D181" s="477">
        <f>INDEX('qtrP&amp;L'!12:12,MATCH($A$178,'qtrP&amp;L'!$6:$6,0)+1)</f>
        <v>-1.5751575157515796</v>
      </c>
      <c r="F181" s="1000">
        <v>-1.8</v>
      </c>
      <c r="H181" s="842">
        <f>D181-F181</f>
        <v>0.22484248424842046</v>
      </c>
      <c r="J181" s="686">
        <f>stores!D300</f>
        <v>1163</v>
      </c>
      <c r="K181" s="1005">
        <f>J181-J180</f>
        <v>3</v>
      </c>
      <c r="L181" s="413">
        <f>AVERAGEA(J180:J181)</f>
        <v>1161.5</v>
      </c>
      <c r="N181" s="445">
        <f>(L181/L174-1)*100</f>
        <v>0.43233895373973041</v>
      </c>
      <c r="P181" s="306">
        <f>(H181/N181)*100</f>
        <v>52.006066606659843</v>
      </c>
      <c r="Q181" s="414"/>
      <c r="S181" s="985">
        <v>4374</v>
      </c>
      <c r="U181" s="413">
        <f>S181-AP181</f>
        <v>3966.9</v>
      </c>
      <c r="W181" s="479">
        <f>U181/L181</f>
        <v>3.4153250107619457</v>
      </c>
      <c r="Y181" s="765">
        <f>(W181/W174-1)*100</f>
        <v>-3.7743254778929147</v>
      </c>
      <c r="AA181" s="686">
        <f>stores!D622</f>
        <v>100494</v>
      </c>
      <c r="AC181" s="413">
        <f>AVERAGEA(AA180:AA181)</f>
        <v>100417</v>
      </c>
      <c r="AE181" s="490">
        <f>(AC181/AC174-1)*100</f>
        <v>0.22556916289886431</v>
      </c>
      <c r="AG181" s="306">
        <f>(H181/AE181)*100</f>
        <v>99.677846634218497</v>
      </c>
      <c r="AJ181" s="413">
        <f>U181</f>
        <v>3966.9</v>
      </c>
      <c r="AL181" s="479">
        <f>AJ181/AC181*100</f>
        <v>3.9504267205752015</v>
      </c>
      <c r="AN181" s="765">
        <f>(AL181/AL174-1)*100</f>
        <v>-3.5758076469577849</v>
      </c>
      <c r="AP181" s="413">
        <f>AP174*(1+AQ181)</f>
        <v>407.09999999999997</v>
      </c>
      <c r="AQ181" s="1011">
        <v>0.2</v>
      </c>
    </row>
    <row r="182" spans="1:43" ht="12.75" customHeight="1" x14ac:dyDescent="0.2">
      <c r="A182" s="303" t="s">
        <v>66</v>
      </c>
      <c r="B182" s="303">
        <f t="shared" si="23"/>
        <v>96</v>
      </c>
      <c r="C182" s="303">
        <f t="shared" si="23"/>
        <v>196</v>
      </c>
      <c r="D182" s="834">
        <f>INDEX('qtrP&amp;L'!13:13,MATCH($A$178,'qtrP&amp;L'!$6:$6,0)+1)</f>
        <v>3.9022790621413339</v>
      </c>
      <c r="F182" s="1001">
        <v>3.7</v>
      </c>
      <c r="H182" s="842">
        <f>D182-F182</f>
        <v>0.20227906214133373</v>
      </c>
      <c r="J182" s="686">
        <f>stores!D301</f>
        <v>1162</v>
      </c>
      <c r="K182" s="1005">
        <f>J182-J181</f>
        <v>-1</v>
      </c>
      <c r="L182" s="491">
        <f>AVERAGEA(J181:J182)</f>
        <v>1162.5</v>
      </c>
      <c r="N182" s="828">
        <f>(L182/L175-1)*100</f>
        <v>0.38860103626943143</v>
      </c>
      <c r="P182" s="829">
        <f>(H182/N182)*100</f>
        <v>52.053145324369702</v>
      </c>
      <c r="Q182" s="414"/>
      <c r="S182" s="1009">
        <v>6337</v>
      </c>
      <c r="U182" s="491">
        <f>S182-AP182</f>
        <v>5448.9040000000005</v>
      </c>
      <c r="W182" s="602">
        <f>U182/L182</f>
        <v>4.6872292473118282</v>
      </c>
      <c r="Y182" s="836">
        <f>(W182/W175-1)*100</f>
        <v>1.28554761756281</v>
      </c>
      <c r="AA182" s="686">
        <f>stores!D623</f>
        <v>100394</v>
      </c>
      <c r="AC182" s="491">
        <f>AVERAGEA(AA181:AA182)</f>
        <v>100444</v>
      </c>
      <c r="AE182" s="843">
        <f>(AC182/AC175-1)*100</f>
        <v>0.15605135236196332</v>
      </c>
      <c r="AG182" s="829">
        <f>(H182/AE182)*100</f>
        <v>129.62339581149195</v>
      </c>
      <c r="AJ182" s="491">
        <f>U182</f>
        <v>5448.9040000000005</v>
      </c>
      <c r="AL182" s="602">
        <f>AJ182/AC182*100</f>
        <v>5.424817808928359</v>
      </c>
      <c r="AN182" s="836">
        <f>(AL182/AL175-1)*100</f>
        <v>1.5207198489439522</v>
      </c>
      <c r="AP182" s="491">
        <f>AP175*(1+AQ182)</f>
        <v>888.09599999999989</v>
      </c>
      <c r="AQ182" s="1011">
        <v>0.2</v>
      </c>
    </row>
    <row r="183" spans="1:43" ht="12.75" customHeight="1" x14ac:dyDescent="0.2">
      <c r="A183" s="573" t="s">
        <v>67</v>
      </c>
      <c r="B183" s="573"/>
      <c r="C183" s="573"/>
      <c r="D183" s="477">
        <f>'yrP&amp;L'!AA8*100</f>
        <v>-4.2036677000678591E-2</v>
      </c>
      <c r="F183" s="1002">
        <v>-0.3</v>
      </c>
      <c r="H183" s="445">
        <f>D183-F183</f>
        <v>0.2579633229993214</v>
      </c>
      <c r="J183" s="685"/>
      <c r="K183" s="1006">
        <f>J182-J175</f>
        <v>4</v>
      </c>
      <c r="L183" s="413">
        <f>AVERAGE(J182,J175)</f>
        <v>1160</v>
      </c>
      <c r="N183" s="445">
        <f>(L183/L176-1)*100</f>
        <v>0.69444444444444198</v>
      </c>
      <c r="P183" s="306">
        <f>(H183/N183)*100</f>
        <v>37.146718511902414</v>
      </c>
      <c r="S183" s="319">
        <f>INDEX('qtrP&amp;L'!$14:$14,MATCH($A178,'qtrP&amp;L'!$6:$6,0))</f>
        <v>19023</v>
      </c>
      <c r="U183" s="319">
        <f>S183-AP183</f>
        <v>17000.808499999999</v>
      </c>
      <c r="W183" s="821">
        <f>IF(ISERROR(U183/L183),"NA",U183/L183)</f>
        <v>14.655869396551724</v>
      </c>
      <c r="Y183" s="761">
        <f>IF(ISERROR(W183/W176),"NA",(W183/W176-1)*100)</f>
        <v>-2.5170383392847051</v>
      </c>
      <c r="AA183" s="815"/>
      <c r="AC183" s="413">
        <f>AVERAGE(AA182,AA175)</f>
        <v>100347</v>
      </c>
      <c r="AE183" s="445">
        <f>(AC183/AC176-1)*100</f>
        <v>0.41467949397893111</v>
      </c>
      <c r="AG183" s="306">
        <f>(H183/AE183)*100</f>
        <v>62.207880241222611</v>
      </c>
      <c r="AJ183" s="319">
        <f>U183</f>
        <v>17000.808499999999</v>
      </c>
      <c r="AL183" s="833">
        <f>IF(ISERROR(AJ183/AC183),"NA",AJ183/AC183*100)</f>
        <v>16.942019691669906</v>
      </c>
      <c r="AN183" s="765">
        <f>(AL183/AL176-1)*100</f>
        <v>-2.2454414365442266</v>
      </c>
      <c r="AP183" s="319">
        <f>SUM(AP179:AP182)</f>
        <v>2022.1914999999999</v>
      </c>
      <c r="AQ183" s="841"/>
    </row>
    <row r="184" spans="1:43" ht="12.75" customHeight="1" x14ac:dyDescent="0.2">
      <c r="A184" s="573"/>
      <c r="B184" s="573"/>
      <c r="C184" s="573"/>
      <c r="D184" s="477"/>
      <c r="F184" s="445"/>
      <c r="H184" s="445"/>
      <c r="J184" s="685"/>
      <c r="K184" s="1006"/>
      <c r="L184" s="413"/>
      <c r="N184" s="445"/>
      <c r="P184" s="306"/>
      <c r="U184" s="319"/>
      <c r="W184" s="821"/>
      <c r="Y184" s="761"/>
      <c r="AA184" s="815"/>
      <c r="AC184" s="413"/>
      <c r="AE184" s="445"/>
      <c r="AG184" s="306"/>
      <c r="AJ184" s="319"/>
      <c r="AL184" s="833"/>
      <c r="AN184" s="765"/>
      <c r="AP184" s="419"/>
      <c r="AQ184" s="841"/>
    </row>
    <row r="185" spans="1:43" ht="12.75" customHeight="1" x14ac:dyDescent="0.2">
      <c r="A185" s="812">
        <v>2015</v>
      </c>
      <c r="B185" s="840"/>
      <c r="C185" s="840"/>
      <c r="J185" s="685"/>
      <c r="K185" s="1005"/>
      <c r="L185" s="413"/>
      <c r="P185" s="306"/>
      <c r="Y185" s="765"/>
      <c r="AA185" s="815"/>
      <c r="AC185" s="413"/>
      <c r="AG185" s="306"/>
      <c r="AN185" s="765"/>
      <c r="AP185" s="489"/>
    </row>
    <row r="186" spans="1:43" ht="12.75" customHeight="1" x14ac:dyDescent="0.2">
      <c r="A186" s="303" t="s">
        <v>63</v>
      </c>
      <c r="B186" s="303">
        <f>B182+1</f>
        <v>97</v>
      </c>
      <c r="C186" s="303">
        <f>C182+1</f>
        <v>197</v>
      </c>
      <c r="D186" s="477">
        <f>'qtrP&amp;L'!CZ10</f>
        <v>1.3022113022113091</v>
      </c>
      <c r="F186" s="1000">
        <v>1.4</v>
      </c>
      <c r="H186" s="445">
        <f>D186-F186</f>
        <v>-9.7788697788690815E-2</v>
      </c>
      <c r="I186" s="303" t="s">
        <v>102</v>
      </c>
      <c r="J186" s="686">
        <f>stores!D303</f>
        <v>1164</v>
      </c>
      <c r="K186" s="1005">
        <f>J186-J182</f>
        <v>2</v>
      </c>
      <c r="L186" s="413">
        <f>AVERAGEA(J186,J182)</f>
        <v>1163</v>
      </c>
      <c r="N186" s="445">
        <f>(L186/L179-1)*100</f>
        <v>0.3451251078516071</v>
      </c>
      <c r="O186" s="303" t="s">
        <v>102</v>
      </c>
      <c r="P186" s="306">
        <f>(H186/N186)*100</f>
        <v>-28.334275184272268</v>
      </c>
      <c r="Q186" s="414" t="s">
        <v>102</v>
      </c>
      <c r="S186" s="1008">
        <v>4123</v>
      </c>
      <c r="U186" s="413">
        <f>S186-AP186</f>
        <v>3688.1487750000001</v>
      </c>
      <c r="W186" s="479">
        <f>U186/L186</f>
        <v>3.1712371238177131</v>
      </c>
      <c r="Y186" s="765">
        <f>(W186/W179-1)*100</f>
        <v>-0.44434609453913865</v>
      </c>
      <c r="Z186" s="303" t="s">
        <v>102</v>
      </c>
      <c r="AA186" s="686">
        <f>stores!D625</f>
        <v>100507</v>
      </c>
      <c r="AC186" s="413">
        <f>AVERAGEA(AA186,AA182)</f>
        <v>100450.5</v>
      </c>
      <c r="AE186" s="490">
        <f>(AC186/AC179-1)*100</f>
        <v>0.13008373205740664</v>
      </c>
      <c r="AF186" s="303" t="s">
        <v>102</v>
      </c>
      <c r="AG186" s="306">
        <f>(H186/AE186)*100</f>
        <v>-75.173656415035921</v>
      </c>
      <c r="AH186" s="303" t="s">
        <v>102</v>
      </c>
      <c r="AJ186" s="413">
        <f>U186</f>
        <v>3688.1487750000001</v>
      </c>
      <c r="AL186" s="479">
        <f>AJ186/AC186*100</f>
        <v>3.6716081801484313</v>
      </c>
      <c r="AN186" s="765">
        <f>(AL186/AL179-1)*100</f>
        <v>-0.23053837575994773</v>
      </c>
      <c r="AO186" s="303" t="s">
        <v>102</v>
      </c>
      <c r="AP186" s="413">
        <f>AP179*(1+AQ186)</f>
        <v>434.85122499999994</v>
      </c>
      <c r="AQ186" s="1011">
        <v>0.15</v>
      </c>
    </row>
    <row r="187" spans="1:43" ht="12.75" customHeight="1" x14ac:dyDescent="0.2">
      <c r="A187" s="303" t="s">
        <v>64</v>
      </c>
      <c r="B187" s="303">
        <f t="shared" ref="B187:C189" si="24">B186+1</f>
        <v>98</v>
      </c>
      <c r="C187" s="303">
        <f t="shared" si="24"/>
        <v>198</v>
      </c>
      <c r="D187" s="477">
        <f>'qtrP&amp;L'!CZ11</f>
        <v>0.58934464875060044</v>
      </c>
      <c r="F187" s="1000">
        <v>0.1</v>
      </c>
      <c r="H187" s="445">
        <f>D187-F187</f>
        <v>0.48934464875060046</v>
      </c>
      <c r="J187" s="686">
        <f>stores!D304</f>
        <v>1164</v>
      </c>
      <c r="K187" s="1005">
        <f>J187-J186</f>
        <v>0</v>
      </c>
      <c r="L187" s="413">
        <f>AVERAGEA(J186:J187)</f>
        <v>1164</v>
      </c>
      <c r="N187" s="445">
        <f>(L187/L180-1)*100</f>
        <v>0.34482758620688614</v>
      </c>
      <c r="P187" s="306">
        <f>(H187/N187)*100</f>
        <v>141.90994813767841</v>
      </c>
      <c r="Q187" s="414"/>
      <c r="S187" s="985">
        <v>4267</v>
      </c>
      <c r="U187" s="413">
        <f>S187-AP187</f>
        <v>3865.8063999999999</v>
      </c>
      <c r="W187" s="479">
        <f>U187/L187</f>
        <v>3.3211395189003436</v>
      </c>
      <c r="Y187" s="765">
        <f>(W187/W180-1)*100</f>
        <v>-1.0432247441548803</v>
      </c>
      <c r="AA187" s="686">
        <f>stores!D626</f>
        <v>100507</v>
      </c>
      <c r="AC187" s="413">
        <f>AVERAGEA(AA186:AA187)</f>
        <v>100507</v>
      </c>
      <c r="AE187" s="490">
        <f>(AC187/AC180-1)*100</f>
        <v>0.16643412397847612</v>
      </c>
      <c r="AG187" s="306">
        <f>(H187/AE187)*100</f>
        <v>294.01701829721191</v>
      </c>
      <c r="AJ187" s="413">
        <f>U187</f>
        <v>3865.8063999999999</v>
      </c>
      <c r="AL187" s="479">
        <f>AJ187/AC187*100</f>
        <v>3.8463056304536005</v>
      </c>
      <c r="AN187" s="765">
        <f>(AL187/AL180-1)*100</f>
        <v>-0.8669856486610672</v>
      </c>
      <c r="AP187" s="413">
        <f>AP180*(1+AQ187)</f>
        <v>401.19359999999995</v>
      </c>
      <c r="AQ187" s="1011">
        <v>0.15</v>
      </c>
    </row>
    <row r="188" spans="1:43" ht="12.75" customHeight="1" x14ac:dyDescent="0.2">
      <c r="A188" s="303" t="s">
        <v>65</v>
      </c>
      <c r="B188" s="303">
        <f t="shared" si="24"/>
        <v>99</v>
      </c>
      <c r="C188" s="303">
        <f t="shared" si="24"/>
        <v>199</v>
      </c>
      <c r="D188" s="477">
        <f>'qtrP&amp;L'!CZ12</f>
        <v>1.2117055326931858</v>
      </c>
      <c r="F188" s="1000">
        <v>1</v>
      </c>
      <c r="H188" s="445">
        <f>D188-F188</f>
        <v>0.21170553269318582</v>
      </c>
      <c r="J188" s="686">
        <f>stores!D305</f>
        <v>1166</v>
      </c>
      <c r="K188" s="1005">
        <f>J188-J187</f>
        <v>2</v>
      </c>
      <c r="L188" s="413">
        <f>AVERAGEA(J187:J188)</f>
        <v>1165</v>
      </c>
      <c r="N188" s="445">
        <f>(L188/L181-1)*100</f>
        <v>0.30133448127420692</v>
      </c>
      <c r="P188" s="306">
        <f>(H188/N188)*100</f>
        <v>70.255993206611834</v>
      </c>
      <c r="Q188" s="414"/>
      <c r="S188" s="985">
        <v>4427</v>
      </c>
      <c r="U188" s="413">
        <f>S188-AP188</f>
        <v>3958.835</v>
      </c>
      <c r="W188" s="479">
        <f>U188/L188</f>
        <v>3.3981416309012875</v>
      </c>
      <c r="Y188" s="765">
        <f>(W188/W181-1)*100</f>
        <v>-0.50312575835423923</v>
      </c>
      <c r="AA188" s="686">
        <v>100670</v>
      </c>
      <c r="AC188" s="413">
        <f>AVERAGEA(AA187:AA188)</f>
        <v>100588.5</v>
      </c>
      <c r="AE188" s="490">
        <f>(AC188/AC181-1)*100</f>
        <v>0.17078781481223437</v>
      </c>
      <c r="AG188" s="306">
        <f>(H188/AE188)*100</f>
        <v>123.95821852158291</v>
      </c>
      <c r="AJ188" s="413">
        <f>U188</f>
        <v>3958.835</v>
      </c>
      <c r="AL188" s="479">
        <f>AJ188/AC188*100</f>
        <v>3.9356735610929681</v>
      </c>
      <c r="AN188" s="765">
        <f>(AL188/AL181-1)*100</f>
        <v>-0.37345736361578119</v>
      </c>
      <c r="AP188" s="413">
        <f>AP181*(1+AQ188)</f>
        <v>468.16499999999991</v>
      </c>
      <c r="AQ188" s="1011">
        <v>0.15</v>
      </c>
    </row>
    <row r="189" spans="1:43" ht="12.75" customHeight="1" x14ac:dyDescent="0.2">
      <c r="A189" s="303" t="s">
        <v>66</v>
      </c>
      <c r="B189" s="303">
        <f t="shared" si="24"/>
        <v>100</v>
      </c>
      <c r="C189" s="303">
        <f t="shared" si="24"/>
        <v>200</v>
      </c>
      <c r="D189" s="834">
        <f>'qtrP&amp;L'!CZ13</f>
        <v>0.78901688496133549</v>
      </c>
      <c r="F189" s="1001">
        <v>0.4</v>
      </c>
      <c r="H189" s="445">
        <f>D189-F189</f>
        <v>0.38901688496133546</v>
      </c>
      <c r="J189" s="686">
        <f>stores!D306</f>
        <v>1166</v>
      </c>
      <c r="K189" s="1005">
        <f>J189-J188</f>
        <v>0</v>
      </c>
      <c r="L189" s="491">
        <f>AVERAGEA(J188:J189)</f>
        <v>1166</v>
      </c>
      <c r="N189" s="828">
        <f>(L189/L182-1)*100</f>
        <v>0.30107526881719693</v>
      </c>
      <c r="P189" s="829">
        <f>(H189/N189)*100</f>
        <v>129.20917964787532</v>
      </c>
      <c r="Q189" s="414"/>
      <c r="S189" s="1009">
        <v>6387</v>
      </c>
      <c r="U189" s="491">
        <f>S189-AP189</f>
        <v>5365.6895999999997</v>
      </c>
      <c r="W189" s="602">
        <f>U189/L189</f>
        <v>4.6017921097770156</v>
      </c>
      <c r="Y189" s="836">
        <f>(W189/W182-1)*100</f>
        <v>-1.8227642179825421</v>
      </c>
      <c r="AA189" s="686">
        <f>stores!D628</f>
        <v>100400</v>
      </c>
      <c r="AC189" s="491">
        <f>AVERAGEA(AA188:AA189)</f>
        <v>100535</v>
      </c>
      <c r="AE189" s="843">
        <f>(AC189/AC182-1)*100</f>
        <v>9.0597746007725632E-2</v>
      </c>
      <c r="AG189" s="829">
        <f>(H189/AE189)*100</f>
        <v>429.38914278083962</v>
      </c>
      <c r="AJ189" s="491">
        <f>U189</f>
        <v>5365.6895999999997</v>
      </c>
      <c r="AL189" s="602">
        <f>AJ189/AC189*100</f>
        <v>5.3371359228129505</v>
      </c>
      <c r="AN189" s="836">
        <f>(AL189/AL182-1)*100</f>
        <v>-1.616310246790198</v>
      </c>
      <c r="AP189" s="491">
        <f>AP182*(1+AQ189)</f>
        <v>1021.3103999999998</v>
      </c>
      <c r="AQ189" s="1011">
        <v>0.15</v>
      </c>
    </row>
    <row r="190" spans="1:43" ht="12.75" customHeight="1" x14ac:dyDescent="0.2">
      <c r="A190" s="573" t="s">
        <v>67</v>
      </c>
      <c r="B190" s="573"/>
      <c r="C190" s="573"/>
      <c r="D190" s="477">
        <f>'yrP&amp;L'!$AB$8*100</f>
        <v>0.95147978762550878</v>
      </c>
      <c r="F190" s="1002">
        <v>0.7</v>
      </c>
      <c r="H190" s="445">
        <f>D190-F190</f>
        <v>0.25147978762550882</v>
      </c>
      <c r="J190" s="685"/>
      <c r="K190" s="1006">
        <f>J189-J182</f>
        <v>4</v>
      </c>
      <c r="L190" s="413">
        <f>AVERAGE(J189,J182)</f>
        <v>1164</v>
      </c>
      <c r="N190" s="445">
        <f>(L190/L183-1)*100</f>
        <v>0.34482758620688614</v>
      </c>
      <c r="P190" s="306">
        <f>(H190/N190)*100</f>
        <v>72.929138411399762</v>
      </c>
      <c r="S190" s="319">
        <f>SUM(S186:S189)</f>
        <v>19204</v>
      </c>
      <c r="U190" s="319">
        <f>S190-AP190</f>
        <v>16878.479775</v>
      </c>
      <c r="W190" s="821">
        <f>IF(ISERROR(U190/L190),"NA",U190/L190)</f>
        <v>14.500412177835051</v>
      </c>
      <c r="Y190" s="761">
        <f>IF(ISERROR(W190/W183),"NA",(W190/W183-1)*100)</f>
        <v>-1.0607164577575268</v>
      </c>
      <c r="AA190" s="815"/>
      <c r="AC190" s="413">
        <f>AVERAGE(AA189,AA182)</f>
        <v>100397</v>
      </c>
      <c r="AE190" s="445">
        <f>(AC190/AC183-1)*100</f>
        <v>4.9827099963128951E-2</v>
      </c>
      <c r="AG190" s="306">
        <f>(H190/AE190)*100</f>
        <v>504.70484497712852</v>
      </c>
      <c r="AJ190" s="319">
        <f>U190</f>
        <v>16878.479775</v>
      </c>
      <c r="AL190" s="833">
        <f>IF(ISERROR(AJ190/AC190),"NA",AJ190/AC190*100)</f>
        <v>16.811737178401746</v>
      </c>
      <c r="AN190" s="765">
        <f>(AL190/AL183-1)*100</f>
        <v>-0.7689904488318855</v>
      </c>
      <c r="AP190" s="319">
        <f>SUM(AP186:AP189)</f>
        <v>2325.5202249999998</v>
      </c>
      <c r="AQ190" s="841"/>
    </row>
    <row r="191" spans="1:43" ht="13.5" customHeight="1" x14ac:dyDescent="0.2">
      <c r="A191" s="573"/>
      <c r="B191" s="573"/>
      <c r="C191" s="573"/>
      <c r="D191" s="477"/>
      <c r="F191" s="844"/>
      <c r="H191" s="445"/>
      <c r="J191" s="685"/>
      <c r="K191" s="1006"/>
      <c r="L191" s="413"/>
      <c r="N191" s="445"/>
      <c r="P191" s="306"/>
      <c r="S191" s="646"/>
      <c r="U191" s="319"/>
      <c r="W191" s="821"/>
      <c r="Y191" s="761"/>
      <c r="AA191" s="815"/>
      <c r="AC191" s="413"/>
      <c r="AE191" s="445"/>
      <c r="AG191" s="306"/>
      <c r="AJ191" s="319"/>
      <c r="AL191" s="833"/>
      <c r="AN191" s="765"/>
      <c r="AP191" s="319"/>
      <c r="AQ191" s="841"/>
    </row>
    <row r="192" spans="1:43" ht="12.75" customHeight="1" x14ac:dyDescent="0.2">
      <c r="A192" s="812">
        <v>2016</v>
      </c>
      <c r="B192" s="840"/>
      <c r="C192" s="840"/>
      <c r="J192" s="685"/>
      <c r="K192" s="1005"/>
      <c r="L192" s="413"/>
      <c r="P192" s="306"/>
      <c r="Y192" s="765"/>
      <c r="AA192" s="815"/>
      <c r="AC192" s="413"/>
      <c r="AG192" s="306"/>
      <c r="AN192" s="765"/>
      <c r="AP192" s="489"/>
    </row>
    <row r="193" spans="1:44" ht="12.75" customHeight="1" x14ac:dyDescent="0.2">
      <c r="A193" s="303" t="s">
        <v>63</v>
      </c>
      <c r="B193" s="303">
        <f>B189+1</f>
        <v>101</v>
      </c>
      <c r="C193" s="303">
        <f>C189+1</f>
        <v>201</v>
      </c>
      <c r="D193" s="477">
        <f>'qtrP&amp;L'!DD$10</f>
        <v>-3.6623817608537501</v>
      </c>
      <c r="F193" s="1000">
        <v>-3.9</v>
      </c>
      <c r="H193" s="445">
        <f>D193-F193</f>
        <v>0.2376182391462498</v>
      </c>
      <c r="I193" s="303" t="s">
        <v>102</v>
      </c>
      <c r="J193" s="686">
        <f>stores!D308</f>
        <v>1167</v>
      </c>
      <c r="K193" s="1005">
        <f>J193-J189</f>
        <v>1</v>
      </c>
      <c r="L193" s="413">
        <f>AVERAGEA(J193,J189)</f>
        <v>1166.5</v>
      </c>
      <c r="N193" s="445">
        <f>(L193/L186-1)*100</f>
        <v>0.30094582975064288</v>
      </c>
      <c r="O193" s="303" t="s">
        <v>102</v>
      </c>
      <c r="P193" s="306">
        <f>(H193/N193)*100</f>
        <v>78.957146322025821</v>
      </c>
      <c r="Q193" s="414" t="s">
        <v>102</v>
      </c>
      <c r="S193" s="1008">
        <v>3972</v>
      </c>
      <c r="U193" s="413">
        <f>S193-AP193</f>
        <v>3471.9210912500002</v>
      </c>
      <c r="W193" s="479">
        <f>U193/L193</f>
        <v>2.9763575578654096</v>
      </c>
      <c r="Y193" s="765">
        <f>(W193/W186-1)*100</f>
        <v>-6.145222143391682</v>
      </c>
      <c r="Z193" s="303" t="s">
        <v>102</v>
      </c>
      <c r="AA193" s="686">
        <f>stores!D630</f>
        <v>100600</v>
      </c>
      <c r="AC193" s="413">
        <f>AVERAGEA(AA193,AA189)</f>
        <v>100500</v>
      </c>
      <c r="AE193" s="490">
        <f>(AC193/AC186-1)*100</f>
        <v>4.9278002598285298E-2</v>
      </c>
      <c r="AF193" s="303" t="s">
        <v>102</v>
      </c>
      <c r="AG193" s="306">
        <f>(H193/AE193)*100</f>
        <v>482.19941275484672</v>
      </c>
      <c r="AH193" s="303" t="s">
        <v>102</v>
      </c>
      <c r="AJ193" s="413">
        <f>U193</f>
        <v>3471.9210912500002</v>
      </c>
      <c r="AL193" s="479">
        <f>AJ193/AC193*100</f>
        <v>3.4546478519900505</v>
      </c>
      <c r="AN193" s="765">
        <f>(AL193/AL186-1)*100</f>
        <v>-5.9091362017177351</v>
      </c>
      <c r="AO193" s="303" t="s">
        <v>102</v>
      </c>
      <c r="AP193" s="413">
        <f>AP186*(1+AQ193)</f>
        <v>500.07890874999987</v>
      </c>
      <c r="AQ193" s="1011">
        <v>0.15</v>
      </c>
    </row>
    <row r="194" spans="1:44" ht="12.75" customHeight="1" x14ac:dyDescent="0.2">
      <c r="A194" s="303" t="s">
        <v>64</v>
      </c>
      <c r="B194" s="303">
        <f t="shared" ref="B194:C196" si="25">B193+1</f>
        <v>102</v>
      </c>
      <c r="C194" s="303">
        <f t="shared" si="25"/>
        <v>202</v>
      </c>
      <c r="D194" s="477">
        <f>'qtrP&amp;L'!$DD11</f>
        <v>-1.9920318725099584</v>
      </c>
      <c r="F194" s="1000">
        <v>-1.8</v>
      </c>
      <c r="H194" s="445">
        <f>D194-F194</f>
        <v>-0.19203187250995835</v>
      </c>
      <c r="J194" s="686">
        <f>stores!D309</f>
        <v>1150</v>
      </c>
      <c r="K194" s="1005">
        <f>J194-J193</f>
        <v>-17</v>
      </c>
      <c r="L194" s="413">
        <f>AVERAGEA(J193:J194)</f>
        <v>1158.5</v>
      </c>
      <c r="N194" s="445">
        <f>(L194/L187-1)*100</f>
        <v>-0.47250859106529042</v>
      </c>
      <c r="P194" s="306">
        <f>(H194/N194)*100</f>
        <v>40.640927200289511</v>
      </c>
      <c r="Q194" s="414"/>
      <c r="S194" s="985">
        <v>4182</v>
      </c>
      <c r="U194" s="413">
        <f>S194-AP194</f>
        <v>3720.62736</v>
      </c>
      <c r="W194" s="479">
        <f>U194/L194</f>
        <v>3.2115902977988777</v>
      </c>
      <c r="Y194" s="765">
        <f>(W194/W187-1)*100</f>
        <v>-3.2985431800750864</v>
      </c>
      <c r="AA194" s="686">
        <f>stores!D631</f>
        <v>99100</v>
      </c>
      <c r="AC194" s="413">
        <f>AVERAGEA(AA193:AA194)</f>
        <v>99850</v>
      </c>
      <c r="AE194" s="490">
        <f>(AC194/AC187-1)*100</f>
        <v>-0.65368581292845063</v>
      </c>
      <c r="AG194" s="306">
        <f>(H194/AE194)*100</f>
        <v>29.376784490652124</v>
      </c>
      <c r="AJ194" s="413">
        <f>U194</f>
        <v>3720.62736</v>
      </c>
      <c r="AL194" s="479">
        <f>AJ194/AC194*100</f>
        <v>3.7262166850275413</v>
      </c>
      <c r="AN194" s="765">
        <f>(AL194/AL187-1)*100</f>
        <v>-3.1221893672525702</v>
      </c>
      <c r="AP194" s="413">
        <f>AP187*(1+AQ194)</f>
        <v>461.37263999999988</v>
      </c>
      <c r="AQ194" s="1011">
        <v>0.15</v>
      </c>
    </row>
    <row r="195" spans="1:44" ht="12.75" customHeight="1" x14ac:dyDescent="0.2">
      <c r="A195" s="303" t="s">
        <v>65</v>
      </c>
      <c r="B195" s="303">
        <f t="shared" si="25"/>
        <v>103</v>
      </c>
      <c r="C195" s="303">
        <f t="shared" si="25"/>
        <v>203</v>
      </c>
      <c r="D195" s="477">
        <f>'qtrP&amp;L'!$DD12</f>
        <v>-2.2588660492432799</v>
      </c>
      <c r="F195" s="1000">
        <v>-1.7</v>
      </c>
      <c r="H195" s="445">
        <f>D195-F195</f>
        <v>-0.55886604924327998</v>
      </c>
      <c r="J195" s="686">
        <f>stores!D310</f>
        <v>1155</v>
      </c>
      <c r="K195" s="1005">
        <f>J195-J194</f>
        <v>5</v>
      </c>
      <c r="L195" s="413">
        <f>AVERAGEA(J194:J195)</f>
        <v>1152.5</v>
      </c>
      <c r="N195" s="445">
        <f>(L195/L188-1)*100</f>
        <v>-1.0729613733905574</v>
      </c>
      <c r="P195" s="306">
        <f>(H195/N195)*100</f>
        <v>52.086315789473723</v>
      </c>
      <c r="Q195" s="414"/>
      <c r="S195" s="985">
        <v>4327</v>
      </c>
      <c r="U195" s="413">
        <f>S195-AP195</f>
        <v>3788.6102500000002</v>
      </c>
      <c r="W195" s="479">
        <f>U195/L195</f>
        <v>3.2872973969631238</v>
      </c>
      <c r="Y195" s="765">
        <f>(W195/W188-1)*100</f>
        <v>-3.2619074181662211</v>
      </c>
      <c r="AA195" s="686">
        <f>stores!D632</f>
        <v>99200</v>
      </c>
      <c r="AC195" s="413">
        <f>AVERAGEA(AA194:AA195)</f>
        <v>99150</v>
      </c>
      <c r="AE195" s="490">
        <f>(AC195/AC188-1)*100</f>
        <v>-1.4300839559194145</v>
      </c>
      <c r="AG195" s="306">
        <f>(H195/AE195)*100</f>
        <v>39.079247545573622</v>
      </c>
      <c r="AJ195" s="413">
        <f>U195</f>
        <v>3788.6102500000002</v>
      </c>
      <c r="AL195" s="479">
        <f>AJ195/AC195*100</f>
        <v>3.8210895108421585</v>
      </c>
      <c r="AN195" s="765">
        <f>(AL195/AL188-1)*100</f>
        <v>-2.9114216022273154</v>
      </c>
      <c r="AP195" s="413">
        <f>AP188*(1+AQ195)</f>
        <v>538.38974999999982</v>
      </c>
      <c r="AQ195" s="1011">
        <v>0.15</v>
      </c>
    </row>
    <row r="196" spans="1:44" ht="12.75" customHeight="1" x14ac:dyDescent="0.2">
      <c r="A196" s="303" t="s">
        <v>66</v>
      </c>
      <c r="B196" s="303">
        <f t="shared" si="25"/>
        <v>104</v>
      </c>
      <c r="C196" s="303">
        <f t="shared" si="25"/>
        <v>204</v>
      </c>
      <c r="D196" s="834">
        <f>'qtrP&amp;L'!$DD13</f>
        <v>-2.8495381243150097</v>
      </c>
      <c r="F196" s="1001">
        <v>-2.2000000000000002</v>
      </c>
      <c r="H196" s="828">
        <f>D196-F196</f>
        <v>-0.64953812431500957</v>
      </c>
      <c r="J196" s="686">
        <f>stores!D311</f>
        <v>1154</v>
      </c>
      <c r="K196" s="996">
        <f>J196-J195</f>
        <v>-1</v>
      </c>
      <c r="L196" s="491">
        <f>AVERAGEA(J195:J196)</f>
        <v>1154.5</v>
      </c>
      <c r="N196" s="828">
        <f>(L196/L189-1)*100</f>
        <v>-0.98627787307032921</v>
      </c>
      <c r="P196" s="829">
        <f>(H196/N196)*100</f>
        <v>65.857517647939005</v>
      </c>
      <c r="Q196" s="414"/>
      <c r="S196" s="1009">
        <v>6205</v>
      </c>
      <c r="U196" s="491">
        <f>S196-AP196</f>
        <v>5030.4930400000003</v>
      </c>
      <c r="W196" s="602">
        <f>U196/L196</f>
        <v>4.3572915028150714</v>
      </c>
      <c r="Y196" s="836">
        <f>(W196/W189-1)*100</f>
        <v>-5.3131606367544437</v>
      </c>
      <c r="AA196" s="686">
        <f>stores!D633</f>
        <v>99100</v>
      </c>
      <c r="AC196" s="491">
        <f>AVERAGEA(AA195:AA196)</f>
        <v>99150</v>
      </c>
      <c r="AE196" s="843">
        <f>(AC196/AC189-1)*100</f>
        <v>-1.37762968120555</v>
      </c>
      <c r="AG196" s="829">
        <f>(H196/AE196)*100</f>
        <v>47.148964135746937</v>
      </c>
      <c r="AJ196" s="491">
        <f>U196</f>
        <v>5030.4930400000003</v>
      </c>
      <c r="AL196" s="602">
        <f>AJ196/AC196*100</f>
        <v>5.073618799798286</v>
      </c>
      <c r="AN196" s="836">
        <f>(AL196/AL189-1)*100</f>
        <v>-4.9374257434271485</v>
      </c>
      <c r="AP196" s="491">
        <f>AP189*(1+AQ196)</f>
        <v>1174.5069599999997</v>
      </c>
      <c r="AQ196" s="1011">
        <v>0.15</v>
      </c>
    </row>
    <row r="197" spans="1:44" ht="12.75" customHeight="1" x14ac:dyDescent="0.2">
      <c r="A197" s="573" t="s">
        <v>67</v>
      </c>
      <c r="B197" s="573"/>
      <c r="C197" s="573"/>
      <c r="D197" s="477">
        <f>'yrP&amp;L'!$AC$8*100</f>
        <v>-2.6973547177671309</v>
      </c>
      <c r="F197" s="1002">
        <v>-2.4</v>
      </c>
      <c r="H197" s="445">
        <f>D197-F197</f>
        <v>-0.29735471776713096</v>
      </c>
      <c r="J197" s="685"/>
      <c r="K197" s="1006">
        <f>J196-J189</f>
        <v>-12</v>
      </c>
      <c r="L197" s="413">
        <f>AVERAGE(J196,J189)</f>
        <v>1160</v>
      </c>
      <c r="N197" s="445">
        <f>(L197/L190-1)*100</f>
        <v>-0.34364261168384758</v>
      </c>
      <c r="P197" s="306">
        <f>(H197/N197)*100</f>
        <v>86.53022287023542</v>
      </c>
      <c r="S197" s="319">
        <f>SUM(S193:S196)</f>
        <v>18686</v>
      </c>
      <c r="U197" s="319">
        <f>S197-AP197</f>
        <v>16011.65174125</v>
      </c>
      <c r="W197" s="821">
        <f>IF(ISERROR(U197/L197),"NA",U197/L197)</f>
        <v>13.803148052801724</v>
      </c>
      <c r="Y197" s="761">
        <f>IF(ISERROR(W197/W190),"NA",(W197/W190-1)*100)</f>
        <v>-4.8085814146658912</v>
      </c>
      <c r="AA197" s="815"/>
      <c r="AC197" s="413">
        <f>AVERAGE(AA196,AA189)</f>
        <v>99750</v>
      </c>
      <c r="AE197" s="445">
        <f>(AC197/AC190-1)*100</f>
        <v>-0.64444156697909261</v>
      </c>
      <c r="AG197" s="306">
        <f>(H197/AE197)*100</f>
        <v>46.141455331787732</v>
      </c>
      <c r="AJ197" s="319">
        <f>U197</f>
        <v>16011.65174125</v>
      </c>
      <c r="AL197" s="833">
        <f>IF(ISERROR(AJ197/AC197),"NA",AJ197/AC197*100)</f>
        <v>16.051781194235591</v>
      </c>
      <c r="AN197" s="765">
        <f>(AL197/AL190-1)*100</f>
        <v>-4.5203893928491778</v>
      </c>
      <c r="AP197" s="319">
        <f>SUM(AP193:AP196)</f>
        <v>2674.3482587499993</v>
      </c>
      <c r="AQ197" s="841"/>
    </row>
    <row r="198" spans="1:44" ht="13.5" customHeight="1" x14ac:dyDescent="0.2">
      <c r="A198" s="573"/>
      <c r="B198" s="573"/>
      <c r="C198" s="573"/>
      <c r="D198" s="477"/>
      <c r="F198" s="844"/>
      <c r="H198" s="445"/>
      <c r="J198" s="685"/>
      <c r="K198" s="813"/>
      <c r="L198" s="413"/>
      <c r="N198" s="445"/>
      <c r="P198" s="306"/>
      <c r="S198" s="419"/>
      <c r="U198" s="319"/>
      <c r="W198" s="821"/>
      <c r="Y198" s="761"/>
      <c r="AA198" s="815"/>
      <c r="AC198" s="413"/>
      <c r="AE198" s="445"/>
      <c r="AG198" s="306"/>
      <c r="AJ198" s="319"/>
      <c r="AL198" s="833"/>
      <c r="AN198" s="765"/>
      <c r="AP198" s="319"/>
      <c r="AQ198" s="841"/>
      <c r="AR198" s="311"/>
    </row>
    <row r="199" spans="1:44" ht="12.75" customHeight="1" x14ac:dyDescent="0.2">
      <c r="A199" s="812">
        <v>2017</v>
      </c>
      <c r="B199" s="840"/>
      <c r="C199" s="840"/>
      <c r="J199" s="685"/>
      <c r="L199" s="413"/>
      <c r="P199" s="306"/>
      <c r="Y199" s="765"/>
      <c r="AA199" s="815"/>
      <c r="AC199" s="413"/>
      <c r="AG199" s="306"/>
      <c r="AN199" s="765"/>
      <c r="AP199" s="489"/>
    </row>
    <row r="200" spans="1:44" ht="12.75" customHeight="1" x14ac:dyDescent="0.2">
      <c r="A200" s="303" t="s">
        <v>63</v>
      </c>
      <c r="B200" s="303">
        <f>B196+1</f>
        <v>105</v>
      </c>
      <c r="C200" s="303">
        <f>C196+1</f>
        <v>205</v>
      </c>
      <c r="D200" s="477">
        <f>'qtrP&amp;L'!DH10</f>
        <v>-3.2477341389728132</v>
      </c>
      <c r="F200" s="1000">
        <v>-2.7</v>
      </c>
      <c r="H200" s="445">
        <f>D200-F200</f>
        <v>-0.54773413897281298</v>
      </c>
      <c r="I200" s="303" t="s">
        <v>102</v>
      </c>
      <c r="J200" s="686">
        <f>stores!D313</f>
        <v>1154</v>
      </c>
      <c r="K200" s="996">
        <f>J200-J196</f>
        <v>0</v>
      </c>
      <c r="L200" s="413">
        <f>AVERAGEA(J200,J196)</f>
        <v>1154</v>
      </c>
      <c r="N200" s="445">
        <f>(L200/L193-1)*100</f>
        <v>-1.0715816545220691</v>
      </c>
      <c r="O200" s="303" t="s">
        <v>102</v>
      </c>
      <c r="P200" s="306">
        <f>(H200/N200)*100</f>
        <v>51.11454984894317</v>
      </c>
      <c r="Q200" s="414" t="s">
        <v>102</v>
      </c>
      <c r="S200" s="1008">
        <v>3843</v>
      </c>
      <c r="U200" s="413">
        <f>S200-AP200</f>
        <v>3267.9092549375</v>
      </c>
      <c r="W200" s="479">
        <f>U200/L200</f>
        <v>2.8318104462196709</v>
      </c>
      <c r="Y200" s="765">
        <f>(W200/W193-1)*100</f>
        <v>-4.8565103095141948</v>
      </c>
      <c r="Z200" s="303" t="s">
        <v>102</v>
      </c>
      <c r="AA200" s="686">
        <f>stores!D635</f>
        <v>99100</v>
      </c>
      <c r="AC200" s="413">
        <f>AVERAGEA(AA200,AA196)</f>
        <v>99100</v>
      </c>
      <c r="AE200" s="490">
        <f>(AC200/AC193-1)*100</f>
        <v>-1.3930348258706426</v>
      </c>
      <c r="AF200" s="303" t="s">
        <v>102</v>
      </c>
      <c r="AG200" s="306">
        <f>(H200/AE200)*100</f>
        <v>39.319486404834194</v>
      </c>
      <c r="AH200" s="303" t="s">
        <v>102</v>
      </c>
      <c r="AJ200" s="413">
        <f>U200</f>
        <v>3267.9092549375</v>
      </c>
      <c r="AL200" s="479">
        <f>AJ200/AC200*100</f>
        <v>3.2975875428229067</v>
      </c>
      <c r="AN200" s="765">
        <f>(AL200/AL193-1)*100</f>
        <v>-4.546347873826539</v>
      </c>
      <c r="AO200" s="303" t="s">
        <v>102</v>
      </c>
      <c r="AP200" s="413">
        <f>AP193*(1+AQ200)</f>
        <v>575.09074506249976</v>
      </c>
      <c r="AQ200" s="1011">
        <v>0.15</v>
      </c>
      <c r="AR200" s="426">
        <f>AP200/S200</f>
        <v>0.14964630368527188</v>
      </c>
    </row>
    <row r="201" spans="1:44" ht="12.75" customHeight="1" x14ac:dyDescent="0.2">
      <c r="A201" s="303" t="s">
        <v>64</v>
      </c>
      <c r="B201" s="303">
        <f t="shared" ref="B201:C203" si="26">B200+1</f>
        <v>106</v>
      </c>
      <c r="C201" s="303">
        <f t="shared" si="26"/>
        <v>206</v>
      </c>
      <c r="D201" s="477">
        <f>'qtrP&amp;L'!DH11</f>
        <v>-0.90865614538497841</v>
      </c>
      <c r="F201" s="1000">
        <v>-0.4</v>
      </c>
      <c r="H201" s="445">
        <f>D201-F201</f>
        <v>-0.50865614538497839</v>
      </c>
      <c r="J201" s="686">
        <f>stores!D314</f>
        <v>1154</v>
      </c>
      <c r="K201" s="996">
        <f>J201-J200</f>
        <v>0</v>
      </c>
      <c r="L201" s="413">
        <f>AVERAGEA(J200:J201)</f>
        <v>1154</v>
      </c>
      <c r="N201" s="445">
        <f>(L201/L194-1)*100</f>
        <v>-0.38843331894691246</v>
      </c>
      <c r="P201" s="306">
        <f>(H201/N201)*100</f>
        <v>130.95069876188887</v>
      </c>
      <c r="Q201" s="414"/>
      <c r="S201" s="985">
        <v>4144</v>
      </c>
      <c r="U201" s="413">
        <f>S201-AP201</f>
        <v>3594.9665584000004</v>
      </c>
      <c r="W201" s="479">
        <f>U201/L201</f>
        <v>3.1152223209705374</v>
      </c>
      <c r="Y201" s="765">
        <f>(W201/W194-1)*100</f>
        <v>-3.0006310859261198</v>
      </c>
      <c r="AA201" s="1108">
        <f>stores!D636</f>
        <v>99100</v>
      </c>
      <c r="AC201" s="413">
        <f>AVERAGEA(AA200:AA201)</f>
        <v>99100</v>
      </c>
      <c r="AE201" s="490">
        <f>(AC201/AC194-1)*100</f>
        <v>-0.75112669003505328</v>
      </c>
      <c r="AG201" s="306">
        <f>(H201/AE201)*100</f>
        <v>67.719088155586732</v>
      </c>
      <c r="AJ201" s="413">
        <f>U201</f>
        <v>3594.9665584000004</v>
      </c>
      <c r="AL201" s="479">
        <f>AJ201/AC201*100</f>
        <v>3.6276150942482341</v>
      </c>
      <c r="AN201" s="765">
        <f>(AL201/AL194-1)*100</f>
        <v>-2.6461582649098814</v>
      </c>
      <c r="AP201" s="413">
        <f>AP194*(1+AQ201)</f>
        <v>549.03344159999983</v>
      </c>
      <c r="AQ201" s="1011">
        <v>0.19</v>
      </c>
      <c r="AR201" s="426">
        <f>AP201/S201</f>
        <v>0.13248876486486483</v>
      </c>
    </row>
    <row r="202" spans="1:44" ht="12.75" customHeight="1" x14ac:dyDescent="0.2">
      <c r="A202" s="303" t="s">
        <v>65</v>
      </c>
      <c r="B202" s="303">
        <f t="shared" si="26"/>
        <v>107</v>
      </c>
      <c r="C202" s="303">
        <f t="shared" si="26"/>
        <v>207</v>
      </c>
      <c r="D202" s="477">
        <f>'qtrP&amp;L'!DH12</f>
        <v>0.11555350127108177</v>
      </c>
      <c r="F202" s="1000">
        <v>0.1</v>
      </c>
      <c r="H202" s="445">
        <f>D202-F202</f>
        <v>1.5553501271081766E-2</v>
      </c>
      <c r="J202" s="686">
        <f>stores!D315</f>
        <v>1156</v>
      </c>
      <c r="K202" s="996">
        <f>J202-J201</f>
        <v>2</v>
      </c>
      <c r="L202" s="413">
        <f>AVERAGEA(J201:J202)</f>
        <v>1155</v>
      </c>
      <c r="N202" s="445">
        <f>(L202/L195-1)*100</f>
        <v>0.21691973969630851</v>
      </c>
      <c r="P202" s="306">
        <f>(H202/N202)*100</f>
        <v>7.1701640859688203</v>
      </c>
      <c r="Q202" s="414"/>
      <c r="S202" s="985">
        <v>4332</v>
      </c>
      <c r="U202" s="413">
        <f>S202-AP202</f>
        <v>3712.8517875000002</v>
      </c>
      <c r="W202" s="479">
        <f>U202/L202</f>
        <v>3.2145902922077925</v>
      </c>
      <c r="Y202" s="765">
        <f>(W202/W195-1)*100</f>
        <v>-2.2117592653010276</v>
      </c>
      <c r="AA202" s="682">
        <f>stores!D637</f>
        <v>99100</v>
      </c>
      <c r="AC202" s="413">
        <f>AVERAGEA(AA201:AA202)</f>
        <v>99100</v>
      </c>
      <c r="AE202" s="490">
        <f>(AC202/AC195-1)*100</f>
        <v>-5.0428643469491163E-2</v>
      </c>
      <c r="AG202" s="306">
        <f>(H202/AE202)*100</f>
        <v>-30.842593020554837</v>
      </c>
      <c r="AJ202" s="413">
        <f>U202</f>
        <v>3712.8517875000002</v>
      </c>
      <c r="AL202" s="479">
        <f>AJ202/AC202*100</f>
        <v>3.7465709258324922</v>
      </c>
      <c r="AN202" s="765">
        <f>(AL202/AL195-1)*100</f>
        <v>-1.950192079987223</v>
      </c>
      <c r="AP202" s="413">
        <f>AP195*(1+AQ202)</f>
        <v>619.14821249999977</v>
      </c>
      <c r="AQ202" s="1010">
        <v>0.15</v>
      </c>
    </row>
    <row r="203" spans="1:44" ht="12.75" customHeight="1" x14ac:dyDescent="0.2">
      <c r="A203" s="303" t="s">
        <v>66</v>
      </c>
      <c r="B203" s="303">
        <f t="shared" si="26"/>
        <v>108</v>
      </c>
      <c r="C203" s="303">
        <f t="shared" si="26"/>
        <v>208</v>
      </c>
      <c r="D203" s="834">
        <f>'qtrP&amp;L'!DH13</f>
        <v>9.2022562449637348</v>
      </c>
      <c r="F203" s="1001">
        <v>6.3</v>
      </c>
      <c r="H203" s="1298">
        <f>D203-F203</f>
        <v>2.902256244963735</v>
      </c>
      <c r="J203" s="686">
        <f>stores!D316</f>
        <v>1158</v>
      </c>
      <c r="K203" s="1007">
        <f>J203-J202</f>
        <v>2</v>
      </c>
      <c r="L203" s="491">
        <f>AVERAGEA(J202:J203)</f>
        <v>1157</v>
      </c>
      <c r="N203" s="828">
        <f>(L203/L196-1)*100</f>
        <v>0.21654395842356511</v>
      </c>
      <c r="P203" s="904">
        <f>(H203/N203)*100</f>
        <v>1340.261933924221</v>
      </c>
      <c r="Q203" s="414"/>
      <c r="S203" s="1009">
        <v>6776</v>
      </c>
      <c r="U203" s="491">
        <f>S203-AP203</f>
        <v>5296.1212304000001</v>
      </c>
      <c r="W203" s="602">
        <f>U203/L203</f>
        <v>4.5774600089887638</v>
      </c>
      <c r="Y203" s="836">
        <f>(W203/W196-1)*100</f>
        <v>5.0528753018119321</v>
      </c>
      <c r="AA203" s="682">
        <f>stores!D638</f>
        <v>99200</v>
      </c>
      <c r="AC203" s="491">
        <f>AVERAGEA(AA202:AA203)</f>
        <v>99150</v>
      </c>
      <c r="AE203" s="843">
        <f>(AC203/AC196-1)*100</f>
        <v>0</v>
      </c>
      <c r="AG203" s="1304" t="s">
        <v>236</v>
      </c>
      <c r="AJ203" s="491">
        <f>U203</f>
        <v>5296.1212304000001</v>
      </c>
      <c r="AL203" s="602">
        <f>AJ203/AC203*100</f>
        <v>5.3415241859808376</v>
      </c>
      <c r="AN203" s="836">
        <f>(AL203/AL196-1)*100</f>
        <v>5.2803609564282317</v>
      </c>
      <c r="AP203" s="491">
        <f>AP196*(1+AQ203)</f>
        <v>1479.8787695999997</v>
      </c>
      <c r="AQ203" s="1011">
        <v>0.26</v>
      </c>
    </row>
    <row r="204" spans="1:44" ht="12.75" customHeight="1" x14ac:dyDescent="0.2">
      <c r="A204" s="573" t="s">
        <v>67</v>
      </c>
      <c r="B204" s="573"/>
      <c r="C204" s="573"/>
      <c r="D204" s="477">
        <f>'yrP&amp;L'!$AD$8*100</f>
        <v>2.1888044525313122</v>
      </c>
      <c r="F204" s="1000">
        <v>1.5</v>
      </c>
      <c r="H204" s="445">
        <f>D204-F204</f>
        <v>0.68880445253131217</v>
      </c>
      <c r="J204" s="685"/>
      <c r="K204" s="813">
        <f>J203-J196</f>
        <v>4</v>
      </c>
      <c r="L204" s="413">
        <f>AVERAGE(J203,J196)</f>
        <v>1156</v>
      </c>
      <c r="N204" s="445">
        <f>(L204/L197-1)*100</f>
        <v>-0.34482758620689724</v>
      </c>
      <c r="P204" s="306">
        <f>(H204/N204)*100</f>
        <v>-199.75329123408011</v>
      </c>
      <c r="S204" s="319">
        <f>SUM(S200:S203)</f>
        <v>19095</v>
      </c>
      <c r="U204" s="319">
        <f>S204-AP204</f>
        <v>15871.848831237501</v>
      </c>
      <c r="W204" s="821">
        <f>IF(ISERROR(U204/L204),"NA",U204/L204)</f>
        <v>13.729973037402683</v>
      </c>
      <c r="Y204" s="761">
        <f>IF(ISERROR(W204/W197),"NA",(W204/W197-1)*100)</f>
        <v>-0.53013280100395743</v>
      </c>
      <c r="AA204" s="815"/>
      <c r="AC204" s="413">
        <f>AVERAGE(AA203,AA196)</f>
        <v>99150</v>
      </c>
      <c r="AE204" s="445">
        <f>(AC204/AC197-1)*100</f>
        <v>-0.60150375939849177</v>
      </c>
      <c r="AG204" s="306">
        <f>(H204/AE204)*100</f>
        <v>-114.51374023333149</v>
      </c>
      <c r="AJ204" s="319">
        <f>U204</f>
        <v>15871.848831237501</v>
      </c>
      <c r="AL204" s="833">
        <f>IF(ISERROR(AJ204/AC204),"NA",AJ204/AC204*100)</f>
        <v>16.007916118242562</v>
      </c>
      <c r="AN204" s="765">
        <f>(AL204/AL197-1)*100</f>
        <v>-0.27327232699123627</v>
      </c>
      <c r="AP204" s="319">
        <f>SUM(AP200:AP203)</f>
        <v>3223.1511687624989</v>
      </c>
      <c r="AQ204" s="841"/>
    </row>
    <row r="205" spans="1:44" ht="13.5" customHeight="1" x14ac:dyDescent="0.2">
      <c r="A205" s="573"/>
      <c r="B205" s="573"/>
      <c r="C205" s="573"/>
      <c r="D205" s="477"/>
      <c r="F205" s="844"/>
      <c r="H205" s="445"/>
      <c r="J205" s="685"/>
      <c r="K205" s="813"/>
      <c r="L205" s="413"/>
      <c r="N205" s="445"/>
      <c r="P205" s="306"/>
      <c r="S205" s="419"/>
      <c r="U205" s="319"/>
      <c r="W205" s="821"/>
      <c r="Y205" s="761"/>
      <c r="AA205" s="815"/>
      <c r="AC205" s="413"/>
      <c r="AE205" s="445"/>
      <c r="AG205" s="306"/>
      <c r="AJ205" s="319"/>
      <c r="AL205" s="833"/>
      <c r="AN205" s="765"/>
      <c r="AP205" s="319"/>
      <c r="AQ205" s="841"/>
      <c r="AR205" s="311"/>
    </row>
    <row r="206" spans="1:44" ht="12.75" customHeight="1" x14ac:dyDescent="0.2">
      <c r="A206" s="812">
        <v>2018</v>
      </c>
      <c r="B206" s="840"/>
      <c r="C206" s="840"/>
      <c r="J206" s="685"/>
      <c r="L206" s="413"/>
      <c r="P206" s="306"/>
      <c r="Y206" s="765"/>
      <c r="AA206" s="815"/>
      <c r="AC206" s="413"/>
      <c r="AG206" s="306"/>
      <c r="AN206" s="765"/>
      <c r="AP206" s="489"/>
    </row>
    <row r="207" spans="1:44" s="14" customFormat="1" ht="12.75" customHeight="1" x14ac:dyDescent="0.2">
      <c r="A207" s="14" t="s">
        <v>63</v>
      </c>
      <c r="B207" s="14">
        <f>B203+1</f>
        <v>109</v>
      </c>
      <c r="C207" s="14">
        <f>C203+1</f>
        <v>209</v>
      </c>
      <c r="D207" s="1126">
        <f>F207+H207</f>
        <v>3.46</v>
      </c>
      <c r="F207" s="1003">
        <v>3</v>
      </c>
      <c r="H207" s="1003">
        <f>-0.54+1</f>
        <v>0.45999999999999996</v>
      </c>
      <c r="I207" s="14" t="s">
        <v>102</v>
      </c>
      <c r="J207" s="1129">
        <f>stores!D318</f>
        <v>1160</v>
      </c>
      <c r="K207" s="1007">
        <f>J207-J203</f>
        <v>2</v>
      </c>
      <c r="L207" s="260">
        <f>AVERAGEA(J207,J203)</f>
        <v>1159</v>
      </c>
      <c r="N207" s="1133">
        <f>(L207/L200-1)*100</f>
        <v>0.43327556325822858</v>
      </c>
      <c r="O207" s="14" t="s">
        <v>102</v>
      </c>
      <c r="P207" s="1231">
        <f>(H207/N207)*100</f>
        <v>106.16800000000089</v>
      </c>
      <c r="Q207" s="1135" t="s">
        <v>102</v>
      </c>
      <c r="S207" s="1235">
        <f>(S200)*(1+D207/100)</f>
        <v>3975.9677999999999</v>
      </c>
      <c r="U207" s="260">
        <f>S207-AP207</f>
        <v>3343.3679804312501</v>
      </c>
      <c r="W207" s="1139">
        <f>U207/L207</f>
        <v>2.8847005870847715</v>
      </c>
      <c r="Y207" s="1142">
        <f>(W207/W200-1)*100</f>
        <v>1.8677147312492703</v>
      </c>
      <c r="Z207" s="14" t="s">
        <v>102</v>
      </c>
      <c r="AA207" s="1129">
        <f>stores!D640</f>
        <v>99334.5</v>
      </c>
      <c r="AC207" s="260">
        <f>AVERAGEA(AA207,AA203)</f>
        <v>99267.25</v>
      </c>
      <c r="AE207" s="1146">
        <f>(AC207/AC200-1)*100</f>
        <v>0.16876892028254709</v>
      </c>
      <c r="AF207" s="14" t="s">
        <v>102</v>
      </c>
      <c r="AG207" s="1231">
        <f>(H207/AE207)*100</f>
        <v>272.56203288489604</v>
      </c>
      <c r="AH207" s="14" t="s">
        <v>102</v>
      </c>
      <c r="AJ207" s="260">
        <f>U207</f>
        <v>3343.3679804312501</v>
      </c>
      <c r="AL207" s="1139">
        <f>AJ207/AC207*100</f>
        <v>3.3680473473690973</v>
      </c>
      <c r="AN207" s="1142">
        <f>(AL207/AL200-1)*100</f>
        <v>2.1367076273545615</v>
      </c>
      <c r="AO207" s="14" t="s">
        <v>102</v>
      </c>
      <c r="AP207" s="260">
        <f>AP200*(1+AQ207)</f>
        <v>632.59981956874981</v>
      </c>
      <c r="AQ207" s="1150">
        <v>0.1</v>
      </c>
      <c r="AR207" s="1149">
        <f>AP207/S207</f>
        <v>0.15910587091996817</v>
      </c>
    </row>
    <row r="208" spans="1:44" s="14" customFormat="1" ht="12.75" customHeight="1" x14ac:dyDescent="0.2">
      <c r="A208" s="14" t="s">
        <v>64</v>
      </c>
      <c r="B208" s="14">
        <f t="shared" ref="B208:C210" si="27">B207+1</f>
        <v>110</v>
      </c>
      <c r="C208" s="14">
        <f t="shared" si="27"/>
        <v>210</v>
      </c>
      <c r="D208" s="1126">
        <f>F208+H208</f>
        <v>0.76</v>
      </c>
      <c r="F208" s="1003">
        <v>1</v>
      </c>
      <c r="H208" s="1003">
        <f>-0.54+0.3</f>
        <v>-0.24000000000000005</v>
      </c>
      <c r="J208" s="1129">
        <f>stores!D319</f>
        <v>1162</v>
      </c>
      <c r="K208" s="1007">
        <f>J208-J207</f>
        <v>2</v>
      </c>
      <c r="L208" s="260">
        <f>AVERAGEA(J207:J208)</f>
        <v>1161</v>
      </c>
      <c r="N208" s="1133">
        <f>(L208/L201-1)*100</f>
        <v>0.60658578856152001</v>
      </c>
      <c r="P208" s="1231">
        <f>(H208/N208)*100</f>
        <v>-39.565714285714627</v>
      </c>
      <c r="Q208" s="1135"/>
      <c r="S208" s="1236">
        <f>(S201)*(1+D208/100)</f>
        <v>4175.4944000000005</v>
      </c>
      <c r="U208" s="260">
        <f>S208-AP208</f>
        <v>3571.5576142400005</v>
      </c>
      <c r="W208" s="1139">
        <f>U208/L208</f>
        <v>3.0762770148492682</v>
      </c>
      <c r="Y208" s="1142">
        <f>(W208/W201-1)*100</f>
        <v>-1.2501613724036242</v>
      </c>
      <c r="AA208" s="1129">
        <f>stores!D641</f>
        <v>99469</v>
      </c>
      <c r="AC208" s="260">
        <f>AVERAGEA(AA207:AA208)</f>
        <v>99401.75</v>
      </c>
      <c r="AE208" s="1146">
        <f>(AC208/AC201-1)*100</f>
        <v>0.30449041372351271</v>
      </c>
      <c r="AG208" s="1231">
        <f>(H208/AE208)*100</f>
        <v>-78.820215410107437</v>
      </c>
      <c r="AJ208" s="260">
        <f>U208</f>
        <v>3571.5576142400005</v>
      </c>
      <c r="AL208" s="1139">
        <f>AJ208/AC208*100</f>
        <v>3.5930530541363712</v>
      </c>
      <c r="AN208" s="1142">
        <f>(AL208/AL201-1)*100</f>
        <v>-0.95274827163065456</v>
      </c>
      <c r="AP208" s="260">
        <f>AP201*(1+AQ208)</f>
        <v>603.93678575999991</v>
      </c>
      <c r="AQ208" s="1150">
        <v>0.1</v>
      </c>
      <c r="AR208" s="1149">
        <f>AP208/S208</f>
        <v>0.1446383895904638</v>
      </c>
    </row>
    <row r="209" spans="1:44" s="14" customFormat="1" ht="12.75" customHeight="1" x14ac:dyDescent="0.2">
      <c r="A209" s="14" t="s">
        <v>65</v>
      </c>
      <c r="B209" s="14">
        <f t="shared" si="27"/>
        <v>111</v>
      </c>
      <c r="C209" s="14">
        <f t="shared" si="27"/>
        <v>211</v>
      </c>
      <c r="D209" s="1126">
        <f>F209+H209</f>
        <v>-1.2850000000000001</v>
      </c>
      <c r="F209" s="1003">
        <v>-0.54</v>
      </c>
      <c r="H209" s="1003">
        <f>-0.545-0.2</f>
        <v>-0.74500000000000011</v>
      </c>
      <c r="J209" s="1129">
        <f>stores!D320</f>
        <v>1163</v>
      </c>
      <c r="K209" s="1007">
        <f>J209-J208</f>
        <v>1</v>
      </c>
      <c r="L209" s="260">
        <f>AVERAGEA(J208:J209)</f>
        <v>1162.5</v>
      </c>
      <c r="N209" s="1133">
        <f>(L209/L202-1)*100</f>
        <v>0.64935064935065512</v>
      </c>
      <c r="P209" s="1231">
        <f>(H209/N209)*100</f>
        <v>-114.729999999999</v>
      </c>
      <c r="Q209" s="1135"/>
      <c r="S209" s="1136">
        <f>(S202)*(1+D209/100)</f>
        <v>4276.3337999999994</v>
      </c>
      <c r="U209" s="260">
        <f>S209-AP209</f>
        <v>3595.2707662499997</v>
      </c>
      <c r="W209" s="1139">
        <f>U209/L209</f>
        <v>3.0927060354838707</v>
      </c>
      <c r="Y209" s="1142">
        <f>(W209/W202-1)*100</f>
        <v>-3.7915953712474915</v>
      </c>
      <c r="AA209" s="1129">
        <f>stores!D642</f>
        <v>99536.25</v>
      </c>
      <c r="AC209" s="260">
        <f>AVERAGEA(AA208:AA209)</f>
        <v>99502.625</v>
      </c>
      <c r="AE209" s="1146">
        <f>(AC209/AC202-1)*100</f>
        <v>0.40628153380424248</v>
      </c>
      <c r="AG209" s="1231">
        <f>(H209/AE209)*100</f>
        <v>-183.37038186898286</v>
      </c>
      <c r="AJ209" s="260">
        <f>U209</f>
        <v>3595.2707662499997</v>
      </c>
      <c r="AL209" s="1139">
        <f>AJ209/AC209*100</f>
        <v>3.6132421292905588</v>
      </c>
      <c r="AN209" s="1142">
        <f>(AL209/AL202-1)*100</f>
        <v>-3.5586887097915465</v>
      </c>
      <c r="AP209" s="260">
        <f>AP202*(1+AQ209)</f>
        <v>681.06303374999982</v>
      </c>
      <c r="AQ209" s="1150">
        <v>0.1</v>
      </c>
    </row>
    <row r="210" spans="1:44" s="14" customFormat="1" ht="12.75" customHeight="1" x14ac:dyDescent="0.2">
      <c r="A210" s="14" t="s">
        <v>66</v>
      </c>
      <c r="B210" s="14">
        <f t="shared" si="27"/>
        <v>112</v>
      </c>
      <c r="C210" s="14">
        <f t="shared" si="27"/>
        <v>212</v>
      </c>
      <c r="D210" s="1127">
        <f>F210+H210</f>
        <v>-6.18</v>
      </c>
      <c r="F210" s="1004">
        <v>-2.04</v>
      </c>
      <c r="H210" s="1004">
        <f>-0.54-6.1+2.5</f>
        <v>-4.1399999999999997</v>
      </c>
      <c r="J210" s="1129">
        <f>stores!D321</f>
        <v>1163</v>
      </c>
      <c r="K210" s="1007">
        <f>J210-J209</f>
        <v>0</v>
      </c>
      <c r="L210" s="1132">
        <f>AVERAGEA(J209:J210)</f>
        <v>1163</v>
      </c>
      <c r="N210" s="1134">
        <f>(L210/L203-1)*100</f>
        <v>0.51858254105445756</v>
      </c>
      <c r="P210" s="1232">
        <f>IFERROR((H210/N210)*100,"-")</f>
        <v>-798.32999999999015</v>
      </c>
      <c r="Q210" s="1135"/>
      <c r="S210" s="1137">
        <f>(S203)*(1+D210/100)</f>
        <v>6357.2431999999999</v>
      </c>
      <c r="U210" s="1132">
        <f>S210-AP210</f>
        <v>4729.37655344</v>
      </c>
      <c r="W210" s="1140">
        <f>U210/L210</f>
        <v>4.0665318602235594</v>
      </c>
      <c r="Y210" s="1143">
        <f>(W210/W203-1)*100</f>
        <v>-11.161826597324588</v>
      </c>
      <c r="AA210" s="1129">
        <f>stores!D643</f>
        <v>99536.25</v>
      </c>
      <c r="AC210" s="1132">
        <f>AVERAGEA(AA209:AA210)</f>
        <v>99536.25</v>
      </c>
      <c r="AE210" s="1147">
        <f>(AC210/AC203-1)*100</f>
        <v>0.38956127080180813</v>
      </c>
      <c r="AG210" s="1232">
        <f>IFERROR((H210/AE210)*100,"-")</f>
        <v>-1062.7339805825441</v>
      </c>
      <c r="AJ210" s="1132">
        <f>U210</f>
        <v>4729.37655344</v>
      </c>
      <c r="AL210" s="1140">
        <f>AJ210/AC210*100</f>
        <v>4.7514112229866008</v>
      </c>
      <c r="AN210" s="1143">
        <f>(AL210/AL203-1)*100</f>
        <v>-11.047651240502198</v>
      </c>
      <c r="AP210" s="1132">
        <f>AP203*(1+AQ210)</f>
        <v>1627.8666465599997</v>
      </c>
      <c r="AQ210" s="1150">
        <v>0.1</v>
      </c>
    </row>
    <row r="211" spans="1:44" s="14" customFormat="1" ht="12.75" customHeight="1" x14ac:dyDescent="0.2">
      <c r="A211" s="1128" t="s">
        <v>67</v>
      </c>
      <c r="B211" s="1128"/>
      <c r="C211" s="1128"/>
      <c r="D211" s="1126">
        <f>'yrP&amp;L'!$AE$8*100</f>
        <v>-1.6232563498298047</v>
      </c>
      <c r="F211" s="1126">
        <f>SUMPRODUCT(F207:F210,S207:S210)/S211</f>
        <v>4.3939297182834743E-2</v>
      </c>
      <c r="H211" s="1133">
        <f>SUMPRODUCT(H207:H210,S207:S210)/S211</f>
        <v>-1.5266419564884379</v>
      </c>
      <c r="J211" s="1130"/>
      <c r="K211" s="1131">
        <f>J210-J203</f>
        <v>5</v>
      </c>
      <c r="L211" s="260">
        <f>AVERAGE(J210,J203)</f>
        <v>1160.5</v>
      </c>
      <c r="N211" s="1133">
        <f>(L211/L204-1)*100</f>
        <v>0.38927335640137617</v>
      </c>
      <c r="P211" s="306">
        <f>(H211/N211)*100</f>
        <v>-392.17735593348226</v>
      </c>
      <c r="S211" s="1138">
        <f>SUM(S207:S210)</f>
        <v>18785.039199999999</v>
      </c>
      <c r="U211" s="1138">
        <f>S211-AP211</f>
        <v>15239.57291436125</v>
      </c>
      <c r="W211" s="1141">
        <f>IF(ISERROR(U211/L211),"NA",U211/L211)</f>
        <v>13.131902554382808</v>
      </c>
      <c r="Y211" s="1144">
        <f>IF(ISERROR(W211/W204),"NA",(W211/W204-1)*100)</f>
        <v>-4.3559479788535143</v>
      </c>
      <c r="AA211" s="1145"/>
      <c r="AC211" s="260">
        <f>AVERAGE(AA210,AA203)</f>
        <v>99368.125</v>
      </c>
      <c r="AE211" s="1133">
        <f>(AC211/AC204-1)*100</f>
        <v>0.21999495713564965</v>
      </c>
      <c r="AG211" s="1231">
        <f>(H211/AE211)*100</f>
        <v>-693.94406870294995</v>
      </c>
      <c r="AJ211" s="1138">
        <f>U211</f>
        <v>15239.57291436125</v>
      </c>
      <c r="AL211" s="1148">
        <f>IF(ISERROR(AJ211/AC211),"NA",AJ211/AC211*100)</f>
        <v>15.33648029925215</v>
      </c>
      <c r="AN211" s="1142">
        <f>(AL211/AL204-1)*100</f>
        <v>-4.1943986589562776</v>
      </c>
      <c r="AP211" s="1138">
        <f>SUM(AP207:AP210)</f>
        <v>3545.4662856387495</v>
      </c>
      <c r="AQ211" s="1151"/>
    </row>
    <row r="212" spans="1:44" ht="13.5" customHeight="1" x14ac:dyDescent="0.2">
      <c r="A212" s="573"/>
      <c r="B212" s="573"/>
      <c r="C212" s="573"/>
      <c r="D212" s="477"/>
      <c r="F212" s="844"/>
      <c r="H212" s="445"/>
      <c r="J212" s="685"/>
      <c r="K212" s="813"/>
      <c r="L212" s="413"/>
      <c r="N212" s="445"/>
      <c r="P212" s="306"/>
      <c r="S212" s="419"/>
      <c r="U212" s="319"/>
      <c r="W212" s="821"/>
      <c r="Y212" s="761"/>
      <c r="AA212" s="815"/>
      <c r="AC212" s="413"/>
      <c r="AE212" s="445"/>
      <c r="AG212" s="306"/>
      <c r="AJ212" s="319"/>
      <c r="AL212" s="833"/>
      <c r="AN212" s="765"/>
      <c r="AP212" s="319"/>
      <c r="AQ212" s="841"/>
      <c r="AR212" s="311"/>
    </row>
    <row r="213" spans="1:44" ht="13.5" hidden="1" customHeight="1" x14ac:dyDescent="0.2">
      <c r="A213" s="573"/>
      <c r="B213" s="573"/>
      <c r="C213" s="573"/>
      <c r="D213" s="477"/>
      <c r="F213" s="844"/>
      <c r="H213" s="445"/>
      <c r="J213" s="685"/>
      <c r="K213" s="813"/>
      <c r="L213" s="413"/>
      <c r="N213" s="445"/>
      <c r="P213" s="306"/>
      <c r="S213" s="419">
        <f>S203-170</f>
        <v>6606</v>
      </c>
      <c r="U213" s="319"/>
      <c r="W213" s="821"/>
      <c r="Y213" s="761"/>
      <c r="AA213" s="815"/>
      <c r="AC213" s="413"/>
      <c r="AE213" s="445"/>
      <c r="AG213" s="306"/>
      <c r="AJ213" s="319"/>
      <c r="AL213" s="833"/>
      <c r="AN213" s="765"/>
      <c r="AP213" s="319"/>
      <c r="AQ213" s="841"/>
      <c r="AR213" s="311"/>
    </row>
    <row r="214" spans="1:44" ht="13.5" hidden="1" customHeight="1" x14ac:dyDescent="0.2">
      <c r="A214" s="573"/>
      <c r="B214" s="573"/>
      <c r="C214" s="573"/>
      <c r="D214" s="477"/>
      <c r="F214" s="844"/>
      <c r="H214" s="426"/>
      <c r="J214" s="685"/>
      <c r="K214" s="813"/>
      <c r="L214" s="413"/>
      <c r="N214" s="445"/>
      <c r="P214" s="306"/>
      <c r="S214" s="1303">
        <f>S213*0.96</f>
        <v>6341.76</v>
      </c>
      <c r="U214" s="319"/>
      <c r="W214" s="821"/>
      <c r="Y214" s="761"/>
      <c r="AA214" s="815"/>
      <c r="AC214" s="413"/>
      <c r="AE214" s="445"/>
      <c r="AG214" s="306"/>
      <c r="AJ214" s="319"/>
      <c r="AL214" s="833"/>
      <c r="AN214" s="765"/>
      <c r="AP214" s="319"/>
      <c r="AQ214" s="841"/>
      <c r="AR214" s="311"/>
    </row>
    <row r="215" spans="1:44" ht="13.5" customHeight="1" x14ac:dyDescent="0.2">
      <c r="A215" s="573"/>
      <c r="B215" s="573"/>
      <c r="C215" s="573"/>
      <c r="D215" s="477"/>
      <c r="F215" s="844"/>
      <c r="H215" s="445"/>
      <c r="J215" s="685"/>
      <c r="K215" s="813"/>
      <c r="L215" s="413"/>
      <c r="N215" s="445"/>
      <c r="P215" s="306"/>
      <c r="S215" s="419"/>
      <c r="U215" s="319"/>
      <c r="W215" s="821"/>
      <c r="Y215" s="761"/>
      <c r="AA215" s="815"/>
      <c r="AC215" s="413"/>
      <c r="AE215" s="445"/>
      <c r="AG215" s="306"/>
      <c r="AJ215" s="319"/>
      <c r="AL215" s="833"/>
      <c r="AN215" s="765"/>
      <c r="AP215" s="319"/>
      <c r="AQ215" s="841"/>
      <c r="AR215" s="311"/>
    </row>
    <row r="216" spans="1:44" ht="13.5" customHeight="1" x14ac:dyDescent="0.2">
      <c r="A216" s="573"/>
      <c r="B216" s="573"/>
      <c r="C216" s="573"/>
      <c r="D216" s="477"/>
      <c r="F216" s="844"/>
      <c r="H216" s="445"/>
      <c r="J216" s="685"/>
      <c r="K216" s="813"/>
      <c r="L216" s="413"/>
      <c r="N216" s="445"/>
      <c r="P216" s="306"/>
      <c r="S216" s="646"/>
      <c r="U216" s="319"/>
      <c r="W216" s="821"/>
      <c r="Y216" s="761"/>
      <c r="AA216" s="815"/>
      <c r="AC216" s="413"/>
      <c r="AE216" s="445"/>
      <c r="AG216" s="306"/>
      <c r="AJ216" s="319"/>
      <c r="AL216" s="833"/>
      <c r="AN216" s="765"/>
      <c r="AP216" s="319"/>
      <c r="AQ216" s="841"/>
    </row>
    <row r="217" spans="1:44" ht="10.5" customHeight="1" x14ac:dyDescent="0.2">
      <c r="A217" s="573"/>
      <c r="B217" s="573"/>
      <c r="C217" s="573"/>
      <c r="D217" s="477"/>
      <c r="F217" s="844"/>
      <c r="H217" s="445"/>
      <c r="J217" s="685"/>
      <c r="K217" s="813"/>
      <c r="L217" s="413"/>
      <c r="N217" s="445"/>
      <c r="P217" s="306"/>
      <c r="S217" s="646"/>
      <c r="U217" s="319"/>
      <c r="W217" s="821"/>
      <c r="Y217" s="761"/>
      <c r="AA217" s="815"/>
      <c r="AC217" s="413"/>
      <c r="AE217" s="445"/>
      <c r="AG217" s="306"/>
      <c r="AJ217" s="319"/>
      <c r="AL217" s="833"/>
      <c r="AN217" s="765"/>
      <c r="AP217" s="319"/>
      <c r="AQ217" s="841"/>
    </row>
    <row r="218" spans="1:44" ht="10.5" customHeight="1" x14ac:dyDescent="0.2">
      <c r="A218" s="573"/>
      <c r="B218" s="573"/>
      <c r="C218" s="573"/>
      <c r="D218" s="477"/>
      <c r="H218" s="311"/>
      <c r="J218" s="685"/>
      <c r="K218" s="813"/>
      <c r="L218" s="413"/>
      <c r="N218" s="445"/>
      <c r="P218" s="306"/>
      <c r="S218" s="419"/>
      <c r="U218" s="319"/>
      <c r="W218" s="821"/>
      <c r="Y218" s="761"/>
      <c r="AA218" s="815"/>
      <c r="AC218" s="413"/>
      <c r="AE218" s="445"/>
      <c r="AG218" s="306"/>
      <c r="AJ218" s="319"/>
      <c r="AL218" s="833"/>
      <c r="AN218" s="765"/>
      <c r="AP218" s="319"/>
      <c r="AQ218" s="841"/>
    </row>
    <row r="219" spans="1:44" ht="10.5" customHeight="1" x14ac:dyDescent="0.2">
      <c r="A219" s="573"/>
      <c r="B219" s="573"/>
      <c r="C219" s="573"/>
      <c r="D219" s="477"/>
      <c r="F219" s="844"/>
      <c r="H219" s="445"/>
      <c r="J219" s="685"/>
      <c r="K219" s="813"/>
      <c r="L219" s="413"/>
      <c r="N219" s="445"/>
      <c r="P219" s="306"/>
      <c r="S219" s="419"/>
      <c r="U219" s="319"/>
      <c r="W219" s="821"/>
      <c r="Y219" s="761"/>
      <c r="AA219" s="815"/>
      <c r="AC219" s="413"/>
      <c r="AE219" s="445"/>
      <c r="AG219" s="306"/>
      <c r="AJ219" s="319"/>
      <c r="AL219" s="833"/>
      <c r="AN219" s="765"/>
      <c r="AP219" s="311"/>
      <c r="AQ219" s="841"/>
    </row>
    <row r="220" spans="1:44" ht="10.5" customHeight="1" x14ac:dyDescent="0.2">
      <c r="A220" s="573"/>
      <c r="B220" s="573"/>
      <c r="C220" s="573"/>
      <c r="D220" s="477"/>
      <c r="F220" s="844"/>
      <c r="H220" s="445"/>
      <c r="J220" s="685"/>
      <c r="K220" s="813"/>
      <c r="L220" s="413"/>
      <c r="N220" s="445"/>
      <c r="P220" s="306"/>
      <c r="S220" s="419"/>
      <c r="U220" s="319"/>
      <c r="W220" s="821"/>
      <c r="Y220" s="761"/>
      <c r="AA220" s="815"/>
      <c r="AC220" s="413"/>
      <c r="AE220" s="445"/>
      <c r="AG220" s="306"/>
      <c r="AJ220" s="319"/>
      <c r="AL220" s="833"/>
      <c r="AN220" s="765"/>
      <c r="AP220" s="311"/>
      <c r="AQ220" s="841"/>
    </row>
    <row r="221" spans="1:44" ht="10.5" customHeight="1" x14ac:dyDescent="0.2">
      <c r="A221" s="573"/>
      <c r="B221" s="573"/>
      <c r="C221" s="573"/>
      <c r="D221" s="477"/>
      <c r="F221" s="844"/>
      <c r="H221" s="445"/>
      <c r="J221" s="685"/>
      <c r="K221" s="813"/>
      <c r="L221" s="413"/>
      <c r="N221" s="445"/>
      <c r="P221" s="306"/>
      <c r="S221" s="419"/>
      <c r="U221" s="319"/>
      <c r="W221" s="821"/>
      <c r="Y221" s="761"/>
      <c r="AA221" s="815"/>
      <c r="AC221" s="413"/>
      <c r="AE221" s="445"/>
      <c r="AG221" s="306"/>
      <c r="AJ221" s="319"/>
      <c r="AL221" s="833"/>
      <c r="AN221" s="765"/>
      <c r="AP221" s="311"/>
      <c r="AQ221" s="841"/>
    </row>
    <row r="222" spans="1:44" ht="10.5" customHeight="1" x14ac:dyDescent="0.2">
      <c r="A222" s="573"/>
      <c r="B222" s="573"/>
      <c r="C222" s="573"/>
      <c r="D222" s="477"/>
      <c r="F222" s="844"/>
      <c r="H222" s="445"/>
      <c r="J222" s="685"/>
      <c r="K222" s="813"/>
      <c r="L222" s="413"/>
      <c r="N222" s="445"/>
      <c r="P222" s="306"/>
      <c r="S222" s="419"/>
      <c r="U222" s="319"/>
      <c r="W222" s="821"/>
      <c r="Y222" s="761"/>
      <c r="AA222" s="815"/>
      <c r="AC222" s="413"/>
      <c r="AE222" s="445"/>
      <c r="AG222" s="306"/>
      <c r="AJ222" s="319"/>
      <c r="AL222" s="833"/>
      <c r="AN222" s="765"/>
      <c r="AP222" s="311"/>
      <c r="AQ222" s="841"/>
    </row>
    <row r="223" spans="1:44" ht="10.5" customHeight="1" x14ac:dyDescent="0.2">
      <c r="A223" s="573"/>
      <c r="B223" s="573"/>
      <c r="C223" s="573"/>
      <c r="D223" s="477"/>
      <c r="F223" s="844"/>
      <c r="H223" s="445"/>
      <c r="J223" s="685"/>
      <c r="K223" s="813"/>
      <c r="L223" s="413"/>
      <c r="N223" s="445"/>
      <c r="P223" s="306"/>
      <c r="S223" s="419"/>
      <c r="U223" s="319"/>
      <c r="W223" s="821"/>
      <c r="Y223" s="761"/>
      <c r="AA223" s="815"/>
      <c r="AC223" s="413"/>
      <c r="AE223" s="445"/>
      <c r="AG223" s="306"/>
      <c r="AJ223" s="319"/>
      <c r="AL223" s="833"/>
      <c r="AN223" s="765"/>
      <c r="AP223" s="311"/>
      <c r="AQ223" s="841"/>
    </row>
    <row r="224" spans="1:44" ht="10.5" customHeight="1" x14ac:dyDescent="0.2">
      <c r="A224" s="573"/>
      <c r="B224" s="573"/>
      <c r="C224" s="573"/>
      <c r="D224" s="477"/>
      <c r="F224" s="844"/>
      <c r="H224" s="445"/>
      <c r="J224" s="685"/>
      <c r="K224" s="813"/>
      <c r="L224" s="413"/>
      <c r="N224" s="445"/>
      <c r="P224" s="306"/>
      <c r="S224" s="419"/>
      <c r="U224" s="319"/>
      <c r="W224" s="821"/>
      <c r="Y224" s="761"/>
      <c r="AA224" s="815"/>
      <c r="AC224" s="413"/>
      <c r="AE224" s="445"/>
      <c r="AG224" s="306"/>
      <c r="AJ224" s="319"/>
      <c r="AL224" s="833"/>
      <c r="AN224" s="765"/>
      <c r="AP224" s="311"/>
      <c r="AQ224" s="841"/>
    </row>
    <row r="225" spans="1:43" ht="10.5" customHeight="1" x14ac:dyDescent="0.2">
      <c r="A225" s="573"/>
      <c r="B225" s="573"/>
      <c r="C225" s="573"/>
      <c r="D225" s="477"/>
      <c r="F225" s="844"/>
      <c r="H225" s="445"/>
      <c r="J225" s="685"/>
      <c r="K225" s="813"/>
      <c r="L225" s="413"/>
      <c r="N225" s="445"/>
      <c r="P225" s="306"/>
      <c r="S225" s="419"/>
      <c r="U225" s="319"/>
      <c r="W225" s="821"/>
      <c r="Y225" s="761"/>
      <c r="AA225" s="815"/>
      <c r="AC225" s="413"/>
      <c r="AE225" s="445"/>
      <c r="AG225" s="306"/>
      <c r="AJ225" s="319"/>
      <c r="AL225" s="833"/>
      <c r="AN225" s="765"/>
      <c r="AP225" s="311"/>
      <c r="AQ225" s="841"/>
    </row>
    <row r="226" spans="1:43" ht="10.5" customHeight="1" x14ac:dyDescent="0.2">
      <c r="F226" s="844"/>
      <c r="J226" s="685"/>
      <c r="AA226" s="815"/>
    </row>
    <row r="227" spans="1:43" ht="10.5" customHeight="1" x14ac:dyDescent="0.2">
      <c r="A227" s="845" t="s">
        <v>43</v>
      </c>
      <c r="B227" s="845"/>
      <c r="C227" s="845"/>
      <c r="J227" s="685"/>
      <c r="U227" s="305"/>
      <c r="V227" s="305"/>
      <c r="W227" s="305"/>
      <c r="X227" s="305"/>
      <c r="Y227" s="305"/>
      <c r="Z227" s="305"/>
      <c r="AA227" s="815"/>
    </row>
    <row r="228" spans="1:43" ht="10.5" customHeight="1" x14ac:dyDescent="0.2">
      <c r="A228" s="412" t="s">
        <v>88</v>
      </c>
      <c r="B228" s="412"/>
      <c r="C228" s="412"/>
      <c r="J228" s="685"/>
      <c r="U228" s="305"/>
      <c r="V228" s="305"/>
      <c r="W228" s="846"/>
      <c r="X228" s="305"/>
      <c r="Y228" s="305"/>
      <c r="Z228" s="305"/>
      <c r="AA228" s="815"/>
    </row>
    <row r="231" spans="1:43" ht="10.5" customHeight="1" x14ac:dyDescent="0.2">
      <c r="F231" s="445"/>
    </row>
    <row r="232" spans="1:43" ht="10.5" customHeight="1" x14ac:dyDescent="0.2">
      <c r="F232" s="445"/>
    </row>
    <row r="233" spans="1:43" ht="10.5" customHeight="1" x14ac:dyDescent="0.2">
      <c r="F233" s="445"/>
    </row>
    <row r="234" spans="1:43" ht="10.5" customHeight="1" x14ac:dyDescent="0.2">
      <c r="F234" s="445"/>
    </row>
    <row r="236" spans="1:43" ht="10.5" customHeight="1" x14ac:dyDescent="0.2">
      <c r="F236" s="445"/>
    </row>
    <row r="237" spans="1:43" ht="10.5" customHeight="1" x14ac:dyDescent="0.2">
      <c r="F237" s="445"/>
    </row>
    <row r="238" spans="1:43" ht="10.5" customHeight="1" x14ac:dyDescent="0.2">
      <c r="F238" s="445"/>
    </row>
    <row r="239" spans="1:43" ht="10.5" customHeight="1" x14ac:dyDescent="0.2">
      <c r="F239" s="445"/>
    </row>
  </sheetData>
  <phoneticPr fontId="11" type="noConversion"/>
  <hyperlinks>
    <hyperlink ref="W9" r:id="rId1" display="http://ms1.morganstanley.com/NewResearchExp?utm_source=footer&amp;utm_medium=email&amp;utm_content=Why+are+research+reports+still+PDFs?&amp;utm_campaign=research+footer"/>
  </hyperlinks>
  <pageMargins left="0.75" right="0.75" top="1" bottom="1" header="0.5" footer="0.5"/>
  <pageSetup scale="19" orientation="landscape" r:id="rId2"/>
  <headerFooter alignWithMargins="0"/>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HC65536"/>
  <sheetViews>
    <sheetView showGridLines="0" topLeftCell="A132" zoomScale="90" zoomScaleNormal="90" workbookViewId="0">
      <pane ySplit="8610" topLeftCell="A165"/>
      <selection activeCell="DG164" sqref="DG164"/>
      <selection pane="bottomLeft" activeCell="DH164" sqref="DH164"/>
    </sheetView>
  </sheetViews>
  <sheetFormatPr defaultRowHeight="12.75" outlineLevelRow="2" outlineLevelCol="1" x14ac:dyDescent="0.2"/>
  <cols>
    <col min="1" max="1" width="7.5703125" style="303" customWidth="1"/>
    <col min="2" max="2" width="1.5703125" style="303" customWidth="1"/>
    <col min="3" max="3" width="7.85546875" style="303" hidden="1" customWidth="1" outlineLevel="1"/>
    <col min="4" max="4" width="7.140625" style="303" hidden="1" customWidth="1" outlineLevel="1"/>
    <col min="5" max="5" width="4.140625" style="303" hidden="1" customWidth="1" outlineLevel="1"/>
    <col min="6" max="6" width="1.5703125" style="303" hidden="1" customWidth="1" outlineLevel="1"/>
    <col min="7" max="7" width="7.85546875" style="303" hidden="1" customWidth="1" outlineLevel="1"/>
    <col min="8" max="8" width="7.140625" style="303" hidden="1" customWidth="1" outlineLevel="1"/>
    <col min="9" max="9" width="6.85546875" style="303" hidden="1" customWidth="1" outlineLevel="1"/>
    <col min="10" max="10" width="1.5703125" style="303" hidden="1" customWidth="1" outlineLevel="1"/>
    <col min="11" max="11" width="7.85546875" style="303" hidden="1" customWidth="1" outlineLevel="1"/>
    <col min="12" max="12" width="7.140625" style="303" hidden="1" customWidth="1" outlineLevel="1"/>
    <col min="13" max="13" width="6.85546875" style="303" hidden="1" customWidth="1" outlineLevel="1"/>
    <col min="14" max="14" width="1.5703125" style="303" hidden="1" customWidth="1" outlineLevel="1"/>
    <col min="15" max="15" width="7.85546875" style="303" hidden="1" customWidth="1" outlineLevel="1"/>
    <col min="16" max="16" width="7.140625" style="303" hidden="1" customWidth="1" outlineLevel="1"/>
    <col min="17" max="17" width="6.85546875" style="303" hidden="1" customWidth="1" outlineLevel="1"/>
    <col min="18" max="18" width="1.5703125" style="303" hidden="1" customWidth="1" outlineLevel="1"/>
    <col min="19" max="19" width="7.85546875" style="303" hidden="1" customWidth="1" outlineLevel="1"/>
    <col min="20" max="20" width="7.140625" style="303" hidden="1" customWidth="1" outlineLevel="1"/>
    <col min="21" max="21" width="6.85546875" style="303" hidden="1" customWidth="1" outlineLevel="1"/>
    <col min="22" max="22" width="1.5703125" style="303" hidden="1" customWidth="1" outlineLevel="1"/>
    <col min="23" max="23" width="7.85546875" style="303" hidden="1" customWidth="1" outlineLevel="1"/>
    <col min="24" max="24" width="7.140625" style="303" hidden="1" customWidth="1" outlineLevel="1"/>
    <col min="25" max="25" width="6.85546875" style="303" hidden="1" customWidth="1" outlineLevel="1"/>
    <col min="26" max="26" width="1.5703125" style="303" hidden="1" customWidth="1" outlineLevel="1"/>
    <col min="27" max="27" width="7.85546875" style="303" hidden="1" customWidth="1" outlineLevel="1"/>
    <col min="28" max="28" width="7.140625" style="303" hidden="1" customWidth="1" outlineLevel="1"/>
    <col min="29" max="29" width="6.85546875" style="303" hidden="1" customWidth="1" outlineLevel="1"/>
    <col min="30" max="30" width="1.5703125" style="303" hidden="1" customWidth="1" outlineLevel="1"/>
    <col min="31" max="31" width="7.85546875" style="303" hidden="1" customWidth="1" outlineLevel="1"/>
    <col min="32" max="32" width="7.140625" style="303" hidden="1" customWidth="1" outlineLevel="1"/>
    <col min="33" max="33" width="6.85546875" style="303" hidden="1" customWidth="1" outlineLevel="1"/>
    <col min="34" max="34" width="1.5703125" style="303" hidden="1" customWidth="1" outlineLevel="1"/>
    <col min="35" max="35" width="7.85546875" style="303" hidden="1" customWidth="1" outlineLevel="1"/>
    <col min="36" max="36" width="7.140625" style="303" hidden="1" customWidth="1" outlineLevel="1"/>
    <col min="37" max="37" width="6.85546875" style="303" hidden="1" customWidth="1" outlineLevel="1"/>
    <col min="38" max="38" width="1.5703125" style="303" hidden="1" customWidth="1" outlineLevel="1"/>
    <col min="39" max="39" width="7.85546875" style="303" hidden="1" customWidth="1" outlineLevel="1"/>
    <col min="40" max="40" width="7.140625" style="303" hidden="1" customWidth="1" outlineLevel="1"/>
    <col min="41" max="41" width="6.85546875" style="303" hidden="1" customWidth="1" outlineLevel="1"/>
    <col min="42" max="42" width="1.5703125" style="303" hidden="1" customWidth="1" outlineLevel="1"/>
    <col min="43" max="43" width="7.85546875" style="303" hidden="1" customWidth="1" outlineLevel="1"/>
    <col min="44" max="44" width="7.140625" style="303" hidden="1" customWidth="1" outlineLevel="1"/>
    <col min="45" max="45" width="6.85546875" style="303" hidden="1" customWidth="1" outlineLevel="1"/>
    <col min="46" max="46" width="1.5703125" style="303" hidden="1" customWidth="1" outlineLevel="1"/>
    <col min="47" max="47" width="8.28515625" style="303" hidden="1" customWidth="1" outlineLevel="1" collapsed="1"/>
    <col min="48" max="48" width="7.140625" style="303" hidden="1" customWidth="1" outlineLevel="1"/>
    <col min="49" max="49" width="6.42578125" style="303" hidden="1" customWidth="1" outlineLevel="1"/>
    <col min="50" max="50" width="1.5703125" style="303" hidden="1" customWidth="1" outlineLevel="1"/>
    <col min="51" max="51" width="8.28515625" style="303" hidden="1" customWidth="1" outlineLevel="1"/>
    <col min="52" max="52" width="7.140625" style="303" hidden="1" customWidth="1" outlineLevel="1"/>
    <col min="53" max="53" width="6.85546875" style="303" hidden="1" customWidth="1" outlineLevel="1"/>
    <col min="54" max="54" width="1.5703125" style="303" hidden="1" customWidth="1" outlineLevel="1"/>
    <col min="55" max="55" width="8.28515625" style="303" hidden="1" customWidth="1" outlineLevel="1"/>
    <col min="56" max="56" width="7.140625" style="303" hidden="1" customWidth="1" outlineLevel="1"/>
    <col min="57" max="57" width="6.85546875" style="303" hidden="1" customWidth="1" outlineLevel="1"/>
    <col min="58" max="58" width="2" style="303" hidden="1" customWidth="1" outlineLevel="1"/>
    <col min="59" max="59" width="8.28515625" style="303" hidden="1" customWidth="1" outlineLevel="1"/>
    <col min="60" max="60" width="7.140625" style="303" hidden="1" customWidth="1" outlineLevel="1"/>
    <col min="61" max="61" width="6.85546875" style="303" hidden="1" customWidth="1" outlineLevel="1"/>
    <col min="62" max="62" width="2" style="303" hidden="1" customWidth="1" outlineLevel="1"/>
    <col min="63" max="63" width="8.28515625" style="303" hidden="1" customWidth="1" outlineLevel="1"/>
    <col min="64" max="64" width="7.140625" style="303" hidden="1" customWidth="1" outlineLevel="1"/>
    <col min="65" max="65" width="6.85546875" style="303" hidden="1" customWidth="1" outlineLevel="1"/>
    <col min="66" max="66" width="2" style="303" hidden="1" customWidth="1" outlineLevel="1"/>
    <col min="67" max="67" width="8" style="303" hidden="1" customWidth="1" outlineLevel="1" collapsed="1"/>
    <col min="68" max="68" width="7.140625" style="303" hidden="1" customWidth="1" outlineLevel="1"/>
    <col min="69" max="69" width="6.85546875" style="303" hidden="1" customWidth="1" outlineLevel="1"/>
    <col min="70" max="70" width="2" style="303" hidden="1" customWidth="1" outlineLevel="1"/>
    <col min="71" max="71" width="8.28515625" style="303" hidden="1" customWidth="1" outlineLevel="1"/>
    <col min="72" max="72" width="7.140625" style="303" hidden="1" customWidth="1" outlineLevel="1"/>
    <col min="73" max="73" width="6.85546875" style="303" hidden="1" customWidth="1" outlineLevel="1"/>
    <col min="74" max="74" width="2" style="303" hidden="1" customWidth="1" outlineLevel="1"/>
    <col min="75" max="75" width="8.85546875" style="303" hidden="1" customWidth="1" outlineLevel="1"/>
    <col min="76" max="76" width="7.140625" style="303" hidden="1" customWidth="1" outlineLevel="1"/>
    <col min="77" max="77" width="6.85546875" style="303" hidden="1" customWidth="1" outlineLevel="1"/>
    <col min="78" max="78" width="2" style="303" hidden="1" customWidth="1" outlineLevel="1"/>
    <col min="79" max="79" width="8.28515625" style="303" hidden="1" customWidth="1" outlineLevel="1"/>
    <col min="80" max="80" width="7.140625" style="303" hidden="1" customWidth="1" outlineLevel="1"/>
    <col min="81" max="81" width="6.85546875" style="303" hidden="1" customWidth="1" outlineLevel="1"/>
    <col min="82" max="82" width="2" style="303" hidden="1" customWidth="1" outlineLevel="1"/>
    <col min="83" max="83" width="8.5703125" style="303" hidden="1" customWidth="1" outlineLevel="1"/>
    <col min="84" max="85" width="7.140625" style="303" hidden="1" customWidth="1" outlineLevel="1"/>
    <col min="86" max="86" width="2" style="303" hidden="1" customWidth="1" outlineLevel="1"/>
    <col min="87" max="87" width="8.85546875" style="303" hidden="1" customWidth="1" outlineLevel="1"/>
    <col min="88" max="88" width="6.7109375" style="303" hidden="1" customWidth="1" outlineLevel="1"/>
    <col min="89" max="89" width="7.140625" style="303" hidden="1" customWidth="1" outlineLevel="1"/>
    <col min="90" max="90" width="2" style="303" hidden="1" customWidth="1" outlineLevel="1"/>
    <col min="91" max="91" width="10.28515625" style="303" hidden="1" customWidth="1" outlineLevel="1"/>
    <col min="92" max="92" width="6.42578125" style="303" hidden="1" customWidth="1" outlineLevel="1"/>
    <col min="93" max="93" width="6.7109375" style="303" hidden="1" customWidth="1" outlineLevel="1"/>
    <col min="94" max="94" width="2" style="303" customWidth="1" collapsed="1"/>
    <col min="95" max="95" width="9.7109375" style="303" bestFit="1" customWidth="1"/>
    <col min="96" max="96" width="7.85546875" style="303" bestFit="1" customWidth="1"/>
    <col min="97" max="97" width="9.5703125" style="303" bestFit="1" customWidth="1"/>
    <col min="98" max="98" width="2" style="303" customWidth="1"/>
    <col min="99" max="99" width="8.5703125" style="303" customWidth="1"/>
    <col min="100" max="100" width="7.85546875" style="303" customWidth="1"/>
    <col min="101" max="101" width="8.140625" style="303" bestFit="1" customWidth="1"/>
    <col min="102" max="102" width="2" style="303" customWidth="1"/>
    <col min="103" max="103" width="9.5703125" style="303" customWidth="1"/>
    <col min="104" max="104" width="8.28515625" style="303" customWidth="1"/>
    <col min="105" max="105" width="8.140625" style="303" customWidth="1"/>
    <col min="106" max="106" width="2" style="303" customWidth="1"/>
    <col min="107" max="107" width="10" style="303" customWidth="1"/>
    <col min="108" max="108" width="14.7109375" style="303" customWidth="1"/>
    <col min="109" max="109" width="10.7109375" style="303" customWidth="1"/>
    <col min="110" max="110" width="2" style="303" customWidth="1"/>
    <col min="111" max="111" width="10" style="303" customWidth="1"/>
    <col min="112" max="112" width="10.42578125" style="303" customWidth="1"/>
    <col min="113" max="113" width="14.7109375" style="303" customWidth="1"/>
    <col min="114" max="114" width="2" style="303" customWidth="1"/>
    <col min="115" max="115" width="10" style="303" customWidth="1"/>
    <col min="116" max="116" width="10.42578125" style="303" customWidth="1"/>
    <col min="117" max="117" width="14.7109375" style="303" customWidth="1"/>
    <col min="118" max="118" width="11.42578125" style="303" customWidth="1"/>
    <col min="119" max="119" width="10.140625" style="303" customWidth="1"/>
    <col min="120" max="120" width="22" style="303" customWidth="1"/>
    <col min="121" max="121" width="13.85546875" style="303" customWidth="1"/>
    <col min="122" max="122" width="9.85546875" style="303" bestFit="1" customWidth="1"/>
    <col min="123" max="16384" width="9.140625" style="303"/>
  </cols>
  <sheetData>
    <row r="1" spans="1:124" x14ac:dyDescent="0.2">
      <c r="A1" s="310" t="s">
        <v>453</v>
      </c>
      <c r="F1" s="305"/>
      <c r="R1" s="305"/>
      <c r="DO1" s="303" t="s">
        <v>232</v>
      </c>
    </row>
    <row r="2" spans="1:124" x14ac:dyDescent="0.2">
      <c r="A2" s="427" t="s">
        <v>571</v>
      </c>
      <c r="B2" s="313"/>
      <c r="C2" s="313"/>
      <c r="D2" s="313"/>
      <c r="E2" s="313"/>
      <c r="F2" s="313"/>
      <c r="G2" s="313"/>
      <c r="H2" s="313"/>
      <c r="I2" s="313"/>
      <c r="J2" s="313"/>
      <c r="K2" s="313"/>
      <c r="L2" s="313"/>
      <c r="M2" s="313"/>
      <c r="N2" s="313"/>
      <c r="O2" s="313"/>
      <c r="P2" s="313"/>
      <c r="Q2" s="313"/>
      <c r="R2" s="313"/>
      <c r="S2" s="313"/>
      <c r="T2" s="313"/>
      <c r="U2" s="313"/>
      <c r="V2" s="313"/>
      <c r="W2" s="313"/>
      <c r="X2" s="313"/>
      <c r="Y2" s="313"/>
      <c r="Z2" s="313"/>
      <c r="AA2" s="313"/>
      <c r="AB2" s="313"/>
      <c r="AC2" s="313"/>
      <c r="AD2" s="313"/>
      <c r="AE2" s="313"/>
      <c r="AF2" s="313"/>
      <c r="AG2" s="313"/>
      <c r="AH2" s="313"/>
      <c r="AI2" s="313"/>
      <c r="AJ2" s="313"/>
      <c r="AK2" s="313"/>
      <c r="AL2" s="313"/>
      <c r="AM2" s="313"/>
      <c r="AN2" s="313"/>
      <c r="AO2" s="313"/>
      <c r="AP2" s="313"/>
      <c r="AQ2" s="313"/>
      <c r="AR2" s="313"/>
      <c r="AS2" s="313"/>
      <c r="AT2" s="313"/>
      <c r="AU2" s="313"/>
      <c r="AV2" s="313"/>
      <c r="AW2" s="313"/>
      <c r="AX2" s="313"/>
      <c r="AY2" s="313"/>
      <c r="AZ2" s="313"/>
      <c r="BA2" s="313"/>
      <c r="BB2" s="313"/>
      <c r="BC2" s="313"/>
      <c r="BD2" s="313"/>
      <c r="BE2" s="313"/>
      <c r="BF2" s="313"/>
      <c r="BG2" s="313"/>
      <c r="BH2" s="313"/>
      <c r="BI2" s="313"/>
      <c r="BJ2" s="313"/>
      <c r="BK2" s="313"/>
      <c r="BL2" s="313"/>
      <c r="BM2" s="313"/>
      <c r="BN2" s="313"/>
      <c r="BO2" s="313"/>
      <c r="BP2" s="313"/>
      <c r="BQ2" s="313"/>
      <c r="BR2" s="313"/>
      <c r="BS2" s="313"/>
      <c r="BT2" s="313"/>
      <c r="BU2" s="313"/>
      <c r="BV2" s="313"/>
      <c r="BW2" s="313"/>
      <c r="BX2" s="313"/>
      <c r="BY2" s="313"/>
      <c r="BZ2" s="313"/>
      <c r="CA2" s="313"/>
      <c r="CB2" s="313"/>
      <c r="CC2" s="313"/>
      <c r="CD2" s="313"/>
      <c r="CE2" s="313"/>
      <c r="CF2" s="313"/>
      <c r="CG2" s="313"/>
      <c r="CH2" s="313"/>
      <c r="CI2" s="313"/>
      <c r="CJ2" s="313"/>
      <c r="CK2" s="313"/>
      <c r="CL2" s="313"/>
      <c r="CM2" s="313"/>
      <c r="CN2" s="313"/>
      <c r="CO2" s="313"/>
      <c r="CP2" s="313"/>
      <c r="CQ2" s="313"/>
      <c r="CR2" s="313"/>
      <c r="CS2" s="313"/>
      <c r="CT2" s="313"/>
      <c r="CU2" s="313"/>
      <c r="CV2" s="313"/>
      <c r="CW2" s="313"/>
      <c r="CX2" s="313"/>
      <c r="CY2" s="313"/>
      <c r="CZ2" s="313"/>
      <c r="DA2" s="313"/>
      <c r="DB2" s="313"/>
      <c r="DC2" s="313"/>
      <c r="DD2" s="313"/>
      <c r="DE2" s="313"/>
      <c r="DF2" s="313"/>
      <c r="DG2" s="313"/>
      <c r="DH2" s="313"/>
      <c r="DI2" s="313"/>
      <c r="DJ2" s="305"/>
      <c r="DK2" s="305"/>
      <c r="DL2" s="305"/>
      <c r="DM2" s="305"/>
      <c r="DN2" s="305"/>
    </row>
    <row r="3" spans="1:124" x14ac:dyDescent="0.2">
      <c r="A3" s="314" t="s">
        <v>95</v>
      </c>
      <c r="F3" s="305"/>
      <c r="R3" s="305"/>
      <c r="CO3" s="428"/>
      <c r="CQ3" s="429"/>
      <c r="CS3" s="320"/>
      <c r="CU3" s="430"/>
      <c r="CW3" s="320"/>
      <c r="CY3" s="311"/>
      <c r="DA3" s="320"/>
      <c r="DC3" s="430"/>
      <c r="DE3" s="320"/>
      <c r="DG3" s="430"/>
      <c r="DI3" s="320"/>
      <c r="DJ3" s="320"/>
      <c r="DK3" s="320"/>
      <c r="DL3" s="320"/>
      <c r="DM3" s="320"/>
      <c r="DN3" s="320"/>
    </row>
    <row r="4" spans="1:124" ht="12.75" customHeight="1" thickBot="1" x14ac:dyDescent="0.25">
      <c r="A4" s="314" t="s">
        <v>96</v>
      </c>
      <c r="F4" s="305"/>
      <c r="R4" s="305"/>
      <c r="CM4" s="431"/>
      <c r="CN4" s="319"/>
      <c r="CO4" s="432"/>
      <c r="CP4" s="305"/>
      <c r="CQ4" s="433"/>
      <c r="CR4" s="320"/>
      <c r="CS4" s="320"/>
      <c r="CU4" s="320"/>
      <c r="CV4" s="320"/>
      <c r="CW4" s="320"/>
      <c r="CY4" s="320"/>
      <c r="CZ4" s="320"/>
      <c r="DA4" s="320"/>
      <c r="DC4" s="1349"/>
      <c r="DD4" s="1349"/>
      <c r="DE4" s="1349"/>
      <c r="DG4" s="1349"/>
      <c r="DH4" s="1349"/>
      <c r="DI4" s="1349"/>
      <c r="DJ4" s="1115"/>
      <c r="DK4" s="1115"/>
      <c r="DL4" s="1115"/>
      <c r="DM4" s="1290"/>
      <c r="DN4" s="320"/>
      <c r="DO4" s="434"/>
    </row>
    <row r="5" spans="1:124" ht="13.5" thickBot="1" x14ac:dyDescent="0.25">
      <c r="F5" s="305"/>
      <c r="R5" s="305"/>
      <c r="BO5" s="435" t="s">
        <v>361</v>
      </c>
      <c r="BP5" s="436"/>
      <c r="BQ5" s="437"/>
      <c r="CA5" s="438" t="s">
        <v>510</v>
      </c>
      <c r="CB5" s="439"/>
      <c r="CC5" s="318"/>
      <c r="CE5" s="438" t="s">
        <v>360</v>
      </c>
      <c r="CF5" s="438"/>
      <c r="CG5" s="438"/>
      <c r="CM5" s="431"/>
      <c r="CQ5" s="311"/>
      <c r="CS5" s="440"/>
      <c r="CU5" s="441"/>
      <c r="CW5" s="440"/>
      <c r="CY5" s="441"/>
      <c r="DA5" s="440"/>
      <c r="DC5" s="441"/>
      <c r="DE5" s="1292"/>
      <c r="DG5" s="441"/>
      <c r="DI5" s="440"/>
      <c r="DJ5" s="440"/>
      <c r="DK5" s="440"/>
      <c r="DL5" s="440"/>
      <c r="DM5" s="440"/>
      <c r="DN5" s="440"/>
      <c r="DO5" s="434"/>
    </row>
    <row r="6" spans="1:124" x14ac:dyDescent="0.2">
      <c r="C6" s="438">
        <f>G6-1</f>
        <v>1990</v>
      </c>
      <c r="D6" s="442"/>
      <c r="E6" s="442"/>
      <c r="F6" s="305"/>
      <c r="G6" s="438">
        <f>K6-1</f>
        <v>1991</v>
      </c>
      <c r="H6" s="442"/>
      <c r="I6" s="442"/>
      <c r="K6" s="438">
        <f>O6-1</f>
        <v>1992</v>
      </c>
      <c r="L6" s="442"/>
      <c r="M6" s="442"/>
      <c r="O6" s="438">
        <f>S6-1</f>
        <v>1993</v>
      </c>
      <c r="P6" s="442"/>
      <c r="Q6" s="442"/>
      <c r="R6" s="305" t="s">
        <v>232</v>
      </c>
      <c r="S6" s="438">
        <f>W6-1</f>
        <v>1994</v>
      </c>
      <c r="T6" s="442"/>
      <c r="U6" s="442"/>
      <c r="W6" s="438">
        <v>1995</v>
      </c>
      <c r="X6" s="442"/>
      <c r="Y6" s="442"/>
      <c r="AA6" s="438">
        <v>1996</v>
      </c>
      <c r="AB6" s="442"/>
      <c r="AC6" s="442"/>
      <c r="AE6" s="438">
        <f>AA6+1</f>
        <v>1997</v>
      </c>
      <c r="AF6" s="442"/>
      <c r="AG6" s="442"/>
      <c r="AI6" s="438">
        <f>AE6+1</f>
        <v>1998</v>
      </c>
      <c r="AJ6" s="442"/>
      <c r="AK6" s="442"/>
      <c r="AM6" s="438">
        <f>AI6+1</f>
        <v>1999</v>
      </c>
      <c r="AN6" s="442"/>
      <c r="AO6" s="442"/>
      <c r="AQ6" s="438">
        <f>AM6+1</f>
        <v>2000</v>
      </c>
      <c r="AR6" s="442"/>
      <c r="AS6" s="442"/>
      <c r="AU6" s="438">
        <f>AQ6+1</f>
        <v>2001</v>
      </c>
      <c r="AV6" s="442"/>
      <c r="AW6" s="442"/>
      <c r="AY6" s="438">
        <f>AU6+1</f>
        <v>2002</v>
      </c>
      <c r="AZ6" s="442"/>
      <c r="BA6" s="442"/>
      <c r="BC6" s="438">
        <f>AY6+1</f>
        <v>2003</v>
      </c>
      <c r="BD6" s="442"/>
      <c r="BE6" s="442"/>
      <c r="BG6" s="438">
        <v>2004</v>
      </c>
      <c r="BH6" s="442"/>
      <c r="BI6" s="442"/>
      <c r="BK6" s="438">
        <f>BG6+1</f>
        <v>2005</v>
      </c>
      <c r="BL6" s="442"/>
      <c r="BM6" s="442"/>
      <c r="BO6" s="438">
        <f>BK6+1</f>
        <v>2006</v>
      </c>
      <c r="BP6" s="442"/>
      <c r="BQ6" s="442"/>
      <c r="BS6" s="438">
        <f>BO6+1</f>
        <v>2007</v>
      </c>
      <c r="BT6" s="442"/>
      <c r="BU6" s="442"/>
      <c r="BW6" s="438">
        <f>BS6+1</f>
        <v>2008</v>
      </c>
      <c r="BX6" s="442"/>
      <c r="BY6" s="442"/>
      <c r="CA6" s="438">
        <f>BW6+1</f>
        <v>2009</v>
      </c>
      <c r="CB6" s="442"/>
      <c r="CC6" s="442"/>
      <c r="CE6" s="438">
        <f>CA6+1</f>
        <v>2010</v>
      </c>
      <c r="CF6" s="442"/>
      <c r="CG6" s="442"/>
      <c r="CI6" s="438">
        <f>CE6+1</f>
        <v>2011</v>
      </c>
      <c r="CJ6" s="442"/>
      <c r="CK6" s="442"/>
      <c r="CM6" s="438">
        <v>2012</v>
      </c>
      <c r="CN6" s="443"/>
      <c r="CO6" s="443"/>
      <c r="CQ6" s="438">
        <v>2013</v>
      </c>
      <c r="CR6" s="443"/>
      <c r="CS6" s="320"/>
      <c r="CU6" s="438">
        <v>2014</v>
      </c>
      <c r="CV6" s="443"/>
      <c r="CW6" s="320"/>
      <c r="CY6" s="438">
        <v>2015</v>
      </c>
      <c r="CZ6" s="443"/>
      <c r="DA6" s="320"/>
      <c r="DC6" s="438">
        <f>2015+1</f>
        <v>2016</v>
      </c>
      <c r="DD6" s="443"/>
      <c r="DE6" s="320"/>
      <c r="DG6" s="438">
        <f>DC6+1</f>
        <v>2017</v>
      </c>
      <c r="DH6" s="443"/>
      <c r="DI6" s="320"/>
      <c r="DJ6" s="320"/>
      <c r="DK6" s="444">
        <f>2017+1</f>
        <v>2018</v>
      </c>
      <c r="DL6" s="443"/>
      <c r="DM6" s="320"/>
      <c r="DN6" s="320"/>
      <c r="DO6" s="905" t="s">
        <v>567</v>
      </c>
      <c r="DP6" s="906"/>
    </row>
    <row r="7" spans="1:124" ht="11.25" customHeight="1" x14ac:dyDescent="0.2">
      <c r="F7" s="305"/>
      <c r="R7" s="305"/>
      <c r="CS7" s="320"/>
      <c r="CW7" s="320"/>
      <c r="DA7" s="445"/>
      <c r="DE7" s="320"/>
      <c r="DI7" s="320"/>
      <c r="DJ7" s="320"/>
      <c r="DK7" s="320"/>
      <c r="DL7" s="320"/>
      <c r="DM7" s="320"/>
      <c r="DN7" s="320"/>
      <c r="DO7" s="907"/>
      <c r="DP7" s="908"/>
    </row>
    <row r="8" spans="1:124" outlineLevel="1" x14ac:dyDescent="0.2">
      <c r="A8" s="1351" t="s">
        <v>97</v>
      </c>
      <c r="B8" s="1351"/>
      <c r="C8" s="1351"/>
      <c r="D8" s="1351"/>
      <c r="E8" s="1351"/>
      <c r="F8" s="1351"/>
      <c r="G8" s="1351"/>
      <c r="H8" s="1351"/>
      <c r="I8" s="1351"/>
      <c r="J8" s="1351"/>
      <c r="K8" s="1351"/>
      <c r="L8" s="1351"/>
      <c r="M8" s="1351"/>
      <c r="N8" s="1351"/>
      <c r="O8" s="1351"/>
      <c r="P8" s="1351"/>
      <c r="Q8" s="1351"/>
      <c r="R8" s="1351"/>
      <c r="S8" s="1351"/>
      <c r="T8" s="1351"/>
      <c r="U8" s="1351"/>
      <c r="V8" s="1351"/>
      <c r="W8" s="1351"/>
      <c r="X8" s="1351"/>
      <c r="Y8" s="1351"/>
      <c r="Z8" s="1351"/>
      <c r="AA8" s="1351"/>
      <c r="AB8" s="1351"/>
      <c r="AC8" s="1351"/>
      <c r="AD8" s="1351"/>
      <c r="AE8" s="1351"/>
      <c r="AF8" s="1351"/>
      <c r="AG8" s="1351"/>
      <c r="AH8" s="1351"/>
      <c r="AI8" s="1351"/>
      <c r="AJ8" s="1351"/>
      <c r="AK8" s="1351"/>
      <c r="AL8" s="1351"/>
      <c r="AM8" s="1351"/>
      <c r="AN8" s="1351"/>
      <c r="AO8" s="1351"/>
      <c r="AP8" s="1351"/>
      <c r="AQ8" s="1351"/>
      <c r="AR8" s="1351"/>
      <c r="AS8" s="1351"/>
      <c r="AT8" s="1351"/>
      <c r="AU8" s="1351"/>
      <c r="AV8" s="1351"/>
      <c r="AW8" s="1351"/>
      <c r="AX8" s="1351"/>
      <c r="AY8" s="1351"/>
      <c r="AZ8" s="1351"/>
      <c r="BA8" s="1351"/>
      <c r="BB8" s="1351"/>
      <c r="BC8" s="1351"/>
      <c r="BD8" s="1351"/>
      <c r="BE8" s="1351"/>
      <c r="BF8" s="1351"/>
      <c r="BG8" s="1351"/>
      <c r="BH8" s="1351"/>
      <c r="BI8" s="1351"/>
      <c r="BJ8" s="1351"/>
      <c r="BK8" s="1351"/>
      <c r="BL8" s="1351"/>
      <c r="BM8" s="1351"/>
      <c r="BN8" s="1351"/>
      <c r="BO8" s="1351"/>
      <c r="BP8" s="1351"/>
      <c r="BQ8" s="1351"/>
      <c r="BR8" s="1351"/>
      <c r="BS8" s="1351"/>
      <c r="BT8" s="1351"/>
      <c r="BU8" s="1351"/>
      <c r="BV8" s="1351"/>
      <c r="BW8" s="1351"/>
      <c r="BX8" s="1351"/>
      <c r="BY8" s="1351"/>
      <c r="BZ8" s="1351"/>
      <c r="CA8" s="1351"/>
      <c r="CB8" s="1351"/>
      <c r="CC8" s="1351"/>
      <c r="CD8" s="1351"/>
      <c r="CE8" s="1351"/>
      <c r="CF8" s="1351"/>
      <c r="CG8" s="1351"/>
      <c r="CH8" s="1351"/>
      <c r="CI8" s="1351"/>
      <c r="CJ8" s="1351"/>
      <c r="CK8" s="1351"/>
      <c r="CL8" s="1351"/>
      <c r="CM8" s="1351"/>
      <c r="CN8" s="1351"/>
      <c r="CO8" s="1351"/>
      <c r="CP8" s="1351"/>
      <c r="CQ8" s="1351"/>
      <c r="CR8" s="1351"/>
      <c r="CS8" s="318"/>
      <c r="CT8" s="318"/>
      <c r="CU8" s="446"/>
      <c r="CV8" s="318"/>
      <c r="CW8" s="318"/>
      <c r="CX8" s="318"/>
      <c r="CY8" s="447" t="s">
        <v>97</v>
      </c>
      <c r="CZ8" s="447"/>
      <c r="DA8" s="447"/>
      <c r="DB8" s="447"/>
      <c r="DC8" s="447"/>
      <c r="DD8" s="447"/>
      <c r="DE8" s="447"/>
      <c r="DF8" s="447"/>
      <c r="DG8" s="447"/>
      <c r="DH8" s="447"/>
      <c r="DI8" s="447"/>
      <c r="DJ8" s="447"/>
      <c r="DK8" s="447"/>
      <c r="DL8" s="447"/>
      <c r="DM8" s="447"/>
      <c r="DN8" s="447"/>
      <c r="DO8" s="909"/>
      <c r="DP8" s="910"/>
    </row>
    <row r="9" spans="1:124" outlineLevel="1" x14ac:dyDescent="0.2">
      <c r="F9" s="305"/>
      <c r="R9" s="305"/>
      <c r="CM9" s="320"/>
      <c r="DA9" s="445"/>
      <c r="DE9" s="461"/>
      <c r="DO9" s="911" t="s">
        <v>559</v>
      </c>
      <c r="DP9" s="912" t="s">
        <v>560</v>
      </c>
    </row>
    <row r="10" spans="1:124" outlineLevel="1" x14ac:dyDescent="0.2">
      <c r="A10" s="448" t="s">
        <v>89</v>
      </c>
      <c r="C10" s="449">
        <v>161.37200000000001</v>
      </c>
      <c r="D10" s="450" t="s">
        <v>94</v>
      </c>
      <c r="E10" s="451" t="s">
        <v>94</v>
      </c>
      <c r="F10" s="305"/>
      <c r="G10" s="449">
        <v>191.126</v>
      </c>
      <c r="H10" s="450">
        <f>(G10/C10-1)*100</f>
        <v>18.438142924423072</v>
      </c>
      <c r="I10" s="451">
        <v>15.526795841209831</v>
      </c>
      <c r="K10" s="449">
        <v>211.6</v>
      </c>
      <c r="L10" s="450">
        <f>(K10/G10-1)*100</f>
        <v>10.712304971589415</v>
      </c>
      <c r="M10" s="451">
        <v>0.1</v>
      </c>
      <c r="O10" s="449">
        <v>250.2</v>
      </c>
      <c r="P10" s="450">
        <f>(O10/K10-1)*100</f>
        <v>18.241965973534981</v>
      </c>
      <c r="Q10" s="451">
        <v>8.9</v>
      </c>
      <c r="R10" s="305"/>
      <c r="S10" s="449">
        <v>307.8</v>
      </c>
      <c r="T10" s="450">
        <f>(S10/O10-1)*100</f>
        <v>23.021582733812963</v>
      </c>
      <c r="U10" s="451">
        <v>12.3</v>
      </c>
      <c r="W10" s="449">
        <v>368.4</v>
      </c>
      <c r="X10" s="450">
        <f>(W10/S10-1)*100</f>
        <v>19.688109161793356</v>
      </c>
      <c r="Y10" s="451">
        <v>3.4</v>
      </c>
      <c r="AA10" s="449">
        <v>468.7</v>
      </c>
      <c r="AB10" s="450">
        <f>(AA10/W10-1)*100</f>
        <v>27.225841476655809</v>
      </c>
      <c r="AC10" s="451">
        <v>9.6</v>
      </c>
      <c r="AE10" s="449">
        <v>600.54700000000003</v>
      </c>
      <c r="AF10" s="450">
        <f>(AE10/AA10-1)*100</f>
        <v>28.130360571794345</v>
      </c>
      <c r="AG10" s="451">
        <v>9.2810309601080352</v>
      </c>
      <c r="AI10" s="449">
        <v>744.6</v>
      </c>
      <c r="AJ10" s="450">
        <f>(AI10/AE10-1)*100</f>
        <v>23.986965216710754</v>
      </c>
      <c r="AK10" s="451">
        <v>11.64488315874295</v>
      </c>
      <c r="AM10" s="449">
        <v>910.3</v>
      </c>
      <c r="AN10" s="450">
        <f>(AM10/AI10-1)*100</f>
        <v>22.2535589578297</v>
      </c>
      <c r="AO10" s="451">
        <v>10.8</v>
      </c>
      <c r="AQ10" s="449">
        <v>1228.7</v>
      </c>
      <c r="AR10" s="450">
        <f>(AQ10/AM10-1)*100</f>
        <v>34.977479951664293</v>
      </c>
      <c r="AS10" s="451">
        <v>7.1052331732725653</v>
      </c>
      <c r="AU10" s="449">
        <v>1488.3</v>
      </c>
      <c r="AV10" s="450">
        <f>(AU10/AQ10-1)*100</f>
        <v>21.128021486123536</v>
      </c>
      <c r="AW10" s="451">
        <v>5.3</v>
      </c>
      <c r="AY10" s="449">
        <v>1870.5</v>
      </c>
      <c r="AZ10" s="450">
        <f>(AY10/AU10-1)*100</f>
        <v>25.680306389840759</v>
      </c>
      <c r="BA10" s="451">
        <v>9.1</v>
      </c>
      <c r="BC10" s="449">
        <v>2117.6999999999998</v>
      </c>
      <c r="BD10" s="450">
        <f>(BC10/AY10-1)*100</f>
        <v>13.21571772253407</v>
      </c>
      <c r="BE10" s="451">
        <v>-2.4</v>
      </c>
      <c r="BG10" s="449">
        <v>2380.1999999999998</v>
      </c>
      <c r="BH10" s="450">
        <f>(BG10/BC10-1)*100</f>
        <v>12.395523445247214</v>
      </c>
      <c r="BI10" s="451">
        <v>-0.1</v>
      </c>
      <c r="BK10" s="449">
        <v>2742.8</v>
      </c>
      <c r="BL10" s="450">
        <f>(BK10/BG10-1)*100</f>
        <v>15.234013948407711</v>
      </c>
      <c r="BM10" s="451">
        <v>3.7</v>
      </c>
      <c r="BO10" s="449">
        <v>3184.7</v>
      </c>
      <c r="BP10" s="450">
        <f>(BO10/BK10-1)*100</f>
        <v>16.111273151523985</v>
      </c>
      <c r="BQ10" s="451">
        <v>6.9</v>
      </c>
      <c r="BS10" s="449">
        <v>3572</v>
      </c>
      <c r="BT10" s="450">
        <f>(BS10/BO10-1)*100</f>
        <v>12.161271077338531</v>
      </c>
      <c r="BU10" s="451">
        <v>3.9</v>
      </c>
      <c r="BW10" s="449">
        <v>3624.259</v>
      </c>
      <c r="BX10" s="450">
        <f>(BW10/BS10-1)*100</f>
        <v>1.463017917133258</v>
      </c>
      <c r="BY10" s="451">
        <v>-6.7</v>
      </c>
      <c r="CA10" s="449">
        <v>3638</v>
      </c>
      <c r="CB10" s="450">
        <f>(CA10/BW10-1)*100</f>
        <v>0.37913957032320589</v>
      </c>
      <c r="CC10" s="451">
        <v>-4.2</v>
      </c>
      <c r="CE10" s="449">
        <v>4035</v>
      </c>
      <c r="CF10" s="450">
        <f>(CE10/CA10-1)*100</f>
        <v>10.91258933479935</v>
      </c>
      <c r="CG10" s="451">
        <v>7.4</v>
      </c>
      <c r="CI10" s="449">
        <v>4162</v>
      </c>
      <c r="CJ10" s="450">
        <f>(CI10/CE10-1)*100</f>
        <v>3.1474597273853711</v>
      </c>
      <c r="CK10" s="451">
        <v>1.3</v>
      </c>
      <c r="CM10" s="449">
        <v>4243</v>
      </c>
      <c r="CN10" s="450">
        <f>(CM10/CI10-1)*100</f>
        <v>1.9461797212878329</v>
      </c>
      <c r="CO10" s="451">
        <v>0.2</v>
      </c>
      <c r="CQ10" s="449">
        <f>qtrSales!S172</f>
        <v>4199</v>
      </c>
      <c r="CR10" s="450">
        <f>(CQ10/CM10-1)*100</f>
        <v>-1.0370021211407066</v>
      </c>
      <c r="CS10" s="451">
        <f>qtrSales!F172</f>
        <v>-1.9</v>
      </c>
      <c r="CU10" s="449">
        <f>qtrSales!$S179</f>
        <v>4070</v>
      </c>
      <c r="CV10" s="450">
        <f>(CU10/CQ10-1)*100</f>
        <v>-3.0721600381043102</v>
      </c>
      <c r="CW10" s="451">
        <f>qtrSales!$F179</f>
        <v>-3.4</v>
      </c>
      <c r="CY10" s="449">
        <f>qtrSales!$S186</f>
        <v>4123</v>
      </c>
      <c r="CZ10" s="450">
        <f>(CY10/CU10-1)*100</f>
        <v>1.3022113022113091</v>
      </c>
      <c r="DA10" s="451">
        <v>1.4</v>
      </c>
      <c r="DC10" s="449">
        <f>qtrSales!S193</f>
        <v>3972</v>
      </c>
      <c r="DD10" s="450">
        <f>(DC10/CY10-1)*100</f>
        <v>-3.6623817608537501</v>
      </c>
      <c r="DE10" s="451">
        <f>qtrSales!F193</f>
        <v>-3.9</v>
      </c>
      <c r="DG10" s="1107">
        <f>qtrSales!S200</f>
        <v>3843</v>
      </c>
      <c r="DH10" s="450">
        <f>(DG10/DC10-1)*100</f>
        <v>-3.2477341389728132</v>
      </c>
      <c r="DI10" s="451">
        <f>qtrSales!F200</f>
        <v>-2.7</v>
      </c>
      <c r="DJ10" s="451"/>
      <c r="DK10" s="1107">
        <f>qtrSales!S207</f>
        <v>3975.9677999999999</v>
      </c>
      <c r="DL10" s="450">
        <f>(DK10/DG10-1)*100</f>
        <v>3.4599999999999964</v>
      </c>
      <c r="DM10" s="451">
        <f>qtrSales!F207</f>
        <v>3</v>
      </c>
      <c r="DN10" s="451"/>
      <c r="DO10" s="1264">
        <f>DI10+DM10</f>
        <v>0.29999999999999982</v>
      </c>
      <c r="DP10" s="1267">
        <f>DE10+DI10+DA10</f>
        <v>-5.1999999999999993</v>
      </c>
      <c r="DS10" s="303">
        <v>-8</v>
      </c>
      <c r="DT10" s="303">
        <f>DR10*DS10</f>
        <v>0</v>
      </c>
    </row>
    <row r="11" spans="1:124" outlineLevel="1" x14ac:dyDescent="0.2">
      <c r="A11" s="448" t="s">
        <v>90</v>
      </c>
      <c r="C11" s="453">
        <v>156.04499999999999</v>
      </c>
      <c r="D11" s="450" t="s">
        <v>94</v>
      </c>
      <c r="E11" s="451" t="s">
        <v>94</v>
      </c>
      <c r="F11" s="305"/>
      <c r="G11" s="453">
        <v>178.6</v>
      </c>
      <c r="H11" s="450">
        <f>(G11/C11-1)*100</f>
        <v>14.454163862988256</v>
      </c>
      <c r="I11" s="451">
        <v>11.151231802911536</v>
      </c>
      <c r="K11" s="453">
        <v>217.6</v>
      </c>
      <c r="L11" s="450">
        <f>(K11/G11-1)*100</f>
        <v>21.836506159014558</v>
      </c>
      <c r="M11" s="451">
        <v>10.9</v>
      </c>
      <c r="O11" s="453">
        <v>257.39999999999998</v>
      </c>
      <c r="P11" s="450">
        <f>(O11/K11-1)*100</f>
        <v>18.290441176470583</v>
      </c>
      <c r="Q11" s="451">
        <v>8.1999999999999993</v>
      </c>
      <c r="R11" s="305"/>
      <c r="S11" s="453">
        <v>292.39999999999998</v>
      </c>
      <c r="T11" s="450">
        <f>(S11/O11-1)*100</f>
        <v>13.597513597513601</v>
      </c>
      <c r="U11" s="451">
        <v>5.4</v>
      </c>
      <c r="W11" s="453">
        <v>363.3</v>
      </c>
      <c r="X11" s="450">
        <f>(W11/S11-1)*100</f>
        <v>24.247606019151856</v>
      </c>
      <c r="Y11" s="451">
        <v>8.4</v>
      </c>
      <c r="AA11" s="453">
        <v>474.6</v>
      </c>
      <c r="AB11" s="450">
        <f>(AA11/W11-1)*100</f>
        <v>30.635838150289029</v>
      </c>
      <c r="AC11" s="451">
        <v>10.4</v>
      </c>
      <c r="AE11" s="453">
        <v>623.93700000000001</v>
      </c>
      <c r="AF11" s="450">
        <f>(AE11/AA11-1)*100</f>
        <v>31.465865992414656</v>
      </c>
      <c r="AG11" s="451">
        <v>10.6</v>
      </c>
      <c r="AI11" s="453">
        <v>758.75</v>
      </c>
      <c r="AJ11" s="450">
        <f>(AI11/AE11-1)*100</f>
        <v>21.606828894583895</v>
      </c>
      <c r="AK11" s="451">
        <v>10.4</v>
      </c>
      <c r="AM11" s="453">
        <v>939.5</v>
      </c>
      <c r="AN11" s="450">
        <f>(AM11/AI11-1)*100</f>
        <v>23.822075782537077</v>
      </c>
      <c r="AO11" s="451">
        <v>8.8000000000000007</v>
      </c>
      <c r="AQ11" s="453">
        <v>1255.4000000000001</v>
      </c>
      <c r="AR11" s="450">
        <f>(AQ11/AM11-1)*100</f>
        <v>33.624268227780753</v>
      </c>
      <c r="AS11" s="451">
        <v>7.1</v>
      </c>
      <c r="AU11" s="453">
        <v>1515.8</v>
      </c>
      <c r="AV11" s="450">
        <f>(AU11/AQ11-1)*100</f>
        <v>20.742392862832549</v>
      </c>
      <c r="AW11" s="451">
        <v>5.4</v>
      </c>
      <c r="AY11" s="453">
        <v>1921.9</v>
      </c>
      <c r="AZ11" s="450">
        <f>(AY11/AU11-1)*100</f>
        <v>26.791133394906996</v>
      </c>
      <c r="BA11" s="451">
        <v>10.6</v>
      </c>
      <c r="BC11" s="453">
        <v>2208.4</v>
      </c>
      <c r="BD11" s="450">
        <f>(BC11/AY11-1)*100</f>
        <v>14.907123159373526</v>
      </c>
      <c r="BE11" s="451">
        <v>1.2562805651150155</v>
      </c>
      <c r="BG11" s="453">
        <v>2497.9</v>
      </c>
      <c r="BH11" s="450">
        <f>(BG11/BC11-1)*100</f>
        <v>13.109038217714186</v>
      </c>
      <c r="BI11" s="451">
        <v>-1.2</v>
      </c>
      <c r="BK11" s="453">
        <v>2888.1</v>
      </c>
      <c r="BL11" s="450">
        <f>(BK11/BG11-1)*100</f>
        <v>15.621121742263488</v>
      </c>
      <c r="BM11" s="451">
        <v>5.4554620684879342</v>
      </c>
      <c r="BO11" s="453">
        <v>3301.5070000000001</v>
      </c>
      <c r="BP11" s="450">
        <f>(BO11/BK11-1)*100</f>
        <v>14.314151172050838</v>
      </c>
      <c r="BQ11" s="451">
        <v>5.5095991012589103</v>
      </c>
      <c r="BS11" s="453">
        <v>3589.2</v>
      </c>
      <c r="BT11" s="450">
        <f>(BS11/BO11-1)*100</f>
        <v>8.7139903080623462</v>
      </c>
      <c r="BU11" s="451">
        <v>1.3</v>
      </c>
      <c r="BW11" s="453">
        <v>3725.49</v>
      </c>
      <c r="BX11" s="450">
        <f>(BW11/BS11-1)*100</f>
        <v>3.797225008358418</v>
      </c>
      <c r="BY11" s="451">
        <v>-4.5999999999999996</v>
      </c>
      <c r="CA11" s="453">
        <v>3806</v>
      </c>
      <c r="CB11" s="450">
        <f>(CA11/BW11-1)*100</f>
        <v>2.1610580084767461</v>
      </c>
      <c r="CC11" s="451">
        <v>-2.2999999999999998</v>
      </c>
      <c r="CE11" s="453">
        <v>4100</v>
      </c>
      <c r="CF11" s="450">
        <f>(CE11/CA11-1)*100</f>
        <v>7.7246452968996238</v>
      </c>
      <c r="CG11" s="451">
        <v>4.5999999999999996</v>
      </c>
      <c r="CI11" s="453">
        <v>4248</v>
      </c>
      <c r="CJ11" s="450">
        <f>(CI11/CE11-1)*100</f>
        <v>3.6097560975609788</v>
      </c>
      <c r="CK11" s="451">
        <v>1.9</v>
      </c>
      <c r="CM11" s="453">
        <v>4205</v>
      </c>
      <c r="CN11" s="450">
        <f>(CM11/CI11-1)*100</f>
        <v>-1.0122410546139382</v>
      </c>
      <c r="CO11" s="451">
        <v>-2.7</v>
      </c>
      <c r="CQ11" s="453">
        <f>qtrSales!S173</f>
        <v>4289</v>
      </c>
      <c r="CR11" s="450">
        <f>(CQ11/CM11-1)*100</f>
        <v>1.9976218787158162</v>
      </c>
      <c r="CS11" s="451">
        <f>qtrSales!F173</f>
        <v>0.9</v>
      </c>
      <c r="CU11" s="453">
        <f>qtrSales!$S180</f>
        <v>4242</v>
      </c>
      <c r="CV11" s="450">
        <f>(CU11/CQ11-1)*100</f>
        <v>-1.095826532991373</v>
      </c>
      <c r="CW11" s="451">
        <f>qtrSales!$F180</f>
        <v>-1.3</v>
      </c>
      <c r="CY11" s="453">
        <f>qtrSales!$S187</f>
        <v>4267</v>
      </c>
      <c r="CZ11" s="450">
        <f>(CY11/CU11-1)*100</f>
        <v>0.58934464875060044</v>
      </c>
      <c r="DA11" s="451">
        <f>qtrSales!$F187</f>
        <v>0.1</v>
      </c>
      <c r="DC11" s="453">
        <f>qtrSales!S194</f>
        <v>4182</v>
      </c>
      <c r="DD11" s="450">
        <f>(DC11/CY11-1)*100</f>
        <v>-1.9920318725099584</v>
      </c>
      <c r="DE11" s="451">
        <f>qtrSales!F194</f>
        <v>-1.8</v>
      </c>
      <c r="DG11" s="1020">
        <f>qtrSales!S201</f>
        <v>4144</v>
      </c>
      <c r="DH11" s="450">
        <f>(DG11/DC11-1)*100</f>
        <v>-0.90865614538497841</v>
      </c>
      <c r="DI11" s="451">
        <f>qtrSales!F201</f>
        <v>-0.4</v>
      </c>
      <c r="DJ11" s="451"/>
      <c r="DK11" s="1020">
        <f>qtrSales!S208</f>
        <v>4175.4944000000005</v>
      </c>
      <c r="DL11" s="450">
        <f>(DK11/DG11-1)*100</f>
        <v>0.76000000000000512</v>
      </c>
      <c r="DM11" s="451">
        <f>qtrSales!F208</f>
        <v>1</v>
      </c>
      <c r="DN11" s="1106"/>
      <c r="DO11" s="1264">
        <f>DI11+DM11</f>
        <v>0.6</v>
      </c>
      <c r="DP11" s="1267">
        <f>DE11+DI11+DA11</f>
        <v>-2.1</v>
      </c>
      <c r="DS11" s="303">
        <v>-0.8</v>
      </c>
      <c r="DT11" s="303">
        <f>DR11*DS11</f>
        <v>0</v>
      </c>
    </row>
    <row r="12" spans="1:124" outlineLevel="1" x14ac:dyDescent="0.2">
      <c r="A12" s="448" t="s">
        <v>91</v>
      </c>
      <c r="C12" s="453">
        <v>199.64400000000001</v>
      </c>
      <c r="D12" s="450" t="s">
        <v>94</v>
      </c>
      <c r="E12" s="451" t="s">
        <v>94</v>
      </c>
      <c r="F12" s="305"/>
      <c r="G12" s="453">
        <v>239.6</v>
      </c>
      <c r="H12" s="450">
        <f>(G12/C12-1)*100</f>
        <v>20.013624251167062</v>
      </c>
      <c r="I12" s="451">
        <v>12.907095158597659</v>
      </c>
      <c r="K12" s="453">
        <v>285.2</v>
      </c>
      <c r="L12" s="450">
        <f>(K12/G12-1)*100</f>
        <v>19.031719532554249</v>
      </c>
      <c r="M12" s="451">
        <v>16.399999999999999</v>
      </c>
      <c r="O12" s="453">
        <v>340.9</v>
      </c>
      <c r="P12" s="450">
        <f>(O12/K12-1)*100</f>
        <v>19.530154277699864</v>
      </c>
      <c r="Q12" s="451">
        <v>8.8000000000000007</v>
      </c>
      <c r="R12" s="305"/>
      <c r="S12" s="453">
        <v>389.5</v>
      </c>
      <c r="T12" s="450">
        <f>(S12/O12-1)*100</f>
        <v>14.256380170137884</v>
      </c>
      <c r="U12" s="451">
        <v>1.8</v>
      </c>
      <c r="W12" s="453">
        <v>486.7</v>
      </c>
      <c r="X12" s="450">
        <f>(W12/S12-1)*100</f>
        <v>24.955070603337614</v>
      </c>
      <c r="Y12" s="451">
        <v>5.5</v>
      </c>
      <c r="AA12" s="453">
        <v>598.20000000000005</v>
      </c>
      <c r="AB12" s="450">
        <f>(AA12/W12-1)*100</f>
        <v>22.909389767824131</v>
      </c>
      <c r="AC12" s="451">
        <v>10.8</v>
      </c>
      <c r="AE12" s="453">
        <v>757.8</v>
      </c>
      <c r="AF12" s="450">
        <f>(AE12/AA12-1)*100</f>
        <v>26.68004012036107</v>
      </c>
      <c r="AG12" s="451">
        <v>10.6</v>
      </c>
      <c r="AI12" s="453">
        <v>888.85</v>
      </c>
      <c r="AJ12" s="450">
        <f>(AI12/AE12-1)*100</f>
        <v>17.293481129585643</v>
      </c>
      <c r="AK12" s="451">
        <v>4.32048714631265</v>
      </c>
      <c r="AM12" s="453">
        <v>1099.68</v>
      </c>
      <c r="AN12" s="450">
        <f>(AM12/AI12-1)*100</f>
        <v>23.719412724306686</v>
      </c>
      <c r="AO12" s="451">
        <v>6.939858868034336</v>
      </c>
      <c r="AQ12" s="453">
        <v>1445</v>
      </c>
      <c r="AR12" s="450">
        <f>(AQ12/AM12-1)*100</f>
        <v>31.401862359959253</v>
      </c>
      <c r="AS12" s="451">
        <v>9.4762145328719729</v>
      </c>
      <c r="AU12" s="453">
        <v>1760.346</v>
      </c>
      <c r="AV12" s="450">
        <f>(AU12/AQ12-1)*100</f>
        <v>21.823252595155719</v>
      </c>
      <c r="AW12" s="451">
        <v>7.1</v>
      </c>
      <c r="AY12" s="453">
        <v>2143.4</v>
      </c>
      <c r="AZ12" s="450">
        <f>(AY12/AU12-1)*100</f>
        <v>21.760153969730965</v>
      </c>
      <c r="BA12" s="451">
        <v>5.9</v>
      </c>
      <c r="BC12" s="453">
        <v>2394</v>
      </c>
      <c r="BD12" s="450">
        <f>(BC12/AY12-1)*100</f>
        <v>11.691704768125399</v>
      </c>
      <c r="BE12" s="451">
        <v>-1.3</v>
      </c>
      <c r="BG12" s="453">
        <v>2743.9</v>
      </c>
      <c r="BH12" s="450">
        <f>(BG12/BC12-1)*100</f>
        <v>14.615705931495416</v>
      </c>
      <c r="BI12" s="451">
        <v>1.4420168373482998</v>
      </c>
      <c r="BK12" s="453">
        <v>3119.4</v>
      </c>
      <c r="BL12" s="450">
        <f>(BK12/BG12-1)*100</f>
        <v>13.68490105324538</v>
      </c>
      <c r="BM12" s="451">
        <v>3.5</v>
      </c>
      <c r="BO12" s="453">
        <v>3650.4940000000001</v>
      </c>
      <c r="BP12" s="450">
        <f>(BO12/BK12-1)*100</f>
        <v>17.025517727768168</v>
      </c>
      <c r="BQ12" s="451">
        <v>8.5</v>
      </c>
      <c r="BS12" s="453">
        <v>3825.2</v>
      </c>
      <c r="BT12" s="450">
        <f>(BS12/BO12-1)*100</f>
        <v>4.7858180290119456</v>
      </c>
      <c r="BU12" s="451">
        <v>-2.5683781240196586</v>
      </c>
      <c r="BW12" s="453">
        <v>3803.6489999999999</v>
      </c>
      <c r="BX12" s="450">
        <f>(BW12/BS12-1)*100</f>
        <v>-0.56339537801944894</v>
      </c>
      <c r="BY12" s="451">
        <v>-6.7</v>
      </c>
      <c r="CA12" s="453">
        <v>4051</v>
      </c>
      <c r="CB12" s="450">
        <f>(CA12/BW12-1)*100</f>
        <v>6.5029922582236166</v>
      </c>
      <c r="CC12" s="451">
        <v>2.4</v>
      </c>
      <c r="CE12" s="453">
        <v>4218</v>
      </c>
      <c r="CF12" s="450">
        <f>(CE12/CA12-1)*100</f>
        <v>4.1224389039743237</v>
      </c>
      <c r="CG12" s="451">
        <v>1.8</v>
      </c>
      <c r="CI12" s="453">
        <v>4376</v>
      </c>
      <c r="CJ12" s="450">
        <f>(CI12/CE12-1)*100</f>
        <v>3.7458511142721695</v>
      </c>
      <c r="CK12" s="451">
        <v>2.1</v>
      </c>
      <c r="CM12" s="453">
        <v>4490</v>
      </c>
      <c r="CN12" s="450">
        <f>(CM12/CI12-1)*100</f>
        <v>2.6051188299817118</v>
      </c>
      <c r="CO12" s="451">
        <v>1.1000000000000001</v>
      </c>
      <c r="CQ12" s="453">
        <f>qtrSales!S174</f>
        <v>4444</v>
      </c>
      <c r="CR12" s="450">
        <f>(CQ12/CM12-1)*100</f>
        <v>-1.024498886414249</v>
      </c>
      <c r="CS12" s="451">
        <f>qtrSales!F174</f>
        <v>-1.6</v>
      </c>
      <c r="CU12" s="453">
        <f>qtrSales!$S181</f>
        <v>4374</v>
      </c>
      <c r="CV12" s="450">
        <f>(CU12/CQ12-1)*100</f>
        <v>-1.5751575157515796</v>
      </c>
      <c r="CW12" s="451">
        <f>qtrSales!$F181</f>
        <v>-1.8</v>
      </c>
      <c r="CY12" s="453">
        <f>qtrSales!$S188</f>
        <v>4427</v>
      </c>
      <c r="CZ12" s="450">
        <f>(CY12/CU12-1)*100</f>
        <v>1.2117055326931858</v>
      </c>
      <c r="DA12" s="451">
        <f>qtrSales!$F188</f>
        <v>1</v>
      </c>
      <c r="DC12" s="453">
        <f>qtrSales!S195</f>
        <v>4327</v>
      </c>
      <c r="DD12" s="450">
        <f>(DC12/CY12-1)*100</f>
        <v>-2.2588660492432799</v>
      </c>
      <c r="DE12" s="451">
        <f>qtrSales!F195</f>
        <v>-1.7</v>
      </c>
      <c r="DG12" s="1020">
        <f>qtrSales!S202</f>
        <v>4332</v>
      </c>
      <c r="DH12" s="450">
        <f>(DG12/DC12-1)*100</f>
        <v>0.11555350127108177</v>
      </c>
      <c r="DI12" s="1237">
        <f>qtrSales!F202</f>
        <v>0.1</v>
      </c>
      <c r="DJ12" s="1015"/>
      <c r="DK12" s="1020">
        <f>qtrSales!S209</f>
        <v>4276.3337999999994</v>
      </c>
      <c r="DL12" s="450">
        <f>(DK12/DG12-1)*100</f>
        <v>-1.2850000000000139</v>
      </c>
      <c r="DM12" s="1237">
        <f>qtrSales!F209</f>
        <v>-0.54</v>
      </c>
      <c r="DN12" s="451"/>
      <c r="DO12" s="1264">
        <f>DI12+DM12</f>
        <v>-0.44000000000000006</v>
      </c>
      <c r="DP12" s="1267">
        <f>DE12+DI12+DA12</f>
        <v>-0.59999999999999987</v>
      </c>
      <c r="DT12" s="303">
        <f>SUM(DT10:DT11)</f>
        <v>0</v>
      </c>
    </row>
    <row r="13" spans="1:124" outlineLevel="1" x14ac:dyDescent="0.2">
      <c r="A13" s="448" t="s">
        <v>92</v>
      </c>
      <c r="C13" s="455">
        <v>272.73399999999998</v>
      </c>
      <c r="D13" s="450" t="s">
        <v>94</v>
      </c>
      <c r="E13" s="451">
        <v>8.1999999999999993</v>
      </c>
      <c r="F13" s="305"/>
      <c r="G13" s="455">
        <v>321.10000000000002</v>
      </c>
      <c r="H13" s="450">
        <f>(G13/C13-1)*100</f>
        <v>17.733762567190038</v>
      </c>
      <c r="I13" s="451">
        <v>6.2896916848333841</v>
      </c>
      <c r="K13" s="455">
        <v>379.4</v>
      </c>
      <c r="L13" s="450">
        <f>(K13/G13-1)*100</f>
        <v>18.156337589535966</v>
      </c>
      <c r="M13" s="451">
        <v>12.1</v>
      </c>
      <c r="O13" s="455">
        <v>457.1</v>
      </c>
      <c r="P13" s="450">
        <f>(O13/K13-1)*100</f>
        <v>20.479704797047994</v>
      </c>
      <c r="Q13" s="451">
        <v>8.5</v>
      </c>
      <c r="R13" s="305"/>
      <c r="S13" s="455">
        <v>564.34</v>
      </c>
      <c r="T13" s="450">
        <f>(S13/O13-1)*100</f>
        <v>23.460949464012248</v>
      </c>
      <c r="U13" s="451">
        <v>6.6</v>
      </c>
      <c r="W13" s="455">
        <v>707</v>
      </c>
      <c r="X13" s="450">
        <f>(W13/S13-1)*100</f>
        <v>25.279087075167439</v>
      </c>
      <c r="Y13" s="451">
        <v>7.2</v>
      </c>
      <c r="AA13" s="455">
        <v>847</v>
      </c>
      <c r="AB13" s="450">
        <f>(AA13/W13-1)*100</f>
        <v>19.801980198019798</v>
      </c>
      <c r="AC13" s="451">
        <v>17.399999999999999</v>
      </c>
      <c r="AE13" s="455">
        <v>1077.8</v>
      </c>
      <c r="AF13" s="450">
        <f>(AE13/AA13-1)*100</f>
        <v>27.2491145218418</v>
      </c>
      <c r="AG13" s="451">
        <v>9.8478706624605685</v>
      </c>
      <c r="AI13" s="455">
        <v>1289.5</v>
      </c>
      <c r="AJ13" s="450">
        <f>(AI13/AE13-1)*100</f>
        <v>19.641863054370013</v>
      </c>
      <c r="AK13" s="451">
        <v>6.395509887553315</v>
      </c>
      <c r="AM13" s="455">
        <v>1607.5</v>
      </c>
      <c r="AN13" s="450">
        <f>(AM13/AI13-1)*100</f>
        <v>24.660721209771232</v>
      </c>
      <c r="AO13" s="451">
        <v>7.0999129082426133</v>
      </c>
      <c r="AQ13" s="455">
        <v>2223.1</v>
      </c>
      <c r="AR13" s="450">
        <f>(AQ13/AM13-1)*100</f>
        <v>38.29548989113529</v>
      </c>
      <c r="AS13" s="451">
        <v>12.420237506185055</v>
      </c>
      <c r="AU13" s="455">
        <v>2724.2</v>
      </c>
      <c r="AV13" s="450">
        <f>(AU13/AQ13-1)*100</f>
        <v>22.540596464396568</v>
      </c>
      <c r="AW13" s="451">
        <v>10.1</v>
      </c>
      <c r="AY13" s="455">
        <v>3184.4</v>
      </c>
      <c r="AZ13" s="450">
        <f>(AY13/AU13-1)*100</f>
        <v>16.893032816973808</v>
      </c>
      <c r="BA13" s="451">
        <v>1.2</v>
      </c>
      <c r="BC13" s="455">
        <v>3561.9</v>
      </c>
      <c r="BD13" s="450">
        <f>(BC13/AY13-1)*100</f>
        <v>11.854666499183519</v>
      </c>
      <c r="BE13" s="451">
        <v>-2.041056739380668</v>
      </c>
      <c r="BG13" s="455">
        <v>4078.7</v>
      </c>
      <c r="BH13" s="450">
        <f>(BG13/BC13-1)*100</f>
        <v>14.509110306297202</v>
      </c>
      <c r="BI13" s="451">
        <v>1.3887733836761713</v>
      </c>
      <c r="BK13" s="455">
        <v>4651.8999999999996</v>
      </c>
      <c r="BL13" s="450">
        <f>(BK13/BG13-1)*100</f>
        <v>14.053497437909135</v>
      </c>
      <c r="BM13" s="451">
        <v>2.7128076699843078</v>
      </c>
      <c r="BO13" s="455">
        <v>5448.6</v>
      </c>
      <c r="BP13" s="450">
        <f>(BO13/BK13-1)*100</f>
        <v>17.126335475827091</v>
      </c>
      <c r="BQ13" s="451">
        <v>4.0999999999999996</v>
      </c>
      <c r="BS13" s="455">
        <v>5487.3</v>
      </c>
      <c r="BT13" s="450">
        <f>(BS13/BO13-1)*100</f>
        <v>0.71027419887677024</v>
      </c>
      <c r="BU13" s="451">
        <v>-4</v>
      </c>
      <c r="BW13" s="455">
        <v>5235</v>
      </c>
      <c r="BX13" s="450">
        <f>(BW13/BS13-1)*100</f>
        <v>-4.5978896725165423</v>
      </c>
      <c r="BY13" s="451">
        <v>-9.1</v>
      </c>
      <c r="CA13" s="455">
        <v>5683</v>
      </c>
      <c r="CB13" s="450">
        <f>(CA13/BW13-1)*100</f>
        <v>8.5577841451766936</v>
      </c>
      <c r="CC13" s="451">
        <v>4.5</v>
      </c>
      <c r="CE13" s="455">
        <v>6038</v>
      </c>
      <c r="CF13" s="450">
        <f>(CE13/CA13-1)*100</f>
        <v>6.2467006862572561</v>
      </c>
      <c r="CG13" s="451">
        <v>4.3</v>
      </c>
      <c r="CI13" s="455">
        <v>6018</v>
      </c>
      <c r="CJ13" s="450">
        <f>(CI13/CE13-1)*100</f>
        <v>-0.33123550844650351</v>
      </c>
      <c r="CK13" s="451">
        <v>-2.1</v>
      </c>
      <c r="CM13" s="455">
        <v>6342</v>
      </c>
      <c r="CN13" s="450">
        <f>(CM13/CI13-1)*100</f>
        <v>5.3838484546360865</v>
      </c>
      <c r="CO13" s="451">
        <v>1.9</v>
      </c>
      <c r="CQ13" s="455">
        <f>qtrSales!S175</f>
        <v>6099</v>
      </c>
      <c r="CR13" s="450">
        <f>(CQ13/CM13-1)*100</f>
        <v>-3.8315988647114496</v>
      </c>
      <c r="CS13" s="451">
        <f>qtrSales!F175</f>
        <v>-2</v>
      </c>
      <c r="CU13" s="455">
        <v>6337</v>
      </c>
      <c r="CV13" s="450">
        <f>(CU13/CQ13-1)*100</f>
        <v>3.9022790621413339</v>
      </c>
      <c r="CW13" s="451">
        <f>qtrSales!$F182</f>
        <v>3.7</v>
      </c>
      <c r="CY13" s="455">
        <f>qtrSales!$S189</f>
        <v>6387</v>
      </c>
      <c r="CZ13" s="450">
        <f>(CY13/CU13-1)*100</f>
        <v>0.78901688496133549</v>
      </c>
      <c r="DA13" s="451">
        <f>qtrSales!$F189</f>
        <v>0.4</v>
      </c>
      <c r="DC13" s="455">
        <f>qtrSales!S196</f>
        <v>6205</v>
      </c>
      <c r="DD13" s="450">
        <f>(DC13/CY13-1)*100</f>
        <v>-2.8495381243150097</v>
      </c>
      <c r="DE13" s="451">
        <f>qtrSales!F196</f>
        <v>-2.2000000000000002</v>
      </c>
      <c r="DG13" s="1021">
        <f>qtrSales!S203</f>
        <v>6776</v>
      </c>
      <c r="DH13" s="450">
        <f>(DG13/DC13-1)*100</f>
        <v>9.2022562449637348</v>
      </c>
      <c r="DI13" s="1237">
        <f>qtrSales!F203</f>
        <v>6.3</v>
      </c>
      <c r="DJ13" s="1015"/>
      <c r="DK13" s="1021">
        <f>qtrSales!S210</f>
        <v>6357.2431999999999</v>
      </c>
      <c r="DL13" s="450">
        <f>(DK13/DG13-1)*100</f>
        <v>-6.1799999999999962</v>
      </c>
      <c r="DM13" s="1237">
        <f>qtrSales!F210</f>
        <v>-2.04</v>
      </c>
      <c r="DN13" s="451"/>
      <c r="DO13" s="1265">
        <f>DI13+DM13</f>
        <v>4.26</v>
      </c>
      <c r="DP13" s="1268">
        <f>DE13+DI13+DA13</f>
        <v>4.5</v>
      </c>
      <c r="DR13" s="413"/>
    </row>
    <row r="14" spans="1:124" outlineLevel="1" x14ac:dyDescent="0.2">
      <c r="A14" s="448" t="s">
        <v>93</v>
      </c>
      <c r="C14" s="449">
        <f>SUM(C10:C13)</f>
        <v>789.79500000000007</v>
      </c>
      <c r="D14" s="450" t="s">
        <v>94</v>
      </c>
      <c r="E14" s="456">
        <v>8.1999999999999993</v>
      </c>
      <c r="F14" s="305"/>
      <c r="G14" s="449">
        <f>SUM(G10:G13)</f>
        <v>930.42600000000004</v>
      </c>
      <c r="H14" s="450">
        <f>(G14/C14-1)*100</f>
        <v>17.806012952728235</v>
      </c>
      <c r="I14" s="456">
        <v>8.1999999999999993</v>
      </c>
      <c r="K14" s="457">
        <v>1096.856</v>
      </c>
      <c r="L14" s="450">
        <f>(K14/G14-1)*100</f>
        <v>17.887505293274252</v>
      </c>
      <c r="M14" s="456">
        <v>10.5</v>
      </c>
      <c r="O14" s="449">
        <f>SUM(O10:O13)</f>
        <v>1305.5999999999999</v>
      </c>
      <c r="P14" s="450">
        <f>(O14/K14-1)*100</f>
        <v>19.031121678688901</v>
      </c>
      <c r="Q14" s="456">
        <v>8.3000000000000007</v>
      </c>
      <c r="R14" s="305"/>
      <c r="S14" s="449">
        <f>SUM(S10:S13)</f>
        <v>1554.04</v>
      </c>
      <c r="T14" s="450">
        <f>(S14/O14-1)*100</f>
        <v>19.028799019607856</v>
      </c>
      <c r="U14" s="456">
        <v>6.3003061579048971</v>
      </c>
      <c r="W14" s="457">
        <v>1925.6690000000001</v>
      </c>
      <c r="X14" s="450">
        <f>(W14/S14-1)*100</f>
        <v>23.913734524207886</v>
      </c>
      <c r="Y14" s="456">
        <v>5.9</v>
      </c>
      <c r="AA14" s="449">
        <f>SUM(AA10:AA13)</f>
        <v>2388.5</v>
      </c>
      <c r="AB14" s="450">
        <f>(AA14/W14-1)*100</f>
        <v>24.034815952274236</v>
      </c>
      <c r="AC14" s="456">
        <v>11.3</v>
      </c>
      <c r="AE14" s="449">
        <f>SUM(AE10:AE13)</f>
        <v>3060.0839999999998</v>
      </c>
      <c r="AF14" s="450">
        <f>(AE14/AA14-1)*100</f>
        <v>28.117395855139193</v>
      </c>
      <c r="AG14" s="456">
        <v>10.076240554180867</v>
      </c>
      <c r="AI14" s="449">
        <f>SUM(AI10:AI13)</f>
        <v>3681.7</v>
      </c>
      <c r="AJ14" s="450">
        <f>(AI14/AE14-1)*100</f>
        <v>20.313690735287015</v>
      </c>
      <c r="AK14" s="456">
        <v>7.9</v>
      </c>
      <c r="AM14" s="449">
        <f>SUM(AM10:AM13)</f>
        <v>4556.9799999999996</v>
      </c>
      <c r="AN14" s="450">
        <f>(AM14/AI14-1)*100</f>
        <v>23.773800146671363</v>
      </c>
      <c r="AO14" s="456">
        <v>8.1509495323657344</v>
      </c>
      <c r="AQ14" s="449">
        <f>SUM(AQ10:AQ13)</f>
        <v>6152.2000000000007</v>
      </c>
      <c r="AR14" s="450">
        <f>(AQ14/AM14-1)*100</f>
        <v>35.006078587134496</v>
      </c>
      <c r="AS14" s="456">
        <v>9.5515620428464612</v>
      </c>
      <c r="AU14" s="449">
        <f>SUM(AU10:AU13)</f>
        <v>7488.6459999999997</v>
      </c>
      <c r="AV14" s="450">
        <f>(AU14/AQ14-1)*100</f>
        <v>21.723058418126829</v>
      </c>
      <c r="AW14" s="456">
        <v>6.8</v>
      </c>
      <c r="AY14" s="449">
        <f>SUM(AY10:AY13)</f>
        <v>9120.2000000000007</v>
      </c>
      <c r="AZ14" s="450">
        <f>(AY14/AU14-1)*100</f>
        <v>21.787036000900571</v>
      </c>
      <c r="BA14" s="456">
        <v>5.9056288469869429</v>
      </c>
      <c r="BC14" s="449">
        <f>SUM(BC10:BC13)</f>
        <v>10282</v>
      </c>
      <c r="BD14" s="450">
        <f>(BC14/AY14-1)*100</f>
        <v>12.738755729041017</v>
      </c>
      <c r="BE14" s="456">
        <v>-1.2342184383842436</v>
      </c>
      <c r="BG14" s="449">
        <f>SUM(BG10:BG13)</f>
        <v>11700.7</v>
      </c>
      <c r="BH14" s="450">
        <f>(BG14/BC14-1)*100</f>
        <v>13.797899241392741</v>
      </c>
      <c r="BI14" s="456">
        <v>0.5457485449588485</v>
      </c>
      <c r="BK14" s="449">
        <f>SUM(BK10:BK13)</f>
        <v>13402.199999999999</v>
      </c>
      <c r="BL14" s="450">
        <f>(BK14/BG14-1)*100</f>
        <v>14.541865016622912</v>
      </c>
      <c r="BM14" s="456">
        <v>3.6890876124815333</v>
      </c>
      <c r="BO14" s="449">
        <f>SUM(BO10:BO13)</f>
        <v>15585.301000000001</v>
      </c>
      <c r="BP14" s="450">
        <f>(BO14/BK14-1)*100</f>
        <v>16.289124173643145</v>
      </c>
      <c r="BQ14" s="456">
        <v>5.9</v>
      </c>
      <c r="BS14" s="449">
        <f>SUM(BS10:BS13)</f>
        <v>16473.7</v>
      </c>
      <c r="BT14" s="450">
        <f>(BS14/BO14-1)*100</f>
        <v>5.700236395819358</v>
      </c>
      <c r="BU14" s="456">
        <v>-0.7998810224782531</v>
      </c>
      <c r="BW14" s="449">
        <f>SUM(BW10:BW13)</f>
        <v>16388.398000000001</v>
      </c>
      <c r="BX14" s="450">
        <f>(BW14/BS14-1)*100</f>
        <v>-0.51780717143082855</v>
      </c>
      <c r="BY14" s="456">
        <v>-6.9</v>
      </c>
      <c r="CA14" s="449">
        <f>SUM(CA10:CA13)</f>
        <v>17178</v>
      </c>
      <c r="CB14" s="450">
        <f>(CA14/BW14-1)*100</f>
        <v>4.8180548214657559</v>
      </c>
      <c r="CC14" s="456">
        <v>0.65541130581591656</v>
      </c>
      <c r="CE14" s="449">
        <f>SUM(CE10:CE13)</f>
        <v>18391</v>
      </c>
      <c r="CF14" s="450">
        <f>(CE14/CA14-1)*100</f>
        <v>7.0613575503551074</v>
      </c>
      <c r="CG14" s="1012">
        <v>4.4736447175248761</v>
      </c>
      <c r="CI14" s="449">
        <f>SUM(CI10:CI13)</f>
        <v>18804</v>
      </c>
      <c r="CJ14" s="450">
        <f>(CI14/CE14-1)*100</f>
        <v>2.2456636398238361</v>
      </c>
      <c r="CK14" s="1012">
        <v>0.5</v>
      </c>
      <c r="CM14" s="449">
        <v>19280</v>
      </c>
      <c r="CN14" s="450">
        <f>(CM14/CI14-1)*100</f>
        <v>2.5313763029142677</v>
      </c>
      <c r="CO14" s="451">
        <v>0.3</v>
      </c>
      <c r="CQ14" s="449">
        <f>SUM(CQ10:CQ13)</f>
        <v>19031</v>
      </c>
      <c r="CR14" s="450">
        <f>(CQ14/CM14-1)*100</f>
        <v>-1.2914937759336054</v>
      </c>
      <c r="CS14" s="451">
        <f>qtrSales!F176</f>
        <v>-1.2309600126110032</v>
      </c>
      <c r="CU14" s="449">
        <f>SUM(CU10:CU13)</f>
        <v>19023</v>
      </c>
      <c r="CV14" s="450">
        <f>(CU14/CQ14-1)*100</f>
        <v>-4.2036677000678591E-2</v>
      </c>
      <c r="CW14" s="451">
        <f>qtrSales!$F183</f>
        <v>-0.3</v>
      </c>
      <c r="CY14" s="449">
        <f>SUM(CY10:CY13)</f>
        <v>19204</v>
      </c>
      <c r="CZ14" s="450">
        <f>(CY14/CU14-1)*100</f>
        <v>0.95147978762550878</v>
      </c>
      <c r="DA14" s="451">
        <f>qtrSales!$F190</f>
        <v>0.7</v>
      </c>
      <c r="DC14" s="449">
        <f>SUM(DC10:DC13)</f>
        <v>18686</v>
      </c>
      <c r="DD14" s="450">
        <f>(DC14/CY14-1)*100</f>
        <v>-2.6973547177671309</v>
      </c>
      <c r="DE14" s="451">
        <f>qtrSales!F197</f>
        <v>-2.4</v>
      </c>
      <c r="DG14" s="449">
        <f>SUM(DG10:DG13)</f>
        <v>19095</v>
      </c>
      <c r="DH14" s="450">
        <f>(DG14/DC14-1)*100</f>
        <v>2.1888044525313122</v>
      </c>
      <c r="DI14" s="451">
        <f>qtrSales!F204</f>
        <v>1.5</v>
      </c>
      <c r="DJ14" s="451"/>
      <c r="DK14" s="449">
        <f>SUM(DK10:DK13)</f>
        <v>18785.039199999999</v>
      </c>
      <c r="DL14" s="450">
        <f>(DK14/DG14-1)*100</f>
        <v>-1.6232563498298047</v>
      </c>
      <c r="DM14" s="451">
        <f>qtrSales!F211</f>
        <v>4.3939297182834743E-2</v>
      </c>
      <c r="DN14" s="452"/>
      <c r="DO14" s="1266">
        <f>DI14+DM14</f>
        <v>1.5439392971828347</v>
      </c>
      <c r="DP14" s="1269">
        <f>DE14+DI14+DA14</f>
        <v>-0.19999999999999996</v>
      </c>
      <c r="DS14" s="303">
        <v>15</v>
      </c>
      <c r="DT14" s="303">
        <f>DR14*DS14</f>
        <v>0</v>
      </c>
    </row>
    <row r="15" spans="1:124" outlineLevel="1" x14ac:dyDescent="0.2">
      <c r="A15" s="448" t="s">
        <v>467</v>
      </c>
      <c r="C15" s="453">
        <f>C10+C11</f>
        <v>317.41700000000003</v>
      </c>
      <c r="D15" s="450" t="s">
        <v>94</v>
      </c>
      <c r="E15" s="451">
        <f>SUMPRODUCT(E10:E11,C10:C11)/C15</f>
        <v>0</v>
      </c>
      <c r="F15" s="305"/>
      <c r="G15" s="453">
        <f>G10+G11</f>
        <v>369.726</v>
      </c>
      <c r="H15" s="450">
        <f>SUMPRODUCT(H10:H11,G10:G11)/G15</f>
        <v>16.51364029173763</v>
      </c>
      <c r="I15" s="451">
        <f>SUMPRODUCT(I10:I11,G10:G11)/G15</f>
        <v>13.413134001793411</v>
      </c>
      <c r="K15" s="453">
        <f>K10+K11</f>
        <v>429.2</v>
      </c>
      <c r="L15" s="450">
        <f>SUMPRODUCT(L10:L11,K10:K11)/K15</f>
        <v>16.352160932408871</v>
      </c>
      <c r="M15" s="451">
        <f>SUMPRODUCT(M10:M11,K10:K11)/K15</f>
        <v>5.575489282385834</v>
      </c>
      <c r="O15" s="453">
        <f>O10+O11</f>
        <v>507.59999999999997</v>
      </c>
      <c r="P15" s="450">
        <f>SUMPRODUCT(P10:P11,O10:O11)/O15</f>
        <v>18.266547370768283</v>
      </c>
      <c r="Q15" s="451">
        <f>SUMPRODUCT(Q10:Q11,O10:O11)/O15</f>
        <v>8.5450354609929082</v>
      </c>
      <c r="R15" s="305"/>
      <c r="S15" s="453">
        <f>S10+S11</f>
        <v>600.20000000000005</v>
      </c>
      <c r="T15" s="450">
        <f>SUMPRODUCT(T10:T11,S10:S11)/S15</f>
        <v>18.430450085605809</v>
      </c>
      <c r="U15" s="451">
        <f>SUMPRODUCT(U10:U11,S10:S11)/S15</f>
        <v>8.9385204931689444</v>
      </c>
      <c r="W15" s="453">
        <f>W10+W11</f>
        <v>731.7</v>
      </c>
      <c r="X15" s="450">
        <f>SUMPRODUCT(X10:X11,W10:W11)/W15</f>
        <v>21.951967585024658</v>
      </c>
      <c r="Y15" s="451">
        <f>SUMPRODUCT(Y10:Y11,W10:W11)/W15</f>
        <v>5.8825748257482582</v>
      </c>
      <c r="AA15" s="453">
        <f>AA10+AA11</f>
        <v>943.3</v>
      </c>
      <c r="AB15" s="450">
        <f>SUMPRODUCT(AB10:AB11,AA10:AA11)/AA15</f>
        <v>28.9415039608139</v>
      </c>
      <c r="AC15" s="451">
        <f>SUMPRODUCT(AC10:AC11,AA10:AA11)/AA15</f>
        <v>10.00250185518923</v>
      </c>
      <c r="AE15" s="453">
        <f>AE10+AE11</f>
        <v>1224.4839999999999</v>
      </c>
      <c r="AF15" s="450">
        <f>SUMPRODUCT(AF10:AF11,AE10:AE11)/AE15</f>
        <v>29.829970567209216</v>
      </c>
      <c r="AG15" s="451">
        <f>SUMPRODUCT(AG10:AG11,AE10:AE11)/AE15</f>
        <v>9.9531129030677423</v>
      </c>
      <c r="AI15" s="453">
        <f>AI10+AI11</f>
        <v>1503.35</v>
      </c>
      <c r="AJ15" s="450">
        <f>SUMPRODUCT(AJ10:AJ11,AI10:AI11)/AI15</f>
        <v>22.785695762216623</v>
      </c>
      <c r="AK15" s="451">
        <f>SUMPRODUCT(AK10:AK11,AI10:AI11)/AI15</f>
        <v>11.016582964712143</v>
      </c>
      <c r="AM15" s="453">
        <f>AM10+AM11</f>
        <v>1849.8</v>
      </c>
      <c r="AN15" s="450">
        <f>SUMPRODUCT(AN10:AN11,AM10:AM11)/AM15</f>
        <v>23.050197273762546</v>
      </c>
      <c r="AO15" s="451">
        <f>SUMPRODUCT(AO10:AO11,AM10:AM11)/AM15</f>
        <v>9.7842145096767226</v>
      </c>
      <c r="AQ15" s="453">
        <f>AQ10+AQ11</f>
        <v>2484.1000000000004</v>
      </c>
      <c r="AR15" s="450">
        <f>SUMPRODUCT(AR10:AR11,AQ10:AQ11)/AQ15</f>
        <v>34.29360168663333</v>
      </c>
      <c r="AS15" s="451">
        <f>SUMPRODUCT(AS10:AS11,AQ10:AQ11)/AQ15</f>
        <v>7.1025884626222773</v>
      </c>
      <c r="AU15" s="453">
        <f>AU10+AU11</f>
        <v>3004.1</v>
      </c>
      <c r="AV15" s="450">
        <f>SUMPRODUCT(AV10:AV11,AU10:AU11)/AU15</f>
        <v>20.933442122192751</v>
      </c>
      <c r="AW15" s="451">
        <f>SUMPRODUCT(AW10:AW11,AU10:AU11)/AU15</f>
        <v>5.3504577077993414</v>
      </c>
      <c r="AY15" s="453">
        <f>AY10+AY11</f>
        <v>3792.4</v>
      </c>
      <c r="AZ15" s="450">
        <f>SUMPRODUCT(AZ10:AZ11,AY10:AY11)/AY15</f>
        <v>26.243247646310753</v>
      </c>
      <c r="BA15" s="451">
        <f>SUMPRODUCT(BA10:BA11,AY10:AY11)/AY15</f>
        <v>9.860165066976057</v>
      </c>
      <c r="BC15" s="453">
        <f>BC10+BC11</f>
        <v>4326.1000000000004</v>
      </c>
      <c r="BD15" s="450">
        <f>SUMPRODUCT(BD10:BD11,BC10:BC11)/BC15</f>
        <v>14.079151246196549</v>
      </c>
      <c r="BE15" s="451">
        <f>SUMPRODUCT(BE10:BE11,BC10:BC11)/BC15</f>
        <v>-0.53353135618686554</v>
      </c>
      <c r="BG15" s="453">
        <f>BG10+BG11</f>
        <v>4878.1000000000004</v>
      </c>
      <c r="BH15" s="450">
        <f>SUMPRODUCT(BH10:BH11,BG10:BG11)/BG15</f>
        <v>12.760888761691165</v>
      </c>
      <c r="BI15" s="451">
        <f>SUMPRODUCT(BI10:BI11,BG10:BG11)/BG15</f>
        <v>-0.66327053565937555</v>
      </c>
      <c r="BK15" s="453">
        <f>BK10+BK11</f>
        <v>5630.9</v>
      </c>
      <c r="BL15" s="450">
        <f>SUMPRODUCT(BL10:BL11,BK10:BK11)/BK15</f>
        <v>15.432562318905299</v>
      </c>
      <c r="BM15" s="451">
        <f>SUMPRODUCT(BM10:BM11,BK10:BK11)/BK15</f>
        <v>4.6003800458186088</v>
      </c>
      <c r="BO15" s="453">
        <f>BO10+BO11</f>
        <v>6486.2070000000003</v>
      </c>
      <c r="BP15" s="450">
        <f>SUMPRODUCT(BP10:BP11,BO10:BO11)/BO15</f>
        <v>15.196530406637111</v>
      </c>
      <c r="BQ15" s="451">
        <f>SUMPRODUCT(BQ10:BQ11,BO10:BO11)/BO15</f>
        <v>6.192280018198618</v>
      </c>
      <c r="BS15" s="453">
        <f>BS10+BS11</f>
        <v>7161.2</v>
      </c>
      <c r="BT15" s="450">
        <f>SUMPRODUCT(BT10:BT11,BS10:BS11)/BS15</f>
        <v>10.433490797904067</v>
      </c>
      <c r="BU15" s="451">
        <f>SUMPRODUCT(BU10:BU11,BS10:BS11)/BS15</f>
        <v>2.5968776182762663</v>
      </c>
      <c r="BW15" s="453">
        <f>BW10+BW11</f>
        <v>7349.7489999999998</v>
      </c>
      <c r="BX15" s="450">
        <f>SUMPRODUCT(BX10:BX11,BW10:BW11)/BW15</f>
        <v>2.6461964415003374</v>
      </c>
      <c r="BY15" s="451">
        <f>SUMPRODUCT(BY10:BY11,BW10:BW11)/BW15</f>
        <v>-5.6355379346968171</v>
      </c>
      <c r="CA15" s="453">
        <f>CA10+CA11</f>
        <v>7444</v>
      </c>
      <c r="CB15" s="450">
        <f>SUMPRODUCT(CB10:CB11,CA10:CA11)/CA15</f>
        <v>1.2902064128288981</v>
      </c>
      <c r="CC15" s="451">
        <f>SUMPRODUCT(CC10:CC11,CA10:CA11)/CA15</f>
        <v>-3.2285599140247179</v>
      </c>
      <c r="CE15" s="453">
        <f>CE10+CE11</f>
        <v>8135</v>
      </c>
      <c r="CF15" s="450">
        <f>SUMPRODUCT(CF10:CF11,CE10:CE11)/CE15</f>
        <v>9.3058812148990562</v>
      </c>
      <c r="CG15" s="451">
        <f>SUMPRODUCT(CG10:CG11,CE10:CE11)/CE15</f>
        <v>5.9888137676705595</v>
      </c>
      <c r="CI15" s="453">
        <f>CI10+CI11</f>
        <v>8410</v>
      </c>
      <c r="CJ15" s="450">
        <f>SUMPRODUCT(CJ10:CJ11,CI10:CI11)/CI15</f>
        <v>3.3809716156738348</v>
      </c>
      <c r="CK15" s="451">
        <f>SUMPRODUCT(CK10:CK11,CI10:CI11)/CI15</f>
        <v>1.6030677764565993</v>
      </c>
      <c r="CM15" s="453">
        <f>CM10+CM11</f>
        <v>8448</v>
      </c>
      <c r="CN15" s="450">
        <f>SUMPRODUCT(CN10:CN11,CM10:CM11)/CM15</f>
        <v>0.47362297854790059</v>
      </c>
      <c r="CO15" s="451">
        <f>SUMPRODUCT(CO10:CO11,CM10:CM11)/CM15</f>
        <v>-1.2434777462121211</v>
      </c>
      <c r="CQ15" s="453">
        <f>CQ10+CQ11</f>
        <v>8488</v>
      </c>
      <c r="CR15" s="450">
        <f>SUMPRODUCT(CR10:CR11,CQ10:CQ11)/CQ15</f>
        <v>0.49639824824956524</v>
      </c>
      <c r="CS15" s="451">
        <f>SUMPRODUCT(CS10:CS11,CQ10:CQ11)/CQ15</f>
        <v>-0.48515551366635251</v>
      </c>
      <c r="CU15" s="453">
        <f>CU10+CU11</f>
        <v>8312</v>
      </c>
      <c r="CV15" s="450">
        <f>SUMPRODUCT(CV10:CV11,CU10:CU11)/CU15</f>
        <v>-2.063545176616211</v>
      </c>
      <c r="CW15" s="451">
        <f>SUMPRODUCT(CW10:CW11,CU10:CU11)/CU15</f>
        <v>-2.3282723772858516</v>
      </c>
      <c r="CY15" s="453">
        <f>CY10+CY11</f>
        <v>8390</v>
      </c>
      <c r="CZ15" s="450">
        <f>SUMPRODUCT(CZ10:CZ11,CY10:CY11)/CY15</f>
        <v>0.93966040706031462</v>
      </c>
      <c r="DA15" s="451">
        <f>SUMPRODUCT(DA10:DA11,CY10:CY11)/CY15</f>
        <v>0.73884386174016681</v>
      </c>
      <c r="DC15" s="453">
        <f>DC10+DC11</f>
        <v>8154</v>
      </c>
      <c r="DD15" s="450">
        <f>SUMPRODUCT(DD10:DD11,DC10:DC11)/DC15</f>
        <v>-2.8056975282006062</v>
      </c>
      <c r="DE15" s="451">
        <f>SUMPRODUCT(DE10:DE11,DC10:DC11)/DC15</f>
        <v>-2.8229580573951436</v>
      </c>
      <c r="DG15" s="413">
        <f>DG10+DG11</f>
        <v>7987</v>
      </c>
      <c r="DH15" s="450">
        <f>SUMPRODUCT(DH10:DH11,DG10:DG11)/DG15</f>
        <v>-2.0341196146923592</v>
      </c>
      <c r="DI15" s="451">
        <f>SUMPRODUCT(DI10:DI11,DG10:DG11)/DG15</f>
        <v>-1.506660823838738</v>
      </c>
      <c r="DJ15" s="451"/>
      <c r="DK15" s="413">
        <f>DK10+DK11</f>
        <v>8151.4621999999999</v>
      </c>
      <c r="DL15" s="450">
        <f>SUMPRODUCT(DL10:DL11,DK10:DK11)/DK15</f>
        <v>2.0769555101414823</v>
      </c>
      <c r="DM15" s="451">
        <f>SUMPRODUCT(DM10:DM11,DK10:DK11)/DK15</f>
        <v>1.9755226001048007</v>
      </c>
      <c r="DN15" s="451"/>
      <c r="DO15" s="913"/>
      <c r="DP15" s="914"/>
      <c r="DS15" s="303">
        <v>-6</v>
      </c>
      <c r="DT15" s="303">
        <f>DR15*DS15</f>
        <v>0</v>
      </c>
    </row>
    <row r="16" spans="1:124" ht="11.25" customHeight="1" outlineLevel="1" x14ac:dyDescent="0.2">
      <c r="A16" s="448" t="s">
        <v>468</v>
      </c>
      <c r="C16" s="453">
        <f>C12+C13</f>
        <v>472.37799999999999</v>
      </c>
      <c r="D16" s="450" t="s">
        <v>94</v>
      </c>
      <c r="E16" s="451">
        <f>SUMPRODUCT(E12:E13,C12:C13)/C16</f>
        <v>4.7343839044155303</v>
      </c>
      <c r="F16" s="305"/>
      <c r="G16" s="453">
        <f>G12+G13</f>
        <v>560.70000000000005</v>
      </c>
      <c r="H16" s="450">
        <f>SUMPRODUCT(H12:H13,G12:G13)/G16</f>
        <v>18.707999876768945</v>
      </c>
      <c r="I16" s="451">
        <f>SUMPRODUCT(I12:I13,G12:G13)/G16</f>
        <v>9.1174603174603153</v>
      </c>
      <c r="K16" s="453">
        <f>K12+K13</f>
        <v>664.59999999999991</v>
      </c>
      <c r="L16" s="450">
        <f>SUMPRODUCT(L12:L13,K12:K13)/K16</f>
        <v>18.531990508808935</v>
      </c>
      <c r="M16" s="451">
        <f>SUMPRODUCT(M12:M13,K12:K13)/K16</f>
        <v>13.945260306951551</v>
      </c>
      <c r="O16" s="453">
        <f>O12+O13</f>
        <v>798</v>
      </c>
      <c r="P16" s="450">
        <f>SUMPRODUCT(P12:P13,O12:O13)/O16</f>
        <v>20.074063478694889</v>
      </c>
      <c r="Q16" s="451">
        <f>SUMPRODUCT(Q12:Q13,O12:O13)/O16</f>
        <v>8.6281578947368427</v>
      </c>
      <c r="R16" s="305"/>
      <c r="S16" s="453">
        <f>S12+S13</f>
        <v>953.84</v>
      </c>
      <c r="T16" s="450">
        <f>SUMPRODUCT(T12:T13,S12:S13)/S16</f>
        <v>19.702269035466514</v>
      </c>
      <c r="U16" s="451">
        <f>SUMPRODUCT(U12:U13,S12:S13)/S16</f>
        <v>4.6399228382118602</v>
      </c>
      <c r="W16" s="453">
        <f>W12+W13</f>
        <v>1193.7</v>
      </c>
      <c r="X16" s="450">
        <f>SUMPRODUCT(X12:X13,W12:W13)/W16</f>
        <v>25.146977820882796</v>
      </c>
      <c r="Y16" s="451">
        <f>SUMPRODUCT(Y12:Y13,W12:W13)/W16</f>
        <v>6.5068693976711067</v>
      </c>
      <c r="AA16" s="453">
        <f>AA12+AA13</f>
        <v>1445.2</v>
      </c>
      <c r="AB16" s="450">
        <f>SUMPRODUCT(AB12:AB13,AA12:AA13)/AA16</f>
        <v>21.088205222000532</v>
      </c>
      <c r="AC16" s="451">
        <f>SUMPRODUCT(AC12:AC13,AA12:AA13)/AA16</f>
        <v>14.668115139773041</v>
      </c>
      <c r="AE16" s="453">
        <f>AE12+AE13</f>
        <v>1835.6</v>
      </c>
      <c r="AF16" s="450">
        <f>SUMPRODUCT(AF12:AF13,AE12:AE13)/AE16</f>
        <v>27.014180668364958</v>
      </c>
      <c r="AG16" s="451">
        <f>SUMPRODUCT(AG12:AG13,AE12:AE13)/AE16</f>
        <v>10.158376007844847</v>
      </c>
      <c r="AI16" s="453">
        <f>AI12+AI13</f>
        <v>2178.35</v>
      </c>
      <c r="AJ16" s="450">
        <f>SUMPRODUCT(AJ12:AJ13,AI12:AI13)/AI16</f>
        <v>18.683633534850841</v>
      </c>
      <c r="AK16" s="451">
        <f>SUMPRODUCT(AK12:AK13,AI12:AI13)/AI16</f>
        <v>5.5488213556131933</v>
      </c>
      <c r="AM16" s="453">
        <f>AM12+AM13</f>
        <v>2707.1800000000003</v>
      </c>
      <c r="AN16" s="450">
        <f>SUMPRODUCT(AN12:AN13,AM12:AM13)/AM16</f>
        <v>24.278353537397894</v>
      </c>
      <c r="AO16" s="451">
        <f>SUMPRODUCT(AO12:AO13,AM12:AM13)/AM16</f>
        <v>7.0348975686877111</v>
      </c>
      <c r="AQ16" s="453">
        <f>AQ12+AQ13</f>
        <v>3668.1</v>
      </c>
      <c r="AR16" s="450">
        <f>SUMPRODUCT(AR12:AR13,AQ12:AQ13)/AQ16</f>
        <v>35.579835524419728</v>
      </c>
      <c r="AS16" s="451">
        <f>SUMPRODUCT(AS12:AS13,AQ12:AQ13)/AQ16</f>
        <v>11.26047817671274</v>
      </c>
      <c r="AU16" s="453">
        <f>AU12+AU13</f>
        <v>4484.5460000000003</v>
      </c>
      <c r="AV16" s="450">
        <f>SUMPRODUCT(AV12:AV13,AU12:AU13)/AU16</f>
        <v>22.259013131135482</v>
      </c>
      <c r="AW16" s="451">
        <f>SUMPRODUCT(AW12:AW13,AU12:AU13)/AU16</f>
        <v>8.9223918318599011</v>
      </c>
      <c r="AY16" s="453">
        <f>AY12+AY13</f>
        <v>5327.8</v>
      </c>
      <c r="AZ16" s="450">
        <f>SUMPRODUCT(AZ12:AZ13,AY12:AY13)/AY16</f>
        <v>18.851099463398164</v>
      </c>
      <c r="BA16" s="451">
        <f>SUMPRODUCT(BA12:BA13,AY12:AY13)/AY16</f>
        <v>3.0908329892263224</v>
      </c>
      <c r="BC16" s="453">
        <f>BC12+BC13</f>
        <v>5955.9</v>
      </c>
      <c r="BD16" s="450">
        <f>SUMPRODUCT(BD12:BD13,BC12:BC13)/BC16</f>
        <v>11.789163320125253</v>
      </c>
      <c r="BE16" s="451">
        <f>SUMPRODUCT(BE12:BE13,BC12:BC13)/BC16</f>
        <v>-1.7431857485854367</v>
      </c>
      <c r="BG16" s="453">
        <f>BG12+BG13</f>
        <v>6822.6</v>
      </c>
      <c r="BH16" s="450">
        <f>SUMPRODUCT(BH12:BH13,BG12:BG13)/BG16</f>
        <v>14.551980727541503</v>
      </c>
      <c r="BI16" s="451">
        <f>SUMPRODUCT(BI12:BI13,BG12:BG13)/BG16</f>
        <v>1.4101867323307828</v>
      </c>
      <c r="BK16" s="453">
        <f>BK12+BK13</f>
        <v>7771.2999999999993</v>
      </c>
      <c r="BL16" s="450">
        <f>SUMPRODUCT(BL12:BL13,BK12:BK13)/BK16</f>
        <v>13.90554284056762</v>
      </c>
      <c r="BM16" s="451">
        <f>SUMPRODUCT(BM12:BM13,BK12:BK13)/BK16</f>
        <v>3.0287866894856719</v>
      </c>
      <c r="BO16" s="453">
        <f>BO12+BO13</f>
        <v>9099.094000000001</v>
      </c>
      <c r="BP16" s="450">
        <f>SUMPRODUCT(BP12:BP13,BO12:BO13)/BO16</f>
        <v>17.085888087946209</v>
      </c>
      <c r="BQ16" s="451">
        <f>SUMPRODUCT(BQ12:BQ13,BO12:BO13)/BO16</f>
        <v>5.8652497710211584</v>
      </c>
      <c r="BS16" s="453">
        <f>BS12+BS13</f>
        <v>9312.5</v>
      </c>
      <c r="BT16" s="450">
        <f>SUMPRODUCT(BT12:BT13,BS12:BS13)/BS16</f>
        <v>2.3843434884373687</v>
      </c>
      <c r="BU16" s="451">
        <f>SUMPRODUCT(BU12:BU13,BS12:BS13)/BS16</f>
        <v>-3.4119473825503355</v>
      </c>
      <c r="BW16" s="453">
        <f>BW12+BW13</f>
        <v>9038.6489999999994</v>
      </c>
      <c r="BX16" s="450">
        <f>SUMPRODUCT(BX12:BX13,BW12:BW13)/BW16</f>
        <v>-2.9000916731950093</v>
      </c>
      <c r="BY16" s="451">
        <f>SUMPRODUCT(BY12:BY13,BW12:BW13)/BW16</f>
        <v>-8.0900307446389395</v>
      </c>
      <c r="CA16" s="453">
        <f>CA12+CA13</f>
        <v>9734</v>
      </c>
      <c r="CB16" s="450">
        <f>SUMPRODUCT(CB12:CB13,CA12:CA13)/CA16</f>
        <v>7.7026411480483894</v>
      </c>
      <c r="CC16" s="451">
        <f>SUMPRODUCT(CC12:CC13,CA12:CA13)/CA16</f>
        <v>3.6260427367988495</v>
      </c>
      <c r="CE16" s="453">
        <f>CE12+CE13</f>
        <v>10256</v>
      </c>
      <c r="CF16" s="450">
        <f>SUMPRODUCT(CF12:CF13,CE12:CE13)/CE16</f>
        <v>5.3730524610554813</v>
      </c>
      <c r="CG16" s="451">
        <f>SUMPRODUCT(CG12:CG13,CE12:CE13)/CE16</f>
        <v>3.2718213728549137</v>
      </c>
      <c r="CI16" s="453">
        <f>CI12+CI13</f>
        <v>10394</v>
      </c>
      <c r="CJ16" s="450">
        <f>SUMPRODUCT(CJ12:CJ13,CI12:CI13)/CI16</f>
        <v>1.3852673837044409</v>
      </c>
      <c r="CK16" s="451">
        <f>SUMPRODUCT(CK12:CK13,CI12:CI13)/CI16</f>
        <v>-0.33174908601116038</v>
      </c>
      <c r="CM16" s="453">
        <f>CM12+CM13</f>
        <v>10832</v>
      </c>
      <c r="CN16" s="450">
        <f>SUMPRODUCT(CN12:CN13,CM12:CM13)/CM16</f>
        <v>4.2320301371787243</v>
      </c>
      <c r="CO16" s="451">
        <f>SUMPRODUCT(CO12:CO13,CM12:CM13)/CM16</f>
        <v>1.5683899556868537</v>
      </c>
      <c r="CQ16" s="453">
        <f>CQ12+CQ13</f>
        <v>10543</v>
      </c>
      <c r="CR16" s="450">
        <f>SUMPRODUCT(CR12:CR13,CQ12:CQ13)/CQ16</f>
        <v>-2.6483728091719674</v>
      </c>
      <c r="CS16" s="451">
        <f>SUMPRODUCT(CS12:CS13,CQ12:CQ13)/CQ16</f>
        <v>-1.8313952385469032</v>
      </c>
      <c r="CU16" s="453">
        <f>CU12+CU13</f>
        <v>10711</v>
      </c>
      <c r="CV16" s="450">
        <f>SUMPRODUCT(CV12:CV13,CU12:CU13)/CU16</f>
        <v>1.6654844032202616</v>
      </c>
      <c r="CW16" s="451">
        <f>SUMPRODUCT(CW12:CW13,CU12:CU13)/CU16</f>
        <v>1.4539912239753525</v>
      </c>
      <c r="CY16" s="453">
        <f>CY12+CY13</f>
        <v>10814</v>
      </c>
      <c r="CZ16" s="450">
        <f>SUMPRODUCT(CZ12:CZ13,CY12:CY13)/CY16</f>
        <v>0.96205578301098416</v>
      </c>
      <c r="DA16" s="451">
        <f>SUMPRODUCT(DA12:DA13,CY12:CY13)/CY16</f>
        <v>0.64562604031810622</v>
      </c>
      <c r="DC16" s="453">
        <f>DC12+DC13</f>
        <v>10532</v>
      </c>
      <c r="DD16" s="450">
        <f>SUMPRODUCT(DD12:DD13,DC12:DC13)/DC16</f>
        <v>-2.6068645515049664</v>
      </c>
      <c r="DE16" s="451">
        <f>SUMPRODUCT(DE12:DE13,DC12:DC13)/DC16</f>
        <v>-1.9945784276490697</v>
      </c>
      <c r="DG16" s="413">
        <f>DG12+DG13</f>
        <v>11108</v>
      </c>
      <c r="DH16" s="450">
        <f>SUMPRODUCT(DH12:DH13,DG12:DG13)/DG16</f>
        <v>5.6585403387991171</v>
      </c>
      <c r="DI16" s="451">
        <f>SUMPRODUCT(DI12:DI13,DG12:DG13)/DG16</f>
        <v>3.8820669787540503</v>
      </c>
      <c r="DJ16" s="451"/>
      <c r="DK16" s="413">
        <f>DK12+DK13</f>
        <v>10633.576999999999</v>
      </c>
      <c r="DL16" s="450">
        <f>SUMPRODUCT(DL12:DL13,DK12:DK13)/DK16</f>
        <v>-4.2114569640112673</v>
      </c>
      <c r="DM16" s="451">
        <f>SUMPRODUCT(DM12:DM13,DK12:DK13)/DK16</f>
        <v>-1.4367692433129511</v>
      </c>
      <c r="DN16" s="887"/>
      <c r="DO16" s="915"/>
      <c r="DP16" s="916"/>
      <c r="DT16" s="303">
        <f>SUM(DT14:DT15)</f>
        <v>0</v>
      </c>
    </row>
    <row r="17" spans="1:122" outlineLevel="1" x14ac:dyDescent="0.2">
      <c r="C17" s="453"/>
      <c r="D17" s="459"/>
      <c r="E17" s="459"/>
      <c r="F17" s="305"/>
      <c r="G17" s="413"/>
      <c r="H17" s="459"/>
      <c r="I17" s="459"/>
      <c r="K17" s="413"/>
      <c r="O17" s="413"/>
      <c r="R17" s="305"/>
      <c r="S17" s="413"/>
      <c r="W17" s="413"/>
      <c r="AA17" s="413"/>
      <c r="AE17" s="413"/>
      <c r="AI17" s="413"/>
      <c r="AM17" s="413"/>
      <c r="AQ17" s="413"/>
      <c r="AU17" s="413"/>
      <c r="AY17" s="413"/>
      <c r="BC17" s="413"/>
      <c r="BG17" s="413"/>
      <c r="BK17" s="413"/>
      <c r="BO17" s="413"/>
      <c r="BS17" s="413"/>
      <c r="BW17" s="413"/>
      <c r="CA17" s="413"/>
      <c r="CE17" s="413"/>
      <c r="CI17" s="413"/>
      <c r="CM17" s="413"/>
      <c r="CO17" s="460"/>
      <c r="CQ17" s="413"/>
      <c r="CU17" s="413"/>
      <c r="CW17" s="461"/>
      <c r="CY17" s="413"/>
      <c r="DC17" s="554"/>
      <c r="DD17" s="477"/>
      <c r="DE17" s="461"/>
      <c r="DG17" s="311"/>
      <c r="DH17" s="477"/>
      <c r="DK17" s="311"/>
      <c r="DL17" s="477"/>
      <c r="DO17" s="917"/>
      <c r="DP17" s="916"/>
    </row>
    <row r="18" spans="1:122" outlineLevel="1" x14ac:dyDescent="0.2">
      <c r="A18" s="462" t="s">
        <v>234</v>
      </c>
      <c r="B18" s="318"/>
      <c r="C18" s="463"/>
      <c r="D18" s="464"/>
      <c r="E18" s="464"/>
      <c r="F18" s="465"/>
      <c r="G18" s="463"/>
      <c r="H18" s="464"/>
      <c r="I18" s="464"/>
      <c r="J18" s="318"/>
      <c r="K18" s="463"/>
      <c r="L18" s="318"/>
      <c r="M18" s="318"/>
      <c r="N18" s="318"/>
      <c r="O18" s="463"/>
      <c r="P18" s="318"/>
      <c r="Q18" s="318"/>
      <c r="R18" s="465"/>
      <c r="S18" s="463"/>
      <c r="T18" s="318"/>
      <c r="U18" s="318"/>
      <c r="V18" s="318"/>
      <c r="W18" s="463"/>
      <c r="X18" s="318"/>
      <c r="Y18" s="318"/>
      <c r="Z18" s="318"/>
      <c r="AA18" s="463"/>
      <c r="AB18" s="318"/>
      <c r="AC18" s="318"/>
      <c r="AD18" s="318"/>
      <c r="AE18" s="463"/>
      <c r="AF18" s="318"/>
      <c r="AG18" s="318"/>
      <c r="AH18" s="318"/>
      <c r="AI18" s="463"/>
      <c r="AJ18" s="318"/>
      <c r="AK18" s="318"/>
      <c r="AL18" s="318"/>
      <c r="AM18" s="463"/>
      <c r="AN18" s="318"/>
      <c r="AO18" s="318"/>
      <c r="AP18" s="318"/>
      <c r="AQ18" s="463"/>
      <c r="AR18" s="318"/>
      <c r="AS18" s="318"/>
      <c r="AT18" s="318"/>
      <c r="AU18" s="463"/>
      <c r="AV18" s="318"/>
      <c r="AW18" s="318"/>
      <c r="AX18" s="318"/>
      <c r="AY18" s="463"/>
      <c r="AZ18" s="318"/>
      <c r="BA18" s="318"/>
      <c r="BB18" s="318"/>
      <c r="BC18" s="463"/>
      <c r="BD18" s="318"/>
      <c r="BE18" s="318"/>
      <c r="BF18" s="318"/>
      <c r="BG18" s="463"/>
      <c r="BH18" s="318"/>
      <c r="BI18" s="318"/>
      <c r="BJ18" s="318"/>
      <c r="BK18" s="463"/>
      <c r="BL18" s="318"/>
      <c r="BM18" s="318"/>
      <c r="BN18" s="318"/>
      <c r="BO18" s="463"/>
      <c r="BP18" s="318"/>
      <c r="BQ18" s="318"/>
      <c r="BR18" s="318"/>
      <c r="BS18" s="463"/>
      <c r="BT18" s="318"/>
      <c r="BU18" s="318"/>
      <c r="BV18" s="318"/>
      <c r="BW18" s="463"/>
      <c r="BX18" s="318"/>
      <c r="BY18" s="318"/>
      <c r="BZ18" s="318"/>
      <c r="CA18" s="463"/>
      <c r="CB18" s="318"/>
      <c r="CC18" s="318"/>
      <c r="CD18" s="318"/>
      <c r="CE18" s="463"/>
      <c r="CF18" s="318"/>
      <c r="CG18" s="318"/>
      <c r="CH18" s="318"/>
      <c r="CI18" s="463"/>
      <c r="CJ18" s="318"/>
      <c r="CK18" s="318"/>
      <c r="CL18" s="318"/>
      <c r="CM18" s="466"/>
      <c r="CN18" s="318"/>
      <c r="CO18" s="318"/>
      <c r="CP18" s="318"/>
      <c r="CQ18" s="467"/>
      <c r="CR18" s="318"/>
      <c r="CS18" s="318"/>
      <c r="CT18" s="318"/>
      <c r="CU18" s="466"/>
      <c r="CV18" s="318"/>
      <c r="CW18" s="318"/>
      <c r="CX18" s="318"/>
      <c r="CY18" s="447" t="str">
        <f>A18</f>
        <v>2. Cost of Goods Sold (% Gross Margin / bps Change)</v>
      </c>
      <c r="CZ18" s="447"/>
      <c r="DA18" s="447"/>
      <c r="DB18" s="447"/>
      <c r="DC18" s="447"/>
      <c r="DD18" s="447"/>
      <c r="DE18" s="948"/>
      <c r="DF18" s="447"/>
      <c r="DG18" s="1293"/>
      <c r="DH18" s="447"/>
      <c r="DI18" s="447"/>
      <c r="DJ18" s="447"/>
      <c r="DK18" s="447"/>
      <c r="DL18" s="447"/>
      <c r="DM18" s="447"/>
      <c r="DN18" s="447"/>
      <c r="DO18" s="917"/>
      <c r="DP18" s="916"/>
    </row>
    <row r="19" spans="1:122" outlineLevel="1" x14ac:dyDescent="0.2">
      <c r="C19" s="413"/>
      <c r="D19" s="459"/>
      <c r="E19" s="459"/>
      <c r="F19" s="305"/>
      <c r="G19" s="413"/>
      <c r="H19" s="459"/>
      <c r="I19" s="459"/>
      <c r="K19" s="413"/>
      <c r="O19" s="413"/>
      <c r="R19" s="305"/>
      <c r="S19" s="413"/>
      <c r="W19" s="413"/>
      <c r="AA19" s="413"/>
      <c r="AE19" s="413"/>
      <c r="AI19" s="413"/>
      <c r="AM19" s="413"/>
      <c r="AQ19" s="413"/>
      <c r="AU19" s="413"/>
      <c r="AY19" s="413"/>
      <c r="BC19" s="413"/>
      <c r="BG19" s="413"/>
      <c r="BK19" s="413"/>
      <c r="BO19" s="413"/>
      <c r="BS19" s="413"/>
      <c r="BW19" s="413"/>
      <c r="CA19" s="413"/>
      <c r="CE19" s="413"/>
      <c r="CI19" s="413"/>
      <c r="CQ19" s="319"/>
      <c r="CU19" s="319"/>
      <c r="CY19" s="319"/>
      <c r="DC19" s="319"/>
      <c r="DG19" s="319"/>
      <c r="DK19" s="319"/>
      <c r="DO19" s="917"/>
      <c r="DP19" s="916"/>
    </row>
    <row r="20" spans="1:122" outlineLevel="1" x14ac:dyDescent="0.2">
      <c r="A20" s="448" t="s">
        <v>89</v>
      </c>
      <c r="C20" s="468">
        <v>106.989</v>
      </c>
      <c r="D20" s="469">
        <f>(1-C20/C10)*100</f>
        <v>33.700394120417421</v>
      </c>
      <c r="E20" s="470" t="s">
        <v>1</v>
      </c>
      <c r="F20" s="305"/>
      <c r="G20" s="468">
        <v>126.461</v>
      </c>
      <c r="H20" s="469">
        <f>(1-G20/G10)*100</f>
        <v>33.833701327919805</v>
      </c>
      <c r="I20" s="471">
        <f t="shared" ref="I20:I26" si="0">(H20-D20)*100</f>
        <v>13.330720750238356</v>
      </c>
      <c r="K20" s="468">
        <v>137.976</v>
      </c>
      <c r="L20" s="469">
        <f>(1-K20/K10)*100</f>
        <v>34.793950850661624</v>
      </c>
      <c r="M20" s="471">
        <f t="shared" ref="M20:M26" si="1">(L20-H20)*100</f>
        <v>96.024952274181885</v>
      </c>
      <c r="O20" s="468">
        <v>163.25</v>
      </c>
      <c r="P20" s="469">
        <f>(1-O20/O10)*100</f>
        <v>34.752198241406873</v>
      </c>
      <c r="Q20" s="471">
        <f t="shared" ref="Q20:Q26" si="2">(P20-L20)*100</f>
        <v>-4.1752609254750439</v>
      </c>
      <c r="R20" s="305"/>
      <c r="S20" s="468">
        <v>201.90899999999999</v>
      </c>
      <c r="T20" s="469">
        <f>(1-S20/S10)*100</f>
        <v>34.402534113060433</v>
      </c>
      <c r="U20" s="471">
        <f t="shared" ref="U20:U26" si="3">(T20-P20)*100</f>
        <v>-34.96641283464399</v>
      </c>
      <c r="W20" s="468">
        <v>242.88299999999998</v>
      </c>
      <c r="X20" s="469">
        <f>(1-W20/W10)*100</f>
        <v>34.070846905537458</v>
      </c>
      <c r="Y20" s="471">
        <f t="shared" ref="Y20:Y26" si="4">(X20-T20)*100</f>
        <v>-33.168720752297531</v>
      </c>
      <c r="AA20" s="468">
        <v>310.66500000000002</v>
      </c>
      <c r="AB20" s="469">
        <f>(1-AA20/AA10)*100</f>
        <v>33.717729891188384</v>
      </c>
      <c r="AC20" s="471">
        <f t="shared" ref="AC20:AC26" si="5">(AB20-X20)*100</f>
        <v>-35.311701434907405</v>
      </c>
      <c r="AE20" s="468">
        <v>395.87600000000003</v>
      </c>
      <c r="AF20" s="469">
        <f>(1-AE20/AE10)*100</f>
        <v>34.080763037697295</v>
      </c>
      <c r="AG20" s="471">
        <f t="shared" ref="AG20:AG26" si="6">(AF20-AB20)*100</f>
        <v>36.303314650891139</v>
      </c>
      <c r="AI20" s="468">
        <v>491.10199999999998</v>
      </c>
      <c r="AJ20" s="469">
        <f>(1-AI20/AI10)*100</f>
        <v>34.044856298683868</v>
      </c>
      <c r="AK20" s="471">
        <f t="shared" ref="AK20:AK26" si="7">(AJ20-AF20)*100</f>
        <v>-3.5906739013427114</v>
      </c>
      <c r="AM20" s="468">
        <v>597.12800000000004</v>
      </c>
      <c r="AN20" s="469">
        <f>(1-AM20/AM10)*100</f>
        <v>34.40316379215642</v>
      </c>
      <c r="AO20" s="471">
        <f t="shared" ref="AO20:AO26" si="8">(AN20-AJ20)*100</f>
        <v>35.830749347255164</v>
      </c>
      <c r="AQ20" s="468">
        <v>800.90199999999993</v>
      </c>
      <c r="AR20" s="469">
        <f>(1-AQ20/AQ10)*100</f>
        <v>34.817123789370882</v>
      </c>
      <c r="AS20" s="471">
        <f t="shared" ref="AS20:AS26" si="9">(AR20-AN20)*100</f>
        <v>41.395999721446231</v>
      </c>
      <c r="AU20" s="468">
        <v>965.74900000000002</v>
      </c>
      <c r="AV20" s="469">
        <f>(1-AU20/AU10)*100</f>
        <v>35.110595981992873</v>
      </c>
      <c r="AW20" s="471">
        <f t="shared" ref="AW20:AW26" si="10">(AV20-AR20)*100</f>
        <v>29.347219262199076</v>
      </c>
      <c r="AY20" s="468">
        <v>1211.578</v>
      </c>
      <c r="AZ20" s="469">
        <f>(1-AY20/AY10)*100</f>
        <v>35.227051590483825</v>
      </c>
      <c r="BA20" s="471">
        <f t="shared" ref="BA20:BA26" si="11">(AZ20-AV20)*100</f>
        <v>11.645560849095205</v>
      </c>
      <c r="BC20" s="468">
        <v>1376.479</v>
      </c>
      <c r="BD20" s="469">
        <f>(1-BC20/BC10)*100</f>
        <v>35.001227747084094</v>
      </c>
      <c r="BE20" s="471">
        <f t="shared" ref="BE20:BE26" si="12">(BD20-AZ20)*100</f>
        <v>-22.582384339973061</v>
      </c>
      <c r="BG20" s="468">
        <v>1532.8</v>
      </c>
      <c r="BH20" s="469">
        <f>(1-BG20/BG10)*100</f>
        <v>35.602050247878324</v>
      </c>
      <c r="BI20" s="471">
        <f t="shared" ref="BI20:BI26" si="13">(BH20-BD20)*100</f>
        <v>60.082250079423005</v>
      </c>
      <c r="BK20" s="468">
        <v>1759.6</v>
      </c>
      <c r="BL20" s="469">
        <f>(1-BK20/BK10)*100</f>
        <v>35.846580137086193</v>
      </c>
      <c r="BM20" s="471">
        <f t="shared" ref="BM20:BM26" si="14">(BL20-BH20)*100</f>
        <v>24.452988920786822</v>
      </c>
      <c r="BO20" s="468">
        <v>2036.5319999999999</v>
      </c>
      <c r="BP20" s="469">
        <f>(1-BO20/BO10)*100</f>
        <v>36.052626621031806</v>
      </c>
      <c r="BQ20" s="471">
        <f t="shared" ref="BQ20:BQ26" si="15">(BP20-BL20)*100</f>
        <v>20.604648394561309</v>
      </c>
      <c r="BS20" s="468">
        <v>2254.1999999999998</v>
      </c>
      <c r="BT20" s="469">
        <f>(1-BS20/BS10)*100</f>
        <v>36.892497200447934</v>
      </c>
      <c r="BU20" s="471">
        <f t="shared" ref="BU20:BU26" si="16">(BT20-BP20)*100</f>
        <v>83.987057941612875</v>
      </c>
      <c r="BW20" s="468">
        <v>2289.2089999999998</v>
      </c>
      <c r="BX20" s="469">
        <f>(1-BW20/BW10)*100</f>
        <v>36.836495404991751</v>
      </c>
      <c r="BY20" s="471">
        <f t="shared" ref="BY20:BY26" si="17">(BX20-BT20)*100</f>
        <v>-5.600179545618289</v>
      </c>
      <c r="CA20" s="468">
        <v>2270</v>
      </c>
      <c r="CB20" s="469">
        <f t="shared" ref="CB20:CB26" si="18">(1-CA20/CA10)*100</f>
        <v>37.603078614623421</v>
      </c>
      <c r="CC20" s="471">
        <f t="shared" ref="CC20:CC26" si="19">(CB20-BX20)*100</f>
        <v>76.658320963166915</v>
      </c>
      <c r="CE20" s="1008">
        <v>2498</v>
      </c>
      <c r="CF20" s="469">
        <f t="shared" ref="CF20:CF26" si="20">(1-CE20/CE10)*100</f>
        <v>38.091697645600988</v>
      </c>
      <c r="CG20" s="471">
        <f t="shared" ref="CG20:CG26" si="21">(CF20-CB20)*100</f>
        <v>48.861903097756709</v>
      </c>
      <c r="CI20" s="1008">
        <v>2576</v>
      </c>
      <c r="CJ20" s="469">
        <f t="shared" ref="CJ20:CJ26" si="22">(1-CI20/CI10)*100</f>
        <v>38.106679481018745</v>
      </c>
      <c r="CK20" s="471">
        <f t="shared" ref="CK20:CK26" si="23">(CJ20-CF20)*100</f>
        <v>1.4981835417756884</v>
      </c>
      <c r="CM20" s="1008">
        <v>2719</v>
      </c>
      <c r="CN20" s="469">
        <f t="shared" ref="CN20:CN26" si="24">(1-CM20/CM10)*100</f>
        <v>35.917982559509774</v>
      </c>
      <c r="CO20" s="471">
        <f t="shared" ref="CO20:CO26" si="25">(CN20-CJ20)*100</f>
        <v>-218.86969215089707</v>
      </c>
      <c r="CQ20" s="1008">
        <v>2671</v>
      </c>
      <c r="CR20" s="469">
        <f t="shared" ref="CR20:CR26" si="26">(1-CQ20/CQ10)*100</f>
        <v>36.389616575375094</v>
      </c>
      <c r="CS20" s="471">
        <f t="shared" ref="CS20:CS26" si="27">(CR20-CN20)*100</f>
        <v>47.163401586531961</v>
      </c>
      <c r="CU20" s="1008">
        <v>2574</v>
      </c>
      <c r="CV20" s="469">
        <f t="shared" ref="CV20:CV26" si="28">(1-CU20/CU10)*100</f>
        <v>36.756756756756758</v>
      </c>
      <c r="CW20" s="471">
        <f t="shared" ref="CW20:CW26" si="29">(CV20-CR20)*100</f>
        <v>36.714018138166438</v>
      </c>
      <c r="CY20" s="1008">
        <v>2600</v>
      </c>
      <c r="CZ20" s="469">
        <f t="shared" ref="CZ20:CZ26" si="30">(1-CY20/CY10)*100</f>
        <v>36.939121998544742</v>
      </c>
      <c r="DA20" s="471">
        <f>(CZ20-CV20)*100</f>
        <v>18.236524178798419</v>
      </c>
      <c r="DC20" s="1008">
        <v>2560</v>
      </c>
      <c r="DD20" s="469">
        <f t="shared" ref="DD20:DD26" si="31">(1-DC20/DC10)*100</f>
        <v>35.548841893252771</v>
      </c>
      <c r="DE20" s="471">
        <f>(DD20-CZ20)*100</f>
        <v>-139.02801052919713</v>
      </c>
      <c r="DG20" s="1008">
        <v>2445</v>
      </c>
      <c r="DH20" s="469">
        <f t="shared" ref="DH20:DH26" si="32">(1-DG20/DG10)*100</f>
        <v>36.377829820452767</v>
      </c>
      <c r="DI20" s="471">
        <f>(DH20-DD20)*100</f>
        <v>82.898792719999648</v>
      </c>
      <c r="DJ20" s="471"/>
      <c r="DK20" s="1107">
        <f>(1-DL20%)*DK10</f>
        <v>2527.5227304599998</v>
      </c>
      <c r="DL20" s="1238">
        <v>36.43</v>
      </c>
      <c r="DM20" s="471">
        <f>(DL20-DH20)*100</f>
        <v>5.2170179547232465</v>
      </c>
      <c r="DN20" s="471"/>
      <c r="DO20" s="1270">
        <f>DI20+DM20</f>
        <v>88.115810674722894</v>
      </c>
      <c r="DP20" s="1271">
        <f>DI20+DM20+DA20</f>
        <v>106.35233485352131</v>
      </c>
    </row>
    <row r="21" spans="1:122" outlineLevel="1" x14ac:dyDescent="0.2">
      <c r="A21" s="448" t="s">
        <v>90</v>
      </c>
      <c r="C21" s="472">
        <v>102.91</v>
      </c>
      <c r="D21" s="469">
        <f t="shared" ref="D21:D26" si="33">(1-C21/C11)*100</f>
        <v>34.051075010413655</v>
      </c>
      <c r="E21" s="470" t="s">
        <v>1</v>
      </c>
      <c r="F21" s="305"/>
      <c r="G21" s="472">
        <v>116.98399999999998</v>
      </c>
      <c r="H21" s="469">
        <f t="shared" ref="H21:H26" si="34">(1-G21/G11)*100</f>
        <v>34.499440089585676</v>
      </c>
      <c r="I21" s="471">
        <f t="shared" si="0"/>
        <v>44.836507917202084</v>
      </c>
      <c r="K21" s="472">
        <v>141.577</v>
      </c>
      <c r="L21" s="469">
        <f t="shared" ref="L21:L26" si="35">(1-K21/K11)*100</f>
        <v>34.937040441176471</v>
      </c>
      <c r="M21" s="471">
        <f t="shared" si="1"/>
        <v>43.760035159079536</v>
      </c>
      <c r="O21" s="472">
        <v>168.44299999999998</v>
      </c>
      <c r="P21" s="469">
        <f t="shared" ref="P21:P26" si="36">(1-O21/O11)*100</f>
        <v>34.559829059829063</v>
      </c>
      <c r="Q21" s="471">
        <f t="shared" si="2"/>
        <v>-37.721138134740784</v>
      </c>
      <c r="R21" s="305"/>
      <c r="S21" s="472">
        <v>191.67700000000002</v>
      </c>
      <c r="T21" s="469">
        <f t="shared" ref="T21:T26" si="37">(1-S21/S11)*100</f>
        <v>34.446990424076596</v>
      </c>
      <c r="U21" s="471">
        <f t="shared" si="3"/>
        <v>-11.283863575246755</v>
      </c>
      <c r="W21" s="472">
        <v>241.18899999999999</v>
      </c>
      <c r="X21" s="469">
        <f t="shared" ref="X21:X26" si="38">(1-W21/W11)*100</f>
        <v>33.611615744563728</v>
      </c>
      <c r="Y21" s="471">
        <f t="shared" si="4"/>
        <v>-83.537467951286715</v>
      </c>
      <c r="AA21" s="472">
        <v>316.85599999999999</v>
      </c>
      <c r="AB21" s="469">
        <f t="shared" ref="AB21:AB26" si="39">(1-AA21/AA11)*100</f>
        <v>33.237252423093132</v>
      </c>
      <c r="AC21" s="471">
        <f t="shared" si="5"/>
        <v>-37.436332147059659</v>
      </c>
      <c r="AE21" s="472">
        <v>414.29199999999997</v>
      </c>
      <c r="AF21" s="469">
        <f t="shared" ref="AF21:AF26" si="40">(1-AE21/AE11)*100</f>
        <v>33.60034747097864</v>
      </c>
      <c r="AG21" s="471">
        <f t="shared" si="6"/>
        <v>36.309504788550839</v>
      </c>
      <c r="AI21" s="472">
        <v>500.27312499999999</v>
      </c>
      <c r="AJ21" s="469">
        <f t="shared" ref="AJ21:AJ26" si="41">(1-AI21/AI11)*100</f>
        <v>34.066144975288303</v>
      </c>
      <c r="AK21" s="471">
        <f t="shared" si="7"/>
        <v>46.579750430966271</v>
      </c>
      <c r="AM21" s="472">
        <v>612.79</v>
      </c>
      <c r="AN21" s="469">
        <f t="shared" ref="AN21:AN26" si="42">(1-AM21/AM11)*100</f>
        <v>34.774880255455031</v>
      </c>
      <c r="AO21" s="471">
        <f t="shared" si="8"/>
        <v>70.873528016672793</v>
      </c>
      <c r="AQ21" s="472">
        <v>815.52300000000002</v>
      </c>
      <c r="AR21" s="469">
        <f t="shared" ref="AR21:AR26" si="43">(1-AQ21/AQ11)*100</f>
        <v>35.038792416759598</v>
      </c>
      <c r="AS21" s="471">
        <f t="shared" si="9"/>
        <v>26.391216130456741</v>
      </c>
      <c r="AU21" s="472">
        <v>977.096</v>
      </c>
      <c r="AV21" s="469">
        <f t="shared" ref="AV21:AV26" si="44">(1-AU21/AU11)*100</f>
        <v>35.539253199630558</v>
      </c>
      <c r="AW21" s="471">
        <f t="shared" si="10"/>
        <v>50.046078287095952</v>
      </c>
      <c r="AY21" s="472">
        <v>1232.4000000000001</v>
      </c>
      <c r="AZ21" s="469">
        <f t="shared" ref="AZ21:AZ26" si="45">(1-AY21/AY11)*100</f>
        <v>35.875956085124095</v>
      </c>
      <c r="BA21" s="471">
        <f t="shared" si="11"/>
        <v>33.6702885493537</v>
      </c>
      <c r="BC21" s="472">
        <v>1471.7</v>
      </c>
      <c r="BD21" s="469">
        <f t="shared" ref="BD21:BD26" si="46">(1-BC21/BC11)*100</f>
        <v>33.358992936062307</v>
      </c>
      <c r="BE21" s="471">
        <f t="shared" si="12"/>
        <v>-251.69631490617874</v>
      </c>
      <c r="BG21" s="472">
        <v>1587.809</v>
      </c>
      <c r="BH21" s="469">
        <f t="shared" ref="BH21:BH26" si="47">(1-BG21/BG11)*100</f>
        <v>36.434244765603111</v>
      </c>
      <c r="BI21" s="471">
        <f t="shared" si="13"/>
        <v>307.52518295408038</v>
      </c>
      <c r="BK21" s="472">
        <v>1821.9</v>
      </c>
      <c r="BL21" s="469">
        <f t="shared" ref="BL21:BL26" si="48">(1-BK21/BK11)*100</f>
        <v>36.9170042588553</v>
      </c>
      <c r="BM21" s="471">
        <f t="shared" si="14"/>
        <v>48.275949325218903</v>
      </c>
      <c r="BO21" s="472">
        <v>2062.1999999999998</v>
      </c>
      <c r="BP21" s="469">
        <f t="shared" ref="BP21:BP26" si="49">(1-BO21/BO11)*100</f>
        <v>37.537615398059131</v>
      </c>
      <c r="BQ21" s="471">
        <f t="shared" si="15"/>
        <v>62.061113920383093</v>
      </c>
      <c r="BS21" s="472">
        <v>2192.8000000000002</v>
      </c>
      <c r="BT21" s="469">
        <f t="shared" ref="BT21:BT26" si="50">(1-BS21/BS11)*100</f>
        <v>38.905605706006895</v>
      </c>
      <c r="BU21" s="471">
        <f t="shared" si="16"/>
        <v>136.7990307947764</v>
      </c>
      <c r="BW21" s="472">
        <v>2250.5520000000001</v>
      </c>
      <c r="BX21" s="469">
        <f t="shared" ref="BX21:BX26" si="51">(1-BW21/BW11)*100</f>
        <v>39.590443136339104</v>
      </c>
      <c r="BY21" s="471">
        <f t="shared" si="17"/>
        <v>68.48374303322089</v>
      </c>
      <c r="CA21" s="472">
        <v>2286</v>
      </c>
      <c r="CB21" s="469">
        <f t="shared" si="18"/>
        <v>39.936941671045723</v>
      </c>
      <c r="CC21" s="471">
        <f t="shared" si="19"/>
        <v>34.649853470661895</v>
      </c>
      <c r="CE21" s="985">
        <v>2449</v>
      </c>
      <c r="CF21" s="469">
        <f t="shared" si="20"/>
        <v>40.268292682926834</v>
      </c>
      <c r="CG21" s="471">
        <f t="shared" si="21"/>
        <v>33.135101188111094</v>
      </c>
      <c r="CI21" s="985">
        <v>2520</v>
      </c>
      <c r="CJ21" s="469">
        <f t="shared" si="22"/>
        <v>40.677966101694921</v>
      </c>
      <c r="CK21" s="471">
        <f t="shared" si="23"/>
        <v>40.967341876808661</v>
      </c>
      <c r="CM21" s="985">
        <v>2563</v>
      </c>
      <c r="CN21" s="469">
        <f t="shared" si="24"/>
        <v>39.048751486325806</v>
      </c>
      <c r="CO21" s="471">
        <f t="shared" si="25"/>
        <v>-162.92146153691149</v>
      </c>
      <c r="CQ21" s="985">
        <v>2613</v>
      </c>
      <c r="CR21" s="469">
        <f t="shared" si="26"/>
        <v>39.076707857309401</v>
      </c>
      <c r="CS21" s="471">
        <f>(CR21-CN21)*100</f>
        <v>2.7956370983595491</v>
      </c>
      <c r="CU21" s="985">
        <v>2588</v>
      </c>
      <c r="CV21" s="469">
        <f t="shared" si="28"/>
        <v>38.991041961338993</v>
      </c>
      <c r="CW21" s="471">
        <f t="shared" si="29"/>
        <v>-8.5665895970407746</v>
      </c>
      <c r="CY21" s="985">
        <v>2605</v>
      </c>
      <c r="CZ21" s="469">
        <f t="shared" si="30"/>
        <v>38.950082024841812</v>
      </c>
      <c r="DA21" s="471">
        <f t="shared" ref="DA21:DA26" si="52">(CZ21-CV21)*100</f>
        <v>-4.0959936497181104</v>
      </c>
      <c r="DC21" s="985">
        <v>2532</v>
      </c>
      <c r="DD21" s="469">
        <f t="shared" si="31"/>
        <v>39.454806312769009</v>
      </c>
      <c r="DE21" s="471">
        <f t="shared" ref="DE21:DE26" si="53">(DD21-CZ21)*100</f>
        <v>50.472428792719626</v>
      </c>
      <c r="DG21" s="1017">
        <v>2511</v>
      </c>
      <c r="DH21" s="469">
        <f t="shared" si="32"/>
        <v>39.406370656370662</v>
      </c>
      <c r="DI21" s="471">
        <f t="shared" ref="DI21:DI26" si="54">(DH21-DD21)*100</f>
        <v>-4.8435656398346794</v>
      </c>
      <c r="DJ21" s="471"/>
      <c r="DK21" s="1020">
        <f>(1-DL21%)*DK11</f>
        <v>2528.2618591999999</v>
      </c>
      <c r="DL21" s="1238">
        <v>39.450000000000003</v>
      </c>
      <c r="DM21" s="471">
        <f t="shared" ref="DM21:DM26" si="55">(DL21-DH21)*100</f>
        <v>4.3629343629341122</v>
      </c>
      <c r="DN21" s="471"/>
      <c r="DO21" s="1270">
        <f>DI21+DM21</f>
        <v>-0.48063127690056717</v>
      </c>
      <c r="DP21" s="1271">
        <f>DI21+DM21+DA21</f>
        <v>-4.5766249266186776</v>
      </c>
    </row>
    <row r="22" spans="1:122" outlineLevel="1" x14ac:dyDescent="0.2">
      <c r="A22" s="448" t="s">
        <v>91</v>
      </c>
      <c r="C22" s="472">
        <v>130.49900000000002</v>
      </c>
      <c r="D22" s="469">
        <f t="shared" si="33"/>
        <v>34.634148784837002</v>
      </c>
      <c r="E22" s="470" t="s">
        <v>1</v>
      </c>
      <c r="F22" s="305"/>
      <c r="G22" s="472">
        <v>160.53100000000001</v>
      </c>
      <c r="H22" s="469">
        <f t="shared" si="34"/>
        <v>33.000417362270454</v>
      </c>
      <c r="I22" s="471">
        <f t="shared" si="0"/>
        <v>-163.3731422566548</v>
      </c>
      <c r="K22" s="472">
        <v>188.95400000000001</v>
      </c>
      <c r="L22" s="469">
        <f t="shared" si="35"/>
        <v>33.74684431977559</v>
      </c>
      <c r="M22" s="471">
        <f t="shared" si="1"/>
        <v>74.64269575051361</v>
      </c>
      <c r="O22" s="472">
        <v>227.66499999999999</v>
      </c>
      <c r="P22" s="469">
        <f t="shared" si="36"/>
        <v>33.216485772953938</v>
      </c>
      <c r="Q22" s="471">
        <f t="shared" si="2"/>
        <v>-53.035854682165251</v>
      </c>
      <c r="R22" s="305"/>
      <c r="S22" s="472">
        <v>259.37</v>
      </c>
      <c r="T22" s="469">
        <f t="shared" si="37"/>
        <v>33.409499358151471</v>
      </c>
      <c r="U22" s="471">
        <f t="shared" si="3"/>
        <v>19.301358519753364</v>
      </c>
      <c r="W22" s="472">
        <v>324.68099999999998</v>
      </c>
      <c r="X22" s="469">
        <f t="shared" si="38"/>
        <v>33.289295253749742</v>
      </c>
      <c r="Y22" s="471">
        <f t="shared" si="4"/>
        <v>-12.020410440172924</v>
      </c>
      <c r="AA22" s="472">
        <v>398.077</v>
      </c>
      <c r="AB22" s="469">
        <f t="shared" si="39"/>
        <v>33.454195921096627</v>
      </c>
      <c r="AC22" s="471">
        <f t="shared" si="5"/>
        <v>16.490066734688469</v>
      </c>
      <c r="AE22" s="472">
        <v>501.99700000000001</v>
      </c>
      <c r="AF22" s="469">
        <f t="shared" si="40"/>
        <v>33.756004222750057</v>
      </c>
      <c r="AG22" s="471">
        <f t="shared" si="6"/>
        <v>30.180830165343053</v>
      </c>
      <c r="AI22" s="472">
        <v>587.375</v>
      </c>
      <c r="AJ22" s="469">
        <f t="shared" si="41"/>
        <v>33.917421387185684</v>
      </c>
      <c r="AK22" s="471">
        <f t="shared" si="7"/>
        <v>16.141716443562615</v>
      </c>
      <c r="AM22" s="472">
        <v>722.54200000000003</v>
      </c>
      <c r="AN22" s="469">
        <f t="shared" si="42"/>
        <v>34.295249527135162</v>
      </c>
      <c r="AO22" s="471">
        <f t="shared" si="8"/>
        <v>37.782813994947873</v>
      </c>
      <c r="AQ22" s="472">
        <v>947.44100000000003</v>
      </c>
      <c r="AR22" s="469">
        <f t="shared" si="43"/>
        <v>34.43314878892734</v>
      </c>
      <c r="AS22" s="471">
        <f t="shared" si="9"/>
        <v>13.789926179217815</v>
      </c>
      <c r="AU22" s="472">
        <v>1149.9259999999999</v>
      </c>
      <c r="AV22" s="469">
        <f t="shared" si="44"/>
        <v>34.67613753205336</v>
      </c>
      <c r="AW22" s="471">
        <f t="shared" si="10"/>
        <v>24.298874312601981</v>
      </c>
      <c r="AY22" s="472">
        <v>1396.5</v>
      </c>
      <c r="AZ22" s="469">
        <f t="shared" si="45"/>
        <v>34.846505551926846</v>
      </c>
      <c r="BA22" s="471">
        <f t="shared" si="11"/>
        <v>17.036801987348582</v>
      </c>
      <c r="BC22" s="472">
        <v>1578.7</v>
      </c>
      <c r="BD22" s="469">
        <f t="shared" si="46"/>
        <v>34.055973266499585</v>
      </c>
      <c r="BE22" s="471">
        <f t="shared" si="12"/>
        <v>-79.053228542726117</v>
      </c>
      <c r="BG22" s="472">
        <v>1758.3</v>
      </c>
      <c r="BH22" s="469">
        <f t="shared" si="47"/>
        <v>35.919676373045675</v>
      </c>
      <c r="BI22" s="471">
        <f t="shared" si="13"/>
        <v>186.37031065460903</v>
      </c>
      <c r="BK22" s="472">
        <v>1986.8</v>
      </c>
      <c r="BL22" s="469">
        <f t="shared" si="48"/>
        <v>36.308264409822414</v>
      </c>
      <c r="BM22" s="471">
        <f t="shared" si="14"/>
        <v>38.858803677673848</v>
      </c>
      <c r="BO22" s="472">
        <v>2299.5859999999998</v>
      </c>
      <c r="BP22" s="469">
        <f t="shared" si="49"/>
        <v>37.006169575953287</v>
      </c>
      <c r="BQ22" s="471">
        <f t="shared" si="15"/>
        <v>69.790516613087306</v>
      </c>
      <c r="BS22" s="472">
        <v>2407.1999999999998</v>
      </c>
      <c r="BT22" s="469">
        <f t="shared" si="50"/>
        <v>37.069957126424768</v>
      </c>
      <c r="BU22" s="471">
        <f t="shared" si="16"/>
        <v>6.3787550471481325</v>
      </c>
      <c r="BW22" s="472">
        <v>2380.8519999999999</v>
      </c>
      <c r="BX22" s="469">
        <f t="shared" si="51"/>
        <v>37.406106609731872</v>
      </c>
      <c r="BY22" s="471">
        <f t="shared" si="17"/>
        <v>33.614948330710348</v>
      </c>
      <c r="CA22" s="472">
        <v>2512</v>
      </c>
      <c r="CB22" s="469">
        <f t="shared" si="18"/>
        <v>37.990619600098739</v>
      </c>
      <c r="CC22" s="471">
        <f t="shared" si="19"/>
        <v>58.451299036686777</v>
      </c>
      <c r="CE22" s="985">
        <v>2596</v>
      </c>
      <c r="CF22" s="469">
        <f t="shared" si="20"/>
        <v>38.454243717401617</v>
      </c>
      <c r="CG22" s="471">
        <f t="shared" si="21"/>
        <v>46.362411730287789</v>
      </c>
      <c r="CI22" s="985">
        <v>2688</v>
      </c>
      <c r="CJ22" s="469">
        <f t="shared" si="22"/>
        <v>38.574040219378425</v>
      </c>
      <c r="CK22" s="471">
        <f t="shared" si="23"/>
        <v>11.979650197680769</v>
      </c>
      <c r="CM22" s="985">
        <v>2778</v>
      </c>
      <c r="CN22" s="469">
        <f t="shared" si="24"/>
        <v>38.129175946547889</v>
      </c>
      <c r="CO22" s="471">
        <f t="shared" si="25"/>
        <v>-44.486427283053587</v>
      </c>
      <c r="CQ22" s="985">
        <v>2778</v>
      </c>
      <c r="CR22" s="469">
        <f t="shared" si="26"/>
        <v>37.488748874887492</v>
      </c>
      <c r="CS22" s="471">
        <f t="shared" si="27"/>
        <v>-64.042707166039747</v>
      </c>
      <c r="CU22" s="985">
        <v>2746</v>
      </c>
      <c r="CV22" s="469">
        <f t="shared" si="28"/>
        <v>37.219935985368082</v>
      </c>
      <c r="CW22" s="471">
        <f>(CV22-CR22)*100</f>
        <v>-26.881288951940974</v>
      </c>
      <c r="CY22" s="985">
        <v>2784</v>
      </c>
      <c r="CZ22" s="469">
        <f t="shared" si="30"/>
        <v>37.113169189067087</v>
      </c>
      <c r="DA22" s="471">
        <f t="shared" si="52"/>
        <v>-10.676679630099528</v>
      </c>
      <c r="DC22" s="985">
        <v>2720</v>
      </c>
      <c r="DD22" s="469">
        <f t="shared" si="31"/>
        <v>37.13889530852785</v>
      </c>
      <c r="DE22" s="471">
        <f>(DD22-CZ22)*100</f>
        <v>2.5726119460763641</v>
      </c>
      <c r="DG22" s="1017">
        <v>2737</v>
      </c>
      <c r="DH22" s="469">
        <f t="shared" si="32"/>
        <v>36.819021237303787</v>
      </c>
      <c r="DI22" s="471">
        <f t="shared" si="54"/>
        <v>-31.987407122406353</v>
      </c>
      <c r="DJ22" s="471"/>
      <c r="DK22" s="1020">
        <f>(1-DL22%)*DK12</f>
        <v>2696.2284608999994</v>
      </c>
      <c r="DL22" s="1238">
        <v>36.950000000000003</v>
      </c>
      <c r="DM22" s="471">
        <f t="shared" si="55"/>
        <v>13.097876269621622</v>
      </c>
      <c r="DN22" s="471"/>
      <c r="DO22" s="1270">
        <f>DI22+DM22</f>
        <v>-18.889530852784731</v>
      </c>
      <c r="DP22" s="1271">
        <f>DI22+DM22+DA22</f>
        <v>-29.566210482884259</v>
      </c>
    </row>
    <row r="23" spans="1:122" outlineLevel="1" x14ac:dyDescent="0.2">
      <c r="A23" s="448" t="s">
        <v>92</v>
      </c>
      <c r="C23" s="474">
        <v>184.83600000000001</v>
      </c>
      <c r="D23" s="469">
        <f t="shared" si="33"/>
        <v>32.228471697698112</v>
      </c>
      <c r="E23" s="470" t="s">
        <v>1</v>
      </c>
      <c r="F23" s="305"/>
      <c r="G23" s="474">
        <v>216.39700000000005</v>
      </c>
      <c r="H23" s="469">
        <f t="shared" si="34"/>
        <v>32.607598878853928</v>
      </c>
      <c r="I23" s="471">
        <f t="shared" si="0"/>
        <v>37.912718115581612</v>
      </c>
      <c r="K23" s="474">
        <v>255.863</v>
      </c>
      <c r="L23" s="469">
        <f t="shared" si="35"/>
        <v>32.561149182920403</v>
      </c>
      <c r="M23" s="471">
        <f t="shared" si="1"/>
        <v>-4.6449695933524993</v>
      </c>
      <c r="O23" s="474">
        <v>309.51799999999997</v>
      </c>
      <c r="P23" s="469">
        <f t="shared" si="36"/>
        <v>32.286589367753237</v>
      </c>
      <c r="Q23" s="471">
        <f t="shared" si="2"/>
        <v>-27.455981516716577</v>
      </c>
      <c r="R23" s="305"/>
      <c r="S23" s="474">
        <v>385.596</v>
      </c>
      <c r="T23" s="469">
        <f t="shared" si="37"/>
        <v>31.673104865861013</v>
      </c>
      <c r="U23" s="471">
        <f t="shared" si="3"/>
        <v>-61.348450189222348</v>
      </c>
      <c r="W23" s="474">
        <v>487.298</v>
      </c>
      <c r="X23" s="469">
        <f t="shared" si="38"/>
        <v>31.07524752475247</v>
      </c>
      <c r="Y23" s="471">
        <f t="shared" si="4"/>
        <v>-59.785734110854349</v>
      </c>
      <c r="AA23" s="474">
        <v>577.84</v>
      </c>
      <c r="AB23" s="469">
        <f t="shared" si="39"/>
        <v>31.778040141676499</v>
      </c>
      <c r="AC23" s="471">
        <f t="shared" si="5"/>
        <v>70.279261692402883</v>
      </c>
      <c r="AE23" s="474">
        <v>734.39599999999996</v>
      </c>
      <c r="AF23" s="469">
        <f t="shared" si="40"/>
        <v>31.861569864538875</v>
      </c>
      <c r="AG23" s="471">
        <f t="shared" si="6"/>
        <v>8.3529722862376587</v>
      </c>
      <c r="AI23" s="474">
        <v>873.27300000000002</v>
      </c>
      <c r="AJ23" s="469">
        <f t="shared" si="41"/>
        <v>32.278169833268713</v>
      </c>
      <c r="AK23" s="471">
        <f t="shared" si="7"/>
        <v>41.65999687298374</v>
      </c>
      <c r="AM23" s="474">
        <v>1081.913</v>
      </c>
      <c r="AN23" s="469">
        <f t="shared" si="42"/>
        <v>32.695925349922241</v>
      </c>
      <c r="AO23" s="471">
        <f t="shared" si="8"/>
        <v>41.77555166535285</v>
      </c>
      <c r="AQ23" s="474">
        <v>1490.405</v>
      </c>
      <c r="AR23" s="469">
        <f t="shared" si="43"/>
        <v>32.958256488686963</v>
      </c>
      <c r="AS23" s="471">
        <f t="shared" si="9"/>
        <v>26.233113876472203</v>
      </c>
      <c r="AU23" s="474">
        <v>1828.4970000000001</v>
      </c>
      <c r="AV23" s="469">
        <f t="shared" si="44"/>
        <v>32.879487555979722</v>
      </c>
      <c r="AW23" s="471">
        <f t="shared" si="10"/>
        <v>-7.876893270724139</v>
      </c>
      <c r="AY23" s="474">
        <v>2142.7769999999996</v>
      </c>
      <c r="AZ23" s="469">
        <f t="shared" si="45"/>
        <v>32.710180881798792</v>
      </c>
      <c r="BA23" s="471">
        <f t="shared" si="11"/>
        <v>-16.930667418093037</v>
      </c>
      <c r="BC23" s="474">
        <v>2465.1999999999998</v>
      </c>
      <c r="BD23" s="469">
        <f t="shared" si="46"/>
        <v>30.789747045116378</v>
      </c>
      <c r="BE23" s="471">
        <f t="shared" si="12"/>
        <v>-192.04338366824132</v>
      </c>
      <c r="BG23" s="474">
        <v>2708.116</v>
      </c>
      <c r="BH23" s="469">
        <f t="shared" si="47"/>
        <v>33.603452080319705</v>
      </c>
      <c r="BI23" s="471">
        <f t="shared" si="13"/>
        <v>281.3705035203327</v>
      </c>
      <c r="BK23" s="474">
        <v>3073.3</v>
      </c>
      <c r="BL23" s="469">
        <f t="shared" si="48"/>
        <v>33.934521378361516</v>
      </c>
      <c r="BM23" s="471">
        <f t="shared" si="14"/>
        <v>33.106929804181107</v>
      </c>
      <c r="BO23" s="474">
        <v>3519.4</v>
      </c>
      <c r="BP23" s="469">
        <f t="shared" si="49"/>
        <v>35.407260580699628</v>
      </c>
      <c r="BQ23" s="471">
        <f t="shared" si="15"/>
        <v>147.27392023381114</v>
      </c>
      <c r="BS23" s="474">
        <v>3605.4</v>
      </c>
      <c r="BT23" s="469">
        <f t="shared" si="50"/>
        <v>34.295555191077575</v>
      </c>
      <c r="BU23" s="471">
        <f t="shared" si="16"/>
        <v>-111.17053896220526</v>
      </c>
      <c r="BW23" s="474">
        <v>3413</v>
      </c>
      <c r="BX23" s="469">
        <f t="shared" si="51"/>
        <v>34.804202483285572</v>
      </c>
      <c r="BY23" s="471">
        <f t="shared" si="17"/>
        <v>50.864729220799632</v>
      </c>
      <c r="CA23" s="474">
        <v>3612</v>
      </c>
      <c r="CB23" s="469">
        <f t="shared" si="18"/>
        <v>36.442020059827549</v>
      </c>
      <c r="CC23" s="471">
        <f t="shared" si="19"/>
        <v>163.78175765419769</v>
      </c>
      <c r="CE23" s="1009">
        <v>3815</v>
      </c>
      <c r="CF23" s="469">
        <f t="shared" si="20"/>
        <v>36.816826763829077</v>
      </c>
      <c r="CG23" s="471">
        <f t="shared" si="21"/>
        <v>37.48067040015286</v>
      </c>
      <c r="CI23" s="1009">
        <v>3841</v>
      </c>
      <c r="CJ23" s="469">
        <f t="shared" si="22"/>
        <v>36.174808906613499</v>
      </c>
      <c r="CK23" s="471">
        <f t="shared" si="23"/>
        <v>-64.201785721557769</v>
      </c>
      <c r="CM23" s="1009">
        <v>4230</v>
      </c>
      <c r="CN23" s="469">
        <f t="shared" si="24"/>
        <v>33.301797540208135</v>
      </c>
      <c r="CO23" s="471">
        <f t="shared" si="25"/>
        <v>-287.30113664053647</v>
      </c>
      <c r="CQ23" s="1009">
        <v>4024</v>
      </c>
      <c r="CR23" s="469">
        <f t="shared" si="26"/>
        <v>34.021970814887695</v>
      </c>
      <c r="CS23" s="471">
        <f t="shared" si="27"/>
        <v>72.017327467955994</v>
      </c>
      <c r="CU23" s="1009">
        <v>4190</v>
      </c>
      <c r="CV23" s="469">
        <f t="shared" si="28"/>
        <v>33.880385040239858</v>
      </c>
      <c r="CW23" s="471">
        <f t="shared" si="29"/>
        <v>-14.158577464783662</v>
      </c>
      <c r="CY23" s="1009">
        <v>4275</v>
      </c>
      <c r="CZ23" s="469">
        <f t="shared" si="30"/>
        <v>33.067167684358857</v>
      </c>
      <c r="DA23" s="471">
        <f t="shared" si="52"/>
        <v>-81.321735588100097</v>
      </c>
      <c r="DC23" s="1009">
        <v>4133</v>
      </c>
      <c r="DD23" s="469">
        <f t="shared" si="31"/>
        <v>33.392425463336018</v>
      </c>
      <c r="DE23" s="471">
        <f t="shared" si="53"/>
        <v>32.525777897716068</v>
      </c>
      <c r="DG23" s="1018">
        <v>4483</v>
      </c>
      <c r="DH23" s="469">
        <f t="shared" si="32"/>
        <v>33.840023612750883</v>
      </c>
      <c r="DI23" s="471">
        <f t="shared" si="54"/>
        <v>44.759814941486553</v>
      </c>
      <c r="DJ23" s="471"/>
      <c r="DK23" s="1021">
        <f>(1-DL23%)*DK13</f>
        <v>4224.3881064000007</v>
      </c>
      <c r="DL23" s="1238">
        <v>33.549999999999997</v>
      </c>
      <c r="DM23" s="471">
        <f t="shared" si="55"/>
        <v>-29.002361275088617</v>
      </c>
      <c r="DN23" s="471"/>
      <c r="DO23" s="1272">
        <f>DI23+DM23</f>
        <v>15.757453666397936</v>
      </c>
      <c r="DP23" s="1273">
        <f>DI23+DM23+DA23</f>
        <v>-65.564281921702161</v>
      </c>
      <c r="DR23" s="413"/>
    </row>
    <row r="24" spans="1:122" outlineLevel="1" x14ac:dyDescent="0.2">
      <c r="A24" s="448" t="s">
        <v>93</v>
      </c>
      <c r="C24" s="319">
        <f>SUM(C20:C23)</f>
        <v>525.23400000000004</v>
      </c>
      <c r="D24" s="469">
        <f t="shared" si="33"/>
        <v>33.497426547395214</v>
      </c>
      <c r="E24" s="470" t="s">
        <v>1</v>
      </c>
      <c r="F24" s="305"/>
      <c r="G24" s="319">
        <f>SUM(G20:G23)</f>
        <v>620.37300000000005</v>
      </c>
      <c r="H24" s="469">
        <f t="shared" si="34"/>
        <v>33.323767822481308</v>
      </c>
      <c r="I24" s="471">
        <f t="shared" si="0"/>
        <v>-17.365872491390633</v>
      </c>
      <c r="K24" s="468">
        <v>724.37</v>
      </c>
      <c r="L24" s="469">
        <f t="shared" si="35"/>
        <v>33.959425849883665</v>
      </c>
      <c r="M24" s="471">
        <f t="shared" si="1"/>
        <v>63.565802740235711</v>
      </c>
      <c r="O24" s="319">
        <f>SUM(O20:O23)</f>
        <v>868.87599999999998</v>
      </c>
      <c r="P24" s="469">
        <f t="shared" si="36"/>
        <v>33.4500612745098</v>
      </c>
      <c r="Q24" s="471">
        <f t="shared" si="2"/>
        <v>-50.936457537386559</v>
      </c>
      <c r="R24" s="305"/>
      <c r="S24" s="319">
        <f>SUM(S20:S23)</f>
        <v>1038.5520000000001</v>
      </c>
      <c r="T24" s="469">
        <f t="shared" si="37"/>
        <v>33.170832153612508</v>
      </c>
      <c r="U24" s="471">
        <f t="shared" si="3"/>
        <v>-27.922912089729124</v>
      </c>
      <c r="W24" s="319">
        <f>SUM(W20:W23)</f>
        <v>1296.0509999999999</v>
      </c>
      <c r="X24" s="469">
        <f t="shared" si="38"/>
        <v>32.696065627062595</v>
      </c>
      <c r="Y24" s="471">
        <f t="shared" si="4"/>
        <v>-47.476652654991369</v>
      </c>
      <c r="AA24" s="319">
        <f>SUM(AA20:AA23)</f>
        <v>1603.4380000000001</v>
      </c>
      <c r="AB24" s="469">
        <f t="shared" si="39"/>
        <v>32.868411136696665</v>
      </c>
      <c r="AC24" s="471">
        <f t="shared" si="5"/>
        <v>17.234550963407003</v>
      </c>
      <c r="AE24" s="319">
        <f>SUM(AE20:AE23)</f>
        <v>2046.5609999999999</v>
      </c>
      <c r="AF24" s="469">
        <f t="shared" si="40"/>
        <v>33.120757469402797</v>
      </c>
      <c r="AG24" s="471">
        <f t="shared" si="6"/>
        <v>25.234633270613216</v>
      </c>
      <c r="AI24" s="319">
        <f>SUM(AI20:AI23)</f>
        <v>2452.0231250000002</v>
      </c>
      <c r="AJ24" s="469">
        <f t="shared" si="41"/>
        <v>33.399703262080003</v>
      </c>
      <c r="AK24" s="471">
        <f t="shared" si="7"/>
        <v>27.894579267720587</v>
      </c>
      <c r="AM24" s="319">
        <f>SUM(AM20:AM23)</f>
        <v>3014.373</v>
      </c>
      <c r="AN24" s="469">
        <f t="shared" si="42"/>
        <v>33.851520085670764</v>
      </c>
      <c r="AO24" s="471">
        <f t="shared" si="8"/>
        <v>45.181682359076092</v>
      </c>
      <c r="AQ24" s="319">
        <f>SUM(AQ20:AQ23)</f>
        <v>4054.2709999999997</v>
      </c>
      <c r="AR24" s="469">
        <f t="shared" si="43"/>
        <v>34.100468125223507</v>
      </c>
      <c r="AS24" s="471">
        <f t="shared" si="9"/>
        <v>24.894803955274369</v>
      </c>
      <c r="AU24" s="319">
        <f>SUM(AU20:AU23)</f>
        <v>4921.268</v>
      </c>
      <c r="AV24" s="469">
        <f t="shared" si="44"/>
        <v>34.283607477239542</v>
      </c>
      <c r="AW24" s="471">
        <f t="shared" si="10"/>
        <v>18.313935201603471</v>
      </c>
      <c r="AY24" s="319">
        <f>SUM(AY20:AY23)</f>
        <v>5983.2549999999992</v>
      </c>
      <c r="AZ24" s="469">
        <f t="shared" si="45"/>
        <v>34.395572465516125</v>
      </c>
      <c r="BA24" s="471">
        <f t="shared" si="11"/>
        <v>11.196498827658274</v>
      </c>
      <c r="BC24" s="319">
        <f>SUM(BC20:BC23)</f>
        <v>6892.0789999999997</v>
      </c>
      <c r="BD24" s="469">
        <f t="shared" si="46"/>
        <v>32.969470920054469</v>
      </c>
      <c r="BE24" s="471">
        <f t="shared" si="12"/>
        <v>-142.61015454616555</v>
      </c>
      <c r="BG24" s="319">
        <f>SUM(BG20:BG23)</f>
        <v>7587.0249999999996</v>
      </c>
      <c r="BH24" s="469">
        <f t="shared" si="47"/>
        <v>35.157511943729872</v>
      </c>
      <c r="BI24" s="471">
        <f t="shared" si="13"/>
        <v>218.80410236754031</v>
      </c>
      <c r="BK24" s="319">
        <f>SUM(BK20:BK23)</f>
        <v>8641.6</v>
      </c>
      <c r="BL24" s="469">
        <f t="shared" si="48"/>
        <v>35.521033860112517</v>
      </c>
      <c r="BM24" s="471">
        <f t="shared" si="14"/>
        <v>36.352191638264486</v>
      </c>
      <c r="BO24" s="319">
        <f>SUM(BO20:BO23)</f>
        <v>9917.7179999999989</v>
      </c>
      <c r="BP24" s="469">
        <f t="shared" si="49"/>
        <v>36.364924873764082</v>
      </c>
      <c r="BQ24" s="471">
        <f t="shared" si="15"/>
        <v>84.389101365156449</v>
      </c>
      <c r="BS24" s="319">
        <f>SUM(BS20:BS23)</f>
        <v>10459.6</v>
      </c>
      <c r="BT24" s="469">
        <f t="shared" si="50"/>
        <v>36.507281302925264</v>
      </c>
      <c r="BU24" s="471">
        <f t="shared" si="16"/>
        <v>14.235642916118252</v>
      </c>
      <c r="BW24" s="319">
        <f>SUM(BW20:BW23)</f>
        <v>10333.613000000001</v>
      </c>
      <c r="BX24" s="469">
        <f t="shared" si="51"/>
        <v>36.945557460832958</v>
      </c>
      <c r="BY24" s="471">
        <f t="shared" si="17"/>
        <v>43.827615790769414</v>
      </c>
      <c r="CA24" s="319">
        <f>SUM(CA20:CA23)</f>
        <v>10680</v>
      </c>
      <c r="CB24" s="469">
        <f t="shared" si="18"/>
        <v>37.827453719874256</v>
      </c>
      <c r="CC24" s="471">
        <f t="shared" si="19"/>
        <v>88.189625904129798</v>
      </c>
      <c r="CE24" s="319">
        <f>SUM(CE20:CE23)</f>
        <v>11358</v>
      </c>
      <c r="CF24" s="469">
        <f t="shared" si="20"/>
        <v>38.241531183731169</v>
      </c>
      <c r="CG24" s="471">
        <f t="shared" si="21"/>
        <v>41.407746385691269</v>
      </c>
      <c r="CI24" s="319">
        <f>SUM(CI20:CI23)</f>
        <v>11625</v>
      </c>
      <c r="CJ24" s="469">
        <f t="shared" si="22"/>
        <v>38.178047223994895</v>
      </c>
      <c r="CK24" s="471">
        <f t="shared" si="23"/>
        <v>-6.3483959736274187</v>
      </c>
      <c r="CM24" s="319">
        <f>SUM(CM20:CM23)</f>
        <v>12290</v>
      </c>
      <c r="CN24" s="469">
        <f t="shared" si="24"/>
        <v>36.255186721991706</v>
      </c>
      <c r="CO24" s="471">
        <f t="shared" si="25"/>
        <v>-192.28605020031893</v>
      </c>
      <c r="CQ24" s="319">
        <f>SUM(CQ20:CQ23)</f>
        <v>12086</v>
      </c>
      <c r="CR24" s="469">
        <f t="shared" si="26"/>
        <v>36.493090221218019</v>
      </c>
      <c r="CS24" s="471">
        <f t="shared" si="27"/>
        <v>23.790349922631293</v>
      </c>
      <c r="CU24" s="319">
        <f>SUM(CU20:CU23)</f>
        <v>12098</v>
      </c>
      <c r="CV24" s="469">
        <f t="shared" si="28"/>
        <v>36.403301266887453</v>
      </c>
      <c r="CW24" s="471">
        <f t="shared" si="29"/>
        <v>-8.9788954330565218</v>
      </c>
      <c r="CY24" s="319">
        <f>SUM(CY20:CY23)</f>
        <v>12264</v>
      </c>
      <c r="CZ24" s="469">
        <f t="shared" si="30"/>
        <v>36.138304519891683</v>
      </c>
      <c r="DA24" s="471">
        <f t="shared" si="52"/>
        <v>-26.499674699577014</v>
      </c>
      <c r="DC24" s="319">
        <f>SUM(DC20:DC23)</f>
        <v>11945</v>
      </c>
      <c r="DD24" s="469">
        <f t="shared" si="31"/>
        <v>36.075136465803268</v>
      </c>
      <c r="DE24" s="471">
        <f t="shared" si="53"/>
        <v>-6.3168054088414749</v>
      </c>
      <c r="DG24" s="449">
        <f>SUM(DG20:DG23)</f>
        <v>12176</v>
      </c>
      <c r="DH24" s="469">
        <f t="shared" si="32"/>
        <v>36.234616391725581</v>
      </c>
      <c r="DI24" s="471">
        <f t="shared" si="54"/>
        <v>15.94799259223123</v>
      </c>
      <c r="DJ24" s="471"/>
      <c r="DK24" s="449">
        <f>SUM(DK20:DK23)</f>
        <v>11976.401156960001</v>
      </c>
      <c r="DL24" s="1239">
        <f>(1-DK24/DK14)*100</f>
        <v>36.245003114180349</v>
      </c>
      <c r="DM24" s="471">
        <f t="shared" si="55"/>
        <v>1.038672245476846</v>
      </c>
      <c r="DN24" s="471"/>
      <c r="DO24" s="1274">
        <f>DI24+DM24</f>
        <v>16.986664837708076</v>
      </c>
      <c r="DP24" s="1275">
        <f>DI24+DM24+DA24</f>
        <v>-9.5130098618689374</v>
      </c>
      <c r="DQ24" s="478"/>
      <c r="DR24" s="478"/>
    </row>
    <row r="25" spans="1:122" outlineLevel="1" x14ac:dyDescent="0.2">
      <c r="A25" s="448" t="s">
        <v>467</v>
      </c>
      <c r="C25" s="413">
        <f>C20+C21</f>
        <v>209.899</v>
      </c>
      <c r="D25" s="469">
        <f t="shared" si="33"/>
        <v>33.872791942460559</v>
      </c>
      <c r="E25" s="470" t="s">
        <v>1</v>
      </c>
      <c r="F25" s="305"/>
      <c r="G25" s="413">
        <f>G20+G21</f>
        <v>243.44499999999999</v>
      </c>
      <c r="H25" s="469">
        <f t="shared" si="34"/>
        <v>34.155293379421515</v>
      </c>
      <c r="I25" s="471">
        <f t="shared" si="0"/>
        <v>28.25014369609562</v>
      </c>
      <c r="K25" s="413">
        <f>K20+K21</f>
        <v>279.553</v>
      </c>
      <c r="L25" s="469">
        <f t="shared" si="35"/>
        <v>34.866495806150979</v>
      </c>
      <c r="M25" s="471">
        <f t="shared" si="1"/>
        <v>71.120242672946432</v>
      </c>
      <c r="O25" s="413">
        <f>O20+O21</f>
        <v>331.69299999999998</v>
      </c>
      <c r="P25" s="469">
        <f t="shared" si="36"/>
        <v>34.654649330181243</v>
      </c>
      <c r="Q25" s="471">
        <f t="shared" si="2"/>
        <v>-21.184647596973605</v>
      </c>
      <c r="R25" s="305"/>
      <c r="S25" s="413">
        <f>S20+S21</f>
        <v>393.58600000000001</v>
      </c>
      <c r="T25" s="469">
        <f t="shared" si="37"/>
        <v>34.42419193602133</v>
      </c>
      <c r="U25" s="471">
        <f t="shared" si="3"/>
        <v>-23.045739415991306</v>
      </c>
      <c r="W25" s="413">
        <f>W20+W21</f>
        <v>484.072</v>
      </c>
      <c r="X25" s="469">
        <f t="shared" si="38"/>
        <v>33.842831761650949</v>
      </c>
      <c r="Y25" s="471">
        <f t="shared" si="4"/>
        <v>-58.136017437038134</v>
      </c>
      <c r="AA25" s="413">
        <f>AA20+AA21</f>
        <v>627.52099999999996</v>
      </c>
      <c r="AB25" s="469">
        <f t="shared" si="39"/>
        <v>33.475988550832184</v>
      </c>
      <c r="AC25" s="471">
        <f t="shared" si="5"/>
        <v>-36.684321081876448</v>
      </c>
      <c r="AE25" s="413">
        <f>AE20+AE21</f>
        <v>810.16800000000001</v>
      </c>
      <c r="AF25" s="469">
        <f t="shared" si="40"/>
        <v>33.835966823576292</v>
      </c>
      <c r="AG25" s="471">
        <f t="shared" si="6"/>
        <v>35.99782727441081</v>
      </c>
      <c r="AI25" s="413">
        <f>AI20+AI21</f>
        <v>991.37512500000003</v>
      </c>
      <c r="AJ25" s="469">
        <f t="shared" si="41"/>
        <v>34.055600824824552</v>
      </c>
      <c r="AK25" s="471">
        <f t="shared" si="7"/>
        <v>21.963400124825938</v>
      </c>
      <c r="AM25" s="413">
        <f>AM20+AM21</f>
        <v>1209.9180000000001</v>
      </c>
      <c r="AN25" s="469">
        <f t="shared" si="42"/>
        <v>34.591955887122928</v>
      </c>
      <c r="AO25" s="471">
        <f t="shared" si="8"/>
        <v>53.635506229837659</v>
      </c>
      <c r="AQ25" s="413">
        <f>AQ20+AQ21</f>
        <v>1616.425</v>
      </c>
      <c r="AR25" s="469">
        <f t="shared" si="43"/>
        <v>34.929149390121182</v>
      </c>
      <c r="AS25" s="471">
        <f t="shared" si="9"/>
        <v>33.719350299825379</v>
      </c>
      <c r="AU25" s="413">
        <f>AU20+AU21</f>
        <v>1942.845</v>
      </c>
      <c r="AV25" s="469">
        <f t="shared" si="44"/>
        <v>35.326886588329273</v>
      </c>
      <c r="AW25" s="471">
        <f t="shared" si="10"/>
        <v>39.773719820809106</v>
      </c>
      <c r="AY25" s="413">
        <f>AY20+AY21</f>
        <v>2443.9780000000001</v>
      </c>
      <c r="AZ25" s="469">
        <f t="shared" si="45"/>
        <v>35.555901276236682</v>
      </c>
      <c r="BA25" s="471">
        <f t="shared" si="11"/>
        <v>22.901468790740864</v>
      </c>
      <c r="BC25" s="413">
        <f>BC20+BC21</f>
        <v>2848.1790000000001</v>
      </c>
      <c r="BD25" s="469">
        <f t="shared" si="46"/>
        <v>34.162894986246272</v>
      </c>
      <c r="BE25" s="471">
        <f t="shared" si="12"/>
        <v>-139.30062899904101</v>
      </c>
      <c r="BG25" s="413">
        <f>BG20+BG21</f>
        <v>3120.6089999999999</v>
      </c>
      <c r="BH25" s="469">
        <f t="shared" si="47"/>
        <v>36.028187204034367</v>
      </c>
      <c r="BI25" s="471">
        <f t="shared" si="13"/>
        <v>186.52922177880953</v>
      </c>
      <c r="BK25" s="413">
        <f>BK20+BK21</f>
        <v>3581.5</v>
      </c>
      <c r="BL25" s="469">
        <f t="shared" si="48"/>
        <v>36.395602834360396</v>
      </c>
      <c r="BM25" s="471">
        <f t="shared" si="14"/>
        <v>36.741563032602897</v>
      </c>
      <c r="BO25" s="413">
        <f>BO20+BO21</f>
        <v>4098.732</v>
      </c>
      <c r="BP25" s="469">
        <f t="shared" si="49"/>
        <v>36.80849223590922</v>
      </c>
      <c r="BQ25" s="471">
        <f t="shared" si="15"/>
        <v>41.288940154882425</v>
      </c>
      <c r="BS25" s="413">
        <f>BS20+BS21</f>
        <v>4447</v>
      </c>
      <c r="BT25" s="469">
        <f t="shared" si="50"/>
        <v>37.901469027537281</v>
      </c>
      <c r="BU25" s="471">
        <f t="shared" si="16"/>
        <v>109.29767916280611</v>
      </c>
      <c r="BW25" s="413">
        <f>BW20+BW21</f>
        <v>4539.7610000000004</v>
      </c>
      <c r="BX25" s="469">
        <f t="shared" si="51"/>
        <v>38.232434876347469</v>
      </c>
      <c r="BY25" s="471">
        <f t="shared" si="17"/>
        <v>33.096584881018742</v>
      </c>
      <c r="CA25" s="413">
        <f>CA20+CA21</f>
        <v>4556</v>
      </c>
      <c r="CB25" s="469">
        <f t="shared" si="18"/>
        <v>38.796346050510479</v>
      </c>
      <c r="CC25" s="471">
        <f t="shared" si="19"/>
        <v>56.391117416301029</v>
      </c>
      <c r="CE25" s="413">
        <f>CE20+CE21</f>
        <v>4947</v>
      </c>
      <c r="CF25" s="469">
        <f t="shared" si="20"/>
        <v>39.188690842040565</v>
      </c>
      <c r="CG25" s="471">
        <f t="shared" si="21"/>
        <v>39.23447915300855</v>
      </c>
      <c r="CI25" s="413">
        <f>CI20+CI21</f>
        <v>5096</v>
      </c>
      <c r="CJ25" s="469">
        <f t="shared" si="22"/>
        <v>39.405469678953629</v>
      </c>
      <c r="CK25" s="471">
        <f t="shared" si="23"/>
        <v>21.677883691306477</v>
      </c>
      <c r="CM25" s="413">
        <f>CM20+CM21</f>
        <v>5282</v>
      </c>
      <c r="CN25" s="469">
        <f t="shared" si="24"/>
        <v>37.476325757575758</v>
      </c>
      <c r="CO25" s="471">
        <f t="shared" si="25"/>
        <v>-192.91439213778716</v>
      </c>
      <c r="CQ25" s="413">
        <f>CQ20+CQ21</f>
        <v>5284</v>
      </c>
      <c r="CR25" s="469">
        <f t="shared" si="26"/>
        <v>37.747408105560787</v>
      </c>
      <c r="CS25" s="471">
        <f t="shared" si="27"/>
        <v>27.108234798502906</v>
      </c>
      <c r="CU25" s="413">
        <f>CU20+CU21</f>
        <v>5162</v>
      </c>
      <c r="CV25" s="469">
        <f t="shared" si="28"/>
        <v>37.897016361886429</v>
      </c>
      <c r="CW25" s="471">
        <f t="shared" si="29"/>
        <v>14.960825632564223</v>
      </c>
      <c r="CY25" s="413">
        <f>CY20+CY21</f>
        <v>5205</v>
      </c>
      <c r="CZ25" s="469">
        <f t="shared" si="30"/>
        <v>37.961859356376635</v>
      </c>
      <c r="DA25" s="471">
        <f t="shared" si="52"/>
        <v>6.4842994490206252</v>
      </c>
      <c r="DC25" s="413">
        <f>DC20+DC21</f>
        <v>5092</v>
      </c>
      <c r="DD25" s="469">
        <f t="shared" si="31"/>
        <v>37.55212165808193</v>
      </c>
      <c r="DE25" s="471">
        <f t="shared" si="53"/>
        <v>-40.973769829470541</v>
      </c>
      <c r="DG25" s="413">
        <f>DG20+DG21</f>
        <v>4956</v>
      </c>
      <c r="DH25" s="469">
        <f t="shared" si="32"/>
        <v>37.949167397020155</v>
      </c>
      <c r="DI25" s="471">
        <f t="shared" si="54"/>
        <v>39.70457389382247</v>
      </c>
      <c r="DJ25" s="471"/>
      <c r="DK25" s="413">
        <f>DK20+DK21</f>
        <v>5055.7845896599993</v>
      </c>
      <c r="DL25" s="1239">
        <f>(1-DK25/DK15)*100</f>
        <v>37.976960873841762</v>
      </c>
      <c r="DM25" s="471">
        <f t="shared" si="55"/>
        <v>2.7793476821607044</v>
      </c>
      <c r="DN25" s="471"/>
      <c r="DO25" s="917"/>
      <c r="DP25" s="916"/>
    </row>
    <row r="26" spans="1:122" outlineLevel="1" x14ac:dyDescent="0.2">
      <c r="A26" s="448" t="s">
        <v>468</v>
      </c>
      <c r="C26" s="413">
        <f>C22+C23</f>
        <v>315.33500000000004</v>
      </c>
      <c r="D26" s="469">
        <f t="shared" si="33"/>
        <v>33.245197701840468</v>
      </c>
      <c r="E26" s="470" t="s">
        <v>1</v>
      </c>
      <c r="F26" s="305"/>
      <c r="G26" s="413">
        <f>G22+G23</f>
        <v>376.92800000000005</v>
      </c>
      <c r="H26" s="469">
        <f t="shared" si="34"/>
        <v>32.775459247369355</v>
      </c>
      <c r="I26" s="471">
        <f t="shared" si="0"/>
        <v>-46.973845447111273</v>
      </c>
      <c r="K26" s="413">
        <f>K22+K23</f>
        <v>444.81700000000001</v>
      </c>
      <c r="L26" s="469">
        <f t="shared" si="35"/>
        <v>33.069966897381875</v>
      </c>
      <c r="M26" s="471">
        <f t="shared" si="1"/>
        <v>29.450765001251966</v>
      </c>
      <c r="O26" s="413">
        <f>O22+O23</f>
        <v>537.18299999999999</v>
      </c>
      <c r="P26" s="469">
        <f t="shared" si="36"/>
        <v>32.683834586466162</v>
      </c>
      <c r="Q26" s="471">
        <f t="shared" si="2"/>
        <v>-38.613231091571265</v>
      </c>
      <c r="R26" s="305"/>
      <c r="S26" s="413">
        <f>S22+S23</f>
        <v>644.96600000000001</v>
      </c>
      <c r="T26" s="469">
        <f t="shared" si="37"/>
        <v>32.382160530067935</v>
      </c>
      <c r="U26" s="471">
        <f t="shared" si="3"/>
        <v>-30.167405639822675</v>
      </c>
      <c r="W26" s="413">
        <f>W22+W23</f>
        <v>811.97900000000004</v>
      </c>
      <c r="X26" s="469">
        <f t="shared" si="38"/>
        <v>31.977967663567064</v>
      </c>
      <c r="Y26" s="471">
        <f t="shared" si="4"/>
        <v>-40.419286650087116</v>
      </c>
      <c r="AA26" s="413">
        <f>AA22+AA23</f>
        <v>975.91700000000003</v>
      </c>
      <c r="AB26" s="469">
        <f t="shared" si="39"/>
        <v>32.471837807915861</v>
      </c>
      <c r="AC26" s="471">
        <f t="shared" si="5"/>
        <v>49.387014434879717</v>
      </c>
      <c r="AE26" s="413">
        <f>AE22+AE23</f>
        <v>1236.393</v>
      </c>
      <c r="AF26" s="469">
        <f t="shared" si="40"/>
        <v>32.643658749182826</v>
      </c>
      <c r="AG26" s="471">
        <f t="shared" si="6"/>
        <v>17.182094126696512</v>
      </c>
      <c r="AI26" s="413">
        <f>AI22+AI23</f>
        <v>1460.6480000000001</v>
      </c>
      <c r="AJ26" s="469">
        <f t="shared" si="41"/>
        <v>32.947047076916</v>
      </c>
      <c r="AK26" s="471">
        <f t="shared" si="7"/>
        <v>30.338832773317392</v>
      </c>
      <c r="AM26" s="413">
        <f>AM22+AM23</f>
        <v>1804.4549999999999</v>
      </c>
      <c r="AN26" s="469">
        <f t="shared" si="42"/>
        <v>33.345584704378737</v>
      </c>
      <c r="AO26" s="471">
        <f t="shared" si="8"/>
        <v>39.853762746273702</v>
      </c>
      <c r="AQ26" s="413">
        <f>AQ22+AQ23</f>
        <v>2437.846</v>
      </c>
      <c r="AR26" s="469">
        <f t="shared" si="43"/>
        <v>33.539271012240668</v>
      </c>
      <c r="AS26" s="471">
        <f t="shared" si="9"/>
        <v>19.368630786193108</v>
      </c>
      <c r="AU26" s="413">
        <f>AU22+AU23</f>
        <v>2978.4229999999998</v>
      </c>
      <c r="AV26" s="469">
        <f t="shared" si="44"/>
        <v>33.584737451684077</v>
      </c>
      <c r="AW26" s="471">
        <f t="shared" si="10"/>
        <v>4.5466439443409001</v>
      </c>
      <c r="AY26" s="413">
        <f>AY22+AY23</f>
        <v>3539.2769999999996</v>
      </c>
      <c r="AZ26" s="469">
        <f t="shared" si="45"/>
        <v>33.56963474604904</v>
      </c>
      <c r="BA26" s="471">
        <f t="shared" si="11"/>
        <v>-1.5102705635037239</v>
      </c>
      <c r="BC26" s="413">
        <f>BC22+BC23</f>
        <v>4043.8999999999996</v>
      </c>
      <c r="BD26" s="469">
        <f t="shared" si="46"/>
        <v>32.102620930505886</v>
      </c>
      <c r="BE26" s="471">
        <f t="shared" si="12"/>
        <v>-146.70138155431545</v>
      </c>
      <c r="BG26" s="413">
        <f>BG22+BG23</f>
        <v>4466.4160000000002</v>
      </c>
      <c r="BH26" s="469">
        <f t="shared" si="47"/>
        <v>34.534986661976376</v>
      </c>
      <c r="BI26" s="471">
        <f t="shared" si="13"/>
        <v>243.23657314704903</v>
      </c>
      <c r="BK26" s="413">
        <f>BK22+BK23</f>
        <v>5060.1000000000004</v>
      </c>
      <c r="BL26" s="469">
        <f t="shared" si="48"/>
        <v>34.887341886170894</v>
      </c>
      <c r="BM26" s="471">
        <f t="shared" si="14"/>
        <v>35.235522419451826</v>
      </c>
      <c r="BO26" s="413">
        <f>BO22+BO23</f>
        <v>5818.9859999999999</v>
      </c>
      <c r="BP26" s="469">
        <f t="shared" si="49"/>
        <v>36.048731884734906</v>
      </c>
      <c r="BQ26" s="471">
        <f t="shared" si="15"/>
        <v>116.13899985640117</v>
      </c>
      <c r="BS26" s="413">
        <f>BS22+BS23</f>
        <v>6012.6</v>
      </c>
      <c r="BT26" s="469">
        <f t="shared" si="50"/>
        <v>35.435167785234903</v>
      </c>
      <c r="BU26" s="471">
        <f t="shared" si="16"/>
        <v>-61.356409950000312</v>
      </c>
      <c r="BW26" s="413">
        <f>BW22+BW23</f>
        <v>5793.8519999999999</v>
      </c>
      <c r="BX26" s="469">
        <f t="shared" si="51"/>
        <v>35.899137138747172</v>
      </c>
      <c r="BY26" s="471">
        <f t="shared" si="17"/>
        <v>46.396935351226887</v>
      </c>
      <c r="CA26" s="413">
        <f>CA22+CA23</f>
        <v>6124</v>
      </c>
      <c r="CB26" s="469">
        <f t="shared" si="18"/>
        <v>37.086500924594205</v>
      </c>
      <c r="CC26" s="471">
        <f t="shared" si="19"/>
        <v>118.73637858470332</v>
      </c>
      <c r="CE26" s="413">
        <f>CE22+CE23</f>
        <v>6411</v>
      </c>
      <c r="CF26" s="469">
        <f t="shared" si="20"/>
        <v>37.490249609984396</v>
      </c>
      <c r="CG26" s="471">
        <f t="shared" si="21"/>
        <v>40.374868539019104</v>
      </c>
      <c r="CI26" s="413">
        <f>CI22+CI23</f>
        <v>6529</v>
      </c>
      <c r="CJ26" s="469">
        <f t="shared" si="22"/>
        <v>37.184914373677124</v>
      </c>
      <c r="CK26" s="471">
        <f t="shared" si="23"/>
        <v>-30.533523630727188</v>
      </c>
      <c r="CM26" s="413">
        <f>CM22+CM23</f>
        <v>7008</v>
      </c>
      <c r="CN26" s="469">
        <f t="shared" si="24"/>
        <v>35.30280649926145</v>
      </c>
      <c r="CO26" s="471">
        <f t="shared" si="25"/>
        <v>-188.21078744156736</v>
      </c>
      <c r="CQ26" s="413">
        <f>CQ22+CQ23</f>
        <v>6802</v>
      </c>
      <c r="CR26" s="469">
        <f t="shared" si="26"/>
        <v>35.483259034430425</v>
      </c>
      <c r="CS26" s="471">
        <f t="shared" si="27"/>
        <v>18.045253516897475</v>
      </c>
      <c r="CU26" s="413">
        <f>CU22+CU23</f>
        <v>6936</v>
      </c>
      <c r="CV26" s="469">
        <f t="shared" si="28"/>
        <v>35.244141536737942</v>
      </c>
      <c r="CW26" s="471">
        <f t="shared" si="29"/>
        <v>-23.911749769248303</v>
      </c>
      <c r="CY26" s="413">
        <f>CY22+CY23</f>
        <v>7059</v>
      </c>
      <c r="CZ26" s="469">
        <f t="shared" si="30"/>
        <v>34.723506565563156</v>
      </c>
      <c r="DA26" s="471">
        <f t="shared" si="52"/>
        <v>-52.063497117478619</v>
      </c>
      <c r="DC26" s="413">
        <f>DC22+DC23</f>
        <v>6853</v>
      </c>
      <c r="DD26" s="469">
        <f t="shared" si="31"/>
        <v>34.931636916065322</v>
      </c>
      <c r="DE26" s="471">
        <f t="shared" si="53"/>
        <v>20.813035050216655</v>
      </c>
      <c r="DG26" s="413">
        <f>DG22+DG23</f>
        <v>7220</v>
      </c>
      <c r="DH26" s="469">
        <f t="shared" si="32"/>
        <v>35.001800504141158</v>
      </c>
      <c r="DI26" s="471">
        <f t="shared" si="54"/>
        <v>7.0163588075836003</v>
      </c>
      <c r="DJ26" s="471"/>
      <c r="DK26" s="413">
        <f>DK22+DK23</f>
        <v>6920.6165672999996</v>
      </c>
      <c r="DL26" s="1239">
        <f>(1-DK26/DK16)*100</f>
        <v>34.917323048490644</v>
      </c>
      <c r="DM26" s="471">
        <f t="shared" si="55"/>
        <v>-8.4477455650514344</v>
      </c>
      <c r="DN26" s="471"/>
      <c r="DO26" s="917"/>
      <c r="DP26" s="916"/>
    </row>
    <row r="27" spans="1:122" outlineLevel="1" x14ac:dyDescent="0.2">
      <c r="C27" s="413"/>
      <c r="D27" s="459"/>
      <c r="E27" s="459"/>
      <c r="F27" s="305"/>
      <c r="G27" s="413"/>
      <c r="H27" s="459"/>
      <c r="I27" s="459"/>
      <c r="K27" s="413"/>
      <c r="O27" s="413"/>
      <c r="R27" s="305"/>
      <c r="S27" s="413"/>
      <c r="W27" s="413"/>
      <c r="AA27" s="413"/>
      <c r="AE27" s="413"/>
      <c r="AI27" s="413"/>
      <c r="AM27" s="413"/>
      <c r="AQ27" s="413"/>
      <c r="AU27" s="413"/>
      <c r="AY27" s="413"/>
      <c r="BC27" s="413"/>
      <c r="BG27" s="413"/>
      <c r="BK27" s="413"/>
      <c r="BO27" s="413"/>
      <c r="BS27" s="413"/>
      <c r="BW27" s="413"/>
      <c r="CA27" s="413"/>
      <c r="CE27" s="413"/>
      <c r="CI27" s="413"/>
      <c r="CM27" s="413"/>
      <c r="CO27" s="476"/>
      <c r="CQ27" s="413"/>
      <c r="CU27" s="413"/>
      <c r="CY27" s="413"/>
      <c r="DC27" s="413"/>
      <c r="DG27" s="413"/>
      <c r="DK27" s="413"/>
      <c r="DO27" s="917"/>
      <c r="DP27" s="916"/>
    </row>
    <row r="28" spans="1:122" outlineLevel="1" x14ac:dyDescent="0.2">
      <c r="A28" s="462" t="s">
        <v>469</v>
      </c>
      <c r="B28" s="318"/>
      <c r="C28" s="463"/>
      <c r="D28" s="464"/>
      <c r="E28" s="464"/>
      <c r="F28" s="465"/>
      <c r="G28" s="463"/>
      <c r="H28" s="464"/>
      <c r="I28" s="464"/>
      <c r="J28" s="318"/>
      <c r="K28" s="463"/>
      <c r="L28" s="318"/>
      <c r="M28" s="318"/>
      <c r="N28" s="318"/>
      <c r="O28" s="463"/>
      <c r="P28" s="318"/>
      <c r="Q28" s="318"/>
      <c r="R28" s="465"/>
      <c r="S28" s="463"/>
      <c r="T28" s="318"/>
      <c r="U28" s="318"/>
      <c r="V28" s="318"/>
      <c r="W28" s="463"/>
      <c r="X28" s="318"/>
      <c r="Y28" s="318"/>
      <c r="Z28" s="318"/>
      <c r="AA28" s="463"/>
      <c r="AB28" s="318"/>
      <c r="AC28" s="318"/>
      <c r="AD28" s="318"/>
      <c r="AE28" s="463"/>
      <c r="AF28" s="318"/>
      <c r="AG28" s="318"/>
      <c r="AH28" s="318"/>
      <c r="AI28" s="463"/>
      <c r="AJ28" s="318"/>
      <c r="AK28" s="318"/>
      <c r="AL28" s="318"/>
      <c r="AM28" s="463"/>
      <c r="AN28" s="318"/>
      <c r="AO28" s="318"/>
      <c r="AP28" s="318"/>
      <c r="AQ28" s="463"/>
      <c r="AR28" s="318"/>
      <c r="AS28" s="318"/>
      <c r="AT28" s="318"/>
      <c r="AU28" s="463"/>
      <c r="AV28" s="318"/>
      <c r="AW28" s="318"/>
      <c r="AX28" s="318"/>
      <c r="AY28" s="463"/>
      <c r="AZ28" s="318"/>
      <c r="BA28" s="318"/>
      <c r="BB28" s="318"/>
      <c r="BC28" s="463"/>
      <c r="BD28" s="318"/>
      <c r="BE28" s="318"/>
      <c r="BF28" s="318"/>
      <c r="BG28" s="463"/>
      <c r="BH28" s="318"/>
      <c r="BI28" s="318"/>
      <c r="BJ28" s="318"/>
      <c r="BK28" s="463"/>
      <c r="BL28" s="318"/>
      <c r="BM28" s="318"/>
      <c r="BN28" s="318"/>
      <c r="BO28" s="463"/>
      <c r="BP28" s="318"/>
      <c r="BQ28" s="318"/>
      <c r="BR28" s="318"/>
      <c r="BS28" s="463"/>
      <c r="BT28" s="318"/>
      <c r="BU28" s="318"/>
      <c r="BV28" s="318"/>
      <c r="BW28" s="463"/>
      <c r="BX28" s="318"/>
      <c r="BY28" s="318"/>
      <c r="BZ28" s="318"/>
      <c r="CA28" s="463"/>
      <c r="CB28" s="318"/>
      <c r="CC28" s="318"/>
      <c r="CD28" s="318"/>
      <c r="CE28" s="463"/>
      <c r="CF28" s="318"/>
      <c r="CG28" s="318"/>
      <c r="CH28" s="318"/>
      <c r="CI28" s="463"/>
      <c r="CJ28" s="318"/>
      <c r="CK28" s="318"/>
      <c r="CL28" s="318"/>
      <c r="CM28" s="318"/>
      <c r="CN28" s="318"/>
      <c r="CO28" s="318"/>
      <c r="CP28" s="318"/>
      <c r="CQ28" s="318"/>
      <c r="CR28" s="318"/>
      <c r="CS28" s="318"/>
      <c r="CT28" s="318"/>
      <c r="CU28" s="318"/>
      <c r="CV28" s="318"/>
      <c r="CW28" s="318"/>
      <c r="CX28" s="318"/>
      <c r="CY28" s="447" t="str">
        <f>A28</f>
        <v>3. Selling, General and Administrative Expense (% of Sales / % growth)</v>
      </c>
      <c r="CZ28" s="447"/>
      <c r="DA28" s="447"/>
      <c r="DB28" s="447"/>
      <c r="DC28" s="447"/>
      <c r="DD28" s="447"/>
      <c r="DE28" s="447"/>
      <c r="DF28" s="447"/>
      <c r="DG28" s="447"/>
      <c r="DH28" s="447"/>
      <c r="DI28" s="447"/>
      <c r="DJ28" s="447"/>
      <c r="DK28" s="447"/>
      <c r="DL28" s="447"/>
      <c r="DM28" s="447"/>
      <c r="DN28" s="447"/>
      <c r="DO28" s="918"/>
      <c r="DP28" s="916"/>
      <c r="DQ28" s="305"/>
      <c r="DR28" s="305"/>
    </row>
    <row r="29" spans="1:122" outlineLevel="1" x14ac:dyDescent="0.2">
      <c r="C29" s="413"/>
      <c r="D29" s="459"/>
      <c r="E29" s="459"/>
      <c r="F29" s="305"/>
      <c r="G29" s="413"/>
      <c r="H29" s="459"/>
      <c r="I29" s="459"/>
      <c r="K29" s="413"/>
      <c r="O29" s="413"/>
      <c r="R29" s="305"/>
      <c r="S29" s="413"/>
      <c r="W29" s="413"/>
      <c r="AA29" s="413"/>
      <c r="AE29" s="413"/>
      <c r="AI29" s="413"/>
      <c r="AM29" s="413"/>
      <c r="AQ29" s="413"/>
      <c r="AU29" s="413"/>
      <c r="AY29" s="413"/>
      <c r="BC29" s="413"/>
      <c r="BG29" s="413"/>
      <c r="BK29" s="413"/>
      <c r="BO29" s="413"/>
      <c r="BS29" s="413"/>
      <c r="BW29" s="413"/>
      <c r="CA29" s="413"/>
      <c r="CE29" s="413"/>
      <c r="CI29" s="413"/>
      <c r="CQ29" s="419"/>
      <c r="CR29" s="479"/>
      <c r="CU29" s="419"/>
      <c r="CV29" s="479"/>
      <c r="CY29" s="419"/>
      <c r="CZ29" s="479"/>
      <c r="DC29" s="469"/>
      <c r="DD29" s="479"/>
      <c r="DG29" s="469"/>
      <c r="DH29" s="479"/>
      <c r="DK29" s="469"/>
      <c r="DL29" s="479"/>
      <c r="DO29" s="919"/>
      <c r="DP29" s="916"/>
      <c r="DQ29" s="305"/>
      <c r="DR29" s="305"/>
    </row>
    <row r="30" spans="1:122" outlineLevel="1" x14ac:dyDescent="0.2">
      <c r="A30" s="448" t="s">
        <v>89</v>
      </c>
      <c r="C30" s="468">
        <v>43.71</v>
      </c>
      <c r="D30" s="469">
        <f>(C30/C10)*100</f>
        <v>27.086483404803808</v>
      </c>
      <c r="E30" s="470" t="s">
        <v>1</v>
      </c>
      <c r="F30" s="305"/>
      <c r="G30" s="468">
        <v>50.442</v>
      </c>
      <c r="H30" s="469">
        <f>(G30/G10)*100</f>
        <v>26.392013645448554</v>
      </c>
      <c r="I30" s="471">
        <f t="shared" ref="I30:I36" si="56">(G30/C30-1)*100</f>
        <v>15.401509951956083</v>
      </c>
      <c r="K30" s="468">
        <v>56.881999999999998</v>
      </c>
      <c r="L30" s="469">
        <f>(K30/K10)*100</f>
        <v>26.881852551984874</v>
      </c>
      <c r="M30" s="471">
        <f t="shared" ref="M30:M36" si="57">(K30/G30-1)*100</f>
        <v>12.767138495698017</v>
      </c>
      <c r="O30" s="468">
        <v>64.704999999999998</v>
      </c>
      <c r="P30" s="469">
        <f>(O30/O10)*100</f>
        <v>25.861310951239009</v>
      </c>
      <c r="Q30" s="471">
        <f t="shared" ref="Q30:Q36" si="58">(O30/K30-1)*100</f>
        <v>13.75303259379066</v>
      </c>
      <c r="R30" s="305"/>
      <c r="S30" s="468">
        <v>77.855000000000004</v>
      </c>
      <c r="T30" s="469">
        <f>(S30/S10)*100</f>
        <v>25.294022092267703</v>
      </c>
      <c r="U30" s="471">
        <f t="shared" ref="U30:U36" si="59">(S30/O30-1)*100</f>
        <v>20.323004404605527</v>
      </c>
      <c r="W30" s="468">
        <v>92.551000000000002</v>
      </c>
      <c r="X30" s="469">
        <f>(W30/W10)*100</f>
        <v>25.122421281216074</v>
      </c>
      <c r="Y30" s="471">
        <f t="shared" ref="Y30:Y36" si="60">(W30/S30-1)*100</f>
        <v>18.876115856399721</v>
      </c>
      <c r="AA30" s="468">
        <v>115.89</v>
      </c>
      <c r="AB30" s="469">
        <f>(AA30/AA10)*100</f>
        <v>24.725837422658419</v>
      </c>
      <c r="AC30" s="471">
        <f t="shared" ref="AC30:AC36" si="61">(AA30/W30-1)*100</f>
        <v>25.21744767749674</v>
      </c>
      <c r="AE30" s="468">
        <v>146.751</v>
      </c>
      <c r="AF30" s="469">
        <f>(AE30/AE10)*100</f>
        <v>24.436222310660114</v>
      </c>
      <c r="AG30" s="471">
        <f t="shared" ref="AG30:AG36" si="62">(AE30/AA30-1)*100</f>
        <v>26.629562516179138</v>
      </c>
      <c r="AI30" s="468">
        <v>180.49200000000002</v>
      </c>
      <c r="AJ30" s="469">
        <f>(AI30/AI10)*100</f>
        <v>24.240128928283646</v>
      </c>
      <c r="AK30" s="471">
        <f t="shared" ref="AK30:AK36" si="63">(AI30/AE30-1)*100</f>
        <v>22.992006868777736</v>
      </c>
      <c r="AM30" s="468">
        <v>215.16900000000001</v>
      </c>
      <c r="AN30" s="469">
        <f>(AM30/AM10)*100</f>
        <v>23.637152587059212</v>
      </c>
      <c r="AO30" s="471">
        <f t="shared" ref="AO30:AO36" si="64">(AM30/AI30-1)*100</f>
        <v>19.21248587194999</v>
      </c>
      <c r="AQ30" s="468">
        <v>285.75599999999997</v>
      </c>
      <c r="AR30" s="469">
        <f>(AQ30/AQ10)*100</f>
        <v>23.256775453731581</v>
      </c>
      <c r="AS30" s="471">
        <f t="shared" ref="AS30:AS36" si="65">(AQ30/AM30-1)*100</f>
        <v>32.805376239142234</v>
      </c>
      <c r="AU30" s="468">
        <v>339.49099999999999</v>
      </c>
      <c r="AV30" s="469">
        <f>(AU30/AU10)*100</f>
        <v>22.810656453671974</v>
      </c>
      <c r="AW30" s="471">
        <f t="shared" ref="AW30:AW36" si="66">(AU30/AQ30-1)*100</f>
        <v>18.804504542336819</v>
      </c>
      <c r="AY30" s="468">
        <v>413.52699999999999</v>
      </c>
      <c r="AZ30" s="469">
        <f>(AY30/AY10)*100</f>
        <v>22.107832130446404</v>
      </c>
      <c r="BA30" s="471">
        <f t="shared" ref="BA30:BA36" si="67">(AY30/AU30-1)*100</f>
        <v>21.807941889475725</v>
      </c>
      <c r="BC30" s="468">
        <v>493.10699999999997</v>
      </c>
      <c r="BD30" s="469">
        <f>(BC30/BC10)*100</f>
        <v>23.285026207678143</v>
      </c>
      <c r="BE30" s="471">
        <f t="shared" ref="BE30:BE36" si="68">(BC30/AY30-1)*100</f>
        <v>19.24420896338086</v>
      </c>
      <c r="BG30" s="468">
        <v>600</v>
      </c>
      <c r="BH30" s="469">
        <f>(BG30/BG10)*100</f>
        <v>25.207965717166626</v>
      </c>
      <c r="BI30" s="471">
        <f t="shared" ref="BI30:BI36" si="69">(BG30/BC30-1)*100</f>
        <v>21.677445260359328</v>
      </c>
      <c r="BK30" s="468">
        <v>685.5</v>
      </c>
      <c r="BL30" s="469">
        <f>(BK30/BK10)*100</f>
        <v>24.992708181420443</v>
      </c>
      <c r="BM30" s="471">
        <f t="shared" ref="BM30:BM36" si="70">(BK30/BG30-1)*100</f>
        <v>14.250000000000007</v>
      </c>
      <c r="BO30" s="468">
        <v>772.7059999999999</v>
      </c>
      <c r="BP30" s="469">
        <f>(BO30/BO10)*100</f>
        <v>24.26307030489528</v>
      </c>
      <c r="BQ30" s="451">
        <f t="shared" ref="BQ30:BQ36" si="71">(BO30/BK30-1)*100</f>
        <v>12.721517140773141</v>
      </c>
      <c r="BS30" s="468">
        <v>867</v>
      </c>
      <c r="BT30" s="469">
        <f>(BS30/BS10)*100</f>
        <v>24.272116461366181</v>
      </c>
      <c r="BU30" s="451">
        <f t="shared" ref="BU30:BU36" si="72">(BS30/BO30-1)*100</f>
        <v>12.203088885035207</v>
      </c>
      <c r="BW30" s="468">
        <v>933.64599999999996</v>
      </c>
      <c r="BX30" s="469">
        <f>(BW30/BW10)*100</f>
        <v>25.761017631466181</v>
      </c>
      <c r="BY30" s="451">
        <f t="shared" ref="BY30:BY36" si="73">(BW30/BS30-1)*100</f>
        <v>7.6869665513264129</v>
      </c>
      <c r="CA30" s="468">
        <v>976</v>
      </c>
      <c r="CB30" s="469">
        <f>(CA30/CA10)*100</f>
        <v>26.827927432655308</v>
      </c>
      <c r="CC30" s="451">
        <f t="shared" ref="CC30:CC36" si="74">(CA30/BW30-1)*100</f>
        <v>4.536408874455633</v>
      </c>
      <c r="CE30" s="1008">
        <v>973</v>
      </c>
      <c r="CF30" s="469">
        <f>(CE30/CE10)*100</f>
        <v>24.114002478314749</v>
      </c>
      <c r="CG30" s="451">
        <f t="shared" ref="CG30:CG36" si="75">(CE30/CA30-1)*100</f>
        <v>-0.30737704918032405</v>
      </c>
      <c r="CI30" s="1008">
        <v>1004</v>
      </c>
      <c r="CJ30" s="469">
        <f>(CI30/CI10)*100</f>
        <v>24.123017779913503</v>
      </c>
      <c r="CK30" s="451">
        <f t="shared" ref="CK30:CK36" si="76">(CI30/CE30-1)*100</f>
        <v>3.1860226104830414</v>
      </c>
      <c r="CM30" s="1008">
        <v>1002</v>
      </c>
      <c r="CN30" s="469">
        <f t="shared" ref="CN30:CN36" si="77">(CM30/CM10)*100</f>
        <v>23.615366485976903</v>
      </c>
      <c r="CO30" s="451">
        <f t="shared" ref="CO30:CO36" si="78">(CM30/CI30-1)*100</f>
        <v>-0.19920318725099584</v>
      </c>
      <c r="CQ30" s="1008">
        <v>997</v>
      </c>
      <c r="CR30" s="469">
        <f t="shared" ref="CR30:CR36" si="79">(CQ30/CQ10)*100</f>
        <v>23.743748511550368</v>
      </c>
      <c r="CS30" s="451">
        <f t="shared" ref="CS30:CS36" si="80">(CQ30/CM30-1)*100</f>
        <v>-0.49900199600798611</v>
      </c>
      <c r="CU30" s="1008">
        <v>1000</v>
      </c>
      <c r="CV30" s="469">
        <f t="shared" ref="CV30:CV36" si="81">(CU30/CU10)*100</f>
        <v>24.570024570024572</v>
      </c>
      <c r="CW30" s="451">
        <f t="shared" ref="CW30:CW36" si="82">(CU30/CQ30-1)*100</f>
        <v>0.30090270812437314</v>
      </c>
      <c r="CY30" s="1008">
        <v>1016</v>
      </c>
      <c r="CZ30" s="469">
        <f>(CY30/CY10)*100</f>
        <v>24.642250788260974</v>
      </c>
      <c r="DA30" s="451">
        <f t="shared" ref="DA30:DA36" si="83">(CY30/CU30-1)*100</f>
        <v>1.6000000000000014</v>
      </c>
      <c r="DC30" s="1008">
        <f>1008+64-64</f>
        <v>1008</v>
      </c>
      <c r="DD30" s="469">
        <f>(DC30/DC10)*100</f>
        <v>25.377643504531722</v>
      </c>
      <c r="DE30" s="451">
        <f t="shared" ref="DE30:DE36" si="84">(DC30/CY30-1)*100</f>
        <v>-0.78740157480314821</v>
      </c>
      <c r="DG30" s="1008">
        <v>975</v>
      </c>
      <c r="DH30" s="469">
        <f t="shared" ref="DH30:DH36" si="85">(DG30/DG10)*100</f>
        <v>25.370804059328648</v>
      </c>
      <c r="DI30" s="451">
        <f t="shared" ref="DI30:DI36" si="86">(DG30/DC30-1)*100</f>
        <v>-3.2738095238095233</v>
      </c>
      <c r="DJ30" s="451"/>
      <c r="DK30" s="1107">
        <f>DG30*(1+DM30%)</f>
        <v>1023.75</v>
      </c>
      <c r="DL30" s="469">
        <f t="shared" ref="DL30:DL36" si="87">(DK30/DK10)*100</f>
        <v>25.748447962782802</v>
      </c>
      <c r="DM30" s="1016">
        <v>5</v>
      </c>
      <c r="DN30" s="451"/>
      <c r="DO30" s="1264">
        <f>DI30+DM30</f>
        <v>1.7261904761904767</v>
      </c>
      <c r="DP30" s="1267">
        <f>DI30+DM30+DA30</f>
        <v>3.3261904761904781</v>
      </c>
      <c r="DQ30" s="337"/>
      <c r="DR30" s="305"/>
    </row>
    <row r="31" spans="1:122" outlineLevel="1" x14ac:dyDescent="0.2">
      <c r="A31" s="448" t="s">
        <v>90</v>
      </c>
      <c r="C31" s="472">
        <v>43.877000000000002</v>
      </c>
      <c r="D31" s="469">
        <f t="shared" ref="D31:D36" si="88">(C31/C11)*100</f>
        <v>28.118171040405016</v>
      </c>
      <c r="E31" s="470" t="s">
        <v>1</v>
      </c>
      <c r="F31" s="305"/>
      <c r="G31" s="472">
        <v>50.085000000000001</v>
      </c>
      <c r="H31" s="469">
        <f t="shared" ref="H31:H36" si="89">(G31/G11)*100</f>
        <v>28.0431131019037</v>
      </c>
      <c r="I31" s="471">
        <f t="shared" si="56"/>
        <v>14.148642796909527</v>
      </c>
      <c r="K31" s="472">
        <v>59.273000000000003</v>
      </c>
      <c r="L31" s="469">
        <f t="shared" ref="L31:L36" si="90">(K31/K11)*100</f>
        <v>27.239430147058822</v>
      </c>
      <c r="M31" s="471">
        <f t="shared" si="57"/>
        <v>18.344813816511941</v>
      </c>
      <c r="O31" s="472">
        <v>67.978999999999999</v>
      </c>
      <c r="P31" s="469">
        <f t="shared" ref="P31:P36" si="91">(O31/O11)*100</f>
        <v>26.409867909867913</v>
      </c>
      <c r="Q31" s="471">
        <f t="shared" si="58"/>
        <v>14.687969227135444</v>
      </c>
      <c r="R31" s="305"/>
      <c r="S31" s="472">
        <v>76.113</v>
      </c>
      <c r="T31" s="469">
        <f t="shared" ref="T31:T36" si="92">(S31/S11)*100</f>
        <v>26.03043775649795</v>
      </c>
      <c r="U31" s="471">
        <f t="shared" si="59"/>
        <v>11.965459921446332</v>
      </c>
      <c r="W31" s="472">
        <v>91.388999999999996</v>
      </c>
      <c r="X31" s="469">
        <f t="shared" ref="X31:X36" si="93">(W31/W11)*100</f>
        <v>25.155243600330301</v>
      </c>
      <c r="Y31" s="471">
        <f t="shared" si="60"/>
        <v>20.070158842773232</v>
      </c>
      <c r="AA31" s="472">
        <v>117.43899999999999</v>
      </c>
      <c r="AB31" s="469">
        <f t="shared" ref="AB31:AB36" si="94">(AA31/AA11)*100</f>
        <v>24.744837758112091</v>
      </c>
      <c r="AC31" s="471">
        <f t="shared" si="61"/>
        <v>28.504524614559745</v>
      </c>
      <c r="AE31" s="472">
        <v>152.245</v>
      </c>
      <c r="AF31" s="469">
        <f t="shared" ref="AF31:AF36" si="95">(AE31/AE11)*100</f>
        <v>24.400700711770579</v>
      </c>
      <c r="AG31" s="471">
        <f t="shared" si="62"/>
        <v>29.637513943408923</v>
      </c>
      <c r="AI31" s="472">
        <v>184.77099999999999</v>
      </c>
      <c r="AJ31" s="469">
        <f t="shared" ref="AJ31:AJ36" si="96">(AI31/AI11)*100</f>
        <v>24.352026359143323</v>
      </c>
      <c r="AK31" s="471">
        <f t="shared" si="63"/>
        <v>21.364248415383091</v>
      </c>
      <c r="AM31" s="472">
        <v>219.37</v>
      </c>
      <c r="AN31" s="469">
        <f t="shared" ref="AN31:AN36" si="97">(AM31/AM11)*100</f>
        <v>23.349654071314529</v>
      </c>
      <c r="AO31" s="471">
        <f t="shared" si="64"/>
        <v>18.725341097899584</v>
      </c>
      <c r="AQ31" s="472">
        <v>290.83100000000002</v>
      </c>
      <c r="AR31" s="469">
        <f t="shared" ref="AR31:AR36" si="98">(AQ31/AQ11)*100</f>
        <v>23.166401147044766</v>
      </c>
      <c r="AS31" s="471">
        <f t="shared" si="65"/>
        <v>32.575557277658753</v>
      </c>
      <c r="AU31" s="472">
        <v>345.14800000000002</v>
      </c>
      <c r="AV31" s="469">
        <f t="shared" ref="AV31:AV36" si="99">(AU31/AU11)*100</f>
        <v>22.770022430399791</v>
      </c>
      <c r="AW31" s="471">
        <f t="shared" si="66"/>
        <v>18.676482218195446</v>
      </c>
      <c r="AY31" s="472">
        <v>425.4</v>
      </c>
      <c r="AZ31" s="469">
        <f t="shared" ref="AZ31:AZ36" si="100">(AY31/AY11)*100</f>
        <v>22.13434621988657</v>
      </c>
      <c r="BA31" s="471">
        <f t="shared" si="67"/>
        <v>23.251474729681163</v>
      </c>
      <c r="BC31" s="472">
        <v>478.5</v>
      </c>
      <c r="BD31" s="469">
        <f t="shared" ref="BD31:BD36" si="101">(BC31/BC11)*100</f>
        <v>21.667270422024995</v>
      </c>
      <c r="BE31" s="471">
        <f t="shared" si="68"/>
        <v>12.482369534555726</v>
      </c>
      <c r="BG31" s="472">
        <v>587.51099999999997</v>
      </c>
      <c r="BH31" s="469">
        <f t="shared" ref="BH31:BH36" si="102">(BG31/BG11)*100</f>
        <v>23.520196965450975</v>
      </c>
      <c r="BI31" s="471">
        <f t="shared" si="69"/>
        <v>22.781818181818171</v>
      </c>
      <c r="BK31" s="472">
        <v>676.6</v>
      </c>
      <c r="BL31" s="469">
        <f t="shared" ref="BL31:BL36" si="103">(BK31/BK11)*100</f>
        <v>23.427166649354248</v>
      </c>
      <c r="BM31" s="471">
        <f t="shared" si="70"/>
        <v>15.16380118840328</v>
      </c>
      <c r="BO31" s="472">
        <v>767.8</v>
      </c>
      <c r="BP31" s="469">
        <f t="shared" ref="BP31:BP36" si="104">(BO31/BO11)*100</f>
        <v>23.25604640547483</v>
      </c>
      <c r="BQ31" s="451">
        <f t="shared" si="71"/>
        <v>13.47916050842446</v>
      </c>
      <c r="BS31" s="472">
        <v>846.5</v>
      </c>
      <c r="BT31" s="469">
        <f t="shared" ref="BT31:BT36" si="105">(BS31/BS11)*100</f>
        <v>23.58464281734091</v>
      </c>
      <c r="BU31" s="451">
        <f t="shared" si="72"/>
        <v>10.250065121125296</v>
      </c>
      <c r="BW31" s="472">
        <v>935.70799999999997</v>
      </c>
      <c r="BX31" s="469">
        <f t="shared" ref="BX31:BX36" si="106">(BW31/BW11)*100</f>
        <v>25.116373953493365</v>
      </c>
      <c r="BY31" s="451">
        <f t="shared" si="73"/>
        <v>10.538452451269942</v>
      </c>
      <c r="CA31" s="472">
        <v>977</v>
      </c>
      <c r="CB31" s="469">
        <f t="shared" ref="CB31:CB36" si="107">(CA31/CA11)*100</f>
        <v>25.669994745139253</v>
      </c>
      <c r="CC31" s="451">
        <f t="shared" si="74"/>
        <v>4.4129151401933076</v>
      </c>
      <c r="CE31" s="985">
        <v>983</v>
      </c>
      <c r="CF31" s="469">
        <f t="shared" ref="CF31:CF36" si="108">(CE31/CE11)*100</f>
        <v>23.975609756097562</v>
      </c>
      <c r="CG31" s="451">
        <f t="shared" si="75"/>
        <v>0.61412487205732003</v>
      </c>
      <c r="CI31" s="985">
        <v>991</v>
      </c>
      <c r="CJ31" s="469">
        <f t="shared" ref="CJ31:CJ36" si="109">(CI31/CI11)*100</f>
        <v>23.328625235404896</v>
      </c>
      <c r="CK31" s="451">
        <f t="shared" si="76"/>
        <v>0.81383519837232576</v>
      </c>
      <c r="CM31" s="985">
        <v>975</v>
      </c>
      <c r="CN31" s="469">
        <f t="shared" si="77"/>
        <v>23.18668252080856</v>
      </c>
      <c r="CO31" s="451">
        <f t="shared" si="78"/>
        <v>-1.6145307769929396</v>
      </c>
      <c r="CQ31" s="985">
        <v>1000</v>
      </c>
      <c r="CR31" s="469">
        <f t="shared" si="79"/>
        <v>23.315458148752626</v>
      </c>
      <c r="CS31" s="451">
        <f>(CQ31/CM31-1)*100</f>
        <v>2.564102564102555</v>
      </c>
      <c r="CU31" s="985">
        <v>981</v>
      </c>
      <c r="CV31" s="469">
        <f t="shared" si="81"/>
        <v>23.125884016973124</v>
      </c>
      <c r="CW31" s="451">
        <f t="shared" si="82"/>
        <v>-1.9000000000000017</v>
      </c>
      <c r="CY31" s="985">
        <v>1005</v>
      </c>
      <c r="CZ31" s="469">
        <f t="shared" ref="CZ31:CZ36" si="110">(CY31/CY11)*100</f>
        <v>23.552847433794234</v>
      </c>
      <c r="DA31" s="451">
        <f t="shared" si="83"/>
        <v>2.4464831804281273</v>
      </c>
      <c r="DC31" s="985">
        <f>986+128-128</f>
        <v>986</v>
      </c>
      <c r="DD31" s="469">
        <f t="shared" ref="DD31:DD36" si="111">(DC31/DC11)*100</f>
        <v>23.577235772357724</v>
      </c>
      <c r="DE31" s="451">
        <f t="shared" si="84"/>
        <v>-1.8905472636815968</v>
      </c>
      <c r="DG31" s="985">
        <v>983</v>
      </c>
      <c r="DH31" s="469">
        <f t="shared" si="85"/>
        <v>23.721042471042473</v>
      </c>
      <c r="DI31" s="451">
        <f t="shared" si="86"/>
        <v>-0.30425963488843744</v>
      </c>
      <c r="DJ31" s="451"/>
      <c r="DK31" s="995">
        <f>DG31*(1+DM31%)</f>
        <v>973.66150000000005</v>
      </c>
      <c r="DL31" s="469">
        <f t="shared" si="87"/>
        <v>23.318472179007113</v>
      </c>
      <c r="DM31" s="1016">
        <v>-0.95</v>
      </c>
      <c r="DN31" s="451"/>
      <c r="DO31" s="1264">
        <f>DI31+DM31</f>
        <v>-1.2542596348884374</v>
      </c>
      <c r="DP31" s="1267">
        <f>DI31+DM31+DA31</f>
        <v>1.1922235455396899</v>
      </c>
      <c r="DQ31" s="337"/>
      <c r="DR31" s="305"/>
    </row>
    <row r="32" spans="1:122" outlineLevel="1" x14ac:dyDescent="0.2">
      <c r="A32" s="448" t="s">
        <v>91</v>
      </c>
      <c r="C32" s="472">
        <v>50.789000000000001</v>
      </c>
      <c r="D32" s="469">
        <f t="shared" si="88"/>
        <v>25.43978281340787</v>
      </c>
      <c r="E32" s="470" t="s">
        <v>1</v>
      </c>
      <c r="F32" s="305"/>
      <c r="G32" s="472">
        <v>61.353999999999999</v>
      </c>
      <c r="H32" s="469">
        <f t="shared" si="89"/>
        <v>25.606844741235392</v>
      </c>
      <c r="I32" s="471">
        <f t="shared" si="56"/>
        <v>20.801748410088795</v>
      </c>
      <c r="K32" s="472">
        <v>72.465999999999994</v>
      </c>
      <c r="L32" s="469">
        <f t="shared" si="90"/>
        <v>25.408835904628329</v>
      </c>
      <c r="M32" s="471">
        <f t="shared" si="57"/>
        <v>18.111288587541139</v>
      </c>
      <c r="O32" s="472">
        <v>81.165000000000006</v>
      </c>
      <c r="P32" s="469">
        <f t="shared" si="91"/>
        <v>23.809034907597539</v>
      </c>
      <c r="Q32" s="471">
        <f t="shared" si="58"/>
        <v>12.004250269091731</v>
      </c>
      <c r="R32" s="305"/>
      <c r="S32" s="472">
        <v>91.334999999999994</v>
      </c>
      <c r="T32" s="469">
        <f t="shared" si="92"/>
        <v>23.449293966623873</v>
      </c>
      <c r="U32" s="471">
        <f t="shared" si="59"/>
        <v>12.530031417482878</v>
      </c>
      <c r="W32" s="472">
        <v>113.53400000000001</v>
      </c>
      <c r="X32" s="469">
        <f t="shared" si="93"/>
        <v>23.327306348880217</v>
      </c>
      <c r="Y32" s="471">
        <f t="shared" si="60"/>
        <v>24.305030930092531</v>
      </c>
      <c r="AA32" s="472">
        <v>138.32400000000001</v>
      </c>
      <c r="AB32" s="469">
        <f t="shared" si="94"/>
        <v>23.123370110330992</v>
      </c>
      <c r="AC32" s="471">
        <f t="shared" si="61"/>
        <v>21.834868849859966</v>
      </c>
      <c r="AE32" s="472">
        <v>173.065</v>
      </c>
      <c r="AF32" s="469">
        <f t="shared" si="95"/>
        <v>22.837820005278438</v>
      </c>
      <c r="AG32" s="471">
        <f t="shared" si="62"/>
        <v>25.115670454874063</v>
      </c>
      <c r="AI32" s="472">
        <v>204.15600000000001</v>
      </c>
      <c r="AJ32" s="469">
        <f t="shared" si="96"/>
        <v>22.96855487427575</v>
      </c>
      <c r="AK32" s="471">
        <f t="shared" si="63"/>
        <v>17.964926472712573</v>
      </c>
      <c r="AM32" s="472">
        <v>247.251</v>
      </c>
      <c r="AN32" s="469">
        <f t="shared" si="97"/>
        <v>22.483904408555215</v>
      </c>
      <c r="AO32" s="471">
        <f t="shared" si="64"/>
        <v>21.108857932169521</v>
      </c>
      <c r="AQ32" s="472">
        <v>319.29000000000002</v>
      </c>
      <c r="AR32" s="469">
        <f t="shared" si="98"/>
        <v>22.0961937716263</v>
      </c>
      <c r="AS32" s="471">
        <f t="shared" si="65"/>
        <v>29.135979227586549</v>
      </c>
      <c r="AU32" s="472">
        <v>382.25200000000001</v>
      </c>
      <c r="AV32" s="469">
        <f t="shared" si="99"/>
        <v>21.714594744442287</v>
      </c>
      <c r="AW32" s="471">
        <f t="shared" si="66"/>
        <v>19.719377368536438</v>
      </c>
      <c r="AY32" s="472">
        <v>456.9</v>
      </c>
      <c r="AZ32" s="469">
        <f t="shared" si="100"/>
        <v>21.31659979471867</v>
      </c>
      <c r="BA32" s="471">
        <f t="shared" si="67"/>
        <v>19.528478595272226</v>
      </c>
      <c r="BC32" s="472">
        <v>548.69000000000005</v>
      </c>
      <c r="BD32" s="469">
        <f t="shared" si="101"/>
        <v>22.919381787802841</v>
      </c>
      <c r="BE32" s="471">
        <f t="shared" si="68"/>
        <v>20.089735171810052</v>
      </c>
      <c r="BG32" s="472">
        <v>681.97</v>
      </c>
      <c r="BH32" s="469">
        <f t="shared" si="102"/>
        <v>24.854039870257662</v>
      </c>
      <c r="BI32" s="471">
        <f t="shared" si="69"/>
        <v>24.290583025023228</v>
      </c>
      <c r="BK32" s="472">
        <v>780.1</v>
      </c>
      <c r="BL32" s="469">
        <f t="shared" si="103"/>
        <v>25.00801436173623</v>
      </c>
      <c r="BM32" s="471">
        <f t="shared" si="70"/>
        <v>14.389196005689397</v>
      </c>
      <c r="BO32" s="472">
        <v>887.2059999999999</v>
      </c>
      <c r="BP32" s="469">
        <f t="shared" si="104"/>
        <v>24.303724372646549</v>
      </c>
      <c r="BQ32" s="451">
        <f t="shared" si="71"/>
        <v>13.729778233559786</v>
      </c>
      <c r="BS32" s="472">
        <v>971.9</v>
      </c>
      <c r="BT32" s="469">
        <f t="shared" si="105"/>
        <v>25.407821813238524</v>
      </c>
      <c r="BU32" s="451">
        <f t="shared" si="72"/>
        <v>9.5461482451651758</v>
      </c>
      <c r="BW32" s="472">
        <v>1001.9670000000001</v>
      </c>
      <c r="BX32" s="469">
        <f t="shared" si="106"/>
        <v>26.342257132558768</v>
      </c>
      <c r="BY32" s="451">
        <f t="shared" si="73"/>
        <v>3.0936310319992</v>
      </c>
      <c r="CA32" s="472">
        <v>1050</v>
      </c>
      <c r="CB32" s="469">
        <f t="shared" si="107"/>
        <v>25.919526042952356</v>
      </c>
      <c r="CC32" s="451">
        <f t="shared" si="74"/>
        <v>4.7938704568114332</v>
      </c>
      <c r="CE32" s="985">
        <v>1059</v>
      </c>
      <c r="CF32" s="469">
        <f t="shared" si="108"/>
        <v>25.106685633001426</v>
      </c>
      <c r="CG32" s="451">
        <f t="shared" si="75"/>
        <v>0.85714285714286742</v>
      </c>
      <c r="CI32" s="985">
        <v>1070</v>
      </c>
      <c r="CJ32" s="469">
        <f t="shared" si="109"/>
        <v>24.451553930530164</v>
      </c>
      <c r="CK32" s="451">
        <f t="shared" si="76"/>
        <v>1.0387157695939564</v>
      </c>
      <c r="CM32" s="985">
        <v>1077</v>
      </c>
      <c r="CN32" s="469">
        <f t="shared" si="77"/>
        <v>23.986636971046771</v>
      </c>
      <c r="CO32" s="451">
        <f t="shared" si="78"/>
        <v>0.65420560747664336</v>
      </c>
      <c r="CQ32" s="985">
        <v>1073</v>
      </c>
      <c r="CR32" s="469">
        <f t="shared" si="79"/>
        <v>24.144914491449146</v>
      </c>
      <c r="CS32" s="451">
        <f t="shared" si="80"/>
        <v>-0.371402042711233</v>
      </c>
      <c r="CU32" s="985">
        <v>1097</v>
      </c>
      <c r="CV32" s="469">
        <f>(CU32/CU12)*100</f>
        <v>25.080018289894834</v>
      </c>
      <c r="CW32" s="451">
        <f>(CU32/CQ32-1)*100</f>
        <v>2.2367194780987809</v>
      </c>
      <c r="CY32" s="985">
        <v>1099</v>
      </c>
      <c r="CZ32" s="469">
        <f>(CY32/CY12)*100</f>
        <v>24.824937881183644</v>
      </c>
      <c r="DA32" s="451">
        <f t="shared" si="83"/>
        <v>0.18231540565176729</v>
      </c>
      <c r="DC32" s="985">
        <f>1080-6+6</f>
        <v>1080</v>
      </c>
      <c r="DD32" s="469">
        <f>(DC32/DC12)*100</f>
        <v>24.959556274555119</v>
      </c>
      <c r="DE32" s="451">
        <f t="shared" si="84"/>
        <v>-1.7288444040036377</v>
      </c>
      <c r="DG32" s="1017">
        <v>1095</v>
      </c>
      <c r="DH32" s="469">
        <f t="shared" si="85"/>
        <v>25.277008310249304</v>
      </c>
      <c r="DI32" s="1288">
        <f t="shared" si="86"/>
        <v>1.388888888888884</v>
      </c>
      <c r="DJ32" s="1016"/>
      <c r="DK32" s="1020">
        <f>DG32*(1+DM32%)</f>
        <v>1084.5975000000001</v>
      </c>
      <c r="DL32" s="469">
        <f t="shared" si="87"/>
        <v>25.362788564353895</v>
      </c>
      <c r="DM32" s="1016">
        <v>-0.95</v>
      </c>
      <c r="DN32" s="451"/>
      <c r="DO32" s="1264">
        <f>DI32+DM32</f>
        <v>0.438888888888884</v>
      </c>
      <c r="DP32" s="1267">
        <f>DI32+DM32+DA32</f>
        <v>0.62120429454065129</v>
      </c>
      <c r="DQ32" s="337"/>
      <c r="DR32" s="305"/>
    </row>
    <row r="33" spans="1:128" outlineLevel="1" x14ac:dyDescent="0.2">
      <c r="A33" s="448" t="s">
        <v>92</v>
      </c>
      <c r="C33" s="474">
        <v>55.362000000000002</v>
      </c>
      <c r="D33" s="469">
        <f t="shared" si="88"/>
        <v>20.298899293817421</v>
      </c>
      <c r="E33" s="470" t="s">
        <v>1</v>
      </c>
      <c r="F33" s="305"/>
      <c r="G33" s="474">
        <v>67.686000000000007</v>
      </c>
      <c r="H33" s="469">
        <f t="shared" si="89"/>
        <v>21.079414512612892</v>
      </c>
      <c r="I33" s="471">
        <f t="shared" si="56"/>
        <v>22.260756475560871</v>
      </c>
      <c r="K33" s="474">
        <v>80.537000000000006</v>
      </c>
      <c r="L33" s="469">
        <f t="shared" si="90"/>
        <v>21.22746441750132</v>
      </c>
      <c r="M33" s="471">
        <f t="shared" si="57"/>
        <v>18.986200986910152</v>
      </c>
      <c r="O33" s="474">
        <v>91.697999999999993</v>
      </c>
      <c r="P33" s="469">
        <f t="shared" si="91"/>
        <v>20.060818201706407</v>
      </c>
      <c r="Q33" s="471">
        <f t="shared" si="58"/>
        <v>13.85822665358778</v>
      </c>
      <c r="R33" s="305"/>
      <c r="S33" s="474">
        <v>111.59</v>
      </c>
      <c r="T33" s="469">
        <f t="shared" si="92"/>
        <v>19.773540773292694</v>
      </c>
      <c r="U33" s="471">
        <f t="shared" si="59"/>
        <v>21.69294859211761</v>
      </c>
      <c r="W33" s="474">
        <v>138.96799999999999</v>
      </c>
      <c r="X33" s="469">
        <f t="shared" si="93"/>
        <v>19.656011315417253</v>
      </c>
      <c r="Y33" s="471">
        <f t="shared" si="60"/>
        <v>24.534456492517243</v>
      </c>
      <c r="AA33" s="474">
        <v>164.57300000000001</v>
      </c>
      <c r="AB33" s="469">
        <f t="shared" si="94"/>
        <v>19.430106257378984</v>
      </c>
      <c r="AC33" s="471">
        <f t="shared" si="61"/>
        <v>18.425105060157755</v>
      </c>
      <c r="AE33" s="474">
        <v>206.732</v>
      </c>
      <c r="AF33" s="469">
        <f t="shared" si="95"/>
        <v>19.180924104657638</v>
      </c>
      <c r="AG33" s="471">
        <f t="shared" si="62"/>
        <v>25.617203307954519</v>
      </c>
      <c r="AI33" s="474">
        <v>246.88200000000001</v>
      </c>
      <c r="AJ33" s="469">
        <f t="shared" si="96"/>
        <v>19.145560294687865</v>
      </c>
      <c r="AK33" s="471">
        <f t="shared" si="63"/>
        <v>19.421279724474203</v>
      </c>
      <c r="AM33" s="474">
        <v>294.11599999999999</v>
      </c>
      <c r="AN33" s="469">
        <f t="shared" si="97"/>
        <v>18.296485225505442</v>
      </c>
      <c r="AO33" s="471">
        <f t="shared" si="64"/>
        <v>19.132217010555653</v>
      </c>
      <c r="AQ33" s="474">
        <v>400.07600000000002</v>
      </c>
      <c r="AR33" s="469">
        <f t="shared" si="98"/>
        <v>17.9963114569745</v>
      </c>
      <c r="AS33" s="471">
        <f t="shared" si="65"/>
        <v>36.02660174896981</v>
      </c>
      <c r="AU33" s="474">
        <v>465.584</v>
      </c>
      <c r="AV33" s="469">
        <f t="shared" si="99"/>
        <v>17.090668820204097</v>
      </c>
      <c r="AW33" s="471">
        <f t="shared" si="66"/>
        <v>16.373888961097393</v>
      </c>
      <c r="AY33" s="474">
        <v>528.92600000000004</v>
      </c>
      <c r="AZ33" s="469">
        <f t="shared" si="100"/>
        <v>16.609910815224218</v>
      </c>
      <c r="BA33" s="471">
        <f t="shared" si="67"/>
        <v>13.604848963881921</v>
      </c>
      <c r="BC33" s="474">
        <v>626.79999999999995</v>
      </c>
      <c r="BD33" s="469">
        <f t="shared" si="101"/>
        <v>17.597349729077177</v>
      </c>
      <c r="BE33" s="471">
        <f t="shared" si="68"/>
        <v>18.504289825041663</v>
      </c>
      <c r="BG33" s="474">
        <v>762.601</v>
      </c>
      <c r="BH33" s="469">
        <f t="shared" si="102"/>
        <v>18.697158408316376</v>
      </c>
      <c r="BI33" s="471">
        <f t="shared" si="69"/>
        <v>21.665762603701346</v>
      </c>
      <c r="BK33" s="474">
        <v>865.8</v>
      </c>
      <c r="BL33" s="469">
        <f t="shared" si="103"/>
        <v>18.611750037619039</v>
      </c>
      <c r="BM33" s="471">
        <f t="shared" si="70"/>
        <v>13.532502579986128</v>
      </c>
      <c r="BO33" s="474">
        <v>1037.4000000000001</v>
      </c>
      <c r="BP33" s="469">
        <f t="shared" si="104"/>
        <v>19.039753331130932</v>
      </c>
      <c r="BQ33" s="451">
        <f t="shared" si="71"/>
        <v>19.819819819819841</v>
      </c>
      <c r="BS33" s="474">
        <v>1072</v>
      </c>
      <c r="BT33" s="469">
        <f t="shared" si="105"/>
        <v>19.536019536019538</v>
      </c>
      <c r="BU33" s="451">
        <f t="shared" si="72"/>
        <v>3.3352612299980544</v>
      </c>
      <c r="BW33" s="474">
        <v>1106</v>
      </c>
      <c r="BX33" s="469">
        <f t="shared" si="106"/>
        <v>21.127029608404964</v>
      </c>
      <c r="BY33" s="451">
        <f t="shared" si="73"/>
        <v>3.1716417910447658</v>
      </c>
      <c r="CA33" s="474">
        <v>1193</v>
      </c>
      <c r="CB33" s="469">
        <f t="shared" si="107"/>
        <v>20.992433573816648</v>
      </c>
      <c r="CC33" s="451">
        <f t="shared" si="74"/>
        <v>7.8661844484629206</v>
      </c>
      <c r="CE33" s="1009">
        <v>1173</v>
      </c>
      <c r="CF33" s="469">
        <f t="shared" si="108"/>
        <v>19.426962570387545</v>
      </c>
      <c r="CG33" s="451">
        <f t="shared" si="75"/>
        <v>-1.6764459346186089</v>
      </c>
      <c r="CI33" s="1009">
        <v>1178</v>
      </c>
      <c r="CJ33" s="469">
        <f t="shared" si="109"/>
        <v>19.574609504818877</v>
      </c>
      <c r="CK33" s="451">
        <f t="shared" si="76"/>
        <v>0.42625745950555238</v>
      </c>
      <c r="CM33" s="1009">
        <v>1212</v>
      </c>
      <c r="CN33" s="469">
        <f t="shared" si="77"/>
        <v>19.110690633869442</v>
      </c>
      <c r="CO33" s="451">
        <f t="shared" si="78"/>
        <v>2.8862478777589073</v>
      </c>
      <c r="CQ33" s="1009">
        <v>1242</v>
      </c>
      <c r="CR33" s="469">
        <f t="shared" si="79"/>
        <v>20.363994097393014</v>
      </c>
      <c r="CS33" s="451">
        <f t="shared" si="80"/>
        <v>2.4752475247524774</v>
      </c>
      <c r="CU33" s="1009">
        <v>1272</v>
      </c>
      <c r="CV33" s="469">
        <f>(CU33/CU13)*100</f>
        <v>20.072589553416442</v>
      </c>
      <c r="CW33" s="451">
        <f>(CU33/CQ33-1)*100</f>
        <v>2.4154589371980784</v>
      </c>
      <c r="CY33" s="1009">
        <v>1332</v>
      </c>
      <c r="CZ33" s="469">
        <f>(CY33/CY13)*100</f>
        <v>20.854861437294506</v>
      </c>
      <c r="DA33" s="451">
        <f t="shared" si="83"/>
        <v>4.7169811320754818</v>
      </c>
      <c r="DC33" s="1009">
        <v>1360</v>
      </c>
      <c r="DD33" s="469">
        <f t="shared" si="111"/>
        <v>21.917808219178081</v>
      </c>
      <c r="DE33" s="451">
        <f>(DC33/CY33-1)*100</f>
        <v>2.1021021021021102</v>
      </c>
      <c r="DG33" s="1018">
        <v>1459</v>
      </c>
      <c r="DH33" s="469">
        <f t="shared" si="85"/>
        <v>21.531877213695395</v>
      </c>
      <c r="DI33" s="1288">
        <f t="shared" si="86"/>
        <v>7.2794117647058787</v>
      </c>
      <c r="DJ33" s="1016"/>
      <c r="DK33" s="1021">
        <f>DG33*(1+DM33%)</f>
        <v>1429.82</v>
      </c>
      <c r="DL33" s="469">
        <f t="shared" si="87"/>
        <v>22.491195554702077</v>
      </c>
      <c r="DM33" s="1016">
        <v>-2</v>
      </c>
      <c r="DN33" s="480"/>
      <c r="DO33" s="1265">
        <f>DI33+DM33</f>
        <v>5.2794117647058787</v>
      </c>
      <c r="DP33" s="1268">
        <f>DI33+DM33+DA33</f>
        <v>9.9963928967813604</v>
      </c>
      <c r="DQ33" s="337"/>
      <c r="DR33" s="432"/>
    </row>
    <row r="34" spans="1:128" outlineLevel="1" x14ac:dyDescent="0.2">
      <c r="A34" s="448" t="s">
        <v>93</v>
      </c>
      <c r="C34" s="319">
        <f>SUM(C30:C33)</f>
        <v>193.738</v>
      </c>
      <c r="D34" s="469">
        <f t="shared" si="88"/>
        <v>24.530162890370281</v>
      </c>
      <c r="E34" s="470" t="s">
        <v>1</v>
      </c>
      <c r="F34" s="305"/>
      <c r="G34" s="319">
        <f>SUM(G30:G33)</f>
        <v>229.56700000000001</v>
      </c>
      <c r="H34" s="469">
        <f t="shared" si="89"/>
        <v>24.673321682756068</v>
      </c>
      <c r="I34" s="471">
        <f t="shared" si="56"/>
        <v>18.49353250265824</v>
      </c>
      <c r="K34" s="319">
        <f>SUM(K30:K33)</f>
        <v>269.15800000000002</v>
      </c>
      <c r="L34" s="469">
        <f t="shared" si="90"/>
        <v>24.539046146440374</v>
      </c>
      <c r="M34" s="471">
        <f t="shared" si="57"/>
        <v>17.245945628073734</v>
      </c>
      <c r="O34" s="319">
        <f>SUM(O30:O33)</f>
        <v>305.54699999999997</v>
      </c>
      <c r="P34" s="469">
        <f t="shared" si="91"/>
        <v>23.402803308823529</v>
      </c>
      <c r="Q34" s="471">
        <f t="shared" si="58"/>
        <v>13.519568431924721</v>
      </c>
      <c r="R34" s="305"/>
      <c r="S34" s="319">
        <f>SUM(S30:S33)</f>
        <v>356.89300000000003</v>
      </c>
      <c r="T34" s="469">
        <f t="shared" si="92"/>
        <v>22.96549638361947</v>
      </c>
      <c r="U34" s="471">
        <f t="shared" si="59"/>
        <v>16.804615983793013</v>
      </c>
      <c r="W34" s="319">
        <f>SUM(W30:W33)</f>
        <v>436.44200000000001</v>
      </c>
      <c r="X34" s="469">
        <f t="shared" si="93"/>
        <v>22.664435061269614</v>
      </c>
      <c r="Y34" s="471">
        <f t="shared" si="60"/>
        <v>22.289313603797201</v>
      </c>
      <c r="AA34" s="319">
        <f>SUM(AA30:AA33)</f>
        <v>536.226</v>
      </c>
      <c r="AB34" s="469">
        <f t="shared" si="94"/>
        <v>22.450324471425581</v>
      </c>
      <c r="AC34" s="471">
        <f t="shared" si="61"/>
        <v>22.863060841990457</v>
      </c>
      <c r="AE34" s="319">
        <f>SUM(AE30:AE33)</f>
        <v>678.79300000000001</v>
      </c>
      <c r="AF34" s="469">
        <f t="shared" si="95"/>
        <v>22.182168855495473</v>
      </c>
      <c r="AG34" s="471">
        <f t="shared" si="62"/>
        <v>26.587110658565607</v>
      </c>
      <c r="AI34" s="319">
        <f>SUM(AI30:AI33)</f>
        <v>816.30100000000016</v>
      </c>
      <c r="AJ34" s="469">
        <f t="shared" si="96"/>
        <v>22.171849960616026</v>
      </c>
      <c r="AK34" s="471">
        <f t="shared" si="63"/>
        <v>20.257722162721215</v>
      </c>
      <c r="AM34" s="468">
        <v>975.26900000000001</v>
      </c>
      <c r="AN34" s="469">
        <f t="shared" si="97"/>
        <v>21.401651971261671</v>
      </c>
      <c r="AO34" s="471">
        <f t="shared" si="64"/>
        <v>19.474189055262681</v>
      </c>
      <c r="AQ34" s="319">
        <f>SUM(AQ30:AQ33)</f>
        <v>1295.953</v>
      </c>
      <c r="AR34" s="469">
        <f t="shared" si="98"/>
        <v>21.064871103020057</v>
      </c>
      <c r="AS34" s="471">
        <f t="shared" si="65"/>
        <v>32.88159471899548</v>
      </c>
      <c r="AU34" s="319">
        <f>SUM(AU30:AU33)</f>
        <v>1532.4750000000001</v>
      </c>
      <c r="AV34" s="469">
        <f t="shared" si="99"/>
        <v>20.463979736790872</v>
      </c>
      <c r="AW34" s="471">
        <f t="shared" si="66"/>
        <v>18.250816194723129</v>
      </c>
      <c r="AY34" s="468">
        <v>1826.7070000000001</v>
      </c>
      <c r="AZ34" s="469">
        <f t="shared" si="100"/>
        <v>20.029242779763599</v>
      </c>
      <c r="BA34" s="471">
        <f t="shared" si="67"/>
        <v>19.199791187458203</v>
      </c>
      <c r="BC34" s="468">
        <v>2148.701</v>
      </c>
      <c r="BD34" s="469">
        <f t="shared" si="101"/>
        <v>20.897695000972575</v>
      </c>
      <c r="BE34" s="471">
        <f t="shared" si="68"/>
        <v>17.627019549385857</v>
      </c>
      <c r="BG34" s="319">
        <f>SUM(BG30:BG33)</f>
        <v>2632.0819999999999</v>
      </c>
      <c r="BH34" s="469">
        <f t="shared" si="102"/>
        <v>22.495081490850971</v>
      </c>
      <c r="BI34" s="471">
        <f t="shared" si="69"/>
        <v>22.496429237944216</v>
      </c>
      <c r="BK34" s="319">
        <f>SUM(BK30:BK33)</f>
        <v>3008</v>
      </c>
      <c r="BL34" s="469">
        <f t="shared" si="103"/>
        <v>22.444076345674592</v>
      </c>
      <c r="BM34" s="471">
        <f t="shared" si="70"/>
        <v>14.282153823475108</v>
      </c>
      <c r="BO34" s="319">
        <f>SUM(BO30:BO33)</f>
        <v>3465.1119999999996</v>
      </c>
      <c r="BP34" s="469">
        <f t="shared" si="104"/>
        <v>22.23320550562353</v>
      </c>
      <c r="BQ34" s="451">
        <f t="shared" si="71"/>
        <v>15.196542553191472</v>
      </c>
      <c r="BS34" s="319">
        <f>SUM(BS30:BS33)</f>
        <v>3757.4</v>
      </c>
      <c r="BT34" s="469">
        <f t="shared" si="105"/>
        <v>22.808476541396285</v>
      </c>
      <c r="BU34" s="451">
        <f t="shared" si="72"/>
        <v>8.4351674635625216</v>
      </c>
      <c r="BW34" s="319">
        <f>SUM(BW30:BW33)</f>
        <v>3977.3209999999999</v>
      </c>
      <c r="BX34" s="469">
        <f t="shared" si="106"/>
        <v>24.269126244066076</v>
      </c>
      <c r="BY34" s="451">
        <f t="shared" si="73"/>
        <v>5.8530100601479784</v>
      </c>
      <c r="CA34" s="472">
        <v>3951</v>
      </c>
      <c r="CB34" s="469">
        <f t="shared" si="107"/>
        <v>23.000349283967868</v>
      </c>
      <c r="CC34" s="451">
        <f t="shared" si="74"/>
        <v>-0.66177711077380907</v>
      </c>
      <c r="CE34" s="319">
        <f>SUM(CE30:CE33)</f>
        <v>4188</v>
      </c>
      <c r="CF34" s="469">
        <f t="shared" si="108"/>
        <v>22.772008047414495</v>
      </c>
      <c r="CG34" s="451">
        <f t="shared" si="75"/>
        <v>5.9984813971146522</v>
      </c>
      <c r="CI34" s="319">
        <f>SUM(CI30:CI33)</f>
        <v>4243</v>
      </c>
      <c r="CJ34" s="469">
        <f t="shared" si="109"/>
        <v>22.564348011061476</v>
      </c>
      <c r="CK34" s="451">
        <f t="shared" si="76"/>
        <v>1.313276026743071</v>
      </c>
      <c r="CM34" s="319">
        <f>SUM(CM30:CM33)</f>
        <v>4266</v>
      </c>
      <c r="CN34" s="469">
        <f t="shared" si="77"/>
        <v>22.126556016597508</v>
      </c>
      <c r="CO34" s="451">
        <f t="shared" si="78"/>
        <v>0.54206929059628095</v>
      </c>
      <c r="CQ34" s="319">
        <f>SUM(CQ30:CQ33)</f>
        <v>4312</v>
      </c>
      <c r="CR34" s="469">
        <f t="shared" si="79"/>
        <v>22.65776890336819</v>
      </c>
      <c r="CS34" s="451">
        <f t="shared" si="80"/>
        <v>1.0782934833567737</v>
      </c>
      <c r="CU34" s="319">
        <f>SUM(CU30:CU33)</f>
        <v>4350</v>
      </c>
      <c r="CV34" s="469">
        <f t="shared" si="81"/>
        <v>22.867055669452768</v>
      </c>
      <c r="CW34" s="451">
        <f t="shared" si="82"/>
        <v>0.88126159554731132</v>
      </c>
      <c r="CY34" s="319">
        <f>SUM(CY30:CY33)</f>
        <v>4452</v>
      </c>
      <c r="CZ34" s="469">
        <f t="shared" si="110"/>
        <v>23.182670277025618</v>
      </c>
      <c r="DA34" s="451">
        <f t="shared" si="83"/>
        <v>2.3448275862068879</v>
      </c>
      <c r="DC34" s="319">
        <f>SUM(DC30:DC33)</f>
        <v>4434</v>
      </c>
      <c r="DD34" s="469">
        <f t="shared" si="111"/>
        <v>23.728994969495879</v>
      </c>
      <c r="DE34" s="451">
        <f t="shared" si="84"/>
        <v>-0.40431266846361336</v>
      </c>
      <c r="DG34" s="449">
        <f>SUM(DG30:DG33)</f>
        <v>4512</v>
      </c>
      <c r="DH34" s="469">
        <f t="shared" si="85"/>
        <v>23.629222309505106</v>
      </c>
      <c r="DI34" s="451">
        <f t="shared" si="86"/>
        <v>1.7591339648173276</v>
      </c>
      <c r="DJ34" s="451"/>
      <c r="DK34" s="449">
        <f>SUM(DK30:DK33)</f>
        <v>4511.8289999999997</v>
      </c>
      <c r="DL34" s="469">
        <f t="shared" si="87"/>
        <v>24.018203805504967</v>
      </c>
      <c r="DM34" s="451">
        <f>(DK34/DG34-1)*100</f>
        <v>-3.78989361702331E-3</v>
      </c>
      <c r="DN34" s="1113">
        <f>DL34-DH34</f>
        <v>0.38898149599986098</v>
      </c>
      <c r="DO34" s="1266">
        <f>DI34+DM34</f>
        <v>1.7553440712003043</v>
      </c>
      <c r="DP34" s="1269">
        <f>DI34+DM34+DA34</f>
        <v>4.1001716574071922</v>
      </c>
      <c r="DQ34" s="888"/>
      <c r="DR34" s="888"/>
    </row>
    <row r="35" spans="1:128" outlineLevel="1" x14ac:dyDescent="0.2">
      <c r="A35" s="448" t="s">
        <v>467</v>
      </c>
      <c r="C35" s="413">
        <f>C30+C31</f>
        <v>87.587000000000003</v>
      </c>
      <c r="D35" s="469">
        <f t="shared" si="88"/>
        <v>27.593670156292827</v>
      </c>
      <c r="E35" s="470" t="s">
        <v>1</v>
      </c>
      <c r="F35" s="305"/>
      <c r="G35" s="413">
        <f>G30+G31</f>
        <v>100.527</v>
      </c>
      <c r="H35" s="469">
        <f t="shared" si="89"/>
        <v>27.189594456435305</v>
      </c>
      <c r="I35" s="471">
        <f t="shared" si="56"/>
        <v>14.773881968785329</v>
      </c>
      <c r="K35" s="413">
        <f>K30+K31</f>
        <v>116.155</v>
      </c>
      <c r="L35" s="469">
        <f t="shared" si="90"/>
        <v>27.063140726933831</v>
      </c>
      <c r="M35" s="471">
        <f t="shared" si="57"/>
        <v>15.546072199508586</v>
      </c>
      <c r="O35" s="413">
        <f>O30+O31</f>
        <v>132.684</v>
      </c>
      <c r="P35" s="469">
        <f t="shared" si="91"/>
        <v>26.139479905437351</v>
      </c>
      <c r="Q35" s="471">
        <f t="shared" si="58"/>
        <v>14.230123541819118</v>
      </c>
      <c r="R35" s="305"/>
      <c r="S35" s="413">
        <f>S30+S31</f>
        <v>153.96800000000002</v>
      </c>
      <c r="T35" s="469">
        <f t="shared" si="92"/>
        <v>25.652782405864709</v>
      </c>
      <c r="U35" s="471">
        <f t="shared" si="59"/>
        <v>16.041120255645012</v>
      </c>
      <c r="W35" s="413">
        <f>W30+W31</f>
        <v>183.94</v>
      </c>
      <c r="X35" s="469">
        <f t="shared" si="93"/>
        <v>25.138718053847203</v>
      </c>
      <c r="Y35" s="471">
        <f t="shared" si="60"/>
        <v>19.46638262496101</v>
      </c>
      <c r="AA35" s="413">
        <f>AA30+AA31</f>
        <v>233.32900000000001</v>
      </c>
      <c r="AB35" s="469">
        <f t="shared" si="94"/>
        <v>24.73539701049507</v>
      </c>
      <c r="AC35" s="471">
        <f t="shared" si="61"/>
        <v>26.850603457649246</v>
      </c>
      <c r="AE35" s="413">
        <f>AE30+AE31</f>
        <v>298.99599999999998</v>
      </c>
      <c r="AF35" s="469">
        <f t="shared" si="95"/>
        <v>24.41812224577863</v>
      </c>
      <c r="AG35" s="471">
        <f t="shared" si="62"/>
        <v>28.143522665420907</v>
      </c>
      <c r="AI35" s="413">
        <f>AI30+AI31</f>
        <v>365.26300000000003</v>
      </c>
      <c r="AJ35" s="469">
        <f t="shared" si="96"/>
        <v>24.296604250507205</v>
      </c>
      <c r="AK35" s="471">
        <f t="shared" si="63"/>
        <v>22.163172751474946</v>
      </c>
      <c r="AM35" s="413">
        <f>AM30+AM31</f>
        <v>434.53899999999999</v>
      </c>
      <c r="AN35" s="469">
        <f t="shared" si="97"/>
        <v>23.491134176667746</v>
      </c>
      <c r="AO35" s="471">
        <f t="shared" si="64"/>
        <v>18.966060071783875</v>
      </c>
      <c r="AQ35" s="413">
        <f>AQ30+AQ31</f>
        <v>576.58699999999999</v>
      </c>
      <c r="AR35" s="469">
        <f t="shared" si="98"/>
        <v>23.211102612616237</v>
      </c>
      <c r="AS35" s="471">
        <f t="shared" si="65"/>
        <v>32.689355846080574</v>
      </c>
      <c r="AU35" s="413">
        <f>AU30+AU31</f>
        <v>684.63900000000001</v>
      </c>
      <c r="AV35" s="469">
        <f t="shared" si="99"/>
        <v>22.790153456942182</v>
      </c>
      <c r="AW35" s="471">
        <f t="shared" si="66"/>
        <v>18.739929967203572</v>
      </c>
      <c r="AY35" s="413">
        <f>AY30+AY31</f>
        <v>838.92699999999991</v>
      </c>
      <c r="AZ35" s="469">
        <f t="shared" si="100"/>
        <v>22.121268853496463</v>
      </c>
      <c r="BA35" s="471">
        <f t="shared" si="67"/>
        <v>22.53567208412024</v>
      </c>
      <c r="BC35" s="413">
        <f>BC30+BC31</f>
        <v>971.60699999999997</v>
      </c>
      <c r="BD35" s="469">
        <f t="shared" si="101"/>
        <v>22.4591895702827</v>
      </c>
      <c r="BE35" s="471">
        <f t="shared" si="68"/>
        <v>15.815440437606609</v>
      </c>
      <c r="BG35" s="413">
        <f>BG30+BG31</f>
        <v>1187.511</v>
      </c>
      <c r="BH35" s="469">
        <f t="shared" si="102"/>
        <v>24.343719890941141</v>
      </c>
      <c r="BI35" s="471">
        <f t="shared" si="69"/>
        <v>22.221330229197612</v>
      </c>
      <c r="BK35" s="413">
        <f>BK30+BK31</f>
        <v>1362.1</v>
      </c>
      <c r="BL35" s="469">
        <f t="shared" si="103"/>
        <v>24.189738762897584</v>
      </c>
      <c r="BM35" s="471">
        <f t="shared" si="70"/>
        <v>14.702095391116377</v>
      </c>
      <c r="BO35" s="413">
        <f>BO30+BO31</f>
        <v>1540.5059999999999</v>
      </c>
      <c r="BP35" s="469">
        <f t="shared" si="104"/>
        <v>23.750490849274463</v>
      </c>
      <c r="BQ35" s="451">
        <f t="shared" si="71"/>
        <v>13.097863592981419</v>
      </c>
      <c r="BS35" s="413">
        <f>BS30+BS31</f>
        <v>1713.5</v>
      </c>
      <c r="BT35" s="469">
        <f t="shared" si="105"/>
        <v>23.927554041222145</v>
      </c>
      <c r="BU35" s="451">
        <f t="shared" si="72"/>
        <v>11.229686869119625</v>
      </c>
      <c r="BW35" s="413">
        <f>BW30+BW31</f>
        <v>1869.3539999999998</v>
      </c>
      <c r="BX35" s="469">
        <f t="shared" si="106"/>
        <v>25.434256326304478</v>
      </c>
      <c r="BY35" s="451">
        <f t="shared" si="73"/>
        <v>9.095652173913038</v>
      </c>
      <c r="CA35" s="413">
        <f>CA30+CA31</f>
        <v>1953</v>
      </c>
      <c r="CB35" s="469">
        <f t="shared" si="107"/>
        <v>26.235894680279419</v>
      </c>
      <c r="CC35" s="451">
        <f t="shared" si="74"/>
        <v>4.4745938971430865</v>
      </c>
      <c r="CE35" s="413">
        <f>CE30+CE31</f>
        <v>1956</v>
      </c>
      <c r="CF35" s="469">
        <f t="shared" si="108"/>
        <v>24.044253226797789</v>
      </c>
      <c r="CG35" s="451">
        <f t="shared" si="75"/>
        <v>0.1536098310291889</v>
      </c>
      <c r="CI35" s="413">
        <f>CI30+CI31</f>
        <v>1995</v>
      </c>
      <c r="CJ35" s="469">
        <f t="shared" si="109"/>
        <v>23.721759809750299</v>
      </c>
      <c r="CK35" s="451">
        <f t="shared" si="76"/>
        <v>1.9938650306748462</v>
      </c>
      <c r="CM35" s="413">
        <f>CM30+CM31</f>
        <v>1977</v>
      </c>
      <c r="CN35" s="469">
        <f t="shared" si="77"/>
        <v>23.401988636363637</v>
      </c>
      <c r="CO35" s="451">
        <f t="shared" si="78"/>
        <v>-0.90225563909774875</v>
      </c>
      <c r="CQ35" s="413">
        <f>CQ30+CQ31</f>
        <v>1997</v>
      </c>
      <c r="CR35" s="469">
        <f t="shared" si="79"/>
        <v>23.527332704995288</v>
      </c>
      <c r="CS35" s="451">
        <f t="shared" si="80"/>
        <v>1.0116337885685445</v>
      </c>
      <c r="CU35" s="413">
        <f>CU30+CU31</f>
        <v>1981</v>
      </c>
      <c r="CV35" s="469">
        <f t="shared" si="81"/>
        <v>23.833012512030798</v>
      </c>
      <c r="CW35" s="451">
        <f t="shared" si="82"/>
        <v>-0.80120180270405461</v>
      </c>
      <c r="CY35" s="413">
        <f>CY30+CY31</f>
        <v>2021</v>
      </c>
      <c r="CZ35" s="469">
        <f t="shared" si="110"/>
        <v>24.088200238379024</v>
      </c>
      <c r="DA35" s="451">
        <f t="shared" si="83"/>
        <v>2.0191822311963703</v>
      </c>
      <c r="DC35" s="413">
        <f>DC30+DC31</f>
        <v>1994</v>
      </c>
      <c r="DD35" s="469">
        <f t="shared" si="111"/>
        <v>24.454255580083395</v>
      </c>
      <c r="DE35" s="451">
        <f t="shared" si="84"/>
        <v>-1.3359722909450755</v>
      </c>
      <c r="DG35" s="413">
        <f>DG30+DG31</f>
        <v>1958</v>
      </c>
      <c r="DH35" s="469">
        <f t="shared" si="85"/>
        <v>24.514836609490423</v>
      </c>
      <c r="DI35" s="451">
        <f t="shared" si="86"/>
        <v>-1.8054162487462388</v>
      </c>
      <c r="DJ35" s="451"/>
      <c r="DK35" s="413">
        <f>DK30+DK31</f>
        <v>1997.4115000000002</v>
      </c>
      <c r="DL35" s="469">
        <f t="shared" si="87"/>
        <v>24.503720326397392</v>
      </c>
      <c r="DM35" s="451">
        <f>(DK35/DG35-1)*100</f>
        <v>2.0128447395301396</v>
      </c>
      <c r="DN35" s="451"/>
      <c r="DO35" s="920"/>
      <c r="DP35" s="921"/>
    </row>
    <row r="36" spans="1:128" outlineLevel="1" x14ac:dyDescent="0.2">
      <c r="A36" s="448" t="s">
        <v>468</v>
      </c>
      <c r="C36" s="413">
        <f>C33+C32</f>
        <v>106.15100000000001</v>
      </c>
      <c r="D36" s="469">
        <f t="shared" si="88"/>
        <v>22.471622302478103</v>
      </c>
      <c r="E36" s="470" t="s">
        <v>1</v>
      </c>
      <c r="F36" s="305"/>
      <c r="G36" s="413">
        <f>G33+G32</f>
        <v>129.04000000000002</v>
      </c>
      <c r="H36" s="469">
        <f t="shared" si="89"/>
        <v>23.014089530943465</v>
      </c>
      <c r="I36" s="471">
        <f t="shared" si="56"/>
        <v>21.562679579090172</v>
      </c>
      <c r="K36" s="413">
        <f>K33+K32</f>
        <v>153.00299999999999</v>
      </c>
      <c r="L36" s="469">
        <f t="shared" si="90"/>
        <v>23.021817634667471</v>
      </c>
      <c r="M36" s="471">
        <f t="shared" si="57"/>
        <v>18.570210787352725</v>
      </c>
      <c r="O36" s="413">
        <f>O33+O32</f>
        <v>172.863</v>
      </c>
      <c r="P36" s="469">
        <f t="shared" si="91"/>
        <v>21.662030075187968</v>
      </c>
      <c r="Q36" s="471">
        <f t="shared" si="58"/>
        <v>12.980137644359925</v>
      </c>
      <c r="R36" s="305"/>
      <c r="S36" s="413">
        <f>S33+S32</f>
        <v>202.92500000000001</v>
      </c>
      <c r="T36" s="469">
        <f t="shared" si="92"/>
        <v>21.274532416338172</v>
      </c>
      <c r="U36" s="471">
        <f t="shared" si="59"/>
        <v>17.390650399449292</v>
      </c>
      <c r="W36" s="413">
        <f>W33+W32</f>
        <v>252.50200000000001</v>
      </c>
      <c r="X36" s="469">
        <f t="shared" si="93"/>
        <v>21.15288598475329</v>
      </c>
      <c r="Y36" s="471">
        <f t="shared" si="60"/>
        <v>24.431193790809402</v>
      </c>
      <c r="AA36" s="413">
        <f>AA33+AA32</f>
        <v>302.89700000000005</v>
      </c>
      <c r="AB36" s="469">
        <f t="shared" si="94"/>
        <v>20.958829227788545</v>
      </c>
      <c r="AC36" s="471">
        <f t="shared" si="61"/>
        <v>19.95825775637423</v>
      </c>
      <c r="AE36" s="413">
        <f>AE33+AE32</f>
        <v>379.79700000000003</v>
      </c>
      <c r="AF36" s="469">
        <f t="shared" si="95"/>
        <v>20.690618871213776</v>
      </c>
      <c r="AG36" s="471">
        <f t="shared" si="62"/>
        <v>25.388168255215461</v>
      </c>
      <c r="AI36" s="413">
        <f>AI33+AI32</f>
        <v>451.03800000000001</v>
      </c>
      <c r="AJ36" s="469">
        <f t="shared" si="96"/>
        <v>20.705488098790369</v>
      </c>
      <c r="AK36" s="471">
        <f t="shared" si="63"/>
        <v>18.757652114155722</v>
      </c>
      <c r="AM36" s="413">
        <f>AM33+AM32</f>
        <v>541.36699999999996</v>
      </c>
      <c r="AN36" s="469">
        <f t="shared" si="97"/>
        <v>19.997451222305127</v>
      </c>
      <c r="AO36" s="471">
        <f t="shared" si="64"/>
        <v>20.026915692247638</v>
      </c>
      <c r="AQ36" s="413">
        <f>AQ33+AQ32</f>
        <v>719.36599999999999</v>
      </c>
      <c r="AR36" s="469">
        <f t="shared" si="98"/>
        <v>19.611406450205831</v>
      </c>
      <c r="AS36" s="471">
        <f t="shared" si="65"/>
        <v>32.879543821474158</v>
      </c>
      <c r="AU36" s="413">
        <f>AU33+AU32</f>
        <v>847.83600000000001</v>
      </c>
      <c r="AV36" s="469">
        <f t="shared" si="99"/>
        <v>18.905726465956644</v>
      </c>
      <c r="AW36" s="471">
        <f t="shared" si="66"/>
        <v>17.858781204560682</v>
      </c>
      <c r="AY36" s="413">
        <f>AY33+AY32</f>
        <v>985.82600000000002</v>
      </c>
      <c r="AZ36" s="469">
        <f t="shared" si="100"/>
        <v>18.50343481361913</v>
      </c>
      <c r="BA36" s="471">
        <f t="shared" si="67"/>
        <v>16.275553290966659</v>
      </c>
      <c r="BC36" s="413">
        <f>BC33+BC32</f>
        <v>1175.49</v>
      </c>
      <c r="BD36" s="469">
        <f t="shared" si="101"/>
        <v>19.736563743514836</v>
      </c>
      <c r="BE36" s="471">
        <f t="shared" si="68"/>
        <v>19.239094931559929</v>
      </c>
      <c r="BG36" s="413">
        <f>BG33+BG32</f>
        <v>1444.5709999999999</v>
      </c>
      <c r="BH36" s="469">
        <f t="shared" si="102"/>
        <v>21.173321021311519</v>
      </c>
      <c r="BI36" s="471">
        <f t="shared" si="69"/>
        <v>22.890964619009946</v>
      </c>
      <c r="BK36" s="413">
        <f>BK33+BK32</f>
        <v>1645.9</v>
      </c>
      <c r="BL36" s="469">
        <f t="shared" si="103"/>
        <v>21.179210685470903</v>
      </c>
      <c r="BM36" s="471">
        <f t="shared" si="70"/>
        <v>13.93694044806384</v>
      </c>
      <c r="BO36" s="413">
        <f>BO33+BO32</f>
        <v>1924.606</v>
      </c>
      <c r="BP36" s="469">
        <f t="shared" si="104"/>
        <v>21.151622348334897</v>
      </c>
      <c r="BQ36" s="451">
        <f t="shared" si="71"/>
        <v>16.933349535208684</v>
      </c>
      <c r="BS36" s="413">
        <f>BS33+BS32</f>
        <v>2043.9</v>
      </c>
      <c r="BT36" s="469">
        <f t="shared" si="105"/>
        <v>21.947919463087249</v>
      </c>
      <c r="BU36" s="451">
        <f t="shared" si="72"/>
        <v>6.1983595603463781</v>
      </c>
      <c r="BW36" s="413">
        <f>BW33+BW32</f>
        <v>2107.9670000000001</v>
      </c>
      <c r="BX36" s="469">
        <f t="shared" si="106"/>
        <v>23.321704383033349</v>
      </c>
      <c r="BY36" s="451">
        <f t="shared" si="73"/>
        <v>3.1345466999364024</v>
      </c>
      <c r="CA36" s="413">
        <f>CA33+CA32</f>
        <v>2243</v>
      </c>
      <c r="CB36" s="469">
        <f t="shared" si="107"/>
        <v>23.042942264228479</v>
      </c>
      <c r="CC36" s="451">
        <f t="shared" si="74"/>
        <v>6.4058403191321167</v>
      </c>
      <c r="CE36" s="413">
        <f>CE33+CE32</f>
        <v>2232</v>
      </c>
      <c r="CF36" s="469">
        <f t="shared" si="108"/>
        <v>21.762870514820591</v>
      </c>
      <c r="CG36" s="451">
        <f t="shared" si="75"/>
        <v>-0.49041462327240604</v>
      </c>
      <c r="CI36" s="413">
        <f>CI33+CI32</f>
        <v>2248</v>
      </c>
      <c r="CJ36" s="469">
        <f t="shared" si="109"/>
        <v>21.627862228208585</v>
      </c>
      <c r="CK36" s="451">
        <f t="shared" si="76"/>
        <v>0.71684587813620748</v>
      </c>
      <c r="CM36" s="413">
        <f>CM33+CM32</f>
        <v>2289</v>
      </c>
      <c r="CN36" s="469">
        <f t="shared" si="77"/>
        <v>21.131831610044312</v>
      </c>
      <c r="CO36" s="451">
        <f t="shared" si="78"/>
        <v>1.8238434163700967</v>
      </c>
      <c r="CQ36" s="413">
        <f>CQ33+CQ32</f>
        <v>2315</v>
      </c>
      <c r="CR36" s="469">
        <f t="shared" si="79"/>
        <v>21.957697050175472</v>
      </c>
      <c r="CS36" s="451">
        <f t="shared" si="80"/>
        <v>1.1358671909130535</v>
      </c>
      <c r="CU36" s="413">
        <f>CU33+CU32</f>
        <v>2369</v>
      </c>
      <c r="CV36" s="469">
        <f t="shared" si="81"/>
        <v>22.117449351134347</v>
      </c>
      <c r="CW36" s="451">
        <f t="shared" si="82"/>
        <v>2.3326133909287172</v>
      </c>
      <c r="CY36" s="413">
        <f>CY33+CY32</f>
        <v>2431</v>
      </c>
      <c r="CZ36" s="469">
        <f t="shared" si="110"/>
        <v>22.480118365082298</v>
      </c>
      <c r="DA36" s="451">
        <f t="shared" si="83"/>
        <v>2.6171380329252925</v>
      </c>
      <c r="DC36" s="413">
        <f>DC33+DC32</f>
        <v>2440</v>
      </c>
      <c r="DD36" s="469">
        <f t="shared" si="111"/>
        <v>23.167489555639957</v>
      </c>
      <c r="DE36" s="451">
        <f t="shared" si="84"/>
        <v>0.37021801727683545</v>
      </c>
      <c r="DG36" s="413">
        <f>DG33+DG32</f>
        <v>2554</v>
      </c>
      <c r="DH36" s="469">
        <f t="shared" si="85"/>
        <v>22.992437882607131</v>
      </c>
      <c r="DI36" s="451">
        <f t="shared" si="86"/>
        <v>4.6721311475409921</v>
      </c>
      <c r="DJ36" s="451"/>
      <c r="DK36" s="413">
        <f>DK33+DK32</f>
        <v>2514.4175</v>
      </c>
      <c r="DL36" s="469">
        <f t="shared" si="87"/>
        <v>23.646017704108413</v>
      </c>
      <c r="DM36" s="451">
        <f>(DK36/DG36-1)*100</f>
        <v>-1.5498238057948255</v>
      </c>
      <c r="DO36" s="922"/>
      <c r="DP36" s="923"/>
    </row>
    <row r="37" spans="1:128" outlineLevel="1" x14ac:dyDescent="0.2">
      <c r="C37" s="413"/>
      <c r="D37" s="459"/>
      <c r="E37" s="459"/>
      <c r="F37" s="305"/>
      <c r="G37" s="413"/>
      <c r="H37" s="459"/>
      <c r="I37" s="459"/>
      <c r="K37" s="413"/>
      <c r="L37" s="459"/>
      <c r="M37" s="459"/>
      <c r="O37" s="413"/>
      <c r="P37" s="459"/>
      <c r="Q37" s="459"/>
      <c r="R37" s="305"/>
      <c r="S37" s="413"/>
      <c r="T37" s="459"/>
      <c r="U37" s="459"/>
      <c r="W37" s="413"/>
      <c r="X37" s="459"/>
      <c r="Y37" s="459"/>
      <c r="AA37" s="413"/>
      <c r="AB37" s="459"/>
      <c r="AC37" s="459"/>
      <c r="AE37" s="413"/>
      <c r="AF37" s="459"/>
      <c r="AG37" s="459"/>
      <c r="AI37" s="413"/>
      <c r="AJ37" s="459"/>
      <c r="AK37" s="459"/>
      <c r="AM37" s="413"/>
      <c r="AN37" s="459"/>
      <c r="AO37" s="459"/>
      <c r="AQ37" s="413"/>
      <c r="AR37" s="459"/>
      <c r="AS37" s="459"/>
      <c r="AU37" s="413"/>
      <c r="AV37" s="459"/>
      <c r="AW37" s="459"/>
      <c r="AY37" s="413"/>
      <c r="AZ37" s="459"/>
      <c r="BA37" s="459"/>
      <c r="BC37" s="413"/>
      <c r="BD37" s="459"/>
      <c r="BE37" s="459"/>
      <c r="BG37" s="413"/>
      <c r="BI37" s="459"/>
      <c r="BK37" s="413"/>
      <c r="BO37" s="413"/>
      <c r="BS37" s="413"/>
      <c r="BW37" s="413"/>
      <c r="CA37" s="413"/>
      <c r="CB37" s="440"/>
      <c r="CE37" s="413"/>
      <c r="CF37" s="440"/>
      <c r="CI37" s="413"/>
      <c r="CJ37" s="440"/>
      <c r="CN37" s="440"/>
      <c r="CR37" s="440"/>
      <c r="CV37" s="440"/>
      <c r="CZ37" s="440"/>
      <c r="DD37" s="440"/>
      <c r="DH37" s="440"/>
      <c r="DL37" s="440"/>
      <c r="DO37" s="479"/>
      <c r="DP37" s="311"/>
      <c r="DX37" s="451"/>
    </row>
    <row r="38" spans="1:128" outlineLevel="1" x14ac:dyDescent="0.2">
      <c r="B38" s="318"/>
      <c r="C38" s="463"/>
      <c r="D38" s="464"/>
      <c r="E38" s="464"/>
      <c r="F38" s="465"/>
      <c r="G38" s="463"/>
      <c r="H38" s="464"/>
      <c r="I38" s="464"/>
      <c r="J38" s="318"/>
      <c r="K38" s="463"/>
      <c r="L38" s="464"/>
      <c r="M38" s="464"/>
      <c r="N38" s="318"/>
      <c r="O38" s="463"/>
      <c r="P38" s="464"/>
      <c r="Q38" s="464"/>
      <c r="R38" s="465"/>
      <c r="S38" s="463"/>
      <c r="T38" s="464"/>
      <c r="U38" s="464"/>
      <c r="V38" s="318"/>
      <c r="W38" s="463"/>
      <c r="X38" s="464"/>
      <c r="Y38" s="464"/>
      <c r="Z38" s="318"/>
      <c r="AA38" s="463"/>
      <c r="AB38" s="464"/>
      <c r="AC38" s="464"/>
      <c r="AD38" s="318"/>
      <c r="AE38" s="463"/>
      <c r="AF38" s="464"/>
      <c r="AG38" s="464"/>
      <c r="AH38" s="318"/>
      <c r="AI38" s="463"/>
      <c r="AJ38" s="464"/>
      <c r="AK38" s="464"/>
      <c r="AL38" s="318"/>
      <c r="AM38" s="463"/>
      <c r="AN38" s="464"/>
      <c r="AO38" s="464"/>
      <c r="AP38" s="318"/>
      <c r="AQ38" s="463"/>
      <c r="AR38" s="464"/>
      <c r="AS38" s="464"/>
      <c r="AT38" s="318"/>
      <c r="AU38" s="463"/>
      <c r="AV38" s="464"/>
      <c r="AW38" s="464"/>
      <c r="AX38" s="318"/>
      <c r="AY38" s="463"/>
      <c r="AZ38" s="464"/>
      <c r="BA38" s="464"/>
      <c r="BB38" s="318"/>
      <c r="BC38" s="463"/>
      <c r="BD38" s="464"/>
      <c r="BE38" s="464"/>
      <c r="BF38" s="318"/>
      <c r="BG38" s="463"/>
      <c r="BH38" s="318"/>
      <c r="BI38" s="464"/>
      <c r="BJ38" s="318"/>
      <c r="BK38" s="463"/>
      <c r="BL38" s="318"/>
      <c r="BM38" s="318"/>
      <c r="BN38" s="318"/>
      <c r="BO38" s="463"/>
      <c r="BP38" s="318"/>
      <c r="BQ38" s="318"/>
      <c r="BR38" s="318"/>
      <c r="BS38" s="463"/>
      <c r="BT38" s="318"/>
      <c r="BU38" s="318"/>
      <c r="BV38" s="318"/>
      <c r="BW38" s="463"/>
      <c r="BX38" s="318"/>
      <c r="BY38" s="318"/>
      <c r="BZ38" s="318"/>
      <c r="CA38" s="463"/>
      <c r="CB38" s="318"/>
      <c r="CC38" s="318"/>
      <c r="CD38" s="318"/>
      <c r="CE38" s="463"/>
      <c r="CG38" s="483" t="s">
        <v>232</v>
      </c>
      <c r="CH38" s="483"/>
      <c r="CI38" s="1352" t="s">
        <v>282</v>
      </c>
      <c r="CJ38" s="1352"/>
      <c r="CK38" s="1352"/>
      <c r="CL38" s="1352"/>
      <c r="CM38" s="1352"/>
      <c r="CN38" s="1352"/>
      <c r="CO38" s="1352"/>
      <c r="CP38" s="1352"/>
      <c r="CQ38" s="1352"/>
      <c r="CR38" s="1352"/>
      <c r="CS38" s="318"/>
      <c r="CT38" s="318"/>
      <c r="CU38" s="318"/>
      <c r="CV38" s="318"/>
      <c r="CW38" s="318"/>
      <c r="CX38" s="318"/>
      <c r="CY38" s="447" t="s">
        <v>282</v>
      </c>
      <c r="CZ38" s="447"/>
      <c r="DA38" s="447"/>
      <c r="DB38" s="447"/>
      <c r="DC38" s="447"/>
      <c r="DD38" s="447"/>
      <c r="DE38" s="447"/>
      <c r="DF38" s="447"/>
      <c r="DG38" s="447"/>
      <c r="DH38" s="447"/>
      <c r="DI38" s="447"/>
      <c r="DJ38" s="447"/>
      <c r="DK38" s="447"/>
      <c r="DL38" s="447"/>
      <c r="DM38" s="447"/>
      <c r="DN38" s="1302"/>
      <c r="DO38" s="447"/>
      <c r="DP38" s="484"/>
    </row>
    <row r="39" spans="1:128" outlineLevel="1" x14ac:dyDescent="0.2">
      <c r="C39" s="413"/>
      <c r="D39" s="459"/>
      <c r="E39" s="459"/>
      <c r="F39" s="305"/>
      <c r="G39" s="413"/>
      <c r="H39" s="459"/>
      <c r="I39" s="459"/>
      <c r="K39" s="413"/>
      <c r="L39" s="459"/>
      <c r="M39" s="459"/>
      <c r="O39" s="413"/>
      <c r="P39" s="459"/>
      <c r="Q39" s="459"/>
      <c r="R39" s="305"/>
      <c r="S39" s="413"/>
      <c r="T39" s="459"/>
      <c r="U39" s="459"/>
      <c r="W39" s="413"/>
      <c r="X39" s="459"/>
      <c r="Y39" s="459"/>
      <c r="AA39" s="413"/>
      <c r="AB39" s="459"/>
      <c r="AC39" s="459"/>
      <c r="AE39" s="413"/>
      <c r="AF39" s="459"/>
      <c r="AG39" s="459"/>
      <c r="AI39" s="413"/>
      <c r="AJ39" s="459"/>
      <c r="AK39" s="459"/>
      <c r="AM39" s="413"/>
      <c r="AN39" s="459"/>
      <c r="AO39" s="459"/>
      <c r="AQ39" s="413"/>
      <c r="AR39" s="459"/>
      <c r="AS39" s="459"/>
      <c r="AU39" s="413"/>
      <c r="AV39" s="459"/>
      <c r="AW39" s="459"/>
      <c r="AY39" s="413"/>
      <c r="AZ39" s="459"/>
      <c r="BA39" s="459"/>
      <c r="BC39" s="413"/>
      <c r="BD39" s="459"/>
      <c r="BE39" s="459"/>
      <c r="BG39" s="413"/>
      <c r="BI39" s="459"/>
      <c r="BK39" s="413"/>
      <c r="BO39" s="413"/>
      <c r="BS39" s="413"/>
      <c r="BW39" s="413"/>
      <c r="CA39" s="413"/>
      <c r="CE39" s="413"/>
      <c r="CI39" s="413"/>
    </row>
    <row r="40" spans="1:128" outlineLevel="1" x14ac:dyDescent="0.2">
      <c r="A40" s="448" t="s">
        <v>89</v>
      </c>
      <c r="C40" s="468">
        <v>0</v>
      </c>
      <c r="D40" s="469" t="s">
        <v>94</v>
      </c>
      <c r="E40" s="470"/>
      <c r="F40" s="305"/>
      <c r="G40" s="468">
        <v>1.0229999999999999</v>
      </c>
      <c r="H40" s="469">
        <f t="shared" ref="H40:H46" si="112">G40/G10*100</f>
        <v>0.53524899804317572</v>
      </c>
      <c r="I40" s="471"/>
      <c r="K40" s="468">
        <v>0.40500000000000003</v>
      </c>
      <c r="L40" s="469">
        <f t="shared" ref="L40:L46" si="113">K40/K10*100</f>
        <v>0.19139886578449908</v>
      </c>
      <c r="M40" s="471"/>
      <c r="O40" s="468">
        <v>1.53</v>
      </c>
      <c r="P40" s="469">
        <f t="shared" ref="P40:P46" si="114">O40/O10*100</f>
        <v>0.61151079136690645</v>
      </c>
      <c r="Q40" s="471"/>
      <c r="R40" s="305"/>
      <c r="S40" s="468">
        <v>0.79</v>
      </c>
      <c r="T40" s="469">
        <f t="shared" ref="T40:T46" si="115">S40/S10*100</f>
        <v>0.25666016894087074</v>
      </c>
      <c r="U40" s="471"/>
      <c r="W40" s="468">
        <v>1.492</v>
      </c>
      <c r="X40" s="469">
        <f t="shared" ref="X40:X46" si="116">W40/W10*100</f>
        <v>0.40499457111834969</v>
      </c>
      <c r="Y40" s="471"/>
      <c r="AA40" s="468">
        <v>3.6</v>
      </c>
      <c r="AB40" s="469">
        <f t="shared" ref="AB40:AB46" si="117">AA40/AA10*100</f>
        <v>0.76808192873906556</v>
      </c>
      <c r="AC40" s="471"/>
      <c r="AE40" s="468">
        <v>12.1</v>
      </c>
      <c r="AF40" s="469">
        <f t="shared" ref="AF40:AF46" si="118">AE40/AE10*100</f>
        <v>2.0148298134867044</v>
      </c>
      <c r="AG40" s="471"/>
      <c r="AI40" s="468">
        <v>10.422000000000001</v>
      </c>
      <c r="AJ40" s="469">
        <f t="shared" ref="AJ40:AJ46" si="119">AI40/AI10*100</f>
        <v>1.3996776792908945</v>
      </c>
      <c r="AK40" s="471"/>
      <c r="AM40" s="468">
        <v>8.8849999999999998</v>
      </c>
      <c r="AN40" s="469">
        <f t="shared" ref="AN40:AN46" si="120">AM40/AM10*100</f>
        <v>0.97605185103811931</v>
      </c>
      <c r="AO40" s="471"/>
      <c r="AQ40" s="468">
        <v>20.089000000000002</v>
      </c>
      <c r="AR40" s="469">
        <f t="shared" ref="AR40:AR46" si="121">AQ40/AQ10*100</f>
        <v>1.6349800602262554</v>
      </c>
      <c r="AS40" s="471"/>
      <c r="AU40" s="468">
        <v>14.675000000000001</v>
      </c>
      <c r="AV40" s="469">
        <f t="shared" ref="AV40:AV46" si="122">AU40/AU10*100</f>
        <v>0.98602432305314802</v>
      </c>
      <c r="AW40" s="471"/>
      <c r="AY40" s="468">
        <v>17.899000000000001</v>
      </c>
      <c r="AZ40" s="469">
        <f t="shared" ref="AZ40:AZ46" si="123">AY40/AY10*100</f>
        <v>0.95690991713445617</v>
      </c>
      <c r="BA40" s="471"/>
      <c r="BC40" s="468">
        <v>0</v>
      </c>
      <c r="BD40" s="469">
        <f t="shared" ref="BD40:BD46" si="124">BC40/BC10*100</f>
        <v>0</v>
      </c>
      <c r="BE40" s="471"/>
      <c r="BG40" s="468">
        <v>0</v>
      </c>
      <c r="BH40" s="469">
        <f t="shared" ref="BH40:BH46" si="125">BG40/BG10*100</f>
        <v>0</v>
      </c>
      <c r="BI40" s="471"/>
      <c r="BK40" s="468">
        <v>0</v>
      </c>
      <c r="BL40" s="469">
        <f t="shared" ref="BL40:BL46" si="126">BK40/BK10*100</f>
        <v>0</v>
      </c>
      <c r="BM40" s="471"/>
      <c r="BO40" s="468">
        <v>0</v>
      </c>
      <c r="BP40" s="469">
        <f t="shared" ref="BP40:BP46" si="127">BO40/BO10*100</f>
        <v>0</v>
      </c>
      <c r="BQ40" s="471"/>
      <c r="BS40" s="468">
        <v>0</v>
      </c>
      <c r="BT40" s="469">
        <f t="shared" ref="BT40:BT46" si="128">BS40/BS10*100</f>
        <v>0</v>
      </c>
      <c r="BU40" s="471"/>
      <c r="BW40" s="468">
        <v>0</v>
      </c>
      <c r="BX40" s="469">
        <f t="shared" ref="BX40:BX46" si="129">BW40/BW10*100</f>
        <v>0</v>
      </c>
      <c r="BY40" s="471"/>
      <c r="CA40" s="468">
        <v>0</v>
      </c>
      <c r="CB40" s="469">
        <f t="shared" ref="CB40:CB46" si="130">CA40/CA10*100</f>
        <v>0</v>
      </c>
      <c r="CC40" s="471"/>
      <c r="CE40" s="1008">
        <v>0</v>
      </c>
      <c r="CF40" s="469">
        <f t="shared" ref="CF40:CF46" si="131">CE40/CE10*100</f>
        <v>0</v>
      </c>
      <c r="CG40" s="471"/>
      <c r="CI40" s="1008">
        <v>0</v>
      </c>
      <c r="CJ40" s="469">
        <f t="shared" ref="CJ40:CJ46" si="132">CI40/CI10*100</f>
        <v>0</v>
      </c>
      <c r="CK40" s="471"/>
      <c r="CM40" s="1008">
        <v>0</v>
      </c>
      <c r="CN40" s="469">
        <f t="shared" ref="CN40:CN46" si="133">CM40/CM10*100</f>
        <v>0</v>
      </c>
      <c r="CO40" s="471"/>
      <c r="CQ40" s="1008">
        <v>0</v>
      </c>
      <c r="CR40" s="469">
        <f t="shared" ref="CR40:CR46" si="134">CQ40/CQ10*100</f>
        <v>0</v>
      </c>
      <c r="CS40" s="471"/>
      <c r="CU40" s="1008">
        <v>0</v>
      </c>
      <c r="CV40" s="469">
        <f t="shared" ref="CV40:CV46" si="135">CU40/CU10*100</f>
        <v>0</v>
      </c>
      <c r="CW40" s="471"/>
      <c r="CY40" s="1008">
        <v>0</v>
      </c>
      <c r="CZ40" s="469">
        <f t="shared" ref="CZ40:CZ46" si="136">CY40/CY10*100</f>
        <v>0</v>
      </c>
      <c r="DA40" s="471"/>
      <c r="DC40" s="1008">
        <v>0</v>
      </c>
      <c r="DD40" s="469">
        <f t="shared" ref="DD40:DD46" si="137">DC40/DC10*100</f>
        <v>0</v>
      </c>
      <c r="DE40" s="471"/>
      <c r="DG40" s="1008">
        <v>0</v>
      </c>
      <c r="DH40" s="469">
        <f t="shared" ref="DH40:DH46" si="138">DG40/DG10*100</f>
        <v>0</v>
      </c>
      <c r="DI40" s="471"/>
      <c r="DJ40" s="471"/>
      <c r="DK40" s="1240">
        <v>0</v>
      </c>
      <c r="DL40" s="469">
        <f t="shared" ref="DL40:DL46" si="139">DK40/DK10*100</f>
        <v>0</v>
      </c>
      <c r="DM40" s="471"/>
      <c r="DN40" s="471"/>
      <c r="DO40" s="303" t="s">
        <v>232</v>
      </c>
    </row>
    <row r="41" spans="1:128" outlineLevel="1" x14ac:dyDescent="0.2">
      <c r="A41" s="448" t="s">
        <v>90</v>
      </c>
      <c r="C41" s="472">
        <v>0</v>
      </c>
      <c r="D41" s="485" t="s">
        <v>94</v>
      </c>
      <c r="E41" s="470"/>
      <c r="F41" s="305"/>
      <c r="G41" s="472">
        <v>5.0000000000000001E-3</v>
      </c>
      <c r="H41" s="485">
        <f t="shared" si="112"/>
        <v>2.7995520716685334E-3</v>
      </c>
      <c r="I41" s="470"/>
      <c r="K41" s="472">
        <v>0.79300000000000004</v>
      </c>
      <c r="L41" s="485">
        <f t="shared" si="113"/>
        <v>0.36443014705882354</v>
      </c>
      <c r="M41" s="470"/>
      <c r="O41" s="472">
        <v>1.2729999999999999</v>
      </c>
      <c r="P41" s="485">
        <f t="shared" si="114"/>
        <v>0.49456099456099456</v>
      </c>
      <c r="Q41" s="471"/>
      <c r="R41" s="305"/>
      <c r="S41" s="472">
        <v>0</v>
      </c>
      <c r="T41" s="485">
        <f t="shared" si="115"/>
        <v>0</v>
      </c>
      <c r="U41" s="471"/>
      <c r="W41" s="472">
        <v>0</v>
      </c>
      <c r="X41" s="485">
        <f t="shared" si="116"/>
        <v>0</v>
      </c>
      <c r="Y41" s="471"/>
      <c r="AA41" s="472">
        <v>0.111</v>
      </c>
      <c r="AB41" s="485">
        <f t="shared" si="117"/>
        <v>2.3388116308470291E-2</v>
      </c>
      <c r="AC41" s="471"/>
      <c r="AE41" s="472">
        <v>5.6000000000000001E-2</v>
      </c>
      <c r="AF41" s="485">
        <f t="shared" si="118"/>
        <v>8.9752651309346933E-3</v>
      </c>
      <c r="AG41" s="471"/>
      <c r="AI41" s="472">
        <v>0</v>
      </c>
      <c r="AJ41" s="485">
        <f t="shared" si="119"/>
        <v>0</v>
      </c>
      <c r="AK41" s="471"/>
      <c r="AM41" s="472">
        <v>5.1100000000000003</v>
      </c>
      <c r="AN41" s="485">
        <f t="shared" si="120"/>
        <v>0.54390633315593406</v>
      </c>
      <c r="AO41" s="471"/>
      <c r="AQ41" s="472">
        <v>2.8210000000000002</v>
      </c>
      <c r="AR41" s="485">
        <f t="shared" si="121"/>
        <v>0.22470925601401942</v>
      </c>
      <c r="AS41" s="471"/>
      <c r="AU41" s="472">
        <v>2.2080000000000002</v>
      </c>
      <c r="AV41" s="485">
        <f t="shared" si="122"/>
        <v>0.14566565509961737</v>
      </c>
      <c r="AW41" s="471"/>
      <c r="AY41" s="472">
        <v>3</v>
      </c>
      <c r="AZ41" s="485">
        <f t="shared" si="123"/>
        <v>0.15609553046464436</v>
      </c>
      <c r="BA41" s="471"/>
      <c r="BC41" s="472">
        <v>0</v>
      </c>
      <c r="BD41" s="485">
        <f t="shared" si="124"/>
        <v>0</v>
      </c>
      <c r="BE41" s="471"/>
      <c r="BG41" s="472">
        <v>0</v>
      </c>
      <c r="BH41" s="485">
        <f t="shared" si="125"/>
        <v>0</v>
      </c>
      <c r="BI41" s="471"/>
      <c r="BK41" s="472">
        <v>0</v>
      </c>
      <c r="BL41" s="485">
        <f t="shared" si="126"/>
        <v>0</v>
      </c>
      <c r="BM41" s="471"/>
      <c r="BO41" s="472">
        <v>0</v>
      </c>
      <c r="BP41" s="485">
        <f t="shared" si="127"/>
        <v>0</v>
      </c>
      <c r="BQ41" s="471"/>
      <c r="BS41" s="472">
        <v>0</v>
      </c>
      <c r="BT41" s="485">
        <f t="shared" si="128"/>
        <v>0</v>
      </c>
      <c r="BU41" s="471"/>
      <c r="BW41" s="472">
        <v>0</v>
      </c>
      <c r="BX41" s="485">
        <f t="shared" si="129"/>
        <v>0</v>
      </c>
      <c r="BY41" s="471"/>
      <c r="CA41" s="472">
        <v>0</v>
      </c>
      <c r="CB41" s="485">
        <f t="shared" si="130"/>
        <v>0</v>
      </c>
      <c r="CC41" s="471"/>
      <c r="CE41" s="985">
        <v>0</v>
      </c>
      <c r="CF41" s="485">
        <f t="shared" si="131"/>
        <v>0</v>
      </c>
      <c r="CG41" s="471"/>
      <c r="CI41" s="985">
        <v>0</v>
      </c>
      <c r="CJ41" s="485">
        <f t="shared" si="132"/>
        <v>0</v>
      </c>
      <c r="CK41" s="471"/>
      <c r="CM41" s="985">
        <v>0</v>
      </c>
      <c r="CN41" s="485">
        <f t="shared" si="133"/>
        <v>0</v>
      </c>
      <c r="CO41" s="471"/>
      <c r="CQ41" s="985">
        <v>0</v>
      </c>
      <c r="CR41" s="485">
        <f t="shared" si="134"/>
        <v>0</v>
      </c>
      <c r="CS41" s="471"/>
      <c r="CU41" s="985">
        <v>0</v>
      </c>
      <c r="CV41" s="485">
        <f t="shared" si="135"/>
        <v>0</v>
      </c>
      <c r="CW41" s="471"/>
      <c r="CY41" s="985">
        <v>0</v>
      </c>
      <c r="CZ41" s="485">
        <f t="shared" si="136"/>
        <v>0</v>
      </c>
      <c r="DA41" s="471"/>
      <c r="DC41" s="985">
        <v>0</v>
      </c>
      <c r="DD41" s="485">
        <f t="shared" si="137"/>
        <v>0</v>
      </c>
      <c r="DE41" s="471"/>
      <c r="DG41" s="1017">
        <v>0</v>
      </c>
      <c r="DH41" s="485">
        <f t="shared" si="138"/>
        <v>0</v>
      </c>
      <c r="DI41" s="471"/>
      <c r="DJ41" s="471"/>
      <c r="DK41" s="1013">
        <v>0</v>
      </c>
      <c r="DL41" s="485">
        <f t="shared" si="139"/>
        <v>0</v>
      </c>
      <c r="DM41" s="471"/>
      <c r="DN41" s="471"/>
      <c r="DO41" s="303" t="s">
        <v>232</v>
      </c>
      <c r="DP41" s="303">
        <f>1476-25</f>
        <v>1451</v>
      </c>
      <c r="DQ41" s="426">
        <f>DP41/DC33-1</f>
        <v>6.6911764705882337E-2</v>
      </c>
    </row>
    <row r="42" spans="1:128" outlineLevel="1" x14ac:dyDescent="0.2">
      <c r="A42" s="448" t="s">
        <v>91</v>
      </c>
      <c r="C42" s="472">
        <v>1.9E-2</v>
      </c>
      <c r="D42" s="485" t="s">
        <v>94</v>
      </c>
      <c r="E42" s="470"/>
      <c r="F42" s="305"/>
      <c r="G42" s="472">
        <v>2.08</v>
      </c>
      <c r="H42" s="485">
        <f t="shared" si="112"/>
        <v>0.86811352253756258</v>
      </c>
      <c r="I42" s="470"/>
      <c r="K42" s="472">
        <v>0.82399999999999995</v>
      </c>
      <c r="L42" s="485">
        <f t="shared" si="113"/>
        <v>0.28892005610098176</v>
      </c>
      <c r="M42" s="470"/>
      <c r="O42" s="472">
        <v>1.012</v>
      </c>
      <c r="P42" s="485">
        <f t="shared" si="114"/>
        <v>0.29686124963332355</v>
      </c>
      <c r="Q42" s="471"/>
      <c r="R42" s="305"/>
      <c r="S42" s="472">
        <v>4.7539999999999996</v>
      </c>
      <c r="T42" s="485">
        <f t="shared" si="115"/>
        <v>1.2205391527599485</v>
      </c>
      <c r="U42" s="471"/>
      <c r="W42" s="472">
        <v>7.452</v>
      </c>
      <c r="X42" s="485">
        <f t="shared" si="116"/>
        <v>1.5311280049311693</v>
      </c>
      <c r="Y42" s="471"/>
      <c r="AA42" s="472">
        <v>6.5519999999999996</v>
      </c>
      <c r="AB42" s="485">
        <f t="shared" si="117"/>
        <v>1.095285857572718</v>
      </c>
      <c r="AC42" s="471"/>
      <c r="AE42" s="472">
        <v>6.4210000000000003</v>
      </c>
      <c r="AF42" s="485">
        <f t="shared" si="118"/>
        <v>0.84732119292689378</v>
      </c>
      <c r="AG42" s="471"/>
      <c r="AI42" s="472">
        <v>11.169</v>
      </c>
      <c r="AJ42" s="485">
        <f t="shared" si="119"/>
        <v>1.2565674748270237</v>
      </c>
      <c r="AK42" s="471"/>
      <c r="AM42" s="472">
        <v>12.093</v>
      </c>
      <c r="AN42" s="485">
        <f t="shared" si="120"/>
        <v>1.0996835443037973</v>
      </c>
      <c r="AO42" s="471"/>
      <c r="AQ42" s="472">
        <v>9.4049999999999994</v>
      </c>
      <c r="AR42" s="485">
        <f t="shared" si="121"/>
        <v>0.65086505190311417</v>
      </c>
      <c r="AS42" s="471"/>
      <c r="AU42" s="472">
        <v>12.768000000000001</v>
      </c>
      <c r="AV42" s="485">
        <f t="shared" si="122"/>
        <v>0.72531195571779639</v>
      </c>
      <c r="AW42" s="471"/>
      <c r="AY42" s="472">
        <v>12.74</v>
      </c>
      <c r="AZ42" s="485">
        <f t="shared" si="123"/>
        <v>0.59438275636838667</v>
      </c>
      <c r="BA42" s="471"/>
      <c r="BC42" s="472">
        <v>0</v>
      </c>
      <c r="BD42" s="485">
        <f t="shared" si="124"/>
        <v>0</v>
      </c>
      <c r="BE42" s="471"/>
      <c r="BG42" s="472">
        <v>0</v>
      </c>
      <c r="BH42" s="485">
        <f t="shared" si="125"/>
        <v>0</v>
      </c>
      <c r="BI42" s="471"/>
      <c r="BK42" s="472">
        <v>0</v>
      </c>
      <c r="BL42" s="485">
        <f t="shared" si="126"/>
        <v>0</v>
      </c>
      <c r="BM42" s="471"/>
      <c r="BO42" s="472">
        <v>0</v>
      </c>
      <c r="BP42" s="485">
        <f t="shared" si="127"/>
        <v>0</v>
      </c>
      <c r="BQ42" s="471"/>
      <c r="BS42" s="472">
        <v>0</v>
      </c>
      <c r="BT42" s="485">
        <f t="shared" si="128"/>
        <v>0</v>
      </c>
      <c r="BU42" s="471"/>
      <c r="BW42" s="472">
        <v>0</v>
      </c>
      <c r="BX42" s="485">
        <f t="shared" si="129"/>
        <v>0</v>
      </c>
      <c r="BY42" s="471"/>
      <c r="CA42" s="472">
        <v>0</v>
      </c>
      <c r="CB42" s="485">
        <f t="shared" si="130"/>
        <v>0</v>
      </c>
      <c r="CC42" s="471"/>
      <c r="CE42" s="985">
        <v>0</v>
      </c>
      <c r="CF42" s="485">
        <f t="shared" si="131"/>
        <v>0</v>
      </c>
      <c r="CG42" s="471"/>
      <c r="CI42" s="985">
        <v>0</v>
      </c>
      <c r="CJ42" s="485">
        <f t="shared" si="132"/>
        <v>0</v>
      </c>
      <c r="CK42" s="471"/>
      <c r="CM42" s="985">
        <v>0</v>
      </c>
      <c r="CN42" s="485">
        <f t="shared" si="133"/>
        <v>0</v>
      </c>
      <c r="CO42" s="471"/>
      <c r="CQ42" s="985">
        <v>0</v>
      </c>
      <c r="CR42" s="485">
        <f t="shared" si="134"/>
        <v>0</v>
      </c>
      <c r="CS42" s="471"/>
      <c r="CU42" s="985">
        <v>0</v>
      </c>
      <c r="CV42" s="485">
        <f t="shared" si="135"/>
        <v>0</v>
      </c>
      <c r="CW42" s="471"/>
      <c r="CY42" s="985">
        <v>0</v>
      </c>
      <c r="CZ42" s="485">
        <f t="shared" si="136"/>
        <v>0</v>
      </c>
      <c r="DA42" s="471"/>
      <c r="DC42" s="985">
        <v>0</v>
      </c>
      <c r="DD42" s="485">
        <f t="shared" si="137"/>
        <v>0</v>
      </c>
      <c r="DE42" s="471"/>
      <c r="DG42" s="1017">
        <v>0</v>
      </c>
      <c r="DH42" s="485">
        <f t="shared" si="138"/>
        <v>0</v>
      </c>
      <c r="DI42" s="471"/>
      <c r="DJ42" s="471"/>
      <c r="DK42" s="1013">
        <v>0</v>
      </c>
      <c r="DL42" s="485">
        <f t="shared" si="139"/>
        <v>0</v>
      </c>
      <c r="DM42" s="471"/>
      <c r="DN42" s="471"/>
      <c r="DO42" s="303" t="s">
        <v>232</v>
      </c>
      <c r="DP42" s="303">
        <f>DP41*0.95</f>
        <v>1378.45</v>
      </c>
      <c r="DQ42" s="303">
        <f>DP42/DG33-1</f>
        <v>-5.520904729266618E-2</v>
      </c>
    </row>
    <row r="43" spans="1:128" outlineLevel="1" x14ac:dyDescent="0.2">
      <c r="A43" s="448" t="s">
        <v>92</v>
      </c>
      <c r="C43" s="474">
        <v>4.7E-2</v>
      </c>
      <c r="D43" s="485" t="s">
        <v>94</v>
      </c>
      <c r="E43" s="470"/>
      <c r="F43" s="305"/>
      <c r="G43" s="474">
        <v>2.226</v>
      </c>
      <c r="H43" s="485">
        <f t="shared" si="112"/>
        <v>0.69324198069137333</v>
      </c>
      <c r="I43" s="470"/>
      <c r="K43" s="474">
        <v>0.97</v>
      </c>
      <c r="L43" s="485">
        <f t="shared" si="113"/>
        <v>0.25566684238270954</v>
      </c>
      <c r="M43" s="470"/>
      <c r="O43" s="474">
        <v>1.5449999999999999</v>
      </c>
      <c r="P43" s="485">
        <f t="shared" si="114"/>
        <v>0.33800043754101944</v>
      </c>
      <c r="Q43" s="471"/>
      <c r="R43" s="305"/>
      <c r="S43" s="474">
        <v>2.6459999999999999</v>
      </c>
      <c r="T43" s="485">
        <f t="shared" si="115"/>
        <v>0.46886628628131971</v>
      </c>
      <c r="U43" s="471"/>
      <c r="W43" s="474">
        <v>1.768</v>
      </c>
      <c r="X43" s="485">
        <f t="shared" si="116"/>
        <v>0.25007072135785008</v>
      </c>
      <c r="Y43" s="471"/>
      <c r="AA43" s="474">
        <v>0</v>
      </c>
      <c r="AB43" s="485">
        <f t="shared" si="117"/>
        <v>0</v>
      </c>
      <c r="AC43" s="471"/>
      <c r="AE43" s="474">
        <v>0</v>
      </c>
      <c r="AF43" s="485">
        <f t="shared" si="118"/>
        <v>0</v>
      </c>
      <c r="AG43" s="471"/>
      <c r="AI43" s="474">
        <v>0.79700000000000004</v>
      </c>
      <c r="AJ43" s="485">
        <f t="shared" si="119"/>
        <v>6.1806901899961228E-2</v>
      </c>
      <c r="AK43" s="471"/>
      <c r="AM43" s="474">
        <v>6.8840000000000003</v>
      </c>
      <c r="AN43" s="485">
        <f t="shared" si="120"/>
        <v>0.42824261275272157</v>
      </c>
      <c r="AO43" s="471"/>
      <c r="AQ43" s="474">
        <v>4.8739999999999997</v>
      </c>
      <c r="AR43" s="485">
        <f t="shared" si="121"/>
        <v>0.21924339885745131</v>
      </c>
      <c r="AS43" s="471"/>
      <c r="AU43" s="474">
        <v>3.8570000000000002</v>
      </c>
      <c r="AV43" s="485">
        <f t="shared" si="122"/>
        <v>0.14158285001101242</v>
      </c>
      <c r="AW43" s="471"/>
      <c r="AY43" s="474">
        <v>7.6630000000000003</v>
      </c>
      <c r="AZ43" s="485">
        <f t="shared" si="123"/>
        <v>0.24064187916090943</v>
      </c>
      <c r="BA43" s="471"/>
      <c r="BC43" s="474">
        <v>0</v>
      </c>
      <c r="BD43" s="485">
        <f t="shared" si="124"/>
        <v>0</v>
      </c>
      <c r="BE43" s="471"/>
      <c r="BG43" s="474">
        <v>0</v>
      </c>
      <c r="BH43" s="485">
        <f t="shared" si="125"/>
        <v>0</v>
      </c>
      <c r="BI43" s="471"/>
      <c r="BK43" s="474">
        <v>0</v>
      </c>
      <c r="BL43" s="485">
        <f t="shared" si="126"/>
        <v>0</v>
      </c>
      <c r="BM43" s="471"/>
      <c r="BO43" s="474">
        <v>0</v>
      </c>
      <c r="BP43" s="485">
        <f t="shared" si="127"/>
        <v>0</v>
      </c>
      <c r="BQ43" s="471"/>
      <c r="BS43" s="474">
        <v>0</v>
      </c>
      <c r="BT43" s="485">
        <f t="shared" si="128"/>
        <v>0</v>
      </c>
      <c r="BU43" s="471"/>
      <c r="BW43" s="474">
        <v>0</v>
      </c>
      <c r="BX43" s="485">
        <f t="shared" si="129"/>
        <v>0</v>
      </c>
      <c r="BY43" s="471"/>
      <c r="CA43" s="474">
        <v>0</v>
      </c>
      <c r="CB43" s="485">
        <f t="shared" si="130"/>
        <v>0</v>
      </c>
      <c r="CC43" s="471"/>
      <c r="CE43" s="1009">
        <v>0</v>
      </c>
      <c r="CF43" s="485">
        <f t="shared" si="131"/>
        <v>0</v>
      </c>
      <c r="CG43" s="471"/>
      <c r="CI43" s="1009">
        <v>0</v>
      </c>
      <c r="CJ43" s="485">
        <f t="shared" si="132"/>
        <v>0</v>
      </c>
      <c r="CK43" s="471"/>
      <c r="CM43" s="1009">
        <v>0</v>
      </c>
      <c r="CN43" s="485">
        <f t="shared" si="133"/>
        <v>0</v>
      </c>
      <c r="CO43" s="471"/>
      <c r="CQ43" s="1009">
        <v>0</v>
      </c>
      <c r="CR43" s="485">
        <f t="shared" si="134"/>
        <v>0</v>
      </c>
      <c r="CS43" s="471"/>
      <c r="CU43" s="1009">
        <v>0</v>
      </c>
      <c r="CV43" s="485">
        <f t="shared" si="135"/>
        <v>0</v>
      </c>
      <c r="CW43" s="471"/>
      <c r="CY43" s="1009">
        <v>0</v>
      </c>
      <c r="CZ43" s="485">
        <f t="shared" si="136"/>
        <v>0</v>
      </c>
      <c r="DA43" s="471"/>
      <c r="DC43" s="1009">
        <v>0</v>
      </c>
      <c r="DD43" s="485">
        <f t="shared" si="137"/>
        <v>0</v>
      </c>
      <c r="DE43" s="471"/>
      <c r="DG43" s="1018">
        <v>0</v>
      </c>
      <c r="DH43" s="485">
        <f t="shared" si="138"/>
        <v>0</v>
      </c>
      <c r="DI43" s="471"/>
      <c r="DJ43" s="471"/>
      <c r="DK43" s="1014">
        <v>0</v>
      </c>
      <c r="DL43" s="485">
        <f t="shared" si="139"/>
        <v>0</v>
      </c>
      <c r="DM43" s="471"/>
      <c r="DN43" s="471"/>
      <c r="DO43" s="303" t="s">
        <v>232</v>
      </c>
    </row>
    <row r="44" spans="1:128" outlineLevel="1" x14ac:dyDescent="0.2">
      <c r="A44" s="448" t="s">
        <v>93</v>
      </c>
      <c r="C44" s="319">
        <f>SUM(C40:C43)</f>
        <v>6.6000000000000003E-2</v>
      </c>
      <c r="D44" s="485" t="s">
        <v>94</v>
      </c>
      <c r="E44" s="470"/>
      <c r="F44" s="305"/>
      <c r="G44" s="319">
        <f>SUM(G40:G43)</f>
        <v>5.3339999999999996</v>
      </c>
      <c r="H44" s="485">
        <f t="shared" si="112"/>
        <v>0.57328578522096318</v>
      </c>
      <c r="I44" s="470"/>
      <c r="K44" s="319">
        <f>SUM(K40:K43)</f>
        <v>2.992</v>
      </c>
      <c r="L44" s="485">
        <f t="shared" si="113"/>
        <v>0.27277965384699543</v>
      </c>
      <c r="M44" s="470"/>
      <c r="O44" s="319">
        <f>SUM(O40:O43)</f>
        <v>5.3599999999999994</v>
      </c>
      <c r="P44" s="485">
        <f t="shared" si="114"/>
        <v>0.41053921568627455</v>
      </c>
      <c r="Q44" s="471"/>
      <c r="R44" s="305"/>
      <c r="S44" s="319">
        <f>SUM(S40:S43)</f>
        <v>8.19</v>
      </c>
      <c r="T44" s="485">
        <f t="shared" si="115"/>
        <v>0.52701346168695784</v>
      </c>
      <c r="U44" s="471"/>
      <c r="W44" s="319">
        <f>SUM(W40:W43)</f>
        <v>10.712</v>
      </c>
      <c r="X44" s="485">
        <f t="shared" si="116"/>
        <v>0.5562742091190126</v>
      </c>
      <c r="Y44" s="471"/>
      <c r="AA44" s="319">
        <f>SUM(AA40:AA43)</f>
        <v>10.263</v>
      </c>
      <c r="AB44" s="485">
        <f t="shared" si="117"/>
        <v>0.42968390203056317</v>
      </c>
      <c r="AC44" s="471"/>
      <c r="AE44" s="319">
        <f>SUM(AE40:AE43)</f>
        <v>18.576999999999998</v>
      </c>
      <c r="AF44" s="485">
        <f t="shared" si="118"/>
        <v>0.60707483846848642</v>
      </c>
      <c r="AG44" s="471"/>
      <c r="AI44" s="319">
        <f>SUM(AI40:AI43)</f>
        <v>22.388000000000002</v>
      </c>
      <c r="AJ44" s="485">
        <f t="shared" si="119"/>
        <v>0.60808865469755824</v>
      </c>
      <c r="AK44" s="471"/>
      <c r="AM44" s="319">
        <v>30.972000000000001</v>
      </c>
      <c r="AN44" s="485">
        <f t="shared" si="120"/>
        <v>0.67966065244964868</v>
      </c>
      <c r="AO44" s="471"/>
      <c r="AQ44" s="319">
        <f>SUM(AQ40:AQ43)</f>
        <v>37.189000000000007</v>
      </c>
      <c r="AR44" s="485">
        <f t="shared" si="121"/>
        <v>0.6044829491889081</v>
      </c>
      <c r="AS44" s="471"/>
      <c r="AU44" s="319">
        <f>SUM(AU40:AU43)</f>
        <v>33.508000000000003</v>
      </c>
      <c r="AV44" s="485">
        <f t="shared" si="122"/>
        <v>0.44745071405431641</v>
      </c>
      <c r="AW44" s="471"/>
      <c r="AY44" s="319">
        <v>41.198</v>
      </c>
      <c r="AZ44" s="485">
        <f t="shared" si="123"/>
        <v>0.45172254994408018</v>
      </c>
      <c r="BA44" s="471"/>
      <c r="BC44" s="319">
        <f>SUM(BC40:BC43)</f>
        <v>0</v>
      </c>
      <c r="BD44" s="485">
        <f t="shared" si="124"/>
        <v>0</v>
      </c>
      <c r="BE44" s="471"/>
      <c r="BG44" s="319">
        <f>SUM(BG40:BG43)</f>
        <v>0</v>
      </c>
      <c r="BH44" s="485">
        <f t="shared" si="125"/>
        <v>0</v>
      </c>
      <c r="BI44" s="471"/>
      <c r="BK44" s="319">
        <f>SUM(BK40:BK43)</f>
        <v>0</v>
      </c>
      <c r="BL44" s="485">
        <f t="shared" si="126"/>
        <v>0</v>
      </c>
      <c r="BM44" s="471"/>
      <c r="BO44" s="319">
        <f>SUM(BO40:BO43)</f>
        <v>0</v>
      </c>
      <c r="BP44" s="485">
        <f t="shared" si="127"/>
        <v>0</v>
      </c>
      <c r="BQ44" s="471"/>
      <c r="BS44" s="319">
        <f>SUM(BS40:BS43)</f>
        <v>0</v>
      </c>
      <c r="BT44" s="485">
        <f t="shared" si="128"/>
        <v>0</v>
      </c>
      <c r="BU44" s="471"/>
      <c r="BW44" s="319">
        <f>SUM(BW40:BW43)</f>
        <v>0</v>
      </c>
      <c r="BX44" s="485">
        <f t="shared" si="129"/>
        <v>0</v>
      </c>
      <c r="BY44" s="471"/>
      <c r="CA44" s="319">
        <f>SUM(CA40:CA43)</f>
        <v>0</v>
      </c>
      <c r="CB44" s="485">
        <f t="shared" si="130"/>
        <v>0</v>
      </c>
      <c r="CC44" s="471"/>
      <c r="CE44" s="319">
        <f>SUM(CE40:CE43)</f>
        <v>0</v>
      </c>
      <c r="CF44" s="485">
        <f t="shared" si="131"/>
        <v>0</v>
      </c>
      <c r="CG44" s="471"/>
      <c r="CI44" s="319">
        <f>SUM(CI40:CI43)</f>
        <v>0</v>
      </c>
      <c r="CJ44" s="485">
        <f t="shared" si="132"/>
        <v>0</v>
      </c>
      <c r="CK44" s="471"/>
      <c r="CM44" s="319">
        <f>SUM(CM40:CM43)</f>
        <v>0</v>
      </c>
      <c r="CN44" s="485">
        <f t="shared" si="133"/>
        <v>0</v>
      </c>
      <c r="CO44" s="471"/>
      <c r="CQ44" s="319">
        <f>SUM(CQ40:CQ43)</f>
        <v>0</v>
      </c>
      <c r="CR44" s="485">
        <f t="shared" si="134"/>
        <v>0</v>
      </c>
      <c r="CS44" s="471"/>
      <c r="CU44" s="319">
        <f>SUM(CU40:CU43)</f>
        <v>0</v>
      </c>
      <c r="CV44" s="485">
        <f t="shared" si="135"/>
        <v>0</v>
      </c>
      <c r="CW44" s="471"/>
      <c r="CY44" s="319">
        <f>SUM(CY40:CY43)</f>
        <v>0</v>
      </c>
      <c r="CZ44" s="485">
        <f t="shared" si="136"/>
        <v>0</v>
      </c>
      <c r="DA44" s="471"/>
      <c r="DC44" s="319">
        <f>SUM(DC40:DC43)</f>
        <v>0</v>
      </c>
      <c r="DD44" s="485">
        <f t="shared" si="137"/>
        <v>0</v>
      </c>
      <c r="DE44" s="471"/>
      <c r="DG44" s="449">
        <f>SUM(DG40:DG43)</f>
        <v>0</v>
      </c>
      <c r="DH44" s="485">
        <f t="shared" si="138"/>
        <v>0</v>
      </c>
      <c r="DI44" s="471"/>
      <c r="DJ44" s="471"/>
      <c r="DK44" s="449">
        <f>SUM(DK40:DK43)</f>
        <v>0</v>
      </c>
      <c r="DL44" s="485">
        <f t="shared" si="139"/>
        <v>0</v>
      </c>
      <c r="DM44" s="471"/>
      <c r="DN44" s="1113"/>
    </row>
    <row r="45" spans="1:128" outlineLevel="1" x14ac:dyDescent="0.2">
      <c r="A45" s="448" t="s">
        <v>467</v>
      </c>
      <c r="C45" s="413">
        <f>C40+C41</f>
        <v>0</v>
      </c>
      <c r="D45" s="485" t="s">
        <v>94</v>
      </c>
      <c r="E45" s="470"/>
      <c r="F45" s="305"/>
      <c r="G45" s="413">
        <f>G40+G41</f>
        <v>1.0279999999999998</v>
      </c>
      <c r="H45" s="485">
        <f t="shared" si="112"/>
        <v>0.27804374049972136</v>
      </c>
      <c r="I45" s="470"/>
      <c r="K45" s="413">
        <f>K40+K41</f>
        <v>1.198</v>
      </c>
      <c r="L45" s="485">
        <f t="shared" si="113"/>
        <v>0.27912395153774466</v>
      </c>
      <c r="M45" s="470"/>
      <c r="O45" s="413">
        <f>O40+O41</f>
        <v>2.8029999999999999</v>
      </c>
      <c r="P45" s="485">
        <f t="shared" si="114"/>
        <v>0.55220646178092991</v>
      </c>
      <c r="Q45" s="471"/>
      <c r="R45" s="305"/>
      <c r="S45" s="413">
        <f>S40+S41</f>
        <v>0.79</v>
      </c>
      <c r="T45" s="485">
        <f t="shared" si="115"/>
        <v>0.1316227924025325</v>
      </c>
      <c r="U45" s="471"/>
      <c r="W45" s="413">
        <f>W40+W41</f>
        <v>1.492</v>
      </c>
      <c r="X45" s="485">
        <f t="shared" si="116"/>
        <v>0.20390870575372422</v>
      </c>
      <c r="Y45" s="471"/>
      <c r="AA45" s="413">
        <f>AA40+AA41</f>
        <v>3.7110000000000003</v>
      </c>
      <c r="AB45" s="485">
        <f t="shared" si="117"/>
        <v>0.39340612742499742</v>
      </c>
      <c r="AC45" s="471"/>
      <c r="AE45" s="413">
        <f>AE40+AE41</f>
        <v>12.155999999999999</v>
      </c>
      <c r="AF45" s="485">
        <f t="shared" si="118"/>
        <v>0.99274469899157514</v>
      </c>
      <c r="AG45" s="471"/>
      <c r="AI45" s="413">
        <f>AI40+AI41</f>
        <v>10.422000000000001</v>
      </c>
      <c r="AJ45" s="485">
        <f t="shared" si="119"/>
        <v>0.69325173778561222</v>
      </c>
      <c r="AK45" s="471"/>
      <c r="AM45" s="413">
        <f>AM40+AM41</f>
        <v>13.995000000000001</v>
      </c>
      <c r="AN45" s="485">
        <f t="shared" si="120"/>
        <v>0.75656827765163803</v>
      </c>
      <c r="AO45" s="471"/>
      <c r="AQ45" s="413">
        <f>AQ40+AQ41</f>
        <v>22.910000000000004</v>
      </c>
      <c r="AR45" s="485">
        <f t="shared" si="121"/>
        <v>0.92226560927498891</v>
      </c>
      <c r="AS45" s="471"/>
      <c r="AU45" s="413">
        <f>AU40+AU41</f>
        <v>16.883000000000003</v>
      </c>
      <c r="AV45" s="485">
        <f t="shared" si="122"/>
        <v>0.56199860191072215</v>
      </c>
      <c r="AW45" s="471"/>
      <c r="AY45" s="413">
        <f>AY40+AY41</f>
        <v>20.899000000000001</v>
      </c>
      <c r="AZ45" s="485">
        <f t="shared" si="123"/>
        <v>0.55107583588229092</v>
      </c>
      <c r="BA45" s="471"/>
      <c r="BC45" s="413">
        <f>BC40+BC41</f>
        <v>0</v>
      </c>
      <c r="BD45" s="485">
        <f t="shared" si="124"/>
        <v>0</v>
      </c>
      <c r="BE45" s="471"/>
      <c r="BG45" s="413">
        <f>BG40+BG41</f>
        <v>0</v>
      </c>
      <c r="BH45" s="485">
        <f t="shared" si="125"/>
        <v>0</v>
      </c>
      <c r="BI45" s="471"/>
      <c r="BK45" s="413">
        <f>BK40+BK41</f>
        <v>0</v>
      </c>
      <c r="BL45" s="485">
        <f t="shared" si="126"/>
        <v>0</v>
      </c>
      <c r="BM45" s="471"/>
      <c r="BO45" s="413">
        <f>BO40+BO41</f>
        <v>0</v>
      </c>
      <c r="BP45" s="485">
        <f t="shared" si="127"/>
        <v>0</v>
      </c>
      <c r="BQ45" s="471"/>
      <c r="BS45" s="413">
        <f>BS40+BS41</f>
        <v>0</v>
      </c>
      <c r="BT45" s="485">
        <f t="shared" si="128"/>
        <v>0</v>
      </c>
      <c r="BU45" s="471"/>
      <c r="BW45" s="413">
        <f>BW40+BW41</f>
        <v>0</v>
      </c>
      <c r="BX45" s="485">
        <f t="shared" si="129"/>
        <v>0</v>
      </c>
      <c r="BY45" s="471"/>
      <c r="CA45" s="413">
        <f>CA40+CA41</f>
        <v>0</v>
      </c>
      <c r="CB45" s="485">
        <f t="shared" si="130"/>
        <v>0</v>
      </c>
      <c r="CC45" s="471"/>
      <c r="CE45" s="413">
        <f>CE40+CE41</f>
        <v>0</v>
      </c>
      <c r="CF45" s="485">
        <f t="shared" si="131"/>
        <v>0</v>
      </c>
      <c r="CG45" s="471"/>
      <c r="CI45" s="413">
        <f>CI40+CI41</f>
        <v>0</v>
      </c>
      <c r="CJ45" s="485">
        <f t="shared" si="132"/>
        <v>0</v>
      </c>
      <c r="CK45" s="471"/>
      <c r="CM45" s="413">
        <f>CM40+CM41</f>
        <v>0</v>
      </c>
      <c r="CN45" s="485">
        <f t="shared" si="133"/>
        <v>0</v>
      </c>
      <c r="CO45" s="471"/>
      <c r="CQ45" s="413">
        <f>CQ40+CQ41</f>
        <v>0</v>
      </c>
      <c r="CR45" s="485">
        <f t="shared" si="134"/>
        <v>0</v>
      </c>
      <c r="CS45" s="471"/>
      <c r="CU45" s="413">
        <f>CU40+CU41</f>
        <v>0</v>
      </c>
      <c r="CV45" s="485">
        <f t="shared" si="135"/>
        <v>0</v>
      </c>
      <c r="CW45" s="471"/>
      <c r="CY45" s="413">
        <f>CY40+CY41</f>
        <v>0</v>
      </c>
      <c r="CZ45" s="485">
        <f t="shared" si="136"/>
        <v>0</v>
      </c>
      <c r="DA45" s="471"/>
      <c r="DC45" s="413">
        <f>DC40+DC41</f>
        <v>0</v>
      </c>
      <c r="DD45" s="485">
        <f t="shared" si="137"/>
        <v>0</v>
      </c>
      <c r="DE45" s="471"/>
      <c r="DG45" s="413">
        <f>DG40+DG41</f>
        <v>0</v>
      </c>
      <c r="DH45" s="485">
        <f t="shared" si="138"/>
        <v>0</v>
      </c>
      <c r="DI45" s="471"/>
      <c r="DJ45" s="471"/>
      <c r="DK45" s="413">
        <f>DK40+DK41</f>
        <v>0</v>
      </c>
      <c r="DL45" s="485">
        <f t="shared" si="139"/>
        <v>0</v>
      </c>
      <c r="DM45" s="471"/>
      <c r="DN45" s="471"/>
      <c r="DP45" s="303">
        <f>1476-25</f>
        <v>1451</v>
      </c>
    </row>
    <row r="46" spans="1:128" outlineLevel="1" x14ac:dyDescent="0.2">
      <c r="A46" s="448" t="s">
        <v>468</v>
      </c>
      <c r="C46" s="413">
        <f>C43+C42</f>
        <v>6.6000000000000003E-2</v>
      </c>
      <c r="D46" s="485" t="s">
        <v>94</v>
      </c>
      <c r="E46" s="470"/>
      <c r="F46" s="305"/>
      <c r="G46" s="413">
        <f>G43+G42</f>
        <v>4.306</v>
      </c>
      <c r="H46" s="485">
        <f t="shared" si="112"/>
        <v>0.7679686106652398</v>
      </c>
      <c r="I46" s="470"/>
      <c r="K46" s="413">
        <f>K43+K42</f>
        <v>1.794</v>
      </c>
      <c r="L46" s="485">
        <f t="shared" si="113"/>
        <v>0.26993680409268739</v>
      </c>
      <c r="M46" s="470"/>
      <c r="O46" s="413">
        <f>O43+O42</f>
        <v>2.5569999999999999</v>
      </c>
      <c r="P46" s="485">
        <f t="shared" si="114"/>
        <v>0.32042606516290728</v>
      </c>
      <c r="Q46" s="471"/>
      <c r="R46" s="305"/>
      <c r="S46" s="413">
        <f>S43+S42</f>
        <v>7.3999999999999995</v>
      </c>
      <c r="T46" s="485">
        <f t="shared" si="115"/>
        <v>0.77581145684810859</v>
      </c>
      <c r="U46" s="471"/>
      <c r="W46" s="413">
        <f>W43+W42</f>
        <v>9.2200000000000006</v>
      </c>
      <c r="X46" s="485">
        <f t="shared" si="116"/>
        <v>0.77238837228784452</v>
      </c>
      <c r="Y46" s="471"/>
      <c r="AA46" s="413">
        <f>AA43+AA42</f>
        <v>6.5519999999999996</v>
      </c>
      <c r="AB46" s="485">
        <f t="shared" si="117"/>
        <v>0.45336285635206197</v>
      </c>
      <c r="AC46" s="471"/>
      <c r="AE46" s="413">
        <f>AE43+AE42</f>
        <v>6.4210000000000003</v>
      </c>
      <c r="AF46" s="485">
        <f t="shared" si="118"/>
        <v>0.34980387884070607</v>
      </c>
      <c r="AG46" s="471"/>
      <c r="AI46" s="413">
        <f>AI43+AI42</f>
        <v>11.966000000000001</v>
      </c>
      <c r="AJ46" s="485">
        <f t="shared" si="119"/>
        <v>0.54931484839442712</v>
      </c>
      <c r="AK46" s="471"/>
      <c r="AM46" s="413">
        <f>AM43+AM42</f>
        <v>18.977</v>
      </c>
      <c r="AN46" s="485">
        <f t="shared" si="120"/>
        <v>0.70098774370378025</v>
      </c>
      <c r="AO46" s="471"/>
      <c r="AQ46" s="413">
        <f>AQ43+AQ42</f>
        <v>14.279</v>
      </c>
      <c r="AR46" s="485">
        <f t="shared" si="121"/>
        <v>0.38927510155121181</v>
      </c>
      <c r="AS46" s="471"/>
      <c r="AU46" s="413">
        <f>AU43+AU42</f>
        <v>16.625</v>
      </c>
      <c r="AV46" s="485">
        <f t="shared" si="122"/>
        <v>0.37071757096482005</v>
      </c>
      <c r="AW46" s="471"/>
      <c r="AY46" s="413">
        <f>AY43+AY42</f>
        <v>20.402999999999999</v>
      </c>
      <c r="AZ46" s="485">
        <f t="shared" si="123"/>
        <v>0.38295356432298505</v>
      </c>
      <c r="BA46" s="471"/>
      <c r="BC46" s="413">
        <f>BC43+BC42</f>
        <v>0</v>
      </c>
      <c r="BD46" s="485">
        <f t="shared" si="124"/>
        <v>0</v>
      </c>
      <c r="BE46" s="471"/>
      <c r="BG46" s="413">
        <f>BG43+BG42</f>
        <v>0</v>
      </c>
      <c r="BH46" s="485">
        <f t="shared" si="125"/>
        <v>0</v>
      </c>
      <c r="BI46" s="471"/>
      <c r="BK46" s="413">
        <f>BK43+BK42</f>
        <v>0</v>
      </c>
      <c r="BL46" s="485">
        <f t="shared" si="126"/>
        <v>0</v>
      </c>
      <c r="BM46" s="471"/>
      <c r="BO46" s="413">
        <f>BO43+BO42</f>
        <v>0</v>
      </c>
      <c r="BP46" s="485">
        <f t="shared" si="127"/>
        <v>0</v>
      </c>
      <c r="BQ46" s="471"/>
      <c r="BS46" s="413">
        <f>BS43+BS42</f>
        <v>0</v>
      </c>
      <c r="BT46" s="485">
        <f t="shared" si="128"/>
        <v>0</v>
      </c>
      <c r="BU46" s="471"/>
      <c r="BW46" s="413">
        <f>BW43+BW42</f>
        <v>0</v>
      </c>
      <c r="BX46" s="485">
        <f t="shared" si="129"/>
        <v>0</v>
      </c>
      <c r="BY46" s="471"/>
      <c r="CA46" s="413">
        <f>CA43+CA42</f>
        <v>0</v>
      </c>
      <c r="CB46" s="485">
        <f t="shared" si="130"/>
        <v>0</v>
      </c>
      <c r="CC46" s="471"/>
      <c r="CE46" s="413">
        <f>CE43+CE42</f>
        <v>0</v>
      </c>
      <c r="CF46" s="485">
        <f t="shared" si="131"/>
        <v>0</v>
      </c>
      <c r="CG46" s="471"/>
      <c r="CI46" s="413">
        <f>CI43+CI42</f>
        <v>0</v>
      </c>
      <c r="CJ46" s="485">
        <f t="shared" si="132"/>
        <v>0</v>
      </c>
      <c r="CK46" s="471"/>
      <c r="CM46" s="413">
        <f>CM43+CM42</f>
        <v>0</v>
      </c>
      <c r="CN46" s="485">
        <f t="shared" si="133"/>
        <v>0</v>
      </c>
      <c r="CO46" s="471"/>
      <c r="CQ46" s="413">
        <f>CQ43+CQ42</f>
        <v>0</v>
      </c>
      <c r="CR46" s="485">
        <f t="shared" si="134"/>
        <v>0</v>
      </c>
      <c r="CS46" s="471"/>
      <c r="CU46" s="413">
        <f>CU43+CU42</f>
        <v>0</v>
      </c>
      <c r="CV46" s="485">
        <f t="shared" si="135"/>
        <v>0</v>
      </c>
      <c r="CW46" s="471"/>
      <c r="CY46" s="413">
        <f>CY43+CY42</f>
        <v>0</v>
      </c>
      <c r="CZ46" s="485">
        <f t="shared" si="136"/>
        <v>0</v>
      </c>
      <c r="DA46" s="471"/>
      <c r="DC46" s="413">
        <f>DC43+DC42</f>
        <v>0</v>
      </c>
      <c r="DD46" s="485">
        <f t="shared" si="137"/>
        <v>0</v>
      </c>
      <c r="DE46" s="471"/>
      <c r="DG46" s="413">
        <f>DG43+DG42</f>
        <v>0</v>
      </c>
      <c r="DH46" s="485">
        <f t="shared" si="138"/>
        <v>0</v>
      </c>
      <c r="DI46" s="471"/>
      <c r="DJ46" s="471"/>
      <c r="DK46" s="413">
        <f>DK43+DK42</f>
        <v>0</v>
      </c>
      <c r="DL46" s="485">
        <f t="shared" si="139"/>
        <v>0</v>
      </c>
      <c r="DM46" s="471"/>
      <c r="DN46" s="471"/>
      <c r="DO46" s="303" t="s">
        <v>232</v>
      </c>
      <c r="DP46" s="303">
        <f>DP45*0.75</f>
        <v>1088.25</v>
      </c>
      <c r="DQ46" s="303">
        <f>DQ47+DP46</f>
        <v>1352.3319999999999</v>
      </c>
      <c r="DR46" s="426">
        <f>DQ46/DG33-1</f>
        <v>-7.3110349554489473E-2</v>
      </c>
    </row>
    <row r="47" spans="1:128" outlineLevel="1" x14ac:dyDescent="0.2">
      <c r="C47" s="413"/>
      <c r="D47" s="459"/>
      <c r="E47" s="459"/>
      <c r="F47" s="305"/>
      <c r="G47" s="413"/>
      <c r="H47" s="459"/>
      <c r="I47" s="459"/>
      <c r="K47" s="413"/>
      <c r="O47" s="413"/>
      <c r="R47" s="305"/>
      <c r="S47" s="413"/>
      <c r="W47" s="413"/>
      <c r="AA47" s="413"/>
      <c r="AE47" s="413"/>
      <c r="AI47" s="413"/>
      <c r="AM47" s="413"/>
      <c r="AQ47" s="413"/>
      <c r="AU47" s="413"/>
      <c r="AY47" s="413"/>
      <c r="BC47" s="413"/>
      <c r="BG47" s="413"/>
      <c r="BK47" s="413"/>
      <c r="BO47" s="413"/>
      <c r="BS47" s="413"/>
      <c r="BW47" s="413"/>
      <c r="CA47" s="413"/>
      <c r="CE47" s="413"/>
      <c r="CI47" s="413"/>
      <c r="DO47" s="303" t="s">
        <v>232</v>
      </c>
      <c r="DP47" s="303">
        <f>DP45*0.2</f>
        <v>290.2</v>
      </c>
      <c r="DQ47" s="303">
        <f>DP47*0.91</f>
        <v>264.08199999999999</v>
      </c>
    </row>
    <row r="48" spans="1:128" outlineLevel="1" x14ac:dyDescent="0.2">
      <c r="B48" s="447"/>
      <c r="C48" s="447"/>
      <c r="D48" s="447"/>
      <c r="E48" s="447"/>
      <c r="F48" s="447"/>
      <c r="G48" s="447"/>
      <c r="H48" s="447"/>
      <c r="I48" s="447"/>
      <c r="J48" s="447"/>
      <c r="K48" s="447"/>
      <c r="L48" s="447"/>
      <c r="M48" s="447"/>
      <c r="N48" s="447"/>
      <c r="O48" s="447"/>
      <c r="P48" s="447"/>
      <c r="Q48" s="447"/>
      <c r="R48" s="447"/>
      <c r="S48" s="447"/>
      <c r="T48" s="447"/>
      <c r="U48" s="447"/>
      <c r="V48" s="447"/>
      <c r="W48" s="447"/>
      <c r="X48" s="447"/>
      <c r="Y48" s="447"/>
      <c r="Z48" s="447"/>
      <c r="AA48" s="447"/>
      <c r="AB48" s="447"/>
      <c r="AC48" s="447"/>
      <c r="AD48" s="447"/>
      <c r="AE48" s="447"/>
      <c r="AF48" s="447"/>
      <c r="AG48" s="447"/>
      <c r="AH48" s="447"/>
      <c r="AI48" s="447"/>
      <c r="AJ48" s="447"/>
      <c r="AK48" s="447"/>
      <c r="AL48" s="447"/>
      <c r="AM48" s="447"/>
      <c r="AN48" s="447"/>
      <c r="AO48" s="447"/>
      <c r="AP48" s="447"/>
      <c r="AQ48" s="447"/>
      <c r="AR48" s="447"/>
      <c r="AS48" s="447"/>
      <c r="AT48" s="447"/>
      <c r="AU48" s="447"/>
      <c r="AV48" s="447"/>
      <c r="AW48" s="447"/>
      <c r="AX48" s="447"/>
      <c r="AY48" s="447"/>
      <c r="AZ48" s="447"/>
      <c r="BA48" s="447"/>
      <c r="BB48" s="447"/>
      <c r="BC48" s="447"/>
      <c r="BD48" s="447"/>
      <c r="BE48" s="447"/>
      <c r="BF48" s="447"/>
      <c r="BG48" s="447"/>
      <c r="BH48" s="447"/>
      <c r="BI48" s="447"/>
      <c r="BJ48" s="447"/>
      <c r="BK48" s="447"/>
      <c r="BL48" s="447"/>
      <c r="BM48" s="447"/>
      <c r="BN48" s="447"/>
      <c r="BO48" s="447"/>
      <c r="BP48" s="447"/>
      <c r="BQ48" s="447"/>
      <c r="BR48" s="447"/>
      <c r="BS48" s="447"/>
      <c r="BT48" s="447"/>
      <c r="BU48" s="447"/>
      <c r="BV48" s="447"/>
      <c r="BW48" s="447"/>
      <c r="BX48" s="447"/>
      <c r="BY48" s="447"/>
      <c r="BZ48" s="447"/>
      <c r="CA48" s="447"/>
      <c r="CB48" s="447"/>
      <c r="CC48" s="447"/>
      <c r="CD48" s="447"/>
      <c r="CF48" s="447"/>
      <c r="CG48" s="447"/>
      <c r="CH48" s="447"/>
      <c r="CI48" s="447"/>
      <c r="CJ48" s="1352" t="s">
        <v>283</v>
      </c>
      <c r="CK48" s="1352"/>
      <c r="CL48" s="1352"/>
      <c r="CM48" s="1352"/>
      <c r="CN48" s="1352"/>
      <c r="CO48" s="1352"/>
      <c r="CP48" s="1352"/>
      <c r="CQ48" s="1352"/>
      <c r="CR48" s="1352"/>
      <c r="CS48" s="447"/>
      <c r="CT48" s="447"/>
      <c r="CU48" s="447"/>
      <c r="CV48" s="447"/>
      <c r="CW48" s="447"/>
      <c r="CX48" s="447"/>
      <c r="CY48" s="447" t="s">
        <v>283</v>
      </c>
      <c r="CZ48" s="447"/>
      <c r="DA48" s="447"/>
      <c r="DB48" s="447"/>
      <c r="DC48" s="447"/>
      <c r="DD48" s="447"/>
      <c r="DE48" s="447"/>
      <c r="DF48" s="447"/>
      <c r="DG48" s="447"/>
      <c r="DH48" s="447"/>
      <c r="DI48" s="447"/>
      <c r="DJ48" s="447"/>
      <c r="DK48" s="447"/>
      <c r="DL48" s="447"/>
      <c r="DM48" s="447"/>
      <c r="DN48" s="447"/>
      <c r="DO48" s="447"/>
      <c r="DP48" s="447"/>
      <c r="DQ48" s="447"/>
    </row>
    <row r="49" spans="1:122" outlineLevel="1" x14ac:dyDescent="0.2">
      <c r="C49" s="413"/>
      <c r="D49" s="459"/>
      <c r="E49" s="459"/>
      <c r="F49" s="305"/>
      <c r="G49" s="413"/>
      <c r="H49" s="459"/>
      <c r="I49" s="459"/>
      <c r="K49" s="413"/>
      <c r="L49" s="459"/>
      <c r="M49" s="459"/>
      <c r="O49" s="413"/>
      <c r="P49" s="459"/>
      <c r="Q49" s="459"/>
      <c r="R49" s="305"/>
      <c r="S49" s="413"/>
      <c r="T49" s="459"/>
      <c r="U49" s="459"/>
      <c r="W49" s="413"/>
      <c r="X49" s="459"/>
      <c r="Y49" s="459"/>
      <c r="AA49" s="413"/>
      <c r="AB49" s="459"/>
      <c r="AC49" s="459"/>
      <c r="AE49" s="413"/>
      <c r="AF49" s="459"/>
      <c r="AG49" s="459"/>
      <c r="AI49" s="413"/>
      <c r="AJ49" s="459"/>
      <c r="AK49" s="459"/>
      <c r="AM49" s="413"/>
      <c r="AN49" s="459"/>
      <c r="AO49" s="459"/>
      <c r="AQ49" s="413"/>
      <c r="AR49" s="459"/>
      <c r="AS49" s="459"/>
      <c r="AU49" s="413"/>
      <c r="AV49" s="459"/>
      <c r="AW49" s="459"/>
      <c r="AY49" s="413"/>
      <c r="AZ49" s="459"/>
      <c r="BA49" s="459"/>
      <c r="BC49" s="413"/>
      <c r="BD49" s="459"/>
      <c r="BE49" s="459"/>
      <c r="BG49" s="413"/>
      <c r="BI49" s="459"/>
      <c r="BK49" s="413"/>
      <c r="BO49" s="413"/>
      <c r="BS49" s="413"/>
      <c r="BW49" s="413"/>
      <c r="CA49" s="413"/>
      <c r="CE49" s="413"/>
      <c r="CI49" s="413"/>
      <c r="CM49" s="482"/>
      <c r="CQ49" s="482"/>
      <c r="CU49" s="482"/>
      <c r="CY49" s="482"/>
      <c r="DC49" s="482"/>
      <c r="DG49" s="482"/>
      <c r="DK49" s="482"/>
      <c r="DO49" s="303" t="s">
        <v>232</v>
      </c>
    </row>
    <row r="50" spans="1:122" outlineLevel="1" x14ac:dyDescent="0.2">
      <c r="A50" s="448" t="s">
        <v>89</v>
      </c>
      <c r="C50" s="468">
        <v>2.9860000000000002</v>
      </c>
      <c r="D50" s="485" t="s">
        <v>94</v>
      </c>
      <c r="E50" s="470"/>
      <c r="F50" s="305"/>
      <c r="G50" s="468">
        <v>2.9089999999999998</v>
      </c>
      <c r="H50" s="485">
        <f t="shared" ref="H50:H56" si="140">G50/G10*100</f>
        <v>1.5220325858334292</v>
      </c>
      <c r="I50" s="470"/>
      <c r="K50" s="468">
        <v>3.4489999999999998</v>
      </c>
      <c r="L50" s="485">
        <f t="shared" ref="L50:L56" si="141">K50/K10*100</f>
        <v>1.629962192816635</v>
      </c>
      <c r="M50" s="470"/>
      <c r="O50" s="468">
        <v>4.1950000000000003</v>
      </c>
      <c r="P50" s="485">
        <f t="shared" ref="P50:P56" si="142">O50/O10*100</f>
        <v>1.6766586730615509</v>
      </c>
      <c r="Q50" s="470"/>
      <c r="R50" s="305"/>
      <c r="S50" s="468">
        <v>4.9889999999999999</v>
      </c>
      <c r="T50" s="485">
        <f t="shared" ref="T50:T56" si="143">S50/S10*100</f>
        <v>1.6208576998050683</v>
      </c>
      <c r="U50" s="470"/>
      <c r="W50" s="468">
        <v>6.6950000000000003</v>
      </c>
      <c r="X50" s="485">
        <f t="shared" ref="X50:X56" si="144">W50/W10*100</f>
        <v>1.8173181324647125</v>
      </c>
      <c r="Y50" s="470"/>
      <c r="AA50" s="468">
        <v>8.625</v>
      </c>
      <c r="AB50" s="485">
        <f t="shared" ref="AB50:AB56" si="145">AA50/AA10*100</f>
        <v>1.8401962876040112</v>
      </c>
      <c r="AC50" s="470"/>
      <c r="AE50" s="468">
        <v>11.7</v>
      </c>
      <c r="AF50" s="485">
        <f t="shared" ref="AF50:AF56" si="146">AE50/AE10*100</f>
        <v>1.94822386923921</v>
      </c>
      <c r="AG50" s="470"/>
      <c r="AI50" s="468">
        <v>15.193999999999999</v>
      </c>
      <c r="AJ50" s="485">
        <f t="shared" ref="AJ50:AJ56" si="147">AI50/AI10*100</f>
        <v>2.0405586892291163</v>
      </c>
      <c r="AK50" s="470"/>
      <c r="AM50" s="468">
        <v>18.786999999999999</v>
      </c>
      <c r="AN50" s="485">
        <f t="shared" ref="AN50:AN56" si="148">AM50/AM10*100</f>
        <v>2.0638251126002416</v>
      </c>
      <c r="AO50" s="470"/>
      <c r="AQ50" s="468">
        <v>27.45</v>
      </c>
      <c r="AR50" s="485">
        <f t="shared" ref="AR50:AR56" si="149">AQ50/AQ10*100</f>
        <v>2.2340685277122163</v>
      </c>
      <c r="AS50" s="470"/>
      <c r="AU50" s="468">
        <v>35.721999999999994</v>
      </c>
      <c r="AV50" s="485">
        <f t="shared" ref="AV50:AV56" si="150">AU50/AU10*100</f>
        <v>2.4001881341127458</v>
      </c>
      <c r="AW50" s="470"/>
      <c r="AY50" s="468">
        <v>44.419000000000004</v>
      </c>
      <c r="AZ50" s="485">
        <f t="shared" ref="AZ50:AZ56" si="151">AY50/AY10*100</f>
        <v>2.3747126436781612</v>
      </c>
      <c r="BA50" s="470"/>
      <c r="BC50" s="468">
        <v>55.917000000000002</v>
      </c>
      <c r="BD50" s="485">
        <f t="shared" ref="BD50:BD56" si="152">BC50/BC10*100</f>
        <v>2.6404589885252872</v>
      </c>
      <c r="BE50" s="470"/>
      <c r="BG50" s="468">
        <v>66.7</v>
      </c>
      <c r="BH50" s="485">
        <f t="shared" ref="BH50:BH56" si="153">BG50/BG10*100</f>
        <v>2.8022855222250236</v>
      </c>
      <c r="BI50" s="470"/>
      <c r="BK50" s="468">
        <v>80</v>
      </c>
      <c r="BL50" s="485">
        <f t="shared" ref="BL50:BL56" si="154">BK50/BK10*100</f>
        <v>2.9167274318214962</v>
      </c>
      <c r="BM50" s="470"/>
      <c r="BO50" s="468">
        <v>93.406999999999996</v>
      </c>
      <c r="BP50" s="485">
        <f t="shared" ref="BP50:BP56" si="155">BO50/BO10*100</f>
        <v>2.9329921185668981</v>
      </c>
      <c r="BQ50" s="470"/>
      <c r="BS50" s="468">
        <v>104.7</v>
      </c>
      <c r="BT50" s="485">
        <f t="shared" ref="BT50:BT56" si="156">BS50/BS10*100</f>
        <v>2.9311310190369544</v>
      </c>
      <c r="BU50" s="470"/>
      <c r="BW50" s="468">
        <v>129.977</v>
      </c>
      <c r="BX50" s="485">
        <f t="shared" ref="BX50:BX56" si="157">BW50/BW10*100</f>
        <v>3.5863055041044256</v>
      </c>
      <c r="BY50" s="470"/>
      <c r="CA50" s="468">
        <v>141</v>
      </c>
      <c r="CB50" s="485">
        <f t="shared" ref="CB50:CB56" si="158">CA50/CA10*100</f>
        <v>3.8757559098405716</v>
      </c>
      <c r="CC50" s="470"/>
      <c r="CE50" s="1008">
        <v>176</v>
      </c>
      <c r="CF50" s="485">
        <f t="shared" ref="CF50:CF56" si="159">CE50/CE10*100</f>
        <v>4.3618339529120203</v>
      </c>
      <c r="CG50" s="470"/>
      <c r="CI50" s="1008">
        <v>191</v>
      </c>
      <c r="CJ50" s="485">
        <f t="shared" ref="CJ50:CJ56" si="160">CI50/CI10*100</f>
        <v>4.5891398366170106</v>
      </c>
      <c r="CK50" s="470"/>
      <c r="CM50" s="1008">
        <v>201</v>
      </c>
      <c r="CN50" s="485">
        <f t="shared" ref="CN50:CN56" si="161">CM50/CM10*100</f>
        <v>4.7372142352109359</v>
      </c>
      <c r="CO50" s="470"/>
      <c r="CQ50" s="1008">
        <v>214</v>
      </c>
      <c r="CR50" s="485">
        <f t="shared" ref="CR50:CR56" si="162">CQ50/CQ10*100</f>
        <v>5.0964515360800187</v>
      </c>
      <c r="CS50" s="470"/>
      <c r="CU50" s="1008">
        <v>216</v>
      </c>
      <c r="CV50" s="485">
        <f t="shared" ref="CV50:CV56" si="163">CU50/CU10*100</f>
        <v>5.3071253071253075</v>
      </c>
      <c r="CW50" s="470"/>
      <c r="CY50" s="1008">
        <v>227</v>
      </c>
      <c r="CZ50" s="485">
        <f>CY50/CY10*100</f>
        <v>5.5056997332039774</v>
      </c>
      <c r="DA50" s="470"/>
      <c r="DC50" s="1008">
        <v>234</v>
      </c>
      <c r="DD50" s="485">
        <f t="shared" ref="DD50:DD56" si="164">DC50/DC10*100</f>
        <v>5.8912386706948645</v>
      </c>
      <c r="DE50" s="470"/>
      <c r="DG50" s="1008">
        <v>238</v>
      </c>
      <c r="DH50" s="485">
        <f t="shared" ref="DH50:DH56" si="165">DG50/DG10*100</f>
        <v>6.1930783242258656</v>
      </c>
      <c r="DI50" s="470"/>
      <c r="DJ50" s="470"/>
      <c r="DK50" s="1240">
        <v>245</v>
      </c>
      <c r="DL50" s="485">
        <f t="shared" ref="DL50:DL56" si="166">DK50/DK10*100</f>
        <v>6.1620217346830621</v>
      </c>
      <c r="DM50" s="470"/>
      <c r="DN50" s="470"/>
    </row>
    <row r="51" spans="1:122" outlineLevel="1" x14ac:dyDescent="0.2">
      <c r="A51" s="448" t="s">
        <v>90</v>
      </c>
      <c r="C51" s="472">
        <v>2.9670000000000001</v>
      </c>
      <c r="D51" s="485" t="s">
        <v>94</v>
      </c>
      <c r="E51" s="470"/>
      <c r="F51" s="305"/>
      <c r="G51" s="472">
        <v>3.0270000000000001</v>
      </c>
      <c r="H51" s="485">
        <f t="shared" si="140"/>
        <v>1.6948488241881301</v>
      </c>
      <c r="I51" s="470"/>
      <c r="K51" s="472">
        <v>3.5249999999999999</v>
      </c>
      <c r="L51" s="485">
        <f t="shared" si="141"/>
        <v>1.6199448529411766</v>
      </c>
      <c r="M51" s="470"/>
      <c r="O51" s="472">
        <v>4.3389999999999995</v>
      </c>
      <c r="P51" s="485">
        <f t="shared" si="142"/>
        <v>1.6857031857031857</v>
      </c>
      <c r="Q51" s="470"/>
      <c r="R51" s="305"/>
      <c r="S51" s="472">
        <v>4.8650000000000002</v>
      </c>
      <c r="T51" s="485">
        <f t="shared" si="143"/>
        <v>1.6638166894664845</v>
      </c>
      <c r="U51" s="470"/>
      <c r="W51" s="472">
        <v>6.5460000000000003</v>
      </c>
      <c r="X51" s="485">
        <f t="shared" si="144"/>
        <v>1.8018166804293971</v>
      </c>
      <c r="Y51" s="470"/>
      <c r="AA51" s="472">
        <v>9.0640000000000001</v>
      </c>
      <c r="AB51" s="485">
        <f t="shared" si="145"/>
        <v>1.9098187947745469</v>
      </c>
      <c r="AC51" s="470"/>
      <c r="AE51" s="472">
        <v>12.781000000000001</v>
      </c>
      <c r="AF51" s="485">
        <f t="shared" si="146"/>
        <v>2.04844399354422</v>
      </c>
      <c r="AG51" s="470"/>
      <c r="AI51" s="472">
        <v>15.87</v>
      </c>
      <c r="AJ51" s="485">
        <f t="shared" si="147"/>
        <v>2.0915980230642504</v>
      </c>
      <c r="AK51" s="470"/>
      <c r="AM51" s="472">
        <v>19.954999999999998</v>
      </c>
      <c r="AN51" s="485">
        <f t="shared" si="148"/>
        <v>2.1240021287919104</v>
      </c>
      <c r="AO51" s="470"/>
      <c r="AQ51" s="472">
        <v>30.113</v>
      </c>
      <c r="AR51" s="485">
        <f t="shared" si="149"/>
        <v>2.3986777122829377</v>
      </c>
      <c r="AS51" s="470"/>
      <c r="AU51" s="472">
        <v>37.288999999999994</v>
      </c>
      <c r="AV51" s="485">
        <f t="shared" si="150"/>
        <v>2.4600211109645067</v>
      </c>
      <c r="AW51" s="470"/>
      <c r="AY51" s="472">
        <v>47.85</v>
      </c>
      <c r="AZ51" s="485">
        <f t="shared" si="151"/>
        <v>2.4897237109110777</v>
      </c>
      <c r="BA51" s="470"/>
      <c r="BC51" s="472">
        <v>57.5</v>
      </c>
      <c r="BD51" s="485">
        <f t="shared" si="152"/>
        <v>2.6036949827929723</v>
      </c>
      <c r="BE51" s="470"/>
      <c r="BG51" s="472">
        <v>71.3</v>
      </c>
      <c r="BH51" s="485">
        <f t="shared" si="153"/>
        <v>2.8543976940630129</v>
      </c>
      <c r="BI51" s="470"/>
      <c r="BK51" s="472">
        <v>82.6</v>
      </c>
      <c r="BL51" s="485">
        <f t="shared" si="154"/>
        <v>2.8600117724455525</v>
      </c>
      <c r="BM51" s="470"/>
      <c r="BO51" s="472">
        <v>96.1</v>
      </c>
      <c r="BP51" s="485">
        <f t="shared" si="155"/>
        <v>2.9107919504638335</v>
      </c>
      <c r="BQ51" s="470"/>
      <c r="BS51" s="472">
        <v>106.279</v>
      </c>
      <c r="BT51" s="485">
        <f t="shared" si="156"/>
        <v>2.961077677476875</v>
      </c>
      <c r="BU51" s="470"/>
      <c r="BW51" s="472">
        <v>132.68100000000001</v>
      </c>
      <c r="BX51" s="485">
        <f t="shared" si="157"/>
        <v>3.561437555865135</v>
      </c>
      <c r="BY51" s="470"/>
      <c r="CA51" s="472">
        <v>144</v>
      </c>
      <c r="CB51" s="485">
        <f t="shared" si="158"/>
        <v>3.783499737256963</v>
      </c>
      <c r="CC51" s="470"/>
      <c r="CE51" s="985">
        <v>180</v>
      </c>
      <c r="CF51" s="485">
        <f t="shared" si="159"/>
        <v>4.3902439024390238</v>
      </c>
      <c r="CG51" s="470"/>
      <c r="CI51" s="985">
        <v>190</v>
      </c>
      <c r="CJ51" s="485">
        <f t="shared" si="160"/>
        <v>4.4726930320150657</v>
      </c>
      <c r="CK51" s="470"/>
      <c r="CM51" s="985">
        <v>210</v>
      </c>
      <c r="CN51" s="485">
        <f t="shared" si="161"/>
        <v>4.9940546967895365</v>
      </c>
      <c r="CO51" s="470"/>
      <c r="CQ51" s="985">
        <v>225</v>
      </c>
      <c r="CR51" s="485">
        <f t="shared" si="162"/>
        <v>5.2459780834693399</v>
      </c>
      <c r="CS51" s="470"/>
      <c r="CU51" s="985">
        <v>222</v>
      </c>
      <c r="CV51" s="485">
        <f t="shared" si="163"/>
        <v>5.2333804809052333</v>
      </c>
      <c r="CW51" s="470"/>
      <c r="CY51" s="985">
        <v>233</v>
      </c>
      <c r="CZ51" s="485">
        <f t="shared" ref="CZ51:CZ56" si="167">CY51/CY11*100</f>
        <v>5.4605108975861256</v>
      </c>
      <c r="DA51" s="470"/>
      <c r="DC51" s="985">
        <v>234</v>
      </c>
      <c r="DD51" s="485">
        <f t="shared" si="164"/>
        <v>5.5954088952654235</v>
      </c>
      <c r="DE51" s="470"/>
      <c r="DG51" s="985">
        <v>243</v>
      </c>
      <c r="DH51" s="485">
        <f t="shared" si="165"/>
        <v>5.8638996138996138</v>
      </c>
      <c r="DI51" s="470"/>
      <c r="DJ51" s="470"/>
      <c r="DK51" s="1241">
        <v>240</v>
      </c>
      <c r="DL51" s="485">
        <f t="shared" si="166"/>
        <v>5.7478223417088037</v>
      </c>
      <c r="DM51" s="470"/>
      <c r="DN51" s="470"/>
      <c r="DO51" s="303" t="s">
        <v>232</v>
      </c>
      <c r="DP51" s="311"/>
    </row>
    <row r="52" spans="1:122" outlineLevel="1" x14ac:dyDescent="0.2">
      <c r="A52" s="448" t="s">
        <v>91</v>
      </c>
      <c r="C52" s="472">
        <v>2.1589999999999998</v>
      </c>
      <c r="D52" s="485" t="s">
        <v>94</v>
      </c>
      <c r="E52" s="470"/>
      <c r="F52" s="305"/>
      <c r="G52" s="472">
        <v>3.2329999999999997</v>
      </c>
      <c r="H52" s="485">
        <f t="shared" si="140"/>
        <v>1.3493322203672786</v>
      </c>
      <c r="I52" s="470"/>
      <c r="K52" s="472">
        <v>3.8879999999999999</v>
      </c>
      <c r="L52" s="485">
        <f t="shared" si="141"/>
        <v>1.3632538569424966</v>
      </c>
      <c r="M52" s="470"/>
      <c r="O52" s="472">
        <v>4.6719999999999997</v>
      </c>
      <c r="P52" s="485">
        <f t="shared" si="142"/>
        <v>1.3704898797301261</v>
      </c>
      <c r="Q52" s="470"/>
      <c r="R52" s="305"/>
      <c r="S52" s="472">
        <v>6.1139999999999999</v>
      </c>
      <c r="T52" s="485">
        <f t="shared" si="143"/>
        <v>1.5697047496790757</v>
      </c>
      <c r="U52" s="470"/>
      <c r="W52" s="472">
        <v>7.4980000000000002</v>
      </c>
      <c r="X52" s="485">
        <f t="shared" si="144"/>
        <v>1.540579412369016</v>
      </c>
      <c r="Y52" s="470"/>
      <c r="AA52" s="472">
        <v>10.334</v>
      </c>
      <c r="AB52" s="485">
        <f t="shared" si="145"/>
        <v>1.7275158809762621</v>
      </c>
      <c r="AC52" s="470"/>
      <c r="AE52" s="472">
        <v>13.352</v>
      </c>
      <c r="AF52" s="485">
        <f t="shared" si="146"/>
        <v>1.761942465030351</v>
      </c>
      <c r="AG52" s="470"/>
      <c r="AI52" s="472">
        <v>17.048999999999999</v>
      </c>
      <c r="AJ52" s="485">
        <f t="shared" si="147"/>
        <v>1.9180964167182315</v>
      </c>
      <c r="AK52" s="470"/>
      <c r="AM52" s="472">
        <v>22.27</v>
      </c>
      <c r="AN52" s="485">
        <f t="shared" si="148"/>
        <v>2.0251345846064308</v>
      </c>
      <c r="AO52" s="470"/>
      <c r="AQ52" s="472">
        <v>32.096999999999994</v>
      </c>
      <c r="AR52" s="485">
        <f t="shared" si="149"/>
        <v>2.2212456747404841</v>
      </c>
      <c r="AS52" s="470"/>
      <c r="AU52" s="472">
        <v>39.172999999999995</v>
      </c>
      <c r="AV52" s="485">
        <f t="shared" si="150"/>
        <v>2.2253011623851218</v>
      </c>
      <c r="AW52" s="470"/>
      <c r="AY52" s="472">
        <v>49.55</v>
      </c>
      <c r="AZ52" s="485">
        <f t="shared" si="151"/>
        <v>2.3117476905850514</v>
      </c>
      <c r="BA52" s="470"/>
      <c r="BC52" s="472">
        <v>60.4</v>
      </c>
      <c r="BD52" s="485">
        <f t="shared" si="152"/>
        <v>2.5229741019214704</v>
      </c>
      <c r="BE52" s="470"/>
      <c r="BG52" s="472">
        <v>72.123999999999995</v>
      </c>
      <c r="BH52" s="485">
        <f t="shared" si="153"/>
        <v>2.6285214475746197</v>
      </c>
      <c r="BI52" s="470"/>
      <c r="BK52" s="472">
        <v>85.1</v>
      </c>
      <c r="BL52" s="485">
        <f t="shared" si="154"/>
        <v>2.7280887350131433</v>
      </c>
      <c r="BM52" s="470"/>
      <c r="BO52" s="472">
        <v>94.317999999999998</v>
      </c>
      <c r="BP52" s="485">
        <f t="shared" si="155"/>
        <v>2.5837051095002481</v>
      </c>
      <c r="BQ52" s="470"/>
      <c r="BS52" s="472">
        <v>115.2</v>
      </c>
      <c r="BT52" s="485">
        <f t="shared" si="156"/>
        <v>3.0116072362229427</v>
      </c>
      <c r="BU52" s="470"/>
      <c r="BW52" s="472">
        <v>135.49100000000001</v>
      </c>
      <c r="BX52" s="485">
        <f t="shared" si="157"/>
        <v>3.5621320474102638</v>
      </c>
      <c r="BY52" s="470"/>
      <c r="CA52" s="472">
        <v>150</v>
      </c>
      <c r="CB52" s="485">
        <f t="shared" si="158"/>
        <v>3.7027894347074799</v>
      </c>
      <c r="CC52" s="470"/>
      <c r="CE52" s="985">
        <v>207</v>
      </c>
      <c r="CF52" s="485">
        <f t="shared" si="159"/>
        <v>4.9075391180654337</v>
      </c>
      <c r="CG52" s="470"/>
      <c r="CI52" s="985">
        <v>202</v>
      </c>
      <c r="CJ52" s="485">
        <f t="shared" si="160"/>
        <v>4.6160877513711149</v>
      </c>
      <c r="CK52" s="470"/>
      <c r="CM52" s="985">
        <v>210</v>
      </c>
      <c r="CN52" s="485">
        <f t="shared" si="161"/>
        <v>4.6770601336302899</v>
      </c>
      <c r="CO52" s="470"/>
      <c r="CQ52" s="985">
        <v>228</v>
      </c>
      <c r="CR52" s="485">
        <f t="shared" si="162"/>
        <v>5.1305130513051305</v>
      </c>
      <c r="CS52" s="470"/>
      <c r="CU52" s="985">
        <v>227</v>
      </c>
      <c r="CV52" s="485">
        <f t="shared" si="163"/>
        <v>5.1897576588934609</v>
      </c>
      <c r="CW52" s="470"/>
      <c r="CY52" s="985">
        <v>236</v>
      </c>
      <c r="CZ52" s="485">
        <f t="shared" si="167"/>
        <v>5.3309238762141407</v>
      </c>
      <c r="DA52" s="470"/>
      <c r="DC52" s="985">
        <v>232</v>
      </c>
      <c r="DD52" s="485">
        <f t="shared" si="164"/>
        <v>5.3616824589785068</v>
      </c>
      <c r="DE52" s="470"/>
      <c r="DG52" s="1017">
        <v>243</v>
      </c>
      <c r="DH52" s="485">
        <f t="shared" si="165"/>
        <v>5.609418282548476</v>
      </c>
      <c r="DI52" s="470"/>
      <c r="DJ52" s="470"/>
      <c r="DK52" s="1013">
        <v>240</v>
      </c>
      <c r="DL52" s="485">
        <f t="shared" si="166"/>
        <v>5.6122840550941095</v>
      </c>
      <c r="DM52" s="470"/>
      <c r="DN52" s="470"/>
    </row>
    <row r="53" spans="1:122" outlineLevel="1" x14ac:dyDescent="0.2">
      <c r="A53" s="448" t="s">
        <v>92</v>
      </c>
      <c r="C53" s="474">
        <v>2.875</v>
      </c>
      <c r="D53" s="485" t="s">
        <v>94</v>
      </c>
      <c r="E53" s="470"/>
      <c r="F53" s="305"/>
      <c r="G53" s="474">
        <v>3.3359999999999999</v>
      </c>
      <c r="H53" s="485">
        <f t="shared" si="140"/>
        <v>1.0389286826533788</v>
      </c>
      <c r="I53" s="470"/>
      <c r="K53" s="474">
        <v>3.9280000000000004</v>
      </c>
      <c r="L53" s="485">
        <f t="shared" si="141"/>
        <v>1.0353189246178178</v>
      </c>
      <c r="M53" s="470"/>
      <c r="O53" s="474">
        <v>4.9119999999999999</v>
      </c>
      <c r="P53" s="485">
        <f t="shared" si="142"/>
        <v>1.0746007438197331</v>
      </c>
      <c r="Q53" s="470"/>
      <c r="R53" s="305"/>
      <c r="S53" s="474">
        <v>6.39</v>
      </c>
      <c r="T53" s="485">
        <f t="shared" si="143"/>
        <v>1.1322961335365205</v>
      </c>
      <c r="U53" s="470"/>
      <c r="W53" s="474">
        <v>8.1480000000000015</v>
      </c>
      <c r="X53" s="485">
        <f t="shared" si="144"/>
        <v>1.1524752475247526</v>
      </c>
      <c r="Y53" s="470"/>
      <c r="AA53" s="474">
        <v>10.712</v>
      </c>
      <c r="AB53" s="485">
        <f t="shared" si="145"/>
        <v>1.2646989374262101</v>
      </c>
      <c r="AC53" s="470"/>
      <c r="AE53" s="474">
        <v>14.227</v>
      </c>
      <c r="AF53" s="485">
        <f t="shared" si="146"/>
        <v>1.3200037112636853</v>
      </c>
      <c r="AG53" s="470"/>
      <c r="AI53" s="474">
        <v>17.576000000000001</v>
      </c>
      <c r="AJ53" s="485">
        <f t="shared" si="147"/>
        <v>1.3630089181853431</v>
      </c>
      <c r="AK53" s="470"/>
      <c r="AM53" s="474">
        <v>23.151</v>
      </c>
      <c r="AN53" s="485">
        <f t="shared" si="148"/>
        <v>1.4401866251944011</v>
      </c>
      <c r="AO53" s="470"/>
      <c r="AQ53" s="474">
        <v>32.965999999999994</v>
      </c>
      <c r="AR53" s="485">
        <f t="shared" si="149"/>
        <v>1.4828842607170165</v>
      </c>
      <c r="AS53" s="470"/>
      <c r="AU53" s="474">
        <v>40.664000000000001</v>
      </c>
      <c r="AV53" s="485">
        <f t="shared" si="150"/>
        <v>1.4926951031495486</v>
      </c>
      <c r="AW53" s="470"/>
      <c r="AY53" s="474">
        <v>51.429000000000002</v>
      </c>
      <c r="AZ53" s="485">
        <f t="shared" si="151"/>
        <v>1.6150295189046604</v>
      </c>
      <c r="BA53" s="470"/>
      <c r="BC53" s="474">
        <v>65.2</v>
      </c>
      <c r="BD53" s="485">
        <f t="shared" si="152"/>
        <v>1.8304837305932229</v>
      </c>
      <c r="BE53" s="470"/>
      <c r="BG53" s="474">
        <v>78.013999999999996</v>
      </c>
      <c r="BH53" s="485">
        <f t="shared" si="153"/>
        <v>1.9127172873709759</v>
      </c>
      <c r="BI53" s="470"/>
      <c r="BK53" s="474">
        <v>91.2</v>
      </c>
      <c r="BL53" s="485">
        <f t="shared" si="154"/>
        <v>1.9604892624519015</v>
      </c>
      <c r="BM53" s="470"/>
      <c r="BO53" s="474">
        <v>104</v>
      </c>
      <c r="BP53" s="485">
        <f t="shared" si="155"/>
        <v>1.9087472011158828</v>
      </c>
      <c r="BQ53" s="470"/>
      <c r="BS53" s="474">
        <v>126.1</v>
      </c>
      <c r="BT53" s="485">
        <f t="shared" si="156"/>
        <v>2.2980336413172231</v>
      </c>
      <c r="BU53" s="470"/>
      <c r="BW53" s="474">
        <v>143</v>
      </c>
      <c r="BX53" s="485">
        <f t="shared" si="157"/>
        <v>2.731614135625597</v>
      </c>
      <c r="BY53" s="470"/>
      <c r="CA53" s="474">
        <v>155</v>
      </c>
      <c r="CB53" s="485">
        <f t="shared" si="158"/>
        <v>2.7274326939996483</v>
      </c>
      <c r="CC53" s="470"/>
      <c r="CE53" s="1009">
        <v>189</v>
      </c>
      <c r="CF53" s="485">
        <f t="shared" si="159"/>
        <v>3.130175554819477</v>
      </c>
      <c r="CG53" s="470"/>
      <c r="CI53" s="1009">
        <v>194</v>
      </c>
      <c r="CJ53" s="485">
        <f t="shared" si="160"/>
        <v>3.22366234629445</v>
      </c>
      <c r="CK53" s="470"/>
      <c r="CM53" s="1009">
        <v>214</v>
      </c>
      <c r="CN53" s="485">
        <f t="shared" si="161"/>
        <v>3.3743298643960897</v>
      </c>
      <c r="CO53" s="470"/>
      <c r="CQ53" s="1009">
        <v>224</v>
      </c>
      <c r="CR53" s="485">
        <f t="shared" si="162"/>
        <v>3.6727332349565502</v>
      </c>
      <c r="CS53" s="470"/>
      <c r="CU53" s="1009">
        <v>221</v>
      </c>
      <c r="CV53" s="485">
        <f t="shared" si="163"/>
        <v>3.4874546315291148</v>
      </c>
      <c r="CW53" s="470"/>
      <c r="CY53" s="1009">
        <v>239</v>
      </c>
      <c r="CZ53" s="485">
        <f>CY53/CY13*100</f>
        <v>3.7419758885235632</v>
      </c>
      <c r="DA53" s="470"/>
      <c r="DC53" s="1009">
        <v>239</v>
      </c>
      <c r="DD53" s="485">
        <f t="shared" si="164"/>
        <v>3.8517324738114422</v>
      </c>
      <c r="DE53" s="470"/>
      <c r="DG53" s="1018">
        <v>267</v>
      </c>
      <c r="DH53" s="485">
        <f t="shared" si="165"/>
        <v>3.9403778040141675</v>
      </c>
      <c r="DI53" s="470"/>
      <c r="DJ53" s="470"/>
      <c r="DK53" s="1014">
        <v>235</v>
      </c>
      <c r="DL53" s="485">
        <f t="shared" si="166"/>
        <v>3.696570865811772</v>
      </c>
      <c r="DM53" s="470"/>
      <c r="DN53" s="470"/>
      <c r="DO53" s="485"/>
      <c r="DR53" s="413"/>
    </row>
    <row r="54" spans="1:122" outlineLevel="1" x14ac:dyDescent="0.2">
      <c r="A54" s="448" t="s">
        <v>93</v>
      </c>
      <c r="C54" s="319">
        <f>SUM(C50:C53)</f>
        <v>10.987</v>
      </c>
      <c r="D54" s="485" t="s">
        <v>94</v>
      </c>
      <c r="E54" s="470"/>
      <c r="F54" s="305"/>
      <c r="G54" s="319">
        <f>SUM(G50:G53)</f>
        <v>12.505000000000001</v>
      </c>
      <c r="H54" s="485">
        <f t="shared" si="140"/>
        <v>1.3440080135335857</v>
      </c>
      <c r="I54" s="470"/>
      <c r="K54" s="319">
        <v>14.678000000000001</v>
      </c>
      <c r="L54" s="485">
        <f t="shared" si="141"/>
        <v>1.3381884221812164</v>
      </c>
      <c r="M54" s="470"/>
      <c r="O54" s="319">
        <f>SUM(O50:O53)</f>
        <v>18.117999999999999</v>
      </c>
      <c r="P54" s="485">
        <f t="shared" si="142"/>
        <v>1.3877144607843137</v>
      </c>
      <c r="Q54" s="470"/>
      <c r="R54" s="305"/>
      <c r="S54" s="319">
        <f>SUM(S50:S53)</f>
        <v>22.358000000000001</v>
      </c>
      <c r="T54" s="485">
        <f t="shared" si="143"/>
        <v>1.4387017065197807</v>
      </c>
      <c r="U54" s="470"/>
      <c r="W54" s="319">
        <f>SUM(W50:W53)</f>
        <v>28.887</v>
      </c>
      <c r="X54" s="485">
        <f t="shared" si="144"/>
        <v>1.5001020424590104</v>
      </c>
      <c r="Y54" s="470"/>
      <c r="AA54" s="319">
        <f>SUM(AA50:AA53)</f>
        <v>38.734999999999999</v>
      </c>
      <c r="AB54" s="485">
        <f t="shared" si="145"/>
        <v>1.6217291186937408</v>
      </c>
      <c r="AC54" s="470"/>
      <c r="AE54" s="319">
        <f>SUM(AE50:AE53)</f>
        <v>52.06</v>
      </c>
      <c r="AF54" s="485">
        <f t="shared" si="146"/>
        <v>1.7012604882741784</v>
      </c>
      <c r="AG54" s="470"/>
      <c r="AI54" s="319">
        <f>SUM(AI50:AI53)</f>
        <v>65.688999999999993</v>
      </c>
      <c r="AJ54" s="485">
        <f t="shared" si="147"/>
        <v>1.7842029497243121</v>
      </c>
      <c r="AK54" s="470"/>
      <c r="AM54" s="319">
        <v>83.322999999999993</v>
      </c>
      <c r="AN54" s="485">
        <f t="shared" si="148"/>
        <v>1.8284697321471679</v>
      </c>
      <c r="AO54" s="470"/>
      <c r="AQ54" s="319">
        <f>SUM(AQ50:AQ53)</f>
        <v>122.62599999999999</v>
      </c>
      <c r="AR54" s="485">
        <f t="shared" si="149"/>
        <v>1.9932056825200737</v>
      </c>
      <c r="AS54" s="470"/>
      <c r="AU54" s="319">
        <f>SUM(AU50:AU53)</f>
        <v>152.84800000000001</v>
      </c>
      <c r="AV54" s="485">
        <f t="shared" si="150"/>
        <v>2.0410632309231871</v>
      </c>
      <c r="AW54" s="470"/>
      <c r="AY54" s="319">
        <v>193.49700000000001</v>
      </c>
      <c r="AZ54" s="485">
        <f t="shared" si="151"/>
        <v>2.1216311045810397</v>
      </c>
      <c r="BA54" s="470"/>
      <c r="BC54" s="319">
        <v>239.55799999999999</v>
      </c>
      <c r="BD54" s="485">
        <f t="shared" si="152"/>
        <v>2.3298774557479089</v>
      </c>
      <c r="BE54" s="470"/>
      <c r="BG54" s="319">
        <f>SUM(BG50:BG53)</f>
        <v>288.13799999999998</v>
      </c>
      <c r="BH54" s="485">
        <f t="shared" si="153"/>
        <v>2.4625706154332643</v>
      </c>
      <c r="BI54" s="470"/>
      <c r="BK54" s="319">
        <f>SUM(BK50:BK53)</f>
        <v>338.9</v>
      </c>
      <c r="BL54" s="485">
        <f t="shared" si="154"/>
        <v>2.5286893196639357</v>
      </c>
      <c r="BM54" s="470"/>
      <c r="BO54" s="319">
        <f>SUM(BO50:BO53)</f>
        <v>387.82499999999999</v>
      </c>
      <c r="BP54" s="485">
        <f t="shared" si="155"/>
        <v>2.4884023734928182</v>
      </c>
      <c r="BQ54" s="470"/>
      <c r="BS54" s="319">
        <f>SUM(BS50:BS53)</f>
        <v>452.279</v>
      </c>
      <c r="BT54" s="485">
        <f t="shared" si="156"/>
        <v>2.7454609468425426</v>
      </c>
      <c r="BU54" s="470"/>
      <c r="BW54" s="319">
        <f>SUM(BW50:BW53)</f>
        <v>541.149</v>
      </c>
      <c r="BX54" s="485">
        <f t="shared" si="157"/>
        <v>3.3020250057388156</v>
      </c>
      <c r="BY54" s="470"/>
      <c r="CA54" s="468">
        <v>688</v>
      </c>
      <c r="CB54" s="485">
        <f t="shared" si="158"/>
        <v>4.0051228315286993</v>
      </c>
      <c r="CC54" s="470"/>
      <c r="CE54" s="319">
        <f>SUM(CE50:CE53)</f>
        <v>752</v>
      </c>
      <c r="CF54" s="485">
        <f t="shared" si="159"/>
        <v>4.0889565548366047</v>
      </c>
      <c r="CG54" s="470"/>
      <c r="CI54" s="319">
        <f>SUM(CI50:CI53)</f>
        <v>777</v>
      </c>
      <c r="CJ54" s="485">
        <f t="shared" si="160"/>
        <v>4.132099553286535</v>
      </c>
      <c r="CK54" s="470"/>
      <c r="CM54" s="319">
        <f>SUM(CM50:CM53)</f>
        <v>835</v>
      </c>
      <c r="CN54" s="485">
        <f t="shared" si="161"/>
        <v>4.3309128630705391</v>
      </c>
      <c r="CO54" s="470"/>
      <c r="CQ54" s="319">
        <f>SUM(CQ50:CQ53)</f>
        <v>891</v>
      </c>
      <c r="CR54" s="485">
        <f t="shared" si="162"/>
        <v>4.6818349009510793</v>
      </c>
      <c r="CS54" s="470"/>
      <c r="CU54" s="319">
        <f>SUM(CU50:CU53)</f>
        <v>886</v>
      </c>
      <c r="CV54" s="485">
        <f t="shared" si="163"/>
        <v>4.6575198443988857</v>
      </c>
      <c r="CW54" s="470"/>
      <c r="CY54" s="319">
        <f>SUM(CY50:CY53)</f>
        <v>935</v>
      </c>
      <c r="CZ54" s="485">
        <f t="shared" si="167"/>
        <v>4.8687773380545716</v>
      </c>
      <c r="DA54" s="470"/>
      <c r="DC54" s="319">
        <f>SUM(DC50:DC53)</f>
        <v>939</v>
      </c>
      <c r="DD54" s="485">
        <f t="shared" si="164"/>
        <v>5.02515252060366</v>
      </c>
      <c r="DE54" s="470"/>
      <c r="DG54" s="449">
        <f>SUM(DG50:DG53)</f>
        <v>991</v>
      </c>
      <c r="DH54" s="485">
        <f t="shared" si="165"/>
        <v>5.1898402723225976</v>
      </c>
      <c r="DI54" s="470"/>
      <c r="DJ54" s="470"/>
      <c r="DK54" s="449">
        <f>SUM(DK50:DK53)</f>
        <v>960</v>
      </c>
      <c r="DL54" s="485">
        <f t="shared" si="166"/>
        <v>5.110449809441973</v>
      </c>
      <c r="DM54" s="470"/>
      <c r="DN54" s="470"/>
      <c r="DO54" s="485"/>
    </row>
    <row r="55" spans="1:122" outlineLevel="1" x14ac:dyDescent="0.2">
      <c r="A55" s="448" t="s">
        <v>467</v>
      </c>
      <c r="C55" s="413">
        <f>C50+C51</f>
        <v>5.9530000000000003</v>
      </c>
      <c r="D55" s="485" t="s">
        <v>94</v>
      </c>
      <c r="E55" s="470"/>
      <c r="F55" s="305"/>
      <c r="G55" s="413">
        <f>G50+G51</f>
        <v>5.9359999999999999</v>
      </c>
      <c r="H55" s="485">
        <f t="shared" si="140"/>
        <v>1.6055132719906093</v>
      </c>
      <c r="I55" s="470"/>
      <c r="K55" s="413">
        <f>K50+K51</f>
        <v>6.9740000000000002</v>
      </c>
      <c r="L55" s="485">
        <f t="shared" si="141"/>
        <v>1.624883504193849</v>
      </c>
      <c r="M55" s="470"/>
      <c r="O55" s="413">
        <f>O50+O51</f>
        <v>8.5339999999999989</v>
      </c>
      <c r="P55" s="485">
        <f t="shared" si="142"/>
        <v>1.681245074862096</v>
      </c>
      <c r="Q55" s="471"/>
      <c r="R55" s="305"/>
      <c r="S55" s="413">
        <f>S50+S51</f>
        <v>9.8539999999999992</v>
      </c>
      <c r="T55" s="485">
        <f t="shared" si="143"/>
        <v>1.6417860713095631</v>
      </c>
      <c r="U55" s="471"/>
      <c r="W55" s="413">
        <f>W50+W51</f>
        <v>13.241</v>
      </c>
      <c r="X55" s="485">
        <f t="shared" si="144"/>
        <v>1.8096214295476285</v>
      </c>
      <c r="Y55" s="471"/>
      <c r="AA55" s="413">
        <f>AA50+AA51</f>
        <v>17.689</v>
      </c>
      <c r="AB55" s="485">
        <f t="shared" si="145"/>
        <v>1.875225272977844</v>
      </c>
      <c r="AC55" s="471"/>
      <c r="AE55" s="413">
        <f>AE50+AE51</f>
        <v>24.481000000000002</v>
      </c>
      <c r="AF55" s="485">
        <f t="shared" si="146"/>
        <v>1.9992911299780154</v>
      </c>
      <c r="AG55" s="471"/>
      <c r="AI55" s="413">
        <f>AI50+AI51</f>
        <v>31.064</v>
      </c>
      <c r="AJ55" s="485">
        <f t="shared" si="147"/>
        <v>2.0663185552266605</v>
      </c>
      <c r="AK55" s="471"/>
      <c r="AM55" s="413">
        <f>AM50+AM51</f>
        <v>38.741999999999997</v>
      </c>
      <c r="AN55" s="485">
        <f t="shared" si="148"/>
        <v>2.0943885825494646</v>
      </c>
      <c r="AO55" s="471"/>
      <c r="AQ55" s="413">
        <f>AQ50+AQ51</f>
        <v>57.563000000000002</v>
      </c>
      <c r="AR55" s="485">
        <f t="shared" si="149"/>
        <v>2.3172577593494625</v>
      </c>
      <c r="AS55" s="471"/>
      <c r="AU55" s="413">
        <f>AU50+AU51</f>
        <v>73.010999999999996</v>
      </c>
      <c r="AV55" s="485">
        <f t="shared" si="150"/>
        <v>2.4303784827402546</v>
      </c>
      <c r="AW55" s="471"/>
      <c r="AY55" s="413">
        <f>AY50+AY51</f>
        <v>92.269000000000005</v>
      </c>
      <c r="AZ55" s="485">
        <f t="shared" si="151"/>
        <v>2.4329975740955594</v>
      </c>
      <c r="BA55" s="471"/>
      <c r="BC55" s="413">
        <f>BC50+BC51</f>
        <v>113.417</v>
      </c>
      <c r="BD55" s="485">
        <f t="shared" si="152"/>
        <v>2.6216915928896696</v>
      </c>
      <c r="BE55" s="471"/>
      <c r="BG55" s="413">
        <f>BG50+BG51</f>
        <v>138</v>
      </c>
      <c r="BH55" s="485">
        <f t="shared" si="153"/>
        <v>2.8289702958118936</v>
      </c>
      <c r="BI55" s="471"/>
      <c r="BK55" s="413">
        <f>BK50+BK51</f>
        <v>162.6</v>
      </c>
      <c r="BL55" s="485">
        <f t="shared" si="154"/>
        <v>2.8876378554049973</v>
      </c>
      <c r="BM55" s="471"/>
      <c r="BO55" s="413">
        <f>BO50+BO51</f>
        <v>189.50700000000001</v>
      </c>
      <c r="BP55" s="485">
        <f t="shared" si="155"/>
        <v>2.9216921384100139</v>
      </c>
      <c r="BQ55" s="471"/>
      <c r="BS55" s="413">
        <f>BS50+BS51</f>
        <v>210.97899999999998</v>
      </c>
      <c r="BT55" s="485">
        <f t="shared" si="156"/>
        <v>2.9461403116796068</v>
      </c>
      <c r="BU55" s="471"/>
      <c r="BW55" s="413">
        <f>BW50+BW51</f>
        <v>262.65800000000002</v>
      </c>
      <c r="BX55" s="485">
        <f t="shared" si="157"/>
        <v>3.5737002719412594</v>
      </c>
      <c r="BY55" s="471"/>
      <c r="CA55" s="413">
        <f>CA50+CA51</f>
        <v>285</v>
      </c>
      <c r="CB55" s="485">
        <f t="shared" si="158"/>
        <v>3.8285867813003764</v>
      </c>
      <c r="CC55" s="471"/>
      <c r="CE55" s="413">
        <f>CE50+CE51</f>
        <v>356</v>
      </c>
      <c r="CF55" s="485">
        <f t="shared" si="159"/>
        <v>4.3761524277811921</v>
      </c>
      <c r="CG55" s="471"/>
      <c r="CI55" s="413">
        <f>CI50+CI51</f>
        <v>381</v>
      </c>
      <c r="CJ55" s="485">
        <f t="shared" si="160"/>
        <v>4.5303210463733654</v>
      </c>
      <c r="CK55" s="471"/>
      <c r="CM55" s="413">
        <f>CM50+CM51</f>
        <v>411</v>
      </c>
      <c r="CN55" s="485">
        <f t="shared" si="161"/>
        <v>4.8650568181818183</v>
      </c>
      <c r="CO55" s="471"/>
      <c r="CQ55" s="413">
        <f>CQ50+CQ51</f>
        <v>439</v>
      </c>
      <c r="CR55" s="485">
        <f t="shared" si="162"/>
        <v>5.1720075400565504</v>
      </c>
      <c r="CS55" s="471"/>
      <c r="CU55" s="413">
        <f>CU50+CU51</f>
        <v>438</v>
      </c>
      <c r="CV55" s="485">
        <f t="shared" si="163"/>
        <v>5.2694898941289701</v>
      </c>
      <c r="CW55" s="471"/>
      <c r="CY55" s="413">
        <f>CY50+CY51</f>
        <v>460</v>
      </c>
      <c r="CZ55" s="485">
        <f t="shared" si="167"/>
        <v>5.4827175208581647</v>
      </c>
      <c r="DA55" s="471"/>
      <c r="DC55" s="413">
        <f>DC50+DC51</f>
        <v>468</v>
      </c>
      <c r="DD55" s="485">
        <f t="shared" si="164"/>
        <v>5.739514348785872</v>
      </c>
      <c r="DE55" s="471"/>
      <c r="DG55" s="413">
        <f>DG50+DG51</f>
        <v>481</v>
      </c>
      <c r="DH55" s="485">
        <f t="shared" si="165"/>
        <v>6.0222862150995367</v>
      </c>
      <c r="DI55" s="471"/>
      <c r="DJ55" s="471"/>
      <c r="DK55" s="413">
        <f>DK50+DK51</f>
        <v>485</v>
      </c>
      <c r="DL55" s="485">
        <f t="shared" si="166"/>
        <v>5.9498527761068436</v>
      </c>
      <c r="DM55" s="471"/>
      <c r="DN55" s="471"/>
      <c r="DO55" s="485"/>
    </row>
    <row r="56" spans="1:122" outlineLevel="1" x14ac:dyDescent="0.2">
      <c r="A56" s="448" t="s">
        <v>468</v>
      </c>
      <c r="C56" s="413">
        <f>C53+C52</f>
        <v>5.0339999999999998</v>
      </c>
      <c r="D56" s="485" t="s">
        <v>94</v>
      </c>
      <c r="E56" s="470"/>
      <c r="F56" s="305"/>
      <c r="G56" s="413">
        <f>G53+G52</f>
        <v>6.5689999999999991</v>
      </c>
      <c r="H56" s="485">
        <f t="shared" si="140"/>
        <v>1.1715712502229354</v>
      </c>
      <c r="I56" s="470"/>
      <c r="K56" s="413">
        <f>K53+K52</f>
        <v>7.8160000000000007</v>
      </c>
      <c r="L56" s="485">
        <f t="shared" si="141"/>
        <v>1.1760457417995789</v>
      </c>
      <c r="M56" s="470"/>
      <c r="O56" s="413">
        <f>O53+O52</f>
        <v>9.5839999999999996</v>
      </c>
      <c r="P56" s="485">
        <f t="shared" si="142"/>
        <v>1.2010025062656642</v>
      </c>
      <c r="Q56" s="471"/>
      <c r="R56" s="305"/>
      <c r="S56" s="413">
        <f>S53+S52</f>
        <v>12.504</v>
      </c>
      <c r="T56" s="485">
        <f t="shared" si="143"/>
        <v>1.3109116833011825</v>
      </c>
      <c r="U56" s="471"/>
      <c r="W56" s="413">
        <f>W53+W52</f>
        <v>15.646000000000001</v>
      </c>
      <c r="X56" s="485">
        <f t="shared" si="144"/>
        <v>1.3107145849040798</v>
      </c>
      <c r="Y56" s="471"/>
      <c r="AA56" s="413">
        <f>AA53+AA52</f>
        <v>21.045999999999999</v>
      </c>
      <c r="AB56" s="485">
        <f t="shared" si="145"/>
        <v>1.456269028508165</v>
      </c>
      <c r="AC56" s="471"/>
      <c r="AE56" s="413">
        <f>AE53+AE52</f>
        <v>27.579000000000001</v>
      </c>
      <c r="AF56" s="485">
        <f t="shared" si="146"/>
        <v>1.5024515144911745</v>
      </c>
      <c r="AG56" s="471"/>
      <c r="AI56" s="413">
        <f>AI53+AI52</f>
        <v>34.625</v>
      </c>
      <c r="AJ56" s="485">
        <f t="shared" si="147"/>
        <v>1.5895058186241879</v>
      </c>
      <c r="AK56" s="471"/>
      <c r="AM56" s="413">
        <f>AM53+AM52</f>
        <v>45.420999999999999</v>
      </c>
      <c r="AN56" s="485">
        <f t="shared" si="148"/>
        <v>1.6777975605611741</v>
      </c>
      <c r="AO56" s="471"/>
      <c r="AQ56" s="413">
        <f>AQ53+AQ52</f>
        <v>65.062999999999988</v>
      </c>
      <c r="AR56" s="485">
        <f t="shared" si="149"/>
        <v>1.7737520787328587</v>
      </c>
      <c r="AS56" s="471"/>
      <c r="AU56" s="413">
        <f>AU53+AU52</f>
        <v>79.836999999999989</v>
      </c>
      <c r="AV56" s="485">
        <f t="shared" si="150"/>
        <v>1.7802693962777945</v>
      </c>
      <c r="AW56" s="471"/>
      <c r="AY56" s="413">
        <f>AY53+AY52</f>
        <v>100.979</v>
      </c>
      <c r="AZ56" s="485">
        <f t="shared" si="151"/>
        <v>1.8953226472465181</v>
      </c>
      <c r="BA56" s="471"/>
      <c r="BC56" s="413">
        <f>BC53+BC52</f>
        <v>125.6</v>
      </c>
      <c r="BD56" s="485">
        <f t="shared" si="152"/>
        <v>2.1088332577780018</v>
      </c>
      <c r="BE56" s="471"/>
      <c r="BG56" s="413">
        <f>BG53+BG52</f>
        <v>150.13799999999998</v>
      </c>
      <c r="BH56" s="485">
        <f t="shared" si="153"/>
        <v>2.2005980124879074</v>
      </c>
      <c r="BI56" s="471"/>
      <c r="BK56" s="413">
        <f>BK53+BK52</f>
        <v>176.3</v>
      </c>
      <c r="BL56" s="485">
        <f t="shared" si="154"/>
        <v>2.268603708517237</v>
      </c>
      <c r="BM56" s="471"/>
      <c r="BO56" s="413">
        <f>BO53+BO52</f>
        <v>198.31799999999998</v>
      </c>
      <c r="BP56" s="485">
        <f t="shared" si="155"/>
        <v>2.1795356768487055</v>
      </c>
      <c r="BQ56" s="471"/>
      <c r="BS56" s="413">
        <f>BS53+BS52</f>
        <v>241.3</v>
      </c>
      <c r="BT56" s="485">
        <f t="shared" si="156"/>
        <v>2.5911409395973157</v>
      </c>
      <c r="BU56" s="471"/>
      <c r="BW56" s="413">
        <f>BW53+BW52</f>
        <v>278.49099999999999</v>
      </c>
      <c r="BX56" s="485">
        <f t="shared" si="157"/>
        <v>3.0811131176794229</v>
      </c>
      <c r="BY56" s="471"/>
      <c r="CA56" s="413">
        <f>CA53+CA52</f>
        <v>305</v>
      </c>
      <c r="CB56" s="485">
        <f t="shared" si="158"/>
        <v>3.1333470310252722</v>
      </c>
      <c r="CC56" s="471"/>
      <c r="CE56" s="413">
        <f>CE53+CE52</f>
        <v>396</v>
      </c>
      <c r="CF56" s="485">
        <f t="shared" si="159"/>
        <v>3.8611544461778475</v>
      </c>
      <c r="CG56" s="471"/>
      <c r="CI56" s="413">
        <f>CI53+CI52</f>
        <v>396</v>
      </c>
      <c r="CJ56" s="485">
        <f t="shared" si="160"/>
        <v>3.8098903213392341</v>
      </c>
      <c r="CK56" s="471"/>
      <c r="CM56" s="413">
        <f>CM53+CM52</f>
        <v>424</v>
      </c>
      <c r="CN56" s="485">
        <f t="shared" si="161"/>
        <v>3.9143279172821268</v>
      </c>
      <c r="CO56" s="471"/>
      <c r="CQ56" s="413">
        <f>CQ53+CQ52</f>
        <v>452</v>
      </c>
      <c r="CR56" s="485">
        <f t="shared" si="162"/>
        <v>4.2872047804230293</v>
      </c>
      <c r="CS56" s="471"/>
      <c r="CU56" s="413">
        <f>CU53+CU52</f>
        <v>448</v>
      </c>
      <c r="CV56" s="485">
        <f t="shared" si="163"/>
        <v>4.1826160022406871</v>
      </c>
      <c r="CW56" s="471"/>
      <c r="CY56" s="413">
        <f>CY53+CY52</f>
        <v>475</v>
      </c>
      <c r="CZ56" s="485">
        <f t="shared" si="167"/>
        <v>4.3924542260033288</v>
      </c>
      <c r="DA56" s="471"/>
      <c r="DC56" s="413">
        <f>DC53+DC52</f>
        <v>471</v>
      </c>
      <c r="DD56" s="485">
        <f t="shared" si="164"/>
        <v>4.4720850740600078</v>
      </c>
      <c r="DE56" s="471"/>
      <c r="DG56" s="413">
        <f>DG53+DG52</f>
        <v>510</v>
      </c>
      <c r="DH56" s="485">
        <f t="shared" si="165"/>
        <v>4.5912855599567877</v>
      </c>
      <c r="DI56" s="471"/>
      <c r="DJ56" s="471"/>
      <c r="DK56" s="413">
        <f>DK53+DK52</f>
        <v>475</v>
      </c>
      <c r="DL56" s="485">
        <f t="shared" si="166"/>
        <v>4.466982276989202</v>
      </c>
      <c r="DM56" s="471"/>
      <c r="DN56" s="471"/>
    </row>
    <row r="57" spans="1:122" outlineLevel="1" x14ac:dyDescent="0.2">
      <c r="A57" s="448"/>
      <c r="C57" s="413"/>
      <c r="D57" s="485"/>
      <c r="E57" s="470"/>
      <c r="F57" s="305"/>
      <c r="G57" s="413"/>
      <c r="H57" s="485"/>
      <c r="I57" s="470"/>
      <c r="K57" s="413"/>
      <c r="L57" s="485"/>
      <c r="M57" s="470"/>
      <c r="O57" s="413"/>
      <c r="P57" s="485"/>
      <c r="Q57" s="471"/>
      <c r="R57" s="305"/>
      <c r="S57" s="413"/>
      <c r="T57" s="485"/>
      <c r="U57" s="471"/>
      <c r="W57" s="413"/>
      <c r="X57" s="485"/>
      <c r="Y57" s="471"/>
      <c r="AA57" s="413"/>
      <c r="AB57" s="485"/>
      <c r="AC57" s="471"/>
      <c r="AE57" s="413"/>
      <c r="AF57" s="485"/>
      <c r="AG57" s="471"/>
      <c r="AI57" s="413"/>
      <c r="AJ57" s="485"/>
      <c r="AK57" s="471"/>
      <c r="AM57" s="413"/>
      <c r="AN57" s="485"/>
      <c r="AO57" s="471"/>
      <c r="AQ57" s="413"/>
      <c r="AR57" s="485"/>
      <c r="AS57" s="471"/>
      <c r="AU57" s="413"/>
      <c r="AV57" s="485"/>
      <c r="AW57" s="471"/>
      <c r="AY57" s="413"/>
      <c r="AZ57" s="485"/>
      <c r="BA57" s="471"/>
      <c r="BC57" s="413"/>
      <c r="BD57" s="485"/>
      <c r="BE57" s="471"/>
      <c r="BG57" s="413"/>
      <c r="BH57" s="485"/>
      <c r="BI57" s="471"/>
      <c r="BK57" s="413"/>
      <c r="BL57" s="485"/>
      <c r="BM57" s="471"/>
      <c r="BO57" s="413"/>
      <c r="BP57" s="485"/>
      <c r="BQ57" s="471"/>
      <c r="BS57" s="413"/>
      <c r="BT57" s="485"/>
      <c r="BU57" s="471"/>
      <c r="BW57" s="413"/>
      <c r="BX57" s="485"/>
      <c r="BY57" s="471"/>
      <c r="CA57" s="413"/>
      <c r="CB57" s="485"/>
      <c r="CC57" s="471"/>
      <c r="CE57" s="487"/>
      <c r="CF57" s="485"/>
      <c r="CG57" s="471"/>
      <c r="CI57" s="487"/>
      <c r="CJ57" s="485"/>
      <c r="CK57" s="471"/>
      <c r="CM57" s="487"/>
      <c r="CN57" s="485"/>
      <c r="CO57" s="471"/>
      <c r="CQ57" s="487"/>
      <c r="CS57" s="419"/>
      <c r="CU57" s="487"/>
      <c r="CW57" s="419"/>
      <c r="CY57" s="487"/>
      <c r="DA57" s="419"/>
      <c r="DC57" s="487"/>
      <c r="DE57" s="419"/>
      <c r="DG57" s="487"/>
      <c r="DI57" s="419"/>
      <c r="DJ57" s="419"/>
      <c r="DK57" s="487"/>
      <c r="DM57" s="419"/>
      <c r="DN57" s="419"/>
    </row>
    <row r="58" spans="1:122" ht="12.75" hidden="1" customHeight="1" outlineLevel="2" collapsed="1" x14ac:dyDescent="0.2">
      <c r="A58" s="462" t="s">
        <v>284</v>
      </c>
      <c r="B58" s="318"/>
      <c r="C58" s="463"/>
      <c r="D58" s="464"/>
      <c r="E58" s="464"/>
      <c r="F58" s="465"/>
      <c r="G58" s="463"/>
      <c r="H58" s="464"/>
      <c r="I58" s="464"/>
      <c r="J58" s="318"/>
      <c r="K58" s="463"/>
      <c r="L58" s="464"/>
      <c r="M58" s="464"/>
      <c r="N58" s="318"/>
      <c r="O58" s="463"/>
      <c r="P58" s="464"/>
      <c r="Q58" s="464"/>
      <c r="R58" s="465"/>
      <c r="S58" s="463"/>
      <c r="T58" s="464"/>
      <c r="U58" s="464"/>
      <c r="V58" s="318"/>
      <c r="W58" s="463"/>
      <c r="X58" s="464"/>
      <c r="Y58" s="464"/>
      <c r="Z58" s="318"/>
      <c r="AA58" s="463"/>
      <c r="AB58" s="464"/>
      <c r="AC58" s="464"/>
      <c r="AD58" s="318"/>
      <c r="AE58" s="463"/>
      <c r="AF58" s="464"/>
      <c r="AG58" s="464"/>
      <c r="AH58" s="318"/>
      <c r="AI58" s="463"/>
      <c r="AJ58" s="464"/>
      <c r="AK58" s="464"/>
      <c r="AL58" s="318"/>
      <c r="AM58" s="463"/>
      <c r="AN58" s="464"/>
      <c r="AO58" s="464"/>
      <c r="AP58" s="318"/>
      <c r="AQ58" s="463"/>
      <c r="AR58" s="464"/>
      <c r="AS58" s="464"/>
      <c r="AT58" s="318"/>
      <c r="AU58" s="463"/>
      <c r="AV58" s="464"/>
      <c r="AW58" s="464"/>
      <c r="AX58" s="318"/>
      <c r="AY58" s="463"/>
      <c r="AZ58" s="464"/>
      <c r="BA58" s="464"/>
      <c r="BB58" s="318"/>
      <c r="BC58" s="463"/>
      <c r="BD58" s="464"/>
      <c r="BE58" s="464"/>
      <c r="BF58" s="318"/>
      <c r="BG58" s="463"/>
      <c r="BH58" s="318"/>
      <c r="BI58" s="464"/>
      <c r="BJ58" s="318"/>
      <c r="BK58" s="463"/>
      <c r="BL58" s="318"/>
      <c r="BM58" s="318"/>
      <c r="BN58" s="318"/>
      <c r="BO58" s="463"/>
      <c r="BP58" s="318"/>
      <c r="BQ58" s="318"/>
      <c r="BR58" s="318"/>
      <c r="BS58" s="463"/>
      <c r="BT58" s="318"/>
      <c r="BU58" s="318"/>
      <c r="BV58" s="318"/>
      <c r="BW58" s="463"/>
      <c r="BX58" s="318"/>
      <c r="BY58" s="318"/>
      <c r="BZ58" s="318"/>
      <c r="CA58" s="463"/>
      <c r="CB58" s="318"/>
      <c r="CC58" s="318"/>
      <c r="CD58" s="318"/>
      <c r="CE58" s="463"/>
      <c r="CF58" s="318"/>
      <c r="CG58" s="318"/>
      <c r="CH58" s="318"/>
      <c r="CI58" s="463"/>
      <c r="CJ58" s="318"/>
      <c r="CK58" s="318"/>
      <c r="CL58" s="318"/>
      <c r="CM58" s="318"/>
      <c r="CN58" s="318"/>
      <c r="CO58" s="318"/>
      <c r="CP58" s="318"/>
      <c r="CQ58" s="318"/>
      <c r="CR58" s="318"/>
      <c r="CS58" s="318"/>
      <c r="CT58" s="318"/>
      <c r="CU58" s="318"/>
      <c r="CV58" s="318"/>
      <c r="CW58" s="318"/>
      <c r="CX58" s="318"/>
      <c r="CY58" s="318"/>
      <c r="CZ58" s="318"/>
      <c r="DA58" s="318"/>
      <c r="DB58" s="318"/>
      <c r="DC58" s="318"/>
      <c r="DD58" s="318"/>
      <c r="DE58" s="318"/>
      <c r="DF58" s="318"/>
      <c r="DG58" s="318"/>
      <c r="DH58" s="318"/>
      <c r="DI58" s="318"/>
      <c r="DJ58" s="318"/>
      <c r="DK58" s="318"/>
      <c r="DL58" s="318"/>
      <c r="DM58" s="318"/>
      <c r="DN58" s="318"/>
      <c r="DO58" s="303" t="s">
        <v>232</v>
      </c>
      <c r="DP58" s="318"/>
    </row>
    <row r="59" spans="1:122" ht="12.75" hidden="1" customHeight="1" outlineLevel="2" x14ac:dyDescent="0.2">
      <c r="C59" s="413"/>
      <c r="D59" s="459"/>
      <c r="E59" s="459"/>
      <c r="F59" s="305"/>
      <c r="G59" s="413"/>
      <c r="H59" s="459"/>
      <c r="I59" s="459"/>
      <c r="K59" s="413"/>
      <c r="L59" s="459"/>
      <c r="M59" s="459"/>
      <c r="O59" s="413"/>
      <c r="P59" s="459"/>
      <c r="Q59" s="459"/>
      <c r="R59" s="305"/>
      <c r="S59" s="413"/>
      <c r="T59" s="459"/>
      <c r="U59" s="459"/>
      <c r="W59" s="413"/>
      <c r="X59" s="459"/>
      <c r="Y59" s="459"/>
      <c r="AA59" s="413"/>
      <c r="AB59" s="459"/>
      <c r="AC59" s="459"/>
      <c r="AE59" s="413"/>
      <c r="AF59" s="459"/>
      <c r="AG59" s="459"/>
      <c r="AI59" s="413"/>
      <c r="AJ59" s="459"/>
      <c r="AK59" s="459"/>
      <c r="AM59" s="413"/>
      <c r="AN59" s="459"/>
      <c r="AO59" s="459"/>
      <c r="AQ59" s="413"/>
      <c r="AR59" s="459"/>
      <c r="AS59" s="459"/>
      <c r="AU59" s="413"/>
      <c r="AV59" s="459"/>
      <c r="AW59" s="459"/>
      <c r="AY59" s="413"/>
      <c r="AZ59" s="459"/>
      <c r="BA59" s="459"/>
      <c r="BC59" s="413"/>
      <c r="BD59" s="459"/>
      <c r="BE59" s="459"/>
      <c r="BG59" s="413"/>
      <c r="BI59" s="459"/>
      <c r="BK59" s="413"/>
      <c r="BO59" s="413"/>
      <c r="BS59" s="413"/>
      <c r="BW59" s="413"/>
      <c r="CA59" s="413"/>
      <c r="CE59" s="413"/>
      <c r="CI59" s="413"/>
      <c r="DO59" s="303" t="s">
        <v>232</v>
      </c>
    </row>
    <row r="60" spans="1:122" ht="12.75" hidden="1" customHeight="1" outlineLevel="2" x14ac:dyDescent="0.2">
      <c r="A60" s="448" t="s">
        <v>89</v>
      </c>
      <c r="C60" s="468">
        <v>1.2609999999999999</v>
      </c>
      <c r="D60" s="485"/>
      <c r="E60" s="470"/>
      <c r="F60" s="305"/>
      <c r="G60" s="468">
        <v>1.2609999999999999</v>
      </c>
      <c r="H60" s="485"/>
      <c r="I60" s="470"/>
      <c r="K60" s="468">
        <v>1.2609999999999999</v>
      </c>
      <c r="L60" s="485"/>
      <c r="M60" s="470"/>
      <c r="O60" s="468">
        <v>1.2609999999999999</v>
      </c>
      <c r="P60" s="485"/>
      <c r="Q60" s="470"/>
      <c r="R60" s="305"/>
      <c r="S60" s="468">
        <v>1.2609999999999999</v>
      </c>
      <c r="T60" s="485"/>
      <c r="U60" s="470"/>
      <c r="W60" s="468">
        <v>1.2609999999999999</v>
      </c>
      <c r="X60" s="485"/>
      <c r="Y60" s="470"/>
      <c r="AA60" s="468">
        <v>1.34</v>
      </c>
      <c r="AB60" s="485"/>
      <c r="AC60" s="470"/>
      <c r="AE60" s="468">
        <v>1.34</v>
      </c>
      <c r="AF60" s="485"/>
      <c r="AG60" s="470"/>
      <c r="AI60" s="468">
        <v>1.34</v>
      </c>
      <c r="AJ60" s="485"/>
      <c r="AK60" s="470"/>
      <c r="AM60" s="468">
        <v>1.34</v>
      </c>
      <c r="AN60" s="485"/>
      <c r="AO60" s="470"/>
      <c r="AQ60" s="468">
        <v>1.34</v>
      </c>
      <c r="AR60" s="485"/>
      <c r="AS60" s="470"/>
      <c r="AU60" s="468">
        <v>1.34</v>
      </c>
      <c r="AV60" s="485"/>
      <c r="AW60" s="470"/>
      <c r="AY60" s="468">
        <v>0</v>
      </c>
      <c r="AZ60" s="485"/>
      <c r="BA60" s="470"/>
      <c r="BC60" s="468">
        <v>0</v>
      </c>
      <c r="BD60" s="485"/>
      <c r="BE60" s="470"/>
      <c r="BG60" s="468">
        <v>0</v>
      </c>
      <c r="BH60" s="485"/>
      <c r="BI60" s="470"/>
      <c r="BK60" s="468">
        <v>0</v>
      </c>
      <c r="BL60" s="485"/>
      <c r="BM60" s="470"/>
      <c r="BO60" s="468">
        <v>0</v>
      </c>
      <c r="BP60" s="485"/>
      <c r="BQ60" s="470"/>
      <c r="BS60" s="468">
        <v>0</v>
      </c>
      <c r="BT60" s="485"/>
      <c r="BU60" s="470"/>
      <c r="BW60" s="468">
        <v>0</v>
      </c>
      <c r="BX60" s="485"/>
      <c r="BY60" s="470"/>
      <c r="CA60" s="468">
        <v>0</v>
      </c>
      <c r="CB60" s="485"/>
      <c r="CC60" s="470"/>
      <c r="CE60" s="468">
        <v>0</v>
      </c>
      <c r="CF60" s="485"/>
      <c r="CG60" s="470"/>
      <c r="CI60" s="468">
        <v>0</v>
      </c>
      <c r="CJ60" s="485"/>
      <c r="CK60" s="470"/>
      <c r="CM60" s="468">
        <v>0</v>
      </c>
      <c r="CN60" s="485"/>
      <c r="CO60" s="470"/>
      <c r="CQ60" s="468">
        <v>0</v>
      </c>
      <c r="CR60" s="485"/>
      <c r="CS60" s="470"/>
      <c r="CU60" s="468">
        <v>0</v>
      </c>
      <c r="CV60" s="485"/>
      <c r="CW60" s="470"/>
      <c r="CY60" s="468">
        <v>0</v>
      </c>
      <c r="CZ60" s="485"/>
      <c r="DA60" s="470"/>
      <c r="DC60" s="468">
        <v>0</v>
      </c>
      <c r="DD60" s="485"/>
      <c r="DE60" s="470"/>
      <c r="DG60" s="468">
        <v>0</v>
      </c>
      <c r="DH60" s="485"/>
      <c r="DI60" s="470"/>
      <c r="DJ60" s="470"/>
      <c r="DK60" s="473">
        <v>0</v>
      </c>
      <c r="DL60" s="485"/>
      <c r="DM60" s="470"/>
      <c r="DN60" s="470"/>
      <c r="DO60" s="303" t="s">
        <v>232</v>
      </c>
    </row>
    <row r="61" spans="1:122" ht="12.75" hidden="1" customHeight="1" outlineLevel="2" x14ac:dyDescent="0.2">
      <c r="A61" s="448" t="s">
        <v>90</v>
      </c>
      <c r="C61" s="472">
        <v>1.2609999999999999</v>
      </c>
      <c r="D61" s="485"/>
      <c r="E61" s="470"/>
      <c r="F61" s="305"/>
      <c r="G61" s="472">
        <v>1.2609999999999999</v>
      </c>
      <c r="H61" s="485"/>
      <c r="I61" s="470"/>
      <c r="K61" s="472">
        <v>1.2609999999999999</v>
      </c>
      <c r="L61" s="485"/>
      <c r="M61" s="470"/>
      <c r="O61" s="472">
        <v>1.2609999999999999</v>
      </c>
      <c r="P61" s="485"/>
      <c r="Q61" s="470"/>
      <c r="R61" s="305"/>
      <c r="S61" s="472">
        <v>1.2609999999999999</v>
      </c>
      <c r="T61" s="485"/>
      <c r="U61" s="470"/>
      <c r="W61" s="472">
        <v>1.2609999999999999</v>
      </c>
      <c r="X61" s="485"/>
      <c r="Y61" s="470"/>
      <c r="AA61" s="472">
        <v>1.3</v>
      </c>
      <c r="AB61" s="485"/>
      <c r="AC61" s="470"/>
      <c r="AE61" s="472">
        <v>1.34</v>
      </c>
      <c r="AF61" s="485"/>
      <c r="AG61" s="470"/>
      <c r="AI61" s="472">
        <v>1.34</v>
      </c>
      <c r="AJ61" s="485"/>
      <c r="AK61" s="470"/>
      <c r="AM61" s="472">
        <v>1.34</v>
      </c>
      <c r="AN61" s="485"/>
      <c r="AO61" s="470"/>
      <c r="AQ61" s="472">
        <v>1.34</v>
      </c>
      <c r="AR61" s="485"/>
      <c r="AS61" s="470"/>
      <c r="AU61" s="472">
        <v>1.34</v>
      </c>
      <c r="AV61" s="485"/>
      <c r="AW61" s="470"/>
      <c r="AY61" s="472">
        <v>0</v>
      </c>
      <c r="AZ61" s="485"/>
      <c r="BA61" s="470"/>
      <c r="BC61" s="472">
        <v>0</v>
      </c>
      <c r="BD61" s="485"/>
      <c r="BE61" s="470"/>
      <c r="BG61" s="472">
        <v>0</v>
      </c>
      <c r="BH61" s="485"/>
      <c r="BI61" s="470"/>
      <c r="BK61" s="472">
        <v>0</v>
      </c>
      <c r="BL61" s="485"/>
      <c r="BM61" s="470"/>
      <c r="BO61" s="472">
        <v>0</v>
      </c>
      <c r="BP61" s="485"/>
      <c r="BQ61" s="470"/>
      <c r="BS61" s="472">
        <v>0</v>
      </c>
      <c r="BT61" s="485"/>
      <c r="BU61" s="470"/>
      <c r="BW61" s="472">
        <v>0</v>
      </c>
      <c r="BX61" s="485"/>
      <c r="BY61" s="470"/>
      <c r="CA61" s="472">
        <v>0</v>
      </c>
      <c r="CB61" s="485"/>
      <c r="CC61" s="470"/>
      <c r="CE61" s="472">
        <v>0</v>
      </c>
      <c r="CF61" s="485"/>
      <c r="CG61" s="470"/>
      <c r="CI61" s="472">
        <v>0</v>
      </c>
      <c r="CJ61" s="485"/>
      <c r="CK61" s="470"/>
      <c r="CM61" s="472">
        <v>0</v>
      </c>
      <c r="CN61" s="485"/>
      <c r="CO61" s="470"/>
      <c r="CQ61" s="472">
        <v>0</v>
      </c>
      <c r="CR61" s="485"/>
      <c r="CS61" s="470"/>
      <c r="CU61" s="472">
        <v>0</v>
      </c>
      <c r="CV61" s="485"/>
      <c r="CW61" s="470"/>
      <c r="CY61" s="472">
        <v>0</v>
      </c>
      <c r="CZ61" s="485"/>
      <c r="DA61" s="470"/>
      <c r="DC61" s="472">
        <v>0</v>
      </c>
      <c r="DD61" s="485"/>
      <c r="DE61" s="470"/>
      <c r="DG61" s="472">
        <v>0</v>
      </c>
      <c r="DH61" s="485"/>
      <c r="DI61" s="470"/>
      <c r="DJ61" s="470"/>
      <c r="DK61" s="473">
        <v>0</v>
      </c>
      <c r="DL61" s="485"/>
      <c r="DM61" s="470"/>
      <c r="DN61" s="470"/>
      <c r="DO61" s="303" t="s">
        <v>232</v>
      </c>
    </row>
    <row r="62" spans="1:122" ht="12.75" hidden="1" customHeight="1" outlineLevel="2" x14ac:dyDescent="0.2">
      <c r="A62" s="448" t="s">
        <v>91</v>
      </c>
      <c r="C62" s="472">
        <v>1.2609999999999999</v>
      </c>
      <c r="D62" s="485"/>
      <c r="E62" s="470"/>
      <c r="F62" s="305"/>
      <c r="G62" s="472">
        <v>1.2609999999999999</v>
      </c>
      <c r="H62" s="485"/>
      <c r="I62" s="470"/>
      <c r="K62" s="472">
        <v>1.2609999999999999</v>
      </c>
      <c r="L62" s="485"/>
      <c r="M62" s="470"/>
      <c r="O62" s="472">
        <v>1.2609999999999999</v>
      </c>
      <c r="P62" s="485"/>
      <c r="Q62" s="470"/>
      <c r="R62" s="305"/>
      <c r="S62" s="472">
        <v>1.2609999999999999</v>
      </c>
      <c r="T62" s="485"/>
      <c r="U62" s="470"/>
      <c r="W62" s="472">
        <v>1.2609999999999999</v>
      </c>
      <c r="X62" s="485"/>
      <c r="Y62" s="470"/>
      <c r="AA62" s="472">
        <v>1.34</v>
      </c>
      <c r="AB62" s="485"/>
      <c r="AC62" s="470"/>
      <c r="AE62" s="472">
        <v>1.34</v>
      </c>
      <c r="AF62" s="485"/>
      <c r="AG62" s="470"/>
      <c r="AI62" s="472">
        <v>1.34</v>
      </c>
      <c r="AJ62" s="485"/>
      <c r="AK62" s="470"/>
      <c r="AM62" s="472">
        <v>1.34</v>
      </c>
      <c r="AN62" s="485"/>
      <c r="AO62" s="470"/>
      <c r="AQ62" s="472">
        <v>1.34</v>
      </c>
      <c r="AR62" s="485"/>
      <c r="AS62" s="470"/>
      <c r="AU62" s="472">
        <v>1.34</v>
      </c>
      <c r="AV62" s="485"/>
      <c r="AW62" s="470"/>
      <c r="AY62" s="472">
        <v>0</v>
      </c>
      <c r="AZ62" s="485"/>
      <c r="BA62" s="470"/>
      <c r="BC62" s="472">
        <v>0</v>
      </c>
      <c r="BD62" s="485"/>
      <c r="BE62" s="470"/>
      <c r="BG62" s="472">
        <v>0</v>
      </c>
      <c r="BH62" s="485"/>
      <c r="BI62" s="470"/>
      <c r="BK62" s="472">
        <v>0</v>
      </c>
      <c r="BL62" s="485"/>
      <c r="BM62" s="470"/>
      <c r="BO62" s="472">
        <v>0</v>
      </c>
      <c r="BP62" s="485"/>
      <c r="BQ62" s="470"/>
      <c r="BS62" s="472">
        <v>0</v>
      </c>
      <c r="BT62" s="485"/>
      <c r="BU62" s="470"/>
      <c r="BW62" s="472">
        <v>0</v>
      </c>
      <c r="BX62" s="485"/>
      <c r="BY62" s="470"/>
      <c r="CA62" s="472">
        <v>0</v>
      </c>
      <c r="CB62" s="485"/>
      <c r="CC62" s="470"/>
      <c r="CE62" s="472">
        <v>0</v>
      </c>
      <c r="CF62" s="485"/>
      <c r="CG62" s="470"/>
      <c r="CI62" s="472">
        <v>0</v>
      </c>
      <c r="CJ62" s="485"/>
      <c r="CK62" s="470"/>
      <c r="CM62" s="488">
        <v>0</v>
      </c>
      <c r="CN62" s="485"/>
      <c r="CO62" s="470"/>
      <c r="CQ62" s="472">
        <v>0</v>
      </c>
      <c r="CR62" s="485"/>
      <c r="CS62" s="470"/>
      <c r="CU62" s="472">
        <v>0</v>
      </c>
      <c r="CV62" s="485"/>
      <c r="CW62" s="470"/>
      <c r="CY62" s="472">
        <v>0</v>
      </c>
      <c r="CZ62" s="485"/>
      <c r="DA62" s="470"/>
      <c r="DC62" s="472">
        <v>0</v>
      </c>
      <c r="DD62" s="485"/>
      <c r="DE62" s="470"/>
      <c r="DG62" s="472">
        <v>0</v>
      </c>
      <c r="DH62" s="485"/>
      <c r="DI62" s="470"/>
      <c r="DJ62" s="470"/>
      <c r="DK62" s="473">
        <v>0</v>
      </c>
      <c r="DL62" s="485"/>
      <c r="DM62" s="470"/>
      <c r="DN62" s="470"/>
      <c r="DO62" s="303" t="s">
        <v>232</v>
      </c>
    </row>
    <row r="63" spans="1:122" ht="12.75" hidden="1" customHeight="1" outlineLevel="2" x14ac:dyDescent="0.2">
      <c r="A63" s="448" t="s">
        <v>92</v>
      </c>
      <c r="C63" s="474">
        <v>1.2609999999999999</v>
      </c>
      <c r="D63" s="485"/>
      <c r="E63" s="470"/>
      <c r="F63" s="305"/>
      <c r="G63" s="474">
        <v>1.262</v>
      </c>
      <c r="H63" s="485"/>
      <c r="I63" s="470"/>
      <c r="K63" s="474">
        <v>1.262</v>
      </c>
      <c r="L63" s="485"/>
      <c r="M63" s="470"/>
      <c r="O63" s="474">
        <v>1.3</v>
      </c>
      <c r="P63" s="485"/>
      <c r="Q63" s="470"/>
      <c r="R63" s="305"/>
      <c r="S63" s="474">
        <v>1.2609999999999999</v>
      </c>
      <c r="T63" s="485"/>
      <c r="U63" s="470"/>
      <c r="W63" s="474">
        <v>1.2609999999999999</v>
      </c>
      <c r="X63" s="485"/>
      <c r="Y63" s="470"/>
      <c r="AA63" s="474">
        <v>1.34</v>
      </c>
      <c r="AB63" s="485"/>
      <c r="AC63" s="470"/>
      <c r="AE63" s="474">
        <v>1.34</v>
      </c>
      <c r="AF63" s="485"/>
      <c r="AG63" s="470"/>
      <c r="AI63" s="474">
        <v>1.34</v>
      </c>
      <c r="AJ63" s="485"/>
      <c r="AK63" s="470"/>
      <c r="AM63" s="474">
        <v>1.34</v>
      </c>
      <c r="AN63" s="485"/>
      <c r="AO63" s="470"/>
      <c r="AQ63" s="474">
        <v>1.34</v>
      </c>
      <c r="AR63" s="485"/>
      <c r="AS63" s="470"/>
      <c r="AU63" s="474">
        <v>1.3</v>
      </c>
      <c r="AV63" s="485"/>
      <c r="AW63" s="470"/>
      <c r="AY63" s="474">
        <v>0</v>
      </c>
      <c r="AZ63" s="485"/>
      <c r="BA63" s="470"/>
      <c r="BC63" s="474">
        <v>0</v>
      </c>
      <c r="BD63" s="485"/>
      <c r="BE63" s="470"/>
      <c r="BG63" s="474">
        <v>0</v>
      </c>
      <c r="BH63" s="485"/>
      <c r="BI63" s="470"/>
      <c r="BK63" s="474">
        <v>0</v>
      </c>
      <c r="BL63" s="485"/>
      <c r="BM63" s="470"/>
      <c r="BO63" s="474">
        <v>0</v>
      </c>
      <c r="BP63" s="485"/>
      <c r="BQ63" s="470"/>
      <c r="BS63" s="474">
        <v>0</v>
      </c>
      <c r="BT63" s="485"/>
      <c r="BU63" s="470"/>
      <c r="BW63" s="474">
        <v>0</v>
      </c>
      <c r="BX63" s="485"/>
      <c r="BY63" s="470"/>
      <c r="CA63" s="474">
        <v>0</v>
      </c>
      <c r="CB63" s="485"/>
      <c r="CC63" s="470"/>
      <c r="CE63" s="474">
        <v>0</v>
      </c>
      <c r="CF63" s="485"/>
      <c r="CG63" s="470"/>
      <c r="CI63" s="474">
        <v>0</v>
      </c>
      <c r="CJ63" s="485"/>
      <c r="CK63" s="470"/>
      <c r="CM63" s="481">
        <v>0</v>
      </c>
      <c r="CN63" s="485"/>
      <c r="CO63" s="470"/>
      <c r="CQ63" s="474">
        <v>0</v>
      </c>
      <c r="CR63" s="485"/>
      <c r="CS63" s="470"/>
      <c r="CU63" s="474">
        <v>0</v>
      </c>
      <c r="CV63" s="485"/>
      <c r="CW63" s="470"/>
      <c r="CY63" s="474">
        <v>0</v>
      </c>
      <c r="CZ63" s="485"/>
      <c r="DA63" s="470"/>
      <c r="DC63" s="474">
        <v>0</v>
      </c>
      <c r="DD63" s="485"/>
      <c r="DE63" s="470"/>
      <c r="DG63" s="475">
        <v>0</v>
      </c>
      <c r="DH63" s="485"/>
      <c r="DI63" s="470"/>
      <c r="DJ63" s="470"/>
      <c r="DK63" s="475">
        <v>0</v>
      </c>
      <c r="DL63" s="485"/>
      <c r="DM63" s="470"/>
      <c r="DN63" s="470"/>
      <c r="DO63" s="303" t="s">
        <v>232</v>
      </c>
      <c r="DR63" s="413"/>
    </row>
    <row r="64" spans="1:122" ht="12.75" hidden="1" customHeight="1" outlineLevel="2" x14ac:dyDescent="0.2">
      <c r="A64" s="448" t="s">
        <v>93</v>
      </c>
      <c r="C64" s="319">
        <f>SUM(C60:C63)</f>
        <v>5.0439999999999996</v>
      </c>
      <c r="D64" s="485"/>
      <c r="E64" s="470"/>
      <c r="F64" s="305"/>
      <c r="G64" s="319">
        <f>SUM(G60:G63)</f>
        <v>5.0449999999999999</v>
      </c>
      <c r="H64" s="485"/>
      <c r="I64" s="470"/>
      <c r="K64" s="319">
        <v>5.1559999999999997</v>
      </c>
      <c r="L64" s="485"/>
      <c r="M64" s="470"/>
      <c r="O64" s="319">
        <f>SUM(O60:O63)</f>
        <v>5.0829999999999993</v>
      </c>
      <c r="P64" s="485"/>
      <c r="Q64" s="470"/>
      <c r="R64" s="305"/>
      <c r="S64" s="319">
        <f>SUM(S60:S63)</f>
        <v>5.0439999999999996</v>
      </c>
      <c r="T64" s="485"/>
      <c r="U64" s="470"/>
      <c r="W64" s="319">
        <f>SUM(W60:W63)</f>
        <v>5.0439999999999996</v>
      </c>
      <c r="X64" s="485"/>
      <c r="Y64" s="470"/>
      <c r="AA64" s="319">
        <f>SUM(AA60:AA63)</f>
        <v>5.32</v>
      </c>
      <c r="AB64" s="485"/>
      <c r="AC64" s="470"/>
      <c r="AE64" s="319">
        <f>SUM(AE60:AE63)</f>
        <v>5.36</v>
      </c>
      <c r="AF64" s="485"/>
      <c r="AG64" s="470"/>
      <c r="AI64" s="319">
        <f>SUM(AI60:AI63)</f>
        <v>5.36</v>
      </c>
      <c r="AJ64" s="485"/>
      <c r="AK64" s="470"/>
      <c r="AM64" s="319">
        <v>5.2</v>
      </c>
      <c r="AN64" s="485"/>
      <c r="AO64" s="470"/>
      <c r="AQ64" s="319">
        <f>SUM(AQ60:AQ63)</f>
        <v>5.36</v>
      </c>
      <c r="AR64" s="485"/>
      <c r="AS64" s="470"/>
      <c r="AU64" s="319">
        <f>SUM(AU60:AU63)</f>
        <v>5.32</v>
      </c>
      <c r="AV64" s="485"/>
      <c r="AW64" s="470"/>
      <c r="AY64" s="319">
        <f>SUM(AY60:AY63)</f>
        <v>0</v>
      </c>
      <c r="AZ64" s="485"/>
      <c r="BA64" s="470"/>
      <c r="BC64" s="319">
        <f>SUM(BC60:BC63)</f>
        <v>0</v>
      </c>
      <c r="BD64" s="485"/>
      <c r="BE64" s="470"/>
      <c r="BG64" s="319">
        <f>SUM(BG60:BG63)</f>
        <v>0</v>
      </c>
      <c r="BH64" s="485"/>
      <c r="BI64" s="470"/>
      <c r="BK64" s="319">
        <f>SUM(BK60:BK63)</f>
        <v>0</v>
      </c>
      <c r="BL64" s="485"/>
      <c r="BM64" s="470"/>
      <c r="BO64" s="319">
        <f>SUM(BO60:BO63)</f>
        <v>0</v>
      </c>
      <c r="BP64" s="485"/>
      <c r="BQ64" s="470"/>
      <c r="BS64" s="319">
        <f>SUM(BS60:BS63)</f>
        <v>0</v>
      </c>
      <c r="BT64" s="485"/>
      <c r="BU64" s="470"/>
      <c r="BW64" s="319">
        <f>SUM(BW60:BW63)</f>
        <v>0</v>
      </c>
      <c r="BX64" s="485"/>
      <c r="BY64" s="470"/>
      <c r="CA64" s="319">
        <f>SUM(CA60:CA63)</f>
        <v>0</v>
      </c>
      <c r="CB64" s="485"/>
      <c r="CC64" s="470"/>
      <c r="CE64" s="319">
        <f>SUM(CE60:CE63)</f>
        <v>0</v>
      </c>
      <c r="CF64" s="485"/>
      <c r="CG64" s="470"/>
      <c r="CI64" s="319">
        <f>SUM(CI60:CI63)</f>
        <v>0</v>
      </c>
      <c r="CJ64" s="485"/>
      <c r="CK64" s="470"/>
      <c r="CM64" s="489">
        <f>SUM(CM60:CM63)</f>
        <v>0</v>
      </c>
      <c r="CN64" s="485"/>
      <c r="CO64" s="470"/>
      <c r="CQ64" s="489">
        <f>SUM(CQ60:CQ63)</f>
        <v>0</v>
      </c>
      <c r="CR64" s="485"/>
      <c r="CS64" s="470"/>
      <c r="CU64" s="489">
        <f>SUM(CU60:CU63)</f>
        <v>0</v>
      </c>
      <c r="CV64" s="485"/>
      <c r="CW64" s="470"/>
      <c r="CY64" s="489">
        <f>SUM(CY60:CY63)</f>
        <v>0</v>
      </c>
      <c r="CZ64" s="485"/>
      <c r="DA64" s="470"/>
      <c r="DC64" s="489">
        <f>SUM(DC60:DC63)</f>
        <v>0</v>
      </c>
      <c r="DD64" s="485"/>
      <c r="DE64" s="470"/>
      <c r="DG64" s="489">
        <f>SUM(DG60:DG63)</f>
        <v>0</v>
      </c>
      <c r="DH64" s="485"/>
      <c r="DI64" s="470"/>
      <c r="DJ64" s="470"/>
      <c r="DK64" s="489">
        <f>SUM(DK60:DK63)</f>
        <v>0</v>
      </c>
      <c r="DL64" s="485"/>
      <c r="DM64" s="470"/>
      <c r="DN64" s="470"/>
      <c r="DO64" s="303" t="s">
        <v>232</v>
      </c>
    </row>
    <row r="65" spans="1:211" ht="12.75" hidden="1" customHeight="1" outlineLevel="2" x14ac:dyDescent="0.2">
      <c r="A65" s="448" t="s">
        <v>467</v>
      </c>
      <c r="C65" s="413">
        <f>C60+C61</f>
        <v>2.5219999999999998</v>
      </c>
      <c r="D65" s="485"/>
      <c r="E65" s="470"/>
      <c r="F65" s="305"/>
      <c r="G65" s="413">
        <f>G60+G61</f>
        <v>2.5219999999999998</v>
      </c>
      <c r="H65" s="485"/>
      <c r="I65" s="470"/>
      <c r="K65" s="413">
        <f>K60+K61</f>
        <v>2.5219999999999998</v>
      </c>
      <c r="L65" s="485"/>
      <c r="M65" s="470"/>
      <c r="O65" s="413">
        <f>O60+O61</f>
        <v>2.5219999999999998</v>
      </c>
      <c r="P65" s="485"/>
      <c r="Q65" s="471"/>
      <c r="R65" s="305"/>
      <c r="S65" s="413">
        <f>S60+S61</f>
        <v>2.5219999999999998</v>
      </c>
      <c r="T65" s="485"/>
      <c r="U65" s="471"/>
      <c r="W65" s="413">
        <f>W60+W61</f>
        <v>2.5219999999999998</v>
      </c>
      <c r="X65" s="485"/>
      <c r="Y65" s="471"/>
      <c r="AA65" s="413">
        <f>AA60+AA61</f>
        <v>2.64</v>
      </c>
      <c r="AB65" s="485"/>
      <c r="AC65" s="470"/>
      <c r="AE65" s="413">
        <f>AE60+AE61</f>
        <v>2.68</v>
      </c>
      <c r="AF65" s="485"/>
      <c r="AG65" s="471"/>
      <c r="AH65" s="305"/>
      <c r="AI65" s="413">
        <f>AI60+AI61</f>
        <v>2.68</v>
      </c>
      <c r="AJ65" s="485"/>
      <c r="AK65" s="471"/>
      <c r="AM65" s="413">
        <f>AM60+AM61</f>
        <v>2.68</v>
      </c>
      <c r="AN65" s="485"/>
      <c r="AO65" s="471"/>
      <c r="AQ65" s="413">
        <f>AQ60+AQ61</f>
        <v>2.68</v>
      </c>
      <c r="AR65" s="485"/>
      <c r="AS65" s="471"/>
      <c r="AU65" s="413">
        <f>AU60+AU61</f>
        <v>2.68</v>
      </c>
      <c r="AV65" s="485"/>
      <c r="AW65" s="471"/>
      <c r="AY65" s="413">
        <f>AY60+AY61</f>
        <v>0</v>
      </c>
      <c r="AZ65" s="485"/>
      <c r="BA65" s="471"/>
      <c r="BC65" s="413">
        <f>BC60+BC61</f>
        <v>0</v>
      </c>
      <c r="BD65" s="485"/>
      <c r="BE65" s="471"/>
      <c r="BG65" s="413">
        <f>BG60+BG61</f>
        <v>0</v>
      </c>
      <c r="BH65" s="485"/>
      <c r="BI65" s="471"/>
      <c r="BK65" s="413">
        <f>BK60+BK61</f>
        <v>0</v>
      </c>
      <c r="BL65" s="485"/>
      <c r="BM65" s="471"/>
      <c r="BO65" s="413">
        <f>BO60+BO61</f>
        <v>0</v>
      </c>
      <c r="BP65" s="485"/>
      <c r="BQ65" s="471"/>
      <c r="BS65" s="413">
        <f>BS60+BS61</f>
        <v>0</v>
      </c>
      <c r="BT65" s="485"/>
      <c r="BU65" s="471"/>
      <c r="BW65" s="413">
        <f>BW60+BW61</f>
        <v>0</v>
      </c>
      <c r="BX65" s="485"/>
      <c r="BY65" s="471"/>
      <c r="CA65" s="413">
        <f>CA60+CA61</f>
        <v>0</v>
      </c>
      <c r="CB65" s="485"/>
      <c r="CC65" s="471"/>
      <c r="CE65" s="413">
        <f>CE60+CE61</f>
        <v>0</v>
      </c>
      <c r="CF65" s="485"/>
      <c r="CG65" s="471"/>
      <c r="CI65" s="413">
        <f>CI60+CI61</f>
        <v>0</v>
      </c>
      <c r="CJ65" s="485"/>
      <c r="CK65" s="471"/>
      <c r="CM65" s="413">
        <f>CM60+CM61</f>
        <v>0</v>
      </c>
      <c r="CN65" s="485"/>
      <c r="CO65" s="471"/>
      <c r="CQ65" s="413">
        <f>CQ60+CQ61</f>
        <v>0</v>
      </c>
      <c r="CR65" s="485"/>
      <c r="CS65" s="471"/>
      <c r="CU65" s="413">
        <f>CU60+CU61</f>
        <v>0</v>
      </c>
      <c r="CV65" s="485"/>
      <c r="CW65" s="471"/>
      <c r="CY65" s="413">
        <f>CY60+CY61</f>
        <v>0</v>
      </c>
      <c r="CZ65" s="485"/>
      <c r="DA65" s="471"/>
      <c r="DC65" s="413">
        <f>DC60+DC61</f>
        <v>0</v>
      </c>
      <c r="DD65" s="485"/>
      <c r="DE65" s="471"/>
      <c r="DG65" s="413">
        <f>DG60+DG61</f>
        <v>0</v>
      </c>
      <c r="DH65" s="485"/>
      <c r="DI65" s="471"/>
      <c r="DJ65" s="471"/>
      <c r="DK65" s="413">
        <f>DK60+DK61</f>
        <v>0</v>
      </c>
      <c r="DL65" s="485"/>
      <c r="DM65" s="471"/>
      <c r="DN65" s="471"/>
      <c r="DO65" s="303" t="s">
        <v>232</v>
      </c>
    </row>
    <row r="66" spans="1:211" ht="12.75" hidden="1" customHeight="1" outlineLevel="2" x14ac:dyDescent="0.2">
      <c r="A66" s="448" t="s">
        <v>468</v>
      </c>
      <c r="C66" s="413">
        <f>C63+C62</f>
        <v>2.5219999999999998</v>
      </c>
      <c r="D66" s="485"/>
      <c r="E66" s="470"/>
      <c r="F66" s="305"/>
      <c r="G66" s="413">
        <f>G63+G62</f>
        <v>2.5229999999999997</v>
      </c>
      <c r="H66" s="485"/>
      <c r="I66" s="470"/>
      <c r="K66" s="413">
        <f>K63+K62</f>
        <v>2.5229999999999997</v>
      </c>
      <c r="L66" s="485"/>
      <c r="M66" s="470"/>
      <c r="O66" s="413">
        <f>O63+O62</f>
        <v>2.5609999999999999</v>
      </c>
      <c r="P66" s="485"/>
      <c r="Q66" s="471"/>
      <c r="R66" s="305"/>
      <c r="S66" s="413">
        <f>S63+S62</f>
        <v>2.5219999999999998</v>
      </c>
      <c r="T66" s="485"/>
      <c r="U66" s="471"/>
      <c r="W66" s="413">
        <f>W63+W62</f>
        <v>2.5219999999999998</v>
      </c>
      <c r="X66" s="485"/>
      <c r="Y66" s="471"/>
      <c r="AA66" s="413">
        <f>AA63+AA62</f>
        <v>2.68</v>
      </c>
      <c r="AB66" s="485"/>
      <c r="AC66" s="470"/>
      <c r="AE66" s="413">
        <f>AE63+AE62</f>
        <v>2.68</v>
      </c>
      <c r="AF66" s="485"/>
      <c r="AG66" s="471"/>
      <c r="AH66" s="305"/>
      <c r="AI66" s="413">
        <f>AI63+AI62</f>
        <v>2.68</v>
      </c>
      <c r="AJ66" s="485"/>
      <c r="AK66" s="471"/>
      <c r="AM66" s="413">
        <f>AM63+AM62</f>
        <v>2.68</v>
      </c>
      <c r="AN66" s="485"/>
      <c r="AO66" s="471"/>
      <c r="AQ66" s="413">
        <f>AQ63+AQ62</f>
        <v>2.68</v>
      </c>
      <c r="AR66" s="485"/>
      <c r="AS66" s="471"/>
      <c r="AU66" s="413">
        <f>AU63+AU62</f>
        <v>2.64</v>
      </c>
      <c r="AV66" s="485"/>
      <c r="AW66" s="471"/>
      <c r="AY66" s="413">
        <f>AY63+AY62</f>
        <v>0</v>
      </c>
      <c r="AZ66" s="485"/>
      <c r="BA66" s="471"/>
      <c r="BC66" s="413">
        <f>BC63+BC62</f>
        <v>0</v>
      </c>
      <c r="BD66" s="485"/>
      <c r="BE66" s="471"/>
      <c r="BG66" s="413">
        <f>BG63+BG62</f>
        <v>0</v>
      </c>
      <c r="BH66" s="485"/>
      <c r="BI66" s="471"/>
      <c r="BK66" s="413">
        <f>BK63+BK62</f>
        <v>0</v>
      </c>
      <c r="BL66" s="485"/>
      <c r="BM66" s="471"/>
      <c r="BO66" s="413">
        <f>BO63+BO62</f>
        <v>0</v>
      </c>
      <c r="BP66" s="485"/>
      <c r="BQ66" s="471"/>
      <c r="BS66" s="413">
        <f>BS63+BS62</f>
        <v>0</v>
      </c>
      <c r="BT66" s="485"/>
      <c r="BU66" s="471"/>
      <c r="BW66" s="413">
        <f>BW63+BW62</f>
        <v>0</v>
      </c>
      <c r="BX66" s="485"/>
      <c r="BY66" s="471"/>
      <c r="CA66" s="413">
        <f>CA63+CA62</f>
        <v>0</v>
      </c>
      <c r="CB66" s="485"/>
      <c r="CC66" s="471"/>
      <c r="CE66" s="413">
        <f>CE63+CE62</f>
        <v>0</v>
      </c>
      <c r="CF66" s="485"/>
      <c r="CG66" s="471"/>
      <c r="CI66" s="413">
        <f>CI63+CI62</f>
        <v>0</v>
      </c>
      <c r="CJ66" s="485"/>
      <c r="CK66" s="471"/>
      <c r="CM66" s="413">
        <f>CM63+CM62</f>
        <v>0</v>
      </c>
      <c r="CN66" s="485"/>
      <c r="CO66" s="471"/>
      <c r="CQ66" s="413">
        <f>CQ63+CQ62</f>
        <v>0</v>
      </c>
      <c r="CR66" s="485"/>
      <c r="CS66" s="471"/>
      <c r="CU66" s="413">
        <f>CU63+CU62</f>
        <v>0</v>
      </c>
      <c r="CV66" s="485"/>
      <c r="CW66" s="471"/>
      <c r="CY66" s="413">
        <f>CY63+CY62</f>
        <v>0</v>
      </c>
      <c r="CZ66" s="485"/>
      <c r="DA66" s="471"/>
      <c r="DC66" s="413">
        <f>DC63+DC62</f>
        <v>0</v>
      </c>
      <c r="DD66" s="485"/>
      <c r="DE66" s="471"/>
      <c r="DG66" s="413">
        <f>DG63+DG62</f>
        <v>0</v>
      </c>
      <c r="DH66" s="485"/>
      <c r="DI66" s="471"/>
      <c r="DJ66" s="471"/>
      <c r="DK66" s="413">
        <f>DK63+DK62</f>
        <v>0</v>
      </c>
      <c r="DL66" s="485"/>
      <c r="DM66" s="471"/>
      <c r="DN66" s="471"/>
      <c r="DO66" s="303" t="s">
        <v>232</v>
      </c>
    </row>
    <row r="67" spans="1:211" ht="12.75" hidden="1" customHeight="1" outlineLevel="2" x14ac:dyDescent="0.2">
      <c r="A67" s="448"/>
      <c r="C67" s="413"/>
      <c r="D67" s="485"/>
      <c r="E67" s="470"/>
      <c r="F67" s="305"/>
      <c r="G67" s="413"/>
      <c r="H67" s="485"/>
      <c r="I67" s="470"/>
      <c r="K67" s="413"/>
      <c r="L67" s="485"/>
      <c r="M67" s="470"/>
      <c r="O67" s="413"/>
      <c r="P67" s="485"/>
      <c r="Q67" s="471"/>
      <c r="R67" s="305"/>
      <c r="S67" s="413"/>
      <c r="T67" s="485"/>
      <c r="U67" s="471"/>
      <c r="W67" s="413"/>
      <c r="X67" s="485"/>
      <c r="Y67" s="471"/>
      <c r="AA67" s="413"/>
      <c r="AB67" s="485"/>
      <c r="AC67" s="471"/>
      <c r="AE67" s="413"/>
      <c r="AF67" s="485"/>
      <c r="AG67" s="471"/>
      <c r="AI67" s="413"/>
      <c r="AJ67" s="485"/>
      <c r="AK67" s="471"/>
      <c r="AM67" s="413"/>
      <c r="AN67" s="485"/>
      <c r="AO67" s="471"/>
      <c r="AQ67" s="413"/>
      <c r="AR67" s="485"/>
      <c r="AS67" s="471"/>
      <c r="AU67" s="413"/>
      <c r="AV67" s="485"/>
      <c r="AW67" s="471"/>
      <c r="AY67" s="413"/>
      <c r="AZ67" s="485"/>
      <c r="BA67" s="471"/>
      <c r="BC67" s="413"/>
      <c r="BD67" s="485"/>
      <c r="BE67" s="471"/>
      <c r="BG67" s="413"/>
      <c r="BH67" s="485"/>
      <c r="BI67" s="471"/>
      <c r="BK67" s="413"/>
      <c r="BL67" s="485"/>
      <c r="BM67" s="471"/>
      <c r="BO67" s="413"/>
      <c r="BP67" s="485"/>
      <c r="BQ67" s="471"/>
      <c r="BS67" s="413"/>
      <c r="BT67" s="485"/>
      <c r="BU67" s="471"/>
      <c r="BW67" s="413"/>
      <c r="BX67" s="485"/>
      <c r="BY67" s="471"/>
      <c r="CA67" s="413"/>
      <c r="CB67" s="485"/>
      <c r="CC67" s="471"/>
      <c r="CE67" s="413"/>
      <c r="CF67" s="485"/>
      <c r="CG67" s="471"/>
      <c r="CI67" s="413"/>
      <c r="CJ67" s="485"/>
      <c r="CK67" s="471"/>
      <c r="CM67" s="490"/>
      <c r="CN67" s="485"/>
      <c r="CO67" s="471"/>
      <c r="CQ67" s="490"/>
      <c r="CR67" s="485"/>
      <c r="CS67" s="471"/>
      <c r="CU67" s="490"/>
      <c r="CV67" s="485"/>
      <c r="CW67" s="471"/>
      <c r="CY67" s="490"/>
      <c r="CZ67" s="485"/>
      <c r="DA67" s="471"/>
      <c r="DC67" s="490"/>
      <c r="DD67" s="485"/>
      <c r="DE67" s="471"/>
      <c r="DG67" s="490"/>
      <c r="DH67" s="485"/>
      <c r="DI67" s="471"/>
      <c r="DJ67" s="471"/>
      <c r="DK67" s="490"/>
      <c r="DL67" s="485"/>
      <c r="DM67" s="471"/>
      <c r="DN67" s="471"/>
      <c r="DO67" s="303" t="s">
        <v>232</v>
      </c>
    </row>
    <row r="68" spans="1:211" ht="12.75" hidden="1" customHeight="1" outlineLevel="2" x14ac:dyDescent="0.2">
      <c r="A68" s="462" t="s">
        <v>285</v>
      </c>
      <c r="B68" s="318"/>
      <c r="C68" s="463"/>
      <c r="D68" s="464"/>
      <c r="E68" s="464"/>
      <c r="F68" s="465"/>
      <c r="G68" s="463"/>
      <c r="H68" s="464"/>
      <c r="I68" s="464"/>
      <c r="J68" s="318"/>
      <c r="K68" s="463"/>
      <c r="L68" s="318"/>
      <c r="M68" s="318"/>
      <c r="N68" s="318"/>
      <c r="O68" s="463"/>
      <c r="P68" s="318"/>
      <c r="Q68" s="318"/>
      <c r="R68" s="465"/>
      <c r="S68" s="463"/>
      <c r="T68" s="318"/>
      <c r="U68" s="318"/>
      <c r="V68" s="318"/>
      <c r="W68" s="463"/>
      <c r="X68" s="318"/>
      <c r="Y68" s="318"/>
      <c r="Z68" s="318"/>
      <c r="AA68" s="463"/>
      <c r="AB68" s="318"/>
      <c r="AC68" s="318"/>
      <c r="AD68" s="318"/>
      <c r="AE68" s="463"/>
      <c r="AF68" s="318"/>
      <c r="AG68" s="318"/>
      <c r="AH68" s="318"/>
      <c r="AI68" s="463"/>
      <c r="AJ68" s="318"/>
      <c r="AK68" s="318"/>
      <c r="AL68" s="318"/>
      <c r="AM68" s="463"/>
      <c r="AN68" s="318"/>
      <c r="AO68" s="318"/>
      <c r="AP68" s="318"/>
      <c r="AQ68" s="463"/>
      <c r="AR68" s="318"/>
      <c r="AS68" s="318"/>
      <c r="AT68" s="318"/>
      <c r="AU68" s="463"/>
      <c r="AV68" s="318"/>
      <c r="AW68" s="318"/>
      <c r="AX68" s="318"/>
      <c r="AY68" s="463"/>
      <c r="AZ68" s="318"/>
      <c r="BA68" s="318"/>
      <c r="BB68" s="318"/>
      <c r="BC68" s="463"/>
      <c r="BD68" s="318"/>
      <c r="BE68" s="318"/>
      <c r="BF68" s="318"/>
      <c r="BG68" s="463"/>
      <c r="BH68" s="318"/>
      <c r="BI68" s="318"/>
      <c r="BJ68" s="318"/>
      <c r="BK68" s="463"/>
      <c r="BL68" s="318"/>
      <c r="BM68" s="318"/>
      <c r="BN68" s="318"/>
      <c r="BO68" s="463"/>
      <c r="BP68" s="318"/>
      <c r="BQ68" s="318"/>
      <c r="BR68" s="318"/>
      <c r="BS68" s="463"/>
      <c r="BT68" s="318"/>
      <c r="BU68" s="318"/>
      <c r="BV68" s="318"/>
      <c r="BW68" s="463"/>
      <c r="BX68" s="318"/>
      <c r="BY68" s="318"/>
      <c r="BZ68" s="318"/>
      <c r="CA68" s="463"/>
      <c r="CB68" s="318"/>
      <c r="CC68" s="318"/>
      <c r="CD68" s="318"/>
      <c r="CE68" s="463"/>
      <c r="CF68" s="318"/>
      <c r="CG68" s="318"/>
      <c r="CH68" s="318"/>
      <c r="CI68" s="463"/>
      <c r="CJ68" s="318"/>
      <c r="CK68" s="318"/>
      <c r="CL68" s="318"/>
      <c r="CM68" s="318"/>
      <c r="CN68" s="318"/>
      <c r="CO68" s="318"/>
      <c r="CP68" s="318"/>
      <c r="CQ68" s="318"/>
      <c r="CR68" s="318"/>
      <c r="CS68" s="318"/>
      <c r="CT68" s="318"/>
      <c r="CU68" s="318"/>
      <c r="CV68" s="318"/>
      <c r="CW68" s="318"/>
      <c r="CX68" s="318"/>
      <c r="CY68" s="318"/>
      <c r="CZ68" s="318"/>
      <c r="DA68" s="318"/>
      <c r="DB68" s="318"/>
      <c r="DC68" s="318"/>
      <c r="DD68" s="318"/>
      <c r="DE68" s="318"/>
      <c r="DF68" s="318"/>
      <c r="DG68" s="318"/>
      <c r="DH68" s="318"/>
      <c r="DI68" s="318"/>
      <c r="DJ68" s="318"/>
      <c r="DK68" s="318"/>
      <c r="DL68" s="318"/>
      <c r="DM68" s="318"/>
      <c r="DN68" s="318"/>
      <c r="DO68" s="303" t="s">
        <v>232</v>
      </c>
      <c r="DP68" s="318"/>
    </row>
    <row r="69" spans="1:211" ht="12.75" hidden="1" customHeight="1" outlineLevel="2" x14ac:dyDescent="0.2">
      <c r="C69" s="413"/>
      <c r="D69" s="459"/>
      <c r="E69" s="459"/>
      <c r="F69" s="305"/>
      <c r="G69" s="413"/>
      <c r="H69" s="459"/>
      <c r="I69" s="459"/>
      <c r="K69" s="413"/>
      <c r="O69" s="413"/>
      <c r="R69" s="305"/>
      <c r="S69" s="413"/>
      <c r="W69" s="413"/>
      <c r="AA69" s="413"/>
      <c r="AE69" s="413"/>
      <c r="AI69" s="413"/>
      <c r="AM69" s="413"/>
      <c r="AQ69" s="413"/>
      <c r="AU69" s="413"/>
      <c r="AY69" s="413"/>
      <c r="BC69" s="413"/>
      <c r="BG69" s="413"/>
      <c r="BK69" s="413"/>
      <c r="BO69" s="413"/>
      <c r="BS69" s="413"/>
      <c r="BW69" s="413"/>
      <c r="CA69" s="413"/>
      <c r="CE69" s="413"/>
      <c r="CI69" s="413"/>
      <c r="DO69" s="303" t="s">
        <v>232</v>
      </c>
    </row>
    <row r="70" spans="1:211" ht="12.75" hidden="1" customHeight="1" outlineLevel="2" x14ac:dyDescent="0.2">
      <c r="A70" s="448" t="s">
        <v>89</v>
      </c>
      <c r="C70" s="468">
        <v>0.9</v>
      </c>
      <c r="D70" s="485"/>
      <c r="E70" s="470"/>
      <c r="F70" s="305"/>
      <c r="G70" s="468">
        <v>1.2</v>
      </c>
      <c r="H70" s="485"/>
      <c r="I70" s="470"/>
      <c r="K70" s="468">
        <v>1.2</v>
      </c>
      <c r="L70" s="485"/>
      <c r="M70" s="470"/>
      <c r="O70" s="468">
        <v>0.94799999999999995</v>
      </c>
      <c r="P70" s="485"/>
      <c r="Q70" s="470"/>
      <c r="R70" s="305"/>
      <c r="S70" s="468">
        <v>0.5</v>
      </c>
      <c r="T70" s="485"/>
      <c r="U70" s="470"/>
      <c r="W70" s="468">
        <v>1.1040000000000001</v>
      </c>
      <c r="X70" s="485"/>
      <c r="Y70" s="470"/>
      <c r="AA70" s="468">
        <v>1.171</v>
      </c>
      <c r="AB70" s="485"/>
      <c r="AC70" s="470"/>
      <c r="AE70" s="468">
        <v>1.5009999999999999</v>
      </c>
      <c r="AF70" s="485"/>
      <c r="AG70" s="470"/>
      <c r="AI70" s="468">
        <v>1.861</v>
      </c>
      <c r="AJ70" s="485"/>
      <c r="AK70" s="470"/>
      <c r="AM70" s="468">
        <v>1.363</v>
      </c>
      <c r="AN70" s="485"/>
      <c r="AO70" s="470"/>
      <c r="AQ70" s="468">
        <v>1.8440000000000001</v>
      </c>
      <c r="AR70" s="485"/>
      <c r="AS70" s="470"/>
      <c r="AU70" s="468">
        <v>1.786</v>
      </c>
      <c r="AV70" s="485"/>
      <c r="AW70" s="470"/>
      <c r="AY70" s="468">
        <v>2.2429999999999999</v>
      </c>
      <c r="AZ70" s="485"/>
      <c r="BA70" s="470"/>
      <c r="BC70" s="468">
        <v>0</v>
      </c>
      <c r="BD70" s="485"/>
      <c r="BE70" s="470"/>
      <c r="BG70" s="468">
        <v>0</v>
      </c>
      <c r="BH70" s="485"/>
      <c r="BI70" s="470"/>
      <c r="BK70" s="468">
        <v>0</v>
      </c>
      <c r="BL70" s="485"/>
      <c r="BM70" s="470"/>
      <c r="BO70" s="468">
        <v>0</v>
      </c>
      <c r="BP70" s="485"/>
      <c r="BQ70" s="470"/>
      <c r="BS70" s="468">
        <v>0</v>
      </c>
      <c r="BT70" s="485"/>
      <c r="BU70" s="470"/>
      <c r="BW70" s="468">
        <v>0</v>
      </c>
      <c r="BX70" s="485"/>
      <c r="BY70" s="470"/>
      <c r="CA70" s="468">
        <v>0</v>
      </c>
      <c r="CB70" s="485"/>
      <c r="CC70" s="470"/>
      <c r="CE70" s="468">
        <v>0</v>
      </c>
      <c r="CF70" s="485"/>
      <c r="CG70" s="470"/>
      <c r="CI70" s="468">
        <v>0</v>
      </c>
      <c r="CJ70" s="485"/>
      <c r="CK70" s="470"/>
      <c r="CM70" s="468">
        <v>0</v>
      </c>
      <c r="CN70" s="485"/>
      <c r="CO70" s="470"/>
      <c r="CQ70" s="468">
        <v>0</v>
      </c>
      <c r="CR70" s="485"/>
      <c r="CS70" s="470"/>
      <c r="CU70" s="468">
        <v>0</v>
      </c>
      <c r="CV70" s="485"/>
      <c r="CW70" s="470"/>
      <c r="CY70" s="468">
        <v>0</v>
      </c>
      <c r="CZ70" s="485"/>
      <c r="DA70" s="470"/>
      <c r="DC70" s="468">
        <v>0</v>
      </c>
      <c r="DD70" s="485"/>
      <c r="DE70" s="470"/>
      <c r="DG70" s="468">
        <v>0</v>
      </c>
      <c r="DH70" s="485"/>
      <c r="DI70" s="470"/>
      <c r="DJ70" s="470"/>
      <c r="DK70" s="473">
        <v>0</v>
      </c>
      <c r="DL70" s="485"/>
      <c r="DM70" s="470"/>
      <c r="DN70" s="470"/>
      <c r="DO70" s="303" t="s">
        <v>232</v>
      </c>
    </row>
    <row r="71" spans="1:211" ht="12.75" hidden="1" customHeight="1" outlineLevel="2" x14ac:dyDescent="0.2">
      <c r="A71" s="448" t="s">
        <v>90</v>
      </c>
      <c r="C71" s="472">
        <v>0.7</v>
      </c>
      <c r="D71" s="485"/>
      <c r="E71" s="470"/>
      <c r="F71" s="305"/>
      <c r="G71" s="472">
        <v>0.9</v>
      </c>
      <c r="H71" s="485"/>
      <c r="I71" s="470"/>
      <c r="K71" s="472">
        <v>1.2</v>
      </c>
      <c r="L71" s="485"/>
      <c r="M71" s="470"/>
      <c r="O71" s="472">
        <v>0.9</v>
      </c>
      <c r="P71" s="485"/>
      <c r="Q71" s="470"/>
      <c r="R71" s="305"/>
      <c r="S71" s="472">
        <v>0.873</v>
      </c>
      <c r="T71" s="485"/>
      <c r="U71" s="470"/>
      <c r="W71" s="472">
        <v>1.0900000000000001</v>
      </c>
      <c r="X71" s="485"/>
      <c r="Y71" s="470"/>
      <c r="AA71" s="472">
        <v>1.1839999999999999</v>
      </c>
      <c r="AB71" s="485"/>
      <c r="AC71" s="470"/>
      <c r="AE71" s="472">
        <v>1.56</v>
      </c>
      <c r="AF71" s="485"/>
      <c r="AG71" s="470"/>
      <c r="AI71" s="472">
        <v>1.8968750000000001</v>
      </c>
      <c r="AJ71" s="485"/>
      <c r="AK71" s="470"/>
      <c r="AM71" s="472">
        <v>1.409</v>
      </c>
      <c r="AN71" s="485"/>
      <c r="AO71" s="470"/>
      <c r="AQ71" s="472">
        <v>1.8839999999999999</v>
      </c>
      <c r="AR71" s="485"/>
      <c r="AS71" s="470"/>
      <c r="AU71" s="472">
        <v>1.819</v>
      </c>
      <c r="AV71" s="485"/>
      <c r="AW71" s="470"/>
      <c r="AY71" s="472">
        <v>2.2999999999999998</v>
      </c>
      <c r="AZ71" s="485"/>
      <c r="BA71" s="470"/>
      <c r="BC71" s="472">
        <v>0</v>
      </c>
      <c r="BD71" s="485"/>
      <c r="BE71" s="470"/>
      <c r="BG71" s="472">
        <v>0</v>
      </c>
      <c r="BH71" s="485"/>
      <c r="BI71" s="470"/>
      <c r="BK71" s="472">
        <v>0</v>
      </c>
      <c r="BL71" s="485"/>
      <c r="BM71" s="470"/>
      <c r="BO71" s="472">
        <v>0</v>
      </c>
      <c r="BP71" s="485"/>
      <c r="BQ71" s="470"/>
      <c r="BS71" s="472">
        <v>0</v>
      </c>
      <c r="BT71" s="485"/>
      <c r="BU71" s="470"/>
      <c r="BW71" s="472">
        <v>0</v>
      </c>
      <c r="BX71" s="485"/>
      <c r="BY71" s="470"/>
      <c r="CA71" s="472">
        <v>0</v>
      </c>
      <c r="CB71" s="485"/>
      <c r="CC71" s="470"/>
      <c r="CE71" s="472">
        <v>0</v>
      </c>
      <c r="CF71" s="485"/>
      <c r="CG71" s="470"/>
      <c r="CI71" s="472">
        <v>0</v>
      </c>
      <c r="CJ71" s="485"/>
      <c r="CK71" s="470"/>
      <c r="CM71" s="472">
        <v>0</v>
      </c>
      <c r="CN71" s="485"/>
      <c r="CO71" s="470"/>
      <c r="CQ71" s="472">
        <v>0</v>
      </c>
      <c r="CR71" s="485"/>
      <c r="CS71" s="470"/>
      <c r="CU71" s="472">
        <v>0</v>
      </c>
      <c r="CV71" s="485"/>
      <c r="CW71" s="470"/>
      <c r="CY71" s="472">
        <v>0</v>
      </c>
      <c r="CZ71" s="485"/>
      <c r="DA71" s="470"/>
      <c r="DC71" s="472">
        <v>0</v>
      </c>
      <c r="DD71" s="485"/>
      <c r="DE71" s="470"/>
      <c r="DG71" s="472">
        <v>0</v>
      </c>
      <c r="DH71" s="485"/>
      <c r="DI71" s="470"/>
      <c r="DJ71" s="470"/>
      <c r="DK71" s="473">
        <v>0</v>
      </c>
      <c r="DL71" s="485"/>
      <c r="DM71" s="470"/>
      <c r="DN71" s="470"/>
      <c r="DO71" s="303" t="s">
        <v>232</v>
      </c>
    </row>
    <row r="72" spans="1:211" ht="12.75" hidden="1" customHeight="1" outlineLevel="2" x14ac:dyDescent="0.2">
      <c r="A72" s="448" t="s">
        <v>91</v>
      </c>
      <c r="C72" s="472">
        <v>1.25</v>
      </c>
      <c r="D72" s="485"/>
      <c r="E72" s="470"/>
      <c r="F72" s="305"/>
      <c r="G72" s="472">
        <v>-4.2590000000000003</v>
      </c>
      <c r="H72" s="485"/>
      <c r="I72" s="470"/>
      <c r="K72" s="472">
        <v>-2.6619999999999999</v>
      </c>
      <c r="L72" s="485"/>
      <c r="M72" s="470"/>
      <c r="O72" s="472">
        <v>0.44</v>
      </c>
      <c r="P72" s="485"/>
      <c r="Q72" s="470"/>
      <c r="R72" s="305"/>
      <c r="S72" s="472">
        <v>1.0149999999999999</v>
      </c>
      <c r="T72" s="485"/>
      <c r="U72" s="470"/>
      <c r="W72" s="472">
        <v>1.464</v>
      </c>
      <c r="X72" s="485"/>
      <c r="Y72" s="470"/>
      <c r="AA72" s="472">
        <v>1.4950000000000001</v>
      </c>
      <c r="AB72" s="485"/>
      <c r="AC72" s="470"/>
      <c r="AE72" s="472">
        <v>1.895</v>
      </c>
      <c r="AF72" s="485"/>
      <c r="AG72" s="470"/>
      <c r="AI72" s="472">
        <v>1.9</v>
      </c>
      <c r="AJ72" s="485"/>
      <c r="AK72" s="470"/>
      <c r="AM72" s="472">
        <v>1.651</v>
      </c>
      <c r="AN72" s="485"/>
      <c r="AO72" s="470"/>
      <c r="AQ72" s="472">
        <v>2.1680000000000001</v>
      </c>
      <c r="AR72" s="485"/>
      <c r="AS72" s="470"/>
      <c r="AU72" s="472">
        <v>2.1120000000000001</v>
      </c>
      <c r="AV72" s="485"/>
      <c r="AW72" s="470"/>
      <c r="AY72" s="472">
        <v>2.6</v>
      </c>
      <c r="AZ72" s="485"/>
      <c r="BA72" s="470"/>
      <c r="BC72" s="472">
        <v>0</v>
      </c>
      <c r="BD72" s="485"/>
      <c r="BE72" s="470"/>
      <c r="BG72" s="472">
        <v>0</v>
      </c>
      <c r="BH72" s="485"/>
      <c r="BI72" s="470"/>
      <c r="BK72" s="472">
        <v>0</v>
      </c>
      <c r="BL72" s="485"/>
      <c r="BM72" s="470"/>
      <c r="BO72" s="472">
        <v>0</v>
      </c>
      <c r="BP72" s="485"/>
      <c r="BQ72" s="470"/>
      <c r="BS72" s="472">
        <v>0</v>
      </c>
      <c r="BT72" s="485"/>
      <c r="BU72" s="470"/>
      <c r="BW72" s="472">
        <v>0</v>
      </c>
      <c r="BX72" s="485"/>
      <c r="BY72" s="470"/>
      <c r="CA72" s="472">
        <v>0</v>
      </c>
      <c r="CB72" s="485"/>
      <c r="CC72" s="470"/>
      <c r="CE72" s="472">
        <v>0</v>
      </c>
      <c r="CF72" s="485"/>
      <c r="CG72" s="470"/>
      <c r="CI72" s="472">
        <v>0</v>
      </c>
      <c r="CJ72" s="485"/>
      <c r="CK72" s="470"/>
      <c r="CM72" s="486">
        <v>0</v>
      </c>
      <c r="CN72" s="485"/>
      <c r="CO72" s="470"/>
      <c r="CQ72" s="472">
        <v>0</v>
      </c>
      <c r="CR72" s="485"/>
      <c r="CS72" s="470"/>
      <c r="CU72" s="472">
        <v>0</v>
      </c>
      <c r="CV72" s="485"/>
      <c r="CW72" s="470"/>
      <c r="CY72" s="472">
        <v>0</v>
      </c>
      <c r="CZ72" s="485"/>
      <c r="DA72" s="470"/>
      <c r="DC72" s="472">
        <v>0</v>
      </c>
      <c r="DD72" s="485"/>
      <c r="DE72" s="470"/>
      <c r="DG72" s="472">
        <v>0</v>
      </c>
      <c r="DH72" s="485"/>
      <c r="DI72" s="470"/>
      <c r="DJ72" s="470"/>
      <c r="DK72" s="473">
        <v>0</v>
      </c>
      <c r="DL72" s="485"/>
      <c r="DM72" s="470"/>
      <c r="DN72" s="470"/>
      <c r="DO72" s="303" t="s">
        <v>232</v>
      </c>
    </row>
    <row r="73" spans="1:211" ht="12.75" hidden="1" customHeight="1" outlineLevel="2" x14ac:dyDescent="0.2">
      <c r="A73" s="448" t="s">
        <v>92</v>
      </c>
      <c r="C73" s="474">
        <v>0.95</v>
      </c>
      <c r="D73" s="485"/>
      <c r="E73" s="470"/>
      <c r="F73" s="305"/>
      <c r="G73" s="474">
        <v>0.45</v>
      </c>
      <c r="H73" s="485"/>
      <c r="I73" s="470"/>
      <c r="K73" s="474">
        <v>-1.498</v>
      </c>
      <c r="L73" s="485"/>
      <c r="M73" s="470"/>
      <c r="O73" s="474">
        <v>-1.9279999999999999</v>
      </c>
      <c r="P73" s="485"/>
      <c r="Q73" s="470"/>
      <c r="R73" s="305"/>
      <c r="S73" s="474">
        <v>-3.2</v>
      </c>
      <c r="T73" s="485"/>
      <c r="U73" s="470"/>
      <c r="W73" s="474">
        <v>-5.056</v>
      </c>
      <c r="X73" s="485"/>
      <c r="Y73" s="470"/>
      <c r="AA73" s="474">
        <v>1.4</v>
      </c>
      <c r="AB73" s="485"/>
      <c r="AC73" s="470"/>
      <c r="AE73" s="474">
        <v>-5.0490000000000004</v>
      </c>
      <c r="AF73" s="485"/>
      <c r="AG73" s="470"/>
      <c r="AI73" s="474">
        <v>-8.5190000000000001</v>
      </c>
      <c r="AJ73" s="485"/>
      <c r="AK73" s="470"/>
      <c r="AM73" s="474">
        <v>-3.36</v>
      </c>
      <c r="AN73" s="485"/>
      <c r="AO73" s="470"/>
      <c r="AQ73" s="474">
        <v>-4.0279999999999996</v>
      </c>
      <c r="AR73" s="485"/>
      <c r="AS73" s="470"/>
      <c r="AU73" s="474">
        <v>-3.4580000000000002</v>
      </c>
      <c r="AV73" s="485"/>
      <c r="AW73" s="470"/>
      <c r="AY73" s="474">
        <v>-9.2490000000000006</v>
      </c>
      <c r="AZ73" s="485"/>
      <c r="BA73" s="470"/>
      <c r="BC73" s="474">
        <v>-5</v>
      </c>
      <c r="BD73" s="485"/>
      <c r="BE73" s="470"/>
      <c r="BG73" s="474">
        <v>0</v>
      </c>
      <c r="BH73" s="485"/>
      <c r="BI73" s="470"/>
      <c r="BK73" s="474">
        <v>0</v>
      </c>
      <c r="BL73" s="485"/>
      <c r="BM73" s="470"/>
      <c r="BO73" s="474">
        <v>0</v>
      </c>
      <c r="BP73" s="485"/>
      <c r="BQ73" s="470"/>
      <c r="BS73" s="474">
        <v>0</v>
      </c>
      <c r="BT73" s="485"/>
      <c r="BU73" s="470"/>
      <c r="BW73" s="474">
        <v>0</v>
      </c>
      <c r="BX73" s="485"/>
      <c r="BY73" s="470"/>
      <c r="CA73" s="474">
        <v>0</v>
      </c>
      <c r="CB73" s="485"/>
      <c r="CC73" s="470"/>
      <c r="CE73" s="474">
        <v>0</v>
      </c>
      <c r="CF73" s="485"/>
      <c r="CG73" s="470"/>
      <c r="CI73" s="474">
        <v>0</v>
      </c>
      <c r="CJ73" s="485"/>
      <c r="CK73" s="470"/>
      <c r="CM73" s="481">
        <v>0</v>
      </c>
      <c r="CN73" s="485"/>
      <c r="CO73" s="470"/>
      <c r="CQ73" s="474">
        <v>0</v>
      </c>
      <c r="CR73" s="485"/>
      <c r="CS73" s="470"/>
      <c r="CU73" s="474">
        <v>0</v>
      </c>
      <c r="CV73" s="485"/>
      <c r="CW73" s="470"/>
      <c r="CY73" s="474">
        <v>0</v>
      </c>
      <c r="CZ73" s="485"/>
      <c r="DA73" s="470"/>
      <c r="DC73" s="474">
        <v>0</v>
      </c>
      <c r="DD73" s="485"/>
      <c r="DE73" s="470"/>
      <c r="DG73" s="475">
        <v>0</v>
      </c>
      <c r="DH73" s="485"/>
      <c r="DI73" s="470"/>
      <c r="DJ73" s="470"/>
      <c r="DK73" s="475">
        <v>0</v>
      </c>
      <c r="DL73" s="485"/>
      <c r="DM73" s="470"/>
      <c r="DN73" s="470"/>
      <c r="DO73" s="303" t="s">
        <v>232</v>
      </c>
      <c r="DR73" s="413"/>
    </row>
    <row r="74" spans="1:211" ht="12.75" hidden="1" customHeight="1" outlineLevel="2" x14ac:dyDescent="0.2">
      <c r="A74" s="448" t="s">
        <v>93</v>
      </c>
      <c r="C74" s="319">
        <f>SUM(C70:C73)</f>
        <v>3.8</v>
      </c>
      <c r="D74" s="485"/>
      <c r="E74" s="470"/>
      <c r="F74" s="305"/>
      <c r="G74" s="319">
        <f>SUM(G70:G73)</f>
        <v>-1.7090000000000003</v>
      </c>
      <c r="H74" s="485"/>
      <c r="I74" s="470"/>
      <c r="K74" s="319">
        <v>-1.76</v>
      </c>
      <c r="L74" s="485"/>
      <c r="M74" s="470"/>
      <c r="O74" s="319">
        <f>SUM(O70:O73)</f>
        <v>0.35999999999999988</v>
      </c>
      <c r="P74" s="485"/>
      <c r="Q74" s="470"/>
      <c r="R74" s="305"/>
      <c r="S74" s="319">
        <f>SUM(S70:S73)</f>
        <v>-0.81200000000000028</v>
      </c>
      <c r="T74" s="485"/>
      <c r="U74" s="470"/>
      <c r="W74" s="319">
        <f>SUM(W70:W73)</f>
        <v>-1.3980000000000001</v>
      </c>
      <c r="X74" s="485"/>
      <c r="Y74" s="470"/>
      <c r="AA74" s="319">
        <f>SUM(AA70:AA73)</f>
        <v>5.25</v>
      </c>
      <c r="AB74" s="485"/>
      <c r="AC74" s="470"/>
      <c r="AE74" s="319">
        <f>SUM(AE70:AE73)</f>
        <v>-9.300000000000086E-2</v>
      </c>
      <c r="AF74" s="485"/>
      <c r="AG74" s="470"/>
      <c r="AI74" s="319">
        <f>SUM(AI70:AI73)</f>
        <v>-2.8611249999999995</v>
      </c>
      <c r="AJ74" s="485"/>
      <c r="AK74" s="470"/>
      <c r="AM74" s="319">
        <v>-1.1000000000000001</v>
      </c>
      <c r="AN74" s="485"/>
      <c r="AO74" s="470"/>
      <c r="AQ74" s="319">
        <f>SUM(AQ70:AQ73)</f>
        <v>1.8680000000000003</v>
      </c>
      <c r="AR74" s="485"/>
      <c r="AS74" s="470"/>
      <c r="AU74" s="319">
        <f>SUM(AU70:AU73)</f>
        <v>2.2590000000000003</v>
      </c>
      <c r="AV74" s="485"/>
      <c r="AW74" s="470"/>
      <c r="AY74" s="319">
        <v>-2.1060000000000016</v>
      </c>
      <c r="AZ74" s="485"/>
      <c r="BA74" s="470"/>
      <c r="BC74" s="319">
        <v>-5</v>
      </c>
      <c r="BD74" s="485"/>
      <c r="BE74" s="470"/>
      <c r="BG74" s="319">
        <f>SUM(BG70:BG73)</f>
        <v>0</v>
      </c>
      <c r="BH74" s="485"/>
      <c r="BI74" s="470"/>
      <c r="BK74" s="319">
        <f>SUM(BK70:BK73)</f>
        <v>0</v>
      </c>
      <c r="BL74" s="485"/>
      <c r="BM74" s="470"/>
      <c r="BO74" s="319">
        <f>SUM(BO70:BO73)</f>
        <v>0</v>
      </c>
      <c r="BP74" s="485"/>
      <c r="BQ74" s="470"/>
      <c r="BS74" s="319">
        <f>SUM(BS70:BS73)</f>
        <v>0</v>
      </c>
      <c r="BT74" s="485"/>
      <c r="BU74" s="470"/>
      <c r="BW74" s="319">
        <f>SUM(BW70:BW73)</f>
        <v>0</v>
      </c>
      <c r="BX74" s="485"/>
      <c r="BY74" s="470"/>
      <c r="CA74" s="319">
        <f>SUM(CA70:CA73)</f>
        <v>0</v>
      </c>
      <c r="CB74" s="485"/>
      <c r="CC74" s="470"/>
      <c r="CE74" s="319">
        <f>SUM(CE70:CE73)</f>
        <v>0</v>
      </c>
      <c r="CF74" s="485"/>
      <c r="CG74" s="470"/>
      <c r="CI74" s="319">
        <f>SUM(CI70:CI73)</f>
        <v>0</v>
      </c>
      <c r="CJ74" s="485"/>
      <c r="CK74" s="470"/>
      <c r="CM74" s="489">
        <f>SUM(CM70:CM73)</f>
        <v>0</v>
      </c>
      <c r="CN74" s="485"/>
      <c r="CO74" s="470"/>
      <c r="CQ74" s="489">
        <f>SUM(CQ70:CQ73)</f>
        <v>0</v>
      </c>
      <c r="CR74" s="485"/>
      <c r="CS74" s="470"/>
      <c r="CU74" s="489">
        <f>SUM(CU70:CU73)</f>
        <v>0</v>
      </c>
      <c r="CV74" s="485"/>
      <c r="CW74" s="470"/>
      <c r="CY74" s="489">
        <f>SUM(CY70:CY73)</f>
        <v>0</v>
      </c>
      <c r="CZ74" s="485"/>
      <c r="DA74" s="470"/>
      <c r="DC74" s="489">
        <f>SUM(DC70:DC73)</f>
        <v>0</v>
      </c>
      <c r="DD74" s="485"/>
      <c r="DE74" s="470"/>
      <c r="DG74" s="489">
        <f>SUM(DG70:DG73)</f>
        <v>0</v>
      </c>
      <c r="DH74" s="485"/>
      <c r="DI74" s="470"/>
      <c r="DJ74" s="470"/>
      <c r="DK74" s="489">
        <f>SUM(DK70:DK73)</f>
        <v>0</v>
      </c>
      <c r="DL74" s="485"/>
      <c r="DM74" s="470"/>
      <c r="DN74" s="470"/>
      <c r="DO74" s="303" t="s">
        <v>232</v>
      </c>
    </row>
    <row r="75" spans="1:211" ht="12.75" hidden="1" customHeight="1" outlineLevel="2" x14ac:dyDescent="0.2">
      <c r="A75" s="448" t="s">
        <v>467</v>
      </c>
      <c r="C75" s="413">
        <f>C70+C71</f>
        <v>1.6</v>
      </c>
      <c r="D75" s="485"/>
      <c r="E75" s="470"/>
      <c r="F75" s="305"/>
      <c r="G75" s="413">
        <f>G70+G71</f>
        <v>2.1</v>
      </c>
      <c r="H75" s="485"/>
      <c r="I75" s="470"/>
      <c r="K75" s="413">
        <f>K70+K71</f>
        <v>2.4</v>
      </c>
      <c r="L75" s="485"/>
      <c r="M75" s="470"/>
      <c r="O75" s="413">
        <f>O70+O71</f>
        <v>1.8479999999999999</v>
      </c>
      <c r="P75" s="485"/>
      <c r="Q75" s="471"/>
      <c r="R75" s="305"/>
      <c r="S75" s="413">
        <f>S70+S71</f>
        <v>1.373</v>
      </c>
      <c r="T75" s="485"/>
      <c r="U75" s="471"/>
      <c r="W75" s="413">
        <f>W70+W71</f>
        <v>2.194</v>
      </c>
      <c r="X75" s="485"/>
      <c r="Y75" s="471"/>
      <c r="AA75" s="413">
        <f>AA70+AA71</f>
        <v>2.355</v>
      </c>
      <c r="AB75" s="485"/>
      <c r="AC75" s="470"/>
      <c r="AE75" s="413">
        <f>AE70+AE71</f>
        <v>3.0609999999999999</v>
      </c>
      <c r="AF75" s="485"/>
      <c r="AG75" s="471"/>
      <c r="AH75" s="305"/>
      <c r="AI75" s="413">
        <f>AI70+AI71</f>
        <v>3.7578750000000003</v>
      </c>
      <c r="AJ75" s="485"/>
      <c r="AK75" s="471"/>
      <c r="AM75" s="413">
        <f>AM70+AM71</f>
        <v>2.7720000000000002</v>
      </c>
      <c r="AN75" s="485"/>
      <c r="AO75" s="471"/>
      <c r="AQ75" s="413">
        <f>AQ70+AQ71</f>
        <v>3.7279999999999998</v>
      </c>
      <c r="AR75" s="485"/>
      <c r="AS75" s="471"/>
      <c r="AU75" s="413">
        <f>AU70+AU71</f>
        <v>3.605</v>
      </c>
      <c r="AV75" s="485"/>
      <c r="AW75" s="471"/>
      <c r="AY75" s="413">
        <f>AY70+AY71</f>
        <v>4.5429999999999993</v>
      </c>
      <c r="AZ75" s="485"/>
      <c r="BA75" s="471"/>
      <c r="BC75" s="413">
        <f>BC70+BC71</f>
        <v>0</v>
      </c>
      <c r="BD75" s="485"/>
      <c r="BE75" s="471"/>
      <c r="BG75" s="413">
        <f>BG70+BG71</f>
        <v>0</v>
      </c>
      <c r="BH75" s="485"/>
      <c r="BI75" s="471"/>
      <c r="BK75" s="413">
        <f>BK70+BK71</f>
        <v>0</v>
      </c>
      <c r="BL75" s="485"/>
      <c r="BM75" s="471"/>
      <c r="BO75" s="413">
        <f>BO70+BO71</f>
        <v>0</v>
      </c>
      <c r="BP75" s="485"/>
      <c r="BQ75" s="471"/>
      <c r="BS75" s="413">
        <f>BS70+BS71</f>
        <v>0</v>
      </c>
      <c r="BT75" s="485"/>
      <c r="BU75" s="471"/>
      <c r="BW75" s="413">
        <f>BW70+BW71</f>
        <v>0</v>
      </c>
      <c r="BX75" s="485"/>
      <c r="BY75" s="471"/>
      <c r="CA75" s="413">
        <f>CA70+CA71</f>
        <v>0</v>
      </c>
      <c r="CB75" s="485"/>
      <c r="CC75" s="471"/>
      <c r="CE75" s="413">
        <f>CE70+CE71</f>
        <v>0</v>
      </c>
      <c r="CF75" s="485"/>
      <c r="CG75" s="471"/>
      <c r="CI75" s="413">
        <f>CI70+CI71</f>
        <v>0</v>
      </c>
      <c r="CJ75" s="485"/>
      <c r="CK75" s="471"/>
      <c r="CM75" s="413">
        <f>CM70+CM71</f>
        <v>0</v>
      </c>
      <c r="CN75" s="485"/>
      <c r="CO75" s="471"/>
      <c r="CQ75" s="413">
        <f>CQ70+CQ71</f>
        <v>0</v>
      </c>
      <c r="CR75" s="485"/>
      <c r="CS75" s="471"/>
      <c r="CU75" s="413">
        <f>CU70+CU71</f>
        <v>0</v>
      </c>
      <c r="CV75" s="485"/>
      <c r="CW75" s="471"/>
      <c r="CY75" s="413">
        <f>CY70+CY71</f>
        <v>0</v>
      </c>
      <c r="CZ75" s="485"/>
      <c r="DA75" s="471"/>
      <c r="DC75" s="413">
        <f>DC70+DC71</f>
        <v>0</v>
      </c>
      <c r="DD75" s="485"/>
      <c r="DE75" s="471"/>
      <c r="DG75" s="413">
        <f>DG70+DG71</f>
        <v>0</v>
      </c>
      <c r="DH75" s="485"/>
      <c r="DI75" s="471"/>
      <c r="DJ75" s="471"/>
      <c r="DK75" s="413">
        <f>DK70+DK71</f>
        <v>0</v>
      </c>
      <c r="DL75" s="485"/>
      <c r="DM75" s="471"/>
      <c r="DN75" s="471"/>
      <c r="DO75" s="303" t="s">
        <v>232</v>
      </c>
    </row>
    <row r="76" spans="1:211" ht="12.75" hidden="1" customHeight="1" outlineLevel="2" x14ac:dyDescent="0.2">
      <c r="A76" s="448" t="s">
        <v>468</v>
      </c>
      <c r="C76" s="413">
        <f>C73+C72</f>
        <v>2.2000000000000002</v>
      </c>
      <c r="D76" s="485"/>
      <c r="E76" s="470"/>
      <c r="F76" s="305"/>
      <c r="G76" s="413">
        <f>G73+G72</f>
        <v>-3.8090000000000002</v>
      </c>
      <c r="H76" s="485"/>
      <c r="I76" s="470"/>
      <c r="K76" s="413">
        <f>K73+K72</f>
        <v>-4.16</v>
      </c>
      <c r="L76" s="485"/>
      <c r="M76" s="470"/>
      <c r="O76" s="413">
        <f>O73+O72</f>
        <v>-1.488</v>
      </c>
      <c r="P76" s="485"/>
      <c r="Q76" s="471"/>
      <c r="R76" s="305"/>
      <c r="S76" s="413">
        <f>S73+S72</f>
        <v>-2.1850000000000005</v>
      </c>
      <c r="T76" s="485"/>
      <c r="U76" s="471"/>
      <c r="W76" s="413">
        <f>W73+W72</f>
        <v>-3.5920000000000001</v>
      </c>
      <c r="X76" s="485"/>
      <c r="Y76" s="471"/>
      <c r="AA76" s="413">
        <f>AA73+AA72</f>
        <v>2.895</v>
      </c>
      <c r="AB76" s="485"/>
      <c r="AC76" s="470"/>
      <c r="AE76" s="413">
        <f>AE73+AE72</f>
        <v>-3.1540000000000004</v>
      </c>
      <c r="AF76" s="485"/>
      <c r="AG76" s="471"/>
      <c r="AH76" s="305"/>
      <c r="AI76" s="413">
        <f>AI73+AI72</f>
        <v>-6.6189999999999998</v>
      </c>
      <c r="AJ76" s="485"/>
      <c r="AK76" s="471"/>
      <c r="AM76" s="413">
        <f>AM73+AM72</f>
        <v>-1.7089999999999999</v>
      </c>
      <c r="AN76" s="485"/>
      <c r="AO76" s="471"/>
      <c r="AQ76" s="413">
        <f>AQ73+AQ72</f>
        <v>-1.8599999999999994</v>
      </c>
      <c r="AR76" s="485"/>
      <c r="AS76" s="471"/>
      <c r="AU76" s="413">
        <f>AU73+AU72</f>
        <v>-1.3460000000000001</v>
      </c>
      <c r="AV76" s="485"/>
      <c r="AW76" s="471"/>
      <c r="AY76" s="413">
        <f>AY73+AY72</f>
        <v>-6.6490000000000009</v>
      </c>
      <c r="AZ76" s="485"/>
      <c r="BA76" s="471"/>
      <c r="BC76" s="413">
        <f>BC73+BC72</f>
        <v>-5</v>
      </c>
      <c r="BD76" s="485"/>
      <c r="BE76" s="471"/>
      <c r="BG76" s="413">
        <f>BG73+BG72</f>
        <v>0</v>
      </c>
      <c r="BH76" s="485"/>
      <c r="BI76" s="471"/>
      <c r="BK76" s="413">
        <f>BK73+BK72</f>
        <v>0</v>
      </c>
      <c r="BL76" s="485"/>
      <c r="BM76" s="471"/>
      <c r="BO76" s="413">
        <f>BO73+BO72</f>
        <v>0</v>
      </c>
      <c r="BP76" s="485"/>
      <c r="BQ76" s="471"/>
      <c r="BS76" s="413">
        <f>BS73+BS72</f>
        <v>0</v>
      </c>
      <c r="BT76" s="485"/>
      <c r="BU76" s="471"/>
      <c r="BW76" s="413">
        <f>BW73+BW72</f>
        <v>0</v>
      </c>
      <c r="BX76" s="485"/>
      <c r="BY76" s="471"/>
      <c r="CA76" s="413">
        <f>CA73+CA72</f>
        <v>0</v>
      </c>
      <c r="CB76" s="485"/>
      <c r="CC76" s="471"/>
      <c r="CE76" s="413">
        <f>CE73+CE72</f>
        <v>0</v>
      </c>
      <c r="CF76" s="485"/>
      <c r="CG76" s="471"/>
      <c r="CI76" s="413">
        <f>CI73+CI72</f>
        <v>0</v>
      </c>
      <c r="CJ76" s="485"/>
      <c r="CK76" s="471"/>
      <c r="CM76" s="413">
        <f>CM73+CM72</f>
        <v>0</v>
      </c>
      <c r="CN76" s="485"/>
      <c r="CO76" s="471"/>
      <c r="CQ76" s="413">
        <f>CQ73+CQ72</f>
        <v>0</v>
      </c>
      <c r="CR76" s="485"/>
      <c r="CS76" s="471"/>
      <c r="CU76" s="413">
        <f>CU73+CU72</f>
        <v>0</v>
      </c>
      <c r="CV76" s="485"/>
      <c r="CW76" s="471"/>
      <c r="CY76" s="413">
        <f>CY73+CY72</f>
        <v>0</v>
      </c>
      <c r="CZ76" s="485"/>
      <c r="DA76" s="471"/>
      <c r="DC76" s="413">
        <f>DC73+DC72</f>
        <v>0</v>
      </c>
      <c r="DD76" s="485"/>
      <c r="DE76" s="471"/>
      <c r="DG76" s="413">
        <f>DG73+DG72</f>
        <v>0</v>
      </c>
      <c r="DH76" s="485"/>
      <c r="DI76" s="471"/>
      <c r="DJ76" s="471"/>
      <c r="DK76" s="413">
        <f>DK73+DK72</f>
        <v>0</v>
      </c>
      <c r="DL76" s="485"/>
      <c r="DM76" s="471"/>
      <c r="DN76" s="471"/>
      <c r="DO76" s="303" t="s">
        <v>232</v>
      </c>
    </row>
    <row r="77" spans="1:211" ht="12.75" hidden="1" customHeight="1" outlineLevel="2" x14ac:dyDescent="0.2">
      <c r="C77" s="413"/>
      <c r="D77" s="459"/>
      <c r="E77" s="459"/>
      <c r="F77" s="305"/>
      <c r="G77" s="413"/>
      <c r="H77" s="459"/>
      <c r="I77" s="459"/>
      <c r="K77" s="413"/>
      <c r="M77" s="459"/>
      <c r="O77" s="413"/>
      <c r="R77" s="305"/>
      <c r="S77" s="413"/>
      <c r="W77" s="413"/>
      <c r="AA77" s="413"/>
      <c r="AE77" s="413"/>
      <c r="AI77" s="413"/>
      <c r="AM77" s="413"/>
      <c r="AQ77" s="413"/>
      <c r="AU77" s="413"/>
      <c r="AY77" s="413"/>
      <c r="BC77" s="413"/>
      <c r="BG77" s="413"/>
      <c r="BK77" s="413"/>
      <c r="BO77" s="413"/>
      <c r="BS77" s="413"/>
      <c r="BW77" s="413"/>
      <c r="CA77" s="413"/>
      <c r="CE77" s="413"/>
      <c r="CI77" s="413"/>
      <c r="DO77" s="303" t="s">
        <v>232</v>
      </c>
    </row>
    <row r="78" spans="1:211" outlineLevel="1" collapsed="1" x14ac:dyDescent="0.2">
      <c r="A78" s="1352" t="s">
        <v>286</v>
      </c>
      <c r="B78" s="1352"/>
      <c r="C78" s="1352"/>
      <c r="D78" s="1352"/>
      <c r="E78" s="1352"/>
      <c r="F78" s="1352"/>
      <c r="G78" s="1352"/>
      <c r="H78" s="1352"/>
      <c r="I78" s="1352"/>
      <c r="J78" s="1352"/>
      <c r="K78" s="1352"/>
      <c r="L78" s="1352"/>
      <c r="M78" s="1352"/>
      <c r="N78" s="1352"/>
      <c r="O78" s="1352"/>
      <c r="P78" s="1352"/>
      <c r="Q78" s="1352"/>
      <c r="R78" s="1352"/>
      <c r="S78" s="1352"/>
      <c r="T78" s="1352"/>
      <c r="U78" s="1352"/>
      <c r="V78" s="1352"/>
      <c r="W78" s="1352"/>
      <c r="X78" s="1352"/>
      <c r="Y78" s="1352"/>
      <c r="Z78" s="1352"/>
      <c r="AA78" s="1352"/>
      <c r="AB78" s="1352"/>
      <c r="AC78" s="1352"/>
      <c r="AD78" s="1352"/>
      <c r="AE78" s="1352"/>
      <c r="AF78" s="1352"/>
      <c r="AG78" s="1352"/>
      <c r="AH78" s="1352"/>
      <c r="AI78" s="1352"/>
      <c r="AJ78" s="1352"/>
      <c r="AK78" s="1352"/>
      <c r="AL78" s="1352"/>
      <c r="AM78" s="1352"/>
      <c r="AN78" s="1352"/>
      <c r="AO78" s="1352"/>
      <c r="AP78" s="1352"/>
      <c r="AQ78" s="1352"/>
      <c r="AR78" s="1352"/>
      <c r="AS78" s="1352"/>
      <c r="AT78" s="1352"/>
      <c r="AU78" s="1352"/>
      <c r="AV78" s="1352"/>
      <c r="AW78" s="1352"/>
      <c r="AX78" s="1352"/>
      <c r="AY78" s="1352"/>
      <c r="AZ78" s="1352"/>
      <c r="BA78" s="1352"/>
      <c r="BB78" s="1352"/>
      <c r="BC78" s="1352"/>
      <c r="BD78" s="1352"/>
      <c r="BE78" s="1352"/>
      <c r="BF78" s="1352"/>
      <c r="BG78" s="1352"/>
      <c r="BH78" s="1352"/>
      <c r="BI78" s="1352"/>
      <c r="BJ78" s="1352"/>
      <c r="BK78" s="1352"/>
      <c r="BL78" s="1352"/>
      <c r="BM78" s="1352"/>
      <c r="BN78" s="1352"/>
      <c r="BO78" s="1352"/>
      <c r="BP78" s="1352"/>
      <c r="BQ78" s="1352"/>
      <c r="BR78" s="1352"/>
      <c r="BS78" s="1352"/>
      <c r="BT78" s="1352"/>
      <c r="BU78" s="1352"/>
      <c r="BV78" s="1352"/>
      <c r="BW78" s="1352"/>
      <c r="BX78" s="1352"/>
      <c r="BY78" s="1352"/>
      <c r="BZ78" s="1352"/>
      <c r="CA78" s="1352"/>
      <c r="CB78" s="1352"/>
      <c r="CC78" s="1352"/>
      <c r="CD78" s="1352"/>
      <c r="CE78" s="1352"/>
      <c r="CF78" s="1352"/>
      <c r="CG78" s="1352"/>
      <c r="CH78" s="1352"/>
      <c r="CI78" s="1352"/>
      <c r="CJ78" s="1352"/>
      <c r="CK78" s="1352"/>
      <c r="CL78" s="1352"/>
      <c r="CM78" s="1352"/>
      <c r="CN78" s="1352"/>
      <c r="CO78" s="1352"/>
      <c r="CP78" s="1352"/>
      <c r="CQ78" s="1352"/>
      <c r="CR78" s="1352"/>
      <c r="CS78" s="1352"/>
      <c r="CT78" s="1352"/>
      <c r="CU78" s="1352"/>
      <c r="CV78" s="1352"/>
      <c r="CW78" s="1352"/>
      <c r="CX78" s="318"/>
      <c r="CY78" s="447" t="s">
        <v>286</v>
      </c>
      <c r="CZ78" s="447"/>
      <c r="DA78" s="447"/>
      <c r="DB78" s="447"/>
      <c r="DC78" s="447"/>
      <c r="DD78" s="447"/>
      <c r="DE78" s="447"/>
      <c r="DF78" s="447"/>
      <c r="DG78" s="447"/>
      <c r="DH78" s="447"/>
      <c r="DI78" s="447"/>
      <c r="DJ78" s="447"/>
      <c r="DK78" s="447"/>
      <c r="DL78" s="447"/>
      <c r="DM78" s="447"/>
      <c r="DN78" s="447"/>
      <c r="DO78" s="447"/>
      <c r="DP78" s="447"/>
      <c r="DQ78" s="447"/>
      <c r="DR78" s="447"/>
      <c r="DS78" s="447"/>
      <c r="DT78" s="447"/>
      <c r="DU78" s="447"/>
      <c r="DV78" s="447"/>
      <c r="DW78" s="447"/>
      <c r="DX78" s="447"/>
      <c r="DY78" s="447"/>
      <c r="DZ78" s="447"/>
      <c r="EA78" s="447"/>
      <c r="EB78" s="447"/>
      <c r="EC78" s="447"/>
      <c r="ED78" s="447"/>
      <c r="EE78" s="447"/>
      <c r="EF78" s="447"/>
      <c r="EG78" s="447"/>
      <c r="EH78" s="447"/>
      <c r="EI78" s="447"/>
      <c r="EJ78" s="447"/>
      <c r="EK78" s="447"/>
      <c r="EL78" s="447"/>
      <c r="EM78" s="447"/>
      <c r="EN78" s="447"/>
      <c r="EO78" s="447"/>
      <c r="EP78" s="447"/>
      <c r="EQ78" s="447"/>
      <c r="ER78" s="447"/>
      <c r="ES78" s="447"/>
      <c r="ET78" s="447"/>
      <c r="EU78" s="447"/>
      <c r="EV78" s="447"/>
      <c r="EW78" s="447"/>
      <c r="EX78" s="447"/>
      <c r="EY78" s="447"/>
      <c r="EZ78" s="447"/>
      <c r="FA78" s="447"/>
      <c r="FB78" s="447"/>
      <c r="FC78" s="447"/>
      <c r="FD78" s="447"/>
      <c r="FE78" s="447"/>
      <c r="FF78" s="447"/>
      <c r="FG78" s="447"/>
      <c r="FH78" s="447"/>
      <c r="FI78" s="447"/>
      <c r="FJ78" s="447"/>
      <c r="FK78" s="447"/>
      <c r="FL78" s="447"/>
      <c r="FM78" s="447"/>
      <c r="FN78" s="447"/>
      <c r="FO78" s="447"/>
      <c r="FP78" s="447"/>
      <c r="FQ78" s="447"/>
      <c r="FR78" s="447"/>
      <c r="FS78" s="447"/>
      <c r="FT78" s="447"/>
      <c r="FU78" s="447"/>
      <c r="FV78" s="447"/>
      <c r="FW78" s="447"/>
      <c r="FX78" s="447"/>
      <c r="FY78" s="447"/>
      <c r="FZ78" s="447"/>
      <c r="GA78" s="447"/>
      <c r="GB78" s="447"/>
      <c r="GC78" s="447"/>
      <c r="GD78" s="447"/>
      <c r="GE78" s="447"/>
      <c r="GF78" s="447"/>
      <c r="GG78" s="447"/>
      <c r="GH78" s="447"/>
      <c r="GI78" s="447"/>
      <c r="GJ78" s="447"/>
      <c r="GK78" s="447"/>
      <c r="GL78" s="447"/>
      <c r="GM78" s="447"/>
      <c r="GN78" s="447"/>
      <c r="GO78" s="447"/>
      <c r="GP78" s="447"/>
      <c r="GQ78" s="447"/>
      <c r="GR78" s="447"/>
      <c r="GS78" s="447"/>
      <c r="GT78" s="447"/>
      <c r="GU78" s="447"/>
      <c r="GV78" s="447"/>
      <c r="GW78" s="447"/>
      <c r="GX78" s="447"/>
      <c r="GY78" s="447"/>
      <c r="GZ78" s="447"/>
      <c r="HA78" s="447"/>
      <c r="HB78" s="447"/>
      <c r="HC78" s="447"/>
    </row>
    <row r="79" spans="1:211" outlineLevel="1" x14ac:dyDescent="0.2">
      <c r="C79" s="413"/>
      <c r="D79" s="459"/>
      <c r="E79" s="459"/>
      <c r="F79" s="305"/>
      <c r="G79" s="413"/>
      <c r="H79" s="459"/>
      <c r="I79" s="459"/>
      <c r="K79" s="413"/>
      <c r="M79" s="459"/>
      <c r="O79" s="413"/>
      <c r="R79" s="305"/>
      <c r="S79" s="413"/>
      <c r="W79" s="413"/>
      <c r="AA79" s="413"/>
      <c r="AE79" s="413"/>
      <c r="AI79" s="413"/>
      <c r="AM79" s="413"/>
      <c r="AQ79" s="413"/>
      <c r="AU79" s="413"/>
      <c r="AY79" s="413"/>
      <c r="BC79" s="413"/>
      <c r="BG79" s="413"/>
      <c r="BK79" s="413"/>
      <c r="BO79" s="413"/>
      <c r="BS79" s="413"/>
      <c r="BW79" s="413"/>
      <c r="CA79" s="413"/>
      <c r="CE79" s="413"/>
      <c r="CI79" s="413"/>
      <c r="DO79" s="303" t="s">
        <v>232</v>
      </c>
    </row>
    <row r="80" spans="1:211" outlineLevel="1" x14ac:dyDescent="0.2">
      <c r="A80" s="448" t="s">
        <v>89</v>
      </c>
      <c r="C80" s="319">
        <f t="shared" ref="C80:C86" si="168">C10-C20-C60-C70-C30-C40-C50</f>
        <v>5.5260000000000069</v>
      </c>
      <c r="D80" s="485" t="s">
        <v>94</v>
      </c>
      <c r="E80" s="470" t="s">
        <v>1</v>
      </c>
      <c r="F80" s="305"/>
      <c r="G80" s="319">
        <f t="shared" ref="G80:G86" si="169">G10-G20-G60-G70-G30-G40-G50</f>
        <v>7.830000000000001</v>
      </c>
      <c r="H80" s="469">
        <f t="shared" ref="H80:H86" si="170">G80/G10*100</f>
        <v>4.09677385599029</v>
      </c>
      <c r="I80" s="471">
        <f t="shared" ref="I80:I86" si="171">(G80/C80-1)*100</f>
        <v>41.693811074918408</v>
      </c>
      <c r="K80" s="319">
        <f t="shared" ref="K80:K86" si="172">K10-K20-K60-K70-K30-K40-K50</f>
        <v>10.427</v>
      </c>
      <c r="L80" s="469">
        <f t="shared" ref="L80:L86" si="173">K80/K10*100</f>
        <v>4.9276937618147452</v>
      </c>
      <c r="M80" s="471">
        <f t="shared" ref="M80:M86" si="174">(K80/G80-1)*100</f>
        <v>33.167305236270735</v>
      </c>
      <c r="O80" s="319">
        <f t="shared" ref="O80:O86" si="175">O10-O20-O60-O70-O30-O40-O50</f>
        <v>14.311</v>
      </c>
      <c r="P80" s="469">
        <f t="shared" ref="P80:P86" si="176">O80/O10*100</f>
        <v>5.7198241406874502</v>
      </c>
      <c r="Q80" s="471">
        <f t="shared" ref="Q80:Q86" si="177">(O80/K80-1)*100</f>
        <v>37.249448547041332</v>
      </c>
      <c r="R80" s="305"/>
      <c r="S80" s="319">
        <f t="shared" ref="S80:S86" si="178">S10-S20-S60-S70-S30-S40-S50</f>
        <v>20.49600000000002</v>
      </c>
      <c r="T80" s="469">
        <f t="shared" ref="T80:T86" si="179">S80/S10*100</f>
        <v>6.6588693957115073</v>
      </c>
      <c r="U80" s="471">
        <f t="shared" ref="U80:U86" si="180">(S80/O80-1)*100</f>
        <v>43.218503249248961</v>
      </c>
      <c r="W80" s="319">
        <f t="shared" ref="W80:W86" si="181">W10-W20-W60-W70-W30-W40-W50</f>
        <v>22.413999999999998</v>
      </c>
      <c r="X80" s="469">
        <f t="shared" ref="X80:X86" si="182">W80/W10*100</f>
        <v>6.0841476655808897</v>
      </c>
      <c r="Y80" s="471">
        <f t="shared" ref="Y80:Y86" si="183">(W80/S80-1)*100</f>
        <v>9.3579234972676506</v>
      </c>
      <c r="AA80" s="319">
        <f t="shared" ref="AA80:AA86" si="184">AA10-AA20-AA60-AA70-AA30-AA40-AA50</f>
        <v>27.40899999999997</v>
      </c>
      <c r="AB80" s="469">
        <f t="shared" ref="AB80:AB86" si="185">AA80/AA10*100</f>
        <v>5.8478771068913957</v>
      </c>
      <c r="AC80" s="471">
        <f t="shared" ref="AC80:AC86" si="186">(AA80/W80-1)*100</f>
        <v>22.285178906040738</v>
      </c>
      <c r="AE80" s="319">
        <f t="shared" ref="AE80:AE86" si="187">AE10-AE20-AE60-AE70-AE30-AE40-AE50</f>
        <v>31.278999999999979</v>
      </c>
      <c r="AF80" s="469">
        <f t="shared" ref="AF80:AF86" si="188">AE80/AE10*100</f>
        <v>5.2084183252934366</v>
      </c>
      <c r="AG80" s="471">
        <f t="shared" ref="AG80:AG86" si="189">(AE80/AA80-1)*100</f>
        <v>14.119449815753992</v>
      </c>
      <c r="AI80" s="319">
        <f t="shared" ref="AI80:AI86" si="190">AI10-AI20-AI60-AI70-AI30-AI40-AI50</f>
        <v>44.189000000000036</v>
      </c>
      <c r="AJ80" s="469">
        <f t="shared" ref="AJ80:AJ86" si="191">AI80/AI10*100</f>
        <v>5.9345957561106681</v>
      </c>
      <c r="AK80" s="471">
        <f t="shared" ref="AK80:AK86" si="192">(AI80/AE80-1)*100</f>
        <v>41.273698008248559</v>
      </c>
      <c r="AM80" s="319">
        <f t="shared" ref="AM80:AM86" si="193">AM10-AM20-AM60-AM70-AM30-AM40-AM50</f>
        <v>67.627999999999929</v>
      </c>
      <c r="AN80" s="469">
        <f t="shared" ref="AN80:AN86" si="194">AM80/AM10*100</f>
        <v>7.4291991651103961</v>
      </c>
      <c r="AO80" s="471">
        <f t="shared" ref="AO80:AO86" si="195">(AM80/AI80-1)*100</f>
        <v>53.042612414854084</v>
      </c>
      <c r="AQ80" s="319">
        <f t="shared" ref="AQ80:AQ86" si="196">AQ10-AQ20-AQ60-AQ70-AQ30-AQ40-AQ50</f>
        <v>91.319000000000173</v>
      </c>
      <c r="AR80" s="469">
        <f t="shared" ref="AR80:AR86" si="197">AQ80/AQ10*100</f>
        <v>7.4321640758525405</v>
      </c>
      <c r="AS80" s="471">
        <f t="shared" ref="AS80:AS86" si="198">(AQ80/AM80-1)*100</f>
        <v>35.031347962382853</v>
      </c>
      <c r="AU80" s="319">
        <f t="shared" ref="AU80:AU86" si="199">AU10-AU20-AU60-AU70-AU30-AU40-AU50</f>
        <v>129.53699999999998</v>
      </c>
      <c r="AV80" s="469">
        <f t="shared" ref="AV80:AV86" si="200">AU80/AU10*100</f>
        <v>8.703688772424913</v>
      </c>
      <c r="AW80" s="471">
        <f t="shared" ref="AW80:AW86" si="201">(AU80/AQ80-1)*100</f>
        <v>41.85109341976996</v>
      </c>
      <c r="AY80" s="319">
        <f t="shared" ref="AY80:AY86" si="202">AY10-AY20-AY60-AY70-AY30-AY40-AY50</f>
        <v>180.83399999999997</v>
      </c>
      <c r="AZ80" s="469">
        <f t="shared" ref="AZ80:AZ86" si="203">AY80/AY10*100</f>
        <v>9.667682437850841</v>
      </c>
      <c r="BA80" s="471">
        <f t="shared" ref="BA80:BA86" si="204">(AY80/AU80-1)*100</f>
        <v>39.60026864911184</v>
      </c>
      <c r="BC80" s="319">
        <f t="shared" ref="BC80:BC86" si="205">BC10-BC20-BC60-BC70-BC30-BC40-BC50</f>
        <v>192.1969999999998</v>
      </c>
      <c r="BD80" s="469">
        <f t="shared" ref="BD80:BD86" si="206">BC80/BC10*100</f>
        <v>9.0757425508806637</v>
      </c>
      <c r="BE80" s="471">
        <f t="shared" ref="BE80:BE86" si="207">(BC80/AY80-1)*100</f>
        <v>6.2836634703649974</v>
      </c>
      <c r="BG80" s="319">
        <f t="shared" ref="BG80:BG86" si="208">BG10-BG20-BG60-BG70-BG30-BG40-BG50</f>
        <v>180.69999999999987</v>
      </c>
      <c r="BH80" s="469">
        <f t="shared" ref="BH80:BH86" si="209">BG80/BG10*100</f>
        <v>7.5917990084866771</v>
      </c>
      <c r="BI80" s="471">
        <f t="shared" ref="BI80:BI86" si="210">(BG80/BC80-1)*100</f>
        <v>-5.9818831719537506</v>
      </c>
      <c r="BK80" s="319">
        <f t="shared" ref="BK80:BK86" si="211">BK10-BK20-BK60-BK70-BK30-BK40-BK50</f>
        <v>217.70000000000027</v>
      </c>
      <c r="BL80" s="469">
        <f t="shared" ref="BL80:BL86" si="212">BK80/BK10*100</f>
        <v>7.9371445238442559</v>
      </c>
      <c r="BM80" s="471">
        <f t="shared" ref="BM80:BM86" si="213">(BK80/BG80-1)*100</f>
        <v>20.475926950747336</v>
      </c>
      <c r="BO80" s="319">
        <f t="shared" ref="BO80:BO86" si="214">BO10-BO20-BO60-BO70-BO30-BO40-BO50</f>
        <v>282.05500000000001</v>
      </c>
      <c r="BP80" s="469">
        <f t="shared" ref="BP80:BP86" si="215">BO80/BO10*100</f>
        <v>8.8565641975696305</v>
      </c>
      <c r="BQ80" s="471">
        <f t="shared" ref="BQ80:BQ86" si="216">(BO80/BK80-1)*100</f>
        <v>29.561322921451371</v>
      </c>
      <c r="BS80" s="319">
        <f t="shared" ref="BS80:BS86" si="217">BS10-BS20-BS60-BS70-BS30-BS40-BS50</f>
        <v>346.10000000000019</v>
      </c>
      <c r="BT80" s="469">
        <f t="shared" ref="BT80:BT86" si="218">BS80/BS10*100</f>
        <v>9.6892497200447991</v>
      </c>
      <c r="BU80" s="471">
        <f t="shared" ref="BU80:BU86" si="219">(BS80/BO80-1)*100</f>
        <v>22.706564322561263</v>
      </c>
      <c r="BW80" s="319">
        <f t="shared" ref="BW80:BW86" si="220">BW10-BW20-BW60-BW70-BW30-BW40-BW50</f>
        <v>271.42700000000025</v>
      </c>
      <c r="BX80" s="469">
        <f t="shared" ref="BX80:BX86" si="221">BW80/BW10*100</f>
        <v>7.4891722694211484</v>
      </c>
      <c r="BY80" s="471">
        <f t="shared" ref="BY80:BY86" si="222">(BW80/BS80-1)*100</f>
        <v>-21.575556197630718</v>
      </c>
      <c r="CA80" s="319">
        <f t="shared" ref="CA80:CA86" si="223">CA10-CA20-CA60-CA70-CA30-CA40-CA50</f>
        <v>251</v>
      </c>
      <c r="CB80" s="469">
        <f t="shared" ref="CB80:CB86" si="224">CA80/CA10*100</f>
        <v>6.8993952721275429</v>
      </c>
      <c r="CC80" s="471">
        <f t="shared" ref="CC80:CC86" si="225">(CA80/BW80-1)*100</f>
        <v>-7.5257804124129972</v>
      </c>
      <c r="CE80" s="319">
        <f t="shared" ref="CE80:CE86" si="226">CE10-CE20-CE60-CE70-CE30-CE40-CE50</f>
        <v>388</v>
      </c>
      <c r="CF80" s="469">
        <f t="shared" ref="CF80:CF86" si="227">CE80/CE10*100</f>
        <v>9.6158612143742257</v>
      </c>
      <c r="CG80" s="471">
        <f t="shared" ref="CG80:CG86" si="228">(CE80/CA80-1)*100</f>
        <v>54.581673306772906</v>
      </c>
      <c r="CI80" s="319">
        <f t="shared" ref="CI80:CI86" si="229">CI10-CI20-CI60-CI70-CI30-CI40-CI50</f>
        <v>391</v>
      </c>
      <c r="CJ80" s="469">
        <f t="shared" ref="CJ80:CJ86" si="230">CI80/CI10*100</f>
        <v>9.3945218644882278</v>
      </c>
      <c r="CK80" s="451">
        <f t="shared" ref="CK80:CK86" si="231">(CI80/CE80-1)*100</f>
        <v>0.77319587628865705</v>
      </c>
      <c r="CM80" s="319">
        <f t="shared" ref="CM80:CM86" si="232">CM10-CM20-CM60-CM70-CM30-CM40-CM50</f>
        <v>321</v>
      </c>
      <c r="CN80" s="469">
        <f t="shared" ref="CN80:CN86" si="233">CM80/CM10*100</f>
        <v>7.5654018383219421</v>
      </c>
      <c r="CO80" s="451">
        <f t="shared" ref="CO80:CO86" si="234">(CM80/CI80-1)*100</f>
        <v>-17.902813299232733</v>
      </c>
      <c r="CQ80" s="319">
        <f t="shared" ref="CQ80:CQ86" si="235">CQ10-CQ20-CQ60-CQ70-CQ30-CQ40-CQ50</f>
        <v>317</v>
      </c>
      <c r="CR80" s="469">
        <f t="shared" ref="CR80:CR86" si="236">CQ80/CQ10*100</f>
        <v>7.5494165277447012</v>
      </c>
      <c r="CS80" s="451">
        <f t="shared" ref="CS80:CS86" si="237">(CQ80/CM80-1)*100</f>
        <v>-1.2461059190031154</v>
      </c>
      <c r="CU80" s="319">
        <f t="shared" ref="CU80:CU86" si="238">CU10-CU20-CU60-CU70-CU30-CU40-CU50</f>
        <v>280</v>
      </c>
      <c r="CV80" s="469">
        <f t="shared" ref="CV80:CV86" si="239">CU80/CU10*100</f>
        <v>6.8796068796068797</v>
      </c>
      <c r="CW80" s="451">
        <f t="shared" ref="CW80:CW86" si="240">(CU80/CQ80-1)*100</f>
        <v>-11.671924290220826</v>
      </c>
      <c r="CY80" s="319">
        <f>CY10-CY20-CY60-CY70-CY30-CY40-CY50</f>
        <v>280</v>
      </c>
      <c r="CZ80" s="469">
        <f>CY80/CY10*100</f>
        <v>6.7911714770797964</v>
      </c>
      <c r="DA80" s="451">
        <f t="shared" ref="DA80:DA86" si="241">(CY80/CU80-1)*100</f>
        <v>0</v>
      </c>
      <c r="DC80" s="319">
        <f>DC10-DC20-DC60-DC70-DC30-DC40-DC50</f>
        <v>170</v>
      </c>
      <c r="DD80" s="469">
        <f>DC80/DC10*100</f>
        <v>4.2799597180261832</v>
      </c>
      <c r="DE80" s="451">
        <f t="shared" ref="DE80:DE86" si="242">(DC80/CY80-1)*100</f>
        <v>-39.285714285714292</v>
      </c>
      <c r="DG80" s="319">
        <f>DG10-DG20-DG60-DG70-DG30-DG40-DG50</f>
        <v>185</v>
      </c>
      <c r="DH80" s="469">
        <f>DG80/DG10*100</f>
        <v>4.8139474368982569</v>
      </c>
      <c r="DI80" s="451">
        <f t="shared" ref="DI80:DI86" si="243">(DG80/DC80-1)*100</f>
        <v>8.8235294117646959</v>
      </c>
      <c r="DJ80" s="451"/>
      <c r="DK80" s="319">
        <f>DK10-DK20-DK60-DK70-DK30-DK40-DK50</f>
        <v>179.69506954000008</v>
      </c>
      <c r="DL80" s="469">
        <f>DK80/DK10*100</f>
        <v>4.5195303025341422</v>
      </c>
      <c r="DM80" s="451">
        <f t="shared" ref="DM80:DM86" si="244">(DK80/DG80-1)*100</f>
        <v>-2.8675299783783359</v>
      </c>
      <c r="DN80" s="451"/>
      <c r="DO80" s="311"/>
    </row>
    <row r="81" spans="1:122" outlineLevel="1" x14ac:dyDescent="0.2">
      <c r="A81" s="448" t="s">
        <v>90</v>
      </c>
      <c r="C81" s="413">
        <f t="shared" si="168"/>
        <v>4.3299999999999823</v>
      </c>
      <c r="D81" s="485" t="s">
        <v>94</v>
      </c>
      <c r="E81" s="470" t="s">
        <v>1</v>
      </c>
      <c r="F81" s="305"/>
      <c r="G81" s="413">
        <f t="shared" si="169"/>
        <v>6.3380000000000107</v>
      </c>
      <c r="H81" s="469">
        <f t="shared" si="170"/>
        <v>3.5487122060470391</v>
      </c>
      <c r="I81" s="471">
        <f t="shared" si="171"/>
        <v>46.37413394919254</v>
      </c>
      <c r="K81" s="413">
        <f t="shared" si="172"/>
        <v>9.9709999999999948</v>
      </c>
      <c r="L81" s="469">
        <f t="shared" si="173"/>
        <v>4.5822610294117627</v>
      </c>
      <c r="M81" s="471">
        <f t="shared" si="174"/>
        <v>57.320921426317106</v>
      </c>
      <c r="O81" s="413">
        <f t="shared" si="175"/>
        <v>13.204999999999995</v>
      </c>
      <c r="P81" s="469">
        <f t="shared" si="176"/>
        <v>5.1301476301476283</v>
      </c>
      <c r="Q81" s="471">
        <f t="shared" si="177"/>
        <v>32.434058770434284</v>
      </c>
      <c r="R81" s="305"/>
      <c r="S81" s="413">
        <f t="shared" si="178"/>
        <v>17.610999999999954</v>
      </c>
      <c r="T81" s="469">
        <f t="shared" si="179"/>
        <v>6.0229138166894511</v>
      </c>
      <c r="U81" s="471">
        <f t="shared" si="180"/>
        <v>33.366149185914139</v>
      </c>
      <c r="W81" s="413">
        <f t="shared" si="181"/>
        <v>21.825000000000024</v>
      </c>
      <c r="X81" s="469">
        <f t="shared" si="182"/>
        <v>6.0074318744839044</v>
      </c>
      <c r="Y81" s="471">
        <f t="shared" si="183"/>
        <v>23.928226676509468</v>
      </c>
      <c r="AA81" s="413">
        <f t="shared" si="184"/>
        <v>28.646000000000029</v>
      </c>
      <c r="AB81" s="469">
        <f t="shared" si="185"/>
        <v>6.0358196375895545</v>
      </c>
      <c r="AC81" s="471">
        <f t="shared" si="186"/>
        <v>31.253150057273761</v>
      </c>
      <c r="AE81" s="413">
        <f t="shared" si="187"/>
        <v>41.663000000000032</v>
      </c>
      <c r="AF81" s="469">
        <f t="shared" si="188"/>
        <v>6.6774369848237942</v>
      </c>
      <c r="AG81" s="471">
        <f t="shared" si="189"/>
        <v>45.440899252949762</v>
      </c>
      <c r="AI81" s="413">
        <f t="shared" si="190"/>
        <v>54.599000000000053</v>
      </c>
      <c r="AJ81" s="469">
        <f t="shared" si="191"/>
        <v>7.1959143327841906</v>
      </c>
      <c r="AK81" s="471">
        <f t="shared" si="192"/>
        <v>31.0491323236445</v>
      </c>
      <c r="AM81" s="413">
        <f t="shared" si="193"/>
        <v>79.526000000000067</v>
      </c>
      <c r="AN81" s="469">
        <f t="shared" si="194"/>
        <v>8.464715274081966</v>
      </c>
      <c r="AO81" s="471">
        <f t="shared" si="195"/>
        <v>45.654682320188989</v>
      </c>
      <c r="AQ81" s="413">
        <f t="shared" si="196"/>
        <v>112.88800000000006</v>
      </c>
      <c r="AR81" s="469">
        <f t="shared" si="197"/>
        <v>8.9921937231161433</v>
      </c>
      <c r="AS81" s="471">
        <f t="shared" si="198"/>
        <v>41.951060030681745</v>
      </c>
      <c r="AU81" s="413">
        <f t="shared" si="199"/>
        <v>150.89999999999995</v>
      </c>
      <c r="AV81" s="469">
        <f t="shared" si="200"/>
        <v>9.9551392004222166</v>
      </c>
      <c r="AW81" s="471">
        <f t="shared" si="201"/>
        <v>33.672312380412329</v>
      </c>
      <c r="AY81" s="413">
        <f t="shared" si="202"/>
        <v>210.95000000000007</v>
      </c>
      <c r="AZ81" s="469">
        <f t="shared" si="203"/>
        <v>10.976117383838913</v>
      </c>
      <c r="BA81" s="471">
        <f t="shared" si="204"/>
        <v>39.794565937707183</v>
      </c>
      <c r="BC81" s="413">
        <f t="shared" si="205"/>
        <v>200.70000000000005</v>
      </c>
      <c r="BD81" s="469">
        <f t="shared" si="206"/>
        <v>9.0880275312443413</v>
      </c>
      <c r="BE81" s="471">
        <f t="shared" si="207"/>
        <v>-4.8589713202180747</v>
      </c>
      <c r="BG81" s="413">
        <f t="shared" si="208"/>
        <v>251.28000000000014</v>
      </c>
      <c r="BH81" s="469">
        <f t="shared" si="209"/>
        <v>10.059650106089119</v>
      </c>
      <c r="BI81" s="471">
        <f t="shared" si="210"/>
        <v>25.201793721973132</v>
      </c>
      <c r="BK81" s="413">
        <f t="shared" si="211"/>
        <v>306.99999999999977</v>
      </c>
      <c r="BL81" s="469">
        <f t="shared" si="212"/>
        <v>10.629825837055495</v>
      </c>
      <c r="BM81" s="471">
        <f t="shared" si="213"/>
        <v>22.174466730340491</v>
      </c>
      <c r="BO81" s="413">
        <f t="shared" si="214"/>
        <v>375.40700000000027</v>
      </c>
      <c r="BP81" s="469">
        <f t="shared" si="215"/>
        <v>11.370777042120469</v>
      </c>
      <c r="BQ81" s="471">
        <f t="shared" si="216"/>
        <v>22.282410423452937</v>
      </c>
      <c r="BS81" s="413">
        <f t="shared" si="217"/>
        <v>443.62099999999964</v>
      </c>
      <c r="BT81" s="469">
        <f t="shared" si="218"/>
        <v>12.359885211189113</v>
      </c>
      <c r="BU81" s="471">
        <f t="shared" si="219"/>
        <v>18.170678756655924</v>
      </c>
      <c r="BW81" s="413">
        <f t="shared" si="220"/>
        <v>406.54899999999964</v>
      </c>
      <c r="BX81" s="469">
        <f t="shared" si="221"/>
        <v>10.912631626980602</v>
      </c>
      <c r="BY81" s="471">
        <f t="shared" si="222"/>
        <v>-8.3566828441394847</v>
      </c>
      <c r="CA81" s="413">
        <f t="shared" si="223"/>
        <v>399</v>
      </c>
      <c r="CB81" s="469">
        <f t="shared" si="224"/>
        <v>10.483447188649501</v>
      </c>
      <c r="CC81" s="471">
        <f t="shared" si="225"/>
        <v>-1.8568487439397541</v>
      </c>
      <c r="CE81" s="413">
        <f t="shared" si="226"/>
        <v>488</v>
      </c>
      <c r="CF81" s="469">
        <f t="shared" si="227"/>
        <v>11.902439024390244</v>
      </c>
      <c r="CG81" s="471">
        <f t="shared" si="228"/>
        <v>22.30576441102756</v>
      </c>
      <c r="CI81" s="413">
        <f t="shared" si="229"/>
        <v>547</v>
      </c>
      <c r="CJ81" s="469">
        <f t="shared" si="230"/>
        <v>12.876647834274953</v>
      </c>
      <c r="CK81" s="451">
        <f t="shared" si="231"/>
        <v>12.090163934426235</v>
      </c>
      <c r="CM81" s="413">
        <f t="shared" si="232"/>
        <v>457</v>
      </c>
      <c r="CN81" s="469">
        <f t="shared" si="233"/>
        <v>10.868014268727705</v>
      </c>
      <c r="CO81" s="451">
        <f t="shared" si="234"/>
        <v>-16.453382084095068</v>
      </c>
      <c r="CQ81" s="413">
        <f t="shared" si="235"/>
        <v>451</v>
      </c>
      <c r="CR81" s="469">
        <f t="shared" si="236"/>
        <v>10.515271625087433</v>
      </c>
      <c r="CS81" s="451">
        <f t="shared" si="237"/>
        <v>-1.3129102844638973</v>
      </c>
      <c r="CU81" s="413">
        <f t="shared" si="238"/>
        <v>451</v>
      </c>
      <c r="CV81" s="469">
        <f t="shared" si="239"/>
        <v>10.631777463460631</v>
      </c>
      <c r="CW81" s="451">
        <f t="shared" si="240"/>
        <v>0</v>
      </c>
      <c r="CY81" s="413">
        <f t="shared" ref="CY81:CY86" si="245">CY11-CY21-CY61-CY71-CY31-CY41-CY51</f>
        <v>424</v>
      </c>
      <c r="CZ81" s="469">
        <f t="shared" ref="CZ81:CZ86" si="246">CY81/CY11*100</f>
        <v>9.9367236934614489</v>
      </c>
      <c r="DA81" s="451">
        <f t="shared" si="241"/>
        <v>-5.9866962305986648</v>
      </c>
      <c r="DC81" s="413">
        <f t="shared" ref="DC81:DC86" si="247">DC11-DC21-DC61-DC71-DC31-DC41-DC51</f>
        <v>430</v>
      </c>
      <c r="DD81" s="469">
        <f t="shared" ref="DD81:DD86" si="248">DC81/DC11*100</f>
        <v>10.282161645145864</v>
      </c>
      <c r="DE81" s="451">
        <f>(DC81/CY81-1)*100</f>
        <v>1.4150943396226356</v>
      </c>
      <c r="DG81" s="413">
        <f t="shared" ref="DG81:DG86" si="249">DG11-DG21-DG61-DG71-DG31-DG41-DG51</f>
        <v>407</v>
      </c>
      <c r="DH81" s="469">
        <f t="shared" ref="DH81:DH86" si="250">DG81/DG11*100</f>
        <v>9.8214285714285712</v>
      </c>
      <c r="DI81" s="451">
        <f t="shared" si="243"/>
        <v>-5.3488372093023262</v>
      </c>
      <c r="DJ81" s="451"/>
      <c r="DK81" s="413">
        <f t="shared" ref="DK81:DK86" si="251">DK11-DK21-DK61-DK71-DK31-DK41-DK51</f>
        <v>433.57104080000056</v>
      </c>
      <c r="DL81" s="469">
        <f t="shared" ref="DL81:DL86" si="252">DK81/DK11*100</f>
        <v>10.383705479284094</v>
      </c>
      <c r="DM81" s="451">
        <f t="shared" si="244"/>
        <v>6.5285112530713896</v>
      </c>
      <c r="DN81" s="451"/>
      <c r="DO81" s="421"/>
    </row>
    <row r="82" spans="1:122" outlineLevel="1" x14ac:dyDescent="0.2">
      <c r="A82" s="448" t="s">
        <v>91</v>
      </c>
      <c r="C82" s="413">
        <f t="shared" si="168"/>
        <v>13.666999999999984</v>
      </c>
      <c r="D82" s="485" t="s">
        <v>94</v>
      </c>
      <c r="E82" s="470" t="s">
        <v>1</v>
      </c>
      <c r="F82" s="305"/>
      <c r="G82" s="413">
        <f t="shared" si="169"/>
        <v>15.399999999999995</v>
      </c>
      <c r="H82" s="469">
        <f t="shared" si="170"/>
        <v>6.4273789649415676</v>
      </c>
      <c r="I82" s="471">
        <f t="shared" si="171"/>
        <v>12.680178532231023</v>
      </c>
      <c r="K82" s="413">
        <f t="shared" si="172"/>
        <v>20.468999999999994</v>
      </c>
      <c r="L82" s="469">
        <f t="shared" si="173"/>
        <v>7.1770687237026634</v>
      </c>
      <c r="M82" s="471">
        <f t="shared" si="174"/>
        <v>32.915584415584419</v>
      </c>
      <c r="O82" s="413">
        <f t="shared" si="175"/>
        <v>24.684999999999985</v>
      </c>
      <c r="P82" s="469">
        <f t="shared" si="176"/>
        <v>7.2411264300381308</v>
      </c>
      <c r="Q82" s="471">
        <f t="shared" si="177"/>
        <v>20.597000341980511</v>
      </c>
      <c r="R82" s="305"/>
      <c r="S82" s="413">
        <f t="shared" si="178"/>
        <v>25.651000000000007</v>
      </c>
      <c r="T82" s="469">
        <f t="shared" si="179"/>
        <v>6.5856225930680372</v>
      </c>
      <c r="U82" s="471">
        <f t="shared" si="180"/>
        <v>3.9133076767268404</v>
      </c>
      <c r="W82" s="413">
        <f t="shared" si="181"/>
        <v>30.810000000000006</v>
      </c>
      <c r="X82" s="469">
        <f t="shared" si="182"/>
        <v>6.3303883295664694</v>
      </c>
      <c r="Y82" s="471">
        <f t="shared" si="183"/>
        <v>20.112276324509757</v>
      </c>
      <c r="AA82" s="413">
        <f t="shared" si="184"/>
        <v>42.078000000000031</v>
      </c>
      <c r="AB82" s="469">
        <f t="shared" si="185"/>
        <v>7.0341023069207669</v>
      </c>
      <c r="AC82" s="471">
        <f t="shared" si="186"/>
        <v>36.572541382668035</v>
      </c>
      <c r="AE82" s="413">
        <f t="shared" si="187"/>
        <v>59.729999999999919</v>
      </c>
      <c r="AF82" s="469">
        <f t="shared" si="188"/>
        <v>7.8820269200316613</v>
      </c>
      <c r="AG82" s="471">
        <f t="shared" si="189"/>
        <v>41.950663054327379</v>
      </c>
      <c r="AI82" s="413">
        <f t="shared" si="190"/>
        <v>65.861000000000075</v>
      </c>
      <c r="AJ82" s="469">
        <f t="shared" si="191"/>
        <v>7.4096866737919864</v>
      </c>
      <c r="AK82" s="471">
        <f t="shared" si="192"/>
        <v>10.264523689938333</v>
      </c>
      <c r="AM82" s="413">
        <f t="shared" si="193"/>
        <v>92.533000000000044</v>
      </c>
      <c r="AN82" s="469">
        <f t="shared" si="194"/>
        <v>8.4145387749163429</v>
      </c>
      <c r="AO82" s="471">
        <f t="shared" si="195"/>
        <v>40.497411214527482</v>
      </c>
      <c r="AQ82" s="413">
        <f t="shared" si="196"/>
        <v>133.25899999999996</v>
      </c>
      <c r="AR82" s="469">
        <f t="shared" si="197"/>
        <v>9.2220761245674723</v>
      </c>
      <c r="AS82" s="471">
        <f t="shared" si="198"/>
        <v>44.012406384749106</v>
      </c>
      <c r="AU82" s="413">
        <f t="shared" si="199"/>
        <v>172.77500000000006</v>
      </c>
      <c r="AV82" s="469">
        <f t="shared" si="200"/>
        <v>9.8148318569190423</v>
      </c>
      <c r="AW82" s="471">
        <f t="shared" si="201"/>
        <v>29.653531844003123</v>
      </c>
      <c r="AY82" s="413">
        <f t="shared" si="202"/>
        <v>225.11000000000007</v>
      </c>
      <c r="AZ82" s="469">
        <f t="shared" si="203"/>
        <v>10.502472706914251</v>
      </c>
      <c r="BA82" s="471">
        <f t="shared" si="204"/>
        <v>30.290840688757047</v>
      </c>
      <c r="BC82" s="413">
        <f t="shared" si="205"/>
        <v>206.20999999999989</v>
      </c>
      <c r="BD82" s="469">
        <f t="shared" si="206"/>
        <v>8.6136173767752684</v>
      </c>
      <c r="BE82" s="471">
        <f t="shared" si="207"/>
        <v>-8.3958953400560468</v>
      </c>
      <c r="BG82" s="413">
        <f t="shared" si="208"/>
        <v>231.50600000000011</v>
      </c>
      <c r="BH82" s="469">
        <f t="shared" si="209"/>
        <v>8.4371150552133862</v>
      </c>
      <c r="BI82" s="471">
        <f t="shared" si="210"/>
        <v>12.267106347897894</v>
      </c>
      <c r="BK82" s="413">
        <f t="shared" si="211"/>
        <v>267.40000000000009</v>
      </c>
      <c r="BL82" s="469">
        <f t="shared" si="212"/>
        <v>8.5721613130730283</v>
      </c>
      <c r="BM82" s="471">
        <f t="shared" si="213"/>
        <v>15.504565756395072</v>
      </c>
      <c r="BO82" s="413">
        <f t="shared" si="214"/>
        <v>369.38400000000047</v>
      </c>
      <c r="BP82" s="469">
        <f t="shared" si="215"/>
        <v>10.118740093806494</v>
      </c>
      <c r="BQ82" s="471">
        <f t="shared" si="216"/>
        <v>38.139117427075675</v>
      </c>
      <c r="BS82" s="413">
        <f t="shared" si="217"/>
        <v>330.90000000000003</v>
      </c>
      <c r="BT82" s="469">
        <f t="shared" si="218"/>
        <v>8.6505280769632975</v>
      </c>
      <c r="BU82" s="471">
        <f t="shared" si="219"/>
        <v>-10.41842635306358</v>
      </c>
      <c r="BW82" s="413">
        <f t="shared" si="220"/>
        <v>285.33899999999994</v>
      </c>
      <c r="BX82" s="469">
        <f t="shared" si="221"/>
        <v>7.5017174297628397</v>
      </c>
      <c r="BY82" s="471">
        <f t="shared" si="222"/>
        <v>-13.768812330009094</v>
      </c>
      <c r="CA82" s="413">
        <f t="shared" si="223"/>
        <v>339</v>
      </c>
      <c r="CB82" s="469">
        <f t="shared" si="224"/>
        <v>8.3683041224389036</v>
      </c>
      <c r="CC82" s="471">
        <f t="shared" si="225"/>
        <v>18.806051748972298</v>
      </c>
      <c r="CE82" s="413">
        <f t="shared" si="226"/>
        <v>356</v>
      </c>
      <c r="CF82" s="469">
        <f t="shared" si="227"/>
        <v>8.4400189663347565</v>
      </c>
      <c r="CG82" s="471">
        <f t="shared" si="228"/>
        <v>5.0147492625368661</v>
      </c>
      <c r="CI82" s="413">
        <f t="shared" si="229"/>
        <v>416</v>
      </c>
      <c r="CJ82" s="469">
        <f t="shared" si="230"/>
        <v>9.506398537477148</v>
      </c>
      <c r="CK82" s="451">
        <f t="shared" si="231"/>
        <v>16.853932584269661</v>
      </c>
      <c r="CM82" s="413">
        <f t="shared" si="232"/>
        <v>425</v>
      </c>
      <c r="CN82" s="469">
        <f t="shared" si="233"/>
        <v>9.4654788418708247</v>
      </c>
      <c r="CO82" s="451">
        <f t="shared" si="234"/>
        <v>2.1634615384615419</v>
      </c>
      <c r="CQ82" s="413">
        <f t="shared" si="235"/>
        <v>365</v>
      </c>
      <c r="CR82" s="469">
        <f t="shared" si="236"/>
        <v>8.2133213321332139</v>
      </c>
      <c r="CS82" s="451">
        <f t="shared" si="237"/>
        <v>-14.117647058823534</v>
      </c>
      <c r="CU82" s="413">
        <f t="shared" si="238"/>
        <v>304</v>
      </c>
      <c r="CV82" s="469">
        <f t="shared" si="239"/>
        <v>6.9501600365797902</v>
      </c>
      <c r="CW82" s="451">
        <f t="shared" si="240"/>
        <v>-16.712328767123285</v>
      </c>
      <c r="CY82" s="413">
        <f t="shared" si="245"/>
        <v>308</v>
      </c>
      <c r="CZ82" s="469">
        <f t="shared" si="246"/>
        <v>6.9573074316693013</v>
      </c>
      <c r="DA82" s="451">
        <f>(CY82/CU82-1)*100</f>
        <v>1.3157894736842035</v>
      </c>
      <c r="DC82" s="413">
        <f t="shared" si="247"/>
        <v>295</v>
      </c>
      <c r="DD82" s="469">
        <f t="shared" si="248"/>
        <v>6.8176565749942224</v>
      </c>
      <c r="DE82" s="451">
        <f t="shared" si="242"/>
        <v>-4.2207792207792245</v>
      </c>
      <c r="DG82" s="413">
        <f t="shared" si="249"/>
        <v>257</v>
      </c>
      <c r="DH82" s="469">
        <f t="shared" si="250"/>
        <v>5.9325946445060023</v>
      </c>
      <c r="DI82" s="451">
        <f t="shared" si="243"/>
        <v>-12.881355932203387</v>
      </c>
      <c r="DJ82" s="451"/>
      <c r="DK82" s="413">
        <f t="shared" si="251"/>
        <v>255.50783909999996</v>
      </c>
      <c r="DL82" s="469">
        <f t="shared" si="252"/>
        <v>5.9749273805520042</v>
      </c>
      <c r="DM82" s="451">
        <f t="shared" si="244"/>
        <v>-0.58060735408561603</v>
      </c>
      <c r="DN82" s="1291"/>
      <c r="DO82" s="421"/>
    </row>
    <row r="83" spans="1:122" outlineLevel="1" x14ac:dyDescent="0.2">
      <c r="A83" s="448" t="s">
        <v>92</v>
      </c>
      <c r="C83" s="491">
        <f t="shared" si="168"/>
        <v>27.402999999999967</v>
      </c>
      <c r="D83" s="485" t="s">
        <v>94</v>
      </c>
      <c r="E83" s="470" t="s">
        <v>1</v>
      </c>
      <c r="F83" s="305"/>
      <c r="G83" s="491">
        <f t="shared" si="169"/>
        <v>29.742999999999967</v>
      </c>
      <c r="H83" s="469">
        <f t="shared" si="170"/>
        <v>9.2628464652756044</v>
      </c>
      <c r="I83" s="471">
        <f t="shared" si="171"/>
        <v>8.539211035288119</v>
      </c>
      <c r="K83" s="491">
        <f t="shared" si="172"/>
        <v>38.33799999999998</v>
      </c>
      <c r="L83" s="469">
        <f t="shared" si="173"/>
        <v>10.1049024775962</v>
      </c>
      <c r="M83" s="471">
        <f t="shared" si="174"/>
        <v>28.897555727398117</v>
      </c>
      <c r="O83" s="491">
        <f t="shared" si="175"/>
        <v>50.055000000000042</v>
      </c>
      <c r="P83" s="469">
        <f t="shared" si="176"/>
        <v>10.950557864799833</v>
      </c>
      <c r="Q83" s="471">
        <f t="shared" si="177"/>
        <v>30.562366320622015</v>
      </c>
      <c r="R83" s="305"/>
      <c r="S83" s="491">
        <f t="shared" si="178"/>
        <v>60.057000000000016</v>
      </c>
      <c r="T83" s="469">
        <f t="shared" si="179"/>
        <v>10.641988871956624</v>
      </c>
      <c r="U83" s="471">
        <f t="shared" si="180"/>
        <v>19.982019778243853</v>
      </c>
      <c r="W83" s="491">
        <f t="shared" si="181"/>
        <v>74.613000000000028</v>
      </c>
      <c r="X83" s="469">
        <f t="shared" si="182"/>
        <v>10.553465346534658</v>
      </c>
      <c r="Y83" s="471">
        <f t="shared" si="183"/>
        <v>24.236974873869844</v>
      </c>
      <c r="AA83" s="491">
        <f t="shared" si="184"/>
        <v>91.135000000000005</v>
      </c>
      <c r="AB83" s="469">
        <f t="shared" si="185"/>
        <v>10.75974025974026</v>
      </c>
      <c r="AC83" s="471">
        <f t="shared" si="186"/>
        <v>22.143594279817158</v>
      </c>
      <c r="AE83" s="491">
        <f t="shared" si="187"/>
        <v>126.154</v>
      </c>
      <c r="AF83" s="469">
        <f t="shared" si="188"/>
        <v>11.704768973835591</v>
      </c>
      <c r="AG83" s="471">
        <f t="shared" si="189"/>
        <v>38.425412849070042</v>
      </c>
      <c r="AI83" s="491">
        <f t="shared" si="190"/>
        <v>158.15100000000001</v>
      </c>
      <c r="AJ83" s="469">
        <f t="shared" si="191"/>
        <v>12.264521132221793</v>
      </c>
      <c r="AK83" s="471">
        <f t="shared" si="192"/>
        <v>25.363444678726022</v>
      </c>
      <c r="AM83" s="491">
        <f t="shared" si="193"/>
        <v>203.45599999999996</v>
      </c>
      <c r="AN83" s="469">
        <f t="shared" si="194"/>
        <v>12.656671850699841</v>
      </c>
      <c r="AO83" s="471">
        <f t="shared" si="195"/>
        <v>28.64667311619904</v>
      </c>
      <c r="AQ83" s="491">
        <f t="shared" si="196"/>
        <v>297.46699999999987</v>
      </c>
      <c r="AR83" s="469">
        <f t="shared" si="197"/>
        <v>13.380729611803332</v>
      </c>
      <c r="AS83" s="471">
        <f t="shared" si="198"/>
        <v>46.207042308902132</v>
      </c>
      <c r="AU83" s="491">
        <f t="shared" si="199"/>
        <v>387.75599999999974</v>
      </c>
      <c r="AV83" s="469">
        <f t="shared" si="200"/>
        <v>14.233756699214439</v>
      </c>
      <c r="AW83" s="471">
        <f t="shared" si="201"/>
        <v>30.352610541673506</v>
      </c>
      <c r="AY83" s="491">
        <f t="shared" si="202"/>
        <v>462.8540000000005</v>
      </c>
      <c r="AZ83" s="469">
        <f t="shared" si="203"/>
        <v>14.535045848511508</v>
      </c>
      <c r="BA83" s="471">
        <f t="shared" si="204"/>
        <v>19.367334096700194</v>
      </c>
      <c r="BC83" s="491">
        <f t="shared" si="205"/>
        <v>409.70000000000033</v>
      </c>
      <c r="BD83" s="469">
        <f t="shared" si="206"/>
        <v>11.502288104663251</v>
      </c>
      <c r="BE83" s="471">
        <f t="shared" si="207"/>
        <v>-11.483966866441708</v>
      </c>
      <c r="BG83" s="491">
        <f t="shared" si="208"/>
        <v>529.96899999999982</v>
      </c>
      <c r="BH83" s="469">
        <f t="shared" si="209"/>
        <v>12.993576384632355</v>
      </c>
      <c r="BI83" s="471">
        <f t="shared" si="210"/>
        <v>29.355381986819484</v>
      </c>
      <c r="BK83" s="491">
        <f t="shared" si="211"/>
        <v>621.59999999999945</v>
      </c>
      <c r="BL83" s="469">
        <f t="shared" si="212"/>
        <v>13.36228207829058</v>
      </c>
      <c r="BM83" s="471">
        <f t="shared" si="213"/>
        <v>17.289879219350503</v>
      </c>
      <c r="BO83" s="491">
        <f t="shared" si="214"/>
        <v>787.80000000000018</v>
      </c>
      <c r="BP83" s="469">
        <f t="shared" si="215"/>
        <v>14.458760048452815</v>
      </c>
      <c r="BQ83" s="471">
        <f t="shared" si="216"/>
        <v>26.737451737451877</v>
      </c>
      <c r="BS83" s="491">
        <f t="shared" si="217"/>
        <v>683.80000000000007</v>
      </c>
      <c r="BT83" s="469">
        <f t="shared" si="218"/>
        <v>12.461502013740819</v>
      </c>
      <c r="BU83" s="471">
        <f t="shared" si="219"/>
        <v>-13.201320132013217</v>
      </c>
      <c r="BW83" s="491">
        <f t="shared" si="220"/>
        <v>573</v>
      </c>
      <c r="BX83" s="469">
        <f t="shared" si="221"/>
        <v>10.945558739255015</v>
      </c>
      <c r="BY83" s="471">
        <f t="shared" si="222"/>
        <v>-16.203568294823057</v>
      </c>
      <c r="CA83" s="491">
        <f t="shared" si="223"/>
        <v>723</v>
      </c>
      <c r="CB83" s="469">
        <f t="shared" si="224"/>
        <v>12.722153792011262</v>
      </c>
      <c r="CC83" s="471">
        <f t="shared" si="225"/>
        <v>26.178010471204182</v>
      </c>
      <c r="CE83" s="491">
        <f t="shared" si="226"/>
        <v>861</v>
      </c>
      <c r="CF83" s="469">
        <f t="shared" si="227"/>
        <v>14.259688638622059</v>
      </c>
      <c r="CG83" s="471">
        <f t="shared" si="228"/>
        <v>19.087136929460581</v>
      </c>
      <c r="CI83" s="491">
        <f t="shared" si="229"/>
        <v>805</v>
      </c>
      <c r="CJ83" s="469">
        <f t="shared" si="230"/>
        <v>13.376537055500165</v>
      </c>
      <c r="CK83" s="451">
        <f t="shared" si="231"/>
        <v>-6.5040650406504081</v>
      </c>
      <c r="CM83" s="491">
        <f t="shared" si="232"/>
        <v>686</v>
      </c>
      <c r="CN83" s="469">
        <f t="shared" si="233"/>
        <v>10.816777041942604</v>
      </c>
      <c r="CO83" s="451">
        <f t="shared" si="234"/>
        <v>-14.782608695652177</v>
      </c>
      <c r="CQ83" s="491">
        <f t="shared" si="235"/>
        <v>609</v>
      </c>
      <c r="CR83" s="469">
        <f t="shared" si="236"/>
        <v>9.985243482538122</v>
      </c>
      <c r="CS83" s="451">
        <f t="shared" si="237"/>
        <v>-11.22448979591837</v>
      </c>
      <c r="CU83" s="491">
        <f>CU13-CU23-CU63-CU73-CU33-CU43-CU53</f>
        <v>654</v>
      </c>
      <c r="CV83" s="469">
        <f t="shared" si="239"/>
        <v>10.320340855294303</v>
      </c>
      <c r="CW83" s="451">
        <f t="shared" si="240"/>
        <v>7.3891625615763568</v>
      </c>
      <c r="CY83" s="491">
        <f t="shared" si="245"/>
        <v>541</v>
      </c>
      <c r="CZ83" s="469">
        <f t="shared" si="246"/>
        <v>8.4703303585407852</v>
      </c>
      <c r="DA83" s="451">
        <f t="shared" si="241"/>
        <v>-17.278287461773701</v>
      </c>
      <c r="DC83" s="491">
        <f t="shared" si="247"/>
        <v>473</v>
      </c>
      <c r="DD83" s="469">
        <f t="shared" si="248"/>
        <v>7.6228847703464941</v>
      </c>
      <c r="DE83" s="451">
        <f t="shared" si="242"/>
        <v>-12.569316081330872</v>
      </c>
      <c r="DG83" s="491">
        <f t="shared" si="249"/>
        <v>567</v>
      </c>
      <c r="DH83" s="469">
        <f t="shared" si="250"/>
        <v>8.3677685950413228</v>
      </c>
      <c r="DI83" s="451">
        <f t="shared" si="243"/>
        <v>19.873150105708248</v>
      </c>
      <c r="DJ83" s="451"/>
      <c r="DK83" s="491">
        <f t="shared" si="251"/>
        <v>468.0350935999993</v>
      </c>
      <c r="DL83" s="469">
        <f t="shared" si="252"/>
        <v>7.3622335794861407</v>
      </c>
      <c r="DM83" s="451">
        <f t="shared" si="244"/>
        <v>-17.454128112874901</v>
      </c>
      <c r="DN83" s="451"/>
      <c r="DO83" s="421"/>
      <c r="DR83" s="413"/>
    </row>
    <row r="84" spans="1:122" outlineLevel="1" x14ac:dyDescent="0.2">
      <c r="A84" s="448" t="s">
        <v>93</v>
      </c>
      <c r="C84" s="319">
        <f t="shared" si="168"/>
        <v>50.926000000000037</v>
      </c>
      <c r="D84" s="485" t="s">
        <v>94</v>
      </c>
      <c r="E84" s="470" t="s">
        <v>1</v>
      </c>
      <c r="F84" s="305"/>
      <c r="G84" s="319">
        <f t="shared" si="169"/>
        <v>59.310999999999972</v>
      </c>
      <c r="H84" s="469">
        <f t="shared" si="170"/>
        <v>6.3746069004950385</v>
      </c>
      <c r="I84" s="471">
        <f t="shared" si="171"/>
        <v>16.465066959902465</v>
      </c>
      <c r="K84" s="319">
        <f t="shared" si="172"/>
        <v>82.261999999999958</v>
      </c>
      <c r="L84" s="469">
        <f t="shared" si="173"/>
        <v>7.499799426725108</v>
      </c>
      <c r="M84" s="471">
        <f t="shared" si="174"/>
        <v>38.696026032270559</v>
      </c>
      <c r="O84" s="319">
        <f t="shared" si="175"/>
        <v>102.25599999999993</v>
      </c>
      <c r="P84" s="469">
        <f t="shared" si="176"/>
        <v>7.8321078431372495</v>
      </c>
      <c r="Q84" s="471">
        <f t="shared" si="177"/>
        <v>24.30526853225059</v>
      </c>
      <c r="R84" s="305"/>
      <c r="S84" s="319">
        <f t="shared" si="178"/>
        <v>123.81499999999983</v>
      </c>
      <c r="T84" s="469">
        <f t="shared" si="179"/>
        <v>7.9672981390440292</v>
      </c>
      <c r="U84" s="471">
        <f t="shared" si="180"/>
        <v>21.083359411672586</v>
      </c>
      <c r="W84" s="319">
        <f t="shared" si="181"/>
        <v>149.93100000000021</v>
      </c>
      <c r="X84" s="469">
        <f t="shared" si="182"/>
        <v>7.7859175174965269</v>
      </c>
      <c r="Y84" s="471">
        <f t="shared" si="183"/>
        <v>21.092759358721015</v>
      </c>
      <c r="AA84" s="319">
        <f t="shared" si="184"/>
        <v>189.26799999999986</v>
      </c>
      <c r="AB84" s="469">
        <f t="shared" si="185"/>
        <v>7.924136487335141</v>
      </c>
      <c r="AC84" s="471">
        <f t="shared" si="186"/>
        <v>26.236735565026304</v>
      </c>
      <c r="AE84" s="319">
        <f t="shared" si="187"/>
        <v>258.82599999999985</v>
      </c>
      <c r="AF84" s="469">
        <f t="shared" si="188"/>
        <v>8.4581338290059964</v>
      </c>
      <c r="AG84" s="471">
        <f t="shared" si="189"/>
        <v>36.751061986178343</v>
      </c>
      <c r="AI84" s="319">
        <f t="shared" si="190"/>
        <v>322.7999999999995</v>
      </c>
      <c r="AJ84" s="469">
        <f t="shared" si="191"/>
        <v>8.7676888393948307</v>
      </c>
      <c r="AK84" s="471">
        <f t="shared" si="192"/>
        <v>24.716991337809844</v>
      </c>
      <c r="AM84" s="319">
        <f t="shared" si="193"/>
        <v>448.94299999999942</v>
      </c>
      <c r="AN84" s="469">
        <f t="shared" si="194"/>
        <v>9.8517658624790858</v>
      </c>
      <c r="AO84" s="471">
        <f t="shared" si="195"/>
        <v>39.077757125154932</v>
      </c>
      <c r="AQ84" s="319">
        <f t="shared" si="196"/>
        <v>634.93300000000102</v>
      </c>
      <c r="AR84" s="469">
        <f t="shared" si="197"/>
        <v>10.320421962875084</v>
      </c>
      <c r="AS84" s="471">
        <f t="shared" si="198"/>
        <v>41.428421870928346</v>
      </c>
      <c r="AU84" s="319">
        <f t="shared" si="199"/>
        <v>840.96799999999939</v>
      </c>
      <c r="AV84" s="469">
        <f t="shared" si="200"/>
        <v>11.229907248920558</v>
      </c>
      <c r="AW84" s="471">
        <f t="shared" si="201"/>
        <v>32.449880538576203</v>
      </c>
      <c r="AY84" s="319">
        <f t="shared" si="202"/>
        <v>1077.6490000000015</v>
      </c>
      <c r="AZ84" s="469">
        <f t="shared" si="203"/>
        <v>11.816067630095846</v>
      </c>
      <c r="BA84" s="471">
        <f t="shared" si="204"/>
        <v>28.143877055964349</v>
      </c>
      <c r="BC84" s="319">
        <f t="shared" si="205"/>
        <v>1006.6620000000003</v>
      </c>
      <c r="BD84" s="469">
        <f t="shared" si="206"/>
        <v>9.7905271347986798</v>
      </c>
      <c r="BE84" s="471">
        <f t="shared" si="207"/>
        <v>-6.5872097501135425</v>
      </c>
      <c r="BG84" s="319">
        <f t="shared" si="208"/>
        <v>1193.4550000000013</v>
      </c>
      <c r="BH84" s="469">
        <f t="shared" si="209"/>
        <v>10.199859837445633</v>
      </c>
      <c r="BI84" s="471">
        <f t="shared" si="210"/>
        <v>18.555682046208254</v>
      </c>
      <c r="BK84" s="319">
        <f t="shared" si="211"/>
        <v>1413.6999999999985</v>
      </c>
      <c r="BL84" s="469">
        <f t="shared" si="212"/>
        <v>10.548268194773982</v>
      </c>
      <c r="BM84" s="471">
        <f t="shared" si="213"/>
        <v>18.454403391832706</v>
      </c>
      <c r="BO84" s="319">
        <f t="shared" si="214"/>
        <v>1814.6460000000027</v>
      </c>
      <c r="BP84" s="469">
        <f t="shared" si="215"/>
        <v>11.643316994647728</v>
      </c>
      <c r="BQ84" s="471">
        <f t="shared" si="216"/>
        <v>28.361462828040217</v>
      </c>
      <c r="BS84" s="319">
        <f t="shared" si="217"/>
        <v>1804.4210000000003</v>
      </c>
      <c r="BT84" s="469">
        <f t="shared" si="218"/>
        <v>10.953343814686441</v>
      </c>
      <c r="BU84" s="471">
        <f t="shared" si="219"/>
        <v>-0.56347078162916064</v>
      </c>
      <c r="BW84" s="319">
        <f t="shared" si="220"/>
        <v>1536.3150000000001</v>
      </c>
      <c r="BX84" s="469">
        <f t="shared" si="221"/>
        <v>9.3744062110280684</v>
      </c>
      <c r="BY84" s="471">
        <f t="shared" si="222"/>
        <v>-14.85828418090901</v>
      </c>
      <c r="CA84" s="319">
        <f t="shared" si="223"/>
        <v>1859</v>
      </c>
      <c r="CB84" s="469">
        <f t="shared" si="224"/>
        <v>10.821981604377692</v>
      </c>
      <c r="CC84" s="471">
        <f t="shared" si="225"/>
        <v>21.003830594637172</v>
      </c>
      <c r="CE84" s="319">
        <f t="shared" si="226"/>
        <v>2093</v>
      </c>
      <c r="CF84" s="469">
        <f t="shared" si="227"/>
        <v>11.380566581480071</v>
      </c>
      <c r="CG84" s="471">
        <f t="shared" si="228"/>
        <v>12.587412587412583</v>
      </c>
      <c r="CI84" s="319">
        <f t="shared" si="229"/>
        <v>2159</v>
      </c>
      <c r="CJ84" s="469">
        <f t="shared" si="230"/>
        <v>11.481599659646884</v>
      </c>
      <c r="CK84" s="451">
        <f t="shared" si="231"/>
        <v>3.1533683707596794</v>
      </c>
      <c r="CM84" s="319">
        <f t="shared" si="232"/>
        <v>1889</v>
      </c>
      <c r="CN84" s="469">
        <f t="shared" si="233"/>
        <v>9.7977178423236513</v>
      </c>
      <c r="CO84" s="451">
        <f t="shared" si="234"/>
        <v>-12.505789717461791</v>
      </c>
      <c r="CQ84" s="319">
        <f t="shared" si="235"/>
        <v>1742</v>
      </c>
      <c r="CR84" s="469">
        <f t="shared" si="236"/>
        <v>9.153486416898744</v>
      </c>
      <c r="CS84" s="451">
        <f t="shared" si="237"/>
        <v>-7.7818951826363119</v>
      </c>
      <c r="CU84" s="319">
        <f t="shared" si="238"/>
        <v>1689</v>
      </c>
      <c r="CV84" s="469">
        <f>CU84/CU14*100</f>
        <v>8.8787257530357984</v>
      </c>
      <c r="CW84" s="451">
        <f>(CU84/CQ84-1)*100</f>
        <v>-3.0424799081515519</v>
      </c>
      <c r="CY84" s="319">
        <f t="shared" si="245"/>
        <v>1553</v>
      </c>
      <c r="CZ84" s="469">
        <f t="shared" si="246"/>
        <v>8.0868569048114978</v>
      </c>
      <c r="DA84" s="451">
        <f>(CY84/CU84-1)*100</f>
        <v>-8.0521018354055673</v>
      </c>
      <c r="DC84" s="319">
        <f t="shared" si="247"/>
        <v>1368</v>
      </c>
      <c r="DD84" s="469">
        <f t="shared" si="248"/>
        <v>7.3209889757037345</v>
      </c>
      <c r="DE84" s="451">
        <f t="shared" si="242"/>
        <v>-11.912427559562133</v>
      </c>
      <c r="DG84" s="319">
        <f t="shared" si="249"/>
        <v>1416</v>
      </c>
      <c r="DH84" s="469">
        <f t="shared" si="250"/>
        <v>7.4155538098978795</v>
      </c>
      <c r="DI84" s="451">
        <f t="shared" si="243"/>
        <v>3.5087719298245723</v>
      </c>
      <c r="DJ84" s="451"/>
      <c r="DK84" s="319">
        <f t="shared" si="251"/>
        <v>1336.8090430399989</v>
      </c>
      <c r="DL84" s="469">
        <f t="shared" si="252"/>
        <v>7.1163494992334053</v>
      </c>
      <c r="DM84" s="451">
        <f t="shared" si="244"/>
        <v>-5.592581706214772</v>
      </c>
      <c r="DN84" s="451"/>
      <c r="DO84" s="421"/>
    </row>
    <row r="85" spans="1:122" outlineLevel="1" x14ac:dyDescent="0.2">
      <c r="A85" s="448" t="s">
        <v>467</v>
      </c>
      <c r="C85" s="413">
        <f t="shared" si="168"/>
        <v>9.8560000000000265</v>
      </c>
      <c r="D85" s="485" t="s">
        <v>94</v>
      </c>
      <c r="E85" s="470" t="s">
        <v>1</v>
      </c>
      <c r="F85" s="305"/>
      <c r="G85" s="413">
        <f t="shared" si="169"/>
        <v>14.168000000000006</v>
      </c>
      <c r="H85" s="469">
        <f t="shared" si="170"/>
        <v>3.8320269605058894</v>
      </c>
      <c r="I85" s="471">
        <f t="shared" si="171"/>
        <v>43.749999999999666</v>
      </c>
      <c r="K85" s="413">
        <f t="shared" si="172"/>
        <v>20.397999999999993</v>
      </c>
      <c r="L85" s="469">
        <f t="shared" si="173"/>
        <v>4.75256290773532</v>
      </c>
      <c r="M85" s="471">
        <f t="shared" si="174"/>
        <v>43.972332015810167</v>
      </c>
      <c r="O85" s="413">
        <f t="shared" si="175"/>
        <v>27.515999999999984</v>
      </c>
      <c r="P85" s="469">
        <f t="shared" si="176"/>
        <v>5.4208037825059074</v>
      </c>
      <c r="Q85" s="471">
        <f t="shared" si="177"/>
        <v>34.895577997842885</v>
      </c>
      <c r="R85" s="305"/>
      <c r="S85" s="413">
        <f t="shared" si="178"/>
        <v>38.107000000000035</v>
      </c>
      <c r="T85" s="469">
        <f t="shared" si="179"/>
        <v>6.3490503165611516</v>
      </c>
      <c r="U85" s="471">
        <f t="shared" si="180"/>
        <v>38.490332897223631</v>
      </c>
      <c r="W85" s="413">
        <f t="shared" si="181"/>
        <v>44.239000000000068</v>
      </c>
      <c r="X85" s="469">
        <f t="shared" si="182"/>
        <v>6.0460571272379475</v>
      </c>
      <c r="Y85" s="471">
        <f t="shared" si="183"/>
        <v>16.091531739575473</v>
      </c>
      <c r="AA85" s="413">
        <f t="shared" si="184"/>
        <v>56.054999999999986</v>
      </c>
      <c r="AB85" s="469">
        <f t="shared" si="185"/>
        <v>5.9424361284851042</v>
      </c>
      <c r="AC85" s="471">
        <f t="shared" si="186"/>
        <v>26.709464499649393</v>
      </c>
      <c r="AE85" s="413">
        <f t="shared" si="187"/>
        <v>72.94199999999995</v>
      </c>
      <c r="AF85" s="469">
        <f t="shared" si="188"/>
        <v>5.9569581962687916</v>
      </c>
      <c r="AG85" s="471">
        <f t="shared" si="189"/>
        <v>30.125769333690066</v>
      </c>
      <c r="AI85" s="413">
        <f t="shared" si="190"/>
        <v>98.78799999999984</v>
      </c>
      <c r="AJ85" s="469">
        <f t="shared" si="191"/>
        <v>6.5711910067515786</v>
      </c>
      <c r="AK85" s="471">
        <f t="shared" si="192"/>
        <v>35.433632200926638</v>
      </c>
      <c r="AM85" s="413">
        <f t="shared" si="193"/>
        <v>147.15399999999985</v>
      </c>
      <c r="AN85" s="469">
        <f t="shared" si="194"/>
        <v>7.9551302843550582</v>
      </c>
      <c r="AO85" s="471">
        <f t="shared" si="195"/>
        <v>48.959387779892396</v>
      </c>
      <c r="AQ85" s="413">
        <f t="shared" si="196"/>
        <v>204.20700000000051</v>
      </c>
      <c r="AR85" s="469">
        <f t="shared" si="197"/>
        <v>8.2205627792762144</v>
      </c>
      <c r="AS85" s="471">
        <f t="shared" si="198"/>
        <v>38.770947442815483</v>
      </c>
      <c r="AU85" s="413">
        <f t="shared" si="199"/>
        <v>280.43699999999978</v>
      </c>
      <c r="AV85" s="469">
        <f t="shared" si="200"/>
        <v>9.3351419726373877</v>
      </c>
      <c r="AW85" s="471">
        <f t="shared" si="201"/>
        <v>37.329768323318532</v>
      </c>
      <c r="AY85" s="413">
        <f t="shared" si="202"/>
        <v>391.78400000000022</v>
      </c>
      <c r="AZ85" s="469">
        <f t="shared" si="203"/>
        <v>10.330766796751403</v>
      </c>
      <c r="BA85" s="471">
        <f t="shared" si="204"/>
        <v>39.70481783787465</v>
      </c>
      <c r="BC85" s="413">
        <f t="shared" si="205"/>
        <v>392.89700000000028</v>
      </c>
      <c r="BD85" s="469">
        <f t="shared" si="206"/>
        <v>9.0820138230739058</v>
      </c>
      <c r="BE85" s="471">
        <f t="shared" si="207"/>
        <v>0.28408510812081289</v>
      </c>
      <c r="BG85" s="413">
        <f t="shared" si="208"/>
        <v>431.98000000000047</v>
      </c>
      <c r="BH85" s="469">
        <f t="shared" si="209"/>
        <v>8.8554970172813281</v>
      </c>
      <c r="BI85" s="471">
        <f t="shared" si="210"/>
        <v>9.9473907919887861</v>
      </c>
      <c r="BK85" s="413">
        <f t="shared" si="211"/>
        <v>524.6999999999997</v>
      </c>
      <c r="BL85" s="469">
        <f t="shared" si="212"/>
        <v>9.3182262160578198</v>
      </c>
      <c r="BM85" s="471">
        <f t="shared" si="213"/>
        <v>21.463956664660188</v>
      </c>
      <c r="BO85" s="413">
        <f t="shared" si="214"/>
        <v>657.46200000000044</v>
      </c>
      <c r="BP85" s="469">
        <f t="shared" si="215"/>
        <v>10.136309248224739</v>
      </c>
      <c r="BQ85" s="471">
        <f t="shared" si="216"/>
        <v>25.302458547741715</v>
      </c>
      <c r="BS85" s="413">
        <f t="shared" si="217"/>
        <v>789.72099999999978</v>
      </c>
      <c r="BT85" s="469">
        <f t="shared" si="218"/>
        <v>11.027774674635534</v>
      </c>
      <c r="BU85" s="471">
        <f t="shared" si="219"/>
        <v>20.116599894746656</v>
      </c>
      <c r="BW85" s="413">
        <f t="shared" si="220"/>
        <v>677.97599999999954</v>
      </c>
      <c r="BX85" s="469">
        <f t="shared" si="221"/>
        <v>9.2244782781017367</v>
      </c>
      <c r="BY85" s="471">
        <f t="shared" si="222"/>
        <v>-14.149933964020233</v>
      </c>
      <c r="CA85" s="413">
        <f t="shared" si="223"/>
        <v>650</v>
      </c>
      <c r="CB85" s="469">
        <f t="shared" si="224"/>
        <v>8.7318645889306818</v>
      </c>
      <c r="CC85" s="471">
        <f t="shared" si="225"/>
        <v>-4.1263997545635149</v>
      </c>
      <c r="CE85" s="413">
        <f t="shared" si="226"/>
        <v>876</v>
      </c>
      <c r="CF85" s="469">
        <f t="shared" si="227"/>
        <v>10.768285187461586</v>
      </c>
      <c r="CG85" s="471">
        <f t="shared" si="228"/>
        <v>34.769230769230774</v>
      </c>
      <c r="CI85" s="413">
        <f t="shared" si="229"/>
        <v>938</v>
      </c>
      <c r="CJ85" s="469">
        <f t="shared" si="230"/>
        <v>11.153388822829964</v>
      </c>
      <c r="CK85" s="451">
        <f t="shared" si="231"/>
        <v>7.077625570776247</v>
      </c>
      <c r="CM85" s="413">
        <f t="shared" si="232"/>
        <v>778</v>
      </c>
      <c r="CN85" s="469">
        <f t="shared" si="233"/>
        <v>9.2092803030303028</v>
      </c>
      <c r="CO85" s="451">
        <f t="shared" si="234"/>
        <v>-17.057569296375263</v>
      </c>
      <c r="CQ85" s="413">
        <f>CQ15-CQ25-CQ65-CQ75-CQ35-CQ45-CQ55</f>
        <v>768</v>
      </c>
      <c r="CR85" s="469">
        <f t="shared" si="236"/>
        <v>9.0480678605089544</v>
      </c>
      <c r="CS85" s="451">
        <f t="shared" si="237"/>
        <v>-1.2853470437018011</v>
      </c>
      <c r="CU85" s="413">
        <f>CU15-CU25-CU65-CU75-CU35-CU45-CU55</f>
        <v>731</v>
      </c>
      <c r="CV85" s="469">
        <f t="shared" si="239"/>
        <v>8.7945139557266607</v>
      </c>
      <c r="CW85" s="451">
        <f t="shared" si="240"/>
        <v>-4.8177083333333375</v>
      </c>
      <c r="CY85" s="413">
        <f>CY15-CY25-CY65-CY75-CY35-CY45-CY55</f>
        <v>704</v>
      </c>
      <c r="CZ85" s="469">
        <f t="shared" si="246"/>
        <v>8.3909415971394523</v>
      </c>
      <c r="DA85" s="451">
        <f t="shared" si="241"/>
        <v>-3.6935704514363898</v>
      </c>
      <c r="DC85" s="413">
        <f>DC15-DC25-DC65-DC75-DC35-DC45-DC55</f>
        <v>600</v>
      </c>
      <c r="DD85" s="469">
        <f t="shared" si="248"/>
        <v>7.3583517292126563</v>
      </c>
      <c r="DE85" s="451">
        <f t="shared" si="242"/>
        <v>-14.77272727272727</v>
      </c>
      <c r="DG85" s="413">
        <f>DG15-DG25-DG65-DG75-DG35-DG45-DG55</f>
        <v>592</v>
      </c>
      <c r="DH85" s="469">
        <f t="shared" si="250"/>
        <v>7.4120445724301991</v>
      </c>
      <c r="DI85" s="451">
        <f t="shared" si="243"/>
        <v>-1.3333333333333308</v>
      </c>
      <c r="DJ85" s="451"/>
      <c r="DK85" s="413">
        <f>DK15-DK25-DK65-DK75-DK35-DK45-DK55</f>
        <v>613.26611034000052</v>
      </c>
      <c r="DL85" s="469">
        <f t="shared" si="252"/>
        <v>7.5233877713375223</v>
      </c>
      <c r="DM85" s="451">
        <f t="shared" si="244"/>
        <v>3.5922483682433226</v>
      </c>
      <c r="DN85" s="451"/>
      <c r="DO85" s="303" t="s">
        <v>232</v>
      </c>
    </row>
    <row r="86" spans="1:122" outlineLevel="1" x14ac:dyDescent="0.2">
      <c r="A86" s="448" t="s">
        <v>468</v>
      </c>
      <c r="C86" s="413">
        <f t="shared" si="168"/>
        <v>41.069999999999958</v>
      </c>
      <c r="D86" s="485" t="s">
        <v>94</v>
      </c>
      <c r="E86" s="470" t="s">
        <v>1</v>
      </c>
      <c r="F86" s="305"/>
      <c r="G86" s="413">
        <f t="shared" si="169"/>
        <v>45.142999999999972</v>
      </c>
      <c r="H86" s="469">
        <f t="shared" si="170"/>
        <v>8.0511860174781464</v>
      </c>
      <c r="I86" s="471">
        <f t="shared" si="171"/>
        <v>9.9172145118091581</v>
      </c>
      <c r="K86" s="413">
        <f t="shared" si="172"/>
        <v>58.806999999999917</v>
      </c>
      <c r="L86" s="469">
        <f t="shared" si="173"/>
        <v>8.8484802888955638</v>
      </c>
      <c r="M86" s="471">
        <f t="shared" si="174"/>
        <v>30.268258644751022</v>
      </c>
      <c r="O86" s="413">
        <f t="shared" si="175"/>
        <v>74.740000000000023</v>
      </c>
      <c r="P86" s="469">
        <f t="shared" si="176"/>
        <v>9.3659147869674229</v>
      </c>
      <c r="Q86" s="471">
        <f t="shared" si="177"/>
        <v>27.093713333446921</v>
      </c>
      <c r="R86" s="305"/>
      <c r="S86" s="413">
        <f t="shared" si="178"/>
        <v>85.708000000000013</v>
      </c>
      <c r="T86" s="469">
        <f t="shared" si="179"/>
        <v>8.98557410047807</v>
      </c>
      <c r="U86" s="471">
        <f t="shared" si="180"/>
        <v>14.674872892694646</v>
      </c>
      <c r="W86" s="413">
        <f t="shared" si="181"/>
        <v>105.42299999999999</v>
      </c>
      <c r="X86" s="469">
        <f t="shared" si="182"/>
        <v>8.8316159839155564</v>
      </c>
      <c r="Y86" s="471">
        <f t="shared" si="183"/>
        <v>23.002520184813523</v>
      </c>
      <c r="AA86" s="413">
        <f t="shared" si="184"/>
        <v>133.21299999999999</v>
      </c>
      <c r="AB86" s="469">
        <f t="shared" si="185"/>
        <v>9.2176169388319948</v>
      </c>
      <c r="AC86" s="471">
        <f t="shared" si="186"/>
        <v>26.36047162383921</v>
      </c>
      <c r="AE86" s="413">
        <f t="shared" si="187"/>
        <v>185.8839999999999</v>
      </c>
      <c r="AF86" s="469">
        <f t="shared" si="188"/>
        <v>10.12660710394421</v>
      </c>
      <c r="AG86" s="471">
        <f t="shared" si="189"/>
        <v>39.538933887833693</v>
      </c>
      <c r="AI86" s="413">
        <f t="shared" si="190"/>
        <v>224.01199999999983</v>
      </c>
      <c r="AJ86" s="469">
        <f t="shared" si="191"/>
        <v>10.283563247412026</v>
      </c>
      <c r="AK86" s="471">
        <f t="shared" si="192"/>
        <v>20.511716984786176</v>
      </c>
      <c r="AM86" s="413">
        <f t="shared" si="193"/>
        <v>295.98900000000043</v>
      </c>
      <c r="AN86" s="469">
        <f t="shared" si="194"/>
        <v>10.933480596044607</v>
      </c>
      <c r="AO86" s="471">
        <f t="shared" si="195"/>
        <v>32.130867989215162</v>
      </c>
      <c r="AQ86" s="413">
        <f t="shared" si="196"/>
        <v>430.72599999999977</v>
      </c>
      <c r="AR86" s="469">
        <f t="shared" si="197"/>
        <v>11.742482484119838</v>
      </c>
      <c r="AS86" s="471">
        <f t="shared" si="198"/>
        <v>45.520948413623195</v>
      </c>
      <c r="AU86" s="413">
        <f t="shared" si="199"/>
        <v>560.5310000000004</v>
      </c>
      <c r="AV86" s="469">
        <f t="shared" si="200"/>
        <v>12.499169369653035</v>
      </c>
      <c r="AW86" s="471">
        <f t="shared" si="201"/>
        <v>30.13632796719974</v>
      </c>
      <c r="AY86" s="413">
        <f t="shared" si="202"/>
        <v>687.9640000000004</v>
      </c>
      <c r="AZ86" s="469">
        <f t="shared" si="203"/>
        <v>12.912721949022119</v>
      </c>
      <c r="BA86" s="471">
        <f t="shared" si="204"/>
        <v>22.734335835127737</v>
      </c>
      <c r="BC86" s="413">
        <f t="shared" si="205"/>
        <v>615.91</v>
      </c>
      <c r="BD86" s="469">
        <f t="shared" si="206"/>
        <v>10.341174297755167</v>
      </c>
      <c r="BE86" s="471">
        <f t="shared" si="207"/>
        <v>-10.473513148943891</v>
      </c>
      <c r="BG86" s="413">
        <f t="shared" si="208"/>
        <v>761.47500000000036</v>
      </c>
      <c r="BH86" s="469">
        <f t="shared" si="209"/>
        <v>11.161067628176946</v>
      </c>
      <c r="BI86" s="471">
        <f t="shared" si="210"/>
        <v>23.634134857365584</v>
      </c>
      <c r="BK86" s="413">
        <f t="shared" si="211"/>
        <v>888.99999999999886</v>
      </c>
      <c r="BL86" s="469">
        <f t="shared" si="212"/>
        <v>11.439527492182762</v>
      </c>
      <c r="BM86" s="471">
        <f t="shared" si="213"/>
        <v>16.747102662595424</v>
      </c>
      <c r="BO86" s="413">
        <f t="shared" si="214"/>
        <v>1157.1840000000011</v>
      </c>
      <c r="BP86" s="469">
        <f t="shared" si="215"/>
        <v>12.717573859551301</v>
      </c>
      <c r="BQ86" s="471">
        <f t="shared" si="216"/>
        <v>30.166929133858567</v>
      </c>
      <c r="BS86" s="413">
        <f t="shared" si="217"/>
        <v>1014.6999999999996</v>
      </c>
      <c r="BT86" s="469">
        <f t="shared" si="218"/>
        <v>10.896107382550332</v>
      </c>
      <c r="BU86" s="471">
        <f t="shared" si="219"/>
        <v>-12.312994303412539</v>
      </c>
      <c r="BW86" s="413">
        <f t="shared" si="220"/>
        <v>858.33899999999949</v>
      </c>
      <c r="BX86" s="469">
        <f t="shared" si="221"/>
        <v>9.4963196380343966</v>
      </c>
      <c r="BY86" s="471">
        <f t="shared" si="222"/>
        <v>-15.409579185966315</v>
      </c>
      <c r="CA86" s="413">
        <f t="shared" si="223"/>
        <v>1062</v>
      </c>
      <c r="CB86" s="469">
        <f t="shared" si="224"/>
        <v>10.910211629340456</v>
      </c>
      <c r="CC86" s="471">
        <f t="shared" si="225"/>
        <v>23.727338499124539</v>
      </c>
      <c r="CE86" s="413">
        <f t="shared" si="226"/>
        <v>1217</v>
      </c>
      <c r="CF86" s="469">
        <f t="shared" si="227"/>
        <v>11.866224648985959</v>
      </c>
      <c r="CG86" s="471">
        <f t="shared" si="228"/>
        <v>14.595103578154433</v>
      </c>
      <c r="CI86" s="413">
        <f t="shared" si="229"/>
        <v>1221</v>
      </c>
      <c r="CJ86" s="469">
        <f t="shared" si="230"/>
        <v>11.747161824129305</v>
      </c>
      <c r="CK86" s="451">
        <f t="shared" si="231"/>
        <v>0.32867707477404196</v>
      </c>
      <c r="CM86" s="413">
        <f t="shared" si="232"/>
        <v>1111</v>
      </c>
      <c r="CN86" s="469">
        <f t="shared" si="233"/>
        <v>10.256646971935007</v>
      </c>
      <c r="CO86" s="451">
        <f t="shared" si="234"/>
        <v>-9.0090090090090058</v>
      </c>
      <c r="CQ86" s="413">
        <f t="shared" si="235"/>
        <v>974</v>
      </c>
      <c r="CR86" s="469">
        <f t="shared" si="236"/>
        <v>9.2383572038319262</v>
      </c>
      <c r="CS86" s="451">
        <f t="shared" si="237"/>
        <v>-12.331233123312336</v>
      </c>
      <c r="CU86" s="413">
        <f t="shared" si="238"/>
        <v>958</v>
      </c>
      <c r="CV86" s="469">
        <f t="shared" si="239"/>
        <v>8.9440761833628972</v>
      </c>
      <c r="CW86" s="451">
        <f t="shared" si="240"/>
        <v>-1.6427104722792629</v>
      </c>
      <c r="CY86" s="413">
        <f t="shared" si="245"/>
        <v>849</v>
      </c>
      <c r="CZ86" s="469">
        <f t="shared" si="246"/>
        <v>7.8509339744775293</v>
      </c>
      <c r="DA86" s="451">
        <f t="shared" si="241"/>
        <v>-11.377870563674319</v>
      </c>
      <c r="DC86" s="413">
        <f t="shared" si="247"/>
        <v>768</v>
      </c>
      <c r="DD86" s="469">
        <f t="shared" si="248"/>
        <v>7.2920622863653621</v>
      </c>
      <c r="DE86" s="451">
        <f t="shared" si="242"/>
        <v>-9.5406360424028271</v>
      </c>
      <c r="DG86" s="413">
        <f t="shared" si="249"/>
        <v>824</v>
      </c>
      <c r="DH86" s="469">
        <f t="shared" si="250"/>
        <v>7.4180770615772413</v>
      </c>
      <c r="DI86" s="451">
        <f t="shared" si="243"/>
        <v>7.2916666666666741</v>
      </c>
      <c r="DJ86" s="451"/>
      <c r="DK86" s="413">
        <f t="shared" si="251"/>
        <v>723.54293269999971</v>
      </c>
      <c r="DL86" s="469">
        <f t="shared" si="252"/>
        <v>6.8043230673930299</v>
      </c>
      <c r="DM86" s="451">
        <f t="shared" si="244"/>
        <v>-12.191391662621399</v>
      </c>
      <c r="DN86" s="451"/>
      <c r="DO86" s="303" t="s">
        <v>232</v>
      </c>
    </row>
    <row r="87" spans="1:122" outlineLevel="1" x14ac:dyDescent="0.2">
      <c r="A87" s="448"/>
      <c r="C87" s="413"/>
      <c r="D87" s="485"/>
      <c r="E87" s="471"/>
      <c r="F87" s="305"/>
      <c r="G87" s="413"/>
      <c r="H87" s="469"/>
      <c r="I87" s="471"/>
      <c r="K87" s="413"/>
      <c r="L87" s="469"/>
      <c r="M87" s="471"/>
      <c r="O87" s="413"/>
      <c r="P87" s="469"/>
      <c r="Q87" s="471"/>
      <c r="R87" s="305"/>
      <c r="S87" s="413"/>
      <c r="T87" s="469"/>
      <c r="U87" s="471"/>
      <c r="W87" s="413"/>
      <c r="X87" s="469"/>
      <c r="Y87" s="471"/>
      <c r="AA87" s="413"/>
      <c r="AB87" s="469"/>
      <c r="AC87" s="471"/>
      <c r="AE87" s="413"/>
      <c r="AF87" s="469"/>
      <c r="AG87" s="471"/>
      <c r="AI87" s="413"/>
      <c r="AJ87" s="469"/>
      <c r="AK87" s="471"/>
      <c r="AM87" s="413"/>
      <c r="AN87" s="469"/>
      <c r="AO87" s="471"/>
      <c r="AQ87" s="413"/>
      <c r="AR87" s="469"/>
      <c r="AS87" s="471"/>
      <c r="AU87" s="413"/>
      <c r="AV87" s="469"/>
      <c r="AW87" s="471"/>
      <c r="AY87" s="413"/>
      <c r="AZ87" s="469"/>
      <c r="BA87" s="471"/>
      <c r="BC87" s="413"/>
      <c r="BD87" s="469"/>
      <c r="BE87" s="471"/>
      <c r="BG87" s="413"/>
      <c r="BH87" s="469"/>
      <c r="BI87" s="471"/>
      <c r="BK87" s="413"/>
      <c r="BL87" s="469"/>
      <c r="BM87" s="471"/>
      <c r="BO87" s="413"/>
      <c r="BP87" s="469"/>
      <c r="BQ87" s="471"/>
      <c r="BS87" s="413"/>
      <c r="BT87" s="469"/>
      <c r="BU87" s="471"/>
      <c r="BW87" s="413"/>
      <c r="BX87" s="469"/>
      <c r="BY87" s="471"/>
      <c r="CA87" s="413"/>
      <c r="CB87" s="469"/>
      <c r="CC87" s="471"/>
      <c r="CE87" s="413"/>
      <c r="CF87" s="469"/>
      <c r="CG87" s="471"/>
      <c r="CI87" s="413"/>
      <c r="CJ87" s="469"/>
      <c r="CK87" s="471"/>
      <c r="CM87" s="413"/>
      <c r="CN87" s="469"/>
      <c r="CO87" s="471"/>
      <c r="CQ87" s="311"/>
      <c r="CR87" s="469"/>
      <c r="CS87" s="471"/>
      <c r="CU87" s="426">
        <f>CU84/CI84-1</f>
        <v>-0.21769337656322374</v>
      </c>
      <c r="CV87" s="469"/>
      <c r="CW87" s="471"/>
      <c r="CY87" s="413"/>
      <c r="CZ87" s="469"/>
      <c r="DA87" s="471"/>
      <c r="DC87" s="413"/>
      <c r="DD87" s="469"/>
      <c r="DE87" s="471"/>
      <c r="DG87" s="413"/>
      <c r="DH87" s="469"/>
      <c r="DI87" s="471"/>
      <c r="DJ87" s="471"/>
      <c r="DK87" s="413"/>
      <c r="DL87" s="469"/>
      <c r="DM87" s="471"/>
      <c r="DN87" s="471"/>
      <c r="DO87" s="303" t="s">
        <v>232</v>
      </c>
    </row>
    <row r="88" spans="1:122" ht="12.75" hidden="1" customHeight="1" outlineLevel="2" x14ac:dyDescent="0.2">
      <c r="A88" s="462" t="s">
        <v>190</v>
      </c>
      <c r="B88" s="318"/>
      <c r="C88" s="463"/>
      <c r="D88" s="464"/>
      <c r="E88" s="464"/>
      <c r="F88" s="465"/>
      <c r="G88" s="463"/>
      <c r="H88" s="464"/>
      <c r="I88" s="464"/>
      <c r="J88" s="318"/>
      <c r="K88" s="463"/>
      <c r="L88" s="318"/>
      <c r="M88" s="464"/>
      <c r="N88" s="318"/>
      <c r="O88" s="463"/>
      <c r="P88" s="318"/>
      <c r="Q88" s="318"/>
      <c r="R88" s="465"/>
      <c r="S88" s="463"/>
      <c r="T88" s="318"/>
      <c r="U88" s="318"/>
      <c r="V88" s="318"/>
      <c r="W88" s="463"/>
      <c r="X88" s="318"/>
      <c r="Y88" s="318"/>
      <c r="Z88" s="318"/>
      <c r="AA88" s="463"/>
      <c r="AB88" s="318"/>
      <c r="AC88" s="318"/>
      <c r="AD88" s="318"/>
      <c r="AE88" s="463"/>
      <c r="AF88" s="318"/>
      <c r="AG88" s="318"/>
      <c r="AH88" s="318"/>
      <c r="AI88" s="463"/>
      <c r="AJ88" s="318"/>
      <c r="AK88" s="318"/>
      <c r="AL88" s="318"/>
      <c r="AM88" s="463"/>
      <c r="AN88" s="318"/>
      <c r="AO88" s="318"/>
      <c r="AP88" s="318"/>
      <c r="AQ88" s="463"/>
      <c r="AR88" s="318"/>
      <c r="AS88" s="318"/>
      <c r="AT88" s="318"/>
      <c r="AU88" s="463"/>
      <c r="AV88" s="318"/>
      <c r="AW88" s="318"/>
      <c r="AX88" s="318"/>
      <c r="AY88" s="463"/>
      <c r="AZ88" s="318"/>
      <c r="BA88" s="318"/>
      <c r="BB88" s="318"/>
      <c r="BC88" s="463"/>
      <c r="BD88" s="318"/>
      <c r="BE88" s="318"/>
      <c r="BF88" s="318"/>
      <c r="BG88" s="463"/>
      <c r="BH88" s="318"/>
      <c r="BI88" s="318"/>
      <c r="BJ88" s="318"/>
      <c r="BK88" s="463"/>
      <c r="BL88" s="318"/>
      <c r="BM88" s="318"/>
      <c r="BN88" s="318"/>
      <c r="BO88" s="463"/>
      <c r="BP88" s="318"/>
      <c r="BQ88" s="318"/>
      <c r="BR88" s="318"/>
      <c r="BS88" s="463"/>
      <c r="BT88" s="318"/>
      <c r="BU88" s="318"/>
      <c r="BV88" s="318"/>
      <c r="BW88" s="463"/>
      <c r="BX88" s="318"/>
      <c r="BY88" s="318"/>
      <c r="BZ88" s="318"/>
      <c r="CA88" s="463"/>
      <c r="CB88" s="318"/>
      <c r="CC88" s="318"/>
      <c r="CD88" s="318"/>
      <c r="CE88" s="463"/>
      <c r="CF88" s="318"/>
      <c r="CG88" s="318"/>
      <c r="CH88" s="318"/>
      <c r="CI88" s="463"/>
      <c r="CJ88" s="318"/>
      <c r="CK88" s="318"/>
      <c r="CL88" s="318"/>
      <c r="CM88" s="318"/>
      <c r="CN88" s="318"/>
      <c r="CO88" s="318"/>
      <c r="CP88" s="318"/>
      <c r="CQ88" s="318"/>
      <c r="CR88" s="318"/>
      <c r="CS88" s="318"/>
      <c r="CT88" s="318"/>
      <c r="CU88" s="318"/>
      <c r="CV88" s="318"/>
      <c r="CW88" s="318"/>
      <c r="CX88" s="318"/>
      <c r="CY88" s="318"/>
      <c r="CZ88" s="318"/>
      <c r="DA88" s="318"/>
      <c r="DB88" s="318"/>
      <c r="DC88" s="318"/>
      <c r="DD88" s="318"/>
      <c r="DE88" s="318"/>
      <c r="DF88" s="318"/>
      <c r="DG88" s="318"/>
      <c r="DH88" s="318"/>
      <c r="DI88" s="318"/>
      <c r="DJ88" s="318"/>
      <c r="DK88" s="318"/>
      <c r="DL88" s="318"/>
      <c r="DM88" s="318"/>
      <c r="DN88" s="318"/>
      <c r="DO88" s="303" t="s">
        <v>232</v>
      </c>
      <c r="DP88" s="318"/>
    </row>
    <row r="89" spans="1:122" ht="12.75" hidden="1" customHeight="1" outlineLevel="2" x14ac:dyDescent="0.2">
      <c r="C89" s="413"/>
      <c r="D89" s="469"/>
      <c r="E89" s="471"/>
      <c r="F89" s="305"/>
      <c r="G89" s="413"/>
      <c r="H89" s="469"/>
      <c r="I89" s="471"/>
      <c r="K89" s="413"/>
      <c r="L89" s="469"/>
      <c r="M89" s="471"/>
      <c r="O89" s="413"/>
      <c r="P89" s="469"/>
      <c r="Q89" s="471"/>
      <c r="R89" s="305"/>
      <c r="S89" s="413"/>
      <c r="T89" s="469"/>
      <c r="U89" s="471"/>
      <c r="W89" s="413"/>
      <c r="X89" s="469"/>
      <c r="Y89" s="471"/>
      <c r="AA89" s="413"/>
      <c r="AB89" s="469"/>
      <c r="AC89" s="471"/>
      <c r="AE89" s="413"/>
      <c r="AF89" s="469"/>
      <c r="AG89" s="471"/>
      <c r="AI89" s="413"/>
      <c r="AJ89" s="469"/>
      <c r="AK89" s="471"/>
      <c r="AM89" s="413"/>
      <c r="AN89" s="469"/>
      <c r="AO89" s="471"/>
      <c r="AQ89" s="413"/>
      <c r="AR89" s="469"/>
      <c r="AS89" s="471"/>
      <c r="AU89" s="413"/>
      <c r="AV89" s="469"/>
      <c r="AW89" s="471"/>
      <c r="AY89" s="413"/>
      <c r="AZ89" s="469"/>
      <c r="BA89" s="471"/>
      <c r="BC89" s="413"/>
      <c r="BD89" s="469"/>
      <c r="BE89" s="471"/>
      <c r="BG89" s="413"/>
      <c r="BH89" s="469"/>
      <c r="BI89" s="471"/>
      <c r="BK89" s="413"/>
      <c r="BL89" s="469"/>
      <c r="BM89" s="471"/>
      <c r="BO89" s="413"/>
      <c r="BP89" s="469"/>
      <c r="BQ89" s="471"/>
      <c r="BS89" s="413"/>
      <c r="BT89" s="469"/>
      <c r="BU89" s="471"/>
      <c r="BW89" s="413"/>
      <c r="BX89" s="469"/>
      <c r="BY89" s="471"/>
      <c r="CA89" s="413"/>
      <c r="CB89" s="469"/>
      <c r="CC89" s="471"/>
      <c r="CE89" s="413"/>
      <c r="CF89" s="469"/>
      <c r="CG89" s="471"/>
      <c r="CI89" s="413"/>
      <c r="CJ89" s="469"/>
      <c r="CK89" s="471"/>
      <c r="CM89" s="413"/>
      <c r="CN89" s="492"/>
      <c r="CO89" s="471"/>
      <c r="CQ89" s="413"/>
      <c r="CR89" s="492"/>
      <c r="CS89" s="471"/>
      <c r="CU89" s="413"/>
      <c r="CV89" s="492"/>
      <c r="CW89" s="471"/>
      <c r="CY89" s="413"/>
      <c r="CZ89" s="492"/>
      <c r="DA89" s="471"/>
      <c r="DC89" s="413"/>
      <c r="DD89" s="492"/>
      <c r="DE89" s="471"/>
      <c r="DG89" s="413"/>
      <c r="DH89" s="492"/>
      <c r="DI89" s="471"/>
      <c r="DJ89" s="471"/>
      <c r="DK89" s="413"/>
      <c r="DL89" s="492"/>
      <c r="DM89" s="471"/>
      <c r="DN89" s="471"/>
      <c r="DO89" s="303" t="s">
        <v>232</v>
      </c>
    </row>
    <row r="90" spans="1:122" ht="12.75" hidden="1" customHeight="1" outlineLevel="2" x14ac:dyDescent="0.2">
      <c r="A90" s="448" t="s">
        <v>89</v>
      </c>
      <c r="C90" s="449">
        <f t="shared" ref="C90:C96" si="253">IF(C50=0,"NA",C80+C50)</f>
        <v>8.5120000000000076</v>
      </c>
      <c r="D90" s="469"/>
      <c r="E90" s="471"/>
      <c r="F90" s="305"/>
      <c r="G90" s="449">
        <f t="shared" ref="G90:G96" si="254">IF(G50=0,"NA",G80+G50)</f>
        <v>10.739000000000001</v>
      </c>
      <c r="H90" s="469"/>
      <c r="I90" s="471"/>
      <c r="K90" s="449">
        <f t="shared" ref="K90:K96" si="255">IF(K50=0,"NA",K80+K50)</f>
        <v>13.875999999999999</v>
      </c>
      <c r="L90" s="469"/>
      <c r="M90" s="471"/>
      <c r="O90" s="449">
        <f t="shared" ref="O90:O96" si="256">IF(O50=0,"NA",O80+O50)</f>
        <v>18.506</v>
      </c>
      <c r="P90" s="469"/>
      <c r="Q90" s="471"/>
      <c r="R90" s="305"/>
      <c r="S90" s="449">
        <f t="shared" ref="S90:S96" si="257">IF(S50=0,"NA",S80+S50)</f>
        <v>25.485000000000021</v>
      </c>
      <c r="T90" s="469"/>
      <c r="U90" s="471"/>
      <c r="W90" s="449">
        <f t="shared" ref="W90:W96" si="258">IF(W50=0,"NA",W80+W50)</f>
        <v>29.108999999999998</v>
      </c>
      <c r="X90" s="469"/>
      <c r="Y90" s="471"/>
      <c r="AA90" s="449">
        <f t="shared" ref="AA90:AA96" si="259">IF(AA50=0,"NA",AA80+AA50)</f>
        <v>36.03399999999997</v>
      </c>
      <c r="AB90" s="469"/>
      <c r="AC90" s="471"/>
      <c r="AE90" s="449">
        <f t="shared" ref="AE90:AE96" si="260">IF(AE50=0,"NA",AE80+AE50)</f>
        <v>42.978999999999978</v>
      </c>
      <c r="AF90" s="469"/>
      <c r="AG90" s="471"/>
      <c r="AI90" s="449">
        <f t="shared" ref="AI90:AI96" si="261">IF(AI50=0,"NA",AI80+AI50)</f>
        <v>59.383000000000038</v>
      </c>
      <c r="AJ90" s="469"/>
      <c r="AK90" s="471"/>
      <c r="AM90" s="449">
        <f t="shared" ref="AM90:AM96" si="262">IF(AM50=0,"NA",AM80+AM50)</f>
        <v>86.414999999999935</v>
      </c>
      <c r="AN90" s="469"/>
      <c r="AO90" s="471"/>
      <c r="AQ90" s="449">
        <f t="shared" ref="AQ90:AQ96" si="263">IF(AQ50=0,"NA",AQ80+AQ50)</f>
        <v>118.76900000000018</v>
      </c>
      <c r="AR90" s="469"/>
      <c r="AS90" s="471"/>
      <c r="AU90" s="449">
        <f t="shared" ref="AU90:AU96" si="264">IF(AU50=0,"NA",AU80+AU50)</f>
        <v>165.25899999999996</v>
      </c>
      <c r="AV90" s="469"/>
      <c r="AW90" s="471"/>
      <c r="AY90" s="449">
        <f t="shared" ref="AY90:AY96" si="265">IF(AY50=0,"NA",AY80+AY50)</f>
        <v>225.25299999999999</v>
      </c>
      <c r="AZ90" s="469"/>
      <c r="BA90" s="471"/>
      <c r="BC90" s="449">
        <f t="shared" ref="BC90:BC96" si="266">IF(BC50=0,"NA",BC80+BC50)</f>
        <v>248.11399999999981</v>
      </c>
      <c r="BD90" s="469"/>
      <c r="BE90" s="471"/>
      <c r="BG90" s="449">
        <f t="shared" ref="BG90:BG96" si="267">IF(BG50=0,"NA",BG80+BG50)</f>
        <v>247.39999999999986</v>
      </c>
      <c r="BH90" s="469"/>
      <c r="BI90" s="471"/>
      <c r="BK90" s="449">
        <f t="shared" ref="BK90:BK96" si="268">IF(BK50=0,"NA",BK80+BK50)</f>
        <v>297.70000000000027</v>
      </c>
      <c r="BL90" s="469"/>
      <c r="BM90" s="471"/>
      <c r="BO90" s="449">
        <f t="shared" ref="BO90:BO96" si="269">IF(BO50=0,"NA",BO80+BO50)</f>
        <v>375.46199999999999</v>
      </c>
      <c r="BP90" s="469"/>
      <c r="BQ90" s="471"/>
      <c r="BS90" s="449">
        <f t="shared" ref="BS90:BS96" si="270">IF(BS50=0,"NA",BS80+BS50)</f>
        <v>450.80000000000018</v>
      </c>
      <c r="BT90" s="469"/>
      <c r="BU90" s="471"/>
      <c r="BW90" s="449">
        <f t="shared" ref="BW90:BW96" si="271">IF(BW50=0,"NA",BW80+BW50)</f>
        <v>401.40400000000022</v>
      </c>
      <c r="BX90" s="469"/>
      <c r="BY90" s="471"/>
      <c r="CA90" s="449">
        <f t="shared" ref="CA90:CA96" si="272">IF(CA50=0,"NA",CA80+CA50)</f>
        <v>392</v>
      </c>
      <c r="CB90" s="469"/>
      <c r="CC90" s="471"/>
      <c r="CE90" s="449">
        <f t="shared" ref="CE90:CE96" si="273">IF(CE50=0,"NA",CE80+CE50)</f>
        <v>564</v>
      </c>
      <c r="CF90" s="469"/>
      <c r="CG90" s="471"/>
      <c r="CI90" s="449">
        <f t="shared" ref="CI90:CI96" si="274">IF(CI50=0,"NA",CI80+CI50)</f>
        <v>582</v>
      </c>
      <c r="CJ90" s="469"/>
      <c r="CK90" s="471"/>
      <c r="CM90" s="449">
        <f t="shared" ref="CM90:CM96" si="275">IF(CM50=0,"NA",CM80+CM50)</f>
        <v>522</v>
      </c>
      <c r="CN90" s="492"/>
      <c r="CO90" s="471"/>
      <c r="CQ90" s="449">
        <f t="shared" ref="CQ90:CQ96" si="276">IF(CQ50=0,"NA",CQ80+CQ50)</f>
        <v>531</v>
      </c>
      <c r="CR90" s="492"/>
      <c r="CS90" s="471"/>
      <c r="CU90" s="449">
        <f t="shared" ref="CU90:CU96" si="277">IF(CU50=0,"NA",CU80+CU50)</f>
        <v>496</v>
      </c>
      <c r="CV90" s="492"/>
      <c r="CW90" s="471"/>
      <c r="CY90" s="449">
        <f t="shared" ref="CY90:CY96" si="278">IF(CY50=0,"NA",CY80+CY50)</f>
        <v>507</v>
      </c>
      <c r="CZ90" s="492"/>
      <c r="DA90" s="471"/>
      <c r="DC90" s="449">
        <f t="shared" ref="DC90:DC96" si="279">IF(DC50=0,"NA",DC80+DC50)</f>
        <v>404</v>
      </c>
      <c r="DD90" s="492"/>
      <c r="DE90" s="471"/>
      <c r="DG90" s="449">
        <f t="shared" ref="DG90:DG96" si="280">IF(DG50=0,"NA",DG80+DG50)</f>
        <v>423</v>
      </c>
      <c r="DH90" s="492"/>
      <c r="DI90" s="471"/>
      <c r="DJ90" s="471"/>
      <c r="DK90" s="449">
        <f t="shared" ref="DK90:DK96" si="281">IF(DK50=0,"NA",DK80+DK50)</f>
        <v>424.69506954000008</v>
      </c>
      <c r="DL90" s="492"/>
      <c r="DM90" s="471"/>
      <c r="DN90" s="471"/>
      <c r="DO90" s="303" t="s">
        <v>232</v>
      </c>
    </row>
    <row r="91" spans="1:122" ht="12.75" hidden="1" customHeight="1" outlineLevel="2" x14ac:dyDescent="0.2">
      <c r="A91" s="448" t="s">
        <v>90</v>
      </c>
      <c r="C91" s="453">
        <f t="shared" si="253"/>
        <v>7.2969999999999828</v>
      </c>
      <c r="D91" s="469"/>
      <c r="E91" s="471"/>
      <c r="F91" s="305"/>
      <c r="G91" s="453">
        <f t="shared" si="254"/>
        <v>9.3650000000000109</v>
      </c>
      <c r="H91" s="469"/>
      <c r="I91" s="471"/>
      <c r="K91" s="453">
        <f t="shared" si="255"/>
        <v>13.495999999999995</v>
      </c>
      <c r="L91" s="469"/>
      <c r="M91" s="471"/>
      <c r="O91" s="453">
        <f t="shared" si="256"/>
        <v>17.543999999999993</v>
      </c>
      <c r="P91" s="469"/>
      <c r="Q91" s="471"/>
      <c r="R91" s="305"/>
      <c r="S91" s="453">
        <f t="shared" si="257"/>
        <v>22.475999999999956</v>
      </c>
      <c r="T91" s="469"/>
      <c r="U91" s="471"/>
      <c r="W91" s="453">
        <f t="shared" si="258"/>
        <v>28.371000000000024</v>
      </c>
      <c r="X91" s="469"/>
      <c r="Y91" s="471"/>
      <c r="AA91" s="453">
        <f t="shared" si="259"/>
        <v>37.710000000000029</v>
      </c>
      <c r="AB91" s="469"/>
      <c r="AC91" s="471"/>
      <c r="AE91" s="453">
        <f t="shared" si="260"/>
        <v>54.444000000000031</v>
      </c>
      <c r="AF91" s="469"/>
      <c r="AG91" s="471"/>
      <c r="AI91" s="453">
        <f t="shared" si="261"/>
        <v>70.469000000000051</v>
      </c>
      <c r="AJ91" s="469"/>
      <c r="AK91" s="471"/>
      <c r="AM91" s="453">
        <f t="shared" si="262"/>
        <v>99.481000000000066</v>
      </c>
      <c r="AN91" s="469"/>
      <c r="AO91" s="471"/>
      <c r="AQ91" s="453">
        <f t="shared" si="263"/>
        <v>143.00100000000006</v>
      </c>
      <c r="AR91" s="469"/>
      <c r="AS91" s="471"/>
      <c r="AU91" s="453">
        <f t="shared" si="264"/>
        <v>188.18899999999994</v>
      </c>
      <c r="AV91" s="469"/>
      <c r="AW91" s="471"/>
      <c r="AY91" s="453">
        <f t="shared" si="265"/>
        <v>258.80000000000007</v>
      </c>
      <c r="AZ91" s="469"/>
      <c r="BA91" s="471"/>
      <c r="BC91" s="453">
        <f t="shared" si="266"/>
        <v>258.20000000000005</v>
      </c>
      <c r="BD91" s="469"/>
      <c r="BE91" s="471"/>
      <c r="BG91" s="453">
        <f t="shared" si="267"/>
        <v>322.58000000000015</v>
      </c>
      <c r="BH91" s="469"/>
      <c r="BI91" s="471"/>
      <c r="BK91" s="453">
        <f t="shared" si="268"/>
        <v>389.5999999999998</v>
      </c>
      <c r="BL91" s="469"/>
      <c r="BM91" s="471"/>
      <c r="BO91" s="453">
        <f t="shared" si="269"/>
        <v>471.50700000000029</v>
      </c>
      <c r="BP91" s="469"/>
      <c r="BQ91" s="471"/>
      <c r="BS91" s="453">
        <f t="shared" si="270"/>
        <v>549.89999999999964</v>
      </c>
      <c r="BT91" s="469"/>
      <c r="BU91" s="471"/>
      <c r="BW91" s="453">
        <f t="shared" si="271"/>
        <v>539.22999999999968</v>
      </c>
      <c r="BX91" s="469"/>
      <c r="BY91" s="471"/>
      <c r="CA91" s="453">
        <f t="shared" si="272"/>
        <v>543</v>
      </c>
      <c r="CB91" s="469"/>
      <c r="CC91" s="471"/>
      <c r="CE91" s="453">
        <f t="shared" si="273"/>
        <v>668</v>
      </c>
      <c r="CF91" s="469"/>
      <c r="CG91" s="471"/>
      <c r="CI91" s="453">
        <f t="shared" si="274"/>
        <v>737</v>
      </c>
      <c r="CJ91" s="469"/>
      <c r="CK91" s="471"/>
      <c r="CM91" s="453">
        <f t="shared" si="275"/>
        <v>667</v>
      </c>
      <c r="CN91" s="492"/>
      <c r="CO91" s="471"/>
      <c r="CQ91" s="453">
        <f t="shared" si="276"/>
        <v>676</v>
      </c>
      <c r="CR91" s="492"/>
      <c r="CS91" s="471"/>
      <c r="CU91" s="453">
        <f t="shared" si="277"/>
        <v>673</v>
      </c>
      <c r="CV91" s="492"/>
      <c r="CW91" s="471"/>
      <c r="CY91" s="453">
        <f t="shared" si="278"/>
        <v>657</v>
      </c>
      <c r="CZ91" s="492"/>
      <c r="DA91" s="471"/>
      <c r="DC91" s="453">
        <f>IF(DC51=0,"NA",DC81+DC51)</f>
        <v>664</v>
      </c>
      <c r="DD91" s="492"/>
      <c r="DE91" s="471"/>
      <c r="DG91" s="453">
        <f>IF(DG51=0,"NA",DG81+DG51)</f>
        <v>650</v>
      </c>
      <c r="DH91" s="492"/>
      <c r="DI91" s="471"/>
      <c r="DJ91" s="471"/>
      <c r="DK91" s="453">
        <f>IF(DK51=0,"NA",DK81+DK51)</f>
        <v>673.57104080000056</v>
      </c>
      <c r="DL91" s="492"/>
      <c r="DM91" s="471"/>
      <c r="DN91" s="471"/>
      <c r="DO91" s="303" t="s">
        <v>232</v>
      </c>
    </row>
    <row r="92" spans="1:122" ht="12.75" hidden="1" customHeight="1" outlineLevel="2" x14ac:dyDescent="0.2">
      <c r="A92" s="448" t="s">
        <v>91</v>
      </c>
      <c r="C92" s="453">
        <f t="shared" si="253"/>
        <v>15.825999999999983</v>
      </c>
      <c r="D92" s="469"/>
      <c r="E92" s="471"/>
      <c r="F92" s="305"/>
      <c r="G92" s="453">
        <f t="shared" si="254"/>
        <v>18.632999999999996</v>
      </c>
      <c r="H92" s="469"/>
      <c r="I92" s="471"/>
      <c r="K92" s="453">
        <f t="shared" si="255"/>
        <v>24.356999999999992</v>
      </c>
      <c r="L92" s="469"/>
      <c r="M92" s="471"/>
      <c r="O92" s="453">
        <f t="shared" si="256"/>
        <v>29.356999999999985</v>
      </c>
      <c r="P92" s="469"/>
      <c r="Q92" s="471"/>
      <c r="R92" s="305"/>
      <c r="S92" s="453">
        <f t="shared" si="257"/>
        <v>31.765000000000008</v>
      </c>
      <c r="T92" s="469"/>
      <c r="U92" s="471"/>
      <c r="W92" s="453">
        <f t="shared" si="258"/>
        <v>38.308000000000007</v>
      </c>
      <c r="X92" s="469"/>
      <c r="Y92" s="471"/>
      <c r="AA92" s="453">
        <f t="shared" si="259"/>
        <v>52.412000000000035</v>
      </c>
      <c r="AB92" s="469"/>
      <c r="AC92" s="471"/>
      <c r="AE92" s="453">
        <f t="shared" si="260"/>
        <v>73.081999999999923</v>
      </c>
      <c r="AF92" s="469"/>
      <c r="AG92" s="471"/>
      <c r="AI92" s="453">
        <f t="shared" si="261"/>
        <v>82.910000000000082</v>
      </c>
      <c r="AJ92" s="469"/>
      <c r="AK92" s="471"/>
      <c r="AM92" s="453">
        <f t="shared" si="262"/>
        <v>114.80300000000004</v>
      </c>
      <c r="AN92" s="469"/>
      <c r="AO92" s="471"/>
      <c r="AQ92" s="453">
        <f t="shared" si="263"/>
        <v>165.35599999999994</v>
      </c>
      <c r="AR92" s="469"/>
      <c r="AS92" s="471"/>
      <c r="AU92" s="453">
        <f t="shared" si="264"/>
        <v>211.94800000000006</v>
      </c>
      <c r="AV92" s="469"/>
      <c r="AW92" s="471"/>
      <c r="AY92" s="453">
        <f t="shared" si="265"/>
        <v>274.66000000000008</v>
      </c>
      <c r="AZ92" s="469"/>
      <c r="BA92" s="471"/>
      <c r="BC92" s="453">
        <f t="shared" si="266"/>
        <v>266.6099999999999</v>
      </c>
      <c r="BD92" s="469"/>
      <c r="BE92" s="471"/>
      <c r="BG92" s="453">
        <f t="shared" si="267"/>
        <v>303.63000000000011</v>
      </c>
      <c r="BH92" s="469"/>
      <c r="BI92" s="471"/>
      <c r="BK92" s="453">
        <f t="shared" si="268"/>
        <v>352.50000000000011</v>
      </c>
      <c r="BL92" s="469"/>
      <c r="BM92" s="471"/>
      <c r="BO92" s="453">
        <f t="shared" si="269"/>
        <v>463.70200000000045</v>
      </c>
      <c r="BP92" s="469"/>
      <c r="BQ92" s="471"/>
      <c r="BS92" s="453">
        <f t="shared" si="270"/>
        <v>446.1</v>
      </c>
      <c r="BT92" s="469"/>
      <c r="BU92" s="471"/>
      <c r="BW92" s="453">
        <f t="shared" si="271"/>
        <v>420.82999999999993</v>
      </c>
      <c r="BX92" s="469"/>
      <c r="BY92" s="471"/>
      <c r="CA92" s="453">
        <f t="shared" si="272"/>
        <v>489</v>
      </c>
      <c r="CB92" s="469"/>
      <c r="CC92" s="471"/>
      <c r="CE92" s="453">
        <f t="shared" si="273"/>
        <v>563</v>
      </c>
      <c r="CF92" s="469"/>
      <c r="CG92" s="471"/>
      <c r="CI92" s="453">
        <f t="shared" si="274"/>
        <v>618</v>
      </c>
      <c r="CJ92" s="469"/>
      <c r="CK92" s="471"/>
      <c r="CM92" s="453">
        <f t="shared" si="275"/>
        <v>635</v>
      </c>
      <c r="CN92" s="492"/>
      <c r="CO92" s="471"/>
      <c r="CQ92" s="453">
        <f t="shared" si="276"/>
        <v>593</v>
      </c>
      <c r="CR92" s="492"/>
      <c r="CS92" s="471"/>
      <c r="CU92" s="453">
        <f t="shared" si="277"/>
        <v>531</v>
      </c>
      <c r="CV92" s="492"/>
      <c r="CW92" s="471"/>
      <c r="CY92" s="453">
        <f t="shared" si="278"/>
        <v>544</v>
      </c>
      <c r="CZ92" s="492"/>
      <c r="DA92" s="471"/>
      <c r="DC92" s="453">
        <f t="shared" si="279"/>
        <v>527</v>
      </c>
      <c r="DD92" s="492"/>
      <c r="DE92" s="471"/>
      <c r="DG92" s="453">
        <f t="shared" si="280"/>
        <v>500</v>
      </c>
      <c r="DH92" s="492"/>
      <c r="DI92" s="471"/>
      <c r="DJ92" s="471"/>
      <c r="DK92" s="453">
        <f t="shared" si="281"/>
        <v>495.50783909999996</v>
      </c>
      <c r="DL92" s="492"/>
      <c r="DM92" s="471"/>
      <c r="DN92" s="471"/>
      <c r="DO92" s="303" t="s">
        <v>232</v>
      </c>
    </row>
    <row r="93" spans="1:122" ht="12.75" hidden="1" customHeight="1" outlineLevel="2" x14ac:dyDescent="0.2">
      <c r="A93" s="448" t="s">
        <v>92</v>
      </c>
      <c r="C93" s="455">
        <f t="shared" si="253"/>
        <v>30.277999999999967</v>
      </c>
      <c r="D93" s="469"/>
      <c r="E93" s="471"/>
      <c r="F93" s="305"/>
      <c r="G93" s="455">
        <f t="shared" si="254"/>
        <v>33.078999999999965</v>
      </c>
      <c r="H93" s="469"/>
      <c r="I93" s="471"/>
      <c r="K93" s="455">
        <f t="shared" si="255"/>
        <v>42.265999999999977</v>
      </c>
      <c r="L93" s="469"/>
      <c r="M93" s="471"/>
      <c r="O93" s="455">
        <f t="shared" si="256"/>
        <v>54.967000000000041</v>
      </c>
      <c r="P93" s="469"/>
      <c r="Q93" s="471"/>
      <c r="R93" s="305"/>
      <c r="S93" s="455">
        <f t="shared" si="257"/>
        <v>66.447000000000017</v>
      </c>
      <c r="T93" s="469"/>
      <c r="U93" s="471"/>
      <c r="W93" s="455">
        <f t="shared" si="258"/>
        <v>82.761000000000024</v>
      </c>
      <c r="X93" s="469"/>
      <c r="Y93" s="471"/>
      <c r="AA93" s="455">
        <f t="shared" si="259"/>
        <v>101.84700000000001</v>
      </c>
      <c r="AB93" s="469"/>
      <c r="AC93" s="471"/>
      <c r="AE93" s="455">
        <f t="shared" si="260"/>
        <v>140.381</v>
      </c>
      <c r="AF93" s="469"/>
      <c r="AG93" s="471"/>
      <c r="AI93" s="455">
        <f t="shared" si="261"/>
        <v>175.727</v>
      </c>
      <c r="AJ93" s="469"/>
      <c r="AK93" s="471"/>
      <c r="AM93" s="455">
        <f t="shared" si="262"/>
        <v>226.60699999999997</v>
      </c>
      <c r="AN93" s="469"/>
      <c r="AO93" s="471"/>
      <c r="AQ93" s="455">
        <f t="shared" si="263"/>
        <v>330.43299999999988</v>
      </c>
      <c r="AR93" s="469"/>
      <c r="AS93" s="471"/>
      <c r="AU93" s="455">
        <f t="shared" si="264"/>
        <v>428.41999999999973</v>
      </c>
      <c r="AV93" s="469"/>
      <c r="AW93" s="471"/>
      <c r="AY93" s="455">
        <f t="shared" si="265"/>
        <v>514.28300000000047</v>
      </c>
      <c r="AZ93" s="469"/>
      <c r="BA93" s="471"/>
      <c r="BC93" s="455">
        <f t="shared" si="266"/>
        <v>474.90000000000032</v>
      </c>
      <c r="BD93" s="469"/>
      <c r="BE93" s="471"/>
      <c r="BG93" s="455">
        <f t="shared" si="267"/>
        <v>607.98299999999983</v>
      </c>
      <c r="BH93" s="469"/>
      <c r="BI93" s="471"/>
      <c r="BK93" s="455">
        <f t="shared" si="268"/>
        <v>712.7999999999995</v>
      </c>
      <c r="BL93" s="469"/>
      <c r="BM93" s="471"/>
      <c r="BO93" s="455">
        <f t="shared" si="269"/>
        <v>891.80000000000018</v>
      </c>
      <c r="BP93" s="469"/>
      <c r="BQ93" s="471"/>
      <c r="BS93" s="455">
        <f t="shared" si="270"/>
        <v>809.90000000000009</v>
      </c>
      <c r="BT93" s="469"/>
      <c r="BU93" s="471"/>
      <c r="BW93" s="455">
        <f t="shared" si="271"/>
        <v>716</v>
      </c>
      <c r="BX93" s="469"/>
      <c r="BY93" s="471"/>
      <c r="CA93" s="455">
        <f t="shared" si="272"/>
        <v>878</v>
      </c>
      <c r="CB93" s="469"/>
      <c r="CC93" s="471"/>
      <c r="CE93" s="455">
        <f t="shared" si="273"/>
        <v>1050</v>
      </c>
      <c r="CF93" s="469"/>
      <c r="CG93" s="471"/>
      <c r="CI93" s="455">
        <f t="shared" si="274"/>
        <v>999</v>
      </c>
      <c r="CJ93" s="469"/>
      <c r="CK93" s="471"/>
      <c r="CM93" s="455">
        <f t="shared" si="275"/>
        <v>900</v>
      </c>
      <c r="CN93" s="492"/>
      <c r="CO93" s="471"/>
      <c r="CQ93" s="455">
        <f t="shared" si="276"/>
        <v>833</v>
      </c>
      <c r="CR93" s="492"/>
      <c r="CS93" s="471"/>
      <c r="CU93" s="455">
        <f t="shared" si="277"/>
        <v>875</v>
      </c>
      <c r="CV93" s="492"/>
      <c r="CW93" s="471"/>
      <c r="CY93" s="455">
        <f t="shared" si="278"/>
        <v>780</v>
      </c>
      <c r="CZ93" s="492"/>
      <c r="DA93" s="471"/>
      <c r="DC93" s="455">
        <f>IF(DC53=0,"NA",DC83+DC53)</f>
        <v>712</v>
      </c>
      <c r="DD93" s="492"/>
      <c r="DE93" s="471"/>
      <c r="DG93" s="455">
        <f>IF(DG53=0,"NA",DG83+DG53)</f>
        <v>834</v>
      </c>
      <c r="DH93" s="492"/>
      <c r="DI93" s="471"/>
      <c r="DJ93" s="471"/>
      <c r="DK93" s="455">
        <f>IF(DK53=0,"NA",DK83+DK53)</f>
        <v>703.0350935999993</v>
      </c>
      <c r="DL93" s="492"/>
      <c r="DM93" s="471"/>
      <c r="DN93" s="471"/>
      <c r="DO93" s="303" t="s">
        <v>232</v>
      </c>
    </row>
    <row r="94" spans="1:122" ht="12.75" hidden="1" customHeight="1" outlineLevel="2" x14ac:dyDescent="0.2">
      <c r="A94" s="448" t="s">
        <v>93</v>
      </c>
      <c r="C94" s="449">
        <f t="shared" si="253"/>
        <v>61.913000000000039</v>
      </c>
      <c r="D94" s="469"/>
      <c r="E94" s="471"/>
      <c r="F94" s="305"/>
      <c r="G94" s="449">
        <f t="shared" si="254"/>
        <v>71.815999999999974</v>
      </c>
      <c r="H94" s="469"/>
      <c r="I94" s="471"/>
      <c r="K94" s="449">
        <f t="shared" si="255"/>
        <v>96.939999999999955</v>
      </c>
      <c r="L94" s="469"/>
      <c r="M94" s="471"/>
      <c r="O94" s="449">
        <f t="shared" si="256"/>
        <v>120.37399999999992</v>
      </c>
      <c r="P94" s="469"/>
      <c r="Q94" s="471"/>
      <c r="R94" s="305"/>
      <c r="S94" s="449">
        <f t="shared" si="257"/>
        <v>146.17299999999983</v>
      </c>
      <c r="T94" s="469"/>
      <c r="U94" s="471"/>
      <c r="W94" s="449">
        <f t="shared" si="258"/>
        <v>178.81800000000021</v>
      </c>
      <c r="X94" s="469"/>
      <c r="Y94" s="471"/>
      <c r="AA94" s="449">
        <f t="shared" si="259"/>
        <v>228.00299999999987</v>
      </c>
      <c r="AB94" s="469"/>
      <c r="AC94" s="471"/>
      <c r="AE94" s="449">
        <f t="shared" si="260"/>
        <v>310.88599999999985</v>
      </c>
      <c r="AF94" s="469"/>
      <c r="AG94" s="471"/>
      <c r="AI94" s="449">
        <f t="shared" si="261"/>
        <v>388.48899999999946</v>
      </c>
      <c r="AJ94" s="469"/>
      <c r="AK94" s="471"/>
      <c r="AM94" s="449">
        <f>IF(AM54=0,"NA",AM84+AM54)</f>
        <v>532.26599999999939</v>
      </c>
      <c r="AN94" s="469"/>
      <c r="AO94" s="471"/>
      <c r="AQ94" s="449">
        <f t="shared" si="263"/>
        <v>757.55900000000099</v>
      </c>
      <c r="AR94" s="469"/>
      <c r="AS94" s="471"/>
      <c r="AU94" s="449">
        <f t="shared" si="264"/>
        <v>993.81599999999935</v>
      </c>
      <c r="AV94" s="469"/>
      <c r="AW94" s="471"/>
      <c r="AY94" s="449">
        <f t="shared" si="265"/>
        <v>1271.1460000000015</v>
      </c>
      <c r="AZ94" s="469"/>
      <c r="BA94" s="471"/>
      <c r="BC94" s="449">
        <f t="shared" si="266"/>
        <v>1246.2200000000003</v>
      </c>
      <c r="BD94" s="469"/>
      <c r="BE94" s="471"/>
      <c r="BG94" s="449">
        <f t="shared" si="267"/>
        <v>1481.5930000000012</v>
      </c>
      <c r="BH94" s="469"/>
      <c r="BI94" s="471"/>
      <c r="BK94" s="449">
        <f t="shared" si="268"/>
        <v>1752.5999999999985</v>
      </c>
      <c r="BL94" s="469"/>
      <c r="BM94" s="471"/>
      <c r="BO94" s="449">
        <f t="shared" si="269"/>
        <v>2202.4710000000027</v>
      </c>
      <c r="BP94" s="469"/>
      <c r="BQ94" s="471"/>
      <c r="BS94" s="449">
        <f t="shared" si="270"/>
        <v>2256.7000000000003</v>
      </c>
      <c r="BT94" s="469"/>
      <c r="BU94" s="471"/>
      <c r="BW94" s="449">
        <f t="shared" si="271"/>
        <v>2077.4639999999999</v>
      </c>
      <c r="BX94" s="469"/>
      <c r="BY94" s="471"/>
      <c r="CA94" s="449">
        <f t="shared" si="272"/>
        <v>2547</v>
      </c>
      <c r="CB94" s="469"/>
      <c r="CC94" s="471"/>
      <c r="CE94" s="449">
        <f t="shared" si="273"/>
        <v>2845</v>
      </c>
      <c r="CF94" s="469"/>
      <c r="CG94" s="471"/>
      <c r="CI94" s="449">
        <f t="shared" si="274"/>
        <v>2936</v>
      </c>
      <c r="CJ94" s="469"/>
      <c r="CK94" s="471"/>
      <c r="CM94" s="449">
        <f t="shared" si="275"/>
        <v>2724</v>
      </c>
      <c r="CN94" s="492"/>
      <c r="CO94" s="471"/>
      <c r="CQ94" s="449">
        <f t="shared" si="276"/>
        <v>2633</v>
      </c>
      <c r="CR94" s="492"/>
      <c r="CS94" s="471"/>
      <c r="CU94" s="449">
        <f t="shared" si="277"/>
        <v>2575</v>
      </c>
      <c r="CV94" s="492"/>
      <c r="CW94" s="471"/>
      <c r="CY94" s="449">
        <f t="shared" si="278"/>
        <v>2488</v>
      </c>
      <c r="CZ94" s="492"/>
      <c r="DA94" s="471"/>
      <c r="DC94" s="449">
        <f>IF(DC54=0,"NA",DC84+DC54)</f>
        <v>2307</v>
      </c>
      <c r="DD94" s="492"/>
      <c r="DE94" s="471"/>
      <c r="DG94" s="449">
        <f>IF(DG54=0,"NA",DG84+DG54)</f>
        <v>2407</v>
      </c>
      <c r="DH94" s="492"/>
      <c r="DI94" s="471"/>
      <c r="DJ94" s="471"/>
      <c r="DK94" s="449">
        <f>IF(DK54=0,"NA",DK84+DK54)</f>
        <v>2296.8090430399989</v>
      </c>
      <c r="DL94" s="492"/>
      <c r="DM94" s="471"/>
      <c r="DN94" s="471"/>
      <c r="DO94" s="303" t="s">
        <v>232</v>
      </c>
    </row>
    <row r="95" spans="1:122" ht="12.75" hidden="1" customHeight="1" outlineLevel="2" x14ac:dyDescent="0.2">
      <c r="A95" s="448" t="s">
        <v>467</v>
      </c>
      <c r="C95" s="453">
        <f t="shared" si="253"/>
        <v>15.809000000000026</v>
      </c>
      <c r="D95" s="469"/>
      <c r="E95" s="471"/>
      <c r="F95" s="305"/>
      <c r="G95" s="453">
        <f t="shared" si="254"/>
        <v>20.104000000000006</v>
      </c>
      <c r="H95" s="469"/>
      <c r="I95" s="471"/>
      <c r="K95" s="453">
        <f t="shared" si="255"/>
        <v>27.371999999999993</v>
      </c>
      <c r="L95" s="469"/>
      <c r="M95" s="471"/>
      <c r="O95" s="453">
        <f t="shared" si="256"/>
        <v>36.049999999999983</v>
      </c>
      <c r="P95" s="469"/>
      <c r="Q95" s="471"/>
      <c r="R95" s="305"/>
      <c r="S95" s="453">
        <f t="shared" si="257"/>
        <v>47.961000000000034</v>
      </c>
      <c r="T95" s="469"/>
      <c r="U95" s="471"/>
      <c r="W95" s="453">
        <f t="shared" si="258"/>
        <v>57.480000000000068</v>
      </c>
      <c r="X95" s="469"/>
      <c r="Y95" s="471"/>
      <c r="AA95" s="453">
        <f t="shared" si="259"/>
        <v>73.743999999999986</v>
      </c>
      <c r="AB95" s="469"/>
      <c r="AC95" s="471"/>
      <c r="AE95" s="453">
        <f t="shared" si="260"/>
        <v>97.422999999999945</v>
      </c>
      <c r="AF95" s="469"/>
      <c r="AG95" s="471"/>
      <c r="AI95" s="453">
        <f t="shared" si="261"/>
        <v>129.85199999999983</v>
      </c>
      <c r="AJ95" s="469"/>
      <c r="AK95" s="471"/>
      <c r="AM95" s="453">
        <f t="shared" si="262"/>
        <v>185.89599999999984</v>
      </c>
      <c r="AN95" s="469"/>
      <c r="AO95" s="471"/>
      <c r="AQ95" s="453">
        <f t="shared" si="263"/>
        <v>261.77000000000049</v>
      </c>
      <c r="AR95" s="469"/>
      <c r="AS95" s="471"/>
      <c r="AU95" s="453">
        <f t="shared" si="264"/>
        <v>353.44799999999975</v>
      </c>
      <c r="AV95" s="469"/>
      <c r="AW95" s="471"/>
      <c r="AY95" s="453">
        <f t="shared" si="265"/>
        <v>484.05300000000022</v>
      </c>
      <c r="AZ95" s="469"/>
      <c r="BA95" s="471"/>
      <c r="BC95" s="453">
        <f t="shared" si="266"/>
        <v>506.31400000000031</v>
      </c>
      <c r="BD95" s="469"/>
      <c r="BE95" s="471"/>
      <c r="BG95" s="453">
        <f t="shared" si="267"/>
        <v>569.98000000000047</v>
      </c>
      <c r="BH95" s="469"/>
      <c r="BI95" s="471"/>
      <c r="BK95" s="453">
        <f t="shared" si="268"/>
        <v>687.29999999999973</v>
      </c>
      <c r="BL95" s="469"/>
      <c r="BM95" s="471"/>
      <c r="BO95" s="453">
        <f t="shared" si="269"/>
        <v>846.96900000000051</v>
      </c>
      <c r="BP95" s="469"/>
      <c r="BQ95" s="471"/>
      <c r="BS95" s="453">
        <f t="shared" si="270"/>
        <v>1000.6999999999998</v>
      </c>
      <c r="BT95" s="469"/>
      <c r="BU95" s="471"/>
      <c r="BW95" s="453">
        <f t="shared" si="271"/>
        <v>940.63399999999956</v>
      </c>
      <c r="BX95" s="469"/>
      <c r="BY95" s="471"/>
      <c r="CA95" s="453">
        <f t="shared" si="272"/>
        <v>935</v>
      </c>
      <c r="CB95" s="469"/>
      <c r="CC95" s="471"/>
      <c r="CE95" s="453">
        <f t="shared" si="273"/>
        <v>1232</v>
      </c>
      <c r="CF95" s="469"/>
      <c r="CG95" s="471"/>
      <c r="CI95" s="453">
        <f t="shared" si="274"/>
        <v>1319</v>
      </c>
      <c r="CJ95" s="469"/>
      <c r="CK95" s="471"/>
      <c r="CM95" s="453">
        <f t="shared" si="275"/>
        <v>1189</v>
      </c>
      <c r="CN95" s="492"/>
      <c r="CO95" s="471"/>
      <c r="CQ95" s="453">
        <f t="shared" si="276"/>
        <v>1207</v>
      </c>
      <c r="CR95" s="492"/>
      <c r="CS95" s="471"/>
      <c r="CU95" s="453">
        <f t="shared" si="277"/>
        <v>1169</v>
      </c>
      <c r="CV95" s="492"/>
      <c r="CW95" s="471"/>
      <c r="CY95" s="453">
        <f t="shared" si="278"/>
        <v>1164</v>
      </c>
      <c r="CZ95" s="492"/>
      <c r="DA95" s="471"/>
      <c r="DC95" s="453">
        <f>IF(DC55=0,"NA",DC85+DC55)</f>
        <v>1068</v>
      </c>
      <c r="DD95" s="492"/>
      <c r="DE95" s="471"/>
      <c r="DG95" s="453">
        <f>IF(DG55=0,"NA",DG85+DG55)</f>
        <v>1073</v>
      </c>
      <c r="DH95" s="492"/>
      <c r="DI95" s="471"/>
      <c r="DJ95" s="471"/>
      <c r="DK95" s="453">
        <f>IF(DK55=0,"NA",DK85+DK55)</f>
        <v>1098.2661103400005</v>
      </c>
      <c r="DL95" s="492"/>
      <c r="DM95" s="471"/>
      <c r="DN95" s="471"/>
      <c r="DO95" s="303" t="s">
        <v>232</v>
      </c>
    </row>
    <row r="96" spans="1:122" ht="12.75" hidden="1" customHeight="1" outlineLevel="2" x14ac:dyDescent="0.2">
      <c r="A96" s="448" t="s">
        <v>468</v>
      </c>
      <c r="C96" s="453">
        <f t="shared" si="253"/>
        <v>46.103999999999957</v>
      </c>
      <c r="D96" s="469"/>
      <c r="E96" s="471"/>
      <c r="F96" s="305"/>
      <c r="G96" s="453">
        <f t="shared" si="254"/>
        <v>51.711999999999975</v>
      </c>
      <c r="H96" s="469"/>
      <c r="I96" s="471"/>
      <c r="K96" s="453">
        <f t="shared" si="255"/>
        <v>66.622999999999919</v>
      </c>
      <c r="L96" s="469"/>
      <c r="M96" s="471"/>
      <c r="O96" s="453">
        <f t="shared" si="256"/>
        <v>84.324000000000026</v>
      </c>
      <c r="P96" s="469"/>
      <c r="Q96" s="471"/>
      <c r="R96" s="305"/>
      <c r="S96" s="453">
        <f t="shared" si="257"/>
        <v>98.212000000000018</v>
      </c>
      <c r="T96" s="469"/>
      <c r="U96" s="471"/>
      <c r="W96" s="453">
        <f t="shared" si="258"/>
        <v>121.06899999999999</v>
      </c>
      <c r="X96" s="469"/>
      <c r="Y96" s="471"/>
      <c r="AA96" s="453">
        <f t="shared" si="259"/>
        <v>154.25899999999999</v>
      </c>
      <c r="AB96" s="469"/>
      <c r="AC96" s="471"/>
      <c r="AE96" s="453">
        <f t="shared" si="260"/>
        <v>213.46299999999991</v>
      </c>
      <c r="AF96" s="469"/>
      <c r="AG96" s="471"/>
      <c r="AI96" s="453">
        <f t="shared" si="261"/>
        <v>258.63699999999983</v>
      </c>
      <c r="AJ96" s="469"/>
      <c r="AK96" s="471"/>
      <c r="AM96" s="453">
        <f t="shared" si="262"/>
        <v>341.41000000000042</v>
      </c>
      <c r="AN96" s="469"/>
      <c r="AO96" s="471"/>
      <c r="AQ96" s="453">
        <f t="shared" si="263"/>
        <v>495.78899999999976</v>
      </c>
      <c r="AR96" s="469"/>
      <c r="AS96" s="471"/>
      <c r="AU96" s="453">
        <f t="shared" si="264"/>
        <v>640.36800000000039</v>
      </c>
      <c r="AV96" s="469"/>
      <c r="AW96" s="471"/>
      <c r="AY96" s="453">
        <f t="shared" si="265"/>
        <v>788.94300000000044</v>
      </c>
      <c r="AZ96" s="469"/>
      <c r="BA96" s="471"/>
      <c r="BC96" s="453">
        <f t="shared" si="266"/>
        <v>741.51</v>
      </c>
      <c r="BD96" s="469"/>
      <c r="BE96" s="471"/>
      <c r="BG96" s="453">
        <f t="shared" si="267"/>
        <v>911.61300000000028</v>
      </c>
      <c r="BH96" s="469"/>
      <c r="BI96" s="471"/>
      <c r="BK96" s="453">
        <f t="shared" si="268"/>
        <v>1065.2999999999988</v>
      </c>
      <c r="BL96" s="469"/>
      <c r="BM96" s="471"/>
      <c r="BO96" s="453">
        <f t="shared" si="269"/>
        <v>1355.5020000000011</v>
      </c>
      <c r="BP96" s="469"/>
      <c r="BQ96" s="471"/>
      <c r="BS96" s="453">
        <f t="shared" si="270"/>
        <v>1255.9999999999995</v>
      </c>
      <c r="BT96" s="469"/>
      <c r="BU96" s="471"/>
      <c r="BW96" s="453">
        <f t="shared" si="271"/>
        <v>1136.8299999999995</v>
      </c>
      <c r="BX96" s="469"/>
      <c r="BY96" s="471"/>
      <c r="CA96" s="453">
        <f t="shared" si="272"/>
        <v>1367</v>
      </c>
      <c r="CB96" s="469"/>
      <c r="CC96" s="471"/>
      <c r="CE96" s="453">
        <f t="shared" si="273"/>
        <v>1613</v>
      </c>
      <c r="CF96" s="469"/>
      <c r="CG96" s="471"/>
      <c r="CI96" s="453">
        <f t="shared" si="274"/>
        <v>1617</v>
      </c>
      <c r="CJ96" s="469"/>
      <c r="CK96" s="471"/>
      <c r="CM96" s="453">
        <f t="shared" si="275"/>
        <v>1535</v>
      </c>
      <c r="CN96" s="492"/>
      <c r="CO96" s="471"/>
      <c r="CQ96" s="453">
        <f t="shared" si="276"/>
        <v>1426</v>
      </c>
      <c r="CR96" s="492"/>
      <c r="CS96" s="471"/>
      <c r="CU96" s="453">
        <f t="shared" si="277"/>
        <v>1406</v>
      </c>
      <c r="CV96" s="492"/>
      <c r="CW96" s="471"/>
      <c r="CY96" s="453">
        <f t="shared" si="278"/>
        <v>1324</v>
      </c>
      <c r="CZ96" s="492"/>
      <c r="DA96" s="471"/>
      <c r="DC96" s="453">
        <f t="shared" si="279"/>
        <v>1239</v>
      </c>
      <c r="DD96" s="492"/>
      <c r="DE96" s="471"/>
      <c r="DG96" s="453">
        <f t="shared" si="280"/>
        <v>1334</v>
      </c>
      <c r="DH96" s="492"/>
      <c r="DI96" s="471"/>
      <c r="DJ96" s="471"/>
      <c r="DK96" s="453">
        <f t="shared" si="281"/>
        <v>1198.5429326999997</v>
      </c>
      <c r="DL96" s="492"/>
      <c r="DM96" s="471"/>
      <c r="DN96" s="471"/>
      <c r="DO96" s="303" t="s">
        <v>232</v>
      </c>
    </row>
    <row r="97" spans="1:120" ht="12.75" hidden="1" customHeight="1" outlineLevel="2" x14ac:dyDescent="0.2">
      <c r="A97" s="448"/>
      <c r="C97" s="413"/>
      <c r="D97" s="469"/>
      <c r="E97" s="471"/>
      <c r="F97" s="305"/>
      <c r="G97" s="413"/>
      <c r="H97" s="469"/>
      <c r="I97" s="471"/>
      <c r="K97" s="413"/>
      <c r="L97" s="469"/>
      <c r="M97" s="471"/>
      <c r="O97" s="413"/>
      <c r="P97" s="469"/>
      <c r="Q97" s="471"/>
      <c r="R97" s="305"/>
      <c r="S97" s="413"/>
      <c r="T97" s="469"/>
      <c r="U97" s="471"/>
      <c r="W97" s="413"/>
      <c r="X97" s="469"/>
      <c r="Y97" s="471"/>
      <c r="AA97" s="413"/>
      <c r="AB97" s="469"/>
      <c r="AC97" s="471"/>
      <c r="AE97" s="413"/>
      <c r="AF97" s="469"/>
      <c r="AG97" s="471"/>
      <c r="AI97" s="413"/>
      <c r="AJ97" s="469"/>
      <c r="AK97" s="471"/>
      <c r="AM97" s="413"/>
      <c r="AN97" s="469"/>
      <c r="AO97" s="471"/>
      <c r="AQ97" s="413"/>
      <c r="AR97" s="469"/>
      <c r="AS97" s="471"/>
      <c r="AU97" s="413"/>
      <c r="AV97" s="469"/>
      <c r="AW97" s="471"/>
      <c r="AY97" s="413"/>
      <c r="AZ97" s="469"/>
      <c r="BA97" s="471"/>
      <c r="BC97" s="413"/>
      <c r="BD97" s="469"/>
      <c r="BE97" s="471"/>
      <c r="BG97" s="413"/>
      <c r="BH97" s="469"/>
      <c r="BI97" s="471"/>
      <c r="BK97" s="413"/>
      <c r="BL97" s="469"/>
      <c r="BM97" s="471"/>
      <c r="BO97" s="413"/>
      <c r="BP97" s="469"/>
      <c r="BQ97" s="471"/>
      <c r="BS97" s="413"/>
      <c r="BT97" s="469"/>
      <c r="BU97" s="471"/>
      <c r="BW97" s="413"/>
      <c r="BX97" s="469"/>
      <c r="BY97" s="471"/>
      <c r="CA97" s="413"/>
      <c r="CB97" s="469"/>
      <c r="CC97" s="471"/>
      <c r="CE97" s="413"/>
      <c r="CF97" s="469"/>
      <c r="CG97" s="471"/>
      <c r="CI97" s="413"/>
      <c r="CJ97" s="469"/>
      <c r="CK97" s="471"/>
      <c r="CM97" s="413"/>
      <c r="CN97" s="492"/>
      <c r="CO97" s="471"/>
      <c r="CQ97" s="413"/>
      <c r="CR97" s="492"/>
      <c r="CS97" s="471"/>
      <c r="CU97" s="413"/>
      <c r="CV97" s="492"/>
      <c r="CW97" s="471"/>
      <c r="CY97" s="413"/>
      <c r="CZ97" s="492"/>
      <c r="DA97" s="471"/>
      <c r="DC97" s="413"/>
      <c r="DD97" s="492"/>
      <c r="DE97" s="471"/>
      <c r="DG97" s="413"/>
      <c r="DH97" s="492"/>
      <c r="DI97" s="471"/>
      <c r="DJ97" s="471"/>
      <c r="DK97" s="413"/>
      <c r="DL97" s="492"/>
      <c r="DM97" s="471"/>
      <c r="DN97" s="471"/>
      <c r="DO97" s="303" t="s">
        <v>232</v>
      </c>
    </row>
    <row r="98" spans="1:120" outlineLevel="1" collapsed="1" x14ac:dyDescent="0.2">
      <c r="B98" s="447"/>
      <c r="C98" s="447"/>
      <c r="D98" s="447"/>
      <c r="E98" s="447"/>
      <c r="F98" s="447"/>
      <c r="G98" s="447"/>
      <c r="H98" s="447"/>
      <c r="I98" s="447"/>
      <c r="J98" s="447"/>
      <c r="K98" s="447"/>
      <c r="L98" s="447"/>
      <c r="M98" s="447"/>
      <c r="N98" s="447"/>
      <c r="O98" s="447"/>
      <c r="P98" s="447"/>
      <c r="Q98" s="447"/>
      <c r="R98" s="447"/>
      <c r="S98" s="447"/>
      <c r="T98" s="447"/>
      <c r="U98" s="447"/>
      <c r="V98" s="447"/>
      <c r="W98" s="447"/>
      <c r="X98" s="447"/>
      <c r="Y98" s="447"/>
      <c r="Z98" s="447"/>
      <c r="AA98" s="447"/>
      <c r="AB98" s="447"/>
      <c r="AC98" s="447"/>
      <c r="AD98" s="447"/>
      <c r="AE98" s="447"/>
      <c r="AF98" s="447"/>
      <c r="AG98" s="447"/>
      <c r="AH98" s="447"/>
      <c r="AI98" s="447"/>
      <c r="AJ98" s="447"/>
      <c r="AK98" s="447"/>
      <c r="AL98" s="447"/>
      <c r="AM98" s="447"/>
      <c r="AN98" s="447"/>
      <c r="AO98" s="447"/>
      <c r="AP98" s="447"/>
      <c r="AQ98" s="447"/>
      <c r="AR98" s="447"/>
      <c r="AS98" s="447"/>
      <c r="AT98" s="447"/>
      <c r="AU98" s="447"/>
      <c r="AV98" s="447"/>
      <c r="AW98" s="447"/>
      <c r="AX98" s="447"/>
      <c r="AY98" s="447"/>
      <c r="AZ98" s="447"/>
      <c r="BA98" s="447"/>
      <c r="BB98" s="447"/>
      <c r="BC98" s="447"/>
      <c r="BD98" s="447"/>
      <c r="BE98" s="447"/>
      <c r="BF98" s="447"/>
      <c r="BG98" s="447"/>
      <c r="BH98" s="447"/>
      <c r="BI98" s="447"/>
      <c r="BJ98" s="447"/>
      <c r="BK98" s="447"/>
      <c r="BL98" s="447"/>
      <c r="BM98" s="447"/>
      <c r="BN98" s="447"/>
      <c r="BO98" s="447"/>
      <c r="BP98" s="447"/>
      <c r="BQ98" s="447"/>
      <c r="BR98" s="447"/>
      <c r="BS98" s="447"/>
      <c r="BT98" s="447"/>
      <c r="BU98" s="447"/>
      <c r="BV98" s="447"/>
      <c r="BW98" s="447"/>
      <c r="BX98" s="447"/>
      <c r="BY98" s="447"/>
      <c r="BZ98" s="447"/>
      <c r="CA98" s="447"/>
      <c r="CB98" s="447"/>
      <c r="CC98" s="447"/>
      <c r="CD98" s="447"/>
      <c r="CE98" s="447"/>
      <c r="CF98" s="447"/>
      <c r="CG98" s="447"/>
      <c r="CH98" s="447"/>
      <c r="CI98" s="447"/>
      <c r="CJ98" s="447"/>
      <c r="CK98" s="447" t="s">
        <v>298</v>
      </c>
      <c r="CL98" s="447"/>
      <c r="CM98" s="447"/>
      <c r="CN98" s="447"/>
      <c r="CO98" s="447"/>
      <c r="CP98" s="447"/>
      <c r="CQ98" s="447"/>
      <c r="CR98" s="447"/>
      <c r="CS98" s="447"/>
      <c r="CT98" s="447"/>
      <c r="CU98" s="447"/>
      <c r="CV98" s="447"/>
      <c r="CW98" s="447"/>
      <c r="CX98" s="447"/>
      <c r="CY98" s="447" t="s">
        <v>298</v>
      </c>
      <c r="CZ98" s="447"/>
      <c r="DA98" s="447"/>
      <c r="DB98" s="447"/>
      <c r="DC98" s="447"/>
      <c r="DD98" s="447"/>
      <c r="DE98" s="447"/>
      <c r="DF98" s="447"/>
      <c r="DG98" s="447"/>
      <c r="DH98" s="447"/>
      <c r="DI98" s="447"/>
      <c r="DJ98" s="447"/>
      <c r="DK98" s="447"/>
      <c r="DL98" s="447"/>
      <c r="DM98" s="447"/>
      <c r="DN98" s="318"/>
      <c r="DO98" s="303" t="s">
        <v>232</v>
      </c>
      <c r="DP98" s="318"/>
    </row>
    <row r="99" spans="1:120" outlineLevel="1" x14ac:dyDescent="0.2">
      <c r="C99" s="413"/>
      <c r="D99" s="459"/>
      <c r="E99" s="459"/>
      <c r="F99" s="305"/>
      <c r="G99" s="413"/>
      <c r="H99" s="459"/>
      <c r="I99" s="459"/>
      <c r="K99" s="413"/>
      <c r="O99" s="413"/>
      <c r="R99" s="305"/>
      <c r="S99" s="413"/>
      <c r="W99" s="413"/>
      <c r="AA99" s="413"/>
      <c r="AE99" s="413"/>
      <c r="AI99" s="413"/>
      <c r="AM99" s="413"/>
      <c r="AQ99" s="413"/>
      <c r="AU99" s="413"/>
      <c r="AY99" s="413"/>
      <c r="BC99" s="413"/>
      <c r="BG99" s="413"/>
      <c r="BK99" s="413"/>
      <c r="BO99" s="413"/>
      <c r="BS99" s="413"/>
      <c r="BW99" s="413"/>
      <c r="CA99" s="413"/>
      <c r="CE99" s="413"/>
      <c r="CI99" s="413"/>
      <c r="DI99" s="14"/>
      <c r="DJ99" s="14"/>
      <c r="DK99" s="14"/>
      <c r="DL99" s="14"/>
      <c r="DM99" s="14"/>
      <c r="DN99" s="14"/>
      <c r="DO99" s="14" t="s">
        <v>232</v>
      </c>
      <c r="DP99" s="14"/>
    </row>
    <row r="100" spans="1:120" outlineLevel="1" x14ac:dyDescent="0.2">
      <c r="A100" s="448" t="s">
        <v>89</v>
      </c>
      <c r="C100" s="468">
        <v>8.2230000000000008</v>
      </c>
      <c r="D100" s="492">
        <f t="shared" ref="D100:D106" si="282">C100/C10*100</f>
        <v>5.095679547876955</v>
      </c>
      <c r="E100" s="451"/>
      <c r="F100" s="305"/>
      <c r="G100" s="468">
        <v>6.8979999999999997</v>
      </c>
      <c r="H100" s="492">
        <f t="shared" ref="H100:H106" si="283">G100/G10*100</f>
        <v>3.6091374276655186</v>
      </c>
      <c r="I100" s="451"/>
      <c r="K100" s="468">
        <v>5.5519999999999996</v>
      </c>
      <c r="L100" s="492">
        <f t="shared" ref="L100:L106" si="284">K100/K10*100</f>
        <v>2.623818525519849</v>
      </c>
      <c r="M100" s="451"/>
      <c r="O100" s="468">
        <v>1.448</v>
      </c>
      <c r="P100" s="492">
        <f t="shared" ref="P100:P106" si="285">O100/O10*100</f>
        <v>0.57873701039168668</v>
      </c>
      <c r="Q100" s="451"/>
      <c r="R100" s="305"/>
      <c r="S100" s="468">
        <v>0.96799999999999997</v>
      </c>
      <c r="T100" s="492">
        <f t="shared" ref="T100:T106" si="286">S100/S10*100</f>
        <v>0.31448992852501623</v>
      </c>
      <c r="U100" s="451"/>
      <c r="W100" s="468">
        <v>2.4529999999999998</v>
      </c>
      <c r="X100" s="492">
        <f t="shared" ref="X100:X106" si="287">W100/W10*100</f>
        <v>0.66585233441910974</v>
      </c>
      <c r="Y100" s="451"/>
      <c r="AA100" s="468">
        <v>4.1020000000000003</v>
      </c>
      <c r="AB100" s="492">
        <f t="shared" ref="AB100:AB106" si="288">AA100/AA10*100</f>
        <v>0.87518668657990195</v>
      </c>
      <c r="AC100" s="451"/>
      <c r="AE100" s="468">
        <v>5.8360000000000003</v>
      </c>
      <c r="AF100" s="492">
        <f t="shared" ref="AF100:AF106" si="289">AE100/AE10*100</f>
        <v>0.97178072657094283</v>
      </c>
      <c r="AG100" s="451"/>
      <c r="AI100" s="468">
        <v>5.0590000000000002</v>
      </c>
      <c r="AJ100" s="492">
        <f t="shared" ref="AJ100:AJ106" si="290">AI100/AI10*100</f>
        <v>0.67942519473542839</v>
      </c>
      <c r="AK100" s="451"/>
      <c r="AM100" s="468">
        <v>5.1319999999999997</v>
      </c>
      <c r="AN100" s="492">
        <f t="shared" ref="AN100:AN106" si="291">AM100/AM10*100</f>
        <v>0.56377018565308146</v>
      </c>
      <c r="AO100" s="451"/>
      <c r="AQ100" s="468">
        <v>8.23</v>
      </c>
      <c r="AR100" s="492">
        <f t="shared" ref="AR100:AR106" si="292">AQ100/AQ10*100</f>
        <v>0.66981362415561163</v>
      </c>
      <c r="AS100" s="451"/>
      <c r="AU100" s="468">
        <v>10.576000000000001</v>
      </c>
      <c r="AV100" s="492">
        <f t="shared" ref="AV100:AV106" si="293">AU100/AU10*100</f>
        <v>0.71060942014378825</v>
      </c>
      <c r="AW100" s="451"/>
      <c r="AY100" s="468">
        <v>12.615</v>
      </c>
      <c r="AZ100" s="492">
        <f t="shared" ref="AZ100:AZ106" si="294">AY100/AY10*100</f>
        <v>0.67441860465116277</v>
      </c>
      <c r="BA100" s="451"/>
      <c r="BC100" s="468">
        <v>17.765999999999998</v>
      </c>
      <c r="BD100" s="492">
        <f t="shared" ref="BD100:BD106" si="295">BC100/BC10*100</f>
        <v>0.83892902677433057</v>
      </c>
      <c r="BE100" s="451"/>
      <c r="BG100" s="468">
        <v>15</v>
      </c>
      <c r="BH100" s="492">
        <f t="shared" ref="BH100:BH106" si="296">BG100/BG10*100</f>
        <v>0.63019914292916568</v>
      </c>
      <c r="BI100" s="451"/>
      <c r="BK100" s="468">
        <v>17.2</v>
      </c>
      <c r="BL100" s="492">
        <f t="shared" ref="BL100:BL106" si="297">BK100/BK10*100</f>
        <v>0.62709639784162163</v>
      </c>
      <c r="BM100" s="451"/>
      <c r="BO100" s="468">
        <v>14.2195</v>
      </c>
      <c r="BP100" s="492">
        <f t="shared" ref="BP100:BP106" si="298">BO100/BO10*100</f>
        <v>0.44649417527553614</v>
      </c>
      <c r="BQ100" s="451"/>
      <c r="BS100" s="468">
        <v>10.199999999999999</v>
      </c>
      <c r="BT100" s="492">
        <f t="shared" ref="BT100:BT106" si="299">BS100/BS10*100</f>
        <v>0.28555431131019038</v>
      </c>
      <c r="BU100" s="451"/>
      <c r="BW100" s="468">
        <v>26.698</v>
      </c>
      <c r="BX100" s="492">
        <f t="shared" ref="BX100:BX106" si="300">BW100/BW10*100</f>
        <v>0.73664713255868308</v>
      </c>
      <c r="BY100" s="451"/>
      <c r="CA100" s="468">
        <v>32</v>
      </c>
      <c r="CB100" s="492">
        <f t="shared" ref="CB100:CB106" si="301">CA100/CA10*100</f>
        <v>0.87960417811984615</v>
      </c>
      <c r="CC100" s="451"/>
      <c r="CE100" s="1008">
        <v>77</v>
      </c>
      <c r="CF100" s="492">
        <f t="shared" ref="CF100:CF106" si="302">CE100/CE10*100</f>
        <v>1.9083023543990087</v>
      </c>
      <c r="CG100" s="451"/>
      <c r="CI100" s="1008">
        <v>76</v>
      </c>
      <c r="CJ100" s="492">
        <f t="shared" ref="CJ100:CJ106" si="303">CI100/CI10*100</f>
        <v>1.8260451705910619</v>
      </c>
      <c r="CK100" s="493"/>
      <c r="CM100" s="1008">
        <v>82.5</v>
      </c>
      <c r="CN100" s="492">
        <f t="shared" ref="CN100:CN106" si="304">CM100/CM10*100</f>
        <v>1.9443789771388169</v>
      </c>
      <c r="CO100" s="451"/>
      <c r="CQ100" s="1008">
        <v>83</v>
      </c>
      <c r="CR100" s="492">
        <f t="shared" ref="CR100:CR106" si="305">CQ100/CQ10*100</f>
        <v>1.9766611097880447</v>
      </c>
      <c r="CS100" s="451"/>
      <c r="CU100" s="1008">
        <v>85</v>
      </c>
      <c r="CV100" s="492">
        <f t="shared" ref="CV100:CV106" si="306">CU100/CU10*100</f>
        <v>2.0884520884520885</v>
      </c>
      <c r="CW100" s="451"/>
      <c r="CY100" s="1008">
        <v>84</v>
      </c>
      <c r="CZ100" s="492">
        <f t="shared" ref="CZ100:CZ106" si="307">CY100/CY10*100</f>
        <v>2.037351443123939</v>
      </c>
      <c r="DA100" s="451"/>
      <c r="DC100" s="1008">
        <v>79</v>
      </c>
      <c r="DD100" s="492">
        <f t="shared" ref="DD100:DD106" si="308">DC100/DC10*100</f>
        <v>1.9889224572004027</v>
      </c>
      <c r="DE100" s="451"/>
      <c r="DG100" s="1008">
        <v>76</v>
      </c>
      <c r="DH100" s="492">
        <f t="shared" ref="DH100:DH106" si="309">DG100/DG10*100</f>
        <v>1.9776216497527972</v>
      </c>
      <c r="DI100" s="1242"/>
      <c r="DJ100" s="1242"/>
      <c r="DK100" s="1233">
        <v>72</v>
      </c>
      <c r="DL100" s="1243">
        <f t="shared" ref="DL100:DL106" si="310">DK100/DK10*100</f>
        <v>1.8108798567231859</v>
      </c>
      <c r="DM100" s="1242"/>
      <c r="DN100" s="1242"/>
      <c r="DO100" s="260"/>
      <c r="DP100" s="14"/>
    </row>
    <row r="101" spans="1:120" outlineLevel="1" x14ac:dyDescent="0.2">
      <c r="A101" s="448" t="s">
        <v>90</v>
      </c>
      <c r="C101" s="472">
        <v>8.1419999999999995</v>
      </c>
      <c r="D101" s="492">
        <f t="shared" si="282"/>
        <v>5.2177256560607521</v>
      </c>
      <c r="E101" s="451"/>
      <c r="F101" s="305"/>
      <c r="G101" s="472">
        <v>6.6020000000000003</v>
      </c>
      <c r="H101" s="492">
        <f t="shared" si="283"/>
        <v>3.6965285554311311</v>
      </c>
      <c r="I101" s="451"/>
      <c r="K101" s="472">
        <v>3.476</v>
      </c>
      <c r="L101" s="492">
        <f t="shared" si="284"/>
        <v>1.5974264705882355</v>
      </c>
      <c r="M101" s="451"/>
      <c r="O101" s="472">
        <v>1.43</v>
      </c>
      <c r="P101" s="492">
        <f t="shared" si="285"/>
        <v>0.55555555555555558</v>
      </c>
      <c r="Q101" s="451"/>
      <c r="R101" s="305"/>
      <c r="S101" s="472">
        <v>1.278</v>
      </c>
      <c r="T101" s="492">
        <f t="shared" si="286"/>
        <v>0.43707250341997272</v>
      </c>
      <c r="U101" s="451"/>
      <c r="W101" s="472">
        <v>3.2370000000000001</v>
      </c>
      <c r="X101" s="492">
        <f t="shared" si="287"/>
        <v>0.89099917423616848</v>
      </c>
      <c r="Y101" s="451"/>
      <c r="AA101" s="472">
        <v>3.64</v>
      </c>
      <c r="AB101" s="492">
        <f t="shared" si="288"/>
        <v>0.76696165191740406</v>
      </c>
      <c r="AC101" s="451"/>
      <c r="AE101" s="472">
        <v>6.9859999999999998</v>
      </c>
      <c r="AF101" s="492">
        <f t="shared" si="289"/>
        <v>1.119664325084103</v>
      </c>
      <c r="AG101" s="451"/>
      <c r="AI101" s="472">
        <v>5.2009999999999996</v>
      </c>
      <c r="AJ101" s="492">
        <f t="shared" si="290"/>
        <v>0.68546952224052715</v>
      </c>
      <c r="AK101" s="451"/>
      <c r="AM101" s="472">
        <v>6.4880000000000004</v>
      </c>
      <c r="AN101" s="492">
        <f t="shared" si="291"/>
        <v>0.69058009579563606</v>
      </c>
      <c r="AO101" s="451"/>
      <c r="AQ101" s="472">
        <v>9.9619999999999997</v>
      </c>
      <c r="AR101" s="492">
        <f t="shared" si="292"/>
        <v>0.79353194201051447</v>
      </c>
      <c r="AS101" s="451"/>
      <c r="AU101" s="472">
        <v>12.756</v>
      </c>
      <c r="AV101" s="492">
        <f t="shared" si="293"/>
        <v>0.84153582266789828</v>
      </c>
      <c r="AW101" s="451"/>
      <c r="AY101" s="472">
        <v>13</v>
      </c>
      <c r="AZ101" s="492">
        <f t="shared" si="294"/>
        <v>0.67641396534679221</v>
      </c>
      <c r="BA101" s="451"/>
      <c r="BC101" s="472">
        <v>23.2</v>
      </c>
      <c r="BD101" s="492">
        <f t="shared" si="295"/>
        <v>1.0505343234921209</v>
      </c>
      <c r="BE101" s="451"/>
      <c r="BG101" s="472">
        <v>15</v>
      </c>
      <c r="BH101" s="492">
        <f t="shared" si="296"/>
        <v>0.60050442371592139</v>
      </c>
      <c r="BI101" s="451"/>
      <c r="BK101" s="472">
        <v>16.3</v>
      </c>
      <c r="BL101" s="492">
        <f t="shared" si="297"/>
        <v>0.5643848897198851</v>
      </c>
      <c r="BM101" s="451"/>
      <c r="BO101" s="472">
        <v>6</v>
      </c>
      <c r="BP101" s="492">
        <f t="shared" si="298"/>
        <v>0.18173518941501562</v>
      </c>
      <c r="BQ101" s="451"/>
      <c r="BS101" s="472">
        <v>10.5</v>
      </c>
      <c r="BT101" s="492">
        <f t="shared" si="299"/>
        <v>0.29254429956536276</v>
      </c>
      <c r="BU101" s="451"/>
      <c r="BW101" s="472">
        <v>26.492999999999999</v>
      </c>
      <c r="BX101" s="492">
        <f t="shared" si="300"/>
        <v>0.711127932164628</v>
      </c>
      <c r="BY101" s="451"/>
      <c r="CA101" s="472">
        <v>31</v>
      </c>
      <c r="CB101" s="492">
        <f t="shared" si="301"/>
        <v>0.81450341565948503</v>
      </c>
      <c r="CC101" s="451"/>
      <c r="CE101" s="985">
        <v>78</v>
      </c>
      <c r="CF101" s="492">
        <f t="shared" si="302"/>
        <v>1.9024390243902438</v>
      </c>
      <c r="CG101" s="451"/>
      <c r="CI101" s="985">
        <v>72</v>
      </c>
      <c r="CJ101" s="492">
        <f t="shared" si="303"/>
        <v>1.6949152542372881</v>
      </c>
      <c r="CK101" s="451"/>
      <c r="CM101" s="985">
        <v>80.5</v>
      </c>
      <c r="CN101" s="492">
        <f t="shared" si="304"/>
        <v>1.9143876337693222</v>
      </c>
      <c r="CO101" s="451"/>
      <c r="CQ101" s="985">
        <v>84</v>
      </c>
      <c r="CR101" s="492">
        <f>CQ101/CQ11*100</f>
        <v>1.9584984844952202</v>
      </c>
      <c r="CS101" s="451"/>
      <c r="CU101" s="985">
        <v>86</v>
      </c>
      <c r="CV101" s="492">
        <f t="shared" si="306"/>
        <v>2.0273455917020273</v>
      </c>
      <c r="CW101" s="451"/>
      <c r="CY101" s="985">
        <f>84+131-131</f>
        <v>84</v>
      </c>
      <c r="CZ101" s="492">
        <f t="shared" si="307"/>
        <v>1.9685962034216076</v>
      </c>
      <c r="DA101" s="451"/>
      <c r="DC101" s="985">
        <v>78</v>
      </c>
      <c r="DD101" s="492">
        <f t="shared" si="308"/>
        <v>1.8651362984218076</v>
      </c>
      <c r="DE101" s="451"/>
      <c r="DG101" s="985">
        <v>75</v>
      </c>
      <c r="DH101" s="492">
        <f t="shared" si="309"/>
        <v>1.8098455598455596</v>
      </c>
      <c r="DI101" s="1242"/>
      <c r="DJ101" s="1242"/>
      <c r="DK101" s="1234">
        <v>70</v>
      </c>
      <c r="DL101" s="1243">
        <f t="shared" si="310"/>
        <v>1.676448182998401</v>
      </c>
      <c r="DM101" s="1242"/>
      <c r="DN101" s="1242"/>
      <c r="DO101" s="260"/>
      <c r="DP101" s="14"/>
    </row>
    <row r="102" spans="1:120" outlineLevel="1" x14ac:dyDescent="0.2">
      <c r="A102" s="448" t="s">
        <v>91</v>
      </c>
      <c r="C102" s="472">
        <v>6.9459999999999997</v>
      </c>
      <c r="D102" s="492">
        <f t="shared" si="282"/>
        <v>3.479192963474985</v>
      </c>
      <c r="E102" s="451"/>
      <c r="F102" s="305"/>
      <c r="G102" s="472">
        <v>6.9139999999999997</v>
      </c>
      <c r="H102" s="492">
        <f t="shared" si="283"/>
        <v>2.8856427378964939</v>
      </c>
      <c r="I102" s="451"/>
      <c r="K102" s="472">
        <v>2.7029999999999998</v>
      </c>
      <c r="L102" s="492">
        <f t="shared" si="284"/>
        <v>0.94775596072931267</v>
      </c>
      <c r="M102" s="451"/>
      <c r="O102" s="472">
        <v>1.585</v>
      </c>
      <c r="P102" s="492">
        <f t="shared" si="285"/>
        <v>0.46494573188618366</v>
      </c>
      <c r="Q102" s="451"/>
      <c r="R102" s="305"/>
      <c r="S102" s="472">
        <v>2.0409999999999999</v>
      </c>
      <c r="T102" s="492">
        <f t="shared" si="286"/>
        <v>0.52400513478819</v>
      </c>
      <c r="U102" s="451"/>
      <c r="W102" s="472">
        <v>3.9239999999999999</v>
      </c>
      <c r="X102" s="492">
        <f t="shared" si="287"/>
        <v>0.80624614752414225</v>
      </c>
      <c r="Y102" s="451"/>
      <c r="AA102" s="472">
        <v>5.3470000000000004</v>
      </c>
      <c r="AB102" s="492">
        <f t="shared" si="288"/>
        <v>0.89384821130056835</v>
      </c>
      <c r="AC102" s="451"/>
      <c r="AE102" s="472">
        <v>5.5830000000000002</v>
      </c>
      <c r="AF102" s="492">
        <f t="shared" si="289"/>
        <v>0.73673792557403017</v>
      </c>
      <c r="AG102" s="451"/>
      <c r="AI102" s="472">
        <v>5.3689999999999998</v>
      </c>
      <c r="AJ102" s="492">
        <f t="shared" si="290"/>
        <v>0.60403892670304316</v>
      </c>
      <c r="AK102" s="451"/>
      <c r="AM102" s="472">
        <v>8.0329999999999995</v>
      </c>
      <c r="AN102" s="492">
        <f t="shared" si="291"/>
        <v>0.73048523206751037</v>
      </c>
      <c r="AO102" s="451"/>
      <c r="AQ102" s="472">
        <v>10.981</v>
      </c>
      <c r="AR102" s="492">
        <f t="shared" si="292"/>
        <v>0.75993079584775092</v>
      </c>
      <c r="AS102" s="451"/>
      <c r="AU102" s="472">
        <v>13.651</v>
      </c>
      <c r="AV102" s="492">
        <f t="shared" si="293"/>
        <v>0.77547254914658825</v>
      </c>
      <c r="AW102" s="451"/>
      <c r="AY102" s="472">
        <v>13.8</v>
      </c>
      <c r="AZ102" s="492">
        <f t="shared" si="294"/>
        <v>0.64383689465335447</v>
      </c>
      <c r="BA102" s="451"/>
      <c r="BC102" s="472">
        <v>15.8</v>
      </c>
      <c r="BD102" s="492">
        <f t="shared" si="295"/>
        <v>0.65998329156223889</v>
      </c>
      <c r="BE102" s="451"/>
      <c r="BG102" s="472">
        <v>15.071</v>
      </c>
      <c r="BH102" s="492">
        <f t="shared" si="296"/>
        <v>0.5492547104486315</v>
      </c>
      <c r="BI102" s="451"/>
      <c r="BK102" s="472">
        <v>18</v>
      </c>
      <c r="BL102" s="492">
        <f t="shared" si="297"/>
        <v>0.57703404500865552</v>
      </c>
      <c r="BM102" s="451"/>
      <c r="BO102" s="472">
        <v>10.189</v>
      </c>
      <c r="BP102" s="492">
        <f t="shared" si="298"/>
        <v>0.27911290910216535</v>
      </c>
      <c r="BQ102" s="451"/>
      <c r="BS102" s="472">
        <v>18.7</v>
      </c>
      <c r="BT102" s="492">
        <f t="shared" si="299"/>
        <v>0.48886332740771721</v>
      </c>
      <c r="BU102" s="451"/>
      <c r="BW102" s="472">
        <v>28.265000000000001</v>
      </c>
      <c r="BX102" s="492">
        <f t="shared" si="300"/>
        <v>0.74310221579330793</v>
      </c>
      <c r="BY102" s="451"/>
      <c r="CA102" s="472">
        <v>31</v>
      </c>
      <c r="CB102" s="492">
        <f t="shared" si="301"/>
        <v>0.76524314983954578</v>
      </c>
      <c r="CC102" s="451"/>
      <c r="CE102" s="985">
        <v>79</v>
      </c>
      <c r="CF102" s="492">
        <f t="shared" si="302"/>
        <v>1.8729255571360834</v>
      </c>
      <c r="CG102" s="451"/>
      <c r="CI102" s="985">
        <v>75</v>
      </c>
      <c r="CJ102" s="492">
        <f t="shared" si="303"/>
        <v>1.7138939670932358</v>
      </c>
      <c r="CK102" s="451"/>
      <c r="CM102" s="985">
        <v>80.5</v>
      </c>
      <c r="CN102" s="492">
        <f t="shared" si="304"/>
        <v>1.7928730512249444</v>
      </c>
      <c r="CO102" s="451"/>
      <c r="CQ102" s="985">
        <v>84</v>
      </c>
      <c r="CR102" s="492">
        <f t="shared" si="305"/>
        <v>1.8901890189018902</v>
      </c>
      <c r="CS102" s="451"/>
      <c r="CU102" s="985">
        <v>85</v>
      </c>
      <c r="CV102" s="492">
        <f t="shared" si="306"/>
        <v>1.9433013260173753</v>
      </c>
      <c r="CW102" s="451"/>
      <c r="CY102" s="985">
        <f>81+38-38</f>
        <v>81</v>
      </c>
      <c r="CZ102" s="492">
        <f t="shared" si="307"/>
        <v>1.8296814998870568</v>
      </c>
      <c r="DA102" s="451"/>
      <c r="DC102" s="985">
        <v>76</v>
      </c>
      <c r="DD102" s="492">
        <f t="shared" si="308"/>
        <v>1.7564132193205455</v>
      </c>
      <c r="DE102" s="451"/>
      <c r="DG102" s="1017">
        <v>74</v>
      </c>
      <c r="DH102" s="492">
        <f t="shared" si="309"/>
        <v>1.7082179132040627</v>
      </c>
      <c r="DI102" s="1242"/>
      <c r="DJ102" s="1242"/>
      <c r="DK102" s="1244">
        <v>70</v>
      </c>
      <c r="DL102" s="1243">
        <f t="shared" si="310"/>
        <v>1.6369161827357821</v>
      </c>
      <c r="DM102" s="1242"/>
      <c r="DN102" s="1242"/>
      <c r="DO102" s="14" t="s">
        <v>232</v>
      </c>
      <c r="DP102" s="14"/>
    </row>
    <row r="103" spans="1:120" outlineLevel="1" x14ac:dyDescent="0.2">
      <c r="A103" s="448" t="s">
        <v>92</v>
      </c>
      <c r="C103" s="474">
        <v>7.0209999999999999</v>
      </c>
      <c r="D103" s="492">
        <f t="shared" si="282"/>
        <v>2.574303167188543</v>
      </c>
      <c r="E103" s="451"/>
      <c r="F103" s="305"/>
      <c r="G103" s="474">
        <v>5.5940000000000003</v>
      </c>
      <c r="H103" s="492">
        <f t="shared" si="283"/>
        <v>1.7421364061040174</v>
      </c>
      <c r="I103" s="451"/>
      <c r="K103" s="474">
        <v>2.6629999999999998</v>
      </c>
      <c r="L103" s="492">
        <f t="shared" si="284"/>
        <v>0.70189773326304694</v>
      </c>
      <c r="M103" s="451"/>
      <c r="O103" s="474">
        <v>1.248</v>
      </c>
      <c r="P103" s="492">
        <f t="shared" si="285"/>
        <v>0.27302559614963906</v>
      </c>
      <c r="Q103" s="451"/>
      <c r="R103" s="305"/>
      <c r="S103" s="474">
        <v>2.137</v>
      </c>
      <c r="T103" s="492">
        <f t="shared" si="286"/>
        <v>0.37867243151291768</v>
      </c>
      <c r="U103" s="451"/>
      <c r="W103" s="474">
        <v>3.536</v>
      </c>
      <c r="X103" s="492">
        <f t="shared" si="287"/>
        <v>0.50014144271570016</v>
      </c>
      <c r="Y103" s="451"/>
      <c r="AA103" s="474">
        <v>4.5330000000000004</v>
      </c>
      <c r="AB103" s="492">
        <f t="shared" si="288"/>
        <v>0.53518299881936249</v>
      </c>
      <c r="AC103" s="451"/>
      <c r="AE103" s="474">
        <v>5.367</v>
      </c>
      <c r="AF103" s="492">
        <f t="shared" si="289"/>
        <v>0.49795880497309336</v>
      </c>
      <c r="AG103" s="451"/>
      <c r="AI103" s="474">
        <v>5.4870000000000001</v>
      </c>
      <c r="AJ103" s="492">
        <f t="shared" si="290"/>
        <v>0.42551376502520355</v>
      </c>
      <c r="AK103" s="451"/>
      <c r="AM103" s="474">
        <v>7.51</v>
      </c>
      <c r="AN103" s="492">
        <f t="shared" si="291"/>
        <v>0.46718506998444792</v>
      </c>
      <c r="AO103" s="451"/>
      <c r="AQ103" s="474">
        <v>9.44</v>
      </c>
      <c r="AR103" s="492">
        <f t="shared" si="292"/>
        <v>0.42463227025324995</v>
      </c>
      <c r="AS103" s="451"/>
      <c r="AU103" s="474">
        <v>13.128</v>
      </c>
      <c r="AV103" s="492">
        <f t="shared" si="293"/>
        <v>0.48190294398355482</v>
      </c>
      <c r="AW103" s="451"/>
      <c r="AY103" s="474">
        <v>16.611999999999998</v>
      </c>
      <c r="AZ103" s="492">
        <f t="shared" si="294"/>
        <v>0.52166813214420293</v>
      </c>
      <c r="BA103" s="451"/>
      <c r="BC103" s="474">
        <v>16.2</v>
      </c>
      <c r="BD103" s="492">
        <f t="shared" si="295"/>
        <v>0.4548134422639602</v>
      </c>
      <c r="BE103" s="451"/>
      <c r="BG103" s="474">
        <v>17.399999999999999</v>
      </c>
      <c r="BH103" s="492">
        <f t="shared" si="296"/>
        <v>0.42660651678230804</v>
      </c>
      <c r="BI103" s="451"/>
      <c r="BK103" s="474">
        <v>18.8</v>
      </c>
      <c r="BL103" s="492">
        <f t="shared" si="297"/>
        <v>0.40413594445280426</v>
      </c>
      <c r="BM103" s="451"/>
      <c r="BO103" s="474">
        <v>10</v>
      </c>
      <c r="BP103" s="492">
        <f t="shared" si="298"/>
        <v>0.18353338472268105</v>
      </c>
      <c r="BQ103" s="451"/>
      <c r="BS103" s="474">
        <v>23</v>
      </c>
      <c r="BT103" s="492">
        <f t="shared" si="299"/>
        <v>0.41914967288101618</v>
      </c>
      <c r="BU103" s="451"/>
      <c r="BW103" s="474">
        <v>30</v>
      </c>
      <c r="BX103" s="492">
        <f t="shared" si="300"/>
        <v>0.57306590257879653</v>
      </c>
      <c r="BY103" s="451"/>
      <c r="CA103" s="474">
        <v>31</v>
      </c>
      <c r="CB103" s="492">
        <f t="shared" si="301"/>
        <v>0.5454865387999297</v>
      </c>
      <c r="CC103" s="451"/>
      <c r="CE103" s="1009">
        <v>71</v>
      </c>
      <c r="CF103" s="492">
        <f t="shared" si="302"/>
        <v>1.1758860549850945</v>
      </c>
      <c r="CG103" s="451"/>
      <c r="CI103" s="1009">
        <v>76</v>
      </c>
      <c r="CJ103" s="492">
        <f t="shared" si="303"/>
        <v>1.2628780325689597</v>
      </c>
      <c r="CK103" s="451"/>
      <c r="CM103" s="1009">
        <v>85</v>
      </c>
      <c r="CN103" s="492">
        <f t="shared" si="304"/>
        <v>1.3402712078208767</v>
      </c>
      <c r="CO103" s="451"/>
      <c r="CQ103" s="1009">
        <v>87</v>
      </c>
      <c r="CR103" s="492">
        <f t="shared" si="305"/>
        <v>1.426463354648303</v>
      </c>
      <c r="CS103" s="451"/>
      <c r="CU103" s="1009">
        <v>84</v>
      </c>
      <c r="CV103" s="492">
        <f t="shared" si="306"/>
        <v>1.3255483667350481</v>
      </c>
      <c r="CW103" s="451"/>
      <c r="CY103" s="1009">
        <v>79</v>
      </c>
      <c r="CZ103" s="492">
        <f t="shared" si="307"/>
        <v>1.2368874275872865</v>
      </c>
      <c r="DA103" s="451"/>
      <c r="DC103" s="1009">
        <v>75</v>
      </c>
      <c r="DD103" s="492">
        <f t="shared" si="308"/>
        <v>1.2087026591458501</v>
      </c>
      <c r="DE103" s="451"/>
      <c r="DG103" s="1018">
        <v>74</v>
      </c>
      <c r="DH103" s="492">
        <f t="shared" si="309"/>
        <v>1.0920897284533648</v>
      </c>
      <c r="DI103" s="1242"/>
      <c r="DJ103" s="1242"/>
      <c r="DK103" s="1245">
        <v>68</v>
      </c>
      <c r="DL103" s="1243">
        <f t="shared" si="310"/>
        <v>1.0696460377668107</v>
      </c>
      <c r="DM103" s="1242"/>
      <c r="DN103" s="1242"/>
      <c r="DO103" s="14" t="s">
        <v>232</v>
      </c>
      <c r="DP103" s="14"/>
    </row>
    <row r="104" spans="1:120" outlineLevel="1" x14ac:dyDescent="0.2">
      <c r="A104" s="448" t="s">
        <v>93</v>
      </c>
      <c r="C104" s="319">
        <f>SUM(C100:C103)</f>
        <v>30.332000000000001</v>
      </c>
      <c r="D104" s="492">
        <f t="shared" si="282"/>
        <v>3.8404902538000365</v>
      </c>
      <c r="E104" s="451"/>
      <c r="F104" s="305"/>
      <c r="G104" s="319">
        <f>SUM(G100:G103)</f>
        <v>26.008000000000003</v>
      </c>
      <c r="H104" s="492">
        <f t="shared" si="283"/>
        <v>2.7952787217898041</v>
      </c>
      <c r="I104" s="451"/>
      <c r="K104" s="319">
        <v>14.393000000000001</v>
      </c>
      <c r="L104" s="492">
        <f t="shared" si="284"/>
        <v>1.312205066116245</v>
      </c>
      <c r="M104" s="451"/>
      <c r="O104" s="319">
        <f>SUM(O100:O103)</f>
        <v>5.7110000000000003</v>
      </c>
      <c r="P104" s="492">
        <f t="shared" si="285"/>
        <v>0.43742340686274511</v>
      </c>
      <c r="Q104" s="451"/>
      <c r="R104" s="305"/>
      <c r="S104" s="319">
        <f>SUM(S100:S103)</f>
        <v>6.4239999999999995</v>
      </c>
      <c r="T104" s="492">
        <f t="shared" si="286"/>
        <v>0.41337417312295688</v>
      </c>
      <c r="U104" s="451"/>
      <c r="W104" s="319">
        <f>SUM(W100:W103)</f>
        <v>13.149999999999999</v>
      </c>
      <c r="X104" s="492">
        <f t="shared" si="287"/>
        <v>0.68287956029826502</v>
      </c>
      <c r="Y104" s="451"/>
      <c r="AA104" s="319">
        <f>SUM(AA100:AA103)</f>
        <v>17.622000000000003</v>
      </c>
      <c r="AB104" s="492">
        <f t="shared" si="288"/>
        <v>0.73778522084990594</v>
      </c>
      <c r="AC104" s="451"/>
      <c r="AE104" s="319">
        <f>SUM(AE100:AE103)</f>
        <v>23.772000000000002</v>
      </c>
      <c r="AF104" s="492">
        <f t="shared" si="289"/>
        <v>0.77684142003945</v>
      </c>
      <c r="AG104" s="451"/>
      <c r="AI104" s="319">
        <f>SUM(AI100:AI103)</f>
        <v>21.116</v>
      </c>
      <c r="AJ104" s="492">
        <f t="shared" si="290"/>
        <v>0.57353939756090933</v>
      </c>
      <c r="AK104" s="451"/>
      <c r="AM104" s="319">
        <v>27.163</v>
      </c>
      <c r="AN104" s="492">
        <f t="shared" si="291"/>
        <v>0.59607459326132661</v>
      </c>
      <c r="AO104" s="451"/>
      <c r="AQ104" s="319">
        <f>SUM(AQ100:AQ103)</f>
        <v>38.613</v>
      </c>
      <c r="AR104" s="492">
        <f t="shared" si="292"/>
        <v>0.62762914079516263</v>
      </c>
      <c r="AS104" s="451"/>
      <c r="AU104" s="319">
        <f>SUM(AU100:AU103)</f>
        <v>50.111000000000004</v>
      </c>
      <c r="AV104" s="492">
        <f t="shared" si="293"/>
        <v>0.66915968520878144</v>
      </c>
      <c r="AW104" s="451"/>
      <c r="AY104" s="319">
        <f>SUM(AY100:AY103)</f>
        <v>56.027000000000001</v>
      </c>
      <c r="AZ104" s="492">
        <f t="shared" si="294"/>
        <v>0.61431766847218261</v>
      </c>
      <c r="BA104" s="451"/>
      <c r="BC104" s="319">
        <v>72.965999999999994</v>
      </c>
      <c r="BD104" s="492">
        <f t="shared" si="295"/>
        <v>0.70964792841859548</v>
      </c>
      <c r="BE104" s="451"/>
      <c r="BG104" s="319">
        <f>SUM(BG100:BG103)</f>
        <v>62.470999999999997</v>
      </c>
      <c r="BH104" s="492">
        <f t="shared" si="296"/>
        <v>0.53390822771287172</v>
      </c>
      <c r="BI104" s="451"/>
      <c r="BK104" s="319">
        <f>SUM(BK100:BK103)</f>
        <v>70.3</v>
      </c>
      <c r="BL104" s="492">
        <f t="shared" si="297"/>
        <v>0.52454074704153053</v>
      </c>
      <c r="BM104" s="451"/>
      <c r="BO104" s="319">
        <f>SUM(BO100:BO103)</f>
        <v>40.408500000000004</v>
      </c>
      <c r="BP104" s="492">
        <f t="shared" si="298"/>
        <v>0.25927314461234979</v>
      </c>
      <c r="BQ104" s="451"/>
      <c r="BS104" s="319">
        <f>SUM(BS100:BS103)</f>
        <v>62.4</v>
      </c>
      <c r="BT104" s="492">
        <f t="shared" si="299"/>
        <v>0.37878557943874169</v>
      </c>
      <c r="BU104" s="451"/>
      <c r="BW104" s="319">
        <f>SUM(BW100:BW103)</f>
        <v>111.456</v>
      </c>
      <c r="BX104" s="492">
        <f t="shared" si="300"/>
        <v>0.68009087892544473</v>
      </c>
      <c r="BY104" s="451"/>
      <c r="CA104" s="468">
        <f>311-10</f>
        <v>301</v>
      </c>
      <c r="CB104" s="492">
        <f t="shared" si="301"/>
        <v>1.7522412387938062</v>
      </c>
      <c r="CC104" s="451"/>
      <c r="CE104" s="319">
        <f>SUM(CE100:CE103)</f>
        <v>305</v>
      </c>
      <c r="CF104" s="492">
        <f t="shared" si="302"/>
        <v>1.6584198792887825</v>
      </c>
      <c r="CG104" s="451"/>
      <c r="CI104" s="319">
        <f>SUM(CI100:CI103)</f>
        <v>299</v>
      </c>
      <c r="CJ104" s="492">
        <f t="shared" si="303"/>
        <v>1.590087215486067</v>
      </c>
      <c r="CK104" s="451"/>
      <c r="CM104" s="319">
        <f>SUM(CM100:CM103)</f>
        <v>328.5</v>
      </c>
      <c r="CN104" s="492">
        <f t="shared" si="304"/>
        <v>1.7038381742738589</v>
      </c>
      <c r="CO104" s="451"/>
      <c r="CQ104" s="319">
        <f>SUM(CQ100:CQ103)</f>
        <v>338</v>
      </c>
      <c r="CR104" s="492">
        <f t="shared" si="305"/>
        <v>1.7760496032788609</v>
      </c>
      <c r="CS104" s="451"/>
      <c r="CU104" s="319">
        <f>SUM(CU100:CU103)</f>
        <v>340</v>
      </c>
      <c r="CV104" s="492">
        <f t="shared" si="306"/>
        <v>1.7873100983020553</v>
      </c>
      <c r="CW104" s="451"/>
      <c r="CY104" s="319">
        <f>SUM(CY100:CY103)</f>
        <v>328</v>
      </c>
      <c r="CZ104" s="492">
        <f t="shared" si="307"/>
        <v>1.7079775046865235</v>
      </c>
      <c r="DA104" s="451"/>
      <c r="DC104" s="319">
        <f>SUM(DC100:DC103)</f>
        <v>308</v>
      </c>
      <c r="DD104" s="492">
        <f t="shared" si="308"/>
        <v>1.6482928395590279</v>
      </c>
      <c r="DE104" s="451"/>
      <c r="DG104" s="449">
        <f>SUM(DG100:DG103)</f>
        <v>299</v>
      </c>
      <c r="DH104" s="492">
        <f t="shared" si="309"/>
        <v>1.5658549358470801</v>
      </c>
      <c r="DI104" s="1242"/>
      <c r="DJ104" s="1242"/>
      <c r="DK104" s="1246">
        <f>SUM(DK100:DK103)</f>
        <v>280</v>
      </c>
      <c r="DL104" s="1243">
        <f t="shared" si="310"/>
        <v>1.4905478610872425</v>
      </c>
      <c r="DM104" s="1242"/>
      <c r="DN104" s="1242"/>
      <c r="DO104" s="14" t="s">
        <v>232</v>
      </c>
      <c r="DP104" s="14"/>
    </row>
    <row r="105" spans="1:120" outlineLevel="1" x14ac:dyDescent="0.2">
      <c r="A105" s="448" t="s">
        <v>467</v>
      </c>
      <c r="C105" s="413">
        <f>C100+C101</f>
        <v>16.365000000000002</v>
      </c>
      <c r="D105" s="492">
        <f t="shared" si="282"/>
        <v>5.1556784923302779</v>
      </c>
      <c r="E105" s="470"/>
      <c r="F105" s="305"/>
      <c r="G105" s="413">
        <f>G100+G101</f>
        <v>13.5</v>
      </c>
      <c r="H105" s="492">
        <f t="shared" si="283"/>
        <v>3.6513526232940068</v>
      </c>
      <c r="I105" s="470"/>
      <c r="K105" s="413">
        <f>K100+K101</f>
        <v>9.0279999999999987</v>
      </c>
      <c r="L105" s="492">
        <f t="shared" si="284"/>
        <v>2.1034482758620685</v>
      </c>
      <c r="M105" s="470"/>
      <c r="O105" s="413">
        <f>O100+O101</f>
        <v>2.8780000000000001</v>
      </c>
      <c r="P105" s="492">
        <f t="shared" si="285"/>
        <v>0.56698187549251378</v>
      </c>
      <c r="Q105" s="471"/>
      <c r="R105" s="305"/>
      <c r="S105" s="413">
        <f>S100+S101</f>
        <v>2.246</v>
      </c>
      <c r="T105" s="492">
        <f t="shared" si="286"/>
        <v>0.37420859713428856</v>
      </c>
      <c r="U105" s="471"/>
      <c r="W105" s="413">
        <f>W100+W101</f>
        <v>5.6899999999999995</v>
      </c>
      <c r="X105" s="492">
        <f t="shared" si="287"/>
        <v>0.77764110974443068</v>
      </c>
      <c r="Y105" s="471"/>
      <c r="AA105" s="413">
        <f>AA100+AA101</f>
        <v>7.7420000000000009</v>
      </c>
      <c r="AB105" s="492">
        <f t="shared" si="288"/>
        <v>0.82073571504293441</v>
      </c>
      <c r="AC105" s="471"/>
      <c r="AE105" s="413">
        <f>AE100+AE101</f>
        <v>12.821999999999999</v>
      </c>
      <c r="AF105" s="492">
        <f t="shared" si="289"/>
        <v>1.047134956438794</v>
      </c>
      <c r="AG105" s="471"/>
      <c r="AI105" s="413">
        <f>AI100+AI101</f>
        <v>10.26</v>
      </c>
      <c r="AJ105" s="492">
        <f t="shared" si="290"/>
        <v>0.68247580403764929</v>
      </c>
      <c r="AK105" s="471"/>
      <c r="AM105" s="413">
        <f>AM100+AM101</f>
        <v>11.620000000000001</v>
      </c>
      <c r="AN105" s="492">
        <f t="shared" si="291"/>
        <v>0.62817601902908426</v>
      </c>
      <c r="AO105" s="471"/>
      <c r="AQ105" s="413">
        <f>AQ100+AQ101</f>
        <v>18.192</v>
      </c>
      <c r="AR105" s="492">
        <f t="shared" si="292"/>
        <v>0.73233766756571794</v>
      </c>
      <c r="AS105" s="471"/>
      <c r="AU105" s="413">
        <f>AU100+AU101</f>
        <v>23.332000000000001</v>
      </c>
      <c r="AV105" s="492">
        <f t="shared" si="293"/>
        <v>0.77667188176159252</v>
      </c>
      <c r="AW105" s="471"/>
      <c r="AY105" s="413">
        <f>AY100+AY101</f>
        <v>25.615000000000002</v>
      </c>
      <c r="AZ105" s="492">
        <f t="shared" si="294"/>
        <v>0.67542980698238586</v>
      </c>
      <c r="BA105" s="471"/>
      <c r="BC105" s="413">
        <f>BC100+BC101</f>
        <v>40.965999999999994</v>
      </c>
      <c r="BD105" s="492">
        <f t="shared" si="295"/>
        <v>0.9469499086937424</v>
      </c>
      <c r="BE105" s="471"/>
      <c r="BG105" s="413">
        <f>BG100+BG101</f>
        <v>30</v>
      </c>
      <c r="BH105" s="492">
        <f t="shared" si="296"/>
        <v>0.61499354256780303</v>
      </c>
      <c r="BI105" s="471"/>
      <c r="BK105" s="413">
        <f>BK100+BK101</f>
        <v>33.5</v>
      </c>
      <c r="BL105" s="492">
        <f t="shared" si="297"/>
        <v>0.59493153847519931</v>
      </c>
      <c r="BM105" s="471"/>
      <c r="BO105" s="413">
        <f>BO100+BO101</f>
        <v>20.2195</v>
      </c>
      <c r="BP105" s="492">
        <f t="shared" si="298"/>
        <v>0.31173072336420965</v>
      </c>
      <c r="BQ105" s="471"/>
      <c r="BS105" s="413">
        <f>BS100+BS101</f>
        <v>20.7</v>
      </c>
      <c r="BT105" s="492">
        <f t="shared" si="299"/>
        <v>0.28905769982684471</v>
      </c>
      <c r="BU105" s="471"/>
      <c r="BW105" s="413">
        <f>BW100+BW101</f>
        <v>53.191000000000003</v>
      </c>
      <c r="BX105" s="492">
        <f t="shared" si="300"/>
        <v>0.72371178934137759</v>
      </c>
      <c r="BY105" s="471"/>
      <c r="CA105" s="413">
        <f>CA100+CA101</f>
        <v>63</v>
      </c>
      <c r="CB105" s="492">
        <f t="shared" si="301"/>
        <v>0.84631918323481992</v>
      </c>
      <c r="CC105" s="471"/>
      <c r="CE105" s="413">
        <f>CE100+CE101</f>
        <v>155</v>
      </c>
      <c r="CF105" s="492">
        <f t="shared" si="302"/>
        <v>1.9053472649047325</v>
      </c>
      <c r="CG105" s="471"/>
      <c r="CI105" s="413">
        <f>CI100+CI101</f>
        <v>148</v>
      </c>
      <c r="CJ105" s="492">
        <f t="shared" si="303"/>
        <v>1.7598097502972654</v>
      </c>
      <c r="CK105" s="471"/>
      <c r="CM105" s="413">
        <f>CM100+CM101</f>
        <v>163</v>
      </c>
      <c r="CN105" s="492">
        <f t="shared" si="304"/>
        <v>1.9294507575757576</v>
      </c>
      <c r="CO105" s="471"/>
      <c r="CQ105" s="413">
        <f>CQ100+CQ101</f>
        <v>167</v>
      </c>
      <c r="CR105" s="492">
        <f t="shared" si="305"/>
        <v>1.9674835061262959</v>
      </c>
      <c r="CS105" s="471"/>
      <c r="CU105" s="413">
        <f>CU100+CU101</f>
        <v>171</v>
      </c>
      <c r="CV105" s="492">
        <f t="shared" si="306"/>
        <v>2.0572666025024064</v>
      </c>
      <c r="CW105" s="471"/>
      <c r="CY105" s="413">
        <f>CY100+CY101</f>
        <v>168</v>
      </c>
      <c r="CZ105" s="492">
        <f t="shared" si="307"/>
        <v>2.0023837902264598</v>
      </c>
      <c r="DA105" s="471"/>
      <c r="DC105" s="413">
        <f>DC100+DC101</f>
        <v>157</v>
      </c>
      <c r="DD105" s="492">
        <f t="shared" si="308"/>
        <v>1.9254353691439785</v>
      </c>
      <c r="DE105" s="471"/>
      <c r="DG105" s="413">
        <f>DG100+DG101</f>
        <v>151</v>
      </c>
      <c r="DH105" s="492">
        <f t="shared" si="309"/>
        <v>1.8905721797921622</v>
      </c>
      <c r="DI105" s="1247"/>
      <c r="DJ105" s="1247"/>
      <c r="DK105" s="260">
        <f>DK100+DK101</f>
        <v>142</v>
      </c>
      <c r="DL105" s="1243">
        <f t="shared" si="310"/>
        <v>1.7420187509426224</v>
      </c>
      <c r="DM105" s="1247"/>
      <c r="DN105" s="1247"/>
      <c r="DO105" s="14" t="s">
        <v>232</v>
      </c>
      <c r="DP105" s="14"/>
    </row>
    <row r="106" spans="1:120" outlineLevel="1" x14ac:dyDescent="0.2">
      <c r="A106" s="448" t="s">
        <v>468</v>
      </c>
      <c r="C106" s="413">
        <f>C103+C102</f>
        <v>13.966999999999999</v>
      </c>
      <c r="D106" s="492">
        <f t="shared" si="282"/>
        <v>2.9567422699617674</v>
      </c>
      <c r="E106" s="470"/>
      <c r="F106" s="305"/>
      <c r="G106" s="413">
        <f>G103+G102</f>
        <v>12.507999999999999</v>
      </c>
      <c r="H106" s="492">
        <f t="shared" si="283"/>
        <v>2.2307829498840732</v>
      </c>
      <c r="I106" s="470"/>
      <c r="K106" s="413">
        <f>K103+K102</f>
        <v>5.3659999999999997</v>
      </c>
      <c r="L106" s="492">
        <f t="shared" si="284"/>
        <v>0.80740294914234123</v>
      </c>
      <c r="M106" s="470"/>
      <c r="O106" s="413">
        <f>O103+O102</f>
        <v>2.8330000000000002</v>
      </c>
      <c r="P106" s="492">
        <f t="shared" si="285"/>
        <v>0.35501253132832084</v>
      </c>
      <c r="Q106" s="471"/>
      <c r="R106" s="305"/>
      <c r="S106" s="413">
        <f>S103+S102</f>
        <v>4.1779999999999999</v>
      </c>
      <c r="T106" s="492">
        <f t="shared" si="286"/>
        <v>0.43801895496099968</v>
      </c>
      <c r="U106" s="471"/>
      <c r="W106" s="413">
        <f>W103+W102</f>
        <v>7.46</v>
      </c>
      <c r="X106" s="492">
        <f t="shared" si="287"/>
        <v>0.62494764178604345</v>
      </c>
      <c r="Y106" s="471"/>
      <c r="AA106" s="413">
        <f>AA103+AA102</f>
        <v>9.8800000000000008</v>
      </c>
      <c r="AB106" s="492">
        <f t="shared" si="288"/>
        <v>0.68364240243564911</v>
      </c>
      <c r="AC106" s="471"/>
      <c r="AE106" s="413">
        <f>AE103+AE102</f>
        <v>10.95</v>
      </c>
      <c r="AF106" s="492">
        <f t="shared" si="289"/>
        <v>0.59653519285247325</v>
      </c>
      <c r="AG106" s="471"/>
      <c r="AI106" s="413">
        <f>AI103+AI102</f>
        <v>10.856</v>
      </c>
      <c r="AJ106" s="492">
        <f t="shared" si="290"/>
        <v>0.49835884958799087</v>
      </c>
      <c r="AK106" s="471"/>
      <c r="AM106" s="413">
        <f>AM103+AM102</f>
        <v>15.542999999999999</v>
      </c>
      <c r="AN106" s="492">
        <f t="shared" si="291"/>
        <v>0.57413987987499893</v>
      </c>
      <c r="AO106" s="471"/>
      <c r="AQ106" s="413">
        <f>AQ103+AQ102</f>
        <v>20.420999999999999</v>
      </c>
      <c r="AR106" s="492">
        <f t="shared" si="292"/>
        <v>0.55671873722090448</v>
      </c>
      <c r="AS106" s="471"/>
      <c r="AU106" s="413">
        <f>AU103+AU102</f>
        <v>26.779</v>
      </c>
      <c r="AV106" s="492">
        <f t="shared" si="293"/>
        <v>0.59713959896943858</v>
      </c>
      <c r="AW106" s="471"/>
      <c r="AY106" s="413">
        <f>AY103+AY102</f>
        <v>30.411999999999999</v>
      </c>
      <c r="AZ106" s="492">
        <f t="shared" si="294"/>
        <v>0.57081722286872627</v>
      </c>
      <c r="BA106" s="471"/>
      <c r="BC106" s="413">
        <f>BC103+BC102</f>
        <v>32</v>
      </c>
      <c r="BD106" s="492">
        <f t="shared" si="295"/>
        <v>0.53728235866955465</v>
      </c>
      <c r="BE106" s="471"/>
      <c r="BG106" s="413">
        <f>BG103+BG102</f>
        <v>32.470999999999997</v>
      </c>
      <c r="BH106" s="492">
        <f t="shared" si="296"/>
        <v>0.47593292879547378</v>
      </c>
      <c r="BI106" s="471"/>
      <c r="BK106" s="413">
        <f>BK103+BK102</f>
        <v>36.799999999999997</v>
      </c>
      <c r="BL106" s="492">
        <f t="shared" si="297"/>
        <v>0.47353724602061431</v>
      </c>
      <c r="BM106" s="471"/>
      <c r="BO106" s="413">
        <f>BO103+BO102</f>
        <v>20.189</v>
      </c>
      <c r="BP106" s="492">
        <f t="shared" si="298"/>
        <v>0.22187923325113465</v>
      </c>
      <c r="BQ106" s="471"/>
      <c r="BS106" s="413">
        <f>BS103+BS102</f>
        <v>41.7</v>
      </c>
      <c r="BT106" s="492">
        <f t="shared" si="299"/>
        <v>0.44778523489932892</v>
      </c>
      <c r="BU106" s="471"/>
      <c r="BW106" s="413">
        <f>BW103+BW102</f>
        <v>58.265000000000001</v>
      </c>
      <c r="BX106" s="492">
        <f t="shared" si="300"/>
        <v>0.64462067284613001</v>
      </c>
      <c r="BY106" s="471"/>
      <c r="CA106" s="413">
        <f>CA103+CA102</f>
        <v>62</v>
      </c>
      <c r="CB106" s="492">
        <f t="shared" si="301"/>
        <v>0.63694267515923575</v>
      </c>
      <c r="CC106" s="471"/>
      <c r="CE106" s="413">
        <f>CE103+CE102</f>
        <v>150</v>
      </c>
      <c r="CF106" s="492">
        <f t="shared" si="302"/>
        <v>1.4625585023400935</v>
      </c>
      <c r="CG106" s="471"/>
      <c r="CI106" s="413">
        <f>CI103+CI102</f>
        <v>151</v>
      </c>
      <c r="CJ106" s="492">
        <f t="shared" si="303"/>
        <v>1.4527612083894554</v>
      </c>
      <c r="CK106" s="471"/>
      <c r="CM106" s="413">
        <f>CM103+CM102</f>
        <v>165.5</v>
      </c>
      <c r="CN106" s="492">
        <f t="shared" si="304"/>
        <v>1.5278803545051698</v>
      </c>
      <c r="CO106" s="471"/>
      <c r="CQ106" s="413">
        <f>CQ103+CQ102</f>
        <v>171</v>
      </c>
      <c r="CR106" s="492">
        <f t="shared" si="305"/>
        <v>1.6219292421511904</v>
      </c>
      <c r="CS106" s="471"/>
      <c r="CU106" s="413">
        <f>CU103+CU102</f>
        <v>169</v>
      </c>
      <c r="CV106" s="492">
        <f t="shared" si="306"/>
        <v>1.5778171972738306</v>
      </c>
      <c r="CW106" s="471"/>
      <c r="CY106" s="413">
        <f>CY103+CY102</f>
        <v>160</v>
      </c>
      <c r="CZ106" s="492">
        <f t="shared" si="307"/>
        <v>1.4795635287590161</v>
      </c>
      <c r="DA106" s="471"/>
      <c r="DC106" s="413">
        <f>DC103+DC102</f>
        <v>151</v>
      </c>
      <c r="DD106" s="492">
        <f t="shared" si="308"/>
        <v>1.4337257880744398</v>
      </c>
      <c r="DE106" s="471"/>
      <c r="DG106" s="413">
        <f>DG103+DG102</f>
        <v>148</v>
      </c>
      <c r="DH106" s="492">
        <f t="shared" si="309"/>
        <v>1.3323730644580483</v>
      </c>
      <c r="DI106" s="1247"/>
      <c r="DJ106" s="1247"/>
      <c r="DK106" s="260">
        <f>DK103+DK102</f>
        <v>138</v>
      </c>
      <c r="DL106" s="1243">
        <f t="shared" si="310"/>
        <v>1.297775903630547</v>
      </c>
      <c r="DM106" s="1247"/>
      <c r="DN106" s="1247"/>
      <c r="DO106" s="14" t="s">
        <v>232</v>
      </c>
      <c r="DP106" s="14"/>
    </row>
    <row r="107" spans="1:120" outlineLevel="1" x14ac:dyDescent="0.2">
      <c r="C107" s="413"/>
      <c r="D107" s="459"/>
      <c r="E107" s="459"/>
      <c r="F107" s="305"/>
      <c r="G107" s="413"/>
      <c r="H107" s="459"/>
      <c r="I107" s="459"/>
      <c r="K107" s="413"/>
      <c r="O107" s="413"/>
      <c r="R107" s="305"/>
      <c r="S107" s="413"/>
      <c r="W107" s="413"/>
      <c r="AA107" s="413"/>
      <c r="AE107" s="413"/>
      <c r="AI107" s="413"/>
      <c r="AM107" s="413"/>
      <c r="AQ107" s="413"/>
      <c r="AU107" s="413"/>
      <c r="AY107" s="413"/>
      <c r="BC107" s="413"/>
      <c r="BG107" s="413"/>
      <c r="BK107" s="413"/>
      <c r="BO107" s="413"/>
      <c r="BS107" s="413"/>
      <c r="BW107" s="413"/>
      <c r="CA107" s="413"/>
      <c r="CE107" s="413"/>
      <c r="CI107" s="413"/>
      <c r="CM107" s="413"/>
      <c r="CQ107" s="413"/>
      <c r="CU107" s="413"/>
      <c r="CY107" s="413"/>
      <c r="DC107" s="413"/>
      <c r="DG107" s="413"/>
      <c r="DK107" s="413"/>
      <c r="DO107" s="303" t="s">
        <v>232</v>
      </c>
    </row>
    <row r="108" spans="1:120" ht="12.75" hidden="1" customHeight="1" outlineLevel="2" x14ac:dyDescent="0.2">
      <c r="A108" s="462" t="s">
        <v>287</v>
      </c>
      <c r="B108" s="318"/>
      <c r="C108" s="463"/>
      <c r="D108" s="464"/>
      <c r="E108" s="464"/>
      <c r="F108" s="465"/>
      <c r="G108" s="463"/>
      <c r="H108" s="464"/>
      <c r="I108" s="464"/>
      <c r="J108" s="318"/>
      <c r="K108" s="463"/>
      <c r="L108" s="318"/>
      <c r="M108" s="318"/>
      <c r="N108" s="318"/>
      <c r="O108" s="463"/>
      <c r="P108" s="318"/>
      <c r="Q108" s="318"/>
      <c r="R108" s="465"/>
      <c r="S108" s="463"/>
      <c r="T108" s="318"/>
      <c r="U108" s="318"/>
      <c r="V108" s="318"/>
      <c r="W108" s="463"/>
      <c r="X108" s="318"/>
      <c r="Y108" s="318"/>
      <c r="Z108" s="318"/>
      <c r="AA108" s="463"/>
      <c r="AB108" s="318"/>
      <c r="AC108" s="318"/>
      <c r="AD108" s="318"/>
      <c r="AE108" s="463"/>
      <c r="AF108" s="318"/>
      <c r="AG108" s="318"/>
      <c r="AH108" s="318"/>
      <c r="AI108" s="463"/>
      <c r="AJ108" s="318"/>
      <c r="AK108" s="318"/>
      <c r="AL108" s="318"/>
      <c r="AM108" s="463"/>
      <c r="AN108" s="318"/>
      <c r="AO108" s="318"/>
      <c r="AP108" s="318"/>
      <c r="AQ108" s="463"/>
      <c r="AR108" s="318"/>
      <c r="AS108" s="318"/>
      <c r="AT108" s="318"/>
      <c r="AU108" s="463"/>
      <c r="AV108" s="318"/>
      <c r="AW108" s="318"/>
      <c r="AX108" s="318"/>
      <c r="AY108" s="463"/>
      <c r="AZ108" s="318"/>
      <c r="BA108" s="318"/>
      <c r="BB108" s="318"/>
      <c r="BC108" s="463"/>
      <c r="BD108" s="318"/>
      <c r="BE108" s="318"/>
      <c r="BF108" s="318"/>
      <c r="BG108" s="463"/>
      <c r="BH108" s="318"/>
      <c r="BI108" s="318"/>
      <c r="BJ108" s="318"/>
      <c r="BK108" s="463"/>
      <c r="BL108" s="318"/>
      <c r="BM108" s="318"/>
      <c r="BN108" s="318"/>
      <c r="BO108" s="463"/>
      <c r="BP108" s="318"/>
      <c r="BQ108" s="318"/>
      <c r="BR108" s="318"/>
      <c r="BS108" s="463"/>
      <c r="BT108" s="318"/>
      <c r="BU108" s="318"/>
      <c r="BV108" s="318"/>
      <c r="BW108" s="463"/>
      <c r="BX108" s="318"/>
      <c r="BY108" s="318"/>
      <c r="BZ108" s="318"/>
      <c r="CA108" s="463"/>
      <c r="CB108" s="318"/>
      <c r="CC108" s="318"/>
      <c r="CD108" s="318"/>
      <c r="CE108" s="463"/>
      <c r="CF108" s="318"/>
      <c r="CG108" s="318"/>
      <c r="CH108" s="318"/>
      <c r="CI108" s="463"/>
      <c r="CJ108" s="318"/>
      <c r="CK108" s="318"/>
      <c r="CL108" s="318"/>
      <c r="CM108" s="463"/>
      <c r="CN108" s="318"/>
      <c r="CO108" s="318"/>
      <c r="CP108" s="318"/>
      <c r="CQ108" s="463"/>
      <c r="CR108" s="318"/>
      <c r="CS108" s="318"/>
      <c r="CT108" s="318"/>
      <c r="CU108" s="463"/>
      <c r="CV108" s="318"/>
      <c r="CW108" s="318"/>
      <c r="CX108" s="318"/>
      <c r="CY108" s="463"/>
      <c r="CZ108" s="318"/>
      <c r="DA108" s="318"/>
      <c r="DB108" s="318"/>
      <c r="DC108" s="463"/>
      <c r="DD108" s="318"/>
      <c r="DE108" s="318"/>
      <c r="DF108" s="318"/>
      <c r="DG108" s="463"/>
      <c r="DH108" s="318"/>
      <c r="DI108" s="318"/>
      <c r="DJ108" s="318"/>
      <c r="DK108" s="463"/>
      <c r="DL108" s="318"/>
      <c r="DM108" s="318"/>
      <c r="DN108" s="318"/>
      <c r="DO108" s="303" t="s">
        <v>232</v>
      </c>
      <c r="DP108" s="318"/>
    </row>
    <row r="109" spans="1:120" ht="12.75" hidden="1" customHeight="1" outlineLevel="2" x14ac:dyDescent="0.2">
      <c r="C109" s="413"/>
      <c r="D109" s="459"/>
      <c r="E109" s="459"/>
      <c r="F109" s="305"/>
      <c r="G109" s="413"/>
      <c r="H109" s="459"/>
      <c r="I109" s="459"/>
      <c r="K109" s="413"/>
      <c r="O109" s="413"/>
      <c r="R109" s="305"/>
      <c r="S109" s="413"/>
      <c r="W109" s="413"/>
      <c r="AA109" s="413"/>
      <c r="AE109" s="413"/>
      <c r="AI109" s="413"/>
      <c r="AM109" s="413"/>
      <c r="AQ109" s="413"/>
      <c r="AU109" s="413"/>
      <c r="AY109" s="413"/>
      <c r="BC109" s="413"/>
      <c r="BG109" s="413"/>
      <c r="BK109" s="413"/>
      <c r="BO109" s="413"/>
      <c r="BS109" s="413"/>
      <c r="BW109" s="413"/>
      <c r="CA109" s="413"/>
      <c r="CE109" s="413"/>
      <c r="CI109" s="413"/>
      <c r="CM109" s="413"/>
      <c r="CQ109" s="413"/>
      <c r="CU109" s="413"/>
      <c r="CY109" s="413"/>
      <c r="DC109" s="413"/>
      <c r="DG109" s="413"/>
      <c r="DK109" s="413"/>
      <c r="DO109" s="303" t="s">
        <v>232</v>
      </c>
    </row>
    <row r="110" spans="1:120" ht="12.75" hidden="1" customHeight="1" outlineLevel="2" x14ac:dyDescent="0.2">
      <c r="A110" s="448" t="s">
        <v>89</v>
      </c>
      <c r="C110" s="468">
        <v>0</v>
      </c>
      <c r="D110" s="485"/>
      <c r="E110" s="470"/>
      <c r="F110" s="305"/>
      <c r="G110" s="468">
        <v>0</v>
      </c>
      <c r="H110" s="485"/>
      <c r="I110" s="470"/>
      <c r="K110" s="468">
        <v>0</v>
      </c>
      <c r="L110" s="485"/>
      <c r="M110" s="470"/>
      <c r="O110" s="468">
        <v>0</v>
      </c>
      <c r="P110" s="485"/>
      <c r="Q110" s="470"/>
      <c r="R110" s="305"/>
      <c r="S110" s="468">
        <v>0</v>
      </c>
      <c r="T110" s="485"/>
      <c r="U110" s="470"/>
      <c r="W110" s="468">
        <v>0</v>
      </c>
      <c r="X110" s="485"/>
      <c r="Y110" s="470"/>
      <c r="AA110" s="468">
        <v>0</v>
      </c>
      <c r="AB110" s="485"/>
      <c r="AC110" s="470"/>
      <c r="AE110" s="468">
        <v>0</v>
      </c>
      <c r="AF110" s="485"/>
      <c r="AG110" s="470"/>
      <c r="AI110" s="468">
        <v>0</v>
      </c>
      <c r="AJ110" s="485"/>
      <c r="AK110" s="470"/>
      <c r="AM110" s="468">
        <v>0</v>
      </c>
      <c r="AN110" s="485"/>
      <c r="AO110" s="470"/>
      <c r="AQ110" s="468">
        <v>0</v>
      </c>
      <c r="AR110" s="485"/>
      <c r="AS110" s="470"/>
      <c r="AU110" s="468">
        <v>0</v>
      </c>
      <c r="AV110" s="485"/>
      <c r="AW110" s="470"/>
      <c r="AY110" s="468">
        <v>0</v>
      </c>
      <c r="AZ110" s="485"/>
      <c r="BA110" s="470"/>
      <c r="BC110" s="468">
        <v>0</v>
      </c>
      <c r="BD110" s="485"/>
      <c r="BE110" s="470"/>
      <c r="BG110" s="468">
        <v>0</v>
      </c>
      <c r="BH110" s="485"/>
      <c r="BI110" s="470"/>
      <c r="BK110" s="468">
        <v>0</v>
      </c>
      <c r="BL110" s="485"/>
      <c r="BM110" s="470"/>
      <c r="BO110" s="468">
        <v>0</v>
      </c>
      <c r="BP110" s="485"/>
      <c r="BQ110" s="470"/>
      <c r="BS110" s="468">
        <v>0</v>
      </c>
      <c r="BT110" s="485"/>
      <c r="BU110" s="470"/>
      <c r="BW110" s="468">
        <v>0</v>
      </c>
      <c r="BX110" s="485"/>
      <c r="BY110" s="470"/>
      <c r="CA110" s="468">
        <v>0</v>
      </c>
      <c r="CB110" s="485"/>
      <c r="CC110" s="470"/>
      <c r="CE110" s="1008">
        <v>0</v>
      </c>
      <c r="CF110" s="485"/>
      <c r="CG110" s="470"/>
      <c r="CI110" s="1008">
        <v>0</v>
      </c>
      <c r="CJ110" s="485"/>
      <c r="CK110" s="470"/>
      <c r="CM110" s="1008">
        <v>0</v>
      </c>
      <c r="CN110" s="485"/>
      <c r="CO110" s="470"/>
      <c r="CQ110" s="1008">
        <v>0</v>
      </c>
      <c r="CR110" s="485"/>
      <c r="CS110" s="470"/>
      <c r="CU110" s="1008">
        <v>0</v>
      </c>
      <c r="CV110" s="485"/>
      <c r="CW110" s="470"/>
      <c r="CY110" s="1008">
        <v>0</v>
      </c>
      <c r="CZ110" s="485"/>
      <c r="DA110" s="470"/>
      <c r="DC110" s="1008">
        <v>0</v>
      </c>
      <c r="DD110" s="485"/>
      <c r="DE110" s="470"/>
      <c r="DG110" s="1008">
        <v>0</v>
      </c>
      <c r="DH110" s="485"/>
      <c r="DI110" s="470"/>
      <c r="DJ110" s="470"/>
      <c r="DK110" s="1240">
        <v>0</v>
      </c>
      <c r="DL110" s="485"/>
      <c r="DM110" s="470"/>
      <c r="DN110" s="470"/>
      <c r="DO110" s="303" t="s">
        <v>232</v>
      </c>
    </row>
    <row r="111" spans="1:120" ht="12.75" hidden="1" customHeight="1" outlineLevel="2" x14ac:dyDescent="0.2">
      <c r="A111" s="448" t="s">
        <v>90</v>
      </c>
      <c r="C111" s="472">
        <v>0</v>
      </c>
      <c r="D111" s="485"/>
      <c r="E111" s="470"/>
      <c r="F111" s="305"/>
      <c r="G111" s="472">
        <v>0</v>
      </c>
      <c r="H111" s="485"/>
      <c r="I111" s="470"/>
      <c r="K111" s="472">
        <v>17.734999999999999</v>
      </c>
      <c r="L111" s="485"/>
      <c r="M111" s="470"/>
      <c r="O111" s="472">
        <v>0</v>
      </c>
      <c r="P111" s="485"/>
      <c r="Q111" s="470"/>
      <c r="R111" s="305"/>
      <c r="S111" s="472">
        <v>0</v>
      </c>
      <c r="T111" s="485"/>
      <c r="U111" s="470"/>
      <c r="W111" s="472">
        <v>0</v>
      </c>
      <c r="X111" s="485"/>
      <c r="Y111" s="470"/>
      <c r="AA111" s="472">
        <v>0</v>
      </c>
      <c r="AB111" s="485"/>
      <c r="AC111" s="470"/>
      <c r="AE111" s="472">
        <v>0</v>
      </c>
      <c r="AF111" s="485"/>
      <c r="AG111" s="470"/>
      <c r="AI111" s="472">
        <v>0</v>
      </c>
      <c r="AJ111" s="485"/>
      <c r="AK111" s="470"/>
      <c r="AM111" s="472">
        <v>0</v>
      </c>
      <c r="AN111" s="485"/>
      <c r="AO111" s="470"/>
      <c r="AQ111" s="472">
        <v>0</v>
      </c>
      <c r="AR111" s="485"/>
      <c r="AS111" s="470"/>
      <c r="AU111" s="472">
        <v>0</v>
      </c>
      <c r="AV111" s="485"/>
      <c r="AW111" s="470"/>
      <c r="AY111" s="472">
        <v>0</v>
      </c>
      <c r="AZ111" s="485"/>
      <c r="BA111" s="470"/>
      <c r="BC111" s="472">
        <v>0</v>
      </c>
      <c r="BD111" s="485"/>
      <c r="BE111" s="470"/>
      <c r="BG111" s="472">
        <v>0</v>
      </c>
      <c r="BH111" s="485"/>
      <c r="BI111" s="470"/>
      <c r="BK111" s="472">
        <v>-10.277813504823152</v>
      </c>
      <c r="BL111" s="485"/>
      <c r="BM111" s="470"/>
      <c r="BO111" s="472">
        <v>0</v>
      </c>
      <c r="BP111" s="485"/>
      <c r="BQ111" s="470"/>
      <c r="BS111" s="472">
        <v>0</v>
      </c>
      <c r="BT111" s="485"/>
      <c r="BU111" s="470"/>
      <c r="BW111" s="472">
        <v>0</v>
      </c>
      <c r="BX111" s="485"/>
      <c r="BY111" s="470"/>
      <c r="CA111" s="472">
        <v>0</v>
      </c>
      <c r="CB111" s="485"/>
      <c r="CC111" s="470"/>
      <c r="CE111" s="985">
        <v>0</v>
      </c>
      <c r="CF111" s="485"/>
      <c r="CG111" s="470"/>
      <c r="CI111" s="985">
        <v>0</v>
      </c>
      <c r="CJ111" s="485"/>
      <c r="CK111" s="470"/>
      <c r="CM111" s="985">
        <v>0</v>
      </c>
      <c r="CN111" s="485"/>
      <c r="CO111" s="470"/>
      <c r="CQ111" s="985">
        <v>0</v>
      </c>
      <c r="CR111" s="485"/>
      <c r="CS111" s="470"/>
      <c r="CU111" s="985">
        <v>0</v>
      </c>
      <c r="CV111" s="485"/>
      <c r="CW111" s="470"/>
      <c r="CY111" s="985">
        <v>0</v>
      </c>
      <c r="CZ111" s="485"/>
      <c r="DA111" s="470"/>
      <c r="DC111" s="985">
        <v>0</v>
      </c>
      <c r="DD111" s="485"/>
      <c r="DE111" s="470"/>
      <c r="DG111" s="1013">
        <v>0</v>
      </c>
      <c r="DH111" s="485"/>
      <c r="DI111" s="470"/>
      <c r="DJ111" s="470"/>
      <c r="DK111" s="1013">
        <v>0</v>
      </c>
      <c r="DL111" s="485"/>
      <c r="DM111" s="470"/>
      <c r="DN111" s="470"/>
      <c r="DO111" s="303" t="s">
        <v>232</v>
      </c>
    </row>
    <row r="112" spans="1:120" ht="12.75" hidden="1" customHeight="1" outlineLevel="2" x14ac:dyDescent="0.2">
      <c r="A112" s="448" t="s">
        <v>91</v>
      </c>
      <c r="C112" s="472">
        <v>0</v>
      </c>
      <c r="D112" s="485"/>
      <c r="E112" s="470"/>
      <c r="F112" s="305"/>
      <c r="G112" s="472">
        <v>0</v>
      </c>
      <c r="H112" s="485"/>
      <c r="I112" s="470"/>
      <c r="K112" s="472">
        <v>0</v>
      </c>
      <c r="L112" s="485"/>
      <c r="M112" s="470"/>
      <c r="O112" s="472">
        <v>0</v>
      </c>
      <c r="P112" s="485"/>
      <c r="Q112" s="470"/>
      <c r="R112" s="305"/>
      <c r="S112" s="472">
        <v>0</v>
      </c>
      <c r="T112" s="485"/>
      <c r="U112" s="470"/>
      <c r="W112" s="472">
        <v>14.052</v>
      </c>
      <c r="X112" s="485"/>
      <c r="Y112" s="470"/>
      <c r="AA112" s="472">
        <v>0</v>
      </c>
      <c r="AB112" s="485"/>
      <c r="AC112" s="470"/>
      <c r="AE112" s="472">
        <v>0</v>
      </c>
      <c r="AF112" s="485"/>
      <c r="AG112" s="470"/>
      <c r="AI112" s="472">
        <v>0</v>
      </c>
      <c r="AJ112" s="485"/>
      <c r="AK112" s="470"/>
      <c r="AM112" s="472">
        <v>0</v>
      </c>
      <c r="AN112" s="485"/>
      <c r="AO112" s="470"/>
      <c r="AQ112" s="472">
        <v>0</v>
      </c>
      <c r="AR112" s="485"/>
      <c r="AS112" s="470"/>
      <c r="AU112" s="472">
        <v>0</v>
      </c>
      <c r="AV112" s="485"/>
      <c r="AW112" s="470"/>
      <c r="AY112" s="472">
        <v>0</v>
      </c>
      <c r="AZ112" s="485"/>
      <c r="BA112" s="470"/>
      <c r="BC112" s="472">
        <v>0</v>
      </c>
      <c r="BD112" s="485"/>
      <c r="BE112" s="470"/>
      <c r="BG112" s="472">
        <v>0</v>
      </c>
      <c r="BH112" s="485"/>
      <c r="BI112" s="470"/>
      <c r="BK112" s="472">
        <v>0</v>
      </c>
      <c r="BL112" s="485"/>
      <c r="BM112" s="470"/>
      <c r="BO112" s="472">
        <v>0</v>
      </c>
      <c r="BP112" s="485"/>
      <c r="BQ112" s="470"/>
      <c r="BS112" s="472">
        <v>0</v>
      </c>
      <c r="BT112" s="485"/>
      <c r="BU112" s="470"/>
      <c r="BW112" s="472">
        <v>0</v>
      </c>
      <c r="BX112" s="485"/>
      <c r="BY112" s="470"/>
      <c r="CA112" s="472">
        <v>0</v>
      </c>
      <c r="CB112" s="485"/>
      <c r="CC112" s="470"/>
      <c r="CE112" s="985">
        <v>0</v>
      </c>
      <c r="CF112" s="485"/>
      <c r="CG112" s="470"/>
      <c r="CI112" s="985">
        <v>0</v>
      </c>
      <c r="CJ112" s="485"/>
      <c r="CK112" s="470"/>
      <c r="CM112" s="985">
        <v>0</v>
      </c>
      <c r="CN112" s="485"/>
      <c r="CO112" s="470"/>
      <c r="CQ112" s="985">
        <v>0</v>
      </c>
      <c r="CR112" s="485"/>
      <c r="CS112" s="470"/>
      <c r="CU112" s="985">
        <v>0</v>
      </c>
      <c r="CV112" s="485"/>
      <c r="CW112" s="470"/>
      <c r="CY112" s="985">
        <v>0</v>
      </c>
      <c r="CZ112" s="485"/>
      <c r="DA112" s="470"/>
      <c r="DC112" s="985">
        <v>0</v>
      </c>
      <c r="DD112" s="485"/>
      <c r="DE112" s="470"/>
      <c r="DG112" s="1013">
        <v>0</v>
      </c>
      <c r="DH112" s="485"/>
      <c r="DI112" s="470"/>
      <c r="DJ112" s="470"/>
      <c r="DK112" s="1013">
        <v>0</v>
      </c>
      <c r="DL112" s="485"/>
      <c r="DM112" s="470"/>
      <c r="DN112" s="470"/>
      <c r="DO112" s="303" t="s">
        <v>232</v>
      </c>
    </row>
    <row r="113" spans="1:184" ht="12.75" hidden="1" customHeight="1" outlineLevel="2" x14ac:dyDescent="0.2">
      <c r="A113" s="448" t="s">
        <v>92</v>
      </c>
      <c r="C113" s="474">
        <v>0</v>
      </c>
      <c r="D113" s="485"/>
      <c r="E113" s="470"/>
      <c r="F113" s="305"/>
      <c r="G113" s="474">
        <v>0</v>
      </c>
      <c r="H113" s="485"/>
      <c r="I113" s="470"/>
      <c r="K113" s="474">
        <v>0</v>
      </c>
      <c r="L113" s="485"/>
      <c r="M113" s="470"/>
      <c r="O113" s="474">
        <v>0</v>
      </c>
      <c r="P113" s="485"/>
      <c r="Q113" s="470"/>
      <c r="R113" s="305"/>
      <c r="S113" s="474">
        <v>0</v>
      </c>
      <c r="T113" s="485"/>
      <c r="U113" s="470"/>
      <c r="W113" s="474">
        <v>0</v>
      </c>
      <c r="X113" s="485"/>
      <c r="Y113" s="470"/>
      <c r="AA113" s="474">
        <v>0</v>
      </c>
      <c r="AB113" s="485"/>
      <c r="AC113" s="470"/>
      <c r="AE113" s="474">
        <v>0</v>
      </c>
      <c r="AF113" s="485"/>
      <c r="AG113" s="470"/>
      <c r="AI113" s="474">
        <v>0</v>
      </c>
      <c r="AJ113" s="485"/>
      <c r="AK113" s="470"/>
      <c r="AM113" s="474">
        <v>0</v>
      </c>
      <c r="AN113" s="485"/>
      <c r="AO113" s="470"/>
      <c r="AQ113" s="474">
        <v>0</v>
      </c>
      <c r="AR113" s="485"/>
      <c r="AS113" s="470"/>
      <c r="AU113" s="474">
        <v>0</v>
      </c>
      <c r="AV113" s="485"/>
      <c r="AW113" s="470"/>
      <c r="AY113" s="474">
        <v>0</v>
      </c>
      <c r="AZ113" s="485"/>
      <c r="BA113" s="470"/>
      <c r="BC113" s="474">
        <v>0</v>
      </c>
      <c r="BD113" s="485"/>
      <c r="BE113" s="470"/>
      <c r="BG113" s="474">
        <v>0</v>
      </c>
      <c r="BH113" s="485"/>
      <c r="BI113" s="470"/>
      <c r="BK113" s="474">
        <v>0</v>
      </c>
      <c r="BL113" s="485"/>
      <c r="BM113" s="470"/>
      <c r="BO113" s="474">
        <v>0</v>
      </c>
      <c r="BP113" s="485"/>
      <c r="BQ113" s="470"/>
      <c r="BS113" s="474">
        <v>0</v>
      </c>
      <c r="BT113" s="485"/>
      <c r="BU113" s="470"/>
      <c r="BW113" s="474">
        <v>0</v>
      </c>
      <c r="BX113" s="485"/>
      <c r="BY113" s="470"/>
      <c r="CA113" s="474">
        <v>0</v>
      </c>
      <c r="CB113" s="485"/>
      <c r="CC113" s="470"/>
      <c r="CE113" s="1009">
        <v>0</v>
      </c>
      <c r="CF113" s="485"/>
      <c r="CG113" s="470"/>
      <c r="CI113" s="1009">
        <v>0</v>
      </c>
      <c r="CJ113" s="485"/>
      <c r="CK113" s="470"/>
      <c r="CM113" s="1009">
        <v>0</v>
      </c>
      <c r="CN113" s="485"/>
      <c r="CO113" s="470"/>
      <c r="CQ113" s="1009">
        <v>0</v>
      </c>
      <c r="CR113" s="485"/>
      <c r="CS113" s="470"/>
      <c r="CU113" s="1009">
        <v>0</v>
      </c>
      <c r="CV113" s="485"/>
      <c r="CW113" s="470"/>
      <c r="CY113" s="1009">
        <v>0</v>
      </c>
      <c r="CZ113" s="485"/>
      <c r="DA113" s="470"/>
      <c r="DC113" s="1009">
        <v>0</v>
      </c>
      <c r="DD113" s="485"/>
      <c r="DE113" s="470"/>
      <c r="DG113" s="1014">
        <v>0</v>
      </c>
      <c r="DH113" s="485"/>
      <c r="DI113" s="470"/>
      <c r="DJ113" s="470"/>
      <c r="DK113" s="1014">
        <v>0</v>
      </c>
      <c r="DL113" s="485"/>
      <c r="DM113" s="470"/>
      <c r="DN113" s="470"/>
      <c r="DO113" s="303" t="s">
        <v>232</v>
      </c>
    </row>
    <row r="114" spans="1:184" ht="12.75" hidden="1" customHeight="1" outlineLevel="2" x14ac:dyDescent="0.2">
      <c r="A114" s="448" t="s">
        <v>93</v>
      </c>
      <c r="C114" s="319">
        <f>SUM(C110:C113)</f>
        <v>0</v>
      </c>
      <c r="D114" s="485"/>
      <c r="E114" s="470"/>
      <c r="F114" s="305"/>
      <c r="G114" s="319">
        <f>SUM(G110:G113)</f>
        <v>0</v>
      </c>
      <c r="H114" s="485"/>
      <c r="I114" s="470"/>
      <c r="K114" s="319">
        <f>SUM(K110:K113)</f>
        <v>17.734999999999999</v>
      </c>
      <c r="L114" s="485"/>
      <c r="M114" s="470"/>
      <c r="O114" s="319">
        <f>SUM(O110:O113)</f>
        <v>0</v>
      </c>
      <c r="P114" s="485"/>
      <c r="Q114" s="470"/>
      <c r="R114" s="305"/>
      <c r="S114" s="319">
        <f>SUM(S110:S113)</f>
        <v>0</v>
      </c>
      <c r="T114" s="485"/>
      <c r="U114" s="470"/>
      <c r="W114" s="319">
        <f>SUM(W110:W113)</f>
        <v>14.052</v>
      </c>
      <c r="X114" s="485"/>
      <c r="Y114" s="470"/>
      <c r="AA114" s="319">
        <f>SUM(AA110:AA113)</f>
        <v>0</v>
      </c>
      <c r="AB114" s="485"/>
      <c r="AC114" s="470"/>
      <c r="AE114" s="319">
        <f>SUM(AE110:AE113)</f>
        <v>0</v>
      </c>
      <c r="AF114" s="485"/>
      <c r="AG114" s="470"/>
      <c r="AI114" s="319">
        <f>SUM(AI110:AI113)</f>
        <v>0</v>
      </c>
      <c r="AJ114" s="485"/>
      <c r="AK114" s="470"/>
      <c r="AM114" s="319">
        <f>SUM(AM110:AM113)</f>
        <v>0</v>
      </c>
      <c r="AN114" s="485"/>
      <c r="AO114" s="470"/>
      <c r="AQ114" s="319">
        <f>SUM(AQ110:AQ113)</f>
        <v>0</v>
      </c>
      <c r="AR114" s="485"/>
      <c r="AS114" s="470"/>
      <c r="AU114" s="319">
        <f>SUM(AU110:AU113)</f>
        <v>0</v>
      </c>
      <c r="AV114" s="485"/>
      <c r="AW114" s="470"/>
      <c r="AY114" s="319">
        <f>SUM(AY110:AY113)</f>
        <v>0</v>
      </c>
      <c r="AZ114" s="485"/>
      <c r="BA114" s="470"/>
      <c r="BC114" s="319">
        <f>SUM(BC110:BC113)</f>
        <v>0</v>
      </c>
      <c r="BD114" s="485"/>
      <c r="BE114" s="470"/>
      <c r="BG114" s="319">
        <f>SUM(BG110:BG113)</f>
        <v>0</v>
      </c>
      <c r="BH114" s="485"/>
      <c r="BI114" s="470"/>
      <c r="BK114" s="319">
        <f>SUM(BK110:BK113)</f>
        <v>-10.277813504823152</v>
      </c>
      <c r="BL114" s="485"/>
      <c r="BM114" s="470"/>
      <c r="BO114" s="319">
        <f>SUM(BO110:BO113)</f>
        <v>0</v>
      </c>
      <c r="BP114" s="485"/>
      <c r="BQ114" s="470"/>
      <c r="BS114" s="319">
        <f>SUM(BS110:BS113)</f>
        <v>0</v>
      </c>
      <c r="BT114" s="485"/>
      <c r="BU114" s="470"/>
      <c r="BW114" s="319">
        <f>SUM(BW110:BW113)</f>
        <v>0</v>
      </c>
      <c r="BX114" s="485"/>
      <c r="BY114" s="470"/>
      <c r="CA114" s="319">
        <f>SUM(CA110:CA113)</f>
        <v>0</v>
      </c>
      <c r="CB114" s="485"/>
      <c r="CC114" s="470"/>
      <c r="CE114" s="319">
        <f>SUM(CE110:CE113)</f>
        <v>0</v>
      </c>
      <c r="CF114" s="485"/>
      <c r="CG114" s="470"/>
      <c r="CI114" s="319">
        <f>SUM(CI110:CI113)</f>
        <v>0</v>
      </c>
      <c r="CJ114" s="485"/>
      <c r="CK114" s="470"/>
      <c r="CM114" s="319">
        <f>SUM(CM110:CM113)</f>
        <v>0</v>
      </c>
      <c r="CN114" s="485"/>
      <c r="CO114" s="470"/>
      <c r="CQ114" s="319">
        <f>SUM(CQ110:CQ113)</f>
        <v>0</v>
      </c>
      <c r="CR114" s="485"/>
      <c r="CS114" s="470"/>
      <c r="CU114" s="319">
        <f>SUM(CU110:CU113)</f>
        <v>0</v>
      </c>
      <c r="CV114" s="485"/>
      <c r="CW114" s="470"/>
      <c r="CY114" s="319">
        <f>SUM(CY110:CY113)</f>
        <v>0</v>
      </c>
      <c r="CZ114" s="485"/>
      <c r="DA114" s="470"/>
      <c r="DC114" s="319">
        <f>SUM(DC110:DC113)</f>
        <v>0</v>
      </c>
      <c r="DD114" s="485"/>
      <c r="DE114" s="470"/>
      <c r="DG114" s="449">
        <f>SUM(DG110:DG113)</f>
        <v>0</v>
      </c>
      <c r="DH114" s="485"/>
      <c r="DI114" s="470"/>
      <c r="DJ114" s="470"/>
      <c r="DK114" s="449">
        <f>SUM(DK110:DK113)</f>
        <v>0</v>
      </c>
      <c r="DL114" s="485"/>
      <c r="DM114" s="470"/>
      <c r="DN114" s="470"/>
      <c r="DO114" s="303" t="s">
        <v>232</v>
      </c>
    </row>
    <row r="115" spans="1:184" ht="12.75" hidden="1" customHeight="1" outlineLevel="2" x14ac:dyDescent="0.2">
      <c r="A115" s="448" t="s">
        <v>467</v>
      </c>
      <c r="C115" s="413">
        <f>C110+C111</f>
        <v>0</v>
      </c>
      <c r="D115" s="485"/>
      <c r="E115" s="470"/>
      <c r="F115" s="305"/>
      <c r="G115" s="413">
        <f>G110+G111</f>
        <v>0</v>
      </c>
      <c r="H115" s="485"/>
      <c r="I115" s="470"/>
      <c r="K115" s="413">
        <f>K110+K111</f>
        <v>17.734999999999999</v>
      </c>
      <c r="L115" s="485"/>
      <c r="M115" s="470"/>
      <c r="O115" s="413">
        <f>O110+O111</f>
        <v>0</v>
      </c>
      <c r="P115" s="485"/>
      <c r="Q115" s="471"/>
      <c r="R115" s="305"/>
      <c r="S115" s="413">
        <f>S110+S111</f>
        <v>0</v>
      </c>
      <c r="T115" s="485"/>
      <c r="U115" s="471"/>
      <c r="W115" s="413">
        <f>W110+W111</f>
        <v>0</v>
      </c>
      <c r="X115" s="485"/>
      <c r="Y115" s="471"/>
      <c r="AA115" s="413">
        <f>AA110+AA111</f>
        <v>0</v>
      </c>
      <c r="AB115" s="485"/>
      <c r="AC115" s="470"/>
      <c r="AE115" s="413">
        <f>AE110+AE111</f>
        <v>0</v>
      </c>
      <c r="AF115" s="485"/>
      <c r="AG115" s="471"/>
      <c r="AH115" s="305"/>
      <c r="AI115" s="413">
        <f>AI110+AI111</f>
        <v>0</v>
      </c>
      <c r="AJ115" s="485"/>
      <c r="AK115" s="471"/>
      <c r="AM115" s="413">
        <f>AM110+AM111</f>
        <v>0</v>
      </c>
      <c r="AN115" s="485"/>
      <c r="AO115" s="471"/>
      <c r="AQ115" s="413">
        <f>AQ110+AQ111</f>
        <v>0</v>
      </c>
      <c r="AR115" s="485"/>
      <c r="AS115" s="471"/>
      <c r="AU115" s="413">
        <f>AU110+AU111</f>
        <v>0</v>
      </c>
      <c r="AV115" s="485"/>
      <c r="AW115" s="471"/>
      <c r="AY115" s="413">
        <f>AY110+AY111</f>
        <v>0</v>
      </c>
      <c r="AZ115" s="485"/>
      <c r="BA115" s="471"/>
      <c r="BC115" s="413">
        <f>BC110+BC111</f>
        <v>0</v>
      </c>
      <c r="BD115" s="485"/>
      <c r="BE115" s="471"/>
      <c r="BG115" s="413">
        <f>BG110+BG111</f>
        <v>0</v>
      </c>
      <c r="BH115" s="485"/>
      <c r="BI115" s="471"/>
      <c r="BK115" s="413">
        <f>BK110+BK111</f>
        <v>-10.277813504823152</v>
      </c>
      <c r="BL115" s="485"/>
      <c r="BM115" s="471"/>
      <c r="BO115" s="413">
        <f>BO110+BO111</f>
        <v>0</v>
      </c>
      <c r="BP115" s="485"/>
      <c r="BQ115" s="471"/>
      <c r="BS115" s="413">
        <f>BS110+BS111</f>
        <v>0</v>
      </c>
      <c r="BT115" s="485"/>
      <c r="BU115" s="471"/>
      <c r="BW115" s="413">
        <f>BW110+BW111</f>
        <v>0</v>
      </c>
      <c r="BX115" s="485"/>
      <c r="BY115" s="471"/>
      <c r="CA115" s="413">
        <f>CA110+CA111</f>
        <v>0</v>
      </c>
      <c r="CB115" s="485"/>
      <c r="CC115" s="471"/>
      <c r="CE115" s="413">
        <f>CE110+CE111</f>
        <v>0</v>
      </c>
      <c r="CF115" s="485"/>
      <c r="CG115" s="471"/>
      <c r="CI115" s="413">
        <f>CI110+CI111</f>
        <v>0</v>
      </c>
      <c r="CJ115" s="485"/>
      <c r="CK115" s="471"/>
      <c r="CM115" s="413">
        <f>CM110+CM111</f>
        <v>0</v>
      </c>
      <c r="CN115" s="485"/>
      <c r="CO115" s="471"/>
      <c r="CQ115" s="413">
        <f>CQ110+CQ111</f>
        <v>0</v>
      </c>
      <c r="CR115" s="485"/>
      <c r="CS115" s="471"/>
      <c r="CU115" s="413">
        <f>CU110+CU111</f>
        <v>0</v>
      </c>
      <c r="CV115" s="485"/>
      <c r="CW115" s="471"/>
      <c r="CY115" s="413">
        <f>CY110+CY111</f>
        <v>0</v>
      </c>
      <c r="CZ115" s="485"/>
      <c r="DA115" s="471"/>
      <c r="DC115" s="413">
        <f>DC110+DC111</f>
        <v>0</v>
      </c>
      <c r="DD115" s="485"/>
      <c r="DE115" s="471"/>
      <c r="DG115" s="413">
        <f>DG110+DG111</f>
        <v>0</v>
      </c>
      <c r="DH115" s="485"/>
      <c r="DI115" s="471"/>
      <c r="DJ115" s="471"/>
      <c r="DK115" s="413">
        <f>DK110+DK111</f>
        <v>0</v>
      </c>
      <c r="DL115" s="485"/>
      <c r="DM115" s="471"/>
      <c r="DN115" s="471"/>
      <c r="DO115" s="303" t="s">
        <v>232</v>
      </c>
    </row>
    <row r="116" spans="1:184" ht="12.75" hidden="1" customHeight="1" outlineLevel="2" x14ac:dyDescent="0.2">
      <c r="A116" s="448" t="s">
        <v>468</v>
      </c>
      <c r="C116" s="413">
        <f>C113+C112</f>
        <v>0</v>
      </c>
      <c r="D116" s="485"/>
      <c r="E116" s="470"/>
      <c r="F116" s="305"/>
      <c r="G116" s="413">
        <f>G113+G112</f>
        <v>0</v>
      </c>
      <c r="H116" s="485"/>
      <c r="I116" s="470"/>
      <c r="K116" s="413">
        <f>K113+K112</f>
        <v>0</v>
      </c>
      <c r="L116" s="485"/>
      <c r="M116" s="470"/>
      <c r="O116" s="413">
        <f>O113+O112</f>
        <v>0</v>
      </c>
      <c r="P116" s="485"/>
      <c r="Q116" s="471"/>
      <c r="R116" s="305"/>
      <c r="S116" s="413">
        <f>S113+S112</f>
        <v>0</v>
      </c>
      <c r="T116" s="485"/>
      <c r="U116" s="471"/>
      <c r="W116" s="413">
        <f>W113+W112</f>
        <v>14.052</v>
      </c>
      <c r="X116" s="485"/>
      <c r="Y116" s="471"/>
      <c r="AA116" s="413">
        <f>AA113+AA112</f>
        <v>0</v>
      </c>
      <c r="AB116" s="485"/>
      <c r="AC116" s="470"/>
      <c r="AE116" s="413">
        <f>AE113+AE112</f>
        <v>0</v>
      </c>
      <c r="AF116" s="485"/>
      <c r="AG116" s="471"/>
      <c r="AH116" s="305"/>
      <c r="AI116" s="413">
        <f>AI113+AI112</f>
        <v>0</v>
      </c>
      <c r="AJ116" s="485"/>
      <c r="AK116" s="471"/>
      <c r="AM116" s="413">
        <f>AM113+AM112</f>
        <v>0</v>
      </c>
      <c r="AN116" s="485"/>
      <c r="AO116" s="471"/>
      <c r="AQ116" s="413">
        <f>AQ113+AQ112</f>
        <v>0</v>
      </c>
      <c r="AR116" s="485"/>
      <c r="AS116" s="471"/>
      <c r="AU116" s="413">
        <f>AU113+AU112</f>
        <v>0</v>
      </c>
      <c r="AV116" s="485"/>
      <c r="AW116" s="471"/>
      <c r="AY116" s="413">
        <f>AY113+AY112</f>
        <v>0</v>
      </c>
      <c r="AZ116" s="485"/>
      <c r="BA116" s="471"/>
      <c r="BC116" s="413">
        <f>BC113+BC112</f>
        <v>0</v>
      </c>
      <c r="BD116" s="485"/>
      <c r="BE116" s="471"/>
      <c r="BG116" s="413">
        <f>BG113+BG112</f>
        <v>0</v>
      </c>
      <c r="BH116" s="485"/>
      <c r="BI116" s="471"/>
      <c r="BK116" s="413">
        <f>BK113+BK112</f>
        <v>0</v>
      </c>
      <c r="BL116" s="485"/>
      <c r="BM116" s="471"/>
      <c r="BO116" s="413">
        <f>BO113+BO112</f>
        <v>0</v>
      </c>
      <c r="BP116" s="485"/>
      <c r="BQ116" s="471"/>
      <c r="BS116" s="413">
        <f>BS113+BS112</f>
        <v>0</v>
      </c>
      <c r="BT116" s="485"/>
      <c r="BU116" s="471"/>
      <c r="BW116" s="413">
        <f>BW113+BW112</f>
        <v>0</v>
      </c>
      <c r="BX116" s="485"/>
      <c r="BY116" s="471"/>
      <c r="CA116" s="413">
        <f>CA113+CA112</f>
        <v>0</v>
      </c>
      <c r="CB116" s="485"/>
      <c r="CC116" s="471"/>
      <c r="CE116" s="413">
        <f>CE113+CE112</f>
        <v>0</v>
      </c>
      <c r="CF116" s="485"/>
      <c r="CG116" s="471"/>
      <c r="CI116" s="413">
        <f>CI113+CI112</f>
        <v>0</v>
      </c>
      <c r="CJ116" s="485"/>
      <c r="CK116" s="471"/>
      <c r="CM116" s="413">
        <f>CM113+CM112</f>
        <v>0</v>
      </c>
      <c r="CN116" s="485"/>
      <c r="CO116" s="471"/>
      <c r="CQ116" s="413">
        <f>CQ113+CQ112</f>
        <v>0</v>
      </c>
      <c r="CR116" s="485"/>
      <c r="CS116" s="471"/>
      <c r="CU116" s="413">
        <f>CU113+CU112</f>
        <v>0</v>
      </c>
      <c r="CV116" s="485"/>
      <c r="CW116" s="471"/>
      <c r="CY116" s="413">
        <f>CY113+CY112</f>
        <v>0</v>
      </c>
      <c r="CZ116" s="485"/>
      <c r="DA116" s="471"/>
      <c r="DC116" s="413">
        <f>DC113+DC112</f>
        <v>0</v>
      </c>
      <c r="DD116" s="485"/>
      <c r="DE116" s="471"/>
      <c r="DG116" s="413">
        <f>DG113+DG112</f>
        <v>0</v>
      </c>
      <c r="DH116" s="485"/>
      <c r="DI116" s="471"/>
      <c r="DJ116" s="471"/>
      <c r="DK116" s="413">
        <f>DK113+DK112</f>
        <v>0</v>
      </c>
      <c r="DL116" s="485"/>
      <c r="DM116" s="471"/>
      <c r="DN116" s="471"/>
      <c r="DO116" s="303" t="s">
        <v>232</v>
      </c>
    </row>
    <row r="117" spans="1:184" outlineLevel="1" collapsed="1" x14ac:dyDescent="0.2">
      <c r="C117" s="413"/>
      <c r="D117" s="459"/>
      <c r="E117" s="459"/>
      <c r="F117" s="305"/>
      <c r="G117" s="413"/>
      <c r="H117" s="459"/>
      <c r="I117" s="459"/>
      <c r="K117" s="413"/>
      <c r="O117" s="413"/>
      <c r="R117" s="305"/>
      <c r="S117" s="413"/>
      <c r="W117" s="413"/>
      <c r="AA117" s="413"/>
      <c r="AE117" s="413"/>
      <c r="AI117" s="413"/>
      <c r="AM117" s="413"/>
      <c r="AQ117" s="413"/>
      <c r="AU117" s="413"/>
      <c r="AY117" s="413"/>
      <c r="BC117" s="413"/>
      <c r="BG117" s="413"/>
      <c r="BK117" s="413"/>
      <c r="BO117" s="413"/>
      <c r="BS117" s="413"/>
      <c r="BW117" s="413"/>
      <c r="CA117" s="413"/>
      <c r="CE117" s="413"/>
      <c r="CI117" s="413"/>
      <c r="DO117" s="303" t="s">
        <v>232</v>
      </c>
    </row>
    <row r="118" spans="1:184" outlineLevel="1" collapsed="1" x14ac:dyDescent="0.2">
      <c r="A118" s="447"/>
      <c r="B118" s="447"/>
      <c r="C118" s="447"/>
      <c r="D118" s="447"/>
      <c r="E118" s="447"/>
      <c r="F118" s="447"/>
      <c r="G118" s="447"/>
      <c r="H118" s="447"/>
      <c r="I118" s="447"/>
      <c r="J118" s="447"/>
      <c r="K118" s="447"/>
      <c r="L118" s="447"/>
      <c r="M118" s="447"/>
      <c r="N118" s="447"/>
      <c r="O118" s="447"/>
      <c r="P118" s="447"/>
      <c r="Q118" s="447"/>
      <c r="R118" s="447"/>
      <c r="S118" s="447"/>
      <c r="T118" s="447"/>
      <c r="U118" s="447"/>
      <c r="V118" s="447"/>
      <c r="W118" s="447"/>
      <c r="X118" s="447"/>
      <c r="Y118" s="447"/>
      <c r="Z118" s="447"/>
      <c r="AA118" s="447"/>
      <c r="AB118" s="447"/>
      <c r="AC118" s="447"/>
      <c r="AD118" s="447"/>
      <c r="AE118" s="447"/>
      <c r="AF118" s="447"/>
      <c r="AG118" s="447"/>
      <c r="AH118" s="447"/>
      <c r="AI118" s="447"/>
      <c r="AJ118" s="447"/>
      <c r="AK118" s="447"/>
      <c r="AL118" s="447"/>
      <c r="AM118" s="447"/>
      <c r="AN118" s="447"/>
      <c r="AO118" s="447"/>
      <c r="AP118" s="447"/>
      <c r="AQ118" s="447"/>
      <c r="AR118" s="447"/>
      <c r="AS118" s="447"/>
      <c r="AT118" s="447"/>
      <c r="AU118" s="447"/>
      <c r="AV118" s="447"/>
      <c r="AW118" s="447"/>
      <c r="AX118" s="447"/>
      <c r="AY118" s="447"/>
      <c r="AZ118" s="447"/>
      <c r="BA118" s="447"/>
      <c r="BB118" s="447"/>
      <c r="BC118" s="447"/>
      <c r="BD118" s="447"/>
      <c r="BE118" s="447"/>
      <c r="BF118" s="447"/>
      <c r="BG118" s="447"/>
      <c r="BH118" s="447"/>
      <c r="BI118" s="447"/>
      <c r="BJ118" s="447"/>
      <c r="BK118" s="447"/>
      <c r="BL118" s="447"/>
      <c r="BM118" s="447"/>
      <c r="BN118" s="447"/>
      <c r="BO118" s="447"/>
      <c r="BP118" s="447"/>
      <c r="BQ118" s="447"/>
      <c r="BR118" s="447"/>
      <c r="BS118" s="447"/>
      <c r="BT118" s="447"/>
      <c r="BU118" s="447"/>
      <c r="BV118" s="447"/>
      <c r="BW118" s="447"/>
      <c r="BX118" s="447"/>
      <c r="BY118" s="447"/>
      <c r="BZ118" s="447"/>
      <c r="CA118" s="447"/>
      <c r="CB118" s="447"/>
      <c r="CC118" s="447"/>
      <c r="CD118" s="447"/>
      <c r="CE118" s="447"/>
      <c r="CF118" s="447"/>
      <c r="CG118" s="447"/>
      <c r="CH118" s="447"/>
      <c r="CI118" s="447"/>
      <c r="CJ118" s="447"/>
      <c r="CK118" s="447" t="s">
        <v>288</v>
      </c>
      <c r="CL118" s="447"/>
      <c r="CM118" s="447"/>
      <c r="CN118" s="447"/>
      <c r="CO118" s="447"/>
      <c r="CP118" s="447"/>
      <c r="CQ118" s="447"/>
      <c r="CR118" s="447"/>
      <c r="CS118" s="447"/>
      <c r="CT118" s="447"/>
      <c r="CU118" s="447"/>
      <c r="CV118" s="447"/>
      <c r="CW118" s="447"/>
      <c r="CX118" s="447"/>
      <c r="CY118" s="447" t="s">
        <v>288</v>
      </c>
      <c r="CZ118" s="447"/>
      <c r="DA118" s="447"/>
      <c r="DB118" s="447"/>
      <c r="DC118" s="447"/>
      <c r="DD118" s="447"/>
      <c r="DE118" s="447"/>
      <c r="DF118" s="447"/>
      <c r="DG118" s="447"/>
      <c r="DH118" s="447"/>
      <c r="DI118" s="447"/>
      <c r="DJ118" s="447"/>
      <c r="DK118" s="447"/>
      <c r="DL118" s="447"/>
      <c r="DM118" s="447"/>
      <c r="DN118" s="447"/>
      <c r="DO118" s="447"/>
      <c r="DP118" s="447"/>
      <c r="DQ118" s="447"/>
      <c r="DR118" s="447"/>
      <c r="DS118" s="447"/>
      <c r="DT118" s="447"/>
      <c r="DU118" s="447"/>
      <c r="DV118" s="447"/>
      <c r="DW118" s="447"/>
      <c r="DX118" s="447"/>
      <c r="DY118" s="447"/>
      <c r="DZ118" s="447"/>
      <c r="EA118" s="447"/>
      <c r="EB118" s="447"/>
      <c r="EC118" s="447"/>
      <c r="ED118" s="447"/>
      <c r="EE118" s="447"/>
      <c r="EF118" s="447"/>
      <c r="EG118" s="447"/>
      <c r="EH118" s="447"/>
      <c r="EI118" s="447"/>
      <c r="EJ118" s="447"/>
      <c r="EK118" s="447"/>
      <c r="EL118" s="447"/>
      <c r="EM118" s="447"/>
      <c r="EN118" s="447"/>
      <c r="EO118" s="447"/>
      <c r="EP118" s="447"/>
      <c r="EQ118" s="447"/>
      <c r="ER118" s="447"/>
      <c r="ES118" s="447"/>
      <c r="ET118" s="447"/>
      <c r="EU118" s="447"/>
      <c r="EV118" s="447"/>
      <c r="EW118" s="447"/>
      <c r="EX118" s="447"/>
      <c r="EY118" s="447"/>
      <c r="EZ118" s="447"/>
      <c r="FA118" s="447"/>
      <c r="FB118" s="447"/>
      <c r="FC118" s="447"/>
      <c r="FD118" s="447"/>
      <c r="FE118" s="447"/>
      <c r="FF118" s="447"/>
      <c r="FG118" s="447"/>
      <c r="FH118" s="447"/>
      <c r="FI118" s="447"/>
      <c r="FJ118" s="447"/>
      <c r="FK118" s="447"/>
      <c r="FL118" s="447"/>
      <c r="FM118" s="447"/>
      <c r="FN118" s="447"/>
      <c r="FO118" s="447"/>
      <c r="FP118" s="447"/>
      <c r="FQ118" s="447"/>
      <c r="FR118" s="447"/>
      <c r="FS118" s="447"/>
      <c r="FT118" s="447"/>
      <c r="FU118" s="447"/>
      <c r="FV118" s="447"/>
      <c r="FW118" s="447"/>
      <c r="FX118" s="447"/>
      <c r="FY118" s="447"/>
      <c r="FZ118" s="447"/>
      <c r="GA118" s="447"/>
      <c r="GB118" s="447"/>
    </row>
    <row r="119" spans="1:184" outlineLevel="1" x14ac:dyDescent="0.2">
      <c r="C119" s="413"/>
      <c r="D119" s="459"/>
      <c r="E119" s="459"/>
      <c r="F119" s="305"/>
      <c r="G119" s="413"/>
      <c r="H119" s="459"/>
      <c r="I119" s="459"/>
      <c r="K119" s="413"/>
      <c r="O119" s="413"/>
      <c r="R119" s="305"/>
      <c r="S119" s="413"/>
      <c r="W119" s="413"/>
      <c r="AA119" s="413"/>
      <c r="AE119" s="413"/>
      <c r="AI119" s="413"/>
      <c r="AM119" s="413"/>
      <c r="AQ119" s="413"/>
      <c r="AU119" s="413"/>
      <c r="AY119" s="413"/>
      <c r="BC119" s="413"/>
      <c r="BG119" s="413"/>
      <c r="BK119" s="413"/>
      <c r="BO119" s="413"/>
      <c r="BS119" s="413"/>
      <c r="BW119" s="413"/>
      <c r="CA119" s="413"/>
      <c r="CE119" s="413"/>
      <c r="CI119" s="413"/>
      <c r="DO119" s="303" t="s">
        <v>232</v>
      </c>
    </row>
    <row r="120" spans="1:184" outlineLevel="1" x14ac:dyDescent="0.2">
      <c r="A120" s="448" t="s">
        <v>89</v>
      </c>
      <c r="C120" s="319">
        <f>C80-C100-C110</f>
        <v>-2.6969999999999938</v>
      </c>
      <c r="D120" s="492">
        <f t="shared" ref="D120:D126" si="311">C120/C10*100</f>
        <v>-1.6712936568921459</v>
      </c>
      <c r="E120" s="470" t="s">
        <v>1</v>
      </c>
      <c r="F120" s="305"/>
      <c r="G120" s="319">
        <f>G80-G100-G110</f>
        <v>0.93200000000000127</v>
      </c>
      <c r="H120" s="492">
        <f t="shared" ref="H120:H126" si="312">G120/G10*100</f>
        <v>0.48763642832477067</v>
      </c>
      <c r="I120" s="451">
        <f t="shared" ref="I120:I126" si="313">(G120/C120-1)*100</f>
        <v>-134.55691509084181</v>
      </c>
      <c r="K120" s="319">
        <f>K80-K100-K110</f>
        <v>4.875</v>
      </c>
      <c r="L120" s="492">
        <f t="shared" ref="L120:L126" si="314">K120/K10*100</f>
        <v>2.3038752362948962</v>
      </c>
      <c r="M120" s="451">
        <f t="shared" ref="M120:M126" si="315">(K120/G120-1)*100</f>
        <v>423.0686695278963</v>
      </c>
      <c r="O120" s="319">
        <f>O80-O100-O110</f>
        <v>12.863</v>
      </c>
      <c r="P120" s="492">
        <f t="shared" ref="P120:P126" si="316">O120/O10*100</f>
        <v>5.1410871302957633</v>
      </c>
      <c r="Q120" s="451">
        <f t="shared" ref="Q120:Q126" si="317">(O120/K120-1)*100</f>
        <v>163.85641025641027</v>
      </c>
      <c r="R120" s="305"/>
      <c r="S120" s="319">
        <f>S80-S100-S110</f>
        <v>19.52800000000002</v>
      </c>
      <c r="T120" s="492">
        <f t="shared" ref="T120:T126" si="318">S120/S10*100</f>
        <v>6.3443794671864913</v>
      </c>
      <c r="U120" s="451">
        <f t="shared" ref="U120:U126" si="319">(S120/O120-1)*100</f>
        <v>51.815284148332587</v>
      </c>
      <c r="W120" s="319">
        <f>W80-W100-W110</f>
        <v>19.960999999999999</v>
      </c>
      <c r="X120" s="492">
        <f t="shared" ref="X120:X126" si="320">W120/W10*100</f>
        <v>5.4182953311617803</v>
      </c>
      <c r="Y120" s="451">
        <f t="shared" ref="Y120:Y126" si="321">(W120/S120-1)*100</f>
        <v>2.2173289635394111</v>
      </c>
      <c r="AA120" s="319">
        <f>AA80-AA100-AA110</f>
        <v>23.30699999999997</v>
      </c>
      <c r="AB120" s="492">
        <f t="shared" ref="AB120:AB126" si="322">AA120/AA10*100</f>
        <v>4.9726904203114941</v>
      </c>
      <c r="AC120" s="451">
        <f t="shared" ref="AC120:AC126" si="323">(AA120/W120-1)*100</f>
        <v>16.76268724011809</v>
      </c>
      <c r="AE120" s="319">
        <f>AE80-AE100-AE110</f>
        <v>25.442999999999977</v>
      </c>
      <c r="AF120" s="492">
        <f t="shared" ref="AF120:AF126" si="324">AE120/AE10*100</f>
        <v>4.2366375987224938</v>
      </c>
      <c r="AG120" s="451">
        <f t="shared" ref="AG120:AG126" si="325">(AE120/AA120-1)*100</f>
        <v>9.1646286523362477</v>
      </c>
      <c r="AI120" s="319">
        <f>AI80-AI100-AI110</f>
        <v>39.130000000000038</v>
      </c>
      <c r="AJ120" s="492">
        <f t="shared" ref="AJ120:AJ126" si="326">AI120/AI10*100</f>
        <v>5.2551705613752402</v>
      </c>
      <c r="AK120" s="451">
        <f t="shared" ref="AK120:AK126" si="327">(AI120/AE120-1)*100</f>
        <v>53.794756907597673</v>
      </c>
      <c r="AM120" s="319">
        <f>AM80-AM100-AM110</f>
        <v>62.495999999999931</v>
      </c>
      <c r="AN120" s="492">
        <f t="shared" ref="AN120:AN126" si="328">AM120/AM10*100</f>
        <v>6.8654289794573149</v>
      </c>
      <c r="AO120" s="451">
        <f t="shared" ref="AO120:AO126" si="329">(AM120/AI120-1)*100</f>
        <v>59.713774597495203</v>
      </c>
      <c r="AQ120" s="319">
        <f>AQ80-AQ100-AQ110</f>
        <v>83.089000000000169</v>
      </c>
      <c r="AR120" s="492">
        <f t="shared" ref="AR120:AR126" si="330">AQ120/AQ10*100</f>
        <v>6.7623504516969284</v>
      </c>
      <c r="AS120" s="451">
        <f t="shared" ref="AS120:AS126" si="331">(AQ120/AM120-1)*100</f>
        <v>32.950908858167338</v>
      </c>
      <c r="AU120" s="319">
        <f>AU80-AU100-AU110</f>
        <v>118.96099999999998</v>
      </c>
      <c r="AV120" s="492">
        <f t="shared" ref="AV120:AV126" si="332">AU120/AU10*100</f>
        <v>7.993079352281125</v>
      </c>
      <c r="AW120" s="451">
        <f t="shared" ref="AW120:AW126" si="333">(AU120/AQ120-1)*100</f>
        <v>43.172983186703107</v>
      </c>
      <c r="AY120" s="319">
        <f>AY80-AY100-AY110</f>
        <v>168.21899999999997</v>
      </c>
      <c r="AZ120" s="492">
        <f t="shared" ref="AZ120:AZ126" si="334">AY120/AY10*100</f>
        <v>8.993263833199677</v>
      </c>
      <c r="BA120" s="451">
        <f>(AY120/AU120-1)*100</f>
        <v>41.406847622329998</v>
      </c>
      <c r="BC120" s="319">
        <f>BC80-BC100-BC110</f>
        <v>174.43099999999981</v>
      </c>
      <c r="BD120" s="492">
        <f t="shared" ref="BD120:BD126" si="335">BC120/BC10*100</f>
        <v>8.2368135241063332</v>
      </c>
      <c r="BE120" s="451">
        <f t="shared" ref="BE120:BE126" si="336">(BC120/AY120-1)*100</f>
        <v>3.692805212252992</v>
      </c>
      <c r="BG120" s="319">
        <f>BG80-BG100-BG110</f>
        <v>165.69999999999987</v>
      </c>
      <c r="BH120" s="492">
        <f t="shared" ref="BH120:BH126" si="337">BG120/BG10*100</f>
        <v>6.9615998655575124</v>
      </c>
      <c r="BI120" s="451">
        <f t="shared" ref="BI120:BI126" si="338">(BG120/BC120-1)*100</f>
        <v>-5.0054176149881275</v>
      </c>
      <c r="BK120" s="319">
        <f>BK80-BK100-BK110</f>
        <v>200.50000000000028</v>
      </c>
      <c r="BL120" s="492">
        <f t="shared" ref="BL120:BL126" si="339">BK120/BK10*100</f>
        <v>7.3100481260026342</v>
      </c>
      <c r="BM120" s="451">
        <f t="shared" ref="BM120:BM126" si="340">(BK120/BG120-1)*100</f>
        <v>21.001810500905506</v>
      </c>
      <c r="BO120" s="319">
        <f>BO80-BO100-BO110</f>
        <v>267.83550000000002</v>
      </c>
      <c r="BP120" s="492">
        <f t="shared" ref="BP120:BP126" si="341">BO120/BO10*100</f>
        <v>8.4100700222940947</v>
      </c>
      <c r="BQ120" s="451">
        <f t="shared" ref="BQ120:BQ126" si="342">(BO120/BK120-1)*100</f>
        <v>33.583790523690602</v>
      </c>
      <c r="BS120" s="319">
        <f>BS80-BS100-BS110</f>
        <v>335.9000000000002</v>
      </c>
      <c r="BT120" s="492">
        <f t="shared" ref="BT120:BT126" si="343">BS120/BS10*100</f>
        <v>9.4036954087346079</v>
      </c>
      <c r="BU120" s="451">
        <f t="shared" ref="BU120:BU126" si="344">(BS120/BO120-1)*100</f>
        <v>25.412800020908421</v>
      </c>
      <c r="BW120" s="319">
        <f>BW80-BW100-BW110</f>
        <v>244.72900000000024</v>
      </c>
      <c r="BX120" s="492">
        <f t="shared" ref="BX120:BX126" si="345">BW120/BW10*100</f>
        <v>6.7525251368624657</v>
      </c>
      <c r="BY120" s="451">
        <f t="shared" ref="BY120:BY126" si="346">(BW120/BS120-1)*100</f>
        <v>-27.142304257219386</v>
      </c>
      <c r="CA120" s="319">
        <f>CA80-CA100-CA110</f>
        <v>219</v>
      </c>
      <c r="CB120" s="492">
        <f t="shared" ref="CB120:CB126" si="347">CA120/CA10*100</f>
        <v>6.0197910940076964</v>
      </c>
      <c r="CC120" s="451">
        <f t="shared" ref="CC120:CC126" si="348">(CA120/BW120-1)*100</f>
        <v>-10.513261607737622</v>
      </c>
      <c r="CE120" s="319">
        <f>CE80-CE100-CE110</f>
        <v>311</v>
      </c>
      <c r="CF120" s="492">
        <f t="shared" ref="CF120:CF126" si="349">CE120/CE10*100</f>
        <v>7.7075588599752169</v>
      </c>
      <c r="CG120" s="451">
        <f t="shared" ref="CG120:CG126" si="350">(CE120/CA120-1)*100</f>
        <v>42.009132420091319</v>
      </c>
      <c r="CI120" s="319">
        <f>CI80-CI100-CI110</f>
        <v>315</v>
      </c>
      <c r="CJ120" s="492">
        <f t="shared" ref="CJ120:CJ126" si="351">CI120/CI10*100</f>
        <v>7.568476693897165</v>
      </c>
      <c r="CK120" s="451">
        <f t="shared" ref="CK120:CK126" si="352">(CI120/CE120-1)*100</f>
        <v>1.2861736334405238</v>
      </c>
      <c r="CM120" s="319">
        <f>CM80-CM100-CM110</f>
        <v>238.5</v>
      </c>
      <c r="CN120" s="492">
        <f t="shared" ref="CN120:CN126" si="353">CM120/CM10*100</f>
        <v>5.6210228611831257</v>
      </c>
      <c r="CO120" s="451">
        <f t="shared" ref="CO120:CO126" si="354">(CM120/CI120-1)*100</f>
        <v>-24.285714285714288</v>
      </c>
      <c r="CQ120" s="319">
        <f>CQ80-CQ100-CQ110</f>
        <v>234</v>
      </c>
      <c r="CR120" s="492">
        <f t="shared" ref="CR120:CR126" si="355">CQ120/CQ10*100</f>
        <v>5.5727554179566559</v>
      </c>
      <c r="CS120" s="451">
        <f t="shared" ref="CS120:CS126" si="356">(CQ120/CM120-1)*100</f>
        <v>-1.8867924528301883</v>
      </c>
      <c r="CU120" s="319">
        <f>CU80-CU100-CU110</f>
        <v>195</v>
      </c>
      <c r="CV120" s="492">
        <f t="shared" ref="CV120:CV126" si="357">CU120/CU10*100</f>
        <v>4.7911547911547911</v>
      </c>
      <c r="CW120" s="451">
        <f t="shared" ref="CW120:CW126" si="358">(CU120/CQ120-1)*100</f>
        <v>-16.666666666666664</v>
      </c>
      <c r="CY120" s="319">
        <f>CY80-CY100-CY110</f>
        <v>196</v>
      </c>
      <c r="CZ120" s="492">
        <f t="shared" ref="CZ120:CZ126" si="359">CY120/CY10*100</f>
        <v>4.7538200339558569</v>
      </c>
      <c r="DA120" s="451">
        <f t="shared" ref="DA120:DA126" si="360">(CY120/CU120-1)*100</f>
        <v>0.512820512820511</v>
      </c>
      <c r="DC120" s="319">
        <f>DC80-DC100-DC110</f>
        <v>91</v>
      </c>
      <c r="DD120" s="492">
        <f t="shared" ref="DD120:DD126" si="361">DC120/DC10*100</f>
        <v>2.2910372608257803</v>
      </c>
      <c r="DE120" s="451">
        <f t="shared" ref="DE120:DE126" si="362">(DC120/CY120-1)*100</f>
        <v>-53.571428571428569</v>
      </c>
      <c r="DG120" s="319">
        <f>DG80-DG100-DG110</f>
        <v>109</v>
      </c>
      <c r="DH120" s="492">
        <f t="shared" ref="DH120:DH126" si="363">DG120/DG10*100</f>
        <v>2.836325787145459</v>
      </c>
      <c r="DI120" s="451">
        <f t="shared" ref="DI120:DI126" si="364">(DG120/DC120-1)*100</f>
        <v>19.780219780219777</v>
      </c>
      <c r="DJ120" s="451"/>
      <c r="DK120" s="319">
        <f>DK80-DK100-DK110</f>
        <v>107.69506954000008</v>
      </c>
      <c r="DL120" s="492">
        <f t="shared" ref="DL120:DL126" si="365">DK120/DK10*100</f>
        <v>2.7086504458109566</v>
      </c>
      <c r="DM120" s="451">
        <f t="shared" ref="DM120:DM126" si="366">(DK120/DG120-1)*100</f>
        <v>-1.1971839082568048</v>
      </c>
      <c r="DN120" s="451"/>
      <c r="DO120" s="303" t="s">
        <v>232</v>
      </c>
    </row>
    <row r="121" spans="1:184" outlineLevel="1" x14ac:dyDescent="0.2">
      <c r="A121" s="448" t="s">
        <v>90</v>
      </c>
      <c r="C121" s="413">
        <f>C81-C101-C111</f>
        <v>-3.8120000000000172</v>
      </c>
      <c r="D121" s="492">
        <f t="shared" si="311"/>
        <v>-2.4428850652055609</v>
      </c>
      <c r="E121" s="470" t="s">
        <v>1</v>
      </c>
      <c r="F121" s="305"/>
      <c r="G121" s="413">
        <f>G81-G101-G111</f>
        <v>-0.26399999999998958</v>
      </c>
      <c r="H121" s="492">
        <f t="shared" si="312"/>
        <v>-0.14781634938409272</v>
      </c>
      <c r="I121" s="451">
        <f t="shared" si="313"/>
        <v>-93.074501573977216</v>
      </c>
      <c r="K121" s="413">
        <f>K81-K101-K111</f>
        <v>-11.240000000000006</v>
      </c>
      <c r="L121" s="492">
        <f t="shared" si="314"/>
        <v>-5.1654411764705905</v>
      </c>
      <c r="M121" s="451">
        <f t="shared" si="315"/>
        <v>4157.575757575928</v>
      </c>
      <c r="O121" s="413">
        <f>O81-O101-O111</f>
        <v>11.774999999999995</v>
      </c>
      <c r="P121" s="492">
        <f t="shared" si="316"/>
        <v>4.574592074592073</v>
      </c>
      <c r="Q121" s="451">
        <f t="shared" si="317"/>
        <v>-204.75978647686821</v>
      </c>
      <c r="R121" s="305"/>
      <c r="S121" s="413">
        <f>S81-S101-S111</f>
        <v>16.332999999999956</v>
      </c>
      <c r="T121" s="492">
        <f t="shared" si="318"/>
        <v>5.5858413132694791</v>
      </c>
      <c r="U121" s="451">
        <f t="shared" si="319"/>
        <v>38.709129511676977</v>
      </c>
      <c r="W121" s="413">
        <f>W81-W101-W111</f>
        <v>18.588000000000022</v>
      </c>
      <c r="X121" s="492">
        <f t="shared" si="320"/>
        <v>5.116432700247735</v>
      </c>
      <c r="Y121" s="451">
        <f t="shared" si="321"/>
        <v>13.806404212331302</v>
      </c>
      <c r="AA121" s="413">
        <f>AA81-AA101-AA111</f>
        <v>25.006000000000029</v>
      </c>
      <c r="AB121" s="492">
        <f t="shared" si="322"/>
        <v>5.2688579856721507</v>
      </c>
      <c r="AC121" s="451">
        <f t="shared" si="323"/>
        <v>34.527652248762642</v>
      </c>
      <c r="AE121" s="413">
        <f>AE81-AE101-AE111</f>
        <v>34.677000000000035</v>
      </c>
      <c r="AF121" s="492">
        <f t="shared" si="324"/>
        <v>5.5577726597396913</v>
      </c>
      <c r="AG121" s="451">
        <f t="shared" si="325"/>
        <v>38.67471806766374</v>
      </c>
      <c r="AI121" s="413">
        <f>AI81-AI101-AI111</f>
        <v>49.398000000000053</v>
      </c>
      <c r="AJ121" s="492">
        <f t="shared" si="326"/>
        <v>6.5104448105436639</v>
      </c>
      <c r="AK121" s="451">
        <f t="shared" si="327"/>
        <v>42.451769184185494</v>
      </c>
      <c r="AM121" s="413">
        <f>AM81-AM101-AM111</f>
        <v>73.038000000000068</v>
      </c>
      <c r="AN121" s="492">
        <f t="shared" si="328"/>
        <v>7.7741351782863299</v>
      </c>
      <c r="AO121" s="451">
        <f t="shared" si="329"/>
        <v>47.856188509656249</v>
      </c>
      <c r="AQ121" s="413">
        <f>AQ81-AQ101-AQ111</f>
        <v>102.92600000000006</v>
      </c>
      <c r="AR121" s="492">
        <f t="shared" si="330"/>
        <v>8.1986617811056277</v>
      </c>
      <c r="AS121" s="451">
        <f t="shared" si="331"/>
        <v>40.921164325419589</v>
      </c>
      <c r="AU121" s="413">
        <f>AU81-AU101-AU111</f>
        <v>138.14399999999995</v>
      </c>
      <c r="AV121" s="492">
        <f t="shared" si="332"/>
        <v>9.1136033777543179</v>
      </c>
      <c r="AW121" s="451">
        <f t="shared" si="333"/>
        <v>34.216815964867834</v>
      </c>
      <c r="AY121" s="413">
        <f>AY81-AY101-AY111</f>
        <v>197.95000000000007</v>
      </c>
      <c r="AZ121" s="492">
        <f t="shared" si="334"/>
        <v>10.29970341849212</v>
      </c>
      <c r="BA121" s="451">
        <f>(AY121/AU121-1)*100</f>
        <v>43.292506370164574</v>
      </c>
      <c r="BC121" s="413">
        <f>BC81-BC101-BC111</f>
        <v>177.50000000000006</v>
      </c>
      <c r="BD121" s="492">
        <f t="shared" si="335"/>
        <v>8.0374932077522203</v>
      </c>
      <c r="BE121" s="451">
        <f t="shared" si="336"/>
        <v>-10.330891639302864</v>
      </c>
      <c r="BG121" s="413">
        <f>BG81-BG101-BG111</f>
        <v>236.28000000000014</v>
      </c>
      <c r="BH121" s="492">
        <f t="shared" si="337"/>
        <v>9.4591456823731992</v>
      </c>
      <c r="BI121" s="451">
        <f t="shared" si="338"/>
        <v>33.115492957746518</v>
      </c>
      <c r="BK121" s="413">
        <f>BK81-BK101-BK111</f>
        <v>300.9778135048229</v>
      </c>
      <c r="BL121" s="492">
        <f t="shared" si="339"/>
        <v>10.421308594052245</v>
      </c>
      <c r="BM121" s="451">
        <f t="shared" si="340"/>
        <v>27.38184082648667</v>
      </c>
      <c r="BO121" s="413">
        <f>BO81-BO101-BO111</f>
        <v>369.40700000000027</v>
      </c>
      <c r="BP121" s="492">
        <f t="shared" si="341"/>
        <v>11.189041852705454</v>
      </c>
      <c r="BQ121" s="451">
        <f t="shared" si="342"/>
        <v>22.735624828399793</v>
      </c>
      <c r="BS121" s="413">
        <f>BS81-BS101-BS111</f>
        <v>433.12099999999964</v>
      </c>
      <c r="BT121" s="492">
        <f t="shared" si="343"/>
        <v>12.06734091162375</v>
      </c>
      <c r="BU121" s="451">
        <f t="shared" si="344"/>
        <v>17.247642843800826</v>
      </c>
      <c r="BW121" s="413">
        <f>BW81-BW101-BW111</f>
        <v>380.05599999999964</v>
      </c>
      <c r="BX121" s="492">
        <f t="shared" si="345"/>
        <v>10.201503694815974</v>
      </c>
      <c r="BY121" s="451">
        <f t="shared" si="346"/>
        <v>-12.251772599342914</v>
      </c>
      <c r="CA121" s="413">
        <f>CA81-CA101-CA111</f>
        <v>368</v>
      </c>
      <c r="CB121" s="492">
        <f t="shared" si="347"/>
        <v>9.6689437729900156</v>
      </c>
      <c r="CC121" s="451">
        <f t="shared" si="348"/>
        <v>-3.1721641021322244</v>
      </c>
      <c r="CE121" s="413">
        <f>CE81-CE101-CE111</f>
        <v>410</v>
      </c>
      <c r="CF121" s="492">
        <f t="shared" si="349"/>
        <v>10</v>
      </c>
      <c r="CG121" s="451">
        <f t="shared" si="350"/>
        <v>11.413043478260864</v>
      </c>
      <c r="CI121" s="413">
        <f>CI81-CI101-CI111</f>
        <v>475</v>
      </c>
      <c r="CJ121" s="492">
        <f t="shared" si="351"/>
        <v>11.181732580037664</v>
      </c>
      <c r="CK121" s="451">
        <f t="shared" si="352"/>
        <v>15.853658536585357</v>
      </c>
      <c r="CM121" s="413">
        <f>CM81-CM101-CM111</f>
        <v>376.5</v>
      </c>
      <c r="CN121" s="492">
        <f t="shared" si="353"/>
        <v>8.9536266349583826</v>
      </c>
      <c r="CO121" s="451">
        <f t="shared" si="354"/>
        <v>-20.736842105263154</v>
      </c>
      <c r="CQ121" s="413">
        <f>CQ81-CQ101-CQ111</f>
        <v>367</v>
      </c>
      <c r="CR121" s="492">
        <f t="shared" si="355"/>
        <v>8.5567731405922132</v>
      </c>
      <c r="CS121" s="451">
        <f t="shared" si="356"/>
        <v>-2.5232403718459473</v>
      </c>
      <c r="CU121" s="413">
        <f>CU81-CU101-CU111</f>
        <v>365</v>
      </c>
      <c r="CV121" s="492">
        <f t="shared" si="357"/>
        <v>8.6044318717586048</v>
      </c>
      <c r="CW121" s="451">
        <f t="shared" si="358"/>
        <v>-0.54495912806539204</v>
      </c>
      <c r="CY121" s="413">
        <f>CY81-CY101-CY111</f>
        <v>340</v>
      </c>
      <c r="CZ121" s="492">
        <f t="shared" si="359"/>
        <v>7.9681274900398407</v>
      </c>
      <c r="DA121" s="451">
        <f t="shared" si="360"/>
        <v>-6.8493150684931559</v>
      </c>
      <c r="DC121" s="413">
        <f>DC81-DC101-DC111</f>
        <v>352</v>
      </c>
      <c r="DD121" s="492">
        <f t="shared" si="361"/>
        <v>8.4170253467240546</v>
      </c>
      <c r="DE121" s="451">
        <f t="shared" si="362"/>
        <v>3.529411764705892</v>
      </c>
      <c r="DG121" s="413">
        <f>DG81-DG101-DG111</f>
        <v>332</v>
      </c>
      <c r="DH121" s="492">
        <f t="shared" si="363"/>
        <v>8.0115830115830118</v>
      </c>
      <c r="DI121" s="451">
        <f t="shared" si="364"/>
        <v>-5.6818181818181763</v>
      </c>
      <c r="DJ121" s="451"/>
      <c r="DK121" s="413">
        <f>DK81-DK101-DK111</f>
        <v>363.57104080000056</v>
      </c>
      <c r="DL121" s="492">
        <f t="shared" si="365"/>
        <v>8.7072572962856931</v>
      </c>
      <c r="DM121" s="451">
        <f t="shared" si="366"/>
        <v>9.5093496385543865</v>
      </c>
      <c r="DN121" s="451"/>
      <c r="DO121" s="303" t="s">
        <v>232</v>
      </c>
    </row>
    <row r="122" spans="1:184" outlineLevel="1" x14ac:dyDescent="0.2">
      <c r="A122" s="448" t="s">
        <v>91</v>
      </c>
      <c r="C122" s="413">
        <f>C82-C102-C112</f>
        <v>6.7209999999999841</v>
      </c>
      <c r="D122" s="492">
        <f t="shared" si="311"/>
        <v>3.3664923563943736</v>
      </c>
      <c r="E122" s="470" t="s">
        <v>1</v>
      </c>
      <c r="F122" s="305"/>
      <c r="G122" s="413">
        <f>G82-G102-G112</f>
        <v>8.4859999999999953</v>
      </c>
      <c r="H122" s="492">
        <f t="shared" si="312"/>
        <v>3.5417362270450732</v>
      </c>
      <c r="I122" s="451">
        <f t="shared" si="313"/>
        <v>26.260973069483939</v>
      </c>
      <c r="K122" s="413">
        <f>K82-K102-K112</f>
        <v>17.765999999999995</v>
      </c>
      <c r="L122" s="492">
        <f t="shared" si="314"/>
        <v>6.2293127629733505</v>
      </c>
      <c r="M122" s="451">
        <f t="shared" si="315"/>
        <v>109.35658732029232</v>
      </c>
      <c r="O122" s="413">
        <f>O82-O102-O112</f>
        <v>23.099999999999984</v>
      </c>
      <c r="P122" s="492">
        <f t="shared" si="316"/>
        <v>6.776180698151947</v>
      </c>
      <c r="Q122" s="451">
        <f t="shared" si="317"/>
        <v>30.023640661938479</v>
      </c>
      <c r="R122" s="305"/>
      <c r="S122" s="413">
        <f>S82-S102-S112</f>
        <v>23.610000000000007</v>
      </c>
      <c r="T122" s="492">
        <f t="shared" si="318"/>
        <v>6.0616174582798479</v>
      </c>
      <c r="U122" s="451">
        <f t="shared" si="319"/>
        <v>2.2077922077923029</v>
      </c>
      <c r="W122" s="413">
        <f>W82-W102-W112</f>
        <v>12.834000000000007</v>
      </c>
      <c r="X122" s="492">
        <f t="shared" si="320"/>
        <v>2.6369426751592369</v>
      </c>
      <c r="Y122" s="451">
        <f t="shared" si="321"/>
        <v>-45.641677255400239</v>
      </c>
      <c r="AA122" s="413">
        <f>AA82-AA102-AA112</f>
        <v>36.73100000000003</v>
      </c>
      <c r="AB122" s="492">
        <f t="shared" si="322"/>
        <v>6.1402540956201985</v>
      </c>
      <c r="AC122" s="451">
        <f t="shared" si="323"/>
        <v>186.20071684587822</v>
      </c>
      <c r="AE122" s="413">
        <f>AE82-AE102-AE112</f>
        <v>54.14699999999992</v>
      </c>
      <c r="AF122" s="492">
        <f t="shared" si="324"/>
        <v>7.1452889944576299</v>
      </c>
      <c r="AG122" s="451">
        <f t="shared" si="325"/>
        <v>47.414990062889316</v>
      </c>
      <c r="AI122" s="413">
        <f>AI82-AI102-AI112</f>
        <v>60.492000000000075</v>
      </c>
      <c r="AJ122" s="492">
        <f t="shared" si="326"/>
        <v>6.8056477470889432</v>
      </c>
      <c r="AK122" s="451">
        <f t="shared" si="327"/>
        <v>11.718100725802284</v>
      </c>
      <c r="AM122" s="413">
        <f>AM82-AM102-AM112</f>
        <v>84.500000000000043</v>
      </c>
      <c r="AN122" s="492">
        <f t="shared" si="328"/>
        <v>7.6840535428488312</v>
      </c>
      <c r="AO122" s="451">
        <f t="shared" si="329"/>
        <v>39.687892613899244</v>
      </c>
      <c r="AQ122" s="413">
        <f>AQ82-AQ102-AQ112</f>
        <v>122.27799999999996</v>
      </c>
      <c r="AR122" s="492">
        <f t="shared" si="330"/>
        <v>8.4621453287197212</v>
      </c>
      <c r="AS122" s="451">
        <f t="shared" si="331"/>
        <v>44.707692307692184</v>
      </c>
      <c r="AU122" s="413">
        <f>AU82-AU102-AU112</f>
        <v>159.12400000000005</v>
      </c>
      <c r="AV122" s="492">
        <f t="shared" si="332"/>
        <v>9.0393593077724521</v>
      </c>
      <c r="AW122" s="451">
        <f t="shared" si="333"/>
        <v>30.132975678372318</v>
      </c>
      <c r="AY122" s="413">
        <f>AY82-AY102-AY112</f>
        <v>211.31000000000006</v>
      </c>
      <c r="AZ122" s="492">
        <f t="shared" si="334"/>
        <v>9.8586358122608964</v>
      </c>
      <c r="BA122" s="451">
        <f>(AY122/AU122-1)*100</f>
        <v>32.795807043563507</v>
      </c>
      <c r="BC122" s="413">
        <f>BC82-BC102-BC112</f>
        <v>190.40999999999988</v>
      </c>
      <c r="BD122" s="492">
        <f t="shared" si="335"/>
        <v>7.9536340852130278</v>
      </c>
      <c r="BE122" s="451">
        <f t="shared" si="336"/>
        <v>-9.8906819364914966</v>
      </c>
      <c r="BG122" s="413">
        <f>BG82-BG102-BG112</f>
        <v>216.43500000000012</v>
      </c>
      <c r="BH122" s="492">
        <f t="shared" si="337"/>
        <v>7.8878603447647553</v>
      </c>
      <c r="BI122" s="451">
        <f t="shared" si="338"/>
        <v>13.667874586418915</v>
      </c>
      <c r="BK122" s="413">
        <f>BK82-BK102-BK112</f>
        <v>249.40000000000009</v>
      </c>
      <c r="BL122" s="492">
        <f t="shared" si="339"/>
        <v>7.9951272680643743</v>
      </c>
      <c r="BM122" s="451">
        <f t="shared" si="340"/>
        <v>15.230900732321473</v>
      </c>
      <c r="BO122" s="413">
        <f>BO82-BO102-BO112</f>
        <v>359.19500000000045</v>
      </c>
      <c r="BP122" s="492">
        <f t="shared" si="341"/>
        <v>9.8396271847043284</v>
      </c>
      <c r="BQ122" s="451">
        <f t="shared" si="342"/>
        <v>44.023656776263167</v>
      </c>
      <c r="BS122" s="413">
        <f>BS82-BS102-BS112</f>
        <v>312.20000000000005</v>
      </c>
      <c r="BT122" s="492">
        <f t="shared" si="343"/>
        <v>8.1616647495555803</v>
      </c>
      <c r="BU122" s="451">
        <f t="shared" si="344"/>
        <v>-13.083422653433463</v>
      </c>
      <c r="BW122" s="413">
        <f>BW82-BW102-BW112</f>
        <v>257.07399999999996</v>
      </c>
      <c r="BX122" s="492">
        <f t="shared" si="345"/>
        <v>6.7586152139695326</v>
      </c>
      <c r="BY122" s="451">
        <f t="shared" si="346"/>
        <v>-17.657270980140961</v>
      </c>
      <c r="CA122" s="413">
        <f>CA82-CA102-CA112</f>
        <v>308</v>
      </c>
      <c r="CB122" s="492">
        <f t="shared" si="347"/>
        <v>7.6030609725993585</v>
      </c>
      <c r="CC122" s="451">
        <f t="shared" si="348"/>
        <v>19.809860195896924</v>
      </c>
      <c r="CE122" s="413">
        <f>CE82-CE102-CE112</f>
        <v>277</v>
      </c>
      <c r="CF122" s="492">
        <f t="shared" si="349"/>
        <v>6.5670934091986721</v>
      </c>
      <c r="CG122" s="451">
        <f t="shared" si="350"/>
        <v>-10.064935064935066</v>
      </c>
      <c r="CI122" s="413">
        <f>CI82-CI102-CI112</f>
        <v>341</v>
      </c>
      <c r="CJ122" s="492">
        <f t="shared" si="351"/>
        <v>7.7925045703839126</v>
      </c>
      <c r="CK122" s="451">
        <f t="shared" si="352"/>
        <v>23.104693140794218</v>
      </c>
      <c r="CM122" s="413">
        <f>CM82-CM102-CM112</f>
        <v>344.5</v>
      </c>
      <c r="CN122" s="492">
        <f t="shared" si="353"/>
        <v>7.6726057906458793</v>
      </c>
      <c r="CO122" s="451">
        <f t="shared" si="354"/>
        <v>1.0263929618768319</v>
      </c>
      <c r="CQ122" s="413">
        <f>CQ82-CQ102-CQ112</f>
        <v>281</v>
      </c>
      <c r="CR122" s="492">
        <f t="shared" si="355"/>
        <v>6.3231323132313237</v>
      </c>
      <c r="CS122" s="451">
        <f t="shared" si="356"/>
        <v>-18.43251088534107</v>
      </c>
      <c r="CU122" s="413">
        <f>CU82-CU102-CU112</f>
        <v>219</v>
      </c>
      <c r="CV122" s="492">
        <f t="shared" si="357"/>
        <v>5.0068587105624145</v>
      </c>
      <c r="CW122" s="451">
        <f t="shared" si="358"/>
        <v>-22.064056939501775</v>
      </c>
      <c r="CY122" s="413">
        <f>CY82-CY102-CY112</f>
        <v>227</v>
      </c>
      <c r="CZ122" s="492">
        <f t="shared" si="359"/>
        <v>5.1276259317822452</v>
      </c>
      <c r="DA122" s="451">
        <f t="shared" si="360"/>
        <v>3.6529680365296802</v>
      </c>
      <c r="DC122" s="413">
        <f>DC82-DC102-DC112</f>
        <v>219</v>
      </c>
      <c r="DD122" s="492">
        <f t="shared" si="361"/>
        <v>5.0612433556736764</v>
      </c>
      <c r="DE122" s="451">
        <f t="shared" si="362"/>
        <v>-3.524229074889873</v>
      </c>
      <c r="DG122" s="413">
        <f>DG82-DG102-DG112</f>
        <v>183</v>
      </c>
      <c r="DH122" s="492">
        <f t="shared" si="363"/>
        <v>4.2243767313019394</v>
      </c>
      <c r="DI122" s="451">
        <f t="shared" si="364"/>
        <v>-16.43835616438356</v>
      </c>
      <c r="DJ122" s="451"/>
      <c r="DK122" s="413">
        <f>DK82-DK102-DK112</f>
        <v>185.50783909999996</v>
      </c>
      <c r="DL122" s="492">
        <f t="shared" si="365"/>
        <v>4.3380111978162228</v>
      </c>
      <c r="DM122" s="451">
        <f t="shared" si="366"/>
        <v>1.3704038797814011</v>
      </c>
      <c r="DN122" s="451"/>
      <c r="DO122" s="303" t="s">
        <v>232</v>
      </c>
    </row>
    <row r="123" spans="1:184" outlineLevel="1" x14ac:dyDescent="0.2">
      <c r="A123" s="448" t="s">
        <v>92</v>
      </c>
      <c r="C123" s="491">
        <f>C83-C103-C113</f>
        <v>20.381999999999966</v>
      </c>
      <c r="D123" s="492">
        <f t="shared" si="311"/>
        <v>7.4732156606803573</v>
      </c>
      <c r="E123" s="470" t="s">
        <v>1</v>
      </c>
      <c r="F123" s="305"/>
      <c r="G123" s="491">
        <f>G83-G103-G113</f>
        <v>24.148999999999965</v>
      </c>
      <c r="H123" s="492">
        <f t="shared" si="312"/>
        <v>7.520710059171587</v>
      </c>
      <c r="I123" s="451">
        <f t="shared" si="313"/>
        <v>18.481993916200601</v>
      </c>
      <c r="K123" s="491">
        <f>K83-K103-K113</f>
        <v>35.674999999999983</v>
      </c>
      <c r="L123" s="492">
        <f t="shared" si="314"/>
        <v>9.4030047443331544</v>
      </c>
      <c r="M123" s="451">
        <f t="shared" si="315"/>
        <v>47.728684417574364</v>
      </c>
      <c r="O123" s="491">
        <f>O83-O103-O113</f>
        <v>48.807000000000045</v>
      </c>
      <c r="P123" s="492">
        <f t="shared" si="316"/>
        <v>10.677532268650197</v>
      </c>
      <c r="Q123" s="451">
        <f t="shared" si="317"/>
        <v>36.810091100210428</v>
      </c>
      <c r="R123" s="305"/>
      <c r="S123" s="491">
        <f>S83-S103-S113</f>
        <v>57.920000000000016</v>
      </c>
      <c r="T123" s="492">
        <f t="shared" si="318"/>
        <v>10.263316440443706</v>
      </c>
      <c r="U123" s="451">
        <f t="shared" si="319"/>
        <v>18.671502038641918</v>
      </c>
      <c r="W123" s="491">
        <f>W83-W103-W113</f>
        <v>71.077000000000027</v>
      </c>
      <c r="X123" s="492">
        <f t="shared" si="320"/>
        <v>10.053323903818958</v>
      </c>
      <c r="Y123" s="451">
        <f t="shared" si="321"/>
        <v>22.715814917127087</v>
      </c>
      <c r="AA123" s="491">
        <f>AA83-AA103-AA113</f>
        <v>86.602000000000004</v>
      </c>
      <c r="AB123" s="492">
        <f t="shared" si="322"/>
        <v>10.224557260920898</v>
      </c>
      <c r="AC123" s="451">
        <f t="shared" si="323"/>
        <v>21.8425088284536</v>
      </c>
      <c r="AE123" s="491">
        <f>AE83-AE103-AE113</f>
        <v>120.78699999999999</v>
      </c>
      <c r="AF123" s="492">
        <f t="shared" si="324"/>
        <v>11.206810168862498</v>
      </c>
      <c r="AG123" s="451">
        <f t="shared" si="325"/>
        <v>39.473684210526308</v>
      </c>
      <c r="AI123" s="491">
        <f>AI83-AI103-AI113</f>
        <v>152.66400000000002</v>
      </c>
      <c r="AJ123" s="492">
        <f t="shared" si="326"/>
        <v>11.839007367196588</v>
      </c>
      <c r="AK123" s="451">
        <f t="shared" si="327"/>
        <v>26.391085133333902</v>
      </c>
      <c r="AM123" s="491">
        <f>AM83-AM103-AM113</f>
        <v>195.94599999999997</v>
      </c>
      <c r="AN123" s="492">
        <f t="shared" si="328"/>
        <v>12.189486780715395</v>
      </c>
      <c r="AO123" s="451">
        <f t="shared" si="329"/>
        <v>28.351150238432087</v>
      </c>
      <c r="AQ123" s="491">
        <f>AQ83-AQ103-AQ113</f>
        <v>288.02699999999987</v>
      </c>
      <c r="AR123" s="492">
        <f t="shared" si="330"/>
        <v>12.956097341550082</v>
      </c>
      <c r="AS123" s="451">
        <f t="shared" si="331"/>
        <v>46.993049105365728</v>
      </c>
      <c r="AU123" s="491">
        <f>AU83-AU103-AU113</f>
        <v>374.62799999999976</v>
      </c>
      <c r="AV123" s="492">
        <f t="shared" si="332"/>
        <v>13.751853755230886</v>
      </c>
      <c r="AW123" s="451">
        <f t="shared" si="333"/>
        <v>30.066972887958386</v>
      </c>
      <c r="AY123" s="491">
        <f>AY83-AY103-AY113</f>
        <v>446.24200000000047</v>
      </c>
      <c r="AZ123" s="492">
        <f t="shared" si="334"/>
        <v>14.013377716367307</v>
      </c>
      <c r="BA123" s="451">
        <f>(AY123/AU123-1)*100</f>
        <v>19.116029768196931</v>
      </c>
      <c r="BC123" s="491">
        <f>BC83-BC103-BC113</f>
        <v>393.50000000000034</v>
      </c>
      <c r="BD123" s="492">
        <f t="shared" si="335"/>
        <v>11.04747466239929</v>
      </c>
      <c r="BE123" s="451">
        <f t="shared" si="336"/>
        <v>-11.819147458105705</v>
      </c>
      <c r="BG123" s="491">
        <f>BG83-BG103-BG113</f>
        <v>512.56899999999985</v>
      </c>
      <c r="BH123" s="492">
        <f t="shared" si="337"/>
        <v>12.566969867850048</v>
      </c>
      <c r="BI123" s="451">
        <f t="shared" si="338"/>
        <v>30.258958068614849</v>
      </c>
      <c r="BK123" s="491">
        <f>BK83-BK103-BK113</f>
        <v>602.7999999999995</v>
      </c>
      <c r="BL123" s="492">
        <f t="shared" si="339"/>
        <v>12.958146133837777</v>
      </c>
      <c r="BM123" s="451">
        <f t="shared" si="340"/>
        <v>17.603678724230232</v>
      </c>
      <c r="BO123" s="491">
        <f>BO83-BO103-BO113</f>
        <v>777.80000000000018</v>
      </c>
      <c r="BP123" s="492">
        <f t="shared" si="341"/>
        <v>14.275226663730134</v>
      </c>
      <c r="BQ123" s="451">
        <f t="shared" si="342"/>
        <v>29.031187790312018</v>
      </c>
      <c r="BS123" s="491">
        <f>BS83-BS103-BS113</f>
        <v>660.80000000000007</v>
      </c>
      <c r="BT123" s="492">
        <f t="shared" si="343"/>
        <v>12.042352340859805</v>
      </c>
      <c r="BU123" s="451">
        <f t="shared" si="344"/>
        <v>-15.042427359218324</v>
      </c>
      <c r="BW123" s="491">
        <f>BW83-BW103-BW113</f>
        <v>543</v>
      </c>
      <c r="BX123" s="492">
        <f t="shared" si="345"/>
        <v>10.372492836676219</v>
      </c>
      <c r="BY123" s="451">
        <f t="shared" si="346"/>
        <v>-17.826876513317202</v>
      </c>
      <c r="CA123" s="491">
        <f>CA83-CA103-CA113</f>
        <v>692</v>
      </c>
      <c r="CB123" s="492">
        <f t="shared" si="347"/>
        <v>12.176667253211331</v>
      </c>
      <c r="CC123" s="451">
        <f t="shared" si="348"/>
        <v>27.440147329650099</v>
      </c>
      <c r="CE123" s="491">
        <f>CE83-CE103-CE113</f>
        <v>790</v>
      </c>
      <c r="CF123" s="492">
        <f t="shared" si="349"/>
        <v>13.083802583636967</v>
      </c>
      <c r="CG123" s="451">
        <f t="shared" si="350"/>
        <v>14.161849710982665</v>
      </c>
      <c r="CI123" s="491">
        <f>CI83-CI103-CI113</f>
        <v>729</v>
      </c>
      <c r="CJ123" s="492">
        <f t="shared" si="351"/>
        <v>12.113659022931206</v>
      </c>
      <c r="CK123" s="451">
        <f t="shared" si="352"/>
        <v>-7.7215189873417689</v>
      </c>
      <c r="CM123" s="491">
        <f>CM83-CM103-CM113</f>
        <v>601</v>
      </c>
      <c r="CN123" s="492">
        <f t="shared" si="353"/>
        <v>9.4765058341217276</v>
      </c>
      <c r="CO123" s="451">
        <f t="shared" si="354"/>
        <v>-17.558299039780522</v>
      </c>
      <c r="CQ123" s="491">
        <f>CQ83-CQ103-CQ113</f>
        <v>522</v>
      </c>
      <c r="CR123" s="492">
        <f t="shared" si="355"/>
        <v>8.5587801278898166</v>
      </c>
      <c r="CS123" s="451">
        <f t="shared" si="356"/>
        <v>-13.144758735440931</v>
      </c>
      <c r="CU123" s="491">
        <f>CU83-CU103-CU113</f>
        <v>570</v>
      </c>
      <c r="CV123" s="492">
        <f t="shared" si="357"/>
        <v>8.9947924885592556</v>
      </c>
      <c r="CW123" s="451">
        <f t="shared" si="358"/>
        <v>9.1954022988505848</v>
      </c>
      <c r="CY123" s="491">
        <f>CY83-CY103-CY113</f>
        <v>462</v>
      </c>
      <c r="CZ123" s="492">
        <f t="shared" si="359"/>
        <v>7.2334429309534984</v>
      </c>
      <c r="DA123" s="451">
        <f t="shared" si="360"/>
        <v>-18.947368421052634</v>
      </c>
      <c r="DC123" s="491">
        <f>DC83-DC103-DC113</f>
        <v>398</v>
      </c>
      <c r="DD123" s="492">
        <f t="shared" si="361"/>
        <v>6.4141821112006445</v>
      </c>
      <c r="DE123" s="451">
        <f t="shared" si="362"/>
        <v>-13.852813852813849</v>
      </c>
      <c r="DG123" s="491">
        <f>DG83-DG103-DG113</f>
        <v>493</v>
      </c>
      <c r="DH123" s="492">
        <f t="shared" si="363"/>
        <v>7.2756788665879579</v>
      </c>
      <c r="DI123" s="451">
        <f t="shared" si="364"/>
        <v>23.86934673366834</v>
      </c>
      <c r="DJ123" s="451"/>
      <c r="DK123" s="491">
        <f>DK83-DK103-DK113</f>
        <v>400.0350935999993</v>
      </c>
      <c r="DL123" s="492">
        <f t="shared" si="365"/>
        <v>6.29258754171933</v>
      </c>
      <c r="DM123" s="451">
        <f t="shared" si="366"/>
        <v>-18.856978985801355</v>
      </c>
      <c r="DN123" s="451"/>
      <c r="DO123" s="303" t="s">
        <v>232</v>
      </c>
      <c r="DR123" s="413"/>
    </row>
    <row r="124" spans="1:184" outlineLevel="1" x14ac:dyDescent="0.2">
      <c r="A124" s="448" t="s">
        <v>93</v>
      </c>
      <c r="C124" s="319">
        <f>C84-C104-C114</f>
        <v>20.594000000000037</v>
      </c>
      <c r="D124" s="492">
        <f t="shared" si="311"/>
        <v>2.6075120759184389</v>
      </c>
      <c r="E124" s="470" t="s">
        <v>1</v>
      </c>
      <c r="F124" s="305"/>
      <c r="G124" s="319">
        <f>G84-G104-G114</f>
        <v>33.302999999999969</v>
      </c>
      <c r="H124" s="492">
        <f t="shared" si="312"/>
        <v>3.5793281787052349</v>
      </c>
      <c r="I124" s="451">
        <f t="shared" si="313"/>
        <v>61.712149169660634</v>
      </c>
      <c r="K124" s="319">
        <f>K84-K104-K114</f>
        <v>50.133999999999958</v>
      </c>
      <c r="L124" s="492">
        <f t="shared" si="314"/>
        <v>4.5707002560044305</v>
      </c>
      <c r="M124" s="451">
        <f t="shared" si="315"/>
        <v>50.538990481338033</v>
      </c>
      <c r="O124" s="319">
        <f>O84-O104-O114</f>
        <v>96.544999999999931</v>
      </c>
      <c r="P124" s="492">
        <f t="shared" si="316"/>
        <v>7.3946844362745052</v>
      </c>
      <c r="Q124" s="451">
        <f t="shared" si="317"/>
        <v>92.573901942793341</v>
      </c>
      <c r="R124" s="305"/>
      <c r="S124" s="319">
        <f>S84-S104-S114</f>
        <v>117.39099999999982</v>
      </c>
      <c r="T124" s="492">
        <f t="shared" si="318"/>
        <v>7.5539239659210722</v>
      </c>
      <c r="U124" s="451">
        <f t="shared" si="319"/>
        <v>21.59200372883101</v>
      </c>
      <c r="W124" s="319">
        <f>W84-W104-W114</f>
        <v>122.72900000000021</v>
      </c>
      <c r="X124" s="492">
        <f t="shared" si="320"/>
        <v>6.3733175327639486</v>
      </c>
      <c r="Y124" s="451">
        <f t="shared" si="321"/>
        <v>4.5471969742147289</v>
      </c>
      <c r="AA124" s="319">
        <f>AA84-AA104-AA114</f>
        <v>171.64599999999984</v>
      </c>
      <c r="AB124" s="492">
        <f t="shared" si="322"/>
        <v>7.1863512664852358</v>
      </c>
      <c r="AC124" s="451">
        <f t="shared" si="323"/>
        <v>39.857735335576393</v>
      </c>
      <c r="AE124" s="319">
        <f>AE84-AE104-AE114</f>
        <v>235.05399999999986</v>
      </c>
      <c r="AF124" s="492">
        <f t="shared" si="324"/>
        <v>7.6812924089665477</v>
      </c>
      <c r="AG124" s="451">
        <f t="shared" si="325"/>
        <v>36.941146312760019</v>
      </c>
      <c r="AI124" s="319">
        <f>AI84-AI104-AI114</f>
        <v>301.68399999999951</v>
      </c>
      <c r="AJ124" s="492">
        <f t="shared" si="326"/>
        <v>8.1941494418339236</v>
      </c>
      <c r="AK124" s="451">
        <f t="shared" si="327"/>
        <v>28.346677784679141</v>
      </c>
      <c r="AM124" s="319">
        <f>AM84-AM104-AM114</f>
        <v>421.7799999999994</v>
      </c>
      <c r="AN124" s="492">
        <f t="shared" si="328"/>
        <v>9.2556912692177598</v>
      </c>
      <c r="AO124" s="451">
        <f t="shared" si="329"/>
        <v>39.808541387677195</v>
      </c>
      <c r="AQ124" s="319">
        <f>AQ84-AQ104-AQ114</f>
        <v>596.32000000000107</v>
      </c>
      <c r="AR124" s="492">
        <f t="shared" si="330"/>
        <v>9.6927928220799231</v>
      </c>
      <c r="AS124" s="451">
        <f t="shared" si="331"/>
        <v>41.381763004410345</v>
      </c>
      <c r="AU124" s="319">
        <f>AU84-AU104-AU114</f>
        <v>790.8569999999994</v>
      </c>
      <c r="AV124" s="492">
        <f t="shared" si="332"/>
        <v>10.560747563711777</v>
      </c>
      <c r="AW124" s="451">
        <f t="shared" si="333"/>
        <v>32.622920579554268</v>
      </c>
      <c r="AY124" s="319">
        <f>AY84-AY104-AY114</f>
        <v>1021.6220000000014</v>
      </c>
      <c r="AZ124" s="492">
        <f t="shared" si="334"/>
        <v>11.201749961623664</v>
      </c>
      <c r="BA124" s="451" t="s">
        <v>235</v>
      </c>
      <c r="BC124" s="319">
        <f>BC84-BC104-BC114</f>
        <v>933.69600000000025</v>
      </c>
      <c r="BD124" s="492">
        <f t="shared" si="335"/>
        <v>9.0808792063800841</v>
      </c>
      <c r="BE124" s="451">
        <f t="shared" si="336"/>
        <v>-8.6065100399170156</v>
      </c>
      <c r="BG124" s="319">
        <f>BG84-BG104-BG114</f>
        <v>1130.9840000000013</v>
      </c>
      <c r="BH124" s="492">
        <f t="shared" si="337"/>
        <v>9.6659516097327618</v>
      </c>
      <c r="BI124" s="451">
        <f t="shared" si="338"/>
        <v>21.129789567482462</v>
      </c>
      <c r="BK124" s="319">
        <f>BK84-BK104-BK114</f>
        <v>1353.6778135048216</v>
      </c>
      <c r="BL124" s="492">
        <f t="shared" si="339"/>
        <v>10.100414958027949</v>
      </c>
      <c r="BM124" s="451">
        <f t="shared" si="340"/>
        <v>19.690270906115394</v>
      </c>
      <c r="BO124" s="319">
        <f>BO84-BO104-BO114</f>
        <v>1774.2375000000027</v>
      </c>
      <c r="BP124" s="492">
        <f t="shared" si="341"/>
        <v>11.384043850035381</v>
      </c>
      <c r="BQ124" s="451">
        <f t="shared" si="342"/>
        <v>31.067930810382816</v>
      </c>
      <c r="BS124" s="319">
        <f>BS84-BS104-BS114</f>
        <v>1742.0210000000002</v>
      </c>
      <c r="BT124" s="492">
        <f t="shared" si="343"/>
        <v>10.574558235247698</v>
      </c>
      <c r="BU124" s="451">
        <f t="shared" si="344"/>
        <v>-1.81579410873699</v>
      </c>
      <c r="BW124" s="319">
        <f>BW84-BW104-BW114</f>
        <v>1424.8590000000002</v>
      </c>
      <c r="BX124" s="492">
        <f t="shared" si="345"/>
        <v>8.6943153321026259</v>
      </c>
      <c r="BY124" s="451">
        <f t="shared" si="346"/>
        <v>-18.20655434119336</v>
      </c>
      <c r="CA124" s="319">
        <f>CA84-CA104-CA114</f>
        <v>1558</v>
      </c>
      <c r="CB124" s="492">
        <f t="shared" si="347"/>
        <v>9.0697403655838862</v>
      </c>
      <c r="CC124" s="451">
        <f t="shared" si="348"/>
        <v>9.3441526494902227</v>
      </c>
      <c r="CE124" s="319">
        <f>CE84-CE104-CE114</f>
        <v>1788</v>
      </c>
      <c r="CF124" s="492">
        <f t="shared" si="349"/>
        <v>9.7221467021912886</v>
      </c>
      <c r="CG124" s="451">
        <f t="shared" si="350"/>
        <v>14.762516046213104</v>
      </c>
      <c r="CI124" s="319">
        <f>CI84-CI104-CI114</f>
        <v>1860</v>
      </c>
      <c r="CJ124" s="492">
        <f t="shared" si="351"/>
        <v>9.8915124441608171</v>
      </c>
      <c r="CK124" s="451">
        <f t="shared" si="352"/>
        <v>4.0268456375838868</v>
      </c>
      <c r="CM124" s="319">
        <f>CM84-CM104-CM114</f>
        <v>1560.5</v>
      </c>
      <c r="CN124" s="492">
        <f t="shared" si="353"/>
        <v>8.0938796680497926</v>
      </c>
      <c r="CO124" s="451">
        <f t="shared" si="354"/>
        <v>-16.102150537634408</v>
      </c>
      <c r="CQ124" s="319">
        <f>CQ84-CQ104-CQ114</f>
        <v>1404</v>
      </c>
      <c r="CR124" s="492">
        <f t="shared" si="355"/>
        <v>7.3774368136198838</v>
      </c>
      <c r="CS124" s="451">
        <f t="shared" si="356"/>
        <v>-10.028836911246398</v>
      </c>
      <c r="CU124" s="319">
        <f>CU84-CU104-CU114</f>
        <v>1349</v>
      </c>
      <c r="CV124" s="492">
        <f t="shared" si="357"/>
        <v>7.0914156547337432</v>
      </c>
      <c r="CW124" s="451">
        <f t="shared" si="358"/>
        <v>-3.917378917378922</v>
      </c>
      <c r="CY124" s="319">
        <f>CY84-CY104-CY114</f>
        <v>1225</v>
      </c>
      <c r="CZ124" s="492">
        <f t="shared" si="359"/>
        <v>6.3788794001249745</v>
      </c>
      <c r="DA124" s="451">
        <f t="shared" si="360"/>
        <v>-9.1919940696812414</v>
      </c>
      <c r="DC124" s="319">
        <f>DC84-DC104-DC114</f>
        <v>1060</v>
      </c>
      <c r="DD124" s="492">
        <f t="shared" si="361"/>
        <v>5.6726961361447072</v>
      </c>
      <c r="DE124" s="451">
        <f t="shared" si="362"/>
        <v>-13.469387755102035</v>
      </c>
      <c r="DG124" s="319">
        <f>DG84-DG104-DG114</f>
        <v>1117</v>
      </c>
      <c r="DH124" s="492">
        <f t="shared" si="363"/>
        <v>5.8496988740507989</v>
      </c>
      <c r="DI124" s="451">
        <f t="shared" si="364"/>
        <v>5.3773584905660421</v>
      </c>
      <c r="DJ124" s="451"/>
      <c r="DK124" s="319">
        <f>DK84-DK104-DK114</f>
        <v>1056.8090430399989</v>
      </c>
      <c r="DL124" s="492">
        <f t="shared" si="365"/>
        <v>5.6258016381461635</v>
      </c>
      <c r="DM124" s="451">
        <f t="shared" si="366"/>
        <v>-5.3886264064459404</v>
      </c>
      <c r="DN124" s="451"/>
      <c r="DO124" s="303" t="s">
        <v>232</v>
      </c>
    </row>
    <row r="125" spans="1:184" outlineLevel="1" x14ac:dyDescent="0.2">
      <c r="A125" s="448" t="s">
        <v>467</v>
      </c>
      <c r="C125" s="413">
        <f>C120+C121</f>
        <v>-6.509000000000011</v>
      </c>
      <c r="D125" s="492">
        <f t="shared" si="311"/>
        <v>-2.0506148063903353</v>
      </c>
      <c r="E125" s="470" t="s">
        <v>1</v>
      </c>
      <c r="F125" s="305"/>
      <c r="G125" s="413">
        <f>G120+G121</f>
        <v>0.6680000000000117</v>
      </c>
      <c r="H125" s="492">
        <f t="shared" si="312"/>
        <v>0.18067433721188439</v>
      </c>
      <c r="I125" s="451">
        <f t="shared" si="313"/>
        <v>-110.26271316638517</v>
      </c>
      <c r="K125" s="413">
        <f>K120+K121</f>
        <v>-6.3650000000000055</v>
      </c>
      <c r="L125" s="492">
        <f t="shared" si="314"/>
        <v>-1.4829916123019584</v>
      </c>
      <c r="M125" s="451">
        <f t="shared" si="315"/>
        <v>-1052.8443113772296</v>
      </c>
      <c r="O125" s="413">
        <f>O120+O121</f>
        <v>24.637999999999995</v>
      </c>
      <c r="P125" s="492">
        <f t="shared" si="316"/>
        <v>4.8538219070133959</v>
      </c>
      <c r="Q125" s="451">
        <f t="shared" si="317"/>
        <v>-487.08562450903338</v>
      </c>
      <c r="R125" s="305"/>
      <c r="S125" s="413">
        <f>S120+S121</f>
        <v>35.860999999999976</v>
      </c>
      <c r="T125" s="492">
        <f t="shared" si="318"/>
        <v>5.9748417194268528</v>
      </c>
      <c r="U125" s="451">
        <f t="shared" si="319"/>
        <v>45.551586979462556</v>
      </c>
      <c r="W125" s="413">
        <f>W120+W121</f>
        <v>38.549000000000021</v>
      </c>
      <c r="X125" s="492">
        <f t="shared" si="320"/>
        <v>5.2684160174935109</v>
      </c>
      <c r="Y125" s="451">
        <f t="shared" si="321"/>
        <v>7.4956080421629157</v>
      </c>
      <c r="AA125" s="413">
        <f>AA120+AA121</f>
        <v>48.313000000000002</v>
      </c>
      <c r="AB125" s="492">
        <f t="shared" si="322"/>
        <v>5.1217004134421718</v>
      </c>
      <c r="AC125" s="451">
        <f t="shared" si="323"/>
        <v>25.328802303561648</v>
      </c>
      <c r="AE125" s="413">
        <f>AE120+AE121</f>
        <v>60.120000000000012</v>
      </c>
      <c r="AF125" s="492">
        <f t="shared" si="324"/>
        <v>4.9098232398300032</v>
      </c>
      <c r="AG125" s="451">
        <f t="shared" si="325"/>
        <v>24.438556910148424</v>
      </c>
      <c r="AI125" s="413">
        <f>AI120+AI121</f>
        <v>88.528000000000091</v>
      </c>
      <c r="AJ125" s="492">
        <f t="shared" si="326"/>
        <v>5.8887152027139456</v>
      </c>
      <c r="AK125" s="451">
        <f t="shared" si="327"/>
        <v>47.252162341982817</v>
      </c>
      <c r="AM125" s="413">
        <f>AM120+AM121</f>
        <v>135.53399999999999</v>
      </c>
      <c r="AN125" s="492">
        <f t="shared" si="328"/>
        <v>7.3269542653259814</v>
      </c>
      <c r="AO125" s="451">
        <f t="shared" si="329"/>
        <v>53.097325140068506</v>
      </c>
      <c r="AQ125" s="413">
        <f>AQ120+AQ121</f>
        <v>186.01500000000021</v>
      </c>
      <c r="AR125" s="492">
        <f t="shared" si="330"/>
        <v>7.4882251117104861</v>
      </c>
      <c r="AS125" s="451">
        <f t="shared" si="331"/>
        <v>37.24600469254964</v>
      </c>
      <c r="AU125" s="413">
        <f>AU120+AU121</f>
        <v>257.1049999999999</v>
      </c>
      <c r="AV125" s="492">
        <f t="shared" si="332"/>
        <v>8.5584700908757991</v>
      </c>
      <c r="AW125" s="451">
        <f t="shared" si="333"/>
        <v>38.217348063328018</v>
      </c>
      <c r="AY125" s="413">
        <f>AY120+AY121</f>
        <v>366.16900000000004</v>
      </c>
      <c r="AZ125" s="492">
        <f t="shared" si="334"/>
        <v>9.6553369897690136</v>
      </c>
      <c r="BA125" s="451">
        <f>(AY125/AU125-1)*100</f>
        <v>42.420022947822943</v>
      </c>
      <c r="BC125" s="413">
        <f>BC120+BC121</f>
        <v>351.93099999999987</v>
      </c>
      <c r="BD125" s="492">
        <f t="shared" si="335"/>
        <v>8.1350639143801544</v>
      </c>
      <c r="BE125" s="451">
        <f t="shared" si="336"/>
        <v>-3.8883684855900325</v>
      </c>
      <c r="BG125" s="413">
        <f>BG120+BG121</f>
        <v>401.98</v>
      </c>
      <c r="BH125" s="492">
        <f t="shared" si="337"/>
        <v>8.2405034747135151</v>
      </c>
      <c r="BI125" s="451">
        <f t="shared" si="338"/>
        <v>14.221253598006477</v>
      </c>
      <c r="BK125" s="413">
        <f>BK120+BK121</f>
        <v>501.47781350482319</v>
      </c>
      <c r="BL125" s="492">
        <f t="shared" si="339"/>
        <v>8.9058199134210021</v>
      </c>
      <c r="BM125" s="451">
        <f t="shared" si="340"/>
        <v>24.751931316190646</v>
      </c>
      <c r="BO125" s="413">
        <f>BO120+BO121</f>
        <v>637.24250000000029</v>
      </c>
      <c r="BP125" s="492">
        <f t="shared" si="341"/>
        <v>9.8245785248605273</v>
      </c>
      <c r="BQ125" s="451">
        <f t="shared" si="342"/>
        <v>27.072919845908871</v>
      </c>
      <c r="BS125" s="413">
        <f>BS120+BS121</f>
        <v>769.02099999999984</v>
      </c>
      <c r="BT125" s="492">
        <f t="shared" si="343"/>
        <v>10.738716974808689</v>
      </c>
      <c r="BU125" s="451">
        <f t="shared" si="344"/>
        <v>20.679490147000479</v>
      </c>
      <c r="BW125" s="413">
        <f>BW120+BW121</f>
        <v>624.78499999999985</v>
      </c>
      <c r="BX125" s="492">
        <f t="shared" si="345"/>
        <v>8.5007664887603624</v>
      </c>
      <c r="BY125" s="451">
        <f t="shared" si="346"/>
        <v>-18.755794705216111</v>
      </c>
      <c r="CA125" s="413">
        <f>CA120+CA121</f>
        <v>587</v>
      </c>
      <c r="CB125" s="492">
        <f t="shared" si="347"/>
        <v>7.8855454056958623</v>
      </c>
      <c r="CC125" s="451">
        <f t="shared" si="348"/>
        <v>-6.0476804020582868</v>
      </c>
      <c r="CE125" s="413">
        <f>CE120+CE121</f>
        <v>721</v>
      </c>
      <c r="CF125" s="492">
        <f t="shared" si="349"/>
        <v>8.8629379225568528</v>
      </c>
      <c r="CG125" s="451">
        <f t="shared" si="350"/>
        <v>22.827938671209537</v>
      </c>
      <c r="CI125" s="413">
        <f>CI120+CI121</f>
        <v>790</v>
      </c>
      <c r="CJ125" s="492">
        <f t="shared" si="351"/>
        <v>9.3935790725327006</v>
      </c>
      <c r="CK125" s="451">
        <f t="shared" si="352"/>
        <v>9.5700416088765561</v>
      </c>
      <c r="CM125" s="413">
        <f>CM120+CM121</f>
        <v>615</v>
      </c>
      <c r="CN125" s="492">
        <f t="shared" si="353"/>
        <v>7.2798295454545459</v>
      </c>
      <c r="CO125" s="451">
        <f t="shared" si="354"/>
        <v>-22.151898734177212</v>
      </c>
      <c r="CQ125" s="413">
        <f>CQ120+CQ121</f>
        <v>601</v>
      </c>
      <c r="CR125" s="492">
        <f t="shared" si="355"/>
        <v>7.0805843543826574</v>
      </c>
      <c r="CS125" s="451">
        <f t="shared" si="356"/>
        <v>-2.2764227642276369</v>
      </c>
      <c r="CU125" s="413">
        <f>CU120+CU121</f>
        <v>560</v>
      </c>
      <c r="CV125" s="492">
        <f t="shared" si="357"/>
        <v>6.7372473532242543</v>
      </c>
      <c r="CW125" s="451">
        <f t="shared" si="358"/>
        <v>-6.8219633943427667</v>
      </c>
      <c r="CY125" s="413">
        <f>CY120+CY121</f>
        <v>536</v>
      </c>
      <c r="CZ125" s="492">
        <f t="shared" si="359"/>
        <v>6.388557806912992</v>
      </c>
      <c r="DA125" s="451">
        <f t="shared" si="360"/>
        <v>-4.2857142857142811</v>
      </c>
      <c r="DC125" s="413">
        <f>DC120+DC121</f>
        <v>443</v>
      </c>
      <c r="DD125" s="492">
        <f t="shared" si="361"/>
        <v>5.4329163600686776</v>
      </c>
      <c r="DE125" s="451">
        <f t="shared" si="362"/>
        <v>-17.350746268656714</v>
      </c>
      <c r="DG125" s="413">
        <f>DG120+DG121</f>
        <v>441</v>
      </c>
      <c r="DH125" s="492">
        <f t="shared" si="363"/>
        <v>5.5214723926380369</v>
      </c>
      <c r="DI125" s="451">
        <f t="shared" si="364"/>
        <v>-0.45146726862302922</v>
      </c>
      <c r="DJ125" s="451"/>
      <c r="DK125" s="413">
        <f>DK120+DK121</f>
        <v>471.26611034000064</v>
      </c>
      <c r="DL125" s="492">
        <f t="shared" si="365"/>
        <v>5.7813690203949015</v>
      </c>
      <c r="DM125" s="451">
        <f t="shared" si="366"/>
        <v>6.8630635691611319</v>
      </c>
      <c r="DN125" s="451"/>
      <c r="DO125" s="303" t="s">
        <v>232</v>
      </c>
    </row>
    <row r="126" spans="1:184" outlineLevel="1" x14ac:dyDescent="0.2">
      <c r="A126" s="448" t="s">
        <v>468</v>
      </c>
      <c r="C126" s="413">
        <f>C123+C122</f>
        <v>27.102999999999952</v>
      </c>
      <c r="D126" s="492">
        <f t="shared" si="311"/>
        <v>5.7375661017236093</v>
      </c>
      <c r="E126" s="470" t="s">
        <v>1</v>
      </c>
      <c r="F126" s="305"/>
      <c r="G126" s="413">
        <f>G123+G122</f>
        <v>32.634999999999962</v>
      </c>
      <c r="H126" s="492">
        <f t="shared" si="312"/>
        <v>5.8204030675940714</v>
      </c>
      <c r="I126" s="451">
        <f t="shared" si="313"/>
        <v>20.411024609821872</v>
      </c>
      <c r="K126" s="413">
        <f>K123+K122</f>
        <v>53.440999999999974</v>
      </c>
      <c r="L126" s="492">
        <f t="shared" si="314"/>
        <v>8.0410773397532314</v>
      </c>
      <c r="M126" s="451">
        <f t="shared" si="315"/>
        <v>63.753638731423436</v>
      </c>
      <c r="O126" s="413">
        <f>O123+O122</f>
        <v>71.907000000000025</v>
      </c>
      <c r="P126" s="492">
        <f t="shared" si="316"/>
        <v>9.0109022556391007</v>
      </c>
      <c r="Q126" s="451">
        <f t="shared" si="317"/>
        <v>34.553994124361552</v>
      </c>
      <c r="R126" s="305"/>
      <c r="S126" s="413">
        <f>S123+S122</f>
        <v>81.53000000000003</v>
      </c>
      <c r="T126" s="492">
        <f t="shared" si="318"/>
        <v>8.5475551455170695</v>
      </c>
      <c r="U126" s="451">
        <f t="shared" si="319"/>
        <v>13.382563589080343</v>
      </c>
      <c r="W126" s="413">
        <f>W123+W122</f>
        <v>83.91100000000003</v>
      </c>
      <c r="X126" s="492">
        <f t="shared" si="320"/>
        <v>7.0294881461003627</v>
      </c>
      <c r="Y126" s="451">
        <f t="shared" si="321"/>
        <v>2.9203973997301569</v>
      </c>
      <c r="AA126" s="413">
        <f>AA123+AA122</f>
        <v>123.33300000000003</v>
      </c>
      <c r="AB126" s="492">
        <f t="shared" si="322"/>
        <v>8.5339745363963484</v>
      </c>
      <c r="AC126" s="451">
        <f t="shared" si="323"/>
        <v>46.980729582533854</v>
      </c>
      <c r="AE126" s="413">
        <f>AE123+AE122</f>
        <v>174.93399999999991</v>
      </c>
      <c r="AF126" s="492">
        <f t="shared" si="324"/>
        <v>9.5300719110917367</v>
      </c>
      <c r="AG126" s="451">
        <f t="shared" si="325"/>
        <v>41.838761726382941</v>
      </c>
      <c r="AI126" s="413">
        <f>AI123+AI122</f>
        <v>213.15600000000009</v>
      </c>
      <c r="AJ126" s="492">
        <f t="shared" si="326"/>
        <v>9.7852043978240459</v>
      </c>
      <c r="AK126" s="451">
        <f t="shared" si="327"/>
        <v>21.849383195948292</v>
      </c>
      <c r="AM126" s="413">
        <f>AM123+AM122</f>
        <v>280.44600000000003</v>
      </c>
      <c r="AN126" s="492">
        <f t="shared" si="328"/>
        <v>10.359340716169593</v>
      </c>
      <c r="AO126" s="451">
        <f t="shared" si="329"/>
        <v>31.568428756403712</v>
      </c>
      <c r="AQ126" s="413">
        <f>AQ123+AQ122</f>
        <v>410.30499999999984</v>
      </c>
      <c r="AR126" s="492">
        <f t="shared" si="330"/>
        <v>11.185763746898935</v>
      </c>
      <c r="AS126" s="451">
        <f t="shared" si="331"/>
        <v>46.304457899203342</v>
      </c>
      <c r="AU126" s="413">
        <f>AU123+AU122</f>
        <v>533.75199999999984</v>
      </c>
      <c r="AV126" s="492">
        <f t="shared" si="332"/>
        <v>11.902029770683583</v>
      </c>
      <c r="AW126" s="451">
        <f t="shared" si="333"/>
        <v>30.086642863235902</v>
      </c>
      <c r="AY126" s="413">
        <f>AY123+AY122</f>
        <v>657.55200000000059</v>
      </c>
      <c r="AZ126" s="492">
        <f t="shared" si="334"/>
        <v>12.341904726153395</v>
      </c>
      <c r="BA126" s="451">
        <f>(AY126/AU126-1)*100</f>
        <v>23.194292480403035</v>
      </c>
      <c r="BC126" s="413">
        <f>BC123+BC122</f>
        <v>583.9100000000002</v>
      </c>
      <c r="BD126" s="492">
        <f t="shared" si="335"/>
        <v>9.8038919390856165</v>
      </c>
      <c r="BE126" s="451">
        <f t="shared" si="336"/>
        <v>-11.199418449035258</v>
      </c>
      <c r="BG126" s="413">
        <f>BG123+BG122</f>
        <v>729.00399999999991</v>
      </c>
      <c r="BH126" s="492">
        <f t="shared" si="337"/>
        <v>10.685134699381466</v>
      </c>
      <c r="BI126" s="451">
        <f t="shared" si="338"/>
        <v>24.848692435478004</v>
      </c>
      <c r="BK126" s="413">
        <f>BK123+BK122</f>
        <v>852.19999999999959</v>
      </c>
      <c r="BL126" s="492">
        <f t="shared" si="339"/>
        <v>10.965990246162157</v>
      </c>
      <c r="BM126" s="451">
        <f t="shared" si="340"/>
        <v>16.89922140344904</v>
      </c>
      <c r="BO126" s="413">
        <f>BO123+BO122</f>
        <v>1136.9950000000006</v>
      </c>
      <c r="BP126" s="492">
        <f t="shared" si="341"/>
        <v>12.495694626300162</v>
      </c>
      <c r="BQ126" s="451">
        <f t="shared" si="342"/>
        <v>33.418798404130627</v>
      </c>
      <c r="BS126" s="413">
        <f>BS123+BS122</f>
        <v>973.00000000000011</v>
      </c>
      <c r="BT126" s="492">
        <f t="shared" si="343"/>
        <v>10.448322147651009</v>
      </c>
      <c r="BU126" s="451">
        <f t="shared" si="344"/>
        <v>-14.423546277688148</v>
      </c>
      <c r="BW126" s="413">
        <f>BW123+BW122</f>
        <v>800.07399999999996</v>
      </c>
      <c r="BX126" s="492">
        <f t="shared" si="345"/>
        <v>8.8516989651882696</v>
      </c>
      <c r="BY126" s="451">
        <f t="shared" si="346"/>
        <v>-17.772456320657771</v>
      </c>
      <c r="CA126" s="413">
        <f>CA123+CA122</f>
        <v>1000</v>
      </c>
      <c r="CB126" s="492">
        <f t="shared" si="347"/>
        <v>10.273268954181221</v>
      </c>
      <c r="CC126" s="451">
        <f t="shared" si="348"/>
        <v>24.988438569432336</v>
      </c>
      <c r="CE126" s="413">
        <f>CE123+CE122</f>
        <v>1067</v>
      </c>
      <c r="CF126" s="492">
        <f t="shared" si="349"/>
        <v>10.403666146645865</v>
      </c>
      <c r="CG126" s="451">
        <f t="shared" si="350"/>
        <v>6.6999999999999948</v>
      </c>
      <c r="CI126" s="413">
        <f>CI123+CI122</f>
        <v>1070</v>
      </c>
      <c r="CJ126" s="492">
        <f t="shared" si="351"/>
        <v>10.29440061573985</v>
      </c>
      <c r="CK126" s="451">
        <f t="shared" si="352"/>
        <v>0.281162136832247</v>
      </c>
      <c r="CM126" s="413">
        <f>CM123+CM122</f>
        <v>945.5</v>
      </c>
      <c r="CN126" s="492">
        <f t="shared" si="353"/>
        <v>8.7287666174298373</v>
      </c>
      <c r="CO126" s="451">
        <f t="shared" si="354"/>
        <v>-11.635514018691584</v>
      </c>
      <c r="CQ126" s="413">
        <f>CQ123+CQ122</f>
        <v>803</v>
      </c>
      <c r="CR126" s="492">
        <f t="shared" si="355"/>
        <v>7.6164279616807358</v>
      </c>
      <c r="CS126" s="451">
        <f t="shared" si="356"/>
        <v>-15.071390798519301</v>
      </c>
      <c r="CU126" s="413">
        <f>CU123+CU122</f>
        <v>789</v>
      </c>
      <c r="CV126" s="492">
        <f t="shared" si="357"/>
        <v>7.3662589860890675</v>
      </c>
      <c r="CW126" s="451">
        <f t="shared" si="358"/>
        <v>-1.743462017434616</v>
      </c>
      <c r="CY126" s="413">
        <f>CY123+CY122</f>
        <v>689</v>
      </c>
      <c r="CZ126" s="492">
        <f t="shared" si="359"/>
        <v>6.3713704457185134</v>
      </c>
      <c r="DA126" s="451">
        <f t="shared" si="360"/>
        <v>-12.67427122940431</v>
      </c>
      <c r="DC126" s="413">
        <f>DC123+DC122</f>
        <v>617</v>
      </c>
      <c r="DD126" s="492">
        <f t="shared" si="361"/>
        <v>5.8583364982909236</v>
      </c>
      <c r="DE126" s="451">
        <f t="shared" si="362"/>
        <v>-10.449927431059503</v>
      </c>
      <c r="DG126" s="413">
        <f>DG123+DG122</f>
        <v>676</v>
      </c>
      <c r="DH126" s="492">
        <f t="shared" si="363"/>
        <v>6.0857039971191931</v>
      </c>
      <c r="DI126" s="451">
        <f t="shared" si="364"/>
        <v>9.5623987034035629</v>
      </c>
      <c r="DJ126" s="451"/>
      <c r="DK126" s="413">
        <f>DK123+DK122</f>
        <v>585.54293269999926</v>
      </c>
      <c r="DL126" s="492">
        <f t="shared" si="365"/>
        <v>5.5065471637624794</v>
      </c>
      <c r="DM126" s="451">
        <f t="shared" si="366"/>
        <v>-13.381222973372886</v>
      </c>
      <c r="DN126" s="451"/>
    </row>
    <row r="127" spans="1:184" outlineLevel="1" x14ac:dyDescent="0.2">
      <c r="C127" s="413"/>
      <c r="D127" s="459"/>
      <c r="E127" s="451"/>
      <c r="F127" s="305"/>
      <c r="G127" s="413"/>
      <c r="H127" s="459"/>
      <c r="I127" s="451"/>
      <c r="K127" s="413"/>
      <c r="L127" s="459"/>
      <c r="M127" s="451"/>
      <c r="O127" s="413"/>
      <c r="P127" s="459"/>
      <c r="Q127" s="451"/>
      <c r="R127" s="305"/>
      <c r="S127" s="413"/>
      <c r="T127" s="459"/>
      <c r="U127" s="451"/>
      <c r="W127" s="413"/>
      <c r="X127" s="459"/>
      <c r="Y127" s="451"/>
      <c r="AA127" s="413"/>
      <c r="AB127" s="459"/>
      <c r="AC127" s="451"/>
      <c r="AE127" s="413"/>
      <c r="AF127" s="459"/>
      <c r="AG127" s="451"/>
      <c r="AI127" s="413"/>
      <c r="AJ127" s="459"/>
      <c r="AK127" s="451"/>
      <c r="AM127" s="413"/>
      <c r="AN127" s="459"/>
      <c r="AO127" s="451"/>
      <c r="AQ127" s="413"/>
      <c r="AR127" s="459"/>
      <c r="AS127" s="451"/>
      <c r="AU127" s="413"/>
      <c r="AV127" s="459"/>
      <c r="AW127" s="451"/>
      <c r="AY127" s="413"/>
      <c r="AZ127" s="459"/>
      <c r="BA127" s="451"/>
      <c r="BC127" s="413"/>
      <c r="BD127" s="459"/>
      <c r="BE127" s="451"/>
      <c r="BG127" s="413"/>
      <c r="BH127" s="459"/>
      <c r="BI127" s="451"/>
      <c r="BK127" s="413"/>
      <c r="BL127" s="459"/>
      <c r="BM127" s="451"/>
      <c r="BO127" s="413"/>
      <c r="BP127" s="459"/>
      <c r="BQ127" s="451"/>
      <c r="BS127" s="413"/>
      <c r="BT127" s="459"/>
      <c r="BU127" s="451"/>
      <c r="BW127" s="413"/>
      <c r="BX127" s="459"/>
      <c r="BY127" s="451"/>
      <c r="CA127" s="413"/>
      <c r="CB127" s="459"/>
      <c r="CC127" s="451"/>
      <c r="CE127" s="413"/>
      <c r="CF127" s="459"/>
      <c r="CG127" s="451"/>
      <c r="CI127" s="413"/>
      <c r="CJ127" s="459"/>
      <c r="CK127" s="451"/>
      <c r="CM127" s="413"/>
      <c r="CN127" s="459"/>
      <c r="CO127" s="451"/>
      <c r="CQ127" s="413"/>
      <c r="CR127" s="459"/>
      <c r="CS127" s="451"/>
      <c r="CU127" s="413"/>
      <c r="CV127" s="459"/>
      <c r="CW127" s="451"/>
      <c r="CY127" s="413"/>
      <c r="CZ127" s="459"/>
      <c r="DA127" s="451"/>
      <c r="DC127" s="413"/>
      <c r="DD127" s="459"/>
      <c r="DE127" s="451"/>
      <c r="DG127" s="413"/>
      <c r="DH127" s="459"/>
      <c r="DI127" s="451"/>
      <c r="DJ127" s="451"/>
      <c r="DK127" s="413"/>
      <c r="DL127" s="459"/>
      <c r="DM127" s="451"/>
      <c r="DN127" s="451"/>
    </row>
    <row r="128" spans="1:184" outlineLevel="1" collapsed="1" x14ac:dyDescent="0.2">
      <c r="B128" s="447"/>
      <c r="C128" s="447"/>
      <c r="D128" s="447"/>
      <c r="E128" s="447"/>
      <c r="F128" s="447"/>
      <c r="G128" s="447"/>
      <c r="H128" s="447"/>
      <c r="I128" s="447"/>
      <c r="J128" s="447"/>
      <c r="K128" s="447"/>
      <c r="L128" s="447"/>
      <c r="M128" s="447"/>
      <c r="N128" s="447"/>
      <c r="O128" s="447"/>
      <c r="P128" s="447"/>
      <c r="Q128" s="447"/>
      <c r="R128" s="447"/>
      <c r="S128" s="447"/>
      <c r="T128" s="447"/>
      <c r="U128" s="447"/>
      <c r="V128" s="447"/>
      <c r="W128" s="447"/>
      <c r="X128" s="447"/>
      <c r="Y128" s="447"/>
      <c r="Z128" s="447"/>
      <c r="AA128" s="447"/>
      <c r="AB128" s="447"/>
      <c r="AC128" s="447"/>
      <c r="AD128" s="447"/>
      <c r="AE128" s="447"/>
      <c r="AF128" s="447"/>
      <c r="AG128" s="447"/>
      <c r="AH128" s="447"/>
      <c r="AI128" s="447"/>
      <c r="AJ128" s="447"/>
      <c r="AK128" s="447"/>
      <c r="AL128" s="447"/>
      <c r="AM128" s="447"/>
      <c r="AN128" s="447"/>
      <c r="AO128" s="447"/>
      <c r="AP128" s="447"/>
      <c r="AQ128" s="447"/>
      <c r="AR128" s="447"/>
      <c r="AS128" s="447"/>
      <c r="AT128" s="447"/>
      <c r="AU128" s="447"/>
      <c r="AV128" s="447"/>
      <c r="AW128" s="447"/>
      <c r="AX128" s="447"/>
      <c r="AY128" s="447"/>
      <c r="AZ128" s="447"/>
      <c r="BA128" s="447"/>
      <c r="BB128" s="447"/>
      <c r="BC128" s="447"/>
      <c r="BD128" s="447"/>
      <c r="BE128" s="447"/>
      <c r="BF128" s="447"/>
      <c r="BG128" s="447"/>
      <c r="BH128" s="447"/>
      <c r="BI128" s="447"/>
      <c r="BJ128" s="447"/>
      <c r="BK128" s="447"/>
      <c r="BL128" s="447"/>
      <c r="BM128" s="447"/>
      <c r="BN128" s="447"/>
      <c r="BO128" s="447"/>
      <c r="BP128" s="447"/>
      <c r="BQ128" s="447"/>
      <c r="BR128" s="447"/>
      <c r="BS128" s="447"/>
      <c r="BT128" s="447"/>
      <c r="BU128" s="447"/>
      <c r="BV128" s="447"/>
      <c r="BW128" s="447"/>
      <c r="BX128" s="447"/>
      <c r="BY128" s="447"/>
      <c r="BZ128" s="447"/>
      <c r="CA128" s="447"/>
      <c r="CB128" s="447"/>
      <c r="CC128" s="447"/>
      <c r="CD128" s="447"/>
      <c r="CE128" s="447"/>
      <c r="CF128" s="447"/>
      <c r="CG128" s="447"/>
      <c r="CH128" s="447"/>
      <c r="CI128" s="447"/>
      <c r="CJ128" s="447"/>
      <c r="CK128" s="447" t="s">
        <v>289</v>
      </c>
      <c r="CL128" s="447"/>
      <c r="CM128" s="447"/>
      <c r="CN128" s="447"/>
      <c r="CO128" s="447"/>
      <c r="CP128" s="447"/>
      <c r="CQ128" s="447"/>
      <c r="CR128" s="447"/>
      <c r="CS128" s="447"/>
      <c r="CT128" s="447"/>
      <c r="CU128" s="447"/>
      <c r="CV128" s="447"/>
      <c r="CW128" s="447"/>
      <c r="CX128" s="447"/>
      <c r="CY128" s="447" t="s">
        <v>289</v>
      </c>
      <c r="CZ128" s="447"/>
      <c r="DA128" s="447"/>
      <c r="DB128" s="447"/>
      <c r="DC128" s="447"/>
      <c r="DD128" s="447"/>
      <c r="DE128" s="447"/>
      <c r="DF128" s="447"/>
      <c r="DG128" s="447"/>
      <c r="DH128" s="447"/>
      <c r="DI128" s="447"/>
      <c r="DJ128" s="447"/>
      <c r="DK128" s="447"/>
      <c r="DL128" s="447"/>
      <c r="DM128" s="447"/>
      <c r="DN128" s="447"/>
      <c r="DO128" s="447"/>
      <c r="DP128" s="447"/>
      <c r="DQ128" s="447"/>
      <c r="DR128" s="447"/>
      <c r="DS128" s="447"/>
      <c r="DT128" s="447"/>
      <c r="DU128" s="447"/>
      <c r="DV128" s="447"/>
      <c r="DW128" s="447"/>
      <c r="DX128" s="447"/>
      <c r="DY128" s="447"/>
      <c r="DZ128" s="447"/>
      <c r="EA128" s="447"/>
      <c r="EB128" s="447"/>
      <c r="EC128" s="447"/>
      <c r="ED128" s="447"/>
      <c r="EE128" s="447"/>
      <c r="EF128" s="447"/>
      <c r="EG128" s="447"/>
      <c r="EH128" s="447"/>
      <c r="EI128" s="447"/>
      <c r="EJ128" s="447"/>
      <c r="EK128" s="447"/>
      <c r="EL128" s="447"/>
      <c r="EM128" s="447"/>
      <c r="EN128" s="447"/>
      <c r="EO128" s="447"/>
      <c r="EP128" s="447"/>
      <c r="EQ128" s="447"/>
      <c r="ER128" s="447"/>
      <c r="ES128" s="447"/>
      <c r="ET128" s="447"/>
      <c r="EU128" s="447"/>
      <c r="EV128" s="447"/>
      <c r="EW128" s="447"/>
      <c r="EX128" s="447"/>
      <c r="EY128" s="447"/>
      <c r="EZ128" s="447"/>
      <c r="FA128" s="447"/>
      <c r="FB128" s="447"/>
      <c r="FC128" s="447"/>
      <c r="FD128" s="447"/>
      <c r="FE128" s="447"/>
      <c r="FF128" s="447"/>
      <c r="FG128" s="447"/>
      <c r="FH128" s="447"/>
      <c r="FI128" s="447"/>
      <c r="FJ128" s="447"/>
      <c r="FK128" s="447"/>
      <c r="FL128" s="447"/>
      <c r="FM128" s="447"/>
      <c r="FN128" s="447"/>
      <c r="FO128" s="447"/>
      <c r="FP128" s="447"/>
      <c r="FQ128" s="447"/>
      <c r="FR128" s="447"/>
      <c r="FS128" s="447"/>
      <c r="FT128" s="447"/>
      <c r="FU128" s="447"/>
      <c r="FV128" s="447"/>
      <c r="FW128" s="447"/>
      <c r="FX128" s="447"/>
      <c r="FY128" s="447"/>
      <c r="FZ128" s="447"/>
      <c r="GA128" s="447"/>
      <c r="GB128" s="447"/>
    </row>
    <row r="129" spans="1:122" outlineLevel="1" x14ac:dyDescent="0.2">
      <c r="C129" s="413"/>
      <c r="D129" s="459"/>
      <c r="E129" s="451"/>
      <c r="F129" s="305"/>
      <c r="G129" s="413"/>
      <c r="H129" s="459"/>
      <c r="I129" s="451"/>
      <c r="K129" s="413"/>
      <c r="L129" s="459"/>
      <c r="M129" s="451"/>
      <c r="O129" s="413"/>
      <c r="P129" s="459"/>
      <c r="Q129" s="451"/>
      <c r="R129" s="305"/>
      <c r="S129" s="413"/>
      <c r="T129" s="459"/>
      <c r="U129" s="451"/>
      <c r="W129" s="413"/>
      <c r="X129" s="459"/>
      <c r="Y129" s="451"/>
      <c r="AA129" s="413"/>
      <c r="AB129" s="459"/>
      <c r="AC129" s="451"/>
      <c r="AE129" s="413"/>
      <c r="AF129" s="459"/>
      <c r="AG129" s="451"/>
      <c r="AI129" s="413"/>
      <c r="AJ129" s="459"/>
      <c r="AK129" s="451"/>
      <c r="AM129" s="413"/>
      <c r="AN129" s="459"/>
      <c r="AO129" s="451"/>
      <c r="AQ129" s="413"/>
      <c r="AR129" s="459"/>
      <c r="AS129" s="451"/>
      <c r="AU129" s="413"/>
      <c r="AV129" s="459"/>
      <c r="AW129" s="451"/>
      <c r="AY129" s="413"/>
      <c r="AZ129" s="459"/>
      <c r="BA129" s="451"/>
      <c r="BC129" s="413"/>
      <c r="BD129" s="459"/>
      <c r="BE129" s="451"/>
      <c r="BG129" s="413"/>
      <c r="BH129" s="459"/>
      <c r="BI129" s="451"/>
      <c r="BK129" s="413"/>
      <c r="BL129" s="459"/>
      <c r="BM129" s="451"/>
      <c r="BO129" s="413"/>
      <c r="BP129" s="459"/>
      <c r="BQ129" s="451"/>
      <c r="BS129" s="413"/>
      <c r="BT129" s="459"/>
      <c r="BU129" s="451"/>
      <c r="BW129" s="413"/>
      <c r="BX129" s="459"/>
      <c r="BY129" s="451"/>
      <c r="CA129" s="413"/>
      <c r="CB129" s="459"/>
      <c r="CC129" s="451"/>
      <c r="CE129" s="413"/>
      <c r="CF129" s="459"/>
      <c r="CG129" s="451"/>
      <c r="CI129" s="413"/>
      <c r="CJ129" s="459"/>
      <c r="CK129" s="451"/>
      <c r="CM129" s="413"/>
      <c r="CN129" s="459"/>
      <c r="CO129" s="451"/>
      <c r="CQ129" s="413"/>
      <c r="CR129" s="459"/>
      <c r="CS129" s="451"/>
      <c r="CU129" s="413"/>
      <c r="CV129" s="459"/>
      <c r="CW129" s="451"/>
      <c r="CY129" s="413"/>
      <c r="CZ129" s="459"/>
      <c r="DA129" s="451"/>
      <c r="DC129" s="413"/>
      <c r="DD129" s="459"/>
      <c r="DE129" s="451"/>
      <c r="DG129" s="413"/>
      <c r="DH129" s="459"/>
      <c r="DI129" s="451"/>
      <c r="DJ129" s="451"/>
      <c r="DK129" s="413"/>
      <c r="DL129" s="459"/>
      <c r="DM129" s="451"/>
      <c r="DN129" s="451"/>
    </row>
    <row r="130" spans="1:122" outlineLevel="1" x14ac:dyDescent="0.2">
      <c r="A130" s="448" t="s">
        <v>89</v>
      </c>
      <c r="C130" s="468">
        <v>-1.1919999999999999</v>
      </c>
      <c r="D130" s="492">
        <f>(C130/C120)*100</f>
        <v>44.197256210604472</v>
      </c>
      <c r="E130" s="470" t="s">
        <v>1</v>
      </c>
      <c r="F130" s="305"/>
      <c r="G130" s="468">
        <v>0.432</v>
      </c>
      <c r="H130" s="492">
        <f>(G130/G120)*100</f>
        <v>46.351931330472041</v>
      </c>
      <c r="I130" s="451">
        <f t="shared" ref="I130:I136" si="367">(G130/C130-1)*100</f>
        <v>-136.24161073825505</v>
      </c>
      <c r="K130" s="468">
        <v>2.1110000000000002</v>
      </c>
      <c r="L130" s="492">
        <f>(K130/K120)*100</f>
        <v>43.302564102564105</v>
      </c>
      <c r="M130" s="451">
        <f t="shared" ref="M130:M136" si="368">(K130/G130-1)*100</f>
        <v>388.65740740740745</v>
      </c>
      <c r="O130" s="468">
        <v>5.41</v>
      </c>
      <c r="P130" s="492">
        <f>(O130/O120)*100</f>
        <v>42.058617740806966</v>
      </c>
      <c r="Q130" s="451">
        <f t="shared" ref="Q130:Q136" si="369">(O130/K130-1)*100</f>
        <v>156.27664613927047</v>
      </c>
      <c r="R130" s="305"/>
      <c r="S130" s="468">
        <v>8.25</v>
      </c>
      <c r="T130" s="492">
        <f>(S130/S120)*100</f>
        <v>42.24702990577628</v>
      </c>
      <c r="U130" s="451">
        <f t="shared" ref="U130:U136" si="370">(S130/O130-1)*100</f>
        <v>52.495378927911275</v>
      </c>
      <c r="W130" s="468">
        <v>8.1300000000000008</v>
      </c>
      <c r="X130" s="492">
        <f>(W130/W120)*100</f>
        <v>40.72942237362858</v>
      </c>
      <c r="Y130" s="451">
        <f t="shared" ref="Y130:Y136" si="371">(W130/S130-1)*100</f>
        <v>-1.4545454545454417</v>
      </c>
      <c r="AA130" s="468">
        <v>9.4450000000000003</v>
      </c>
      <c r="AB130" s="492">
        <f>(AA130/AA120)*100</f>
        <v>40.524306002488572</v>
      </c>
      <c r="AC130" s="451">
        <f>(W130/AA130-1)*100</f>
        <v>-13.922710428798302</v>
      </c>
      <c r="AE130" s="468">
        <v>10.163</v>
      </c>
      <c r="AF130" s="492">
        <f>(AE130/AE120)*100</f>
        <v>39.944188971426364</v>
      </c>
      <c r="AG130" s="451">
        <f t="shared" ref="AG130:AG136" si="372">(AE130/AA130-1)*100</f>
        <v>7.601905770248818</v>
      </c>
      <c r="AI130" s="468">
        <v>17.382999999999999</v>
      </c>
      <c r="AJ130" s="492">
        <f>(AI130/AI120)*100</f>
        <v>44.423715819064611</v>
      </c>
      <c r="AK130" s="451">
        <f t="shared" ref="AK130:AK136" si="373">(AI130/AE130-1)*100</f>
        <v>71.042015153005991</v>
      </c>
      <c r="AM130" s="468">
        <v>24.823</v>
      </c>
      <c r="AN130" s="492">
        <f>(AM130/AM120)*100</f>
        <v>39.71934203789047</v>
      </c>
      <c r="AO130" s="451">
        <f t="shared" ref="AO130:AO136" si="374">(AM130/AI130-1)*100</f>
        <v>42.800437208767207</v>
      </c>
      <c r="AQ130" s="468">
        <v>33.146999999999998</v>
      </c>
      <c r="AR130" s="492">
        <f>(AQ130/AQ120)*100</f>
        <v>39.893367353079142</v>
      </c>
      <c r="AS130" s="451">
        <f t="shared" ref="AS130:AS136" si="375">(AQ130/AM130-1)*100</f>
        <v>33.533416589453324</v>
      </c>
      <c r="AU130" s="468">
        <v>46.823</v>
      </c>
      <c r="AV130" s="492">
        <f>(AU130/AU120)*100</f>
        <v>39.359958305663206</v>
      </c>
      <c r="AW130" s="451">
        <f t="shared" ref="AW130:AW136" si="376">(AU130/AQ130-1)*100</f>
        <v>41.258635773976529</v>
      </c>
      <c r="AY130" s="468">
        <v>64.796000000000006</v>
      </c>
      <c r="AZ130" s="492">
        <f>(AY130/AY120)*100</f>
        <v>38.518835565542545</v>
      </c>
      <c r="BA130" s="451">
        <f t="shared" ref="BA130:BA136" si="377">(AY130/AU130-1)*100</f>
        <v>38.384981739743296</v>
      </c>
      <c r="BC130" s="468">
        <v>67.462000000000003</v>
      </c>
      <c r="BD130" s="492">
        <f>(BC130/BC120)*100</f>
        <v>38.67546479696847</v>
      </c>
      <c r="BE130" s="451">
        <f t="shared" ref="BE130:BE136" si="378">(BC130/AY130-1)*100</f>
        <v>4.1144515093524348</v>
      </c>
      <c r="BG130" s="468">
        <v>62.634599999999956</v>
      </c>
      <c r="BH130" s="492">
        <f>(BG130/BG120)*100</f>
        <v>37.799999999999997</v>
      </c>
      <c r="BI130" s="451">
        <f t="shared" ref="BI130:BI136" si="379">(BG130/BC130-1)*100</f>
        <v>-7.1557321158578819</v>
      </c>
      <c r="BK130" s="468">
        <v>75.8</v>
      </c>
      <c r="BL130" s="492">
        <f>(BK130/BK120)*100</f>
        <v>37.805486284289216</v>
      </c>
      <c r="BM130" s="451">
        <f t="shared" ref="BM130:BM136" si="380">(BK130/BG130-1)*100</f>
        <v>21.019372678998582</v>
      </c>
      <c r="BO130" s="468">
        <v>100.73812835820897</v>
      </c>
      <c r="BP130" s="492">
        <f>(BO130/BO120)*100</f>
        <v>37.611940298507463</v>
      </c>
      <c r="BQ130" s="451">
        <f t="shared" ref="BQ130:BQ136" si="381">(BO130/BK130-1)*100</f>
        <v>32.899905485763824</v>
      </c>
      <c r="BS130" s="468">
        <v>126.9</v>
      </c>
      <c r="BT130" s="492">
        <f>(BS130/BS120)*100</f>
        <v>37.779100922893697</v>
      </c>
      <c r="BU130" s="451">
        <f>(BS130/BO130-1)*100</f>
        <v>25.970178390413935</v>
      </c>
      <c r="BW130" s="468">
        <v>91.774000000000001</v>
      </c>
      <c r="BX130" s="492">
        <f>(BW130/BW120)*100</f>
        <v>37.500255384527335</v>
      </c>
      <c r="BY130" s="451">
        <f t="shared" ref="BY130:BY136" si="382">(BW130/BS130-1)*100</f>
        <v>-27.68006304176517</v>
      </c>
      <c r="CA130" s="468">
        <v>82</v>
      </c>
      <c r="CB130" s="492">
        <f>(CA130/CA120)*100</f>
        <v>37.442922374429223</v>
      </c>
      <c r="CC130" s="451">
        <f t="shared" ref="CC130:CC136" si="383">(CA130/BW130-1)*100</f>
        <v>-10.650075184692831</v>
      </c>
      <c r="CE130" s="1008">
        <v>116</v>
      </c>
      <c r="CF130" s="492">
        <f>(CE130/CE120)*100</f>
        <v>37.29903536977492</v>
      </c>
      <c r="CG130" s="451">
        <f>(CE130/CB130-1)*100</f>
        <v>209.80487804878049</v>
      </c>
      <c r="CI130" s="1008">
        <v>114</v>
      </c>
      <c r="CJ130" s="492">
        <f>(CI130/CI120)*100</f>
        <v>36.19047619047619</v>
      </c>
      <c r="CK130" s="451">
        <f>(CI130/CF130-1)*100</f>
        <v>205.63793103448273</v>
      </c>
      <c r="CM130" s="1008">
        <v>85</v>
      </c>
      <c r="CN130" s="494">
        <f>CM130/CM120*100</f>
        <v>35.639412997903563</v>
      </c>
      <c r="CO130" s="451">
        <f>(CM130/CA130-1)*100</f>
        <v>3.6585365853658569</v>
      </c>
      <c r="CQ130" s="1008">
        <v>87</v>
      </c>
      <c r="CR130" s="492">
        <f>CQ130/CQ120*100</f>
        <v>37.179487179487182</v>
      </c>
      <c r="CS130" s="451">
        <f>(CQ130/CE130-1)*100</f>
        <v>-25</v>
      </c>
      <c r="CU130" s="1008">
        <v>70</v>
      </c>
      <c r="CV130" s="492">
        <f>CU130/CU120*100</f>
        <v>35.897435897435898</v>
      </c>
      <c r="CW130" s="451">
        <f t="shared" ref="CW130:CW136" si="384">(CU130/CQ130-1)*100</f>
        <v>-19.540229885057471</v>
      </c>
      <c r="CY130" s="1008">
        <f>69</f>
        <v>69</v>
      </c>
      <c r="CZ130" s="492">
        <f>CY130/CY120*100</f>
        <v>35.204081632653065</v>
      </c>
      <c r="DA130" s="451">
        <f t="shared" ref="DA130:DA136" si="385">(CY130/CU130-1)*100</f>
        <v>-1.4285714285714235</v>
      </c>
      <c r="DC130" s="1008">
        <f>10+(64*0.365)</f>
        <v>33.36</v>
      </c>
      <c r="DD130" s="492">
        <f>DC130/DC120*100</f>
        <v>36.659340659340664</v>
      </c>
      <c r="DE130" s="451">
        <f>(DC130/CY130-1)*100</f>
        <v>-51.652173913043484</v>
      </c>
      <c r="DG130" s="1008">
        <v>43</v>
      </c>
      <c r="DH130" s="492">
        <f>DG130/DG120*100</f>
        <v>39.449541284403672</v>
      </c>
      <c r="DI130" s="451">
        <f t="shared" ref="DI130:DI136" si="386">(DG130/DC130-1)*100</f>
        <v>28.896882494004792</v>
      </c>
      <c r="DJ130" s="451"/>
      <c r="DK130" s="1107">
        <f>DK120*DL130%</f>
        <v>26.385292037300019</v>
      </c>
      <c r="DL130" s="1287">
        <v>24.5</v>
      </c>
      <c r="DM130" s="451">
        <f t="shared" ref="DM130:DM136" si="387">(DK130/DG130-1)*100</f>
        <v>-38.638855727209254</v>
      </c>
      <c r="DN130" s="451"/>
    </row>
    <row r="131" spans="1:122" outlineLevel="1" x14ac:dyDescent="0.2">
      <c r="A131" s="448" t="s">
        <v>90</v>
      </c>
      <c r="C131" s="472">
        <v>-1.6850000000000001</v>
      </c>
      <c r="D131" s="492">
        <f t="shared" ref="D131:D136" si="388">(C131/C121)*100</f>
        <v>44.20251836306381</v>
      </c>
      <c r="E131" s="470" t="s">
        <v>1</v>
      </c>
      <c r="F131" s="305"/>
      <c r="G131" s="472">
        <v>-0.123</v>
      </c>
      <c r="H131" s="492">
        <f t="shared" ref="H131:H136" si="389">(G131/G121)*100</f>
        <v>46.590909090910934</v>
      </c>
      <c r="I131" s="451">
        <f t="shared" si="367"/>
        <v>-92.700296735905042</v>
      </c>
      <c r="K131" s="472">
        <v>-4.4720000000000004</v>
      </c>
      <c r="L131" s="492">
        <f t="shared" ref="L131:L136" si="390">(K131/K121)*100</f>
        <v>39.786476868327384</v>
      </c>
      <c r="M131" s="451">
        <f t="shared" si="368"/>
        <v>3535.7723577235774</v>
      </c>
      <c r="O131" s="472">
        <v>4.9130000000000003</v>
      </c>
      <c r="P131" s="492">
        <f t="shared" ref="P131:P136" si="391">(O131/O121)*100</f>
        <v>41.723991507431016</v>
      </c>
      <c r="Q131" s="451">
        <f t="shared" si="369"/>
        <v>-209.8613595706619</v>
      </c>
      <c r="R131" s="305"/>
      <c r="S131" s="472">
        <v>6.8959999999999999</v>
      </c>
      <c r="T131" s="492">
        <f t="shared" ref="T131:T136" si="392">(S131/S121)*100</f>
        <v>42.221269821833211</v>
      </c>
      <c r="U131" s="451">
        <f t="shared" si="370"/>
        <v>40.362304091186644</v>
      </c>
      <c r="W131" s="472">
        <v>7.681</v>
      </c>
      <c r="X131" s="492">
        <f t="shared" ref="X131:X136" si="393">(W131/W121)*100</f>
        <v>41.322358510867176</v>
      </c>
      <c r="Y131" s="451">
        <f t="shared" si="371"/>
        <v>11.383410672853822</v>
      </c>
      <c r="AA131" s="472">
        <v>10.176</v>
      </c>
      <c r="AB131" s="492">
        <f t="shared" ref="AB131:AB136" si="394">(AA131/AA121)*100</f>
        <v>40.6942333839878</v>
      </c>
      <c r="AC131" s="451">
        <f>(W131/AA131-1)*100</f>
        <v>-24.518474842767301</v>
      </c>
      <c r="AE131" s="472">
        <v>13.836</v>
      </c>
      <c r="AF131" s="492">
        <f t="shared" ref="AF131:AF136" si="395">(AE131/AE121)*100</f>
        <v>39.899645298036127</v>
      </c>
      <c r="AG131" s="451">
        <f t="shared" si="372"/>
        <v>35.966981132075482</v>
      </c>
      <c r="AI131" s="472">
        <v>19.413414000000007</v>
      </c>
      <c r="AJ131" s="492">
        <f t="shared" ref="AJ131:AJ136" si="396">(AI131/AI121)*100</f>
        <v>39.299999999999976</v>
      </c>
      <c r="AK131" s="451">
        <f t="shared" si="373"/>
        <v>40.310884648742459</v>
      </c>
      <c r="AM131" s="472">
        <v>28.558</v>
      </c>
      <c r="AN131" s="492">
        <f t="shared" ref="AN131:AN136" si="397">(AM131/AM121)*100</f>
        <v>39.100194419343318</v>
      </c>
      <c r="AO131" s="451">
        <f t="shared" si="374"/>
        <v>47.104471166174022</v>
      </c>
      <c r="AQ131" s="472">
        <v>40.345999999999997</v>
      </c>
      <c r="AR131" s="492">
        <f t="shared" ref="AR131:AR136" si="398">(AQ131/AQ121)*100</f>
        <v>39.199036200765576</v>
      </c>
      <c r="AS131" s="451">
        <f t="shared" si="375"/>
        <v>41.277400378177731</v>
      </c>
      <c r="AU131" s="472">
        <v>53.081000000000003</v>
      </c>
      <c r="AV131" s="492">
        <f t="shared" ref="AV131:AV136" si="399">(AU131/AU121)*100</f>
        <v>38.424397729905039</v>
      </c>
      <c r="AW131" s="451">
        <f t="shared" si="376"/>
        <v>31.564467357358872</v>
      </c>
      <c r="AY131" s="472">
        <v>75.599999999999994</v>
      </c>
      <c r="AZ131" s="492">
        <f t="shared" ref="AZ131:AZ136" si="400">(AY131/AY121)*100</f>
        <v>38.191462490527897</v>
      </c>
      <c r="BA131" s="451">
        <f t="shared" si="377"/>
        <v>42.423842806277179</v>
      </c>
      <c r="BC131" s="472">
        <v>68.2</v>
      </c>
      <c r="BD131" s="492">
        <f t="shared" ref="BD131:BD136" si="401">(BC131/BC121)*100</f>
        <v>38.422535211267594</v>
      </c>
      <c r="BE131" s="451">
        <f t="shared" si="378"/>
        <v>-9.788359788359779</v>
      </c>
      <c r="BG131" s="472">
        <v>89.272999999999996</v>
      </c>
      <c r="BH131" s="492">
        <f t="shared" ref="BH131:BH136" si="402">(BG131/BG121)*100</f>
        <v>37.7827154223802</v>
      </c>
      <c r="BI131" s="451">
        <f t="shared" si="379"/>
        <v>30.898826979472126</v>
      </c>
      <c r="BK131" s="472">
        <v>113.77803390083395</v>
      </c>
      <c r="BL131" s="492">
        <f t="shared" ref="BL131:BL136" si="403">(BK131/BK121)*100</f>
        <v>37.80279767997277</v>
      </c>
      <c r="BM131" s="451">
        <f t="shared" si="380"/>
        <v>27.449546784396126</v>
      </c>
      <c r="BO131" s="472">
        <v>137.00259610178679</v>
      </c>
      <c r="BP131" s="492">
        <f t="shared" ref="BP131:BP136" si="404">(BO131/BO121)*100</f>
        <v>37.087168381158641</v>
      </c>
      <c r="BQ131" s="451">
        <f t="shared" si="381"/>
        <v>20.412166922478892</v>
      </c>
      <c r="BS131" s="472">
        <v>164</v>
      </c>
      <c r="BT131" s="492">
        <f t="shared" ref="BT131:BT136" si="405">(BS131/BS121)*100</f>
        <v>37.864707552854775</v>
      </c>
      <c r="BU131" s="451">
        <f>(BS131/BO131-1)*100</f>
        <v>19.705760815039852</v>
      </c>
      <c r="BW131" s="472">
        <v>144.041</v>
      </c>
      <c r="BX131" s="492">
        <f t="shared" ref="BX131:BX136" si="406">(BW131/BW121)*100</f>
        <v>37.899941061317314</v>
      </c>
      <c r="BY131" s="451">
        <f t="shared" si="382"/>
        <v>-12.170121951219514</v>
      </c>
      <c r="CA131" s="472">
        <v>138.9</v>
      </c>
      <c r="CB131" s="492">
        <f t="shared" ref="CB131:CB136" si="407">(CA131/CA121)*100</f>
        <v>37.744565217391305</v>
      </c>
      <c r="CC131" s="451">
        <f t="shared" si="383"/>
        <v>-3.569122680347947</v>
      </c>
      <c r="CE131" s="985">
        <v>155</v>
      </c>
      <c r="CF131" s="492">
        <f t="shared" ref="CF131:CF136" si="408">(CE131/CE121)*100</f>
        <v>37.804878048780488</v>
      </c>
      <c r="CG131" s="451">
        <f>(CE131/CB131-1)*100</f>
        <v>310.6551475881929</v>
      </c>
      <c r="CI131" s="985">
        <v>176</v>
      </c>
      <c r="CJ131" s="492">
        <f t="shared" ref="CJ131:CJ136" si="409">(CI131/CI121)*100</f>
        <v>37.05263157894737</v>
      </c>
      <c r="CK131" s="451">
        <f>(CI131/CF131-1)*100</f>
        <v>365.54838709677415</v>
      </c>
      <c r="CM131" s="985">
        <v>137</v>
      </c>
      <c r="CN131" s="494">
        <v>36.299999999999997</v>
      </c>
      <c r="CO131" s="451">
        <f>(CM131/CA131-1)*100</f>
        <v>-1.367890568754504</v>
      </c>
      <c r="CQ131" s="985">
        <v>136</v>
      </c>
      <c r="CR131" s="492">
        <f>CQ131/CQ121*100</f>
        <v>37.057220708446863</v>
      </c>
      <c r="CS131" s="451">
        <f>(CQ131/CE131-1)*100</f>
        <v>-12.25806451612903</v>
      </c>
      <c r="CU131" s="985">
        <v>134</v>
      </c>
      <c r="CV131" s="492">
        <f>CU131/CU121*100</f>
        <v>36.712328767123289</v>
      </c>
      <c r="CW131" s="451">
        <f t="shared" si="384"/>
        <v>-1.4705882352941124</v>
      </c>
      <c r="CY131" s="985">
        <f>79+(131*0.36)</f>
        <v>126.16</v>
      </c>
      <c r="CZ131" s="492">
        <f>CY131/CY121*100</f>
        <v>37.10588235294118</v>
      </c>
      <c r="DA131" s="451">
        <f t="shared" si="385"/>
        <v>-5.8507462686567147</v>
      </c>
      <c r="DC131" s="985">
        <f>84+ (128*0.365)</f>
        <v>130.72</v>
      </c>
      <c r="DD131" s="492">
        <f>DC131/DC121*100</f>
        <v>37.136363636363633</v>
      </c>
      <c r="DE131" s="451">
        <f t="shared" ref="DE131:DE136" si="410">(DC131/CY131-1)*100</f>
        <v>3.6144578313253017</v>
      </c>
      <c r="DG131" s="985">
        <v>124</v>
      </c>
      <c r="DH131" s="492">
        <f>DG131/DG121*100</f>
        <v>37.349397590361441</v>
      </c>
      <c r="DI131" s="451">
        <f t="shared" si="386"/>
        <v>-5.1407588739290073</v>
      </c>
      <c r="DJ131" s="451"/>
      <c r="DK131" s="995">
        <f>DK121*DL131%</f>
        <v>89.074904996000129</v>
      </c>
      <c r="DL131" s="1287">
        <v>24.5</v>
      </c>
      <c r="DM131" s="451">
        <f t="shared" si="387"/>
        <v>-28.165399196774089</v>
      </c>
      <c r="DN131" s="451"/>
      <c r="DO131" s="1005"/>
    </row>
    <row r="132" spans="1:122" outlineLevel="1" x14ac:dyDescent="0.2">
      <c r="A132" s="448" t="s">
        <v>91</v>
      </c>
      <c r="C132" s="472">
        <v>2.972</v>
      </c>
      <c r="D132" s="492">
        <f t="shared" si="388"/>
        <v>44.219610177057092</v>
      </c>
      <c r="E132" s="470" t="s">
        <v>1</v>
      </c>
      <c r="F132" s="305"/>
      <c r="G132" s="472">
        <v>3.7949999999999999</v>
      </c>
      <c r="H132" s="492">
        <f t="shared" si="389"/>
        <v>44.720716474192812</v>
      </c>
      <c r="I132" s="451">
        <f t="shared" si="367"/>
        <v>27.691790040376851</v>
      </c>
      <c r="K132" s="472">
        <v>7.6550000000000002</v>
      </c>
      <c r="L132" s="492">
        <f t="shared" si="390"/>
        <v>43.087920747495225</v>
      </c>
      <c r="M132" s="451">
        <f t="shared" si="368"/>
        <v>101.71277997364956</v>
      </c>
      <c r="O132" s="472">
        <v>10.034000000000001</v>
      </c>
      <c r="P132" s="492">
        <f t="shared" si="391"/>
        <v>43.437229437229469</v>
      </c>
      <c r="Q132" s="451">
        <f t="shared" si="369"/>
        <v>31.077726975832796</v>
      </c>
      <c r="R132" s="305"/>
      <c r="S132" s="472">
        <v>9.766</v>
      </c>
      <c r="T132" s="492">
        <f t="shared" si="392"/>
        <v>41.363828886065214</v>
      </c>
      <c r="U132" s="451">
        <f t="shared" si="370"/>
        <v>-2.6709188758222147</v>
      </c>
      <c r="W132" s="472">
        <v>5.258</v>
      </c>
      <c r="X132" s="492">
        <f t="shared" si="393"/>
        <v>40.969300296088498</v>
      </c>
      <c r="Y132" s="451">
        <f t="shared" si="371"/>
        <v>-46.160147450337909</v>
      </c>
      <c r="AA132" s="472">
        <v>14.706</v>
      </c>
      <c r="AB132" s="492">
        <f t="shared" si="394"/>
        <v>40.037025945386695</v>
      </c>
      <c r="AC132" s="451">
        <f>(W132/AA132-1)*100</f>
        <v>-64.245886032911741</v>
      </c>
      <c r="AE132" s="472">
        <v>21.604652999999971</v>
      </c>
      <c r="AF132" s="492">
        <f t="shared" si="395"/>
        <v>39.900000000000006</v>
      </c>
      <c r="AG132" s="451">
        <f t="shared" si="372"/>
        <v>46.910465116278878</v>
      </c>
      <c r="AI132" s="472">
        <v>25.902999999999999</v>
      </c>
      <c r="AJ132" s="492">
        <f t="shared" si="396"/>
        <v>42.820538252992073</v>
      </c>
      <c r="AK132" s="451">
        <f t="shared" si="373"/>
        <v>19.895468814056084</v>
      </c>
      <c r="AM132" s="472">
        <v>33.468000000000004</v>
      </c>
      <c r="AN132" s="492">
        <f t="shared" si="397"/>
        <v>39.607100591715962</v>
      </c>
      <c r="AO132" s="451">
        <f t="shared" si="374"/>
        <v>29.205111377060589</v>
      </c>
      <c r="AQ132" s="472">
        <v>48.250999999999998</v>
      </c>
      <c r="AR132" s="492">
        <f t="shared" si="398"/>
        <v>39.460082762230336</v>
      </c>
      <c r="AS132" s="451">
        <f t="shared" si="375"/>
        <v>44.170550974064746</v>
      </c>
      <c r="AU132" s="472">
        <v>61.954000000000001</v>
      </c>
      <c r="AV132" s="492">
        <f t="shared" si="399"/>
        <v>38.934415927201414</v>
      </c>
      <c r="AW132" s="451">
        <f t="shared" si="376"/>
        <v>28.399411411162468</v>
      </c>
      <c r="AY132" s="472">
        <v>81.099999999999994</v>
      </c>
      <c r="AZ132" s="492">
        <f t="shared" si="400"/>
        <v>38.379631820547999</v>
      </c>
      <c r="BA132" s="451">
        <f t="shared" si="377"/>
        <v>30.903573619136758</v>
      </c>
      <c r="BC132" s="472">
        <v>73.599999999999994</v>
      </c>
      <c r="BD132" s="492">
        <f t="shared" si="401"/>
        <v>38.653432067643529</v>
      </c>
      <c r="BE132" s="451">
        <f t="shared" si="378"/>
        <v>-9.2478421701602915</v>
      </c>
      <c r="BG132" s="472">
        <v>81.812430000000049</v>
      </c>
      <c r="BH132" s="492">
        <f t="shared" si="402"/>
        <v>37.799999999999997</v>
      </c>
      <c r="BI132" s="451">
        <f t="shared" si="379"/>
        <v>11.158192934782685</v>
      </c>
      <c r="BK132" s="472">
        <v>94.299999999999912</v>
      </c>
      <c r="BL132" s="492">
        <f t="shared" si="403"/>
        <v>37.810745789895698</v>
      </c>
      <c r="BM132" s="451">
        <f t="shared" si="380"/>
        <v>15.263658590754314</v>
      </c>
      <c r="BO132" s="472">
        <v>134.69900000000001</v>
      </c>
      <c r="BP132" s="492">
        <f t="shared" si="404"/>
        <v>37.500243600272789</v>
      </c>
      <c r="BQ132" s="451">
        <f t="shared" si="381"/>
        <v>42.840933191940756</v>
      </c>
      <c r="BS132" s="472">
        <v>118.2</v>
      </c>
      <c r="BT132" s="492">
        <f t="shared" si="405"/>
        <v>37.860345932094809</v>
      </c>
      <c r="BU132" s="451"/>
      <c r="BW132" s="472">
        <v>96.917000000000002</v>
      </c>
      <c r="BX132" s="492">
        <f t="shared" si="406"/>
        <v>37.700039677291372</v>
      </c>
      <c r="BY132" s="451">
        <f t="shared" si="382"/>
        <v>-18.005922165820643</v>
      </c>
      <c r="CA132" s="472">
        <v>115</v>
      </c>
      <c r="CB132" s="492">
        <f t="shared" si="407"/>
        <v>37.337662337662337</v>
      </c>
      <c r="CC132" s="451">
        <f t="shared" si="383"/>
        <v>18.658233333677266</v>
      </c>
      <c r="CE132" s="985">
        <v>101</v>
      </c>
      <c r="CF132" s="492">
        <f t="shared" si="408"/>
        <v>36.462093862815884</v>
      </c>
      <c r="CG132" s="451">
        <f>(CE132/CB132-1)*100</f>
        <v>170.50434782608696</v>
      </c>
      <c r="CI132" s="985">
        <v>129</v>
      </c>
      <c r="CJ132" s="492">
        <f t="shared" si="409"/>
        <v>37.829912023460409</v>
      </c>
      <c r="CK132" s="451">
        <f>(CI132/CF132-1)*100</f>
        <v>253.79207920792081</v>
      </c>
      <c r="CM132" s="985">
        <v>130</v>
      </c>
      <c r="CN132" s="494">
        <f>CM132/CM122*100</f>
        <v>37.735849056603776</v>
      </c>
      <c r="CO132" s="451">
        <f>(CM132/CA132-1)*100</f>
        <v>13.043478260869556</v>
      </c>
      <c r="CQ132" s="985">
        <v>104</v>
      </c>
      <c r="CR132" s="492">
        <f>CQ132/CQ122*100</f>
        <v>37.010676156583628</v>
      </c>
      <c r="CS132" s="451">
        <f>(CQ132/CE132-1)*100</f>
        <v>2.9702970297029729</v>
      </c>
      <c r="CU132" s="985">
        <v>77</v>
      </c>
      <c r="CV132" s="492">
        <f>CU132/CU122*100</f>
        <v>35.159817351598171</v>
      </c>
      <c r="CW132" s="451">
        <f t="shared" si="384"/>
        <v>-25.96153846153846</v>
      </c>
      <c r="CY132" s="985">
        <f>69+(38*0.36)</f>
        <v>82.68</v>
      </c>
      <c r="CZ132" s="492">
        <f>CY132/CY122*100</f>
        <v>36.422907488986787</v>
      </c>
      <c r="DA132" s="451">
        <f t="shared" si="385"/>
        <v>7.3766233766233924</v>
      </c>
      <c r="DC132" s="985">
        <f>79-(6*0.37)</f>
        <v>76.78</v>
      </c>
      <c r="DD132" s="492">
        <f>DC132/DC122*100</f>
        <v>35.05936073059361</v>
      </c>
      <c r="DE132" s="451">
        <f t="shared" si="410"/>
        <v>-7.1359458151911026</v>
      </c>
      <c r="DG132" s="1017">
        <v>66</v>
      </c>
      <c r="DH132" s="492">
        <f>DG132/DG122*100</f>
        <v>36.065573770491802</v>
      </c>
      <c r="DI132" s="451">
        <f t="shared" si="386"/>
        <v>-14.040114613180521</v>
      </c>
      <c r="DJ132" s="451"/>
      <c r="DK132" s="1020">
        <f>DK122*DL132%</f>
        <v>45.449420579499986</v>
      </c>
      <c r="DL132" s="1287">
        <v>24.5</v>
      </c>
      <c r="DM132" s="451">
        <f t="shared" si="387"/>
        <v>-31.137241546212145</v>
      </c>
      <c r="DN132" s="893"/>
      <c r="DO132" s="319"/>
    </row>
    <row r="133" spans="1:122" outlineLevel="1" x14ac:dyDescent="0.2">
      <c r="A133" s="448" t="s">
        <v>92</v>
      </c>
      <c r="C133" s="474">
        <v>9.0129999999999999</v>
      </c>
      <c r="D133" s="492">
        <f t="shared" si="388"/>
        <v>44.220390540673215</v>
      </c>
      <c r="E133" s="470" t="s">
        <v>1</v>
      </c>
      <c r="F133" s="305"/>
      <c r="G133" s="474">
        <v>10.433999999999999</v>
      </c>
      <c r="H133" s="492">
        <f t="shared" si="389"/>
        <v>43.206758043811398</v>
      </c>
      <c r="I133" s="451">
        <f t="shared" si="367"/>
        <v>15.766115610784425</v>
      </c>
      <c r="K133" s="474">
        <v>16.146000000000001</v>
      </c>
      <c r="L133" s="492">
        <f t="shared" si="390"/>
        <v>45.258584442887198</v>
      </c>
      <c r="M133" s="451">
        <f t="shared" si="368"/>
        <v>54.744105807935604</v>
      </c>
      <c r="O133" s="474">
        <v>20.672000000000001</v>
      </c>
      <c r="P133" s="492">
        <f t="shared" si="391"/>
        <v>42.35458028561473</v>
      </c>
      <c r="Q133" s="451">
        <f t="shared" si="369"/>
        <v>28.031710640406281</v>
      </c>
      <c r="R133" s="305"/>
      <c r="S133" s="474">
        <v>24.027000000000001</v>
      </c>
      <c r="T133" s="492">
        <f t="shared" si="392"/>
        <v>41.483080110497227</v>
      </c>
      <c r="U133" s="451">
        <f t="shared" si="370"/>
        <v>16.229682662538703</v>
      </c>
      <c r="W133" s="474">
        <v>29.007999999999999</v>
      </c>
      <c r="X133" s="492">
        <f t="shared" si="393"/>
        <v>40.812077043206649</v>
      </c>
      <c r="Y133" s="451">
        <f t="shared" si="371"/>
        <v>20.730844466641685</v>
      </c>
      <c r="AA133" s="474">
        <v>34.563000000000002</v>
      </c>
      <c r="AB133" s="492">
        <f t="shared" si="394"/>
        <v>39.910163737558022</v>
      </c>
      <c r="AC133" s="451">
        <f>(W133/AA133-1)*100</f>
        <v>-16.072100222781593</v>
      </c>
      <c r="AE133" s="474">
        <v>48.194012999999998</v>
      </c>
      <c r="AF133" s="492">
        <f t="shared" si="395"/>
        <v>39.900000000000006</v>
      </c>
      <c r="AG133" s="451">
        <f t="shared" si="372"/>
        <v>39.438165089835934</v>
      </c>
      <c r="AI133" s="474">
        <v>60.9</v>
      </c>
      <c r="AJ133" s="492">
        <f t="shared" si="396"/>
        <v>39.891526489545662</v>
      </c>
      <c r="AK133" s="451">
        <f t="shared" si="373"/>
        <v>26.364243625032845</v>
      </c>
      <c r="AM133" s="474">
        <v>76.120999999999995</v>
      </c>
      <c r="AN133" s="492">
        <f t="shared" si="397"/>
        <v>38.847947904014376</v>
      </c>
      <c r="AO133" s="451">
        <f t="shared" si="374"/>
        <v>24.993431855500823</v>
      </c>
      <c r="AQ133" s="474">
        <v>111.224</v>
      </c>
      <c r="AR133" s="492">
        <f t="shared" si="398"/>
        <v>38.615824210924686</v>
      </c>
      <c r="AS133" s="451">
        <f t="shared" si="375"/>
        <v>46.114738377057598</v>
      </c>
      <c r="AU133" s="474">
        <v>142.33000000000001</v>
      </c>
      <c r="AV133" s="492">
        <f t="shared" si="399"/>
        <v>37.992355082908944</v>
      </c>
      <c r="AW133" s="451">
        <f t="shared" si="376"/>
        <v>27.96698554268864</v>
      </c>
      <c r="AY133" s="474">
        <v>169.52</v>
      </c>
      <c r="AZ133" s="492">
        <f t="shared" si="400"/>
        <v>37.988356093778677</v>
      </c>
      <c r="BA133" s="451">
        <f t="shared" si="377"/>
        <v>19.103491885055846</v>
      </c>
      <c r="BC133" s="474">
        <v>148.69999999999999</v>
      </c>
      <c r="BD133" s="492">
        <f t="shared" si="401"/>
        <v>37.7890724269377</v>
      </c>
      <c r="BE133" s="451">
        <f t="shared" si="378"/>
        <v>-12.281736668239752</v>
      </c>
      <c r="BG133" s="474">
        <v>193.75108200000011</v>
      </c>
      <c r="BH133" s="492">
        <f t="shared" si="402"/>
        <v>37.800000000000033</v>
      </c>
      <c r="BI133" s="451">
        <f t="shared" si="379"/>
        <v>30.296625420309443</v>
      </c>
      <c r="BK133" s="474">
        <v>227.9</v>
      </c>
      <c r="BL133" s="492">
        <f t="shared" si="403"/>
        <v>37.806901128069043</v>
      </c>
      <c r="BM133" s="451">
        <f t="shared" si="380"/>
        <v>17.625149572067865</v>
      </c>
      <c r="BO133" s="474">
        <v>293.2</v>
      </c>
      <c r="BP133" s="492">
        <f t="shared" si="404"/>
        <v>37.696065826690656</v>
      </c>
      <c r="BQ133" s="451">
        <f t="shared" si="381"/>
        <v>28.652917946467738</v>
      </c>
      <c r="BS133" s="474">
        <v>249.1</v>
      </c>
      <c r="BT133" s="492">
        <f t="shared" si="405"/>
        <v>37.696731234866824</v>
      </c>
      <c r="BU133" s="451">
        <f>(BS133/BO133-1)*100</f>
        <v>-15.040927694406548</v>
      </c>
      <c r="BW133" s="474">
        <v>207</v>
      </c>
      <c r="BX133" s="492">
        <f t="shared" si="406"/>
        <v>38.121546961325969</v>
      </c>
      <c r="BY133" s="451">
        <f t="shared" si="382"/>
        <v>-16.900843034925728</v>
      </c>
      <c r="CA133" s="474">
        <v>260</v>
      </c>
      <c r="CB133" s="492">
        <f t="shared" si="407"/>
        <v>37.572254335260112</v>
      </c>
      <c r="CC133" s="451">
        <f t="shared" si="383"/>
        <v>25.60386473429952</v>
      </c>
      <c r="CE133" s="1009">
        <v>296</v>
      </c>
      <c r="CF133" s="492">
        <f t="shared" si="408"/>
        <v>37.468354430379748</v>
      </c>
      <c r="CG133" s="451">
        <f>(CE133/CB133-1)*100</f>
        <v>687.81538461538469</v>
      </c>
      <c r="CI133" s="1009">
        <v>274</v>
      </c>
      <c r="CJ133" s="492">
        <f t="shared" si="409"/>
        <v>37.585733882030176</v>
      </c>
      <c r="CK133" s="451">
        <f>(CI133/CF133-1)*100</f>
        <v>631.28378378378375</v>
      </c>
      <c r="CM133" s="1009">
        <v>223</v>
      </c>
      <c r="CN133" s="494">
        <f>CM133/CM123*100</f>
        <v>37.104825291181363</v>
      </c>
      <c r="CO133" s="451">
        <f>(CM133/CA133-1)*100</f>
        <v>-14.230769230769235</v>
      </c>
      <c r="CQ133" s="1009">
        <v>188</v>
      </c>
      <c r="CR133" s="492">
        <f>CQ133/CQ123*100</f>
        <v>36.015325670498086</v>
      </c>
      <c r="CS133" s="451">
        <f>(CQ133/CE133-1)*100</f>
        <v>-36.486486486486491</v>
      </c>
      <c r="CU133" s="1009">
        <v>201</v>
      </c>
      <c r="CV133" s="492">
        <f>CU133/CU123*100</f>
        <v>35.263157894736842</v>
      </c>
      <c r="CW133" s="451">
        <f t="shared" si="384"/>
        <v>6.9148936170212671</v>
      </c>
      <c r="CY133" s="1009">
        <f>166</f>
        <v>166</v>
      </c>
      <c r="CZ133" s="492">
        <f>CY133/CY123*100</f>
        <v>35.930735930735928</v>
      </c>
      <c r="DA133" s="451">
        <f t="shared" si="385"/>
        <v>-17.412935323383081</v>
      </c>
      <c r="DC133" s="1009">
        <v>146</v>
      </c>
      <c r="DD133" s="492">
        <f>DC133/DC123*100</f>
        <v>36.683417085427131</v>
      </c>
      <c r="DE133" s="451">
        <f t="shared" si="410"/>
        <v>-12.048192771084343</v>
      </c>
      <c r="DG133" s="1018">
        <f>25+20+122</f>
        <v>167</v>
      </c>
      <c r="DH133" s="492">
        <f>DG133/DG123*100</f>
        <v>33.874239350912774</v>
      </c>
      <c r="DI133" s="451">
        <f t="shared" si="386"/>
        <v>14.383561643835607</v>
      </c>
      <c r="DJ133" s="451"/>
      <c r="DK133" s="1021">
        <f>DK123*DL133%</f>
        <v>98.00859793199983</v>
      </c>
      <c r="DL133" s="1287">
        <v>24.5</v>
      </c>
      <c r="DM133" s="451">
        <f t="shared" si="387"/>
        <v>-41.312216807185735</v>
      </c>
      <c r="DN133" s="451"/>
      <c r="DR133" s="413"/>
    </row>
    <row r="134" spans="1:122" outlineLevel="1" x14ac:dyDescent="0.2">
      <c r="A134" s="448" t="s">
        <v>93</v>
      </c>
      <c r="C134" s="319">
        <f>SUM(C130:C133)</f>
        <v>9.1080000000000005</v>
      </c>
      <c r="D134" s="492">
        <f t="shared" si="388"/>
        <v>44.226473730212604</v>
      </c>
      <c r="E134" s="470" t="s">
        <v>1</v>
      </c>
      <c r="F134" s="305"/>
      <c r="G134" s="319">
        <f>SUM(G130:G133)</f>
        <v>14.538</v>
      </c>
      <c r="H134" s="492">
        <f t="shared" si="389"/>
        <v>43.653724889649617</v>
      </c>
      <c r="I134" s="451">
        <f t="shared" si="367"/>
        <v>59.617918313570485</v>
      </c>
      <c r="K134" s="468">
        <v>21.442</v>
      </c>
      <c r="L134" s="492">
        <f t="shared" si="390"/>
        <v>42.769378066781059</v>
      </c>
      <c r="M134" s="451">
        <f t="shared" si="368"/>
        <v>47.489338285871519</v>
      </c>
      <c r="O134" s="319">
        <f>SUM(O130:O133)</f>
        <v>41.028999999999996</v>
      </c>
      <c r="P134" s="492">
        <f t="shared" si="391"/>
        <v>42.497281060645321</v>
      </c>
      <c r="Q134" s="451">
        <f t="shared" si="369"/>
        <v>91.348754780337643</v>
      </c>
      <c r="R134" s="305"/>
      <c r="S134" s="319">
        <f>SUM(S130:S133)</f>
        <v>48.939</v>
      </c>
      <c r="T134" s="492">
        <f t="shared" si="392"/>
        <v>41.688885860074514</v>
      </c>
      <c r="U134" s="451">
        <f t="shared" si="370"/>
        <v>19.279046528065535</v>
      </c>
      <c r="W134" s="319">
        <f>SUM(W130:W133)</f>
        <v>50.076999999999998</v>
      </c>
      <c r="X134" s="492">
        <f t="shared" si="393"/>
        <v>40.802907218342781</v>
      </c>
      <c r="Y134" s="451">
        <f t="shared" si="371"/>
        <v>2.3253437953370426</v>
      </c>
      <c r="AA134" s="319">
        <f>SUM(AA130:AA133)</f>
        <v>68.89</v>
      </c>
      <c r="AB134" s="492">
        <f t="shared" si="394"/>
        <v>40.134928865222648</v>
      </c>
      <c r="AC134" s="451">
        <f>(W134/AA134-1)*100</f>
        <v>-27.308753084627668</v>
      </c>
      <c r="AE134" s="319">
        <f>SUM(AE130:AE133)</f>
        <v>93.797665999999964</v>
      </c>
      <c r="AF134" s="492">
        <f t="shared" si="395"/>
        <v>39.904730827809786</v>
      </c>
      <c r="AG134" s="451">
        <f t="shared" si="372"/>
        <v>36.155706198287078</v>
      </c>
      <c r="AI134" s="319">
        <f>SUM(AI130:AI133)</f>
        <v>123.599414</v>
      </c>
      <c r="AJ134" s="492">
        <f t="shared" si="396"/>
        <v>40.969827369035215</v>
      </c>
      <c r="AK134" s="451">
        <f t="shared" si="373"/>
        <v>31.772376937396341</v>
      </c>
      <c r="AM134" s="468">
        <v>162.97</v>
      </c>
      <c r="AN134" s="492">
        <f t="shared" si="397"/>
        <v>38.638626772250987</v>
      </c>
      <c r="AO134" s="451">
        <f t="shared" si="374"/>
        <v>31.853375939144833</v>
      </c>
      <c r="AQ134" s="319">
        <f>SUM(AQ130:AQ133)</f>
        <v>232.96800000000002</v>
      </c>
      <c r="AR134" s="492">
        <f t="shared" si="398"/>
        <v>39.067614703514828</v>
      </c>
      <c r="AS134" s="451">
        <f t="shared" si="375"/>
        <v>42.951463459532448</v>
      </c>
      <c r="AU134" s="319">
        <f>SUM(AU130:AU133)</f>
        <v>304.18799999999999</v>
      </c>
      <c r="AV134" s="492">
        <f t="shared" si="399"/>
        <v>38.463084982493697</v>
      </c>
      <c r="AW134" s="451">
        <f t="shared" si="376"/>
        <v>30.570722159266484</v>
      </c>
      <c r="AY134" s="468">
        <v>386.18700000000001</v>
      </c>
      <c r="AZ134" s="492">
        <f t="shared" si="400"/>
        <v>37.80135901536962</v>
      </c>
      <c r="BA134" s="451">
        <f t="shared" si="377"/>
        <v>26.956684681841491</v>
      </c>
      <c r="BC134" s="468">
        <v>352.97399999999999</v>
      </c>
      <c r="BD134" s="492">
        <f t="shared" si="401"/>
        <v>37.803953320995262</v>
      </c>
      <c r="BE134" s="451">
        <f t="shared" si="378"/>
        <v>-8.6002377086748183</v>
      </c>
      <c r="BG134" s="319">
        <f>SUM(BG130:BG133)</f>
        <v>427.47111200000012</v>
      </c>
      <c r="BH134" s="492">
        <f t="shared" si="402"/>
        <v>37.796388985166871</v>
      </c>
      <c r="BI134" s="451">
        <f t="shared" si="379"/>
        <v>21.105552250307436</v>
      </c>
      <c r="BK134" s="319">
        <f>SUM(BK130:BK133)</f>
        <v>511.77803390083386</v>
      </c>
      <c r="BL134" s="492">
        <f t="shared" si="403"/>
        <v>37.806487540471977</v>
      </c>
      <c r="BM134" s="451">
        <f t="shared" si="380"/>
        <v>19.722250120338835</v>
      </c>
      <c r="BO134" s="319">
        <f>SUM(BO130:BO133)</f>
        <v>665.6397244599957</v>
      </c>
      <c r="BP134" s="492">
        <f t="shared" si="404"/>
        <v>37.516945981583341</v>
      </c>
      <c r="BQ134" s="451">
        <f t="shared" si="381"/>
        <v>30.064145072114457</v>
      </c>
      <c r="BS134" s="319">
        <f>SUM(BS130:BS133)</f>
        <v>658.19999999999993</v>
      </c>
      <c r="BT134" s="492">
        <f t="shared" si="405"/>
        <v>37.783700655732616</v>
      </c>
      <c r="BU134" s="451">
        <f>(BS134/BO134-1)*100</f>
        <v>-1.117680358700246</v>
      </c>
      <c r="BW134" s="319">
        <f>SUM(BW130:BW133)</f>
        <v>539.73199999999997</v>
      </c>
      <c r="BX134" s="492">
        <f t="shared" si="406"/>
        <v>37.879677919008117</v>
      </c>
      <c r="BY134" s="451">
        <f t="shared" si="382"/>
        <v>-17.998784563962321</v>
      </c>
      <c r="CA134" s="468">
        <v>585</v>
      </c>
      <c r="CB134" s="492">
        <f t="shared" si="407"/>
        <v>37.548138639281134</v>
      </c>
      <c r="CC134" s="451">
        <f t="shared" si="383"/>
        <v>8.3871254622664537</v>
      </c>
      <c r="CE134" s="319">
        <f>SUM(CE130:CE133)</f>
        <v>668</v>
      </c>
      <c r="CF134" s="492">
        <f t="shared" si="408"/>
        <v>37.360178970917225</v>
      </c>
      <c r="CG134" s="451">
        <f>(CE134/CB134-1)*100</f>
        <v>1679.0495726495724</v>
      </c>
      <c r="CI134" s="319">
        <f>SUM(CI130:CI133)</f>
        <v>693</v>
      </c>
      <c r="CJ134" s="492">
        <f t="shared" si="409"/>
        <v>37.258064516129032</v>
      </c>
      <c r="CK134" s="451">
        <f>(CI134/CF134-1)*100</f>
        <v>1754.9161676646709</v>
      </c>
      <c r="CM134" s="319">
        <f>SUM(CM130:CM133)</f>
        <v>575</v>
      </c>
      <c r="CN134" s="492">
        <f>(CM134/CM124)*100</f>
        <v>36.847164370394104</v>
      </c>
      <c r="CO134" s="451">
        <f>(CM134/CA134-1)*100</f>
        <v>-1.7094017094017144</v>
      </c>
      <c r="CQ134" s="319">
        <f>SUM(CQ130:CQ133)</f>
        <v>515</v>
      </c>
      <c r="CR134" s="492">
        <f>(CQ134/CQ124)*100</f>
        <v>36.680911680911684</v>
      </c>
      <c r="CS134" s="451">
        <f>(CQ134/CE134-1)*100</f>
        <v>-22.904191616766468</v>
      </c>
      <c r="CU134" s="319">
        <f>SUM(CU130:CU133)</f>
        <v>482</v>
      </c>
      <c r="CV134" s="492">
        <f>(CU134/CU124)*100</f>
        <v>35.730170496664194</v>
      </c>
      <c r="CW134" s="451">
        <f t="shared" si="384"/>
        <v>-6.4077669902912637</v>
      </c>
      <c r="CY134" s="319">
        <f>SUM(CY130:CY133)-1</f>
        <v>442.84000000000003</v>
      </c>
      <c r="CZ134" s="492">
        <f>(CY134/CY124)*100</f>
        <v>36.150204081632651</v>
      </c>
      <c r="DA134" s="451">
        <f t="shared" si="385"/>
        <v>-8.1244813278008259</v>
      </c>
      <c r="DC134" s="319">
        <f>SUM(DC130:DC133)</f>
        <v>386.86</v>
      </c>
      <c r="DD134" s="492">
        <f>(DC134/DC124)*100</f>
        <v>36.496226415094341</v>
      </c>
      <c r="DE134" s="451">
        <f t="shared" si="410"/>
        <v>-12.64113449552886</v>
      </c>
      <c r="DG134" s="449">
        <f>SUM(DG130:DG133)</f>
        <v>400</v>
      </c>
      <c r="DH134" s="492">
        <f>(DG134/DG124)*100</f>
        <v>35.810205908683976</v>
      </c>
      <c r="DI134" s="451">
        <f t="shared" si="386"/>
        <v>3.3965775732823111</v>
      </c>
      <c r="DJ134" s="451"/>
      <c r="DK134" s="449">
        <f>SUM(DK130:DK133)</f>
        <v>258.91821554479998</v>
      </c>
      <c r="DL134" s="1243">
        <f>(DK134/DK124)*100</f>
        <v>24.500000000000025</v>
      </c>
      <c r="DM134" s="451">
        <f t="shared" si="387"/>
        <v>-35.270446113800006</v>
      </c>
      <c r="DN134" s="451"/>
    </row>
    <row r="135" spans="1:122" outlineLevel="1" x14ac:dyDescent="0.2">
      <c r="A135" s="448" t="s">
        <v>467</v>
      </c>
      <c r="C135" s="413">
        <f>C130+C131</f>
        <v>-2.8769999999999998</v>
      </c>
      <c r="D135" s="492">
        <f t="shared" si="388"/>
        <v>44.200337993547315</v>
      </c>
      <c r="E135" s="470" t="s">
        <v>1</v>
      </c>
      <c r="F135" s="305"/>
      <c r="G135" s="413">
        <f>G130+G131</f>
        <v>0.309</v>
      </c>
      <c r="H135" s="492">
        <f t="shared" si="389"/>
        <v>46.257485029939311</v>
      </c>
      <c r="I135" s="451">
        <f t="shared" si="367"/>
        <v>-110.74035453597497</v>
      </c>
      <c r="K135" s="413">
        <f>K130+K131</f>
        <v>-2.3610000000000002</v>
      </c>
      <c r="L135" s="492">
        <f t="shared" si="390"/>
        <v>37.09347996857813</v>
      </c>
      <c r="M135" s="451">
        <f t="shared" si="368"/>
        <v>-864.0776699029127</v>
      </c>
      <c r="O135" s="413">
        <f>O130+O131</f>
        <v>10.323</v>
      </c>
      <c r="P135" s="492">
        <f t="shared" si="391"/>
        <v>41.898693075736674</v>
      </c>
      <c r="Q135" s="451">
        <f t="shared" si="369"/>
        <v>-537.22998729351968</v>
      </c>
      <c r="R135" s="305"/>
      <c r="S135" s="413">
        <f>S130+S131</f>
        <v>15.146000000000001</v>
      </c>
      <c r="T135" s="492">
        <f t="shared" si="392"/>
        <v>42.235297398287862</v>
      </c>
      <c r="U135" s="451">
        <f t="shared" si="370"/>
        <v>46.72091446284994</v>
      </c>
      <c r="W135" s="413">
        <f>W130+W131</f>
        <v>15.811</v>
      </c>
      <c r="X135" s="492">
        <f t="shared" si="393"/>
        <v>41.015331136994455</v>
      </c>
      <c r="Y135" s="451">
        <f t="shared" si="371"/>
        <v>4.390598177736682</v>
      </c>
      <c r="AA135" s="413">
        <f>AA130+AA131</f>
        <v>19.621000000000002</v>
      </c>
      <c r="AB135" s="492">
        <f t="shared" si="394"/>
        <v>40.612257570426181</v>
      </c>
      <c r="AC135" s="451">
        <f>(AA135/W135-1)*100</f>
        <v>24.097147555499344</v>
      </c>
      <c r="AE135" s="413">
        <f>AE130+AE131</f>
        <v>23.999000000000002</v>
      </c>
      <c r="AF135" s="492">
        <f t="shared" si="395"/>
        <v>39.918496340652027</v>
      </c>
      <c r="AG135" s="451">
        <f t="shared" si="372"/>
        <v>22.312828092350024</v>
      </c>
      <c r="AI135" s="413">
        <f>AI130+AI131</f>
        <v>36.796414000000006</v>
      </c>
      <c r="AJ135" s="492">
        <f t="shared" si="396"/>
        <v>41.564718507138949</v>
      </c>
      <c r="AK135" s="451">
        <f t="shared" si="373"/>
        <v>53.324780199174967</v>
      </c>
      <c r="AM135" s="413">
        <f>AM130+AM131</f>
        <v>53.381</v>
      </c>
      <c r="AN135" s="492">
        <f t="shared" si="397"/>
        <v>39.385689199757998</v>
      </c>
      <c r="AO135" s="451">
        <f t="shared" si="374"/>
        <v>45.071201775259915</v>
      </c>
      <c r="AQ135" s="413">
        <f>AQ130+AQ131</f>
        <v>73.492999999999995</v>
      </c>
      <c r="AR135" s="492">
        <f t="shared" si="398"/>
        <v>39.509179367255278</v>
      </c>
      <c r="AS135" s="451">
        <f t="shared" si="375"/>
        <v>37.676326782937728</v>
      </c>
      <c r="AU135" s="413">
        <f>AU130+AU131</f>
        <v>99.903999999999996</v>
      </c>
      <c r="AV135" s="492">
        <f t="shared" si="399"/>
        <v>38.857276210108722</v>
      </c>
      <c r="AW135" s="451">
        <f t="shared" si="376"/>
        <v>35.936755881512525</v>
      </c>
      <c r="AY135" s="413">
        <f>AY130+AY131</f>
        <v>140.39600000000002</v>
      </c>
      <c r="AZ135" s="492">
        <f t="shared" si="400"/>
        <v>38.34185854072846</v>
      </c>
      <c r="BA135" s="451">
        <f t="shared" si="377"/>
        <v>40.530909673286388</v>
      </c>
      <c r="BC135" s="413">
        <f>BC130+BC131</f>
        <v>135.66200000000001</v>
      </c>
      <c r="BD135" s="492">
        <f t="shared" si="401"/>
        <v>38.547897173025412</v>
      </c>
      <c r="BE135" s="451">
        <f t="shared" si="378"/>
        <v>-3.3718909370637373</v>
      </c>
      <c r="BG135" s="413">
        <f>BG130+BG131</f>
        <v>151.90759999999995</v>
      </c>
      <c r="BH135" s="492">
        <f t="shared" si="402"/>
        <v>37.789840290561706</v>
      </c>
      <c r="BI135" s="451">
        <f t="shared" si="379"/>
        <v>11.97505565301995</v>
      </c>
      <c r="BK135" s="413">
        <f>BK130+BK131</f>
        <v>189.57803390083393</v>
      </c>
      <c r="BL135" s="492">
        <f t="shared" si="403"/>
        <v>37.803872633143037</v>
      </c>
      <c r="BM135" s="451">
        <f t="shared" si="380"/>
        <v>24.79825492656984</v>
      </c>
      <c r="BO135" s="413">
        <f>BO130+BO131</f>
        <v>237.74072445999576</v>
      </c>
      <c r="BP135" s="492">
        <f t="shared" si="404"/>
        <v>37.307732058046298</v>
      </c>
      <c r="BQ135" s="451">
        <f t="shared" si="381"/>
        <v>25.405206272133384</v>
      </c>
      <c r="BS135" s="413">
        <f>BS130+BS131</f>
        <v>290.89999999999998</v>
      </c>
      <c r="BT135" s="492">
        <f t="shared" si="405"/>
        <v>37.827315508939293</v>
      </c>
      <c r="BU135" s="451">
        <f>(BS135/BO135-1)*100</f>
        <v>22.360189092865856</v>
      </c>
      <c r="BW135" s="413">
        <f>BW130+BW131</f>
        <v>235.815</v>
      </c>
      <c r="BX135" s="492">
        <f t="shared" si="406"/>
        <v>37.74338372400107</v>
      </c>
      <c r="BY135" s="451">
        <f t="shared" si="382"/>
        <v>-18.936060501890683</v>
      </c>
      <c r="CA135" s="413">
        <f>CA130+CA131</f>
        <v>220.9</v>
      </c>
      <c r="CB135" s="492">
        <f t="shared" si="407"/>
        <v>37.63202725724021</v>
      </c>
      <c r="CC135" s="451">
        <f t="shared" si="383"/>
        <v>-6.3248733117062024</v>
      </c>
      <c r="CE135" s="413">
        <f>CE130+CE131</f>
        <v>271</v>
      </c>
      <c r="CF135" s="492">
        <f t="shared" si="408"/>
        <v>37.586685159500696</v>
      </c>
      <c r="CG135" s="451">
        <f>(CE135/CA135-1)*100</f>
        <v>22.679945676776825</v>
      </c>
      <c r="CI135" s="413">
        <f>CI130+CI131</f>
        <v>290</v>
      </c>
      <c r="CJ135" s="492">
        <f t="shared" si="409"/>
        <v>36.708860759493675</v>
      </c>
      <c r="CK135" s="451">
        <f>(CI135/CE135-1)*100</f>
        <v>7.0110701107011009</v>
      </c>
      <c r="CM135" s="413">
        <f>CM130+CM131</f>
        <v>222</v>
      </c>
      <c r="CN135" s="492">
        <f>(CM135/CM125)*100</f>
        <v>36.097560975609753</v>
      </c>
      <c r="CO135" s="451">
        <f>(CM135/CI135-1)*100</f>
        <v>-23.448275862068968</v>
      </c>
      <c r="CQ135" s="413">
        <f>CQ130+CQ131</f>
        <v>223</v>
      </c>
      <c r="CR135" s="492">
        <f>(CQ135/CQ125)*100</f>
        <v>37.104825291181363</v>
      </c>
      <c r="CS135" s="451">
        <f>(CQ135/CM135-1)*100</f>
        <v>0.45045045045044585</v>
      </c>
      <c r="CU135" s="413">
        <f>CU130+CU131</f>
        <v>204</v>
      </c>
      <c r="CV135" s="492">
        <f>(CU135/CU125)*100</f>
        <v>36.428571428571423</v>
      </c>
      <c r="CW135" s="451">
        <f t="shared" si="384"/>
        <v>-8.5201793721973118</v>
      </c>
      <c r="CY135" s="413">
        <f>CY130+CY131</f>
        <v>195.16</v>
      </c>
      <c r="CZ135" s="492">
        <f>(CY135/CY125)*100</f>
        <v>36.410447761194028</v>
      </c>
      <c r="DA135" s="451">
        <f t="shared" si="385"/>
        <v>-4.3333333333333339</v>
      </c>
      <c r="DC135" s="413">
        <f>DC130+DC131</f>
        <v>164.07999999999998</v>
      </c>
      <c r="DD135" s="492">
        <f>(DC135/DC125)*100</f>
        <v>37.038374717832959</v>
      </c>
      <c r="DE135" s="451">
        <f t="shared" si="410"/>
        <v>-15.925394548063132</v>
      </c>
      <c r="DG135" s="413">
        <f>DG130+DG131</f>
        <v>167</v>
      </c>
      <c r="DH135" s="492">
        <f>(DG135/DG125)*100</f>
        <v>37.868480725623584</v>
      </c>
      <c r="DI135" s="451">
        <f t="shared" si="386"/>
        <v>1.7796196977084344</v>
      </c>
      <c r="DJ135" s="451"/>
      <c r="DK135" s="413">
        <f>DK130+DK131</f>
        <v>115.46019703330015</v>
      </c>
      <c r="DL135" s="1243">
        <f>(DK135/DK125)*100</f>
        <v>24.5</v>
      </c>
      <c r="DM135" s="451">
        <f t="shared" si="387"/>
        <v>-30.862157465089734</v>
      </c>
      <c r="DN135" s="451"/>
    </row>
    <row r="136" spans="1:122" outlineLevel="1" x14ac:dyDescent="0.2">
      <c r="A136" s="448" t="s">
        <v>468</v>
      </c>
      <c r="C136" s="413">
        <f>C133+C132</f>
        <v>11.984999999999999</v>
      </c>
      <c r="D136" s="492">
        <f t="shared" si="388"/>
        <v>44.220197026159539</v>
      </c>
      <c r="E136" s="470" t="s">
        <v>1</v>
      </c>
      <c r="F136" s="305"/>
      <c r="G136" s="413">
        <f>G133+G132</f>
        <v>14.228999999999999</v>
      </c>
      <c r="H136" s="492">
        <f t="shared" si="389"/>
        <v>43.600428987283642</v>
      </c>
      <c r="I136" s="451">
        <f t="shared" si="367"/>
        <v>18.723404255319153</v>
      </c>
      <c r="K136" s="413">
        <f>K133+K132</f>
        <v>23.801000000000002</v>
      </c>
      <c r="L136" s="492">
        <f t="shared" si="390"/>
        <v>44.536965999887748</v>
      </c>
      <c r="M136" s="451">
        <f t="shared" si="368"/>
        <v>67.271066132546224</v>
      </c>
      <c r="O136" s="413">
        <f>O133+O132</f>
        <v>30.706000000000003</v>
      </c>
      <c r="P136" s="492">
        <f t="shared" si="391"/>
        <v>42.702379462361094</v>
      </c>
      <c r="Q136" s="451">
        <f t="shared" si="369"/>
        <v>29.011386076215295</v>
      </c>
      <c r="R136" s="305"/>
      <c r="S136" s="413">
        <f>S133+S132</f>
        <v>33.792999999999999</v>
      </c>
      <c r="T136" s="492">
        <f t="shared" si="392"/>
        <v>41.448546547283193</v>
      </c>
      <c r="U136" s="451">
        <f t="shared" si="370"/>
        <v>10.053409757050735</v>
      </c>
      <c r="W136" s="413">
        <f>W133+W132</f>
        <v>34.265999999999998</v>
      </c>
      <c r="X136" s="492">
        <f t="shared" si="393"/>
        <v>40.836123988511616</v>
      </c>
      <c r="Y136" s="451">
        <f t="shared" si="371"/>
        <v>1.3996981623413118</v>
      </c>
      <c r="AA136" s="413">
        <f>AA133+AA132</f>
        <v>49.269000000000005</v>
      </c>
      <c r="AB136" s="492">
        <f t="shared" si="394"/>
        <v>39.947945805258925</v>
      </c>
      <c r="AC136" s="451">
        <f>(AA136/W136-1)*100</f>
        <v>43.78392575731047</v>
      </c>
      <c r="AE136" s="413">
        <f>AE133+AE132</f>
        <v>69.798665999999969</v>
      </c>
      <c r="AF136" s="492">
        <f t="shared" si="395"/>
        <v>39.900000000000006</v>
      </c>
      <c r="AG136" s="451">
        <f t="shared" si="372"/>
        <v>41.668525847896156</v>
      </c>
      <c r="AI136" s="413">
        <f>AI133+AI132</f>
        <v>86.802999999999997</v>
      </c>
      <c r="AJ136" s="492">
        <f t="shared" si="396"/>
        <v>40.72275704179097</v>
      </c>
      <c r="AK136" s="451">
        <f t="shared" si="373"/>
        <v>24.361975628588706</v>
      </c>
      <c r="AM136" s="413">
        <f>AM133+AM132</f>
        <v>109.589</v>
      </c>
      <c r="AN136" s="492">
        <f t="shared" si="397"/>
        <v>39.076684994615711</v>
      </c>
      <c r="AO136" s="451">
        <f t="shared" si="374"/>
        <v>26.250244807207125</v>
      </c>
      <c r="AQ136" s="413">
        <f>AQ133+AQ132</f>
        <v>159.47499999999999</v>
      </c>
      <c r="AR136" s="492">
        <f t="shared" si="398"/>
        <v>38.867427889009406</v>
      </c>
      <c r="AS136" s="451">
        <f t="shared" si="375"/>
        <v>45.52099207037201</v>
      </c>
      <c r="AU136" s="413">
        <f>AU133+AU132</f>
        <v>204.28400000000002</v>
      </c>
      <c r="AV136" s="492">
        <f t="shared" si="399"/>
        <v>38.273205533656096</v>
      </c>
      <c r="AW136" s="451">
        <f t="shared" si="376"/>
        <v>28.097820975074473</v>
      </c>
      <c r="AY136" s="413">
        <f>AY133+AY132</f>
        <v>250.62</v>
      </c>
      <c r="AZ136" s="492">
        <f t="shared" si="400"/>
        <v>38.11409591941014</v>
      </c>
      <c r="BA136" s="451">
        <f t="shared" si="377"/>
        <v>22.682148381664735</v>
      </c>
      <c r="BC136" s="413">
        <f>BC133+BC132</f>
        <v>222.29999999999998</v>
      </c>
      <c r="BD136" s="492">
        <f t="shared" si="401"/>
        <v>38.07093558938876</v>
      </c>
      <c r="BE136" s="451">
        <f t="shared" si="378"/>
        <v>-11.299976059372764</v>
      </c>
      <c r="BG136" s="413">
        <f>BG133+BG132</f>
        <v>275.56351200000017</v>
      </c>
      <c r="BH136" s="492">
        <f t="shared" si="402"/>
        <v>37.800000000000026</v>
      </c>
      <c r="BI136" s="451">
        <f t="shared" si="379"/>
        <v>23.960194331983885</v>
      </c>
      <c r="BK136" s="413">
        <f>BK133+BK132</f>
        <v>322.19999999999993</v>
      </c>
      <c r="BL136" s="492">
        <f t="shared" si="403"/>
        <v>37.808026284909658</v>
      </c>
      <c r="BM136" s="451">
        <f t="shared" si="380"/>
        <v>16.92404326738286</v>
      </c>
      <c r="BO136" s="413">
        <f>BO133+BO132</f>
        <v>427.899</v>
      </c>
      <c r="BP136" s="492">
        <f t="shared" si="404"/>
        <v>37.634202437125914</v>
      </c>
      <c r="BQ136" s="451">
        <f t="shared" si="381"/>
        <v>32.805400372439507</v>
      </c>
      <c r="BS136" s="413">
        <f>BS133+BS132</f>
        <v>367.3</v>
      </c>
      <c r="BT136" s="492">
        <f t="shared" si="405"/>
        <v>37.749229188078104</v>
      </c>
      <c r="BU136" s="451">
        <f>(BS136/BO136-1)*100</f>
        <v>-14.16198682399351</v>
      </c>
      <c r="BW136" s="413">
        <f>BW133+BW132</f>
        <v>303.91700000000003</v>
      </c>
      <c r="BX136" s="492">
        <f t="shared" si="406"/>
        <v>37.986111284706169</v>
      </c>
      <c r="BY136" s="451">
        <f t="shared" si="382"/>
        <v>-17.256466104002179</v>
      </c>
      <c r="CA136" s="413">
        <f>CA133+CA132</f>
        <v>375</v>
      </c>
      <c r="CB136" s="492">
        <f t="shared" si="407"/>
        <v>37.5</v>
      </c>
      <c r="CC136" s="451">
        <f t="shared" si="383"/>
        <v>23.388951588756136</v>
      </c>
      <c r="CE136" s="413">
        <f>CE133+CE132</f>
        <v>397</v>
      </c>
      <c r="CF136" s="492">
        <f t="shared" si="408"/>
        <v>37.207122774133083</v>
      </c>
      <c r="CG136" s="451">
        <f>(CE136/CA136-1)*100</f>
        <v>5.8666666666666645</v>
      </c>
      <c r="CI136" s="413">
        <f>CI133+CI132</f>
        <v>403</v>
      </c>
      <c r="CJ136" s="492">
        <f t="shared" si="409"/>
        <v>37.663551401869164</v>
      </c>
      <c r="CK136" s="451">
        <f>(CI136/CE136-1)*100</f>
        <v>1.5113350125944613</v>
      </c>
      <c r="CM136" s="413">
        <f>CM133+CM132</f>
        <v>353</v>
      </c>
      <c r="CN136" s="492">
        <f>(CM136/CM126)*100</f>
        <v>37.334743521946059</v>
      </c>
      <c r="CO136" s="451">
        <f>(CM136/CI136-1)*100</f>
        <v>-12.406947890818854</v>
      </c>
      <c r="CQ136" s="413">
        <f>CQ133+CQ132</f>
        <v>292</v>
      </c>
      <c r="CR136" s="492">
        <f>(CQ136/CQ126)*100</f>
        <v>36.363636363636367</v>
      </c>
      <c r="CS136" s="451">
        <f>(CQ136/CM136-1)*100</f>
        <v>-17.280453257790374</v>
      </c>
      <c r="CU136" s="413">
        <f>CU133+CU132</f>
        <v>278</v>
      </c>
      <c r="CV136" s="492">
        <f>(CU136/CU126)*100</f>
        <v>35.234474017743977</v>
      </c>
      <c r="CW136" s="451">
        <f t="shared" si="384"/>
        <v>-4.7945205479452024</v>
      </c>
      <c r="CY136" s="413">
        <f>CY133+CY132</f>
        <v>248.68</v>
      </c>
      <c r="CZ136" s="492">
        <f>(CY136/CY126)*100</f>
        <v>36.092888243831638</v>
      </c>
      <c r="DA136" s="451">
        <f t="shared" si="385"/>
        <v>-10.546762589928061</v>
      </c>
      <c r="DC136" s="413">
        <f>DC133+DC132</f>
        <v>222.78</v>
      </c>
      <c r="DD136" s="492">
        <f>(DC136/DC126)*100</f>
        <v>36.10696920583468</v>
      </c>
      <c r="DE136" s="451">
        <f t="shared" si="410"/>
        <v>-10.414991153289366</v>
      </c>
      <c r="DG136" s="413">
        <f>DG133+DG132</f>
        <v>233</v>
      </c>
      <c r="DH136" s="492">
        <f>(DG136/DG126)*100</f>
        <v>34.467455621301774</v>
      </c>
      <c r="DI136" s="451">
        <f t="shared" si="386"/>
        <v>4.5874854116168429</v>
      </c>
      <c r="DJ136" s="451"/>
      <c r="DK136" s="413">
        <f>DK133+DK132</f>
        <v>143.4580185114998</v>
      </c>
      <c r="DL136" s="1243">
        <f>(DK136/DK126)*100</f>
        <v>24.499999999999996</v>
      </c>
      <c r="DM136" s="451">
        <f t="shared" si="387"/>
        <v>-38.430034973605231</v>
      </c>
      <c r="DN136" s="451"/>
    </row>
    <row r="137" spans="1:122" outlineLevel="1" x14ac:dyDescent="0.2">
      <c r="C137" s="413"/>
      <c r="D137" s="459"/>
      <c r="E137" s="459"/>
      <c r="F137" s="305"/>
      <c r="G137" s="413"/>
      <c r="H137" s="459"/>
      <c r="I137" s="459"/>
      <c r="K137" s="413"/>
      <c r="O137" s="413"/>
      <c r="R137" s="305"/>
      <c r="S137" s="413"/>
      <c r="W137" s="413"/>
      <c r="AA137" s="413"/>
      <c r="AE137" s="413"/>
      <c r="AI137" s="413"/>
      <c r="AM137" s="413"/>
      <c r="AQ137" s="413"/>
      <c r="AU137" s="413"/>
      <c r="AY137" s="413"/>
      <c r="BC137" s="413"/>
      <c r="BG137" s="413"/>
      <c r="BK137" s="413"/>
      <c r="BO137" s="413"/>
      <c r="BS137" s="413"/>
      <c r="BW137" s="413"/>
      <c r="CA137" s="413"/>
      <c r="CE137" s="413"/>
      <c r="CI137" s="413"/>
    </row>
    <row r="138" spans="1:122" outlineLevel="1" x14ac:dyDescent="0.2">
      <c r="B138" s="390"/>
      <c r="C138" s="424"/>
      <c r="D138" s="495"/>
      <c r="E138" s="495"/>
      <c r="F138" s="496"/>
      <c r="G138" s="424"/>
      <c r="H138" s="495"/>
      <c r="I138" s="495"/>
      <c r="J138" s="390"/>
      <c r="K138" s="424"/>
      <c r="L138" s="390"/>
      <c r="M138" s="390"/>
      <c r="N138" s="390"/>
      <c r="O138" s="424"/>
      <c r="P138" s="390"/>
      <c r="Q138" s="390"/>
      <c r="R138" s="496"/>
      <c r="S138" s="424"/>
      <c r="T138" s="390"/>
      <c r="U138" s="390"/>
      <c r="V138" s="390"/>
      <c r="W138" s="424"/>
      <c r="X138" s="390"/>
      <c r="Y138" s="390"/>
      <c r="Z138" s="390"/>
      <c r="AA138" s="424"/>
      <c r="AB138" s="390"/>
      <c r="AC138" s="390"/>
      <c r="AD138" s="390"/>
      <c r="AE138" s="424"/>
      <c r="AF138" s="390"/>
      <c r="AG138" s="390"/>
      <c r="AH138" s="390"/>
      <c r="AI138" s="424"/>
      <c r="AJ138" s="390"/>
      <c r="AK138" s="390"/>
      <c r="AL138" s="390"/>
      <c r="AM138" s="424"/>
      <c r="AN138" s="390"/>
      <c r="AO138" s="390"/>
      <c r="AP138" s="390"/>
      <c r="AQ138" s="424"/>
      <c r="AR138" s="390"/>
      <c r="AS138" s="390"/>
      <c r="AT138" s="390"/>
      <c r="AU138" s="424"/>
      <c r="AV138" s="390"/>
      <c r="AW138" s="390"/>
      <c r="AX138" s="390"/>
      <c r="AY138" s="424"/>
      <c r="AZ138" s="390"/>
      <c r="BA138" s="390"/>
      <c r="BB138" s="390"/>
      <c r="BC138" s="424"/>
      <c r="BD138" s="390"/>
      <c r="BE138" s="390"/>
      <c r="BF138" s="390"/>
      <c r="BG138" s="424"/>
      <c r="BH138" s="390"/>
      <c r="BI138" s="390"/>
      <c r="BJ138" s="390"/>
      <c r="BK138" s="424"/>
      <c r="BL138" s="390"/>
      <c r="BM138" s="390"/>
      <c r="BN138" s="390"/>
      <c r="BO138" s="424"/>
      <c r="BP138" s="390"/>
      <c r="BQ138" s="390"/>
      <c r="BR138" s="390"/>
      <c r="BS138" s="424"/>
      <c r="BT138" s="390"/>
      <c r="BU138" s="390"/>
      <c r="BV138" s="390"/>
      <c r="BW138" s="424"/>
      <c r="BX138" s="390"/>
      <c r="BY138" s="390"/>
      <c r="BZ138" s="390"/>
      <c r="CA138" s="424"/>
      <c r="CB138" s="390"/>
      <c r="CC138" s="390"/>
      <c r="CD138" s="390"/>
      <c r="CE138" s="424"/>
      <c r="CF138" s="390"/>
      <c r="CG138" s="390"/>
      <c r="CH138" s="390"/>
      <c r="CI138" s="424"/>
      <c r="CJ138" s="390"/>
      <c r="CK138" s="1352" t="s">
        <v>290</v>
      </c>
      <c r="CL138" s="1352"/>
      <c r="CM138" s="1352"/>
      <c r="CN138" s="1352"/>
      <c r="CO138" s="1352"/>
      <c r="CP138" s="1352"/>
      <c r="CQ138" s="1352"/>
      <c r="CR138" s="390"/>
      <c r="CS138" s="390"/>
      <c r="CT138" s="390"/>
      <c r="CU138" s="390"/>
      <c r="CV138" s="390"/>
      <c r="CW138" s="390"/>
      <c r="CX138" s="390"/>
      <c r="CY138" s="447" t="s">
        <v>290</v>
      </c>
      <c r="CZ138" s="447"/>
      <c r="DA138" s="447"/>
      <c r="DB138" s="447"/>
      <c r="DC138" s="447"/>
      <c r="DD138" s="447"/>
      <c r="DE138" s="447"/>
      <c r="DF138" s="447"/>
      <c r="DG138" s="447"/>
      <c r="DH138" s="447"/>
      <c r="DI138" s="447"/>
      <c r="DJ138" s="447"/>
      <c r="DK138" s="447"/>
      <c r="DL138" s="447"/>
      <c r="DM138" s="447"/>
      <c r="DN138" s="390"/>
      <c r="DP138" s="390"/>
    </row>
    <row r="139" spans="1:122" outlineLevel="1" x14ac:dyDescent="0.2">
      <c r="C139" s="413"/>
      <c r="D139" s="459"/>
      <c r="E139" s="459"/>
      <c r="F139" s="305"/>
      <c r="G139" s="413"/>
      <c r="H139" s="459"/>
      <c r="I139" s="459"/>
      <c r="K139" s="413"/>
      <c r="O139" s="413"/>
      <c r="R139" s="305"/>
      <c r="S139" s="413"/>
      <c r="W139" s="413"/>
      <c r="AA139" s="413"/>
      <c r="AE139" s="413"/>
      <c r="AI139" s="413"/>
      <c r="AM139" s="413"/>
      <c r="AQ139" s="413"/>
      <c r="AU139" s="413"/>
      <c r="AY139" s="413"/>
      <c r="BC139" s="413"/>
      <c r="BG139" s="413"/>
      <c r="BK139" s="413"/>
      <c r="BO139" s="413"/>
      <c r="BS139" s="413"/>
      <c r="BW139" s="413"/>
      <c r="CA139" s="413"/>
      <c r="CE139" s="413"/>
      <c r="CI139" s="413"/>
    </row>
    <row r="140" spans="1:122" outlineLevel="1" x14ac:dyDescent="0.2">
      <c r="A140" s="448" t="s">
        <v>89</v>
      </c>
      <c r="C140" s="319">
        <f>C120-C130</f>
        <v>-1.5049999999999939</v>
      </c>
      <c r="D140" s="492">
        <f t="shared" ref="D140:D146" si="411">C140/C10*100</f>
        <v>-0.93262771732394323</v>
      </c>
      <c r="E140" s="470" t="s">
        <v>1</v>
      </c>
      <c r="F140" s="305"/>
      <c r="G140" s="319">
        <f>G120-G130</f>
        <v>0.50000000000000133</v>
      </c>
      <c r="H140" s="492">
        <f t="shared" ref="H140:H146" si="412">G140/G10*100</f>
        <v>0.26160752592530651</v>
      </c>
      <c r="I140" s="451">
        <f t="shared" ref="I140:I146" si="413">(G140/C140-1)*100</f>
        <v>-133.22259136212645</v>
      </c>
      <c r="K140" s="319">
        <f>K120-K130</f>
        <v>2.7639999999999998</v>
      </c>
      <c r="L140" s="492">
        <f t="shared" ref="L140:L146" si="414">K140/K10*100</f>
        <v>1.3062381852551983</v>
      </c>
      <c r="M140" s="451">
        <f t="shared" ref="M140:M146" si="415">(K140/G140-1)*100</f>
        <v>452.79999999999848</v>
      </c>
      <c r="O140" s="319">
        <f>O120-O130</f>
        <v>7.4529999999999994</v>
      </c>
      <c r="P140" s="492">
        <f t="shared" ref="P140:P146" si="416">O140/O10*100</f>
        <v>2.9788169464428456</v>
      </c>
      <c r="Q140" s="451">
        <f t="shared" ref="Q140:Q146" si="417">(O140/K140-1)*100</f>
        <v>169.64544138929091</v>
      </c>
      <c r="R140" s="305"/>
      <c r="S140" s="319">
        <f>S120-S130</f>
        <v>11.27800000000002</v>
      </c>
      <c r="T140" s="492">
        <f t="shared" ref="T140:T146" si="418">S140/S10*100</f>
        <v>3.6640675763482844</v>
      </c>
      <c r="U140" s="451">
        <f t="shared" ref="U140:U146" si="419">(S140/O140-1)*100</f>
        <v>51.321615456863292</v>
      </c>
      <c r="W140" s="319">
        <f>W120-W130</f>
        <v>11.830999999999998</v>
      </c>
      <c r="X140" s="492">
        <f t="shared" ref="X140:X146" si="420">W140/W10*100</f>
        <v>3.2114549402823016</v>
      </c>
      <c r="Y140" s="451">
        <f t="shared" ref="Y140:Y146" si="421">(W140/S140-1)*100</f>
        <v>4.9033516580952119</v>
      </c>
      <c r="AA140" s="319">
        <f>AA120-AA130</f>
        <v>13.86199999999997</v>
      </c>
      <c r="AB140" s="492">
        <f t="shared" ref="AB140:AB146" si="422">AA140/AA10*100</f>
        <v>2.9575421378280287</v>
      </c>
      <c r="AC140" s="451">
        <f t="shared" ref="AC140:AC146" si="423">(AA140/W140-1)*100</f>
        <v>17.166765277660147</v>
      </c>
      <c r="AE140" s="319">
        <f>AE120-AE130</f>
        <v>15.279999999999976</v>
      </c>
      <c r="AF140" s="492">
        <f t="shared" ref="AF140:AF146" si="424">AE140/AE10*100</f>
        <v>2.5443470702542808</v>
      </c>
      <c r="AG140" s="451">
        <f t="shared" ref="AG140:AG146" si="425">(AE140/AA140-1)*100</f>
        <v>10.229404126388753</v>
      </c>
      <c r="AI140" s="319">
        <f>AI120-AI130</f>
        <v>21.747000000000039</v>
      </c>
      <c r="AJ140" s="492">
        <f t="shared" ref="AJ140:AJ146" si="426">AI140/AI10*100</f>
        <v>2.9206285253827611</v>
      </c>
      <c r="AK140" s="451">
        <f t="shared" ref="AK140:AK146" si="427">(AI140/AE140-1)*100</f>
        <v>42.323298429319856</v>
      </c>
      <c r="AM140" s="319">
        <f>AM120-AM130</f>
        <v>37.672999999999931</v>
      </c>
      <c r="AN140" s="492">
        <f t="shared" ref="AN140:AN146" si="428">AM140/AM10*100</f>
        <v>4.1385257607382107</v>
      </c>
      <c r="AO140" s="451">
        <f t="shared" ref="AO140:AO146" si="429">(AM140/AI140-1)*100</f>
        <v>73.233089621556374</v>
      </c>
      <c r="AQ140" s="319">
        <f>AQ120-AQ130</f>
        <v>49.942000000000171</v>
      </c>
      <c r="AR140" s="492">
        <f t="shared" ref="AR140:AR146" si="430">AQ140/AQ10*100</f>
        <v>4.064621144298866</v>
      </c>
      <c r="AS140" s="451">
        <f t="shared" ref="AS140:AS146" si="431">(AQ140/AM140-1)*100</f>
        <v>32.567090489210472</v>
      </c>
      <c r="AU140" s="319">
        <f>AU120-AU130</f>
        <v>72.137999999999977</v>
      </c>
      <c r="AV140" s="492">
        <f t="shared" ref="AV140:AW144" si="432">AU140/AU10*100</f>
        <v>4.8470066518846995</v>
      </c>
      <c r="AW140" s="492">
        <f t="shared" si="432"/>
        <v>22.941128941335641</v>
      </c>
      <c r="AX140" s="451">
        <f>(AV140/AR140-1)*100</f>
        <v>19.248669920522012</v>
      </c>
      <c r="AY140" s="319">
        <f>AY120-AY130</f>
        <v>103.42299999999996</v>
      </c>
      <c r="AZ140" s="492">
        <f t="shared" ref="AZ140:AZ146" si="433">AY140/AY10*100</f>
        <v>5.5291633253140846</v>
      </c>
      <c r="BA140" s="451">
        <f t="shared" ref="BA140:BA146" si="434">(AY140/AU140-1)*100</f>
        <v>43.368266378330425</v>
      </c>
      <c r="BC140" s="319">
        <f>BC120-BC130</f>
        <v>106.96899999999981</v>
      </c>
      <c r="BD140" s="492">
        <f t="shared" ref="BD140:BD146" si="435">BC140/BC10*100</f>
        <v>5.0511876091986503</v>
      </c>
      <c r="BE140" s="451">
        <f t="shared" ref="BE140:BE146" si="436">(BC140/AY140-1)*100</f>
        <v>3.4286377304853399</v>
      </c>
      <c r="BG140" s="319">
        <f>BG120-BG130</f>
        <v>103.06539999999993</v>
      </c>
      <c r="BH140" s="492">
        <f t="shared" ref="BH140:BH146" si="437">BG140/BG10*100</f>
        <v>4.3301151163767724</v>
      </c>
      <c r="BI140" s="451">
        <f t="shared" ref="BI140:BI146" si="438">(BG140/BC140-1)*100</f>
        <v>-3.6492815675568502</v>
      </c>
      <c r="BK140" s="319">
        <f>BK120-BK130</f>
        <v>124.70000000000029</v>
      </c>
      <c r="BL140" s="492">
        <f t="shared" ref="BL140:BL146" si="439">BK140/BK10*100</f>
        <v>4.5464488843517676</v>
      </c>
      <c r="BM140" s="451">
        <f t="shared" ref="BM140:BM146" si="440">(BK140/BG140-1)*100</f>
        <v>20.991137665987214</v>
      </c>
      <c r="BO140" s="319">
        <f>BO120-BO130</f>
        <v>167.09737164179106</v>
      </c>
      <c r="BP140" s="492">
        <f t="shared" ref="BP140:BP146" si="441">BO140/BO10*100</f>
        <v>5.2468795064461666</v>
      </c>
      <c r="BQ140" s="451">
        <f t="shared" ref="BQ140:BQ146" si="442">(BO140/BK140-1)*100</f>
        <v>33.999496104082326</v>
      </c>
      <c r="BS140" s="319">
        <f>BS120-BS130</f>
        <v>209.0000000000002</v>
      </c>
      <c r="BT140" s="492">
        <f t="shared" ref="BT140:BT146" si="443">BS140/BS10*100</f>
        <v>5.8510638297872397</v>
      </c>
      <c r="BU140" s="451">
        <f t="shared" ref="BU140:BU146" si="444">(BS140/BO140-1)*100</f>
        <v>25.076772869914677</v>
      </c>
      <c r="BW140" s="319">
        <f>BW120-BW130</f>
        <v>152.95500000000024</v>
      </c>
      <c r="BX140" s="492">
        <f t="shared" ref="BX140:BX146" si="445">BW140/BW10*100</f>
        <v>4.2203109656346367</v>
      </c>
      <c r="BY140" s="451">
        <f t="shared" ref="BY140:BY146" si="446">(BW140/BS140-1)*100</f>
        <v>-26.81578947368417</v>
      </c>
      <c r="CA140" s="319">
        <f>CA120-CA130</f>
        <v>137</v>
      </c>
      <c r="CB140" s="492">
        <f t="shared" ref="CB140:CB146" si="447">CA140/CA10*100</f>
        <v>3.765805387575591</v>
      </c>
      <c r="CC140" s="451">
        <f t="shared" ref="CC140:CC146" si="448">(CA140/BW140-1)*100</f>
        <v>-10.431172567095038</v>
      </c>
      <c r="CE140" s="319">
        <f>CE120-CE130</f>
        <v>195</v>
      </c>
      <c r="CF140" s="492">
        <f t="shared" ref="CF140:CF146" si="449">CE140/CE10*100</f>
        <v>4.8327137546468402</v>
      </c>
      <c r="CG140" s="451">
        <f t="shared" ref="CG140:CG146" si="450">(CE140/CA140-1)*100</f>
        <v>42.335766423357654</v>
      </c>
      <c r="CI140" s="319">
        <f>CI120-CI130</f>
        <v>201</v>
      </c>
      <c r="CJ140" s="492">
        <f t="shared" ref="CJ140:CJ146" si="451">CI140/CI10*100</f>
        <v>4.8294089380105714</v>
      </c>
      <c r="CK140" s="451">
        <f t="shared" ref="CK140:CK146" si="452">(CI140/CE140-1)*100</f>
        <v>3.076923076923066</v>
      </c>
      <c r="CM140" s="319">
        <f>CM120-CM130</f>
        <v>153.5</v>
      </c>
      <c r="CN140" s="492">
        <f t="shared" ref="CN140:CN146" si="453">CM140/CM10*100</f>
        <v>3.617723308979496</v>
      </c>
      <c r="CO140" s="451">
        <f t="shared" ref="CO140:CO146" si="454">(CM140/CI140-1)*100</f>
        <v>-23.631840796019898</v>
      </c>
      <c r="CQ140" s="319">
        <f>CQ120-CQ130</f>
        <v>147</v>
      </c>
      <c r="CR140" s="492">
        <f t="shared" ref="CR140:CR146" si="455">CQ140/CQ10*100</f>
        <v>3.5008335317932842</v>
      </c>
      <c r="CS140" s="451">
        <f t="shared" ref="CS140:CS146" si="456">(CQ140/CM140-1)*100</f>
        <v>-4.2345276872964188</v>
      </c>
      <c r="CU140" s="319">
        <f>CU120-CU130</f>
        <v>125</v>
      </c>
      <c r="CV140" s="492">
        <f t="shared" ref="CV140:CV146" si="457">CU140/CU10*100</f>
        <v>3.0712530712530715</v>
      </c>
      <c r="CW140" s="451">
        <f t="shared" ref="CW140:CW146" si="458">(CU140/CQ140-1)*100</f>
        <v>-14.965986394557829</v>
      </c>
      <c r="CY140" s="319">
        <f>CY120-CY130</f>
        <v>127</v>
      </c>
      <c r="CZ140" s="492">
        <f t="shared" ref="CZ140:CZ146" si="459">CY140/CY10*100</f>
        <v>3.0802813485326217</v>
      </c>
      <c r="DA140" s="451">
        <f t="shared" ref="DA140:DA146" si="460">(CY140/CU140-1)*100</f>
        <v>1.6000000000000014</v>
      </c>
      <c r="DC140" s="319">
        <f>DC120-DC130</f>
        <v>57.64</v>
      </c>
      <c r="DD140" s="492">
        <f t="shared" ref="DD140:DD146" si="461">DC140/DC10*100</f>
        <v>1.4511581067472306</v>
      </c>
      <c r="DE140" s="451">
        <f t="shared" ref="DE140:DE146" si="462">(DC140/CY140-1)*100</f>
        <v>-54.614173228346452</v>
      </c>
      <c r="DG140" s="319">
        <f>DG120-DG130</f>
        <v>66</v>
      </c>
      <c r="DH140" s="492">
        <f t="shared" ref="DH140:DH146" si="463">DG140/DG10*100</f>
        <v>1.7174082747853241</v>
      </c>
      <c r="DI140" s="451">
        <f t="shared" ref="DI140:DI146" si="464">(DG140/DC140-1)*100</f>
        <v>14.503816793893121</v>
      </c>
      <c r="DJ140" s="451"/>
      <c r="DK140" s="319">
        <f>DK120-DK130</f>
        <v>81.309777502700058</v>
      </c>
      <c r="DL140" s="492">
        <f t="shared" ref="DL140:DL146" si="465">DK140/DK10*100</f>
        <v>2.0450310865872718</v>
      </c>
      <c r="DM140" s="451">
        <f t="shared" ref="DM140:DM146" si="466">(DK140/DG140-1)*100</f>
        <v>23.196632579848565</v>
      </c>
      <c r="DN140" s="451"/>
    </row>
    <row r="141" spans="1:122" outlineLevel="1" x14ac:dyDescent="0.2">
      <c r="A141" s="448" t="s">
        <v>90</v>
      </c>
      <c r="C141" s="413">
        <f>C121-C131</f>
        <v>-2.1270000000000171</v>
      </c>
      <c r="D141" s="492">
        <f t="shared" si="411"/>
        <v>-1.3630683456695296</v>
      </c>
      <c r="E141" s="470" t="s">
        <v>1</v>
      </c>
      <c r="F141" s="305"/>
      <c r="G141" s="413">
        <f>G121-G131</f>
        <v>-0.14099999999998958</v>
      </c>
      <c r="H141" s="492">
        <f t="shared" si="412"/>
        <v>-7.8947368421046799E-2</v>
      </c>
      <c r="I141" s="451">
        <f t="shared" si="413"/>
        <v>-93.370944992948353</v>
      </c>
      <c r="K141" s="413">
        <f>K121-K131</f>
        <v>-6.7680000000000051</v>
      </c>
      <c r="L141" s="492">
        <f t="shared" si="414"/>
        <v>-3.1102941176470611</v>
      </c>
      <c r="M141" s="451">
        <f t="shared" si="415"/>
        <v>4700.0000000003583</v>
      </c>
      <c r="O141" s="413">
        <f>O121-O131</f>
        <v>6.8619999999999948</v>
      </c>
      <c r="P141" s="492">
        <f t="shared" si="416"/>
        <v>2.6658896658896638</v>
      </c>
      <c r="Q141" s="451">
        <f t="shared" si="417"/>
        <v>-201.38888888888874</v>
      </c>
      <c r="R141" s="305"/>
      <c r="S141" s="413">
        <f>S121-S131</f>
        <v>9.436999999999955</v>
      </c>
      <c r="T141" s="492">
        <f t="shared" si="418"/>
        <v>3.2274281805745404</v>
      </c>
      <c r="U141" s="451">
        <f t="shared" si="419"/>
        <v>37.525502768871497</v>
      </c>
      <c r="W141" s="413">
        <f>W121-W131</f>
        <v>10.907000000000021</v>
      </c>
      <c r="X141" s="492">
        <f t="shared" si="420"/>
        <v>3.0022020368841233</v>
      </c>
      <c r="Y141" s="451">
        <f t="shared" si="421"/>
        <v>15.576984211084799</v>
      </c>
      <c r="AA141" s="413">
        <f>AA121-AA131</f>
        <v>14.830000000000028</v>
      </c>
      <c r="AB141" s="492">
        <f t="shared" si="422"/>
        <v>3.1247366203118476</v>
      </c>
      <c r="AC141" s="451">
        <f t="shared" si="423"/>
        <v>35.967727147703307</v>
      </c>
      <c r="AE141" s="413">
        <f>AE121-AE131</f>
        <v>20.841000000000037</v>
      </c>
      <c r="AF141" s="492">
        <f t="shared" si="424"/>
        <v>3.3402410820323261</v>
      </c>
      <c r="AG141" s="451">
        <f t="shared" si="425"/>
        <v>40.532703978422106</v>
      </c>
      <c r="AI141" s="413">
        <f>AI121-AI131</f>
        <v>29.984586000000046</v>
      </c>
      <c r="AJ141" s="492">
        <f t="shared" si="426"/>
        <v>3.9518400000000056</v>
      </c>
      <c r="AK141" s="451">
        <f t="shared" si="427"/>
        <v>43.873067511155874</v>
      </c>
      <c r="AM141" s="413">
        <f>AM121-AM131</f>
        <v>44.480000000000068</v>
      </c>
      <c r="AN141" s="492">
        <f t="shared" si="428"/>
        <v>4.7344332091538126</v>
      </c>
      <c r="AO141" s="451">
        <f t="shared" si="429"/>
        <v>48.342885241103552</v>
      </c>
      <c r="AQ141" s="413">
        <f>AQ121-AQ131</f>
        <v>62.580000000000062</v>
      </c>
      <c r="AR141" s="492">
        <f t="shared" si="430"/>
        <v>4.9848653815517014</v>
      </c>
      <c r="AS141" s="451">
        <f t="shared" si="431"/>
        <v>40.692446043165397</v>
      </c>
      <c r="AU141" s="413">
        <f>AU121-AU131</f>
        <v>85.062999999999946</v>
      </c>
      <c r="AV141" s="492">
        <f t="shared" si="432"/>
        <v>5.6117561683599382</v>
      </c>
      <c r="AW141" s="492">
        <f t="shared" si="432"/>
        <v>27.054526473729151</v>
      </c>
      <c r="AX141" s="451">
        <f>(AV141/AR141-1)*100</f>
        <v>12.575881971221792</v>
      </c>
      <c r="AY141" s="413">
        <f>AY121-AY131</f>
        <v>122.35000000000008</v>
      </c>
      <c r="AZ141" s="492">
        <f t="shared" si="433"/>
        <v>6.3660960507830833</v>
      </c>
      <c r="BA141" s="451">
        <f t="shared" si="434"/>
        <v>43.834569671890435</v>
      </c>
      <c r="BC141" s="413">
        <f>BC121-BC131</f>
        <v>109.30000000000005</v>
      </c>
      <c r="BD141" s="492">
        <f t="shared" si="435"/>
        <v>4.9492845499003826</v>
      </c>
      <c r="BE141" s="451">
        <f t="shared" si="436"/>
        <v>-10.666121781773619</v>
      </c>
      <c r="BG141" s="413">
        <f>BG121-BG131</f>
        <v>147.00700000000015</v>
      </c>
      <c r="BH141" s="492">
        <f t="shared" si="437"/>
        <v>5.8852235878137691</v>
      </c>
      <c r="BI141" s="451">
        <f t="shared" si="438"/>
        <v>34.498627630375189</v>
      </c>
      <c r="BK141" s="413">
        <f>BK121-BK131</f>
        <v>187.19977960398896</v>
      </c>
      <c r="BL141" s="492">
        <f t="shared" si="439"/>
        <v>6.4817623906370612</v>
      </c>
      <c r="BM141" s="451">
        <f t="shared" si="440"/>
        <v>27.340725002203147</v>
      </c>
      <c r="BO141" s="413">
        <f>BO121-BO131</f>
        <v>232.40440389821347</v>
      </c>
      <c r="BP141" s="492">
        <f t="shared" si="441"/>
        <v>7.0393430605542706</v>
      </c>
      <c r="BQ141" s="451">
        <f t="shared" si="442"/>
        <v>24.147797817845973</v>
      </c>
      <c r="BS141" s="413">
        <f>BS121-BS131</f>
        <v>269.12099999999964</v>
      </c>
      <c r="BT141" s="492">
        <f t="shared" si="443"/>
        <v>7.4980775660314176</v>
      </c>
      <c r="BU141" s="451">
        <f t="shared" si="444"/>
        <v>15.798580184335487</v>
      </c>
      <c r="BW141" s="413">
        <f>BW121-BW131</f>
        <v>236.01499999999965</v>
      </c>
      <c r="BX141" s="492">
        <f t="shared" si="445"/>
        <v>6.3351398071126122</v>
      </c>
      <c r="BY141" s="451">
        <f t="shared" si="446"/>
        <v>-12.301529795147925</v>
      </c>
      <c r="CA141" s="413">
        <f>CA121-CA131</f>
        <v>229.1</v>
      </c>
      <c r="CB141" s="492">
        <f t="shared" si="447"/>
        <v>6.0194429847609037</v>
      </c>
      <c r="CC141" s="451">
        <f t="shared" si="448"/>
        <v>-2.9298985233987884</v>
      </c>
      <c r="CE141" s="413">
        <f>CE121-CE131</f>
        <v>255</v>
      </c>
      <c r="CF141" s="492">
        <f t="shared" si="449"/>
        <v>6.2195121951219514</v>
      </c>
      <c r="CG141" s="451">
        <f t="shared" si="450"/>
        <v>11.305106940200794</v>
      </c>
      <c r="CI141" s="413">
        <f>CI121-CI131</f>
        <v>299</v>
      </c>
      <c r="CJ141" s="492">
        <f t="shared" si="451"/>
        <v>7.0386064030131825</v>
      </c>
      <c r="CK141" s="451">
        <f t="shared" si="452"/>
        <v>17.25490196078432</v>
      </c>
      <c r="CM141" s="413">
        <f>CM121-CM131</f>
        <v>239.5</v>
      </c>
      <c r="CN141" s="492">
        <f t="shared" si="453"/>
        <v>5.6956004756242562</v>
      </c>
      <c r="CO141" s="451">
        <f t="shared" si="454"/>
        <v>-19.899665551839462</v>
      </c>
      <c r="CQ141" s="413">
        <f>CQ121-CQ131</f>
        <v>231</v>
      </c>
      <c r="CR141" s="492">
        <f t="shared" si="455"/>
        <v>5.3858708323618565</v>
      </c>
      <c r="CS141" s="451">
        <f t="shared" si="456"/>
        <v>-3.5490605427974997</v>
      </c>
      <c r="CU141" s="413">
        <f>CU121-CU131</f>
        <v>231</v>
      </c>
      <c r="CV141" s="492">
        <f t="shared" si="457"/>
        <v>5.4455445544554459</v>
      </c>
      <c r="CW141" s="451">
        <f t="shared" si="458"/>
        <v>0</v>
      </c>
      <c r="CY141" s="413">
        <f>CY121-CY131</f>
        <v>213.84</v>
      </c>
      <c r="CZ141" s="492">
        <f t="shared" si="459"/>
        <v>5.0114834778532931</v>
      </c>
      <c r="DA141" s="451">
        <f t="shared" si="460"/>
        <v>-7.4285714285714288</v>
      </c>
      <c r="DC141" s="413">
        <f>DC121-DC131</f>
        <v>221.28</v>
      </c>
      <c r="DD141" s="492">
        <f t="shared" si="461"/>
        <v>5.2912482065997128</v>
      </c>
      <c r="DE141" s="451">
        <f t="shared" si="462"/>
        <v>3.4792368125701412</v>
      </c>
      <c r="DG141" s="413">
        <f>DG121-DG131</f>
        <v>208</v>
      </c>
      <c r="DH141" s="492">
        <f t="shared" si="463"/>
        <v>5.019305019305019</v>
      </c>
      <c r="DI141" s="451">
        <f t="shared" si="464"/>
        <v>-6.0014461315979766</v>
      </c>
      <c r="DJ141" s="451"/>
      <c r="DK141" s="413">
        <f>DK121-DK131</f>
        <v>274.49613580400046</v>
      </c>
      <c r="DL141" s="492">
        <f t="shared" si="465"/>
        <v>6.5739792586956991</v>
      </c>
      <c r="DM141" s="451">
        <f t="shared" si="466"/>
        <v>31.969296059615605</v>
      </c>
      <c r="DN141" s="451"/>
      <c r="DO141" s="426"/>
    </row>
    <row r="142" spans="1:122" outlineLevel="1" x14ac:dyDescent="0.2">
      <c r="A142" s="448" t="s">
        <v>91</v>
      </c>
      <c r="C142" s="413">
        <f>C122-C132</f>
        <v>3.7489999999999841</v>
      </c>
      <c r="D142" s="492">
        <f t="shared" si="411"/>
        <v>1.8778425597563584</v>
      </c>
      <c r="E142" s="470" t="s">
        <v>1</v>
      </c>
      <c r="F142" s="305"/>
      <c r="G142" s="413">
        <f>G122-G132</f>
        <v>4.6909999999999954</v>
      </c>
      <c r="H142" s="492">
        <f t="shared" si="412"/>
        <v>1.9578464106844722</v>
      </c>
      <c r="I142" s="451">
        <f t="shared" si="413"/>
        <v>25.126700453454664</v>
      </c>
      <c r="K142" s="413">
        <f>K122-K132</f>
        <v>10.110999999999994</v>
      </c>
      <c r="L142" s="492">
        <f t="shared" si="414"/>
        <v>3.5452314165497878</v>
      </c>
      <c r="M142" s="451">
        <f t="shared" si="415"/>
        <v>115.54039650394378</v>
      </c>
      <c r="O142" s="413">
        <f>O122-O132</f>
        <v>13.065999999999983</v>
      </c>
      <c r="P142" s="492">
        <f t="shared" si="416"/>
        <v>3.8327955412144274</v>
      </c>
      <c r="Q142" s="451">
        <f t="shared" si="417"/>
        <v>29.225595885668998</v>
      </c>
      <c r="R142" s="305"/>
      <c r="S142" s="413">
        <f>S122-S132</f>
        <v>13.844000000000007</v>
      </c>
      <c r="T142" s="492">
        <f t="shared" si="418"/>
        <v>3.5543003851091157</v>
      </c>
      <c r="U142" s="451">
        <f t="shared" si="419"/>
        <v>5.954385427828135</v>
      </c>
      <c r="W142" s="413">
        <f>W122-W132</f>
        <v>7.5760000000000067</v>
      </c>
      <c r="X142" s="492">
        <f t="shared" si="420"/>
        <v>1.55660571193754</v>
      </c>
      <c r="Y142" s="451">
        <f t="shared" si="421"/>
        <v>-45.275931811615123</v>
      </c>
      <c r="AA142" s="413">
        <f>AA122-AA132</f>
        <v>22.025000000000031</v>
      </c>
      <c r="AB142" s="492">
        <f t="shared" si="422"/>
        <v>3.6818789702440702</v>
      </c>
      <c r="AC142" s="451">
        <f t="shared" si="423"/>
        <v>190.72069693769814</v>
      </c>
      <c r="AE142" s="413">
        <f>AE122-AE132</f>
        <v>32.54234699999995</v>
      </c>
      <c r="AF142" s="492">
        <f t="shared" si="424"/>
        <v>4.2943186856690359</v>
      </c>
      <c r="AG142" s="451">
        <f t="shared" si="425"/>
        <v>47.751859250850885</v>
      </c>
      <c r="AI142" s="413">
        <f>AI122-AI132</f>
        <v>34.589000000000077</v>
      </c>
      <c r="AJ142" s="492">
        <f t="shared" si="426"/>
        <v>3.8914327501828292</v>
      </c>
      <c r="AK142" s="451">
        <f t="shared" si="427"/>
        <v>6.2891991164623962</v>
      </c>
      <c r="AM142" s="413">
        <f>AM122-AM132</f>
        <v>51.032000000000039</v>
      </c>
      <c r="AN142" s="492">
        <f t="shared" si="428"/>
        <v>4.6406227266113813</v>
      </c>
      <c r="AO142" s="451">
        <f t="shared" si="429"/>
        <v>47.538234698892488</v>
      </c>
      <c r="AQ142" s="413">
        <f>AQ122-AQ132</f>
        <v>74.026999999999958</v>
      </c>
      <c r="AR142" s="492">
        <f t="shared" si="430"/>
        <v>5.12297577854671</v>
      </c>
      <c r="AS142" s="451">
        <f t="shared" si="431"/>
        <v>45.059962376547858</v>
      </c>
      <c r="AU142" s="413">
        <f>AU122-AU132</f>
        <v>97.170000000000044</v>
      </c>
      <c r="AV142" s="492">
        <f t="shared" si="432"/>
        <v>5.5199375577301302</v>
      </c>
      <c r="AW142" s="492">
        <f t="shared" si="432"/>
        <v>25.293835250550302</v>
      </c>
      <c r="AX142" s="451">
        <f>(AV142/AR142-1)*100</f>
        <v>7.7486561784219532</v>
      </c>
      <c r="AY142" s="413">
        <f>AY122-AY132</f>
        <v>130.21000000000006</v>
      </c>
      <c r="AZ142" s="492">
        <f t="shared" si="433"/>
        <v>6.0749276849864735</v>
      </c>
      <c r="BA142" s="451">
        <f t="shared" si="434"/>
        <v>34.002264073273651</v>
      </c>
      <c r="BC142" s="413">
        <f>BC122-BC132</f>
        <v>116.80999999999989</v>
      </c>
      <c r="BD142" s="492">
        <f t="shared" si="435"/>
        <v>4.8792815371762694</v>
      </c>
      <c r="BE142" s="451">
        <f t="shared" si="436"/>
        <v>-10.291068274326221</v>
      </c>
      <c r="BG142" s="413">
        <f>BG122-BG132</f>
        <v>134.62257000000005</v>
      </c>
      <c r="BH142" s="492">
        <f t="shared" si="437"/>
        <v>4.9062491344436774</v>
      </c>
      <c r="BI142" s="451">
        <f t="shared" si="438"/>
        <v>15.249182433011033</v>
      </c>
      <c r="BK142" s="413">
        <f>BK122-BK132</f>
        <v>155.10000000000019</v>
      </c>
      <c r="BL142" s="492">
        <f t="shared" si="439"/>
        <v>4.9721100211579206</v>
      </c>
      <c r="BM142" s="451">
        <f t="shared" si="440"/>
        <v>15.210993223498948</v>
      </c>
      <c r="BO142" s="413">
        <f>BO122-BO132</f>
        <v>224.49600000000044</v>
      </c>
      <c r="BP142" s="492">
        <f t="shared" si="441"/>
        <v>6.1497430210815418</v>
      </c>
      <c r="BQ142" s="451">
        <f t="shared" si="442"/>
        <v>44.74274661508715</v>
      </c>
      <c r="BS142" s="413">
        <f>BS122-BS132</f>
        <v>194.00000000000006</v>
      </c>
      <c r="BT142" s="492">
        <f t="shared" si="443"/>
        <v>5.0716302415559991</v>
      </c>
      <c r="BU142" s="451">
        <f t="shared" si="444"/>
        <v>-13.584206400114173</v>
      </c>
      <c r="BW142" s="413">
        <f>BW122-BW132</f>
        <v>160.15699999999995</v>
      </c>
      <c r="BX142" s="492">
        <f t="shared" si="445"/>
        <v>4.2106145966675674</v>
      </c>
      <c r="BY142" s="451">
        <f t="shared" si="446"/>
        <v>-17.44484536082479</v>
      </c>
      <c r="CA142" s="413">
        <f>CA122-CA132</f>
        <v>193</v>
      </c>
      <c r="CB142" s="492">
        <f t="shared" si="447"/>
        <v>4.764255739323624</v>
      </c>
      <c r="CC142" s="451">
        <f t="shared" si="448"/>
        <v>20.506752748865221</v>
      </c>
      <c r="CE142" s="413">
        <f>CE122-CE132</f>
        <v>176</v>
      </c>
      <c r="CF142" s="492">
        <f t="shared" si="449"/>
        <v>4.172593646277857</v>
      </c>
      <c r="CG142" s="451">
        <f t="shared" si="450"/>
        <v>-8.8082901554404121</v>
      </c>
      <c r="CI142" s="413">
        <f>CI122-CI132</f>
        <v>212</v>
      </c>
      <c r="CJ142" s="492">
        <f t="shared" si="451"/>
        <v>4.8446069469835464</v>
      </c>
      <c r="CK142" s="451">
        <f t="shared" si="452"/>
        <v>20.45454545454546</v>
      </c>
      <c r="CM142" s="413">
        <f>CM122-CM132</f>
        <v>214.5</v>
      </c>
      <c r="CN142" s="492">
        <f t="shared" si="453"/>
        <v>4.7772828507795104</v>
      </c>
      <c r="CO142" s="451">
        <f t="shared" si="454"/>
        <v>1.1792452830188704</v>
      </c>
      <c r="CQ142" s="413">
        <f>CQ122-CQ132</f>
        <v>177</v>
      </c>
      <c r="CR142" s="492">
        <f t="shared" si="455"/>
        <v>3.9828982898289831</v>
      </c>
      <c r="CS142" s="451">
        <f t="shared" si="456"/>
        <v>-17.48251748251748</v>
      </c>
      <c r="CU142" s="413">
        <f>CU122-CU132</f>
        <v>142</v>
      </c>
      <c r="CV142" s="492">
        <f t="shared" si="457"/>
        <v>3.246456332876086</v>
      </c>
      <c r="CW142" s="451">
        <f t="shared" si="458"/>
        <v>-19.774011299435024</v>
      </c>
      <c r="CY142" s="413">
        <f>CY122-CY132</f>
        <v>144.32</v>
      </c>
      <c r="CZ142" s="492">
        <f t="shared" si="459"/>
        <v>3.2599954822679016</v>
      </c>
      <c r="DA142" s="451">
        <f t="shared" si="460"/>
        <v>1.6338028169013974</v>
      </c>
      <c r="DC142" s="413">
        <f>DC122-DC132</f>
        <v>142.22</v>
      </c>
      <c r="DD142" s="492">
        <f t="shared" si="461"/>
        <v>3.2868037901548415</v>
      </c>
      <c r="DE142" s="451">
        <f t="shared" si="462"/>
        <v>-1.4550997782705077</v>
      </c>
      <c r="DG142" s="413">
        <f>DG122-DG132</f>
        <v>117</v>
      </c>
      <c r="DH142" s="492">
        <f t="shared" si="463"/>
        <v>2.7008310249307477</v>
      </c>
      <c r="DI142" s="451">
        <f t="shared" si="464"/>
        <v>-17.733089579524673</v>
      </c>
      <c r="DJ142" s="451"/>
      <c r="DK142" s="413">
        <f>DK122-DK132</f>
        <v>140.05841852049997</v>
      </c>
      <c r="DL142" s="492">
        <f t="shared" si="465"/>
        <v>3.2751984543512482</v>
      </c>
      <c r="DM142" s="451">
        <f t="shared" si="466"/>
        <v>19.708050017521337</v>
      </c>
      <c r="DN142" s="451"/>
    </row>
    <row r="143" spans="1:122" outlineLevel="1" x14ac:dyDescent="0.2">
      <c r="A143" s="448" t="s">
        <v>92</v>
      </c>
      <c r="C143" s="491">
        <f>C123-C133</f>
        <v>11.368999999999966</v>
      </c>
      <c r="D143" s="492">
        <f t="shared" si="411"/>
        <v>4.1685305095807514</v>
      </c>
      <c r="E143" s="470" t="s">
        <v>1</v>
      </c>
      <c r="F143" s="305"/>
      <c r="G143" s="491">
        <f>G123-G133</f>
        <v>13.714999999999966</v>
      </c>
      <c r="H143" s="492">
        <f t="shared" si="412"/>
        <v>4.2712550607287341</v>
      </c>
      <c r="I143" s="451">
        <f t="shared" si="413"/>
        <v>20.63506025156132</v>
      </c>
      <c r="K143" s="491">
        <f>K123-K133</f>
        <v>19.528999999999982</v>
      </c>
      <c r="L143" s="492">
        <f t="shared" si="414"/>
        <v>5.1473379019504435</v>
      </c>
      <c r="M143" s="451">
        <f t="shared" si="415"/>
        <v>42.391542107182147</v>
      </c>
      <c r="O143" s="491">
        <f>O123-O133</f>
        <v>28.135000000000044</v>
      </c>
      <c r="P143" s="492">
        <f t="shared" si="416"/>
        <v>6.1551082914023283</v>
      </c>
      <c r="Q143" s="451">
        <f t="shared" si="417"/>
        <v>44.067796610169843</v>
      </c>
      <c r="R143" s="305"/>
      <c r="S143" s="491">
        <f>S123-S133</f>
        <v>33.893000000000015</v>
      </c>
      <c r="T143" s="492">
        <f t="shared" si="418"/>
        <v>6.0057766594606115</v>
      </c>
      <c r="U143" s="451">
        <f t="shared" si="419"/>
        <v>20.465612226763685</v>
      </c>
      <c r="W143" s="491">
        <f>W123-W133</f>
        <v>42.069000000000031</v>
      </c>
      <c r="X143" s="492">
        <f t="shared" si="420"/>
        <v>5.9503536067892551</v>
      </c>
      <c r="Y143" s="451">
        <f t="shared" si="421"/>
        <v>24.122975245625987</v>
      </c>
      <c r="AA143" s="491">
        <f>AA123-AA133</f>
        <v>52.039000000000001</v>
      </c>
      <c r="AB143" s="492">
        <f t="shared" si="422"/>
        <v>6.1439197166469892</v>
      </c>
      <c r="AC143" s="451">
        <f t="shared" si="423"/>
        <v>23.699160902327044</v>
      </c>
      <c r="AE143" s="491">
        <f>AE123-AE133</f>
        <v>72.592986999999994</v>
      </c>
      <c r="AF143" s="492">
        <f t="shared" si="424"/>
        <v>6.7352929114863613</v>
      </c>
      <c r="AG143" s="451">
        <f t="shared" si="425"/>
        <v>39.497275120582628</v>
      </c>
      <c r="AI143" s="491">
        <f>AI123-AI133</f>
        <v>91.76400000000001</v>
      </c>
      <c r="AJ143" s="492">
        <f t="shared" si="426"/>
        <v>7.1162466072120987</v>
      </c>
      <c r="AK143" s="451">
        <f t="shared" si="427"/>
        <v>26.408905036515474</v>
      </c>
      <c r="AM143" s="491">
        <f>AM123-AM133</f>
        <v>119.82499999999997</v>
      </c>
      <c r="AN143" s="492">
        <f t="shared" si="428"/>
        <v>7.4541213063763587</v>
      </c>
      <c r="AO143" s="451">
        <f t="shared" si="429"/>
        <v>30.579530098949448</v>
      </c>
      <c r="AQ143" s="491">
        <f>AQ123-AQ133</f>
        <v>176.80299999999988</v>
      </c>
      <c r="AR143" s="492">
        <f t="shared" si="430"/>
        <v>7.9529935675408172</v>
      </c>
      <c r="AS143" s="451">
        <f t="shared" si="431"/>
        <v>47.551011892342942</v>
      </c>
      <c r="AU143" s="491">
        <f>AU123-AU133</f>
        <v>232.29799999999975</v>
      </c>
      <c r="AV143" s="492">
        <f t="shared" si="432"/>
        <v>8.5272006460612193</v>
      </c>
      <c r="AW143" s="492">
        <f t="shared" si="432"/>
        <v>37.830412604786858</v>
      </c>
      <c r="AX143" s="451">
        <f>(AV143/AR143-1)*100</f>
        <v>7.2200118564657023</v>
      </c>
      <c r="AY143" s="491">
        <f>AY123-AY133</f>
        <v>276.72200000000043</v>
      </c>
      <c r="AZ143" s="492">
        <f t="shared" si="433"/>
        <v>8.6899258887074637</v>
      </c>
      <c r="BA143" s="451">
        <f t="shared" si="434"/>
        <v>19.123711784001895</v>
      </c>
      <c r="BC143" s="491">
        <f>BC123-BC133</f>
        <v>244.80000000000035</v>
      </c>
      <c r="BD143" s="492">
        <f t="shared" si="435"/>
        <v>6.8727364608776309</v>
      </c>
      <c r="BE143" s="451">
        <f t="shared" si="436"/>
        <v>-11.535765136129417</v>
      </c>
      <c r="BG143" s="491">
        <f>BG123-BG133</f>
        <v>318.81791799999974</v>
      </c>
      <c r="BH143" s="492">
        <f t="shared" si="437"/>
        <v>7.8166552578027249</v>
      </c>
      <c r="BI143" s="451">
        <f t="shared" si="438"/>
        <v>30.236077614378786</v>
      </c>
      <c r="BK143" s="491">
        <f>BK123-BK133</f>
        <v>374.89999999999952</v>
      </c>
      <c r="BL143" s="492">
        <f t="shared" si="439"/>
        <v>8.0590726369870271</v>
      </c>
      <c r="BM143" s="451">
        <f t="shared" si="440"/>
        <v>17.590630524097396</v>
      </c>
      <c r="BO143" s="491">
        <f>BO123-BO133</f>
        <v>484.60000000000019</v>
      </c>
      <c r="BP143" s="492">
        <f t="shared" si="441"/>
        <v>8.8940278236611263</v>
      </c>
      <c r="BQ143" s="451">
        <f t="shared" si="442"/>
        <v>29.261136303014347</v>
      </c>
      <c r="BS143" s="491">
        <f>BS123-BS133</f>
        <v>411.70000000000005</v>
      </c>
      <c r="BT143" s="492">
        <f t="shared" si="443"/>
        <v>7.5027791445701899</v>
      </c>
      <c r="BU143" s="451">
        <f t="shared" si="444"/>
        <v>-15.043334709038403</v>
      </c>
      <c r="BW143" s="491">
        <f>BW123-BW133</f>
        <v>336</v>
      </c>
      <c r="BX143" s="492">
        <f t="shared" si="445"/>
        <v>6.4183381088825211</v>
      </c>
      <c r="BY143" s="451">
        <f t="shared" si="446"/>
        <v>-18.387175127520049</v>
      </c>
      <c r="CA143" s="491">
        <f>CA123-CA133</f>
        <v>432</v>
      </c>
      <c r="CB143" s="492">
        <f t="shared" si="447"/>
        <v>7.6016188632764381</v>
      </c>
      <c r="CC143" s="451">
        <f t="shared" si="448"/>
        <v>28.57142857142858</v>
      </c>
      <c r="CE143" s="491">
        <f>CE123-CE133</f>
        <v>494</v>
      </c>
      <c r="CF143" s="492">
        <f t="shared" si="449"/>
        <v>8.1815170586286854</v>
      </c>
      <c r="CG143" s="451">
        <f t="shared" si="450"/>
        <v>14.35185185185186</v>
      </c>
      <c r="CI143" s="491">
        <f>CI123-CI133</f>
        <v>455</v>
      </c>
      <c r="CJ143" s="492">
        <f t="shared" si="451"/>
        <v>7.5606513791957459</v>
      </c>
      <c r="CK143" s="451">
        <f t="shared" si="452"/>
        <v>-7.8947368421052655</v>
      </c>
      <c r="CM143" s="491">
        <f>CM123-CM133</f>
        <v>378</v>
      </c>
      <c r="CN143" s="492">
        <f t="shared" si="453"/>
        <v>5.9602649006622519</v>
      </c>
      <c r="CO143" s="451">
        <f t="shared" si="454"/>
        <v>-16.92307692307692</v>
      </c>
      <c r="CQ143" s="491">
        <f>CQ123-CQ133</f>
        <v>334</v>
      </c>
      <c r="CR143" s="492">
        <f t="shared" si="455"/>
        <v>5.4763075914084274</v>
      </c>
      <c r="CS143" s="451">
        <f t="shared" si="456"/>
        <v>-11.640211640211639</v>
      </c>
      <c r="CU143" s="491">
        <f>CU123-CU133</f>
        <v>369</v>
      </c>
      <c r="CV143" s="492">
        <f t="shared" si="457"/>
        <v>5.8229446110146759</v>
      </c>
      <c r="CW143" s="451">
        <f t="shared" si="458"/>
        <v>10.479041916167663</v>
      </c>
      <c r="CY143" s="491">
        <f>CY123-CY133</f>
        <v>296</v>
      </c>
      <c r="CZ143" s="492">
        <f t="shared" si="459"/>
        <v>4.6344136527321123</v>
      </c>
      <c r="DA143" s="451">
        <f t="shared" si="460"/>
        <v>-19.783197831978317</v>
      </c>
      <c r="DC143" s="491">
        <f>DC123-DC133</f>
        <v>252</v>
      </c>
      <c r="DD143" s="492">
        <f t="shared" si="461"/>
        <v>4.0612409347300567</v>
      </c>
      <c r="DE143" s="451">
        <f t="shared" si="462"/>
        <v>-14.864864864864868</v>
      </c>
      <c r="DG143" s="491">
        <f>DG123-DG133</f>
        <v>326</v>
      </c>
      <c r="DH143" s="492">
        <f t="shared" si="463"/>
        <v>4.8110979929161743</v>
      </c>
      <c r="DI143" s="451">
        <f t="shared" si="464"/>
        <v>29.365079365079371</v>
      </c>
      <c r="DJ143" s="451"/>
      <c r="DK143" s="491">
        <f>DK123-DK133</f>
        <v>302.02649566799948</v>
      </c>
      <c r="DL143" s="492">
        <f t="shared" si="465"/>
        <v>4.7509035939980944</v>
      </c>
      <c r="DM143" s="451">
        <f t="shared" si="466"/>
        <v>-7.3538356846627355</v>
      </c>
      <c r="DN143" s="451"/>
      <c r="DR143" s="413"/>
    </row>
    <row r="144" spans="1:122" outlineLevel="1" x14ac:dyDescent="0.2">
      <c r="A144" s="448" t="s">
        <v>93</v>
      </c>
      <c r="C144" s="319">
        <f>SUM(C140:C143)</f>
        <v>11.485999999999938</v>
      </c>
      <c r="D144" s="492">
        <f t="shared" si="411"/>
        <v>1.4543014326502366</v>
      </c>
      <c r="E144" s="470" t="s">
        <v>1</v>
      </c>
      <c r="F144" s="305"/>
      <c r="G144" s="319">
        <f>SUM(G140:G143)</f>
        <v>18.764999999999972</v>
      </c>
      <c r="H144" s="492">
        <f t="shared" si="412"/>
        <v>2.0168181026755456</v>
      </c>
      <c r="I144" s="451">
        <f t="shared" si="413"/>
        <v>63.37280167160084</v>
      </c>
      <c r="K144" s="319">
        <f>SUM(K140:K143)</f>
        <v>25.635999999999971</v>
      </c>
      <c r="L144" s="492">
        <f t="shared" si="414"/>
        <v>2.3372256704617533</v>
      </c>
      <c r="M144" s="451">
        <f t="shared" si="415"/>
        <v>36.616040500932634</v>
      </c>
      <c r="O144" s="319">
        <f>SUM(O140:O143)</f>
        <v>55.51600000000002</v>
      </c>
      <c r="P144" s="492">
        <f t="shared" si="416"/>
        <v>4.2521446078431389</v>
      </c>
      <c r="Q144" s="451">
        <f t="shared" si="417"/>
        <v>116.55484474957123</v>
      </c>
      <c r="R144" s="305"/>
      <c r="S144" s="319">
        <f>SUM(S140:S143)</f>
        <v>68.451999999999998</v>
      </c>
      <c r="T144" s="492">
        <f t="shared" si="418"/>
        <v>4.4047772258114337</v>
      </c>
      <c r="U144" s="451">
        <f t="shared" si="419"/>
        <v>23.301390590100102</v>
      </c>
      <c r="W144" s="498">
        <v>80.952000000000169</v>
      </c>
      <c r="X144" s="492">
        <f t="shared" si="420"/>
        <v>4.2038377311988802</v>
      </c>
      <c r="Y144" s="451">
        <f t="shared" si="421"/>
        <v>18.260971191492104</v>
      </c>
      <c r="AA144" s="319">
        <f>SUM(AA140:AA143)</f>
        <v>102.75600000000003</v>
      </c>
      <c r="AB144" s="492">
        <f t="shared" si="422"/>
        <v>4.3021142976763667</v>
      </c>
      <c r="AC144" s="451">
        <f t="shared" si="423"/>
        <v>26.934479691668912</v>
      </c>
      <c r="AE144" s="319">
        <f>SUM(AE140:AE143)</f>
        <v>141.25633399999995</v>
      </c>
      <c r="AF144" s="492">
        <f t="shared" si="424"/>
        <v>4.6160933490714626</v>
      </c>
      <c r="AG144" s="451">
        <f t="shared" si="425"/>
        <v>37.46772353925796</v>
      </c>
      <c r="AI144" s="319">
        <f>SUM(AI140:AI143)</f>
        <v>178.08458600000017</v>
      </c>
      <c r="AJ144" s="492">
        <f t="shared" si="426"/>
        <v>4.8370205611538193</v>
      </c>
      <c r="AK144" s="451">
        <f t="shared" si="427"/>
        <v>26.071929631134449</v>
      </c>
      <c r="AM144" s="319">
        <f>AM124-AM134</f>
        <v>258.80999999999938</v>
      </c>
      <c r="AN144" s="492">
        <f t="shared" si="428"/>
        <v>5.6794192645128883</v>
      </c>
      <c r="AO144" s="451">
        <f t="shared" si="429"/>
        <v>45.329815349655874</v>
      </c>
      <c r="AQ144" s="319">
        <f>AQ124-AQ134</f>
        <v>363.35200000000106</v>
      </c>
      <c r="AR144" s="492">
        <f t="shared" si="430"/>
        <v>5.9060498683397977</v>
      </c>
      <c r="AS144" s="451">
        <f t="shared" si="431"/>
        <v>40.393338742707741</v>
      </c>
      <c r="AU144" s="319">
        <f>AU124-AU134</f>
        <v>486.66899999999941</v>
      </c>
      <c r="AV144" s="492">
        <f t="shared" si="432"/>
        <v>6.4987582534946826</v>
      </c>
      <c r="AW144" s="492">
        <f t="shared" si="432"/>
        <v>29.916405546613944</v>
      </c>
      <c r="AX144" s="451">
        <f>(AV144/AR144-1)*100</f>
        <v>10.035614300044781</v>
      </c>
      <c r="AY144" s="319">
        <f>AY124-AY134</f>
        <v>635.43500000000142</v>
      </c>
      <c r="AZ144" s="492">
        <f t="shared" si="433"/>
        <v>6.9673362426262733</v>
      </c>
      <c r="BA144" s="451">
        <f t="shared" si="434"/>
        <v>30.568209604474951</v>
      </c>
      <c r="BC144" s="319">
        <f>SUM(BC140:BC143)</f>
        <v>577.87900000000013</v>
      </c>
      <c r="BD144" s="492">
        <f t="shared" si="435"/>
        <v>5.6202976074693654</v>
      </c>
      <c r="BE144" s="451">
        <f t="shared" si="436"/>
        <v>-9.057732104778804</v>
      </c>
      <c r="BG144" s="319">
        <f>SUM(BG140:BG143)</f>
        <v>703.51288799999986</v>
      </c>
      <c r="BH144" s="492">
        <f t="shared" si="437"/>
        <v>6.0125709402001579</v>
      </c>
      <c r="BI144" s="451">
        <f t="shared" si="438"/>
        <v>21.74051799771226</v>
      </c>
      <c r="BK144" s="319">
        <f>BK124-BK134</f>
        <v>841.89977960398778</v>
      </c>
      <c r="BL144" s="492">
        <f t="shared" si="439"/>
        <v>6.2818028353851449</v>
      </c>
      <c r="BM144" s="451">
        <f t="shared" si="440"/>
        <v>19.670839577282617</v>
      </c>
      <c r="BO144" s="319">
        <f>SUM(BO140:BO143)</f>
        <v>1108.5977755400052</v>
      </c>
      <c r="BP144" s="492">
        <f t="shared" si="441"/>
        <v>7.1130982682978345</v>
      </c>
      <c r="BQ144" s="451">
        <f t="shared" si="442"/>
        <v>31.678116849189173</v>
      </c>
      <c r="BS144" s="319">
        <f>SUM(BS140:BS143)</f>
        <v>1083.8209999999999</v>
      </c>
      <c r="BT144" s="492">
        <f t="shared" si="443"/>
        <v>6.5790988059755851</v>
      </c>
      <c r="BU144" s="451">
        <f t="shared" si="444"/>
        <v>-2.234965294598068</v>
      </c>
      <c r="BW144" s="319">
        <f>SUM(BW140:BW143)</f>
        <v>885.12699999999984</v>
      </c>
      <c r="BX144" s="492">
        <f t="shared" si="445"/>
        <v>5.4009366870392084</v>
      </c>
      <c r="BY144" s="451">
        <f t="shared" si="446"/>
        <v>-18.332732065534817</v>
      </c>
      <c r="CA144" s="319">
        <f>CA124-CA134</f>
        <v>973</v>
      </c>
      <c r="CB144" s="492">
        <f t="shared" si="447"/>
        <v>5.6642216788916055</v>
      </c>
      <c r="CC144" s="451">
        <f t="shared" si="448"/>
        <v>9.9277278853769246</v>
      </c>
      <c r="CE144" s="319">
        <f>SUM(CE140:CE143)</f>
        <v>1120</v>
      </c>
      <c r="CF144" s="492">
        <f t="shared" si="449"/>
        <v>6.0899352944374963</v>
      </c>
      <c r="CG144" s="451">
        <f t="shared" si="450"/>
        <v>15.107913669064743</v>
      </c>
      <c r="CI144" s="319">
        <f>SUM(CI140:CI143)</f>
        <v>1167</v>
      </c>
      <c r="CJ144" s="492">
        <f t="shared" si="451"/>
        <v>6.2061263560944475</v>
      </c>
      <c r="CK144" s="451">
        <f t="shared" si="452"/>
        <v>4.1964285714285676</v>
      </c>
      <c r="CM144" s="319">
        <f>CM124-CM134</f>
        <v>985.5</v>
      </c>
      <c r="CN144" s="492">
        <f t="shared" si="453"/>
        <v>5.1115145228215768</v>
      </c>
      <c r="CO144" s="451">
        <f t="shared" si="454"/>
        <v>-15.552699228791777</v>
      </c>
      <c r="CQ144" s="319">
        <f>CQ124-CQ134</f>
        <v>889</v>
      </c>
      <c r="CR144" s="492">
        <f t="shared" si="455"/>
        <v>4.6713257317009091</v>
      </c>
      <c r="CS144" s="451">
        <f t="shared" si="456"/>
        <v>-9.7919837645865098</v>
      </c>
      <c r="CU144" s="319">
        <f>CU124-CU134</f>
        <v>867</v>
      </c>
      <c r="CV144" s="492">
        <f t="shared" si="457"/>
        <v>4.5576407506702417</v>
      </c>
      <c r="CW144" s="451">
        <f t="shared" si="458"/>
        <v>-2.4746906636670452</v>
      </c>
      <c r="CY144" s="497">
        <f>SUM(CY140:CY143)</f>
        <v>781.16000000000008</v>
      </c>
      <c r="CZ144" s="492">
        <f t="shared" si="459"/>
        <v>4.0676942303686738</v>
      </c>
      <c r="DA144" s="451">
        <f t="shared" si="460"/>
        <v>-9.9008073817762323</v>
      </c>
      <c r="DC144" s="319">
        <f>DC124-DC134</f>
        <v>673.14</v>
      </c>
      <c r="DD144" s="492">
        <f t="shared" si="461"/>
        <v>3.6023761104570262</v>
      </c>
      <c r="DE144" s="451">
        <f t="shared" si="462"/>
        <v>-13.828153003225985</v>
      </c>
      <c r="DG144" s="319">
        <f>DG124-DG134</f>
        <v>717</v>
      </c>
      <c r="DH144" s="492">
        <f t="shared" si="463"/>
        <v>3.7549096622152396</v>
      </c>
      <c r="DI144" s="451">
        <f t="shared" si="464"/>
        <v>6.5157322399500783</v>
      </c>
      <c r="DJ144" s="451"/>
      <c r="DK144" s="319">
        <f>DK124-DK134</f>
        <v>797.89082749519889</v>
      </c>
      <c r="DL144" s="492">
        <f t="shared" si="465"/>
        <v>4.2474802368003512</v>
      </c>
      <c r="DM144" s="451">
        <f t="shared" si="466"/>
        <v>11.281844838939881</v>
      </c>
      <c r="DN144" s="451"/>
    </row>
    <row r="145" spans="1:120" outlineLevel="1" x14ac:dyDescent="0.2">
      <c r="A145" s="448" t="s">
        <v>467</v>
      </c>
      <c r="C145" s="413">
        <f>C140+C141</f>
        <v>-3.6320000000000112</v>
      </c>
      <c r="D145" s="492">
        <f t="shared" si="411"/>
        <v>-1.144236131020081</v>
      </c>
      <c r="E145" s="470" t="s">
        <v>1</v>
      </c>
      <c r="F145" s="305"/>
      <c r="G145" s="413">
        <f>G140+G141</f>
        <v>0.35900000000001175</v>
      </c>
      <c r="H145" s="492">
        <f t="shared" si="412"/>
        <v>9.709893272315491E-2</v>
      </c>
      <c r="I145" s="451">
        <f t="shared" si="413"/>
        <v>-109.88436123348046</v>
      </c>
      <c r="K145" s="413">
        <f>K140+K141</f>
        <v>-4.0040000000000049</v>
      </c>
      <c r="L145" s="492">
        <f t="shared" si="414"/>
        <v>-0.93289841565703746</v>
      </c>
      <c r="M145" s="451">
        <f t="shared" si="415"/>
        <v>-1215.3203342618033</v>
      </c>
      <c r="O145" s="413">
        <f>O140+O141</f>
        <v>14.314999999999994</v>
      </c>
      <c r="P145" s="492">
        <f t="shared" si="416"/>
        <v>2.8201339637509841</v>
      </c>
      <c r="Q145" s="451">
        <f t="shared" si="417"/>
        <v>-457.51748251748199</v>
      </c>
      <c r="R145" s="305"/>
      <c r="S145" s="413">
        <f>S140+S141</f>
        <v>20.714999999999975</v>
      </c>
      <c r="T145" s="492">
        <f t="shared" si="418"/>
        <v>3.4513495501499456</v>
      </c>
      <c r="U145" s="451">
        <f t="shared" si="419"/>
        <v>44.708347886831888</v>
      </c>
      <c r="W145" s="413">
        <f>W140+W141</f>
        <v>22.738000000000021</v>
      </c>
      <c r="X145" s="492">
        <f t="shared" si="420"/>
        <v>3.1075577422440919</v>
      </c>
      <c r="Y145" s="451">
        <f t="shared" si="421"/>
        <v>9.7658701424091063</v>
      </c>
      <c r="AA145" s="413">
        <f>AA140+AA141</f>
        <v>28.692</v>
      </c>
      <c r="AB145" s="492">
        <f t="shared" si="422"/>
        <v>3.0416622495494541</v>
      </c>
      <c r="AC145" s="451">
        <f t="shared" si="423"/>
        <v>26.185240566452528</v>
      </c>
      <c r="AE145" s="413">
        <f>AE140+AE141</f>
        <v>36.121000000000009</v>
      </c>
      <c r="AF145" s="492">
        <f t="shared" si="424"/>
        <v>2.9498956295059808</v>
      </c>
      <c r="AG145" s="451">
        <f t="shared" si="425"/>
        <v>25.892234769273692</v>
      </c>
      <c r="AI145" s="413">
        <f>AI140+AI141</f>
        <v>51.731586000000085</v>
      </c>
      <c r="AJ145" s="492">
        <f t="shared" si="426"/>
        <v>3.4410873050187973</v>
      </c>
      <c r="AK145" s="451">
        <f t="shared" si="427"/>
        <v>43.217480136209055</v>
      </c>
      <c r="AM145" s="413">
        <f>AM140+AM141</f>
        <v>82.152999999999992</v>
      </c>
      <c r="AN145" s="492">
        <f t="shared" si="428"/>
        <v>4.4411828305762784</v>
      </c>
      <c r="AO145" s="451">
        <f t="shared" si="429"/>
        <v>58.806265866273378</v>
      </c>
      <c r="AQ145" s="413">
        <f>AQ140+AQ141</f>
        <v>112.52200000000023</v>
      </c>
      <c r="AR145" s="492">
        <f t="shared" si="430"/>
        <v>4.5296888209009385</v>
      </c>
      <c r="AS145" s="451">
        <f t="shared" si="431"/>
        <v>36.966391975947623</v>
      </c>
      <c r="AU145" s="413">
        <f>AU140+AU141</f>
        <v>157.20099999999991</v>
      </c>
      <c r="AV145" s="492">
        <f>AU145/AU15*100</f>
        <v>5.2328817283046476</v>
      </c>
      <c r="AW145" s="451">
        <f>(AU145/AQ145-1)*100</f>
        <v>39.706901761432945</v>
      </c>
      <c r="AY145" s="413">
        <f>AY140+AY141</f>
        <v>225.77300000000002</v>
      </c>
      <c r="AZ145" s="492">
        <f t="shared" si="433"/>
        <v>5.9533013395211478</v>
      </c>
      <c r="BA145" s="451">
        <f t="shared" si="434"/>
        <v>43.620587655294905</v>
      </c>
      <c r="BC145" s="413">
        <f>BC140+BC141</f>
        <v>216.26899999999986</v>
      </c>
      <c r="BD145" s="492">
        <f t="shared" si="435"/>
        <v>4.9991678417049963</v>
      </c>
      <c r="BE145" s="451">
        <f t="shared" si="436"/>
        <v>-4.2095378986859222</v>
      </c>
      <c r="BG145" s="413">
        <f>BG140+BG141</f>
        <v>250.07240000000007</v>
      </c>
      <c r="BH145" s="492">
        <f t="shared" si="437"/>
        <v>5.1264303724810905</v>
      </c>
      <c r="BI145" s="451">
        <f t="shared" si="438"/>
        <v>15.630256763567708</v>
      </c>
      <c r="BK145" s="413">
        <f>BK140+BK141</f>
        <v>311.89977960398926</v>
      </c>
      <c r="BL145" s="492">
        <f t="shared" si="439"/>
        <v>5.539075096414237</v>
      </c>
      <c r="BM145" s="451">
        <f t="shared" si="440"/>
        <v>24.723791831481279</v>
      </c>
      <c r="BO145" s="413">
        <f>BO140+BO141</f>
        <v>399.50177554000453</v>
      </c>
      <c r="BP145" s="492">
        <f t="shared" si="441"/>
        <v>6.1592510929732045</v>
      </c>
      <c r="BQ145" s="451">
        <f t="shared" si="442"/>
        <v>28.086584750794351</v>
      </c>
      <c r="BS145" s="413">
        <f>BS140+BS141</f>
        <v>478.12099999999987</v>
      </c>
      <c r="BT145" s="492">
        <f t="shared" si="443"/>
        <v>6.676548623135786</v>
      </c>
      <c r="BU145" s="451">
        <f t="shared" si="444"/>
        <v>19.679317908844361</v>
      </c>
      <c r="BW145" s="413">
        <f>BW140+BW141</f>
        <v>388.96999999999991</v>
      </c>
      <c r="BX145" s="492">
        <f t="shared" si="445"/>
        <v>5.2922895734262481</v>
      </c>
      <c r="BY145" s="451">
        <f t="shared" si="446"/>
        <v>-18.646116777970423</v>
      </c>
      <c r="CA145" s="413">
        <f>CA140+CA141</f>
        <v>366.1</v>
      </c>
      <c r="CB145" s="492">
        <f t="shared" si="447"/>
        <v>4.9180548092423431</v>
      </c>
      <c r="CC145" s="451">
        <f t="shared" si="448"/>
        <v>-5.8796308198575513</v>
      </c>
      <c r="CE145" s="413">
        <f>CE140+CE141</f>
        <v>450</v>
      </c>
      <c r="CF145" s="492">
        <f t="shared" si="449"/>
        <v>5.5316533497234168</v>
      </c>
      <c r="CG145" s="451">
        <f t="shared" si="450"/>
        <v>22.917235727943176</v>
      </c>
      <c r="CI145" s="413">
        <f>CI140+CI141</f>
        <v>500</v>
      </c>
      <c r="CJ145" s="492">
        <f t="shared" si="451"/>
        <v>5.9453032104637336</v>
      </c>
      <c r="CK145" s="451">
        <f t="shared" si="452"/>
        <v>11.111111111111116</v>
      </c>
      <c r="CM145" s="413">
        <f>CM140+CM141</f>
        <v>393</v>
      </c>
      <c r="CN145" s="492">
        <f t="shared" si="453"/>
        <v>4.6519886363636358</v>
      </c>
      <c r="CO145" s="451">
        <f t="shared" si="454"/>
        <v>-21.4</v>
      </c>
      <c r="CQ145" s="413">
        <f>CQ140+CQ141</f>
        <v>378</v>
      </c>
      <c r="CR145" s="492">
        <f t="shared" si="455"/>
        <v>4.4533459000942504</v>
      </c>
      <c r="CS145" s="451">
        <f t="shared" si="456"/>
        <v>-3.8167938931297662</v>
      </c>
      <c r="CU145" s="413">
        <f>CU140+CU141</f>
        <v>356</v>
      </c>
      <c r="CV145" s="492">
        <f t="shared" si="457"/>
        <v>4.2829643888354187</v>
      </c>
      <c r="CW145" s="451">
        <f t="shared" si="458"/>
        <v>-5.8201058201058249</v>
      </c>
      <c r="CY145" s="413">
        <f>CY140+CY141</f>
        <v>340.84000000000003</v>
      </c>
      <c r="CZ145" s="492">
        <f t="shared" si="459"/>
        <v>4.0624553039332545</v>
      </c>
      <c r="DA145" s="451">
        <f t="shared" si="460"/>
        <v>-4.2584269662921281</v>
      </c>
      <c r="DC145" s="413">
        <f>DC140+DC141</f>
        <v>278.92</v>
      </c>
      <c r="DD145" s="492">
        <f t="shared" si="461"/>
        <v>3.4206524405199903</v>
      </c>
      <c r="DE145" s="451">
        <f t="shared" si="462"/>
        <v>-18.166881821382475</v>
      </c>
      <c r="DG145" s="413">
        <f>DG140+DG141</f>
        <v>274</v>
      </c>
      <c r="DH145" s="492">
        <f t="shared" si="463"/>
        <v>3.4305746838612747</v>
      </c>
      <c r="DI145" s="451">
        <f t="shared" si="464"/>
        <v>-1.7639466513695745</v>
      </c>
      <c r="DJ145" s="451"/>
      <c r="DK145" s="413">
        <f>DK140+DK141</f>
        <v>355.80591330670052</v>
      </c>
      <c r="DL145" s="492">
        <f t="shared" si="465"/>
        <v>4.3649336103981504</v>
      </c>
      <c r="DM145" s="451">
        <f t="shared" si="466"/>
        <v>29.856172739671717</v>
      </c>
      <c r="DN145" s="451"/>
    </row>
    <row r="146" spans="1:120" outlineLevel="1" x14ac:dyDescent="0.2">
      <c r="A146" s="448" t="s">
        <v>468</v>
      </c>
      <c r="C146" s="413">
        <f>C143+C142</f>
        <v>15.117999999999951</v>
      </c>
      <c r="D146" s="492">
        <f t="shared" si="411"/>
        <v>3.2004030670352872</v>
      </c>
      <c r="E146" s="470" t="s">
        <v>1</v>
      </c>
      <c r="F146" s="305"/>
      <c r="G146" s="413">
        <f>G143+G142</f>
        <v>18.405999999999963</v>
      </c>
      <c r="H146" s="492">
        <f t="shared" si="412"/>
        <v>3.2826823613340399</v>
      </c>
      <c r="I146" s="451">
        <f t="shared" si="413"/>
        <v>21.748908585791927</v>
      </c>
      <c r="K146" s="413">
        <f>K143+K142</f>
        <v>29.639999999999976</v>
      </c>
      <c r="L146" s="492">
        <f t="shared" si="414"/>
        <v>4.4598254589226576</v>
      </c>
      <c r="M146" s="451">
        <f t="shared" si="415"/>
        <v>61.034445289579665</v>
      </c>
      <c r="O146" s="413">
        <f>O143+O142</f>
        <v>41.201000000000029</v>
      </c>
      <c r="P146" s="492">
        <f t="shared" si="416"/>
        <v>5.1630325814536384</v>
      </c>
      <c r="Q146" s="451">
        <f t="shared" si="417"/>
        <v>39.004723346828825</v>
      </c>
      <c r="R146" s="305"/>
      <c r="S146" s="413">
        <f>S143+S142</f>
        <v>47.737000000000023</v>
      </c>
      <c r="T146" s="492">
        <f t="shared" si="418"/>
        <v>5.004717772372727</v>
      </c>
      <c r="U146" s="451">
        <f t="shared" si="419"/>
        <v>15.86369262881966</v>
      </c>
      <c r="W146" s="413">
        <f>W143+W142</f>
        <v>49.645000000000039</v>
      </c>
      <c r="X146" s="492">
        <f t="shared" si="420"/>
        <v>4.1589176510010919</v>
      </c>
      <c r="Y146" s="451">
        <f t="shared" si="421"/>
        <v>3.996899679493926</v>
      </c>
      <c r="AA146" s="413">
        <f>AA143+AA142</f>
        <v>74.064000000000036</v>
      </c>
      <c r="AB146" s="492">
        <f t="shared" si="422"/>
        <v>5.1248270135621388</v>
      </c>
      <c r="AC146" s="451">
        <f t="shared" si="423"/>
        <v>49.187229328230387</v>
      </c>
      <c r="AE146" s="413">
        <f>AE143+AE142</f>
        <v>105.13533399999994</v>
      </c>
      <c r="AF146" s="492">
        <f t="shared" si="424"/>
        <v>5.7275732185661337</v>
      </c>
      <c r="AG146" s="451">
        <f t="shared" si="425"/>
        <v>41.952006372866556</v>
      </c>
      <c r="AI146" s="413">
        <f>AI143+AI142</f>
        <v>126.35300000000009</v>
      </c>
      <c r="AJ146" s="492">
        <f t="shared" si="426"/>
        <v>5.8003993848555151</v>
      </c>
      <c r="AK146" s="451">
        <f t="shared" si="427"/>
        <v>20.18128938459467</v>
      </c>
      <c r="AM146" s="413">
        <f>AM143+AM142</f>
        <v>170.85700000000003</v>
      </c>
      <c r="AN146" s="492">
        <f t="shared" si="428"/>
        <v>6.3112537769930341</v>
      </c>
      <c r="AO146" s="451">
        <f t="shared" si="429"/>
        <v>35.221957531677049</v>
      </c>
      <c r="AQ146" s="413">
        <f>AQ143+AQ142</f>
        <v>250.82999999999984</v>
      </c>
      <c r="AR146" s="492">
        <f t="shared" si="430"/>
        <v>6.8381450887380346</v>
      </c>
      <c r="AS146" s="451">
        <f t="shared" si="431"/>
        <v>46.806978935600995</v>
      </c>
      <c r="AU146" s="413">
        <f>AU143+AU142</f>
        <v>329.46799999999979</v>
      </c>
      <c r="AV146" s="492">
        <f>AU146/AU16*100</f>
        <v>7.3467414538729177</v>
      </c>
      <c r="AW146" s="451">
        <f>(AU146/AQ146-1)*100</f>
        <v>31.351114300522266</v>
      </c>
      <c r="AY146" s="413">
        <f>AY143+AY142</f>
        <v>406.93200000000047</v>
      </c>
      <c r="AZ146" s="492">
        <f t="shared" si="433"/>
        <v>7.6378993205450749</v>
      </c>
      <c r="BA146" s="451">
        <f t="shared" si="434"/>
        <v>23.511843335316552</v>
      </c>
      <c r="BC146" s="413">
        <f>BC143+BC142</f>
        <v>361.61000000000024</v>
      </c>
      <c r="BD146" s="492">
        <f t="shared" si="435"/>
        <v>6.0714585537030556</v>
      </c>
      <c r="BE146" s="451">
        <f t="shared" si="436"/>
        <v>-11.137487344322928</v>
      </c>
      <c r="BG146" s="413">
        <f>BG143+BG142</f>
        <v>453.44048799999979</v>
      </c>
      <c r="BH146" s="492">
        <f t="shared" si="437"/>
        <v>6.6461537830152695</v>
      </c>
      <c r="BI146" s="451">
        <f t="shared" si="438"/>
        <v>25.394897265009121</v>
      </c>
      <c r="BK146" s="413">
        <f>BK143+BK142</f>
        <v>529.99999999999977</v>
      </c>
      <c r="BL146" s="492">
        <f t="shared" si="439"/>
        <v>6.8199657714925408</v>
      </c>
      <c r="BM146" s="451">
        <f t="shared" si="440"/>
        <v>16.884136733727239</v>
      </c>
      <c r="BO146" s="413">
        <f>BO143+BO142</f>
        <v>709.09600000000069</v>
      </c>
      <c r="BP146" s="492">
        <f t="shared" si="441"/>
        <v>7.7930396147132956</v>
      </c>
      <c r="BQ146" s="451">
        <f t="shared" si="442"/>
        <v>33.791698113207723</v>
      </c>
      <c r="BS146" s="413">
        <f>BS143+BS142</f>
        <v>605.70000000000005</v>
      </c>
      <c r="BT146" s="492">
        <f t="shared" si="443"/>
        <v>6.5041610738255038</v>
      </c>
      <c r="BU146" s="451">
        <f t="shared" si="444"/>
        <v>-14.581382492638594</v>
      </c>
      <c r="BW146" s="413">
        <f>BW143+BW142</f>
        <v>496.15699999999993</v>
      </c>
      <c r="BX146" s="492">
        <f t="shared" si="445"/>
        <v>5.4892827456846698</v>
      </c>
      <c r="BY146" s="451">
        <f t="shared" si="446"/>
        <v>-18.085355786693103</v>
      </c>
      <c r="CA146" s="413">
        <f>CA143+CA142</f>
        <v>625</v>
      </c>
      <c r="CB146" s="492">
        <f t="shared" si="447"/>
        <v>6.4207930963632629</v>
      </c>
      <c r="CC146" s="451">
        <f t="shared" si="448"/>
        <v>25.96819152002292</v>
      </c>
      <c r="CE146" s="413">
        <f>CE143+CE142</f>
        <v>670</v>
      </c>
      <c r="CF146" s="492">
        <f t="shared" si="449"/>
        <v>6.5327613104524191</v>
      </c>
      <c r="CG146" s="451">
        <f t="shared" si="450"/>
        <v>7.2000000000000064</v>
      </c>
      <c r="CI146" s="413">
        <f>CI143+CI142</f>
        <v>667</v>
      </c>
      <c r="CJ146" s="492">
        <f t="shared" si="451"/>
        <v>6.4171637483163364</v>
      </c>
      <c r="CK146" s="451">
        <f t="shared" si="452"/>
        <v>-0.44776119402984982</v>
      </c>
      <c r="CM146" s="413">
        <f>CM143+CM142</f>
        <v>592.5</v>
      </c>
      <c r="CN146" s="492">
        <f t="shared" si="453"/>
        <v>5.4699039881831615</v>
      </c>
      <c r="CO146" s="451">
        <f t="shared" si="454"/>
        <v>-11.169415292353824</v>
      </c>
      <c r="CQ146" s="413">
        <f>CQ143+CQ142</f>
        <v>511</v>
      </c>
      <c r="CR146" s="492">
        <f t="shared" si="455"/>
        <v>4.8468177937968324</v>
      </c>
      <c r="CS146" s="451">
        <f t="shared" si="456"/>
        <v>-13.755274261603379</v>
      </c>
      <c r="CU146" s="413">
        <f>CU143+CU142</f>
        <v>511</v>
      </c>
      <c r="CV146" s="492">
        <f t="shared" si="457"/>
        <v>4.7707963775557838</v>
      </c>
      <c r="CW146" s="451">
        <f t="shared" si="458"/>
        <v>0</v>
      </c>
      <c r="CY146" s="413">
        <f>CY143+CY142</f>
        <v>440.32</v>
      </c>
      <c r="CZ146" s="492">
        <f t="shared" si="459"/>
        <v>4.0717588311448125</v>
      </c>
      <c r="DA146" s="451">
        <f t="shared" si="460"/>
        <v>-13.831702544031311</v>
      </c>
      <c r="DC146" s="413">
        <f>DC143+DC142</f>
        <v>394.22</v>
      </c>
      <c r="DD146" s="492">
        <f t="shared" si="461"/>
        <v>3.7430687428788461</v>
      </c>
      <c r="DE146" s="451">
        <f t="shared" si="462"/>
        <v>-10.469658430232553</v>
      </c>
      <c r="DG146" s="413">
        <f>DG143+DG142</f>
        <v>443</v>
      </c>
      <c r="DH146" s="492">
        <f t="shared" si="463"/>
        <v>3.9881166726683475</v>
      </c>
      <c r="DI146" s="451">
        <f t="shared" si="464"/>
        <v>12.373801430673215</v>
      </c>
      <c r="DJ146" s="451"/>
      <c r="DK146" s="413">
        <f>DK143+DK142</f>
        <v>442.08491418849945</v>
      </c>
      <c r="DL146" s="492">
        <f t="shared" si="465"/>
        <v>4.1574431086406713</v>
      </c>
      <c r="DM146" s="451">
        <f t="shared" si="466"/>
        <v>-0.20656564593691806</v>
      </c>
      <c r="DN146" s="451"/>
    </row>
    <row r="147" spans="1:120" outlineLevel="1" x14ac:dyDescent="0.2">
      <c r="C147" s="413"/>
      <c r="D147" s="459"/>
      <c r="E147" s="459"/>
      <c r="F147" s="305"/>
      <c r="G147" s="413"/>
      <c r="H147" s="459"/>
      <c r="I147" s="459"/>
      <c r="K147" s="413"/>
      <c r="O147" s="413"/>
      <c r="R147" s="305"/>
      <c r="S147" s="413"/>
      <c r="W147" s="413"/>
      <c r="AA147" s="413"/>
      <c r="AE147" s="413"/>
      <c r="AI147" s="413"/>
      <c r="AM147" s="413"/>
      <c r="AQ147" s="413"/>
      <c r="AU147" s="413"/>
      <c r="AY147" s="413"/>
      <c r="BC147" s="413"/>
      <c r="BG147" s="413"/>
      <c r="BK147" s="413"/>
      <c r="BO147" s="413"/>
      <c r="BS147" s="413"/>
      <c r="BW147" s="413"/>
      <c r="CA147" s="413"/>
      <c r="CE147" s="413"/>
      <c r="CI147" s="413"/>
    </row>
    <row r="148" spans="1:120" outlineLevel="2" x14ac:dyDescent="0.2">
      <c r="A148" s="1352"/>
      <c r="B148" s="1352"/>
      <c r="C148" s="1352"/>
      <c r="D148" s="1352"/>
      <c r="E148" s="1352"/>
      <c r="F148" s="1352"/>
      <c r="G148" s="1352"/>
      <c r="H148" s="1352"/>
      <c r="I148" s="1352"/>
      <c r="J148" s="1352"/>
      <c r="K148" s="1352"/>
      <c r="L148" s="1352"/>
      <c r="M148" s="1352"/>
      <c r="N148" s="1352"/>
      <c r="O148" s="1352"/>
      <c r="P148" s="1352"/>
      <c r="Q148" s="1352"/>
      <c r="R148" s="1352"/>
      <c r="S148" s="1352"/>
      <c r="T148" s="1352"/>
      <c r="U148" s="1352"/>
      <c r="V148" s="1352"/>
      <c r="W148" s="1352"/>
      <c r="X148" s="1352"/>
      <c r="Y148" s="1352"/>
      <c r="Z148" s="1352"/>
      <c r="AA148" s="1352"/>
      <c r="AB148" s="1352"/>
      <c r="AC148" s="1352"/>
      <c r="AD148" s="1352"/>
      <c r="AE148" s="1352"/>
      <c r="AF148" s="1352"/>
      <c r="AG148" s="1352"/>
      <c r="AH148" s="1352"/>
      <c r="AI148" s="1352"/>
      <c r="AJ148" s="1352"/>
      <c r="AK148" s="1352"/>
      <c r="AL148" s="1352"/>
      <c r="AM148" s="1352"/>
      <c r="AN148" s="1352"/>
      <c r="AO148" s="1352"/>
      <c r="AP148" s="1352"/>
      <c r="AQ148" s="1352"/>
      <c r="AR148" s="1352"/>
      <c r="AS148" s="1352"/>
      <c r="AT148" s="1352"/>
      <c r="AU148" s="1352"/>
      <c r="AV148" s="1352"/>
      <c r="AW148" s="1352"/>
      <c r="AX148" s="1352"/>
      <c r="AY148" s="1352"/>
      <c r="AZ148" s="1352"/>
      <c r="BA148" s="1352"/>
      <c r="BB148" s="1352"/>
      <c r="BC148" s="1352"/>
      <c r="BD148" s="1352"/>
      <c r="BE148" s="1352"/>
      <c r="BF148" s="1352"/>
      <c r="BG148" s="1352"/>
      <c r="BH148" s="1352"/>
      <c r="BI148" s="1352"/>
      <c r="BJ148" s="1352"/>
      <c r="BK148" s="1352"/>
      <c r="BL148" s="1352"/>
      <c r="BM148" s="1352"/>
      <c r="BN148" s="1352"/>
      <c r="BO148" s="1352"/>
      <c r="BP148" s="1352"/>
      <c r="BQ148" s="1352"/>
      <c r="BR148" s="1352"/>
      <c r="BS148" s="1352"/>
      <c r="BT148" s="1352"/>
      <c r="BU148" s="1352"/>
      <c r="BV148" s="1352"/>
      <c r="BW148" s="1352"/>
      <c r="BX148" s="1352"/>
      <c r="BY148" s="1352"/>
      <c r="BZ148" s="1352"/>
      <c r="CA148" s="1352"/>
      <c r="CB148" s="1352"/>
      <c r="CC148" s="1352"/>
      <c r="CD148" s="1352"/>
      <c r="CE148" s="1352"/>
      <c r="CF148" s="318"/>
      <c r="CG148" s="318"/>
      <c r="CH148" s="318"/>
      <c r="CI148" s="463"/>
      <c r="CJ148" s="318"/>
      <c r="CK148" s="1353" t="s">
        <v>291</v>
      </c>
      <c r="CL148" s="1353"/>
      <c r="CM148" s="1353"/>
      <c r="CN148" s="1353"/>
      <c r="CO148" s="1353"/>
      <c r="CP148" s="1353"/>
      <c r="CQ148" s="1353"/>
      <c r="CR148" s="318"/>
      <c r="CS148" s="318"/>
      <c r="CT148" s="318"/>
      <c r="CU148" s="318"/>
      <c r="CV148" s="318"/>
      <c r="CW148" s="318"/>
      <c r="CX148" s="318"/>
      <c r="CY148" s="504" t="s">
        <v>291</v>
      </c>
      <c r="CZ148" s="483"/>
      <c r="DA148" s="483"/>
      <c r="DB148" s="504"/>
      <c r="DC148" s="483"/>
      <c r="DD148" s="483"/>
      <c r="DE148" s="483"/>
      <c r="DF148" s="504"/>
      <c r="DG148" s="483"/>
      <c r="DH148" s="483"/>
      <c r="DI148" s="483"/>
      <c r="DJ148" s="483"/>
      <c r="DK148" s="483"/>
      <c r="DL148" s="483"/>
      <c r="DM148" s="483"/>
      <c r="DN148" s="318"/>
      <c r="DP148" s="318"/>
    </row>
    <row r="149" spans="1:120" outlineLevel="2" x14ac:dyDescent="0.2">
      <c r="C149" s="413"/>
      <c r="D149" s="459"/>
      <c r="E149" s="459"/>
      <c r="F149" s="305"/>
      <c r="G149" s="413"/>
      <c r="H149" s="459"/>
      <c r="I149" s="459"/>
      <c r="K149" s="413"/>
      <c r="O149" s="413"/>
      <c r="R149" s="305"/>
      <c r="S149" s="413"/>
      <c r="W149" s="413"/>
      <c r="AA149" s="413"/>
      <c r="AE149" s="413"/>
      <c r="AI149" s="413"/>
      <c r="AM149" s="413"/>
      <c r="AQ149" s="413"/>
      <c r="AU149" s="413"/>
      <c r="AY149" s="413"/>
      <c r="BC149" s="413"/>
      <c r="BG149" s="413"/>
      <c r="BK149" s="413"/>
      <c r="BO149" s="413"/>
      <c r="BS149" s="413"/>
      <c r="BW149" s="413"/>
      <c r="CA149" s="413"/>
      <c r="CE149" s="413"/>
      <c r="CI149" s="413"/>
    </row>
    <row r="150" spans="1:120" outlineLevel="2" x14ac:dyDescent="0.2">
      <c r="A150" s="448" t="s">
        <v>89</v>
      </c>
      <c r="C150" s="457" t="s">
        <v>281</v>
      </c>
      <c r="D150" s="485"/>
      <c r="E150" s="485"/>
      <c r="F150" s="362"/>
      <c r="G150" s="457" t="s">
        <v>281</v>
      </c>
      <c r="H150" s="485"/>
      <c r="I150" s="485"/>
      <c r="J150" s="420"/>
      <c r="K150" s="457" t="s">
        <v>281</v>
      </c>
      <c r="L150" s="485"/>
      <c r="M150" s="485"/>
      <c r="N150" s="420"/>
      <c r="O150" s="457">
        <v>0</v>
      </c>
      <c r="P150" s="485"/>
      <c r="Q150" s="485"/>
      <c r="R150" s="362"/>
      <c r="S150" s="457">
        <v>0</v>
      </c>
      <c r="T150" s="485"/>
      <c r="U150" s="485"/>
      <c r="V150" s="420"/>
      <c r="W150" s="457">
        <v>0</v>
      </c>
      <c r="X150" s="485"/>
      <c r="Y150" s="485"/>
      <c r="Z150" s="420"/>
      <c r="AA150" s="457">
        <v>0</v>
      </c>
      <c r="AB150" s="485"/>
      <c r="AC150" s="485"/>
      <c r="AD150" s="420"/>
      <c r="AE150" s="457">
        <v>0</v>
      </c>
      <c r="AF150" s="485"/>
      <c r="AG150" s="485"/>
      <c r="AH150" s="420"/>
      <c r="AI150" s="457">
        <v>0</v>
      </c>
      <c r="AJ150" s="485"/>
      <c r="AK150" s="485"/>
      <c r="AL150" s="420"/>
      <c r="AM150" s="457">
        <v>0</v>
      </c>
      <c r="AN150" s="485"/>
      <c r="AO150" s="485"/>
      <c r="AP150" s="420"/>
      <c r="AQ150" s="457">
        <v>0</v>
      </c>
      <c r="AR150" s="485"/>
      <c r="AS150" s="485"/>
      <c r="AT150" s="420"/>
      <c r="AU150" s="457">
        <v>0</v>
      </c>
      <c r="AV150" s="485"/>
      <c r="AW150" s="485"/>
      <c r="AX150" s="420"/>
      <c r="AY150" s="457">
        <v>0</v>
      </c>
      <c r="AZ150" s="485"/>
      <c r="BA150" s="485"/>
      <c r="BB150" s="420"/>
      <c r="BC150" s="457">
        <v>0</v>
      </c>
      <c r="BD150" s="485"/>
      <c r="BE150" s="485"/>
      <c r="BF150" s="457"/>
      <c r="BG150" s="457">
        <v>0</v>
      </c>
      <c r="BH150" s="485"/>
      <c r="BI150" s="485"/>
      <c r="BJ150" s="420"/>
      <c r="BK150" s="457">
        <v>0</v>
      </c>
      <c r="BL150" s="485"/>
      <c r="BM150" s="485"/>
      <c r="BN150" s="420"/>
      <c r="BO150" s="457">
        <v>0</v>
      </c>
      <c r="BP150" s="485"/>
      <c r="BQ150" s="485"/>
      <c r="BR150" s="420"/>
      <c r="BS150" s="457">
        <v>0</v>
      </c>
      <c r="BT150" s="485"/>
      <c r="BU150" s="485"/>
      <c r="BV150" s="420"/>
      <c r="BW150" s="457">
        <v>0</v>
      </c>
      <c r="BX150" s="485"/>
      <c r="BY150" s="485"/>
      <c r="BZ150" s="420"/>
      <c r="CA150" s="457">
        <v>0</v>
      </c>
      <c r="CB150" s="485"/>
      <c r="CC150" s="485"/>
      <c r="CD150" s="420"/>
      <c r="CE150" s="1008">
        <v>0</v>
      </c>
      <c r="CF150" s="485"/>
      <c r="CG150" s="485"/>
      <c r="CH150" s="420"/>
      <c r="CI150" s="1008">
        <v>0</v>
      </c>
      <c r="CJ150" s="485"/>
      <c r="CK150" s="485"/>
      <c r="CL150" s="420"/>
      <c r="CM150" s="1008">
        <v>0</v>
      </c>
      <c r="CN150" s="485"/>
      <c r="CO150" s="499"/>
      <c r="CP150" s="420"/>
      <c r="CQ150" s="1008">
        <v>0</v>
      </c>
      <c r="CR150" s="485"/>
      <c r="CS150" s="499"/>
      <c r="CT150" s="420"/>
      <c r="CU150" s="1008">
        <v>0</v>
      </c>
      <c r="CV150" s="485"/>
      <c r="CW150" s="499"/>
      <c r="CX150" s="420"/>
      <c r="CY150" s="1008">
        <v>0</v>
      </c>
      <c r="CZ150" s="485"/>
      <c r="DA150" s="499"/>
      <c r="DB150" s="420"/>
      <c r="DC150" s="1008">
        <f>-64*(1-0.37)</f>
        <v>-40.32</v>
      </c>
      <c r="DD150" s="485"/>
      <c r="DE150" s="499"/>
      <c r="DF150" s="420"/>
      <c r="DG150" s="1008">
        <v>0</v>
      </c>
      <c r="DH150" s="485"/>
      <c r="DI150" s="499"/>
      <c r="DJ150" s="499"/>
      <c r="DK150" s="1240">
        <v>0</v>
      </c>
      <c r="DL150" s="485"/>
      <c r="DM150" s="499"/>
      <c r="DN150" s="499"/>
      <c r="DO150" s="303" t="s">
        <v>232</v>
      </c>
    </row>
    <row r="151" spans="1:120" outlineLevel="2" x14ac:dyDescent="0.2">
      <c r="A151" s="448" t="s">
        <v>90</v>
      </c>
      <c r="C151" s="500" t="s">
        <v>281</v>
      </c>
      <c r="D151" s="485"/>
      <c r="E151" s="485"/>
      <c r="F151" s="362"/>
      <c r="G151" s="500" t="s">
        <v>281</v>
      </c>
      <c r="H151" s="485"/>
      <c r="I151" s="485"/>
      <c r="J151" s="420"/>
      <c r="K151" s="500">
        <v>-2.121</v>
      </c>
      <c r="L151" s="485"/>
      <c r="M151" s="485"/>
      <c r="N151" s="420"/>
      <c r="O151" s="500">
        <v>0</v>
      </c>
      <c r="P151" s="485"/>
      <c r="Q151" s="485"/>
      <c r="R151" s="362"/>
      <c r="S151" s="500">
        <v>0</v>
      </c>
      <c r="T151" s="485"/>
      <c r="U151" s="485"/>
      <c r="V151" s="420"/>
      <c r="W151" s="500">
        <v>0</v>
      </c>
      <c r="X151" s="485"/>
      <c r="Y151" s="485"/>
      <c r="Z151" s="420"/>
      <c r="AA151" s="500">
        <v>0</v>
      </c>
      <c r="AB151" s="485"/>
      <c r="AC151" s="485"/>
      <c r="AD151" s="420"/>
      <c r="AE151" s="500">
        <v>0</v>
      </c>
      <c r="AF151" s="485"/>
      <c r="AG151" s="485"/>
      <c r="AH151" s="420"/>
      <c r="AI151" s="500">
        <v>0</v>
      </c>
      <c r="AJ151" s="485"/>
      <c r="AK151" s="485"/>
      <c r="AL151" s="420"/>
      <c r="AM151" s="500">
        <v>0</v>
      </c>
      <c r="AN151" s="485"/>
      <c r="AO151" s="485"/>
      <c r="AP151" s="420"/>
      <c r="AQ151" s="500">
        <v>0</v>
      </c>
      <c r="AR151" s="485"/>
      <c r="AS151" s="485"/>
      <c r="AT151" s="420"/>
      <c r="AU151" s="500">
        <v>0</v>
      </c>
      <c r="AV151" s="485"/>
      <c r="AW151" s="485"/>
      <c r="AX151" s="420"/>
      <c r="AY151" s="500">
        <v>0</v>
      </c>
      <c r="AZ151" s="485"/>
      <c r="BA151" s="485"/>
      <c r="BB151" s="420"/>
      <c r="BC151" s="500">
        <v>0</v>
      </c>
      <c r="BD151" s="485"/>
      <c r="BE151" s="485"/>
      <c r="BF151" s="500"/>
      <c r="BG151" s="500">
        <v>0</v>
      </c>
      <c r="BH151" s="485"/>
      <c r="BI151" s="485"/>
      <c r="BJ151" s="420"/>
      <c r="BK151" s="500">
        <v>0</v>
      </c>
      <c r="BL151" s="485"/>
      <c r="BM151" s="485"/>
      <c r="BN151" s="420"/>
      <c r="BO151" s="500">
        <v>0</v>
      </c>
      <c r="BP151" s="485"/>
      <c r="BQ151" s="485"/>
      <c r="BR151" s="420"/>
      <c r="BS151" s="500">
        <v>0</v>
      </c>
      <c r="BT151" s="485"/>
      <c r="BU151" s="485"/>
      <c r="BV151" s="420"/>
      <c r="BW151" s="500">
        <v>0</v>
      </c>
      <c r="BX151" s="485"/>
      <c r="BY151" s="485"/>
      <c r="BZ151" s="420"/>
      <c r="CA151" s="500">
        <v>0</v>
      </c>
      <c r="CB151" s="485"/>
      <c r="CC151" s="485"/>
      <c r="CD151" s="420"/>
      <c r="CE151" s="985">
        <v>0</v>
      </c>
      <c r="CF151" s="485"/>
      <c r="CG151" s="485"/>
      <c r="CH151" s="420"/>
      <c r="CI151" s="985">
        <v>0</v>
      </c>
      <c r="CJ151" s="485"/>
      <c r="CK151" s="485"/>
      <c r="CL151" s="420"/>
      <c r="CM151" s="985">
        <v>0</v>
      </c>
      <c r="CN151" s="485"/>
      <c r="CO151" s="499"/>
      <c r="CP151" s="420"/>
      <c r="CQ151" s="985">
        <v>0</v>
      </c>
      <c r="CR151" s="485"/>
      <c r="CS151" s="499"/>
      <c r="CT151" s="420"/>
      <c r="CU151" s="985">
        <v>0</v>
      </c>
      <c r="CV151" s="485"/>
      <c r="CW151" s="499"/>
      <c r="CX151" s="420"/>
      <c r="CY151" s="985">
        <f>-(131*(1-0.366))</f>
        <v>-83.054000000000002</v>
      </c>
      <c r="CZ151" s="485"/>
      <c r="DA151" s="499"/>
      <c r="DB151" s="420"/>
      <c r="DC151" s="985">
        <f>-128*(1-0.36)</f>
        <v>-81.92</v>
      </c>
      <c r="DD151" s="485"/>
      <c r="DE151" s="499"/>
      <c r="DF151" s="420"/>
      <c r="DG151" s="985">
        <v>0</v>
      </c>
      <c r="DH151" s="485"/>
      <c r="DI151" s="499"/>
      <c r="DJ151" s="499"/>
      <c r="DK151" s="1241">
        <v>0</v>
      </c>
      <c r="DL151" s="485"/>
      <c r="DM151" s="499"/>
      <c r="DN151" s="499"/>
      <c r="DO151" s="303" t="s">
        <v>232</v>
      </c>
    </row>
    <row r="152" spans="1:120" outlineLevel="2" x14ac:dyDescent="0.2">
      <c r="A152" s="448" t="s">
        <v>91</v>
      </c>
      <c r="C152" s="500" t="s">
        <v>281</v>
      </c>
      <c r="D152" s="485"/>
      <c r="E152" s="485"/>
      <c r="F152" s="362"/>
      <c r="G152" s="500" t="s">
        <v>281</v>
      </c>
      <c r="H152" s="485"/>
      <c r="I152" s="485"/>
      <c r="J152" s="420"/>
      <c r="K152" s="500" t="s">
        <v>281</v>
      </c>
      <c r="L152" s="485"/>
      <c r="M152" s="485"/>
      <c r="N152" s="420"/>
      <c r="O152" s="500">
        <v>0</v>
      </c>
      <c r="P152" s="485"/>
      <c r="Q152" s="485"/>
      <c r="R152" s="362"/>
      <c r="S152" s="500">
        <v>0</v>
      </c>
      <c r="T152" s="485"/>
      <c r="U152" s="485"/>
      <c r="V152" s="420"/>
      <c r="W152" s="500">
        <v>0</v>
      </c>
      <c r="X152" s="485"/>
      <c r="Y152" s="485"/>
      <c r="Z152" s="420"/>
      <c r="AA152" s="500">
        <v>0</v>
      </c>
      <c r="AB152" s="485"/>
      <c r="AC152" s="485"/>
      <c r="AD152" s="420"/>
      <c r="AE152" s="500">
        <v>0</v>
      </c>
      <c r="AF152" s="485"/>
      <c r="AG152" s="485"/>
      <c r="AH152" s="420"/>
      <c r="AI152" s="500">
        <v>0</v>
      </c>
      <c r="AJ152" s="485"/>
      <c r="AK152" s="485"/>
      <c r="AL152" s="420"/>
      <c r="AM152" s="500">
        <v>0</v>
      </c>
      <c r="AN152" s="485"/>
      <c r="AO152" s="485"/>
      <c r="AP152" s="420"/>
      <c r="AQ152" s="500">
        <v>0</v>
      </c>
      <c r="AR152" s="485"/>
      <c r="AS152" s="485"/>
      <c r="AT152" s="420"/>
      <c r="AU152" s="500">
        <v>0</v>
      </c>
      <c r="AV152" s="485"/>
      <c r="AW152" s="485"/>
      <c r="AX152" s="420"/>
      <c r="AY152" s="500">
        <v>0</v>
      </c>
      <c r="AZ152" s="485"/>
      <c r="BA152" s="485"/>
      <c r="BB152" s="420"/>
      <c r="BC152" s="500">
        <v>0</v>
      </c>
      <c r="BD152" s="485"/>
      <c r="BE152" s="485"/>
      <c r="BF152" s="500"/>
      <c r="BG152" s="500">
        <v>0</v>
      </c>
      <c r="BH152" s="485"/>
      <c r="BI152" s="485"/>
      <c r="BJ152" s="420"/>
      <c r="BK152" s="500">
        <v>0</v>
      </c>
      <c r="BL152" s="485"/>
      <c r="BM152" s="485"/>
      <c r="BN152" s="420"/>
      <c r="BO152" s="500">
        <v>0</v>
      </c>
      <c r="BP152" s="485"/>
      <c r="BQ152" s="485"/>
      <c r="BR152" s="420"/>
      <c r="BS152" s="500">
        <v>0</v>
      </c>
      <c r="BT152" s="485"/>
      <c r="BU152" s="485"/>
      <c r="BV152" s="420"/>
      <c r="BW152" s="500">
        <v>0</v>
      </c>
      <c r="BX152" s="485"/>
      <c r="BY152" s="485"/>
      <c r="BZ152" s="420"/>
      <c r="CA152" s="500">
        <v>0</v>
      </c>
      <c r="CB152" s="485"/>
      <c r="CC152" s="485"/>
      <c r="CD152" s="420"/>
      <c r="CE152" s="985">
        <v>0</v>
      </c>
      <c r="CF152" s="485"/>
      <c r="CG152" s="485"/>
      <c r="CH152" s="420"/>
      <c r="CI152" s="985">
        <v>0</v>
      </c>
      <c r="CJ152" s="485"/>
      <c r="CK152" s="485"/>
      <c r="CL152" s="420"/>
      <c r="CM152" s="985">
        <v>0</v>
      </c>
      <c r="CN152" s="485"/>
      <c r="CO152" s="499"/>
      <c r="CP152" s="420"/>
      <c r="CQ152" s="985">
        <v>0</v>
      </c>
      <c r="CR152" s="485"/>
      <c r="CS152" s="499"/>
      <c r="CT152" s="420"/>
      <c r="CU152" s="985">
        <v>0</v>
      </c>
      <c r="CV152" s="485"/>
      <c r="CW152" s="499"/>
      <c r="CX152" s="420"/>
      <c r="CY152" s="985">
        <f>-38*(1-0.366)</f>
        <v>-24.091999999999999</v>
      </c>
      <c r="CZ152" s="485"/>
      <c r="DA152" s="499"/>
      <c r="DB152" s="420"/>
      <c r="DC152" s="985">
        <f>6*(1-0.22)</f>
        <v>4.68</v>
      </c>
      <c r="DD152" s="485"/>
      <c r="DE152" s="499"/>
      <c r="DF152" s="420"/>
      <c r="DG152" s="1017">
        <v>0</v>
      </c>
      <c r="DH152" s="485"/>
      <c r="DI152" s="499"/>
      <c r="DJ152" s="499"/>
      <c r="DK152" s="1013">
        <v>0</v>
      </c>
      <c r="DL152" s="485"/>
      <c r="DM152" s="499"/>
      <c r="DN152" s="499"/>
      <c r="DO152" s="303" t="s">
        <v>232</v>
      </c>
    </row>
    <row r="153" spans="1:120" outlineLevel="2" x14ac:dyDescent="0.2">
      <c r="A153" s="448" t="s">
        <v>92</v>
      </c>
      <c r="C153" s="501" t="s">
        <v>281</v>
      </c>
      <c r="D153" s="485"/>
      <c r="E153" s="485"/>
      <c r="F153" s="362"/>
      <c r="G153" s="501">
        <v>1.329</v>
      </c>
      <c r="H153" s="485"/>
      <c r="I153" s="485"/>
      <c r="J153" s="420"/>
      <c r="K153" s="501" t="s">
        <v>281</v>
      </c>
      <c r="L153" s="485"/>
      <c r="M153" s="485"/>
      <c r="N153" s="420"/>
      <c r="O153" s="501">
        <v>-1.7689999999999999</v>
      </c>
      <c r="P153" s="485"/>
      <c r="Q153" s="485"/>
      <c r="R153" s="362"/>
      <c r="S153" s="501">
        <v>0</v>
      </c>
      <c r="T153" s="485"/>
      <c r="U153" s="485"/>
      <c r="V153" s="420"/>
      <c r="W153" s="501">
        <v>0</v>
      </c>
      <c r="X153" s="485"/>
      <c r="Y153" s="485"/>
      <c r="Z153" s="420"/>
      <c r="AA153" s="501">
        <v>0</v>
      </c>
      <c r="AB153" s="485"/>
      <c r="AC153" s="485"/>
      <c r="AD153" s="420"/>
      <c r="AE153" s="501">
        <v>0</v>
      </c>
      <c r="AF153" s="485"/>
      <c r="AG153" s="485"/>
      <c r="AH153" s="420"/>
      <c r="AI153" s="501">
        <v>0</v>
      </c>
      <c r="AJ153" s="485"/>
      <c r="AK153" s="485"/>
      <c r="AL153" s="420"/>
      <c r="AM153" s="501">
        <v>0</v>
      </c>
      <c r="AN153" s="485"/>
      <c r="AO153" s="485"/>
      <c r="AP153" s="420"/>
      <c r="AQ153" s="501">
        <v>0</v>
      </c>
      <c r="AR153" s="485"/>
      <c r="AS153" s="485"/>
      <c r="AT153" s="420"/>
      <c r="AU153" s="501">
        <v>0</v>
      </c>
      <c r="AV153" s="485"/>
      <c r="AW153" s="485"/>
      <c r="AX153" s="420"/>
      <c r="AY153" s="501">
        <v>0</v>
      </c>
      <c r="AZ153" s="485"/>
      <c r="BA153" s="485"/>
      <c r="BB153" s="420"/>
      <c r="BC153" s="501">
        <v>0</v>
      </c>
      <c r="BD153" s="485"/>
      <c r="BE153" s="485"/>
      <c r="BF153" s="502"/>
      <c r="BG153" s="501">
        <v>0</v>
      </c>
      <c r="BH153" s="485"/>
      <c r="BI153" s="485"/>
      <c r="BJ153" s="420"/>
      <c r="BK153" s="501">
        <v>0</v>
      </c>
      <c r="BL153" s="485"/>
      <c r="BM153" s="485"/>
      <c r="BN153" s="420"/>
      <c r="BO153" s="501">
        <v>0</v>
      </c>
      <c r="BP153" s="485"/>
      <c r="BQ153" s="485"/>
      <c r="BR153" s="420"/>
      <c r="BS153" s="501">
        <v>0</v>
      </c>
      <c r="BT153" s="485"/>
      <c r="BU153" s="485"/>
      <c r="BV153" s="420"/>
      <c r="BW153" s="501">
        <v>0</v>
      </c>
      <c r="BX153" s="485"/>
      <c r="BY153" s="485"/>
      <c r="BZ153" s="420"/>
      <c r="CA153" s="501">
        <v>0</v>
      </c>
      <c r="CB153" s="485"/>
      <c r="CC153" s="485"/>
      <c r="CD153" s="420"/>
      <c r="CE153" s="1009">
        <v>0</v>
      </c>
      <c r="CF153" s="485"/>
      <c r="CG153" s="485"/>
      <c r="CH153" s="420"/>
      <c r="CI153" s="1009">
        <v>0</v>
      </c>
      <c r="CJ153" s="485"/>
      <c r="CK153" s="485"/>
      <c r="CL153" s="420"/>
      <c r="CM153" s="1009">
        <v>0</v>
      </c>
      <c r="CN153" s="485"/>
      <c r="CO153" s="499"/>
      <c r="CP153" s="420"/>
      <c r="CQ153" s="1009">
        <v>0</v>
      </c>
      <c r="CR153" s="485"/>
      <c r="CS153" s="499"/>
      <c r="CT153" s="420"/>
      <c r="CU153" s="1009">
        <v>0</v>
      </c>
      <c r="CV153" s="485"/>
      <c r="CW153" s="499"/>
      <c r="CX153" s="420"/>
      <c r="CY153" s="1009">
        <v>0</v>
      </c>
      <c r="CZ153" s="485"/>
      <c r="DA153" s="499"/>
      <c r="DB153" s="420"/>
      <c r="DC153" s="1009">
        <v>0</v>
      </c>
      <c r="DD153" s="485"/>
      <c r="DE153" s="499"/>
      <c r="DF153" s="420"/>
      <c r="DG153" s="1014">
        <f>20+122+1</f>
        <v>143</v>
      </c>
      <c r="DH153" s="485"/>
      <c r="DI153" s="499"/>
      <c r="DJ153" s="499"/>
      <c r="DK153" s="1014">
        <v>0</v>
      </c>
      <c r="DL153" s="485"/>
      <c r="DM153" s="499"/>
      <c r="DN153" s="499"/>
      <c r="DO153" s="303" t="s">
        <v>232</v>
      </c>
    </row>
    <row r="154" spans="1:120" outlineLevel="2" x14ac:dyDescent="0.2">
      <c r="A154" s="448" t="s">
        <v>93</v>
      </c>
      <c r="C154" s="449">
        <f>SUM(C150:C153)</f>
        <v>0</v>
      </c>
      <c r="D154" s="485"/>
      <c r="E154" s="485"/>
      <c r="F154" s="362"/>
      <c r="G154" s="449">
        <f>SUM(G150:G153)</f>
        <v>1.329</v>
      </c>
      <c r="H154" s="485"/>
      <c r="I154" s="485"/>
      <c r="J154" s="420"/>
      <c r="K154" s="449">
        <f>SUM(K150:K153)</f>
        <v>-2.121</v>
      </c>
      <c r="L154" s="485"/>
      <c r="M154" s="485"/>
      <c r="N154" s="420"/>
      <c r="O154" s="449">
        <f>SUM(O150:O153)</f>
        <v>-1.7689999999999999</v>
      </c>
      <c r="P154" s="485"/>
      <c r="Q154" s="485"/>
      <c r="R154" s="362"/>
      <c r="S154" s="449">
        <f>SUM(S150:S153)</f>
        <v>0</v>
      </c>
      <c r="T154" s="485"/>
      <c r="U154" s="485"/>
      <c r="V154" s="420"/>
      <c r="W154" s="449">
        <f>SUM(W150:W153)</f>
        <v>0</v>
      </c>
      <c r="X154" s="485"/>
      <c r="Y154" s="485"/>
      <c r="Z154" s="420"/>
      <c r="AA154" s="449">
        <f>SUM(AA150:AA153)</f>
        <v>0</v>
      </c>
      <c r="AB154" s="485"/>
      <c r="AC154" s="485"/>
      <c r="AD154" s="420"/>
      <c r="AE154" s="449">
        <f>SUM(AE150:AE153)</f>
        <v>0</v>
      </c>
      <c r="AF154" s="485"/>
      <c r="AG154" s="485"/>
      <c r="AH154" s="420"/>
      <c r="AI154" s="449">
        <f>SUM(AI150:AI153)</f>
        <v>0</v>
      </c>
      <c r="AJ154" s="485"/>
      <c r="AK154" s="485"/>
      <c r="AL154" s="420"/>
      <c r="AM154" s="449">
        <f>SUM(AM150:AM153)</f>
        <v>0</v>
      </c>
      <c r="AN154" s="485"/>
      <c r="AO154" s="485"/>
      <c r="AP154" s="420"/>
      <c r="AQ154" s="449">
        <f>SUM(AQ150:AQ153)</f>
        <v>0</v>
      </c>
      <c r="AR154" s="485"/>
      <c r="AS154" s="485"/>
      <c r="AT154" s="420"/>
      <c r="AU154" s="449">
        <f>SUM(AU150:AU153)</f>
        <v>0</v>
      </c>
      <c r="AV154" s="485"/>
      <c r="AW154" s="485"/>
      <c r="AX154" s="420"/>
      <c r="AY154" s="449">
        <f>SUM(AY150:AY153)</f>
        <v>0</v>
      </c>
      <c r="AZ154" s="485"/>
      <c r="BA154" s="485"/>
      <c r="BB154" s="420"/>
      <c r="BC154" s="449">
        <f>SUM(BC150:BC153)</f>
        <v>0</v>
      </c>
      <c r="BD154" s="485"/>
      <c r="BE154" s="485"/>
      <c r="BF154" s="449"/>
      <c r="BG154" s="449">
        <f>SUM(BG150:BG153)</f>
        <v>0</v>
      </c>
      <c r="BH154" s="485"/>
      <c r="BI154" s="485"/>
      <c r="BJ154" s="420"/>
      <c r="BK154" s="449">
        <f>SUM(BK150:BK153)</f>
        <v>0</v>
      </c>
      <c r="BL154" s="485"/>
      <c r="BM154" s="485"/>
      <c r="BN154" s="420"/>
      <c r="BO154" s="449">
        <f>SUM(BO150:BO153)</f>
        <v>0</v>
      </c>
      <c r="BP154" s="485"/>
      <c r="BQ154" s="485"/>
      <c r="BR154" s="420"/>
      <c r="BS154" s="449">
        <f>SUM(BS150:BS153)</f>
        <v>0</v>
      </c>
      <c r="BT154" s="485"/>
      <c r="BU154" s="485"/>
      <c r="BV154" s="420"/>
      <c r="BW154" s="449">
        <f>SUM(BW150:BW153)</f>
        <v>0</v>
      </c>
      <c r="BX154" s="485"/>
      <c r="BY154" s="485"/>
      <c r="BZ154" s="420"/>
      <c r="CA154" s="449">
        <f>SUM(CA150:CA153)</f>
        <v>0</v>
      </c>
      <c r="CB154" s="485"/>
      <c r="CC154" s="485"/>
      <c r="CD154" s="420"/>
      <c r="CE154" s="319">
        <f>SUM(CE150:CE153)</f>
        <v>0</v>
      </c>
      <c r="CF154" s="485"/>
      <c r="CG154" s="485"/>
      <c r="CH154" s="420"/>
      <c r="CI154" s="319">
        <f>SUM(CI150:CI153)</f>
        <v>0</v>
      </c>
      <c r="CJ154" s="485"/>
      <c r="CK154" s="485"/>
      <c r="CL154" s="420"/>
      <c r="CM154" s="319">
        <f>SUM(CM150:CM153)</f>
        <v>0</v>
      </c>
      <c r="CN154" s="485"/>
      <c r="CO154" s="499"/>
      <c r="CP154" s="420"/>
      <c r="CQ154" s="319">
        <f>SUM(CQ150:CQ153)</f>
        <v>0</v>
      </c>
      <c r="CR154" s="485"/>
      <c r="CS154" s="499"/>
      <c r="CT154" s="420"/>
      <c r="CU154" s="319">
        <f>SUM(CU150:CU153)</f>
        <v>0</v>
      </c>
      <c r="CV154" s="485"/>
      <c r="CW154" s="499"/>
      <c r="CX154" s="420"/>
      <c r="CY154" s="319">
        <f>SUM(CY150:CY153)</f>
        <v>-107.146</v>
      </c>
      <c r="CZ154" s="485"/>
      <c r="DA154" s="499"/>
      <c r="DB154" s="420"/>
      <c r="DC154" s="319">
        <f>SUM(DC150:DC153)+0.3</f>
        <v>-117.26</v>
      </c>
      <c r="DD154" s="485"/>
      <c r="DE154" s="499"/>
      <c r="DF154" s="420"/>
      <c r="DG154" s="449">
        <f>SUM(DG150:DG153)</f>
        <v>143</v>
      </c>
      <c r="DH154" s="485"/>
      <c r="DI154" s="499"/>
      <c r="DJ154" s="499"/>
      <c r="DK154" s="449">
        <f>SUM(DK150:DK153)</f>
        <v>0</v>
      </c>
      <c r="DL154" s="485"/>
      <c r="DM154" s="499"/>
      <c r="DN154" s="499"/>
      <c r="DO154" s="303" t="s">
        <v>232</v>
      </c>
    </row>
    <row r="155" spans="1:120" outlineLevel="2" x14ac:dyDescent="0.2">
      <c r="A155" s="448" t="s">
        <v>467</v>
      </c>
      <c r="C155" s="413">
        <f>C150+C151</f>
        <v>0</v>
      </c>
      <c r="D155" s="485"/>
      <c r="E155" s="470"/>
      <c r="F155" s="305"/>
      <c r="G155" s="413">
        <f>G150+G151</f>
        <v>0</v>
      </c>
      <c r="H155" s="485"/>
      <c r="I155" s="470"/>
      <c r="K155" s="413">
        <f>K150+K151</f>
        <v>-2.121</v>
      </c>
      <c r="L155" s="485"/>
      <c r="M155" s="470"/>
      <c r="O155" s="413">
        <f>O150+O151</f>
        <v>0</v>
      </c>
      <c r="P155" s="485"/>
      <c r="Q155" s="471"/>
      <c r="R155" s="305"/>
      <c r="S155" s="413">
        <f>S150+S151</f>
        <v>0</v>
      </c>
      <c r="T155" s="485"/>
      <c r="U155" s="471"/>
      <c r="W155" s="413">
        <f>W150+W151</f>
        <v>0</v>
      </c>
      <c r="X155" s="485"/>
      <c r="Y155" s="471"/>
      <c r="AA155" s="413">
        <f>AA150+AA151</f>
        <v>0</v>
      </c>
      <c r="AB155" s="485"/>
      <c r="AC155" s="470"/>
      <c r="AE155" s="413">
        <f>AE150+AE151</f>
        <v>0</v>
      </c>
      <c r="AF155" s="485"/>
      <c r="AG155" s="471"/>
      <c r="AH155" s="305"/>
      <c r="AI155" s="413">
        <f>AI150+AI151</f>
        <v>0</v>
      </c>
      <c r="AJ155" s="485"/>
      <c r="AK155" s="471"/>
      <c r="AM155" s="413">
        <f>AM150+AM151</f>
        <v>0</v>
      </c>
      <c r="AN155" s="485"/>
      <c r="AO155" s="471"/>
      <c r="AQ155" s="413">
        <f>AQ150+AQ151</f>
        <v>0</v>
      </c>
      <c r="AR155" s="485"/>
      <c r="AS155" s="471"/>
      <c r="AU155" s="413">
        <f>AU150+AU151</f>
        <v>0</v>
      </c>
      <c r="AV155" s="485"/>
      <c r="AW155" s="471"/>
      <c r="AY155" s="413">
        <f>AY150+AY151</f>
        <v>0</v>
      </c>
      <c r="AZ155" s="485"/>
      <c r="BA155" s="471"/>
      <c r="BC155" s="413">
        <f>BC150+BC151</f>
        <v>0</v>
      </c>
      <c r="BD155" s="485"/>
      <c r="BE155" s="471"/>
      <c r="BF155" s="413"/>
      <c r="BG155" s="413">
        <f>BG150+BG151</f>
        <v>0</v>
      </c>
      <c r="BH155" s="485"/>
      <c r="BI155" s="471"/>
      <c r="BK155" s="413">
        <f>BK150+BK151</f>
        <v>0</v>
      </c>
      <c r="BL155" s="485"/>
      <c r="BM155" s="471"/>
      <c r="BO155" s="413">
        <f>BO150+BO151</f>
        <v>0</v>
      </c>
      <c r="BP155" s="485"/>
      <c r="BQ155" s="471"/>
      <c r="BS155" s="413">
        <f>BS150+BS151</f>
        <v>0</v>
      </c>
      <c r="BT155" s="485"/>
      <c r="BU155" s="471"/>
      <c r="BW155" s="413">
        <f>BW150+BW151</f>
        <v>0</v>
      </c>
      <c r="BX155" s="485"/>
      <c r="BY155" s="471"/>
      <c r="CA155" s="413">
        <f>CA150+CA151</f>
        <v>0</v>
      </c>
      <c r="CB155" s="485"/>
      <c r="CC155" s="471"/>
      <c r="CE155" s="413">
        <f>CE150+CE151</f>
        <v>0</v>
      </c>
      <c r="CF155" s="485"/>
      <c r="CG155" s="471"/>
      <c r="CI155" s="413">
        <f>CI150+CI151</f>
        <v>0</v>
      </c>
      <c r="CJ155" s="485"/>
      <c r="CK155" s="471"/>
      <c r="CM155" s="413">
        <f>CM150+CM151</f>
        <v>0</v>
      </c>
      <c r="CN155" s="485"/>
      <c r="CO155" s="471"/>
      <c r="CQ155" s="413">
        <f>CQ150+CQ151</f>
        <v>0</v>
      </c>
      <c r="CR155" s="485"/>
      <c r="CS155" s="471"/>
      <c r="CU155" s="413">
        <f>CU150+CU151</f>
        <v>0</v>
      </c>
      <c r="CV155" s="485"/>
      <c r="CW155" s="471"/>
      <c r="CY155" s="413">
        <f>CY150+CY151</f>
        <v>-83.054000000000002</v>
      </c>
      <c r="CZ155" s="485"/>
      <c r="DA155" s="471"/>
      <c r="DC155" s="413">
        <f>DC150+DC151</f>
        <v>-122.24000000000001</v>
      </c>
      <c r="DD155" s="485"/>
      <c r="DE155" s="471"/>
      <c r="DG155" s="413">
        <f>DG150+DG151</f>
        <v>0</v>
      </c>
      <c r="DH155" s="485"/>
      <c r="DI155" s="471"/>
      <c r="DJ155" s="471"/>
      <c r="DK155" s="413">
        <f>DK150+DK151</f>
        <v>0</v>
      </c>
      <c r="DL155" s="485"/>
      <c r="DM155" s="471"/>
      <c r="DN155" s="471"/>
      <c r="DO155" s="303" t="s">
        <v>232</v>
      </c>
    </row>
    <row r="156" spans="1:120" outlineLevel="2" x14ac:dyDescent="0.2">
      <c r="A156" s="448" t="s">
        <v>468</v>
      </c>
      <c r="C156" s="413">
        <f>C153+C152</f>
        <v>0</v>
      </c>
      <c r="D156" s="485"/>
      <c r="E156" s="470"/>
      <c r="F156" s="305"/>
      <c r="G156" s="413">
        <f>G153+G152</f>
        <v>1.329</v>
      </c>
      <c r="H156" s="485"/>
      <c r="I156" s="470"/>
      <c r="K156" s="413">
        <f>K153+K152</f>
        <v>0</v>
      </c>
      <c r="L156" s="485"/>
      <c r="M156" s="470"/>
      <c r="O156" s="413">
        <f>O153+O152</f>
        <v>-1.7689999999999999</v>
      </c>
      <c r="P156" s="485"/>
      <c r="Q156" s="471"/>
      <c r="R156" s="305"/>
      <c r="S156" s="413">
        <f>S153+S152</f>
        <v>0</v>
      </c>
      <c r="T156" s="485"/>
      <c r="U156" s="471"/>
      <c r="W156" s="413">
        <f>W153+W152</f>
        <v>0</v>
      </c>
      <c r="X156" s="485"/>
      <c r="Y156" s="471"/>
      <c r="AA156" s="413">
        <f>AA153+AA152</f>
        <v>0</v>
      </c>
      <c r="AB156" s="485"/>
      <c r="AC156" s="470"/>
      <c r="AE156" s="413">
        <f>AE153+AE152</f>
        <v>0</v>
      </c>
      <c r="AF156" s="485"/>
      <c r="AG156" s="471"/>
      <c r="AH156" s="305"/>
      <c r="AI156" s="413">
        <f>AI153+AI152</f>
        <v>0</v>
      </c>
      <c r="AJ156" s="485"/>
      <c r="AK156" s="471"/>
      <c r="AM156" s="413">
        <f>AM153+AM152</f>
        <v>0</v>
      </c>
      <c r="AN156" s="485"/>
      <c r="AO156" s="471"/>
      <c r="AQ156" s="413">
        <f>AQ153+AQ152</f>
        <v>0</v>
      </c>
      <c r="AR156" s="485"/>
      <c r="AS156" s="471"/>
      <c r="AU156" s="413">
        <f>AU153+AU152</f>
        <v>0</v>
      </c>
      <c r="AV156" s="485"/>
      <c r="AW156" s="471"/>
      <c r="AY156" s="413">
        <f>AY153+AY152</f>
        <v>0</v>
      </c>
      <c r="AZ156" s="485"/>
      <c r="BA156" s="471"/>
      <c r="BC156" s="413">
        <f>BC153+BC152</f>
        <v>0</v>
      </c>
      <c r="BD156" s="485"/>
      <c r="BE156" s="471"/>
      <c r="BF156" s="413"/>
      <c r="BG156" s="413">
        <f>BG153+BG152</f>
        <v>0</v>
      </c>
      <c r="BH156" s="485"/>
      <c r="BI156" s="471"/>
      <c r="BK156" s="413">
        <f>BK153+BK152</f>
        <v>0</v>
      </c>
      <c r="BL156" s="485"/>
      <c r="BM156" s="471"/>
      <c r="BO156" s="413">
        <f>BO153+BO152</f>
        <v>0</v>
      </c>
      <c r="BP156" s="485"/>
      <c r="BQ156" s="471"/>
      <c r="BS156" s="413">
        <f>BS153+BS152</f>
        <v>0</v>
      </c>
      <c r="BT156" s="485"/>
      <c r="BU156" s="471"/>
      <c r="BW156" s="413">
        <f>BW153+BW152</f>
        <v>0</v>
      </c>
      <c r="BX156" s="485"/>
      <c r="BY156" s="471"/>
      <c r="CA156" s="413">
        <f>CA153+CA152</f>
        <v>0</v>
      </c>
      <c r="CB156" s="485"/>
      <c r="CC156" s="471"/>
      <c r="CE156" s="413">
        <f>CE153+CE152</f>
        <v>0</v>
      </c>
      <c r="CF156" s="485"/>
      <c r="CG156" s="471"/>
      <c r="CI156" s="413">
        <f>CI153+CI152</f>
        <v>0</v>
      </c>
      <c r="CJ156" s="485"/>
      <c r="CK156" s="471"/>
      <c r="CM156" s="413">
        <f>CM153+CM152</f>
        <v>0</v>
      </c>
      <c r="CN156" s="485"/>
      <c r="CO156" s="471"/>
      <c r="CQ156" s="413">
        <f>CQ153+CQ152</f>
        <v>0</v>
      </c>
      <c r="CR156" s="485"/>
      <c r="CS156" s="471"/>
      <c r="CU156" s="413">
        <f>CU153+CU152</f>
        <v>0</v>
      </c>
      <c r="CV156" s="485"/>
      <c r="CW156" s="471"/>
      <c r="CY156" s="413">
        <f>CY153+CY152</f>
        <v>-24.091999999999999</v>
      </c>
      <c r="CZ156" s="485"/>
      <c r="DA156" s="471"/>
      <c r="DC156" s="413">
        <f>DC153+DC152</f>
        <v>4.68</v>
      </c>
      <c r="DD156" s="485"/>
      <c r="DE156" s="471"/>
      <c r="DG156" s="413">
        <f>DG153+DG152</f>
        <v>143</v>
      </c>
      <c r="DH156" s="485"/>
      <c r="DI156" s="471"/>
      <c r="DJ156" s="471"/>
      <c r="DK156" s="413">
        <f>DK153+DK152</f>
        <v>0</v>
      </c>
      <c r="DL156" s="485"/>
      <c r="DM156" s="471"/>
      <c r="DN156" s="471"/>
    </row>
    <row r="157" spans="1:120" outlineLevel="1" x14ac:dyDescent="0.2">
      <c r="C157" s="413"/>
      <c r="D157" s="459"/>
      <c r="E157" s="459"/>
      <c r="F157" s="305"/>
      <c r="G157" s="413"/>
      <c r="H157" s="459"/>
      <c r="I157" s="459"/>
      <c r="K157" s="413"/>
      <c r="O157" s="413"/>
      <c r="R157" s="305"/>
      <c r="S157" s="413"/>
      <c r="W157" s="413"/>
      <c r="AA157" s="413"/>
      <c r="AE157" s="413"/>
      <c r="AI157" s="413"/>
      <c r="AM157" s="413"/>
      <c r="AQ157" s="413"/>
      <c r="AU157" s="413"/>
      <c r="AY157" s="413"/>
      <c r="BC157" s="413"/>
      <c r="BG157" s="413"/>
      <c r="BK157" s="413"/>
      <c r="BO157" s="413"/>
      <c r="BS157" s="413"/>
      <c r="BW157" s="413"/>
      <c r="CA157" s="413"/>
      <c r="CE157" s="413"/>
      <c r="CI157" s="413"/>
    </row>
    <row r="158" spans="1:120" outlineLevel="1" x14ac:dyDescent="0.2">
      <c r="A158" s="503"/>
      <c r="B158" s="318"/>
      <c r="C158" s="463"/>
      <c r="D158" s="464"/>
      <c r="E158" s="464"/>
      <c r="F158" s="465"/>
      <c r="G158" s="463"/>
      <c r="H158" s="464"/>
      <c r="I158" s="464"/>
      <c r="J158" s="318"/>
      <c r="K158" s="463"/>
      <c r="L158" s="318"/>
      <c r="M158" s="318"/>
      <c r="N158" s="318"/>
      <c r="O158" s="463"/>
      <c r="P158" s="318"/>
      <c r="Q158" s="318"/>
      <c r="R158" s="465"/>
      <c r="S158" s="463"/>
      <c r="T158" s="318"/>
      <c r="U158" s="318"/>
      <c r="V158" s="318"/>
      <c r="W158" s="463"/>
      <c r="X158" s="318"/>
      <c r="Y158" s="318"/>
      <c r="Z158" s="318"/>
      <c r="AA158" s="463"/>
      <c r="AB158" s="318"/>
      <c r="AC158" s="318"/>
      <c r="AD158" s="318"/>
      <c r="AE158" s="463"/>
      <c r="AF158" s="318"/>
      <c r="AG158" s="318"/>
      <c r="AH158" s="318"/>
      <c r="AI158" s="463"/>
      <c r="AJ158" s="318"/>
      <c r="AK158" s="318"/>
      <c r="AL158" s="318"/>
      <c r="AM158" s="463"/>
      <c r="AN158" s="318"/>
      <c r="AO158" s="318"/>
      <c r="AP158" s="318"/>
      <c r="AQ158" s="463"/>
      <c r="AR158" s="318"/>
      <c r="AS158" s="318"/>
      <c r="AT158" s="318"/>
      <c r="AU158" s="463"/>
      <c r="AV158" s="318"/>
      <c r="AW158" s="318"/>
      <c r="AX158" s="318"/>
      <c r="AY158" s="463"/>
      <c r="AZ158" s="318"/>
      <c r="BA158" s="318"/>
      <c r="BB158" s="318"/>
      <c r="BC158" s="463"/>
      <c r="BD158" s="318"/>
      <c r="BE158" s="318"/>
      <c r="BF158" s="318"/>
      <c r="BG158" s="463"/>
      <c r="BH158" s="318"/>
      <c r="BI158" s="318"/>
      <c r="BJ158" s="318"/>
      <c r="BK158" s="463"/>
      <c r="BL158" s="318"/>
      <c r="BM158" s="318"/>
      <c r="BN158" s="318"/>
      <c r="BO158" s="463"/>
      <c r="BP158" s="318"/>
      <c r="BQ158" s="318"/>
      <c r="BR158" s="318"/>
      <c r="BS158" s="463"/>
      <c r="BT158" s="318"/>
      <c r="BU158" s="318"/>
      <c r="BV158" s="318"/>
      <c r="BW158" s="463"/>
      <c r="BX158" s="318"/>
      <c r="BY158" s="318"/>
      <c r="BZ158" s="318"/>
      <c r="CA158" s="463"/>
      <c r="CB158" s="318"/>
      <c r="CC158" s="318"/>
      <c r="CD158" s="318"/>
      <c r="CE158" s="463"/>
      <c r="CF158" s="318"/>
      <c r="CG158" s="318"/>
      <c r="CH158" s="318"/>
      <c r="CI158" s="463"/>
      <c r="CJ158" s="318"/>
      <c r="CK158" s="1353" t="s">
        <v>292</v>
      </c>
      <c r="CL158" s="1353"/>
      <c r="CM158" s="1353"/>
      <c r="CN158" s="1353"/>
      <c r="CO158" s="1353"/>
      <c r="CP158" s="1353"/>
      <c r="CQ158" s="1353"/>
      <c r="CR158" s="318"/>
      <c r="CS158" s="318"/>
      <c r="CT158" s="318"/>
      <c r="CU158" s="318"/>
      <c r="CV158" s="318"/>
      <c r="CW158" s="318"/>
      <c r="CX158" s="318"/>
      <c r="CY158" s="504" t="s">
        <v>292</v>
      </c>
      <c r="CZ158" s="483"/>
      <c r="DA158" s="483"/>
      <c r="DB158" s="504"/>
      <c r="DC158" s="483"/>
      <c r="DD158" s="483"/>
      <c r="DE158" s="483"/>
      <c r="DF158" s="504"/>
      <c r="DG158" s="483"/>
      <c r="DH158" s="483"/>
      <c r="DI158" s="483"/>
      <c r="DJ158" s="483"/>
      <c r="DK158" s="483"/>
      <c r="DL158" s="483"/>
      <c r="DM158" s="483"/>
      <c r="DN158" s="318"/>
      <c r="DP158" s="318"/>
    </row>
    <row r="159" spans="1:120" outlineLevel="1" x14ac:dyDescent="0.2">
      <c r="C159" s="413"/>
      <c r="D159" s="459"/>
      <c r="E159" s="459"/>
      <c r="F159" s="305"/>
      <c r="G159" s="413"/>
      <c r="H159" s="459"/>
      <c r="I159" s="459"/>
      <c r="K159" s="413"/>
      <c r="O159" s="413"/>
      <c r="R159" s="305"/>
      <c r="S159" s="413"/>
      <c r="W159" s="413"/>
      <c r="AA159" s="413"/>
      <c r="AE159" s="413"/>
      <c r="AI159" s="413"/>
      <c r="AM159" s="413"/>
      <c r="AQ159" s="413"/>
      <c r="AU159" s="413"/>
      <c r="AY159" s="413"/>
      <c r="BC159" s="413"/>
      <c r="BG159" s="413"/>
      <c r="BK159" s="413"/>
      <c r="BO159" s="413"/>
      <c r="BS159" s="413"/>
      <c r="BW159" s="413"/>
      <c r="CA159" s="413"/>
      <c r="CE159" s="413"/>
      <c r="CI159" s="413"/>
    </row>
    <row r="160" spans="1:120" outlineLevel="1" x14ac:dyDescent="0.2">
      <c r="A160" s="448" t="s">
        <v>89</v>
      </c>
      <c r="C160" s="319">
        <f>C140+C150</f>
        <v>-1.5049999999999939</v>
      </c>
      <c r="D160" s="492">
        <f t="shared" ref="D160:D166" si="467">C160/C10*100</f>
        <v>-0.93262771732394323</v>
      </c>
      <c r="E160" s="470" t="s">
        <v>1</v>
      </c>
      <c r="F160" s="305"/>
      <c r="G160" s="319">
        <f>G140+G150</f>
        <v>0.50000000000000133</v>
      </c>
      <c r="H160" s="492">
        <f t="shared" ref="H160:H166" si="468">G160/G10*100</f>
        <v>0.26160752592530651</v>
      </c>
      <c r="I160" s="451">
        <f t="shared" ref="I160:I166" si="469">(G160/C160-1)*100</f>
        <v>-133.22259136212645</v>
      </c>
      <c r="K160" s="319">
        <f>K140+K150</f>
        <v>2.7639999999999998</v>
      </c>
      <c r="L160" s="492">
        <f t="shared" ref="L160:L166" si="470">K160/K10*100</f>
        <v>1.3062381852551983</v>
      </c>
      <c r="M160" s="451">
        <f t="shared" ref="M160:M166" si="471">(K160/G160-1)*100</f>
        <v>452.79999999999848</v>
      </c>
      <c r="O160" s="319">
        <f>O140+O150</f>
        <v>7.4529999999999994</v>
      </c>
      <c r="P160" s="492">
        <f t="shared" ref="P160:P166" si="472">O160/O10*100</f>
        <v>2.9788169464428456</v>
      </c>
      <c r="Q160" s="451">
        <f t="shared" ref="Q160:Q166" si="473">(O160/K160-1)*100</f>
        <v>169.64544138929091</v>
      </c>
      <c r="R160" s="305"/>
      <c r="S160" s="319">
        <f>S140+S150</f>
        <v>11.27800000000002</v>
      </c>
      <c r="T160" s="492">
        <f t="shared" ref="T160:T166" si="474">S160/S10*100</f>
        <v>3.6640675763482844</v>
      </c>
      <c r="U160" s="451">
        <f t="shared" ref="U160:U166" si="475">(S160/O160-1)*100</f>
        <v>51.321615456863292</v>
      </c>
      <c r="W160" s="319">
        <f>W140+W150</f>
        <v>11.830999999999998</v>
      </c>
      <c r="X160" s="492">
        <f t="shared" ref="X160:X166" si="476">W160/W10*100</f>
        <v>3.2114549402823016</v>
      </c>
      <c r="Y160" s="451">
        <f t="shared" ref="Y160:Y166" si="477">(W160/S160-1)*100</f>
        <v>4.9033516580952119</v>
      </c>
      <c r="AA160" s="319">
        <f>AA140+AA150</f>
        <v>13.86199999999997</v>
      </c>
      <c r="AB160" s="492">
        <f t="shared" ref="AB160:AB166" si="478">AA160/AA10*100</f>
        <v>2.9575421378280287</v>
      </c>
      <c r="AC160" s="451">
        <f t="shared" ref="AC160:AC166" si="479">(AA160/W160-1)*100</f>
        <v>17.166765277660147</v>
      </c>
      <c r="AE160" s="319">
        <f>AE140+AE150</f>
        <v>15.279999999999976</v>
      </c>
      <c r="AF160" s="492">
        <f t="shared" ref="AF160:AF166" si="480">AE160/AE10*100</f>
        <v>2.5443470702542808</v>
      </c>
      <c r="AG160" s="451">
        <f t="shared" ref="AG160:AG166" si="481">(AE160/AA160-1)*100</f>
        <v>10.229404126388753</v>
      </c>
      <c r="AI160" s="319">
        <f>AI140+AI150</f>
        <v>21.747000000000039</v>
      </c>
      <c r="AJ160" s="492">
        <f t="shared" ref="AJ160:AJ166" si="482">AI160/AI10*100</f>
        <v>2.9206285253827611</v>
      </c>
      <c r="AK160" s="451">
        <f t="shared" ref="AK160:AK166" si="483">(AI160/AE160-1)*100</f>
        <v>42.323298429319856</v>
      </c>
      <c r="AM160" s="319">
        <f>AM140+AM150</f>
        <v>37.672999999999931</v>
      </c>
      <c r="AN160" s="492">
        <f t="shared" ref="AN160:AN166" si="484">AM160/AM10*100</f>
        <v>4.1385257607382107</v>
      </c>
      <c r="AO160" s="451">
        <f t="shared" ref="AO160:AO166" si="485">(AM160/AI160-1)*100</f>
        <v>73.233089621556374</v>
      </c>
      <c r="AQ160" s="319">
        <f>AQ140+AQ150</f>
        <v>49.942000000000171</v>
      </c>
      <c r="AR160" s="492">
        <f t="shared" ref="AR160:AR166" si="486">AQ160/AQ10*100</f>
        <v>4.064621144298866</v>
      </c>
      <c r="AS160" s="451">
        <f t="shared" ref="AS160:AS166" si="487">(AQ160/AM160-1)*100</f>
        <v>32.567090489210472</v>
      </c>
      <c r="AU160" s="319">
        <f>AU140+AU150</f>
        <v>72.137999999999977</v>
      </c>
      <c r="AV160" s="492">
        <f t="shared" ref="AV160:AV166" si="488">AU160/AU10*100</f>
        <v>4.8470066518846995</v>
      </c>
      <c r="AW160" s="451">
        <f t="shared" ref="AW160:AW166" si="489">(AU160/AQ160-1)*100</f>
        <v>44.443554523246419</v>
      </c>
      <c r="AY160" s="319">
        <f>AY140+AY150</f>
        <v>103.42299999999996</v>
      </c>
      <c r="AZ160" s="492">
        <f t="shared" ref="AZ160:AZ166" si="490">AY160/AY10*100</f>
        <v>5.5291633253140846</v>
      </c>
      <c r="BA160" s="451">
        <f t="shared" ref="BA160:BA166" si="491">(AY160/AU160-1)*100</f>
        <v>43.368266378330425</v>
      </c>
      <c r="BC160" s="319">
        <f>BC140+BC150</f>
        <v>106.96899999999981</v>
      </c>
      <c r="BD160" s="492">
        <f t="shared" ref="BD160:BD166" si="492">BC160/BC10*100</f>
        <v>5.0511876091986503</v>
      </c>
      <c r="BE160" s="451">
        <f t="shared" ref="BE160:BE166" si="493">(BC160/AY160-1)*100</f>
        <v>3.4286377304853399</v>
      </c>
      <c r="BG160" s="319">
        <f>BG140+BG150</f>
        <v>103.06539999999993</v>
      </c>
      <c r="BH160" s="492">
        <f t="shared" ref="BH160:BH166" si="494">BG160/BG10*100</f>
        <v>4.3301151163767724</v>
      </c>
      <c r="BI160" s="451">
        <f t="shared" ref="BI160:BI166" si="495">(BG160/BC160-1)*100</f>
        <v>-3.6492815675568502</v>
      </c>
      <c r="BK160" s="319">
        <f>BK140+BK150</f>
        <v>124.70000000000029</v>
      </c>
      <c r="BL160" s="492">
        <f t="shared" ref="BL160:BL166" si="496">BK160/BK10*100</f>
        <v>4.5464488843517676</v>
      </c>
      <c r="BM160" s="451">
        <f>(BK160/BG160-1)*100</f>
        <v>20.991137665987214</v>
      </c>
      <c r="BO160" s="319">
        <f>BO140+BO150</f>
        <v>167.09737164179106</v>
      </c>
      <c r="BP160" s="492">
        <f t="shared" ref="BP160:BP166" si="497">BO160/BO10*100</f>
        <v>5.2468795064461666</v>
      </c>
      <c r="BQ160" s="451">
        <f t="shared" ref="BQ160:BQ166" si="498">(BO160/BK160-1)*100</f>
        <v>33.999496104082326</v>
      </c>
      <c r="BS160" s="319">
        <f>BS140+BS150</f>
        <v>209.0000000000002</v>
      </c>
      <c r="BT160" s="492">
        <f t="shared" ref="BT160:BT166" si="499">BS160/BS10*100</f>
        <v>5.8510638297872397</v>
      </c>
      <c r="BU160" s="451">
        <f t="shared" ref="BU160:BU166" si="500">(BS160/BO160-1)*100</f>
        <v>25.076772869914677</v>
      </c>
      <c r="BW160" s="319">
        <f>BW140+BW150</f>
        <v>152.95500000000024</v>
      </c>
      <c r="BX160" s="492">
        <f t="shared" ref="BX160:BX166" si="501">BW160/BW10*100</f>
        <v>4.2203109656346367</v>
      </c>
      <c r="BY160" s="451">
        <f t="shared" ref="BY160:BY166" si="502">(BW160/BS160-1)*100</f>
        <v>-26.81578947368417</v>
      </c>
      <c r="CA160" s="319">
        <f>CA140+CA150</f>
        <v>137</v>
      </c>
      <c r="CB160" s="492">
        <f t="shared" ref="CB160:CB166" si="503">CA160/CA10*100</f>
        <v>3.765805387575591</v>
      </c>
      <c r="CC160" s="451">
        <f t="shared" ref="CC160:CC166" si="504">(CA160/BW160-1)*100</f>
        <v>-10.431172567095038</v>
      </c>
      <c r="CE160" s="319">
        <f>CE140+CE150</f>
        <v>195</v>
      </c>
      <c r="CF160" s="492">
        <f t="shared" ref="CF160:CF166" si="505">CE160/CE10*100</f>
        <v>4.8327137546468402</v>
      </c>
      <c r="CG160" s="451">
        <f>(CE160/CA160-1)*100</f>
        <v>42.335766423357654</v>
      </c>
      <c r="CI160" s="319">
        <f>CI140+CI150</f>
        <v>201</v>
      </c>
      <c r="CJ160" s="492">
        <f t="shared" ref="CJ160:CJ166" si="506">CI160/CI10*100</f>
        <v>4.8294089380105714</v>
      </c>
      <c r="CK160" s="451">
        <f t="shared" ref="CK160:CK166" si="507">(CI160/CE160-1)*100</f>
        <v>3.076923076923066</v>
      </c>
      <c r="CM160" s="319">
        <f>CM140+CM150</f>
        <v>153.5</v>
      </c>
      <c r="CN160" s="492">
        <f t="shared" ref="CN160:CN166" si="508">CM160/CM10*100</f>
        <v>3.617723308979496</v>
      </c>
      <c r="CO160" s="451">
        <f t="shared" ref="CO160:CO166" si="509">(CM160/CI160-1)*100</f>
        <v>-23.631840796019898</v>
      </c>
      <c r="CQ160" s="319">
        <f>CQ140+CQ150</f>
        <v>147</v>
      </c>
      <c r="CR160" s="492">
        <f t="shared" ref="CR160:CR166" si="510">CQ160/CQ10*100</f>
        <v>3.5008335317932842</v>
      </c>
      <c r="CS160" s="451">
        <f t="shared" ref="CS160:CS166" si="511">(CQ160/CM160-1)*100</f>
        <v>-4.2345276872964188</v>
      </c>
      <c r="CU160" s="319">
        <f>CU140+CU150</f>
        <v>125</v>
      </c>
      <c r="CV160" s="492">
        <f t="shared" ref="CV160:CV166" si="512">CU160/CU10*100</f>
        <v>3.0712530712530715</v>
      </c>
      <c r="CW160" s="451">
        <f t="shared" ref="CW160:CW166" si="513">(CU160/CQ160-1)*100</f>
        <v>-14.965986394557829</v>
      </c>
      <c r="CY160" s="319">
        <f>CY140+CY150</f>
        <v>127</v>
      </c>
      <c r="CZ160" s="492">
        <f t="shared" ref="CZ160:CZ166" si="514">CY160/CY10*100</f>
        <v>3.0802813485326217</v>
      </c>
      <c r="DA160" s="451">
        <f t="shared" ref="DA160:DA166" si="515">(CY160/CU160-1)*100</f>
        <v>1.6000000000000014</v>
      </c>
      <c r="DC160" s="319">
        <f>DC140+DC150</f>
        <v>17.32</v>
      </c>
      <c r="DD160" s="492">
        <f t="shared" ref="DD160:DD166" si="516">DC160/DC10*100</f>
        <v>0.43605236656596175</v>
      </c>
      <c r="DE160" s="451">
        <f t="shared" ref="DE160:DE166" si="517">(DC160/CY160-1)*100</f>
        <v>-86.362204724409452</v>
      </c>
      <c r="DG160" s="319">
        <f>DG140+DG150</f>
        <v>66</v>
      </c>
      <c r="DH160" s="492">
        <f t="shared" ref="DH160:DH166" si="518">DG160/DG10*100</f>
        <v>1.7174082747853241</v>
      </c>
      <c r="DI160" s="451">
        <f t="shared" ref="DI160:DI166" si="519">(DG160/DC160-1)*100</f>
        <v>281.06235565819861</v>
      </c>
      <c r="DJ160" s="451"/>
      <c r="DK160" s="319">
        <f>DK140+DK150</f>
        <v>81.309777502700058</v>
      </c>
      <c r="DL160" s="492">
        <f t="shared" ref="DL160:DL166" si="520">DK160/DK10*100</f>
        <v>2.0450310865872718</v>
      </c>
      <c r="DM160" s="451">
        <f t="shared" ref="DM160:DM166" si="521">(DK160/DG160-1)*100</f>
        <v>23.196632579848565</v>
      </c>
      <c r="DN160" s="451"/>
      <c r="DO160" s="390"/>
    </row>
    <row r="161" spans="1:122" outlineLevel="1" x14ac:dyDescent="0.2">
      <c r="A161" s="448" t="s">
        <v>90</v>
      </c>
      <c r="C161" s="413">
        <f>C141+C151</f>
        <v>-2.1270000000000171</v>
      </c>
      <c r="D161" s="492">
        <f t="shared" si="467"/>
        <v>-1.3630683456695296</v>
      </c>
      <c r="E161" s="470" t="s">
        <v>1</v>
      </c>
      <c r="F161" s="305"/>
      <c r="G161" s="413">
        <f>G141+G151</f>
        <v>-0.14099999999998958</v>
      </c>
      <c r="H161" s="492">
        <f t="shared" si="468"/>
        <v>-7.8947368421046799E-2</v>
      </c>
      <c r="I161" s="451">
        <f t="shared" si="469"/>
        <v>-93.370944992948353</v>
      </c>
      <c r="K161" s="413">
        <f>K141+K151</f>
        <v>-8.8890000000000047</v>
      </c>
      <c r="L161" s="492">
        <f t="shared" si="470"/>
        <v>-4.0850183823529438</v>
      </c>
      <c r="M161" s="451">
        <f t="shared" si="471"/>
        <v>6204.2553191494062</v>
      </c>
      <c r="O161" s="413">
        <f>O141+O151</f>
        <v>6.8619999999999948</v>
      </c>
      <c r="P161" s="492">
        <f t="shared" si="472"/>
        <v>2.6658896658896638</v>
      </c>
      <c r="Q161" s="451">
        <f t="shared" si="473"/>
        <v>-177.19653504331188</v>
      </c>
      <c r="R161" s="305"/>
      <c r="S161" s="413">
        <f>S141+S151</f>
        <v>9.436999999999955</v>
      </c>
      <c r="T161" s="492">
        <f t="shared" si="474"/>
        <v>3.2274281805745404</v>
      </c>
      <c r="U161" s="451">
        <f t="shared" si="475"/>
        <v>37.525502768871497</v>
      </c>
      <c r="W161" s="413">
        <f>W141+W151</f>
        <v>10.907000000000021</v>
      </c>
      <c r="X161" s="492">
        <f t="shared" si="476"/>
        <v>3.0022020368841233</v>
      </c>
      <c r="Y161" s="451">
        <f t="shared" si="477"/>
        <v>15.576984211084799</v>
      </c>
      <c r="AA161" s="413">
        <f>AA141+AA151</f>
        <v>14.830000000000028</v>
      </c>
      <c r="AB161" s="492">
        <f t="shared" si="478"/>
        <v>3.1247366203118476</v>
      </c>
      <c r="AC161" s="451">
        <f t="shared" si="479"/>
        <v>35.967727147703307</v>
      </c>
      <c r="AE161" s="413">
        <f>AE141+AE151</f>
        <v>20.841000000000037</v>
      </c>
      <c r="AF161" s="492">
        <f t="shared" si="480"/>
        <v>3.3402410820323261</v>
      </c>
      <c r="AG161" s="451">
        <f t="shared" si="481"/>
        <v>40.532703978422106</v>
      </c>
      <c r="AI161" s="413">
        <f>AI141+AI151</f>
        <v>29.984586000000046</v>
      </c>
      <c r="AJ161" s="492">
        <f t="shared" si="482"/>
        <v>3.9518400000000056</v>
      </c>
      <c r="AK161" s="451">
        <f t="shared" si="483"/>
        <v>43.873067511155874</v>
      </c>
      <c r="AM161" s="413">
        <f>AM141+AM151</f>
        <v>44.480000000000068</v>
      </c>
      <c r="AN161" s="492">
        <f t="shared" si="484"/>
        <v>4.7344332091538126</v>
      </c>
      <c r="AO161" s="451">
        <f t="shared" si="485"/>
        <v>48.342885241103552</v>
      </c>
      <c r="AQ161" s="413">
        <f>AQ141+AQ151</f>
        <v>62.580000000000062</v>
      </c>
      <c r="AR161" s="492">
        <f t="shared" si="486"/>
        <v>4.9848653815517014</v>
      </c>
      <c r="AS161" s="451">
        <f t="shared" si="487"/>
        <v>40.692446043165397</v>
      </c>
      <c r="AU161" s="413">
        <f>AU141+AU151</f>
        <v>85.062999999999946</v>
      </c>
      <c r="AV161" s="492">
        <f t="shared" si="488"/>
        <v>5.6117561683599382</v>
      </c>
      <c r="AW161" s="451">
        <f t="shared" si="489"/>
        <v>35.926813678491307</v>
      </c>
      <c r="AY161" s="413">
        <f>AY141+AY151</f>
        <v>122.35000000000008</v>
      </c>
      <c r="AZ161" s="492">
        <f t="shared" si="490"/>
        <v>6.3660960507830833</v>
      </c>
      <c r="BA161" s="451">
        <f t="shared" si="491"/>
        <v>43.834569671890435</v>
      </c>
      <c r="BC161" s="413">
        <f>BC141+BC151</f>
        <v>109.30000000000005</v>
      </c>
      <c r="BD161" s="492">
        <f t="shared" si="492"/>
        <v>4.9492845499003826</v>
      </c>
      <c r="BE161" s="451">
        <f t="shared" si="493"/>
        <v>-10.666121781773619</v>
      </c>
      <c r="BG161" s="413">
        <f>BG141+BG151</f>
        <v>147.00700000000015</v>
      </c>
      <c r="BH161" s="492">
        <f t="shared" si="494"/>
        <v>5.8852235878137691</v>
      </c>
      <c r="BI161" s="451">
        <f t="shared" si="495"/>
        <v>34.498627630375189</v>
      </c>
      <c r="BK161" s="413">
        <f>BK141+BK151</f>
        <v>187.19977960398896</v>
      </c>
      <c r="BL161" s="492">
        <f t="shared" si="496"/>
        <v>6.4817623906370612</v>
      </c>
      <c r="BM161" s="451" t="s">
        <v>235</v>
      </c>
      <c r="BO161" s="413">
        <f>BO141+BO151</f>
        <v>232.40440389821347</v>
      </c>
      <c r="BP161" s="492">
        <f t="shared" si="497"/>
        <v>7.0393430605542706</v>
      </c>
      <c r="BQ161" s="451">
        <f t="shared" si="498"/>
        <v>24.147797817845973</v>
      </c>
      <c r="BS161" s="413">
        <f>BS141+BS151</f>
        <v>269.12099999999964</v>
      </c>
      <c r="BT161" s="492">
        <f t="shared" si="499"/>
        <v>7.4980775660314176</v>
      </c>
      <c r="BU161" s="451">
        <f t="shared" si="500"/>
        <v>15.798580184335487</v>
      </c>
      <c r="BW161" s="413">
        <f>BW141+BW151</f>
        <v>236.01499999999965</v>
      </c>
      <c r="BX161" s="492">
        <f t="shared" si="501"/>
        <v>6.3351398071126122</v>
      </c>
      <c r="BY161" s="451">
        <f t="shared" si="502"/>
        <v>-12.301529795147925</v>
      </c>
      <c r="CA161" s="413">
        <f>CA141+CA151</f>
        <v>229.1</v>
      </c>
      <c r="CB161" s="492">
        <f t="shared" si="503"/>
        <v>6.0194429847609037</v>
      </c>
      <c r="CC161" s="451">
        <f t="shared" si="504"/>
        <v>-2.9298985233987884</v>
      </c>
      <c r="CE161" s="413">
        <f>CE141+CE151</f>
        <v>255</v>
      </c>
      <c r="CF161" s="492">
        <f t="shared" si="505"/>
        <v>6.2195121951219514</v>
      </c>
      <c r="CG161" s="451" t="s">
        <v>235</v>
      </c>
      <c r="CI161" s="413">
        <f>CI141+CI151</f>
        <v>299</v>
      </c>
      <c r="CJ161" s="492">
        <f t="shared" si="506"/>
        <v>7.0386064030131825</v>
      </c>
      <c r="CK161" s="451">
        <f t="shared" si="507"/>
        <v>17.25490196078432</v>
      </c>
      <c r="CM161" s="413">
        <f>CM141+CM151</f>
        <v>239.5</v>
      </c>
      <c r="CN161" s="492">
        <f t="shared" si="508"/>
        <v>5.6956004756242562</v>
      </c>
      <c r="CO161" s="451">
        <f t="shared" si="509"/>
        <v>-19.899665551839462</v>
      </c>
      <c r="CQ161" s="413">
        <f>CQ141+CQ151</f>
        <v>231</v>
      </c>
      <c r="CR161" s="492">
        <f t="shared" si="510"/>
        <v>5.3858708323618565</v>
      </c>
      <c r="CS161" s="451">
        <f t="shared" si="511"/>
        <v>-3.5490605427974997</v>
      </c>
      <c r="CU161" s="413">
        <f>CU141+CU151</f>
        <v>231</v>
      </c>
      <c r="CV161" s="492">
        <f t="shared" si="512"/>
        <v>5.4455445544554459</v>
      </c>
      <c r="CW161" s="451">
        <f t="shared" si="513"/>
        <v>0</v>
      </c>
      <c r="CY161" s="413">
        <f>CY141+CY151</f>
        <v>130.786</v>
      </c>
      <c r="CZ161" s="492">
        <f t="shared" si="514"/>
        <v>3.0650574173892666</v>
      </c>
      <c r="DA161" s="451">
        <f t="shared" si="515"/>
        <v>-43.382683982683979</v>
      </c>
      <c r="DC161" s="413">
        <f>DC141+DC151</f>
        <v>139.36000000000001</v>
      </c>
      <c r="DD161" s="492">
        <f t="shared" si="516"/>
        <v>3.3323768531802966</v>
      </c>
      <c r="DE161" s="451">
        <f t="shared" si="517"/>
        <v>6.5557475570779733</v>
      </c>
      <c r="DG161" s="413">
        <f>DG141+DG151</f>
        <v>208</v>
      </c>
      <c r="DH161" s="492">
        <f t="shared" si="518"/>
        <v>5.019305019305019</v>
      </c>
      <c r="DI161" s="451">
        <f t="shared" si="519"/>
        <v>49.253731343283569</v>
      </c>
      <c r="DJ161" s="451"/>
      <c r="DK161" s="413">
        <f>DK141+DK151</f>
        <v>274.49613580400046</v>
      </c>
      <c r="DL161" s="492">
        <f t="shared" si="520"/>
        <v>6.5739792586956991</v>
      </c>
      <c r="DM161" s="451">
        <f t="shared" si="521"/>
        <v>31.969296059615605</v>
      </c>
      <c r="DN161" s="451"/>
      <c r="DO161" s="390"/>
      <c r="DP161" s="319"/>
    </row>
    <row r="162" spans="1:122" outlineLevel="1" x14ac:dyDescent="0.2">
      <c r="A162" s="448" t="s">
        <v>91</v>
      </c>
      <c r="C162" s="413">
        <f>C142+C152</f>
        <v>3.7489999999999841</v>
      </c>
      <c r="D162" s="492">
        <f t="shared" si="467"/>
        <v>1.8778425597563584</v>
      </c>
      <c r="E162" s="470" t="s">
        <v>1</v>
      </c>
      <c r="F162" s="305"/>
      <c r="G162" s="413">
        <f>G142+G152</f>
        <v>4.6909999999999954</v>
      </c>
      <c r="H162" s="492">
        <f t="shared" si="468"/>
        <v>1.9578464106844722</v>
      </c>
      <c r="I162" s="451">
        <f t="shared" si="469"/>
        <v>25.126700453454664</v>
      </c>
      <c r="K162" s="413">
        <f>K142+K152</f>
        <v>10.110999999999994</v>
      </c>
      <c r="L162" s="492">
        <f t="shared" si="470"/>
        <v>3.5452314165497878</v>
      </c>
      <c r="M162" s="451">
        <f t="shared" si="471"/>
        <v>115.54039650394378</v>
      </c>
      <c r="O162" s="413">
        <f>O142+O152</f>
        <v>13.065999999999983</v>
      </c>
      <c r="P162" s="492">
        <f t="shared" si="472"/>
        <v>3.8327955412144274</v>
      </c>
      <c r="Q162" s="451">
        <f t="shared" si="473"/>
        <v>29.225595885668998</v>
      </c>
      <c r="R162" s="305"/>
      <c r="S162" s="413">
        <f>S142+S152</f>
        <v>13.844000000000007</v>
      </c>
      <c r="T162" s="492">
        <f t="shared" si="474"/>
        <v>3.5543003851091157</v>
      </c>
      <c r="U162" s="451">
        <f t="shared" si="475"/>
        <v>5.954385427828135</v>
      </c>
      <c r="W162" s="413">
        <f>W142+W152</f>
        <v>7.5760000000000067</v>
      </c>
      <c r="X162" s="492">
        <f t="shared" si="476"/>
        <v>1.55660571193754</v>
      </c>
      <c r="Y162" s="451">
        <f t="shared" si="477"/>
        <v>-45.275931811615123</v>
      </c>
      <c r="AA162" s="413">
        <f>AA142+AA152</f>
        <v>22.025000000000031</v>
      </c>
      <c r="AB162" s="492">
        <f t="shared" si="478"/>
        <v>3.6818789702440702</v>
      </c>
      <c r="AC162" s="451">
        <f t="shared" si="479"/>
        <v>190.72069693769814</v>
      </c>
      <c r="AE162" s="413">
        <f>AE142+AE152</f>
        <v>32.54234699999995</v>
      </c>
      <c r="AF162" s="492">
        <f t="shared" si="480"/>
        <v>4.2943186856690359</v>
      </c>
      <c r="AG162" s="451">
        <f t="shared" si="481"/>
        <v>47.751859250850885</v>
      </c>
      <c r="AI162" s="413">
        <f>AI142+AI152</f>
        <v>34.589000000000077</v>
      </c>
      <c r="AJ162" s="492">
        <f t="shared" si="482"/>
        <v>3.8914327501828292</v>
      </c>
      <c r="AK162" s="451">
        <f t="shared" si="483"/>
        <v>6.2891991164623962</v>
      </c>
      <c r="AM162" s="413">
        <f>AM142+AM152</f>
        <v>51.032000000000039</v>
      </c>
      <c r="AN162" s="492">
        <f t="shared" si="484"/>
        <v>4.6406227266113813</v>
      </c>
      <c r="AO162" s="451">
        <f t="shared" si="485"/>
        <v>47.538234698892488</v>
      </c>
      <c r="AQ162" s="413">
        <f>AQ142+AQ152</f>
        <v>74.026999999999958</v>
      </c>
      <c r="AR162" s="492">
        <f t="shared" si="486"/>
        <v>5.12297577854671</v>
      </c>
      <c r="AS162" s="451">
        <f t="shared" si="487"/>
        <v>45.059962376547858</v>
      </c>
      <c r="AU162" s="413">
        <f>AU142+AU152</f>
        <v>97.170000000000044</v>
      </c>
      <c r="AV162" s="492">
        <f t="shared" si="488"/>
        <v>5.5199375577301302</v>
      </c>
      <c r="AW162" s="451">
        <f t="shared" si="489"/>
        <v>31.26291758412485</v>
      </c>
      <c r="AY162" s="413">
        <f>AY142+AY152</f>
        <v>130.21000000000006</v>
      </c>
      <c r="AZ162" s="492">
        <f t="shared" si="490"/>
        <v>6.0749276849864735</v>
      </c>
      <c r="BA162" s="451">
        <f t="shared" si="491"/>
        <v>34.002264073273651</v>
      </c>
      <c r="BC162" s="413">
        <f>BC142+BC152</f>
        <v>116.80999999999989</v>
      </c>
      <c r="BD162" s="492">
        <f t="shared" si="492"/>
        <v>4.8792815371762694</v>
      </c>
      <c r="BE162" s="451">
        <f t="shared" si="493"/>
        <v>-10.291068274326221</v>
      </c>
      <c r="BG162" s="413">
        <f>BG142+BG152</f>
        <v>134.62257000000005</v>
      </c>
      <c r="BH162" s="492">
        <f t="shared" si="494"/>
        <v>4.9062491344436774</v>
      </c>
      <c r="BI162" s="451">
        <f t="shared" si="495"/>
        <v>15.249182433011033</v>
      </c>
      <c r="BK162" s="413">
        <f>BK142+BK152</f>
        <v>155.10000000000019</v>
      </c>
      <c r="BL162" s="492">
        <f t="shared" si="496"/>
        <v>4.9721100211579206</v>
      </c>
      <c r="BM162" s="451">
        <f>(BK162/BG162-1)*100</f>
        <v>15.210993223498948</v>
      </c>
      <c r="BO162" s="413">
        <f>BO142+BO152</f>
        <v>224.49600000000044</v>
      </c>
      <c r="BP162" s="492">
        <f t="shared" si="497"/>
        <v>6.1497430210815418</v>
      </c>
      <c r="BQ162" s="451">
        <f t="shared" si="498"/>
        <v>44.74274661508715</v>
      </c>
      <c r="BS162" s="413">
        <f>BS142+BS152</f>
        <v>194.00000000000006</v>
      </c>
      <c r="BT162" s="492">
        <f t="shared" si="499"/>
        <v>5.0716302415559991</v>
      </c>
      <c r="BU162" s="451">
        <f t="shared" si="500"/>
        <v>-13.584206400114173</v>
      </c>
      <c r="BW162" s="413">
        <f>BW142+BW152</f>
        <v>160.15699999999995</v>
      </c>
      <c r="BX162" s="492">
        <f t="shared" si="501"/>
        <v>4.2106145966675674</v>
      </c>
      <c r="BY162" s="451">
        <f t="shared" si="502"/>
        <v>-17.44484536082479</v>
      </c>
      <c r="CA162" s="413">
        <f>CA142+CA152</f>
        <v>193</v>
      </c>
      <c r="CB162" s="492">
        <f t="shared" si="503"/>
        <v>4.764255739323624</v>
      </c>
      <c r="CC162" s="451">
        <f t="shared" si="504"/>
        <v>20.506752748865221</v>
      </c>
      <c r="CE162" s="413">
        <f>CE142+CE152</f>
        <v>176</v>
      </c>
      <c r="CF162" s="492">
        <f t="shared" si="505"/>
        <v>4.172593646277857</v>
      </c>
      <c r="CG162" s="451">
        <f>(CE162/CA162-1)*100</f>
        <v>-8.8082901554404121</v>
      </c>
      <c r="CI162" s="413">
        <f>CI142+CI152</f>
        <v>212</v>
      </c>
      <c r="CJ162" s="492">
        <f t="shared" si="506"/>
        <v>4.8446069469835464</v>
      </c>
      <c r="CK162" s="451">
        <f t="shared" si="507"/>
        <v>20.45454545454546</v>
      </c>
      <c r="CM162" s="413">
        <f>CM142+CM152</f>
        <v>214.5</v>
      </c>
      <c r="CN162" s="492">
        <f t="shared" si="508"/>
        <v>4.7772828507795104</v>
      </c>
      <c r="CO162" s="451">
        <f t="shared" si="509"/>
        <v>1.1792452830188704</v>
      </c>
      <c r="CQ162" s="413">
        <f>CQ142+CQ152</f>
        <v>177</v>
      </c>
      <c r="CR162" s="492">
        <f t="shared" si="510"/>
        <v>3.9828982898289831</v>
      </c>
      <c r="CS162" s="451">
        <f t="shared" si="511"/>
        <v>-17.48251748251748</v>
      </c>
      <c r="CU162" s="413">
        <f>CU142+CU152</f>
        <v>142</v>
      </c>
      <c r="CV162" s="492">
        <f t="shared" si="512"/>
        <v>3.246456332876086</v>
      </c>
      <c r="CW162" s="451">
        <f t="shared" si="513"/>
        <v>-19.774011299435024</v>
      </c>
      <c r="CY162" s="413">
        <f>CY142+CY152</f>
        <v>120.22799999999999</v>
      </c>
      <c r="CZ162" s="492">
        <f t="shared" si="514"/>
        <v>2.7157894736842101</v>
      </c>
      <c r="DA162" s="451">
        <f t="shared" si="515"/>
        <v>-15.332394366197189</v>
      </c>
      <c r="DC162" s="413">
        <f>DC142+DC152</f>
        <v>146.9</v>
      </c>
      <c r="DD162" s="492">
        <f t="shared" si="516"/>
        <v>3.3949618673445805</v>
      </c>
      <c r="DE162" s="451">
        <f t="shared" si="517"/>
        <v>22.184516086103081</v>
      </c>
      <c r="DG162" s="413">
        <f>DG142+DG152</f>
        <v>117</v>
      </c>
      <c r="DH162" s="492">
        <f t="shared" si="518"/>
        <v>2.7008310249307477</v>
      </c>
      <c r="DI162" s="451">
        <f t="shared" si="519"/>
        <v>-20.353982300884955</v>
      </c>
      <c r="DJ162" s="451"/>
      <c r="DK162" s="413">
        <f>DK142+DK152</f>
        <v>140.05841852049997</v>
      </c>
      <c r="DL162" s="492">
        <f t="shared" si="520"/>
        <v>3.2751984543512482</v>
      </c>
      <c r="DM162" s="451">
        <f t="shared" si="521"/>
        <v>19.708050017521337</v>
      </c>
      <c r="DN162" s="451"/>
      <c r="DO162" s="319"/>
    </row>
    <row r="163" spans="1:122" outlineLevel="1" x14ac:dyDescent="0.2">
      <c r="A163" s="448" t="s">
        <v>92</v>
      </c>
      <c r="C163" s="491">
        <f>C143+C153</f>
        <v>11.368999999999966</v>
      </c>
      <c r="D163" s="492">
        <f t="shared" si="467"/>
        <v>4.1685305095807514</v>
      </c>
      <c r="E163" s="470" t="s">
        <v>1</v>
      </c>
      <c r="F163" s="305"/>
      <c r="G163" s="491">
        <f>G143+G153</f>
        <v>15.043999999999967</v>
      </c>
      <c r="H163" s="492">
        <f t="shared" si="468"/>
        <v>4.6851448146994601</v>
      </c>
      <c r="I163" s="451">
        <f t="shared" si="469"/>
        <v>32.324742721435598</v>
      </c>
      <c r="K163" s="491">
        <f>K143+K153</f>
        <v>19.528999999999982</v>
      </c>
      <c r="L163" s="492">
        <f t="shared" si="470"/>
        <v>5.1473379019504435</v>
      </c>
      <c r="M163" s="451">
        <f t="shared" si="471"/>
        <v>29.812549853762469</v>
      </c>
      <c r="O163" s="491">
        <f>O143+O153</f>
        <v>26.366000000000046</v>
      </c>
      <c r="P163" s="492">
        <f t="shared" si="472"/>
        <v>5.768103259680605</v>
      </c>
      <c r="Q163" s="451">
        <f t="shared" si="473"/>
        <v>35.009473091300471</v>
      </c>
      <c r="R163" s="305"/>
      <c r="S163" s="491">
        <f>S143+S153</f>
        <v>33.893000000000015</v>
      </c>
      <c r="T163" s="492">
        <f t="shared" si="474"/>
        <v>6.0057766594606115</v>
      </c>
      <c r="U163" s="451">
        <f t="shared" si="475"/>
        <v>28.548130167639975</v>
      </c>
      <c r="W163" s="491">
        <f>W143+W153</f>
        <v>42.069000000000031</v>
      </c>
      <c r="X163" s="492">
        <f t="shared" si="476"/>
        <v>5.9503536067892551</v>
      </c>
      <c r="Y163" s="451">
        <f t="shared" si="477"/>
        <v>24.122975245625987</v>
      </c>
      <c r="AA163" s="491">
        <f>AA143+AA153</f>
        <v>52.039000000000001</v>
      </c>
      <c r="AB163" s="492">
        <f t="shared" si="478"/>
        <v>6.1439197166469892</v>
      </c>
      <c r="AC163" s="451">
        <f t="shared" si="479"/>
        <v>23.699160902327044</v>
      </c>
      <c r="AE163" s="491">
        <f>AE143+AE153</f>
        <v>72.592986999999994</v>
      </c>
      <c r="AF163" s="492">
        <f t="shared" si="480"/>
        <v>6.7352929114863613</v>
      </c>
      <c r="AG163" s="451">
        <f t="shared" si="481"/>
        <v>39.497275120582628</v>
      </c>
      <c r="AI163" s="491">
        <f>AI143+AI153</f>
        <v>91.76400000000001</v>
      </c>
      <c r="AJ163" s="492">
        <f t="shared" si="482"/>
        <v>7.1162466072120987</v>
      </c>
      <c r="AK163" s="451">
        <f t="shared" si="483"/>
        <v>26.408905036515474</v>
      </c>
      <c r="AM163" s="491">
        <f>AM143+AM153</f>
        <v>119.82499999999997</v>
      </c>
      <c r="AN163" s="492">
        <f t="shared" si="484"/>
        <v>7.4541213063763587</v>
      </c>
      <c r="AO163" s="451">
        <f t="shared" si="485"/>
        <v>30.579530098949448</v>
      </c>
      <c r="AQ163" s="491">
        <f>AQ143+AQ153</f>
        <v>176.80299999999988</v>
      </c>
      <c r="AR163" s="492">
        <f t="shared" si="486"/>
        <v>7.9529935675408172</v>
      </c>
      <c r="AS163" s="451">
        <f t="shared" si="487"/>
        <v>47.551011892342942</v>
      </c>
      <c r="AU163" s="491">
        <f>AU143+AU153</f>
        <v>232.29799999999975</v>
      </c>
      <c r="AV163" s="492">
        <f t="shared" si="488"/>
        <v>8.5272006460612193</v>
      </c>
      <c r="AW163" s="451">
        <f t="shared" si="489"/>
        <v>31.388042058109811</v>
      </c>
      <c r="AY163" s="491">
        <f>AY143+AY153</f>
        <v>276.72200000000043</v>
      </c>
      <c r="AZ163" s="492">
        <f t="shared" si="490"/>
        <v>8.6899258887074637</v>
      </c>
      <c r="BA163" s="451">
        <f t="shared" si="491"/>
        <v>19.123711784001895</v>
      </c>
      <c r="BC163" s="491">
        <f>BC143+BC153</f>
        <v>244.80000000000035</v>
      </c>
      <c r="BD163" s="492">
        <f t="shared" si="492"/>
        <v>6.8727364608776309</v>
      </c>
      <c r="BE163" s="451">
        <f t="shared" si="493"/>
        <v>-11.535765136129417</v>
      </c>
      <c r="BG163" s="491">
        <f>BG143+BG153</f>
        <v>318.81791799999974</v>
      </c>
      <c r="BH163" s="492">
        <f t="shared" si="494"/>
        <v>7.8166552578027249</v>
      </c>
      <c r="BI163" s="451">
        <f t="shared" si="495"/>
        <v>30.236077614378786</v>
      </c>
      <c r="BK163" s="491">
        <f>BK143+BK153</f>
        <v>374.89999999999952</v>
      </c>
      <c r="BL163" s="492">
        <f t="shared" si="496"/>
        <v>8.0590726369870271</v>
      </c>
      <c r="BM163" s="451">
        <f>(BK163/BG163-1)*100</f>
        <v>17.590630524097396</v>
      </c>
      <c r="BO163" s="491">
        <f>BO143+BO153</f>
        <v>484.60000000000019</v>
      </c>
      <c r="BP163" s="492">
        <f t="shared" si="497"/>
        <v>8.8940278236611263</v>
      </c>
      <c r="BQ163" s="451">
        <f t="shared" si="498"/>
        <v>29.261136303014347</v>
      </c>
      <c r="BS163" s="491">
        <f>BS143+BS153</f>
        <v>411.70000000000005</v>
      </c>
      <c r="BT163" s="492">
        <f t="shared" si="499"/>
        <v>7.5027791445701899</v>
      </c>
      <c r="BU163" s="451">
        <f t="shared" si="500"/>
        <v>-15.043334709038403</v>
      </c>
      <c r="BW163" s="491">
        <f>BW143+BW153</f>
        <v>336</v>
      </c>
      <c r="BX163" s="492">
        <f t="shared" si="501"/>
        <v>6.4183381088825211</v>
      </c>
      <c r="BY163" s="451">
        <f t="shared" si="502"/>
        <v>-18.387175127520049</v>
      </c>
      <c r="CA163" s="491">
        <f>CA143+CA153</f>
        <v>432</v>
      </c>
      <c r="CB163" s="492">
        <f t="shared" si="503"/>
        <v>7.6016188632764381</v>
      </c>
      <c r="CC163" s="451">
        <f t="shared" si="504"/>
        <v>28.57142857142858</v>
      </c>
      <c r="CE163" s="491">
        <f>CE143+CE153</f>
        <v>494</v>
      </c>
      <c r="CF163" s="492">
        <f t="shared" si="505"/>
        <v>8.1815170586286854</v>
      </c>
      <c r="CG163" s="451">
        <f>(CE163/CA163-1)*100</f>
        <v>14.35185185185186</v>
      </c>
      <c r="CI163" s="491">
        <f>CI143+CI153</f>
        <v>455</v>
      </c>
      <c r="CJ163" s="492">
        <f t="shared" si="506"/>
        <v>7.5606513791957459</v>
      </c>
      <c r="CK163" s="451">
        <f t="shared" si="507"/>
        <v>-7.8947368421052655</v>
      </c>
      <c r="CM163" s="491">
        <f>CM143+CM153</f>
        <v>378</v>
      </c>
      <c r="CN163" s="492">
        <f t="shared" si="508"/>
        <v>5.9602649006622519</v>
      </c>
      <c r="CO163" s="451">
        <f t="shared" si="509"/>
        <v>-16.92307692307692</v>
      </c>
      <c r="CQ163" s="491">
        <f>CQ143+CQ153</f>
        <v>334</v>
      </c>
      <c r="CR163" s="492">
        <f t="shared" si="510"/>
        <v>5.4763075914084274</v>
      </c>
      <c r="CS163" s="451">
        <f t="shared" si="511"/>
        <v>-11.640211640211639</v>
      </c>
      <c r="CU163" s="491">
        <f>CU143+CU153</f>
        <v>369</v>
      </c>
      <c r="CV163" s="492">
        <f t="shared" si="512"/>
        <v>5.8229446110146759</v>
      </c>
      <c r="CW163" s="451">
        <f t="shared" si="513"/>
        <v>10.479041916167663</v>
      </c>
      <c r="CY163" s="491">
        <f>CY143+CY153</f>
        <v>296</v>
      </c>
      <c r="CZ163" s="492">
        <f t="shared" si="514"/>
        <v>4.6344136527321123</v>
      </c>
      <c r="DA163" s="451">
        <f t="shared" si="515"/>
        <v>-19.783197831978317</v>
      </c>
      <c r="DC163" s="491">
        <f>DC143+DC153</f>
        <v>252</v>
      </c>
      <c r="DD163" s="492">
        <f t="shared" si="516"/>
        <v>4.0612409347300567</v>
      </c>
      <c r="DE163" s="451">
        <f t="shared" si="517"/>
        <v>-14.864864864864868</v>
      </c>
      <c r="DG163" s="491">
        <f>DG143+DG153</f>
        <v>469</v>
      </c>
      <c r="DH163" s="492">
        <f t="shared" si="518"/>
        <v>6.9214876033057857</v>
      </c>
      <c r="DI163" s="451">
        <f t="shared" si="519"/>
        <v>86.111111111111114</v>
      </c>
      <c r="DJ163" s="451"/>
      <c r="DK163" s="491">
        <f>DK143+DK153</f>
        <v>302.02649566799948</v>
      </c>
      <c r="DL163" s="492">
        <f t="shared" si="520"/>
        <v>4.7509035939980944</v>
      </c>
      <c r="DM163" s="451">
        <f t="shared" si="521"/>
        <v>-35.602026510021432</v>
      </c>
      <c r="DN163" s="451"/>
      <c r="DR163" s="413"/>
    </row>
    <row r="164" spans="1:122" outlineLevel="1" x14ac:dyDescent="0.2">
      <c r="A164" s="448" t="s">
        <v>93</v>
      </c>
      <c r="C164" s="319">
        <f>C144+C154</f>
        <v>11.485999999999938</v>
      </c>
      <c r="D164" s="492">
        <f t="shared" si="467"/>
        <v>1.4543014326502366</v>
      </c>
      <c r="E164" s="470" t="s">
        <v>1</v>
      </c>
      <c r="F164" s="305"/>
      <c r="G164" s="319">
        <f>G144+G154</f>
        <v>20.093999999999973</v>
      </c>
      <c r="H164" s="492">
        <f t="shared" si="468"/>
        <v>2.1596558995556845</v>
      </c>
      <c r="I164" s="451">
        <f t="shared" si="469"/>
        <v>74.943409367926876</v>
      </c>
      <c r="K164" s="319">
        <f>K144+K154</f>
        <v>23.514999999999972</v>
      </c>
      <c r="L164" s="492">
        <f t="shared" si="470"/>
        <v>2.1438547995361259</v>
      </c>
      <c r="M164" s="451">
        <f t="shared" si="471"/>
        <v>17.024982581865245</v>
      </c>
      <c r="O164" s="319">
        <f>O144+O154</f>
        <v>53.747000000000021</v>
      </c>
      <c r="P164" s="492">
        <f t="shared" si="472"/>
        <v>4.116651348039218</v>
      </c>
      <c r="Q164" s="451">
        <f t="shared" si="473"/>
        <v>128.5647459068683</v>
      </c>
      <c r="R164" s="305"/>
      <c r="S164" s="319">
        <f>S144+S154</f>
        <v>68.451999999999998</v>
      </c>
      <c r="T164" s="492">
        <f t="shared" si="474"/>
        <v>4.4047772258114337</v>
      </c>
      <c r="U164" s="451">
        <f t="shared" si="475"/>
        <v>27.359666586041964</v>
      </c>
      <c r="W164" s="498">
        <f>W144+W154-8.3</f>
        <v>72.652000000000172</v>
      </c>
      <c r="X164" s="492">
        <f t="shared" si="476"/>
        <v>3.7728186931398997</v>
      </c>
      <c r="Y164" s="451">
        <f t="shared" si="477"/>
        <v>6.1356863203415157</v>
      </c>
      <c r="AA164" s="319">
        <f>AA144+AA154</f>
        <v>102.75600000000003</v>
      </c>
      <c r="AB164" s="492">
        <f t="shared" si="478"/>
        <v>4.3021142976763667</v>
      </c>
      <c r="AC164" s="451">
        <f t="shared" si="479"/>
        <v>41.435886142156832</v>
      </c>
      <c r="AE164" s="319">
        <f>AE144+AE154</f>
        <v>141.25633399999995</v>
      </c>
      <c r="AF164" s="492">
        <f t="shared" si="480"/>
        <v>4.6160933490714626</v>
      </c>
      <c r="AG164" s="451">
        <f t="shared" si="481"/>
        <v>37.46772353925796</v>
      </c>
      <c r="AI164" s="319">
        <f>SUM(AI160:AI163)</f>
        <v>178.08458600000017</v>
      </c>
      <c r="AJ164" s="492">
        <f t="shared" si="482"/>
        <v>4.8370205611538193</v>
      </c>
      <c r="AK164" s="451">
        <f t="shared" si="483"/>
        <v>26.071929631134449</v>
      </c>
      <c r="AM164" s="319">
        <f>AM144+AM154</f>
        <v>258.80999999999938</v>
      </c>
      <c r="AN164" s="492">
        <f t="shared" si="484"/>
        <v>5.6794192645128883</v>
      </c>
      <c r="AO164" s="451">
        <f t="shared" si="485"/>
        <v>45.329815349655874</v>
      </c>
      <c r="AQ164" s="319">
        <f>AQ144+AQ154</f>
        <v>363.35200000000106</v>
      </c>
      <c r="AR164" s="492">
        <f t="shared" si="486"/>
        <v>5.9060498683397977</v>
      </c>
      <c r="AS164" s="451">
        <f t="shared" si="487"/>
        <v>40.393338742707741</v>
      </c>
      <c r="AU164" s="319">
        <f>AU144+AU154</f>
        <v>486.66899999999941</v>
      </c>
      <c r="AV164" s="492">
        <f t="shared" si="488"/>
        <v>6.4987582534946826</v>
      </c>
      <c r="AW164" s="451">
        <f t="shared" si="489"/>
        <v>33.938715075188242</v>
      </c>
      <c r="AY164" s="319">
        <f>AY144+AY154</f>
        <v>635.43500000000142</v>
      </c>
      <c r="AZ164" s="492">
        <f t="shared" si="490"/>
        <v>6.9673362426262733</v>
      </c>
      <c r="BA164" s="451">
        <f t="shared" si="491"/>
        <v>30.568209604474951</v>
      </c>
      <c r="BC164" s="319">
        <f>BC144+BC154</f>
        <v>577.87900000000013</v>
      </c>
      <c r="BD164" s="492">
        <f t="shared" si="492"/>
        <v>5.6202976074693654</v>
      </c>
      <c r="BE164" s="451">
        <f t="shared" si="493"/>
        <v>-9.057732104778804</v>
      </c>
      <c r="BG164" s="319">
        <f>BG144+BG154</f>
        <v>703.51288799999986</v>
      </c>
      <c r="BH164" s="492">
        <f t="shared" si="494"/>
        <v>6.0125709402001579</v>
      </c>
      <c r="BI164" s="451">
        <f t="shared" si="495"/>
        <v>21.74051799771226</v>
      </c>
      <c r="BK164" s="319">
        <f>BK144+BK154</f>
        <v>841.89977960398778</v>
      </c>
      <c r="BL164" s="492">
        <f t="shared" si="496"/>
        <v>6.2818028353851449</v>
      </c>
      <c r="BM164" s="451">
        <f>(BK164/BG164-1)*100</f>
        <v>19.670839577282617</v>
      </c>
      <c r="BO164" s="319">
        <f>BO144+BO154</f>
        <v>1108.5977755400052</v>
      </c>
      <c r="BP164" s="492">
        <f t="shared" si="497"/>
        <v>7.1130982682978345</v>
      </c>
      <c r="BQ164" s="451">
        <f t="shared" si="498"/>
        <v>31.678116849189173</v>
      </c>
      <c r="BS164" s="319">
        <f>BS144+BS154</f>
        <v>1083.8209999999999</v>
      </c>
      <c r="BT164" s="492">
        <f t="shared" si="499"/>
        <v>6.5790988059755851</v>
      </c>
      <c r="BU164" s="451">
        <f t="shared" si="500"/>
        <v>-2.234965294598068</v>
      </c>
      <c r="BW164" s="319">
        <f>BW144+BW154</f>
        <v>885.12699999999984</v>
      </c>
      <c r="BX164" s="492">
        <f t="shared" si="501"/>
        <v>5.4009366870392084</v>
      </c>
      <c r="BY164" s="451">
        <f t="shared" si="502"/>
        <v>-18.332732065534817</v>
      </c>
      <c r="CA164" s="319">
        <f>CA144+CA154</f>
        <v>973</v>
      </c>
      <c r="CB164" s="492">
        <f t="shared" si="503"/>
        <v>5.6642216788916055</v>
      </c>
      <c r="CC164" s="451">
        <f t="shared" si="504"/>
        <v>9.9277278853769246</v>
      </c>
      <c r="CE164" s="319">
        <f>CE144+CE154</f>
        <v>1120</v>
      </c>
      <c r="CF164" s="492">
        <f t="shared" si="505"/>
        <v>6.0899352944374963</v>
      </c>
      <c r="CG164" s="451">
        <f>(CE164/CA164-1)*100</f>
        <v>15.107913669064743</v>
      </c>
      <c r="CI164" s="319">
        <f>CI144+CI154</f>
        <v>1167</v>
      </c>
      <c r="CJ164" s="492">
        <f t="shared" si="506"/>
        <v>6.2061263560944475</v>
      </c>
      <c r="CK164" s="451">
        <f t="shared" si="507"/>
        <v>4.1964285714285676</v>
      </c>
      <c r="CM164" s="319">
        <f>CM144+CM154</f>
        <v>985.5</v>
      </c>
      <c r="CN164" s="492">
        <f t="shared" si="508"/>
        <v>5.1115145228215768</v>
      </c>
      <c r="CO164" s="451">
        <f t="shared" si="509"/>
        <v>-15.552699228791777</v>
      </c>
      <c r="CQ164" s="319">
        <f>CQ144+CQ154</f>
        <v>889</v>
      </c>
      <c r="CR164" s="492">
        <f t="shared" si="510"/>
        <v>4.6713257317009091</v>
      </c>
      <c r="CS164" s="451">
        <f t="shared" si="511"/>
        <v>-9.7919837645865098</v>
      </c>
      <c r="CU164" s="319">
        <f>CU144+CU154</f>
        <v>867</v>
      </c>
      <c r="CV164" s="492">
        <f t="shared" si="512"/>
        <v>4.5576407506702417</v>
      </c>
      <c r="CW164" s="451">
        <f t="shared" si="513"/>
        <v>-2.4746906636670452</v>
      </c>
      <c r="CY164" s="319">
        <f>CY144+CY154</f>
        <v>674.01400000000012</v>
      </c>
      <c r="CZ164" s="492">
        <f t="shared" si="514"/>
        <v>3.5097583836700696</v>
      </c>
      <c r="DA164" s="451">
        <f t="shared" si="515"/>
        <v>-22.259054209919249</v>
      </c>
      <c r="DC164" s="319">
        <f>DC144+DC154</f>
        <v>555.88</v>
      </c>
      <c r="DD164" s="492">
        <f t="shared" si="516"/>
        <v>2.9748474793963395</v>
      </c>
      <c r="DE164" s="451">
        <f t="shared" si="517"/>
        <v>-17.526935642286379</v>
      </c>
      <c r="DG164" s="319">
        <f>DG144+DG154</f>
        <v>860</v>
      </c>
      <c r="DH164" s="492">
        <f t="shared" si="518"/>
        <v>4.5037968054464521</v>
      </c>
      <c r="DI164" s="451">
        <f t="shared" si="519"/>
        <v>54.709649564654249</v>
      </c>
      <c r="DJ164" s="451"/>
      <c r="DK164" s="319">
        <f>DK144+DK154</f>
        <v>797.89082749519889</v>
      </c>
      <c r="DL164" s="492">
        <f t="shared" si="520"/>
        <v>4.2474802368003512</v>
      </c>
      <c r="DM164" s="451">
        <f t="shared" si="521"/>
        <v>-7.2219968028838455</v>
      </c>
      <c r="DN164" s="451"/>
      <c r="DO164" s="319"/>
    </row>
    <row r="165" spans="1:122" outlineLevel="1" x14ac:dyDescent="0.2">
      <c r="A165" s="448" t="s">
        <v>467</v>
      </c>
      <c r="C165" s="413">
        <f>C160+C161</f>
        <v>-3.6320000000000112</v>
      </c>
      <c r="D165" s="492">
        <f t="shared" si="467"/>
        <v>-1.144236131020081</v>
      </c>
      <c r="E165" s="470" t="s">
        <v>1</v>
      </c>
      <c r="F165" s="305"/>
      <c r="G165" s="413">
        <f>G160+G161</f>
        <v>0.35900000000001175</v>
      </c>
      <c r="H165" s="492">
        <f t="shared" si="468"/>
        <v>9.709893272315491E-2</v>
      </c>
      <c r="I165" s="451">
        <f t="shared" si="469"/>
        <v>-109.88436123348046</v>
      </c>
      <c r="K165" s="413">
        <f>K160+K161</f>
        <v>-6.1250000000000053</v>
      </c>
      <c r="L165" s="492">
        <f t="shared" si="470"/>
        <v>-1.4270736253494887</v>
      </c>
      <c r="M165" s="451">
        <f t="shared" si="471"/>
        <v>-1806.1281337046812</v>
      </c>
      <c r="O165" s="413">
        <f>O160+O161</f>
        <v>14.314999999999994</v>
      </c>
      <c r="P165" s="492">
        <f t="shared" si="472"/>
        <v>2.8201339637509841</v>
      </c>
      <c r="Q165" s="451">
        <f t="shared" si="473"/>
        <v>-333.71428571428538</v>
      </c>
      <c r="R165" s="305"/>
      <c r="S165" s="413">
        <f>S160+S161</f>
        <v>20.714999999999975</v>
      </c>
      <c r="T165" s="492">
        <f t="shared" si="474"/>
        <v>3.4513495501499456</v>
      </c>
      <c r="U165" s="451">
        <f t="shared" si="475"/>
        <v>44.708347886831888</v>
      </c>
      <c r="W165" s="413">
        <f>W160+W161</f>
        <v>22.738000000000021</v>
      </c>
      <c r="X165" s="492">
        <f t="shared" si="476"/>
        <v>3.1075577422440919</v>
      </c>
      <c r="Y165" s="451">
        <f t="shared" si="477"/>
        <v>9.7658701424091063</v>
      </c>
      <c r="AA165" s="413">
        <f>AA160+AA161</f>
        <v>28.692</v>
      </c>
      <c r="AB165" s="492">
        <f t="shared" si="478"/>
        <v>3.0416622495494541</v>
      </c>
      <c r="AC165" s="451">
        <f t="shared" si="479"/>
        <v>26.185240566452528</v>
      </c>
      <c r="AE165" s="413">
        <f>AE160+AE161</f>
        <v>36.121000000000009</v>
      </c>
      <c r="AF165" s="492">
        <f t="shared" si="480"/>
        <v>2.9498956295059808</v>
      </c>
      <c r="AG165" s="451">
        <f t="shared" si="481"/>
        <v>25.892234769273692</v>
      </c>
      <c r="AI165" s="413">
        <f>AI160+AI161</f>
        <v>51.731586000000085</v>
      </c>
      <c r="AJ165" s="492">
        <f t="shared" si="482"/>
        <v>3.4410873050187973</v>
      </c>
      <c r="AK165" s="451">
        <f t="shared" si="483"/>
        <v>43.217480136209055</v>
      </c>
      <c r="AM165" s="413">
        <f>AM160+AM161</f>
        <v>82.152999999999992</v>
      </c>
      <c r="AN165" s="492">
        <f t="shared" si="484"/>
        <v>4.4411828305762784</v>
      </c>
      <c r="AO165" s="451">
        <f t="shared" si="485"/>
        <v>58.806265866273378</v>
      </c>
      <c r="AQ165" s="413">
        <f>AQ160+AQ161</f>
        <v>112.52200000000023</v>
      </c>
      <c r="AR165" s="492">
        <f t="shared" si="486"/>
        <v>4.5296888209009385</v>
      </c>
      <c r="AS165" s="451">
        <f t="shared" si="487"/>
        <v>36.966391975947623</v>
      </c>
      <c r="AU165" s="413">
        <f>AU160+AU161</f>
        <v>157.20099999999991</v>
      </c>
      <c r="AV165" s="492">
        <f t="shared" si="488"/>
        <v>5.2328817283046476</v>
      </c>
      <c r="AW165" s="451">
        <f t="shared" si="489"/>
        <v>39.706901761432945</v>
      </c>
      <c r="AY165" s="413">
        <f>AY160+AY161</f>
        <v>225.77300000000002</v>
      </c>
      <c r="AZ165" s="492">
        <f t="shared" si="490"/>
        <v>5.9533013395211478</v>
      </c>
      <c r="BA165" s="451">
        <f t="shared" si="491"/>
        <v>43.620587655294905</v>
      </c>
      <c r="BC165" s="413">
        <f>BC160+BC161</f>
        <v>216.26899999999986</v>
      </c>
      <c r="BD165" s="492">
        <f t="shared" si="492"/>
        <v>4.9991678417049963</v>
      </c>
      <c r="BE165" s="451">
        <f t="shared" si="493"/>
        <v>-4.2095378986859222</v>
      </c>
      <c r="BG165" s="413">
        <f>BG160+BG161</f>
        <v>250.07240000000007</v>
      </c>
      <c r="BH165" s="492">
        <f t="shared" si="494"/>
        <v>5.1264303724810905</v>
      </c>
      <c r="BI165" s="451">
        <f t="shared" si="495"/>
        <v>15.630256763567708</v>
      </c>
      <c r="BK165" s="413">
        <f>BK160+BK161</f>
        <v>311.89977960398926</v>
      </c>
      <c r="BL165" s="492">
        <f t="shared" si="496"/>
        <v>5.539075096414237</v>
      </c>
      <c r="BM165" s="451">
        <f>(BK165/BG165-1)*100</f>
        <v>24.723791831481279</v>
      </c>
      <c r="BO165" s="413">
        <f>BO160+BO161</f>
        <v>399.50177554000453</v>
      </c>
      <c r="BP165" s="492">
        <f t="shared" si="497"/>
        <v>6.1592510929732045</v>
      </c>
      <c r="BQ165" s="451">
        <f t="shared" si="498"/>
        <v>28.086584750794351</v>
      </c>
      <c r="BS165" s="413">
        <f>BS160+BS161</f>
        <v>478.12099999999987</v>
      </c>
      <c r="BT165" s="492">
        <f t="shared" si="499"/>
        <v>6.676548623135786</v>
      </c>
      <c r="BU165" s="451">
        <f t="shared" si="500"/>
        <v>19.679317908844361</v>
      </c>
      <c r="BW165" s="413">
        <f>BW160+BW161</f>
        <v>388.96999999999991</v>
      </c>
      <c r="BX165" s="492">
        <f t="shared" si="501"/>
        <v>5.2922895734262481</v>
      </c>
      <c r="BY165" s="451">
        <f t="shared" si="502"/>
        <v>-18.646116777970423</v>
      </c>
      <c r="CA165" s="413">
        <f>CA160+CA161</f>
        <v>366.1</v>
      </c>
      <c r="CB165" s="492">
        <f t="shared" si="503"/>
        <v>4.9180548092423431</v>
      </c>
      <c r="CC165" s="451">
        <f t="shared" si="504"/>
        <v>-5.8796308198575513</v>
      </c>
      <c r="CE165" s="413">
        <f>CE160+CE161</f>
        <v>450</v>
      </c>
      <c r="CF165" s="492">
        <f t="shared" si="505"/>
        <v>5.5316533497234168</v>
      </c>
      <c r="CG165" s="451">
        <f>(CE165/CA165-1)*100</f>
        <v>22.917235727943176</v>
      </c>
      <c r="CI165" s="413">
        <f>CI160+CI161</f>
        <v>500</v>
      </c>
      <c r="CJ165" s="492">
        <f t="shared" si="506"/>
        <v>5.9453032104637336</v>
      </c>
      <c r="CK165" s="451">
        <f t="shared" si="507"/>
        <v>11.111111111111116</v>
      </c>
      <c r="CM165" s="413">
        <f>CM160+CM161</f>
        <v>393</v>
      </c>
      <c r="CN165" s="492">
        <f t="shared" si="508"/>
        <v>4.6519886363636358</v>
      </c>
      <c r="CO165" s="451">
        <f t="shared" si="509"/>
        <v>-21.4</v>
      </c>
      <c r="CQ165" s="413">
        <f>CQ160+CQ161</f>
        <v>378</v>
      </c>
      <c r="CR165" s="492">
        <f t="shared" si="510"/>
        <v>4.4533459000942504</v>
      </c>
      <c r="CS165" s="451">
        <f t="shared" si="511"/>
        <v>-3.8167938931297662</v>
      </c>
      <c r="CU165" s="413">
        <f>CU160+CU161</f>
        <v>356</v>
      </c>
      <c r="CV165" s="492">
        <f t="shared" si="512"/>
        <v>4.2829643888354187</v>
      </c>
      <c r="CW165" s="451">
        <f t="shared" si="513"/>
        <v>-5.8201058201058249</v>
      </c>
      <c r="CY165" s="413">
        <f>CY160+CY161</f>
        <v>257.786</v>
      </c>
      <c r="CZ165" s="492">
        <f t="shared" si="514"/>
        <v>3.0725387365911803</v>
      </c>
      <c r="DA165" s="451">
        <f t="shared" si="515"/>
        <v>-27.588202247191006</v>
      </c>
      <c r="DC165" s="413">
        <f>DC160+DC161</f>
        <v>156.68</v>
      </c>
      <c r="DD165" s="492">
        <f t="shared" si="516"/>
        <v>1.9215109148883982</v>
      </c>
      <c r="DE165" s="451">
        <f t="shared" si="517"/>
        <v>-39.220904160815564</v>
      </c>
      <c r="DG165" s="413">
        <f>DG160+DG161</f>
        <v>274</v>
      </c>
      <c r="DH165" s="492">
        <f t="shared" si="518"/>
        <v>3.4305746838612747</v>
      </c>
      <c r="DI165" s="451">
        <f t="shared" si="519"/>
        <v>74.87873372478937</v>
      </c>
      <c r="DJ165" s="451"/>
      <c r="DK165" s="413">
        <f>DK160+DK161</f>
        <v>355.80591330670052</v>
      </c>
      <c r="DL165" s="492">
        <f t="shared" si="520"/>
        <v>4.3649336103981504</v>
      </c>
      <c r="DM165" s="451">
        <f t="shared" si="521"/>
        <v>29.856172739671717</v>
      </c>
      <c r="DN165" s="451"/>
    </row>
    <row r="166" spans="1:122" outlineLevel="1" x14ac:dyDescent="0.2">
      <c r="A166" s="448" t="s">
        <v>468</v>
      </c>
      <c r="C166" s="413">
        <f>C163+C162</f>
        <v>15.117999999999951</v>
      </c>
      <c r="D166" s="492">
        <f t="shared" si="467"/>
        <v>3.2004030670352872</v>
      </c>
      <c r="E166" s="470" t="s">
        <v>1</v>
      </c>
      <c r="F166" s="305"/>
      <c r="G166" s="413">
        <f>G163+G162</f>
        <v>19.734999999999964</v>
      </c>
      <c r="H166" s="492">
        <f t="shared" si="468"/>
        <v>3.5197075084715466</v>
      </c>
      <c r="I166" s="451">
        <f t="shared" si="469"/>
        <v>30.53975393570596</v>
      </c>
      <c r="K166" s="413">
        <f>K163+K162</f>
        <v>29.639999999999976</v>
      </c>
      <c r="L166" s="492">
        <f t="shared" si="470"/>
        <v>4.4598254589226576</v>
      </c>
      <c r="M166" s="451">
        <f t="shared" si="471"/>
        <v>50.190017734988743</v>
      </c>
      <c r="O166" s="413">
        <f>O163+O162</f>
        <v>39.432000000000031</v>
      </c>
      <c r="P166" s="492">
        <f t="shared" si="472"/>
        <v>4.9413533834586509</v>
      </c>
      <c r="Q166" s="451">
        <f t="shared" si="473"/>
        <v>33.036437246963771</v>
      </c>
      <c r="R166" s="305"/>
      <c r="S166" s="413">
        <f>S163+S162</f>
        <v>47.737000000000023</v>
      </c>
      <c r="T166" s="492">
        <f t="shared" si="474"/>
        <v>5.004717772372727</v>
      </c>
      <c r="U166" s="451">
        <f t="shared" si="475"/>
        <v>21.061574355853075</v>
      </c>
      <c r="W166" s="413">
        <f>W163+W162</f>
        <v>49.645000000000039</v>
      </c>
      <c r="X166" s="492">
        <f t="shared" si="476"/>
        <v>4.1589176510010919</v>
      </c>
      <c r="Y166" s="451">
        <f t="shared" si="477"/>
        <v>3.996899679493926</v>
      </c>
      <c r="AA166" s="413">
        <f>AA163+AA162</f>
        <v>74.064000000000036</v>
      </c>
      <c r="AB166" s="492">
        <f t="shared" si="478"/>
        <v>5.1248270135621388</v>
      </c>
      <c r="AC166" s="451">
        <f t="shared" si="479"/>
        <v>49.187229328230387</v>
      </c>
      <c r="AE166" s="413">
        <f>AE163+AE162</f>
        <v>105.13533399999994</v>
      </c>
      <c r="AF166" s="492">
        <f t="shared" si="480"/>
        <v>5.7275732185661337</v>
      </c>
      <c r="AG166" s="451">
        <f t="shared" si="481"/>
        <v>41.952006372866556</v>
      </c>
      <c r="AI166" s="413">
        <f>AI163+AI162</f>
        <v>126.35300000000009</v>
      </c>
      <c r="AJ166" s="492">
        <f t="shared" si="482"/>
        <v>5.8003993848555151</v>
      </c>
      <c r="AK166" s="451">
        <f t="shared" si="483"/>
        <v>20.18128938459467</v>
      </c>
      <c r="AM166" s="413">
        <f>AM163+AM162</f>
        <v>170.85700000000003</v>
      </c>
      <c r="AN166" s="492">
        <f t="shared" si="484"/>
        <v>6.3112537769930341</v>
      </c>
      <c r="AO166" s="451">
        <f t="shared" si="485"/>
        <v>35.221957531677049</v>
      </c>
      <c r="AQ166" s="413">
        <f>AQ163+AQ162</f>
        <v>250.82999999999984</v>
      </c>
      <c r="AR166" s="492">
        <f t="shared" si="486"/>
        <v>6.8381450887380346</v>
      </c>
      <c r="AS166" s="451">
        <f t="shared" si="487"/>
        <v>46.806978935600995</v>
      </c>
      <c r="AU166" s="413">
        <f>AU163+AU162</f>
        <v>329.46799999999979</v>
      </c>
      <c r="AV166" s="492">
        <f t="shared" si="488"/>
        <v>7.3467414538729177</v>
      </c>
      <c r="AW166" s="451">
        <f t="shared" si="489"/>
        <v>31.351114300522266</v>
      </c>
      <c r="AY166" s="413">
        <f>AY163+AY162</f>
        <v>406.93200000000047</v>
      </c>
      <c r="AZ166" s="492">
        <f t="shared" si="490"/>
        <v>7.6378993205450749</v>
      </c>
      <c r="BA166" s="451">
        <f t="shared" si="491"/>
        <v>23.511843335316552</v>
      </c>
      <c r="BC166" s="413">
        <f>BC163+BC162</f>
        <v>361.61000000000024</v>
      </c>
      <c r="BD166" s="492">
        <f t="shared" si="492"/>
        <v>6.0714585537030556</v>
      </c>
      <c r="BE166" s="451">
        <f t="shared" si="493"/>
        <v>-11.137487344322928</v>
      </c>
      <c r="BG166" s="413">
        <f>BG163+BG162</f>
        <v>453.44048799999979</v>
      </c>
      <c r="BH166" s="492">
        <f t="shared" si="494"/>
        <v>6.6461537830152695</v>
      </c>
      <c r="BI166" s="451">
        <f t="shared" si="495"/>
        <v>25.394897265009121</v>
      </c>
      <c r="BK166" s="413">
        <f>BK163+BK162</f>
        <v>529.99999999999977</v>
      </c>
      <c r="BL166" s="492">
        <f t="shared" si="496"/>
        <v>6.8199657714925408</v>
      </c>
      <c r="BM166" s="451">
        <f>(BK166/BG166-1)*100</f>
        <v>16.884136733727239</v>
      </c>
      <c r="BO166" s="413">
        <f>BO163+BO162</f>
        <v>709.09600000000069</v>
      </c>
      <c r="BP166" s="492">
        <f t="shared" si="497"/>
        <v>7.7930396147132956</v>
      </c>
      <c r="BQ166" s="451">
        <f t="shared" si="498"/>
        <v>33.791698113207723</v>
      </c>
      <c r="BS166" s="413">
        <f>BS163+BS162</f>
        <v>605.70000000000005</v>
      </c>
      <c r="BT166" s="492">
        <f t="shared" si="499"/>
        <v>6.5041610738255038</v>
      </c>
      <c r="BU166" s="451">
        <f t="shared" si="500"/>
        <v>-14.581382492638594</v>
      </c>
      <c r="BW166" s="413">
        <f>BW163+BW162</f>
        <v>496.15699999999993</v>
      </c>
      <c r="BX166" s="492">
        <f t="shared" si="501"/>
        <v>5.4892827456846698</v>
      </c>
      <c r="BY166" s="451">
        <f t="shared" si="502"/>
        <v>-18.085355786693103</v>
      </c>
      <c r="CA166" s="413">
        <f>CA163+CA162</f>
        <v>625</v>
      </c>
      <c r="CB166" s="492">
        <f t="shared" si="503"/>
        <v>6.4207930963632629</v>
      </c>
      <c r="CC166" s="451">
        <f t="shared" si="504"/>
        <v>25.96819152002292</v>
      </c>
      <c r="CE166" s="413">
        <f>CE163+CE162</f>
        <v>670</v>
      </c>
      <c r="CF166" s="492">
        <f t="shared" si="505"/>
        <v>6.5327613104524191</v>
      </c>
      <c r="CG166" s="451">
        <f>(CE166/CA166-1)*100</f>
        <v>7.2000000000000064</v>
      </c>
      <c r="CI166" s="413">
        <f>CI163+CI162</f>
        <v>667</v>
      </c>
      <c r="CJ166" s="492">
        <f t="shared" si="506"/>
        <v>6.4171637483163364</v>
      </c>
      <c r="CK166" s="451">
        <f t="shared" si="507"/>
        <v>-0.44776119402984982</v>
      </c>
      <c r="CM166" s="413">
        <f>CM163+CM162</f>
        <v>592.5</v>
      </c>
      <c r="CN166" s="492">
        <f t="shared" si="508"/>
        <v>5.4699039881831615</v>
      </c>
      <c r="CO166" s="451">
        <f t="shared" si="509"/>
        <v>-11.169415292353824</v>
      </c>
      <c r="CQ166" s="413">
        <f>CQ163+CQ162</f>
        <v>511</v>
      </c>
      <c r="CR166" s="492">
        <f t="shared" si="510"/>
        <v>4.8468177937968324</v>
      </c>
      <c r="CS166" s="451">
        <f t="shared" si="511"/>
        <v>-13.755274261603379</v>
      </c>
      <c r="CU166" s="413">
        <f>CU163+CU162</f>
        <v>511</v>
      </c>
      <c r="CV166" s="492">
        <f t="shared" si="512"/>
        <v>4.7707963775557838</v>
      </c>
      <c r="CW166" s="451">
        <f t="shared" si="513"/>
        <v>0</v>
      </c>
      <c r="CY166" s="413">
        <f>CY163+CY162</f>
        <v>416.22800000000001</v>
      </c>
      <c r="CZ166" s="492">
        <f t="shared" si="514"/>
        <v>3.8489735528019238</v>
      </c>
      <c r="DA166" s="451">
        <f t="shared" si="515"/>
        <v>-18.546379647749511</v>
      </c>
      <c r="DC166" s="413">
        <f>DC163+DC162</f>
        <v>398.9</v>
      </c>
      <c r="DD166" s="492">
        <f t="shared" si="516"/>
        <v>3.7875047474363841</v>
      </c>
      <c r="DE166" s="451">
        <f t="shared" si="517"/>
        <v>-4.1631029147486505</v>
      </c>
      <c r="DG166" s="413">
        <f>DG163+DG162</f>
        <v>586</v>
      </c>
      <c r="DH166" s="492">
        <f t="shared" si="518"/>
        <v>5.2754771335974073</v>
      </c>
      <c r="DI166" s="451">
        <f t="shared" si="519"/>
        <v>46.903985961393843</v>
      </c>
      <c r="DJ166" s="451"/>
      <c r="DK166" s="413">
        <f>DK163+DK162</f>
        <v>442.08491418849945</v>
      </c>
      <c r="DL166" s="492">
        <f t="shared" si="520"/>
        <v>4.1574431086406713</v>
      </c>
      <c r="DM166" s="451">
        <f t="shared" si="521"/>
        <v>-24.558888363737296</v>
      </c>
      <c r="DN166" s="451"/>
    </row>
    <row r="167" spans="1:122" x14ac:dyDescent="0.2">
      <c r="C167" s="413"/>
      <c r="D167" s="459"/>
      <c r="E167" s="459"/>
      <c r="F167" s="305"/>
      <c r="G167" s="413"/>
      <c r="H167" s="459"/>
      <c r="I167" s="459"/>
      <c r="K167" s="413"/>
      <c r="L167" s="459"/>
      <c r="M167" s="459"/>
      <c r="O167" s="413"/>
      <c r="P167" s="459"/>
      <c r="Q167" s="459"/>
      <c r="R167" s="305"/>
      <c r="S167" s="413"/>
      <c r="T167" s="459"/>
      <c r="U167" s="459"/>
      <c r="W167" s="413"/>
      <c r="X167" s="459"/>
      <c r="Y167" s="459"/>
      <c r="AA167" s="413"/>
      <c r="AB167" s="459"/>
      <c r="AC167" s="459"/>
      <c r="AE167" s="413"/>
      <c r="AF167" s="459"/>
      <c r="AG167" s="459"/>
      <c r="AI167" s="413"/>
      <c r="AJ167" s="459"/>
      <c r="AK167" s="459"/>
      <c r="AM167" s="413"/>
      <c r="AN167" s="459"/>
      <c r="AO167" s="459"/>
      <c r="AQ167" s="413"/>
      <c r="AR167" s="459"/>
      <c r="AS167" s="459"/>
      <c r="AU167" s="413"/>
      <c r="AV167" s="459"/>
      <c r="AW167" s="459"/>
      <c r="AY167" s="413"/>
      <c r="AZ167" s="459"/>
      <c r="BA167" s="459"/>
      <c r="BC167" s="413"/>
      <c r="BD167" s="459"/>
      <c r="BE167" s="459"/>
      <c r="BG167" s="413"/>
      <c r="BH167" s="459"/>
      <c r="BI167" s="459"/>
      <c r="BK167" s="413"/>
      <c r="BL167" s="459"/>
      <c r="BM167" s="459"/>
      <c r="BO167" s="413"/>
      <c r="BP167" s="459"/>
      <c r="BQ167" s="459"/>
      <c r="BS167" s="413"/>
      <c r="BT167" s="459"/>
      <c r="BU167" s="459"/>
      <c r="BW167" s="413"/>
      <c r="BX167" s="459"/>
      <c r="BY167" s="459"/>
      <c r="CA167" s="413"/>
      <c r="CB167" s="459"/>
      <c r="CC167" s="459"/>
      <c r="CE167" s="413"/>
      <c r="CF167" s="459"/>
      <c r="CG167" s="459"/>
      <c r="CI167" s="413"/>
      <c r="CJ167" s="459"/>
      <c r="CK167" s="459"/>
      <c r="CN167" s="459"/>
      <c r="CO167" s="459"/>
      <c r="CR167" s="459"/>
      <c r="CS167" s="459"/>
      <c r="CV167" s="459"/>
      <c r="CW167" s="459"/>
      <c r="CZ167" s="459"/>
      <c r="DA167" s="459"/>
      <c r="DD167" s="459"/>
      <c r="DE167" s="459"/>
      <c r="DH167" s="459"/>
      <c r="DI167" s="459"/>
      <c r="DJ167" s="459"/>
      <c r="DL167" s="459"/>
      <c r="DM167" s="459"/>
      <c r="DN167" s="459"/>
    </row>
    <row r="168" spans="1:122" x14ac:dyDescent="0.2">
      <c r="A168" s="462"/>
      <c r="B168" s="318"/>
      <c r="C168" s="463"/>
      <c r="D168" s="464"/>
      <c r="E168" s="464"/>
      <c r="F168" s="465"/>
      <c r="G168" s="463"/>
      <c r="H168" s="464"/>
      <c r="I168" s="464"/>
      <c r="J168" s="318"/>
      <c r="K168" s="463"/>
      <c r="L168" s="464"/>
      <c r="M168" s="464"/>
      <c r="N168" s="318"/>
      <c r="O168" s="463"/>
      <c r="P168" s="464"/>
      <c r="Q168" s="464"/>
      <c r="R168" s="465"/>
      <c r="S168" s="463"/>
      <c r="T168" s="464"/>
      <c r="U168" s="464"/>
      <c r="V168" s="318"/>
      <c r="W168" s="463"/>
      <c r="X168" s="464"/>
      <c r="Y168" s="464"/>
      <c r="Z168" s="318"/>
      <c r="AA168" s="463"/>
      <c r="AB168" s="464"/>
      <c r="AC168" s="464"/>
      <c r="AD168" s="318"/>
      <c r="AE168" s="463"/>
      <c r="AF168" s="464"/>
      <c r="AG168" s="464"/>
      <c r="AH168" s="318"/>
      <c r="AI168" s="463"/>
      <c r="AJ168" s="464"/>
      <c r="AK168" s="464"/>
      <c r="AL168" s="318"/>
      <c r="AM168" s="463"/>
      <c r="AN168" s="464"/>
      <c r="AO168" s="464"/>
      <c r="AP168" s="318"/>
      <c r="AQ168" s="463"/>
      <c r="AR168" s="464"/>
      <c r="AS168" s="464"/>
      <c r="AT168" s="318"/>
      <c r="AU168" s="463"/>
      <c r="AV168" s="464"/>
      <c r="AW168" s="464"/>
      <c r="AX168" s="318"/>
      <c r="AY168" s="463"/>
      <c r="AZ168" s="464"/>
      <c r="BA168" s="464"/>
      <c r="BB168" s="318"/>
      <c r="BC168" s="463"/>
      <c r="BD168" s="464"/>
      <c r="BE168" s="464"/>
      <c r="BF168" s="318"/>
      <c r="BG168" s="463"/>
      <c r="BH168" s="464"/>
      <c r="BI168" s="464"/>
      <c r="BJ168" s="318"/>
      <c r="BK168" s="463"/>
      <c r="BL168" s="464"/>
      <c r="BM168" s="464"/>
      <c r="BN168" s="318"/>
      <c r="BO168" s="463"/>
      <c r="BP168" s="464"/>
      <c r="BQ168" s="464"/>
      <c r="BR168" s="318"/>
      <c r="BS168" s="463"/>
      <c r="BT168" s="464"/>
      <c r="BU168" s="464"/>
      <c r="BV168" s="318"/>
      <c r="BW168" s="463"/>
      <c r="BX168" s="464"/>
      <c r="BY168" s="464"/>
      <c r="BZ168" s="318"/>
      <c r="CA168" s="463"/>
      <c r="CB168" s="464"/>
      <c r="CC168" s="464"/>
      <c r="CD168" s="318"/>
      <c r="CE168" s="463"/>
      <c r="CF168" s="464"/>
      <c r="CG168" s="464"/>
      <c r="CH168" s="318"/>
      <c r="CI168" s="463"/>
      <c r="CJ168" s="464"/>
      <c r="CK168" s="504" t="s">
        <v>293</v>
      </c>
      <c r="CL168" s="504"/>
      <c r="CM168" s="504"/>
      <c r="CN168" s="504"/>
      <c r="CO168" s="504"/>
      <c r="CP168" s="504"/>
      <c r="CQ168" s="504"/>
      <c r="CR168" s="464"/>
      <c r="CS168" s="464"/>
      <c r="CT168" s="318"/>
      <c r="CU168" s="318"/>
      <c r="CV168" s="464"/>
      <c r="CW168" s="464"/>
      <c r="CX168" s="318"/>
      <c r="CY168" s="504" t="s">
        <v>293</v>
      </c>
      <c r="CZ168" s="504"/>
      <c r="DA168" s="504"/>
      <c r="DB168" s="504"/>
      <c r="DC168" s="504"/>
      <c r="DD168" s="504"/>
      <c r="DE168" s="504"/>
      <c r="DF168" s="504"/>
      <c r="DG168" s="504"/>
      <c r="DH168" s="504"/>
      <c r="DI168" s="504"/>
      <c r="DJ168" s="504"/>
      <c r="DK168" s="504"/>
      <c r="DL168" s="504"/>
      <c r="DM168" s="504"/>
      <c r="DN168" s="464"/>
      <c r="DP168" s="318"/>
    </row>
    <row r="169" spans="1:122" x14ac:dyDescent="0.2">
      <c r="C169" s="413"/>
      <c r="D169" s="459"/>
      <c r="E169" s="459"/>
      <c r="F169" s="305"/>
      <c r="G169" s="413"/>
      <c r="H169" s="459"/>
      <c r="I169" s="459"/>
      <c r="K169" s="413"/>
      <c r="L169" s="459"/>
      <c r="M169" s="459"/>
      <c r="O169" s="413"/>
      <c r="P169" s="459"/>
      <c r="Q169" s="459"/>
      <c r="R169" s="305"/>
      <c r="S169" s="413"/>
      <c r="T169" s="459"/>
      <c r="U169" s="459"/>
      <c r="W169" s="413"/>
      <c r="X169" s="459"/>
      <c r="Y169" s="459"/>
      <c r="AA169" s="413"/>
      <c r="AB169" s="459"/>
      <c r="AC169" s="459"/>
      <c r="AE169" s="413"/>
      <c r="AF169" s="459"/>
      <c r="AG169" s="459"/>
      <c r="AI169" s="413"/>
      <c r="AJ169" s="459"/>
      <c r="AK169" s="459"/>
      <c r="AM169" s="413"/>
      <c r="AN169" s="459"/>
      <c r="AO169" s="459"/>
      <c r="AQ169" s="413"/>
      <c r="AR169" s="459"/>
      <c r="AS169" s="459"/>
      <c r="AU169" s="413"/>
      <c r="AV169" s="459"/>
      <c r="AW169" s="459"/>
      <c r="AY169" s="413"/>
      <c r="AZ169" s="459"/>
      <c r="BA169" s="459"/>
      <c r="BC169" s="413"/>
      <c r="BD169" s="459"/>
      <c r="BE169" s="459"/>
      <c r="BG169" s="413"/>
      <c r="BH169" s="459"/>
      <c r="BI169" s="459"/>
      <c r="BK169" s="413"/>
      <c r="BL169" s="459"/>
      <c r="BM169" s="459"/>
      <c r="BO169" s="413"/>
      <c r="BP169" s="459"/>
      <c r="BQ169" s="459"/>
      <c r="BS169" s="413"/>
      <c r="BT169" s="459"/>
      <c r="BU169" s="459"/>
      <c r="BW169" s="413"/>
      <c r="BX169" s="459"/>
      <c r="BY169" s="459"/>
      <c r="CA169" s="413"/>
      <c r="CB169" s="459"/>
      <c r="CC169" s="459"/>
      <c r="CE169" s="413"/>
      <c r="CF169" s="459"/>
      <c r="CG169" s="459"/>
      <c r="CI169" s="413"/>
      <c r="CJ169" s="459"/>
      <c r="CK169" s="459"/>
      <c r="CN169" s="459"/>
      <c r="CO169" s="459"/>
      <c r="CR169" s="459"/>
      <c r="CS169" s="459"/>
      <c r="CV169" s="459"/>
      <c r="CW169" s="459"/>
      <c r="CZ169" s="459"/>
      <c r="DA169" s="954"/>
      <c r="DD169" s="459"/>
      <c r="DE169" s="459"/>
      <c r="DH169" s="459"/>
      <c r="DI169" s="459"/>
      <c r="DJ169" s="459"/>
      <c r="DL169" s="459"/>
      <c r="DM169" s="459"/>
      <c r="DN169" s="459"/>
      <c r="DQ169" s="419"/>
      <c r="DR169" s="419"/>
    </row>
    <row r="170" spans="1:122" x14ac:dyDescent="0.2">
      <c r="A170" s="448" t="s">
        <v>89</v>
      </c>
      <c r="C170" s="320">
        <f>(C140)/C190</f>
        <v>-7.0532768446310446E-3</v>
      </c>
      <c r="D170" s="485" t="s">
        <v>94</v>
      </c>
      <c r="E170" s="505"/>
      <c r="F170" s="305"/>
      <c r="G170" s="320">
        <f>ROUND((G140)/G190,2)</f>
        <v>0</v>
      </c>
      <c r="H170" s="492">
        <f t="shared" ref="H170:H176" si="522">(G170/C170-1)*100</f>
        <v>-100</v>
      </c>
      <c r="I170" s="505"/>
      <c r="K170" s="320">
        <f>ROUND((K140)/K190+K110*0.6/K190,2)</f>
        <v>0.01</v>
      </c>
      <c r="L170" s="494" t="s">
        <v>236</v>
      </c>
      <c r="M170" s="505"/>
      <c r="O170" s="320">
        <f>ROUND((O140)/O190+O110*0.6/O190,2)</f>
        <v>0.03</v>
      </c>
      <c r="P170" s="492">
        <f t="shared" ref="P170:P176" si="523">(O170/K170-1)*100</f>
        <v>200</v>
      </c>
      <c r="Q170" s="505"/>
      <c r="R170" s="305"/>
      <c r="S170" s="320">
        <f>ROUND((S140)/S190+S110*0.6/S190,2)</f>
        <v>0.04</v>
      </c>
      <c r="T170" s="492">
        <f t="shared" ref="T170:T176" si="524">(S170/O170-1)*100</f>
        <v>33.33333333333335</v>
      </c>
      <c r="U170" s="505"/>
      <c r="W170" s="320">
        <f>ROUND((W140)/W190+W110*0.6/W190,2)</f>
        <v>0.04</v>
      </c>
      <c r="X170" s="492">
        <f t="shared" ref="X170:X176" si="525">(W170/S170-1)*100</f>
        <v>0</v>
      </c>
      <c r="Y170" s="505"/>
      <c r="AA170" s="320">
        <f>ROUND((AA140)/AA190+AA110*0.6/AA190,2)</f>
        <v>0.05</v>
      </c>
      <c r="AB170" s="492">
        <f t="shared" ref="AB170:AB176" si="526">(AA170/W170-1)*100</f>
        <v>25</v>
      </c>
      <c r="AC170" s="505"/>
      <c r="AE170" s="320">
        <f>ROUND((AE140)/AE190+AE110*0.6/AE190,2)</f>
        <v>0.05</v>
      </c>
      <c r="AF170" s="492">
        <f t="shared" ref="AF170:AF176" si="527">(AE170/AA170-1)*100</f>
        <v>0</v>
      </c>
      <c r="AG170" s="505"/>
      <c r="AI170" s="320">
        <f>ROUND((AI140)/AI190+AI110*0.6/AI190,2)</f>
        <v>7.0000000000000007E-2</v>
      </c>
      <c r="AJ170" s="492">
        <f t="shared" ref="AJ170:AJ176" si="528">(AI170/AE170-1)*100</f>
        <v>40.000000000000014</v>
      </c>
      <c r="AK170" s="505"/>
      <c r="AM170" s="320">
        <f>ROUND((AM140)/AM190+AM110*0.6/AM190,2)</f>
        <v>0.11</v>
      </c>
      <c r="AN170" s="492">
        <f t="shared" ref="AN170:AN176" si="529">(AM170/AI170-1)*100</f>
        <v>57.142857142857139</v>
      </c>
      <c r="AO170" s="505"/>
      <c r="AQ170" s="320">
        <f>ROUND((AQ140)/AQ190+AQ110*0.6/AQ190,2)</f>
        <v>0.15</v>
      </c>
      <c r="AR170" s="492">
        <f t="shared" ref="AR170:AR176" si="530">(AQ170/AM170-1)*100</f>
        <v>36.363636363636353</v>
      </c>
      <c r="AS170" s="505"/>
      <c r="AU170" s="320">
        <f>ROUND((AU140)/AU190+AU110*0.6/AU190,2)</f>
        <v>0.21</v>
      </c>
      <c r="AV170" s="492">
        <f t="shared" ref="AV170:AV176" si="531">(AU170/AQ170-1)*100</f>
        <v>39.999999999999993</v>
      </c>
      <c r="AW170" s="505"/>
      <c r="AY170" s="320">
        <f>ROUND((AY140)/AY190+AY110*0.622/AY190,2)</f>
        <v>0.3</v>
      </c>
      <c r="AZ170" s="492">
        <f t="shared" ref="AZ170:AZ176" si="532">(AY170/AU170-1)*100</f>
        <v>42.857142857142861</v>
      </c>
      <c r="BA170" s="505"/>
      <c r="BC170" s="320">
        <f>ROUND((BC140)/BC190+BC110*0.622/BC190,2)</f>
        <v>0.31</v>
      </c>
      <c r="BD170" s="492">
        <f t="shared" ref="BD170:BD176" si="533">(BC170/AY170-1)*100</f>
        <v>3.3333333333333437</v>
      </c>
      <c r="BE170" s="505"/>
      <c r="BG170" s="320">
        <f>ROUND((BG140)/BG190+BG110*0.622/BG190,2)</f>
        <v>0.3</v>
      </c>
      <c r="BH170" s="492">
        <f t="shared" ref="BH170:BH176" si="534">(BG170/BC170-1)*100</f>
        <v>-3.2258064516129115</v>
      </c>
      <c r="BI170" s="505"/>
      <c r="BK170" s="320">
        <f>ROUND((BK140)/BK190+BK110*0.622/BK190,2)</f>
        <v>0.36</v>
      </c>
      <c r="BL170" s="492">
        <f t="shared" ref="BL170:BL176" si="535">(BK170/BG170-1)*100</f>
        <v>19.999999999999996</v>
      </c>
      <c r="BM170" s="505"/>
      <c r="BO170" s="320">
        <f>ROUND((BO140)/BO190+BO110*0.622/BO190,2)</f>
        <v>0.48</v>
      </c>
      <c r="BP170" s="492">
        <f t="shared" ref="BP170:BP176" si="536">(BO170/BK170-1)*100</f>
        <v>33.333333333333329</v>
      </c>
      <c r="BQ170" s="505"/>
      <c r="BS170" s="320">
        <f>ROUND((BS140)/BS190+BS110*0.622/BS190,2)</f>
        <v>0.64</v>
      </c>
      <c r="BT170" s="492">
        <f t="shared" ref="BT170:BT176" si="537">(BS170/BO170-1)*100</f>
        <v>33.33333333333335</v>
      </c>
      <c r="BU170" s="505"/>
      <c r="BW170" s="320">
        <f>ROUND((BW140)/BW190+BW110*0.622/BW190,2)</f>
        <v>0.49</v>
      </c>
      <c r="BX170" s="492">
        <f t="shared" ref="BX170:BX176" si="538">(BW170/BS170-1)*100</f>
        <v>-23.4375</v>
      </c>
      <c r="BY170" s="505"/>
      <c r="CA170" s="320">
        <f>ROUND((CA140)/CA190+CA110*0.624/CA190,2)</f>
        <v>0.45</v>
      </c>
      <c r="CB170" s="492">
        <f t="shared" ref="CB170:CB176" si="539">(CA170/BW170-1)*100</f>
        <v>-8.1632653061224474</v>
      </c>
      <c r="CC170" s="505"/>
      <c r="CE170" s="320">
        <f>ROUND((CE140)/CE190+CE110*0.622/CE190,2)</f>
        <v>0.63</v>
      </c>
      <c r="CF170" s="492">
        <f t="shared" ref="CF170:CF176" si="540">(CE170/CA170-1)*100</f>
        <v>39.999999999999993</v>
      </c>
      <c r="CG170" s="505"/>
      <c r="CI170" s="320">
        <f>ROUND((CI140)/CI190+CI110*0.622/CI190,2)</f>
        <v>0.69</v>
      </c>
      <c r="CJ170" s="492">
        <f t="shared" ref="CJ170:CJ176" si="541">(CI170/CE170-1)*100</f>
        <v>9.5238095238095113</v>
      </c>
      <c r="CK170" s="505"/>
      <c r="CM170" s="320">
        <f>ROUND((CM140)/CM190+CM110*0.622/CM190,2)</f>
        <v>0.63</v>
      </c>
      <c r="CN170" s="492">
        <f t="shared" ref="CN170:CN176" si="542">(CM170/CI170-1)*100</f>
        <v>-8.6956521739130377</v>
      </c>
      <c r="CO170" s="505"/>
      <c r="CQ170" s="320">
        <f>CQ140/CQ190</f>
        <v>0.65919282511210764</v>
      </c>
      <c r="CR170" s="492">
        <f t="shared" ref="CR170:CR176" si="543">(CQ170/CM170-1)*100</f>
        <v>4.6337817638266054</v>
      </c>
      <c r="CS170" s="505"/>
      <c r="CU170" s="320">
        <f>CU140/CU190</f>
        <v>0.60096153846153844</v>
      </c>
      <c r="CV170" s="492">
        <f t="shared" ref="CV170:CV176" si="544">(CU170/CQ170-1)*100</f>
        <v>-8.8337257980115158</v>
      </c>
      <c r="CW170" s="505"/>
      <c r="CY170" s="320">
        <f>CY140/CY190</f>
        <v>0.62871287128712872</v>
      </c>
      <c r="CZ170" s="492">
        <f t="shared" ref="CZ170:CZ176" si="545">(CY170/CU170-1)*100</f>
        <v>4.6178217821782219</v>
      </c>
      <c r="DA170" s="320"/>
      <c r="DC170" s="320">
        <f>DC140/DC190</f>
        <v>0.31326086956521737</v>
      </c>
      <c r="DD170" s="492">
        <f t="shared" ref="DD170:DD176" si="546">(DC170/CY170-1)*100</f>
        <v>-50.17425539198905</v>
      </c>
      <c r="DE170" s="505"/>
      <c r="DG170" s="416">
        <f>DG160/DG190</f>
        <v>0.38596491228070173</v>
      </c>
      <c r="DH170" s="492">
        <f t="shared" ref="DH170:DH176" si="547">(DG170/DC170-1)*100</f>
        <v>23.208785322083834</v>
      </c>
      <c r="DI170" s="505"/>
      <c r="DJ170" s="505"/>
      <c r="DK170" s="416">
        <f>DK160/DK190</f>
        <v>0.48932664495105344</v>
      </c>
      <c r="DL170" s="492">
        <f t="shared" ref="DL170:DL176" si="548">(DK170/DG170-1)*100</f>
        <v>26.780085282772937</v>
      </c>
      <c r="DM170" s="505"/>
      <c r="DN170" s="506"/>
      <c r="DO170" s="390"/>
    </row>
    <row r="171" spans="1:122" x14ac:dyDescent="0.2">
      <c r="A171" s="448" t="s">
        <v>90</v>
      </c>
      <c r="C171" s="416">
        <f>(C141)/C191</f>
        <v>-9.9683188362328333E-3</v>
      </c>
      <c r="D171" s="485" t="s">
        <v>94</v>
      </c>
      <c r="E171" s="505"/>
      <c r="F171" s="305"/>
      <c r="G171" s="416">
        <f>ROUND((G141)/G191,2)</f>
        <v>0</v>
      </c>
      <c r="H171" s="492">
        <f t="shared" si="522"/>
        <v>-100</v>
      </c>
      <c r="I171" s="505"/>
      <c r="K171" s="416">
        <f>ROUND((K141)/K191+K111*0.6/K191,2)</f>
        <v>0.01</v>
      </c>
      <c r="L171" s="494" t="s">
        <v>236</v>
      </c>
      <c r="M171" s="505"/>
      <c r="O171" s="416">
        <f>ROUND((O141)/O191+O111*0.6/O191,2)</f>
        <v>0.02</v>
      </c>
      <c r="P171" s="492">
        <f t="shared" si="523"/>
        <v>100</v>
      </c>
      <c r="Q171" s="505"/>
      <c r="R171" s="305"/>
      <c r="S171" s="416">
        <f>ROUND((S141)/S191+S111*0.6/S191,2)</f>
        <v>0.03</v>
      </c>
      <c r="T171" s="492">
        <f t="shared" si="524"/>
        <v>50</v>
      </c>
      <c r="U171" s="505"/>
      <c r="W171" s="416">
        <f>ROUND((W141)/W191+W111*0.6/W191,2)</f>
        <v>0.04</v>
      </c>
      <c r="X171" s="492">
        <f t="shared" si="525"/>
        <v>33.33333333333335</v>
      </c>
      <c r="Y171" s="505"/>
      <c r="AA171" s="416">
        <f>ROUND((AA141)/AA191+AA111*0.6/AA191,2)</f>
        <v>0.05</v>
      </c>
      <c r="AB171" s="492">
        <f t="shared" si="526"/>
        <v>25</v>
      </c>
      <c r="AC171" s="505"/>
      <c r="AE171" s="416">
        <f>ROUND((AE141)/AE191+AE111*0.6/AE191,2)</f>
        <v>7.0000000000000007E-2</v>
      </c>
      <c r="AF171" s="492">
        <f t="shared" si="527"/>
        <v>40.000000000000014</v>
      </c>
      <c r="AG171" s="505"/>
      <c r="AI171" s="416">
        <f>ROUND((AI141)/AI191+AI111*0.6/AI191,2)</f>
        <v>0.09</v>
      </c>
      <c r="AJ171" s="492">
        <f t="shared" si="528"/>
        <v>28.571428571428559</v>
      </c>
      <c r="AK171" s="505"/>
      <c r="AM171" s="416">
        <f>ROUND((AM141)/AM191+AM111*0.6/AM191,2)</f>
        <v>0.13</v>
      </c>
      <c r="AN171" s="492">
        <f t="shared" si="529"/>
        <v>44.444444444444464</v>
      </c>
      <c r="AO171" s="505"/>
      <c r="AQ171" s="416">
        <f>ROUND((AQ141)/AQ191+AQ111*0.6/AQ191,2)</f>
        <v>0.18</v>
      </c>
      <c r="AR171" s="492">
        <f t="shared" si="530"/>
        <v>38.46153846153846</v>
      </c>
      <c r="AS171" s="505"/>
      <c r="AU171" s="416">
        <f>ROUND((AU141)/AU191+AU111*0.6/AU191,2)</f>
        <v>0.25</v>
      </c>
      <c r="AV171" s="492">
        <f t="shared" si="531"/>
        <v>38.888888888888886</v>
      </c>
      <c r="AW171" s="505"/>
      <c r="AY171" s="416">
        <f>ROUND((AY141)/AY191+AY111*0.622/AY191,2)</f>
        <v>0.36</v>
      </c>
      <c r="AZ171" s="492">
        <f t="shared" si="532"/>
        <v>43.999999999999993</v>
      </c>
      <c r="BA171" s="505"/>
      <c r="BC171" s="416">
        <f>ROUND((BC141)/BC191+BC111*0.622/BC191,2)</f>
        <v>0.32</v>
      </c>
      <c r="BD171" s="492">
        <f t="shared" si="533"/>
        <v>-11.111111111111105</v>
      </c>
      <c r="BE171" s="505"/>
      <c r="BG171" s="416">
        <f>ROUND((BG141)/BG191+BG111*0.622/BG191,2)</f>
        <v>0.43</v>
      </c>
      <c r="BH171" s="492">
        <f t="shared" si="534"/>
        <v>34.375</v>
      </c>
      <c r="BI171" s="505"/>
      <c r="BK171" s="416">
        <f>ROUND((BK141)/BK191+BK111*0.622/BK191,2)</f>
        <v>0.52</v>
      </c>
      <c r="BL171" s="492">
        <f t="shared" si="535"/>
        <v>20.930232558139551</v>
      </c>
      <c r="BM171" s="505"/>
      <c r="BO171" s="416">
        <f>ROUND((BO141)/BO191+BO111*0.622/BO191,2)</f>
        <v>0.69</v>
      </c>
      <c r="BP171" s="492">
        <f t="shared" si="536"/>
        <v>32.692307692307686</v>
      </c>
      <c r="BQ171" s="505"/>
      <c r="BS171" s="416">
        <f>ROUND((BS141)/BS191+BS111*0.622/BS191,2)</f>
        <v>0.83</v>
      </c>
      <c r="BT171" s="492">
        <f t="shared" si="537"/>
        <v>20.289855072463769</v>
      </c>
      <c r="BU171" s="505"/>
      <c r="BW171" s="416">
        <f>ROUND((BW141)/BW191+BW111*0.622/BW191,2)</f>
        <v>0.77</v>
      </c>
      <c r="BX171" s="492">
        <f t="shared" si="538"/>
        <v>-7.2289156626505928</v>
      </c>
      <c r="BY171" s="505"/>
      <c r="CA171" s="416">
        <f>ROUND((CA141)/CA191+CA111*0.624/CA191,2)</f>
        <v>0.75</v>
      </c>
      <c r="CB171" s="492">
        <f t="shared" si="539"/>
        <v>-2.5974025974025983</v>
      </c>
      <c r="CC171" s="505"/>
      <c r="CE171" s="416">
        <f>ROUND((CE141)/CE191+CE111*0.622/CE191,2)</f>
        <v>0.83</v>
      </c>
      <c r="CF171" s="492">
        <f t="shared" si="540"/>
        <v>10.666666666666668</v>
      </c>
      <c r="CG171" s="505"/>
      <c r="CI171" s="416">
        <f>ROUND((CI141)/CI191+CI111*0.622/CI191,2)</f>
        <v>1.08</v>
      </c>
      <c r="CJ171" s="492">
        <f t="shared" si="541"/>
        <v>30.120481927710863</v>
      </c>
      <c r="CK171" s="505"/>
      <c r="CM171" s="416">
        <f>ROUND((CM141)/CM191+CM111*0.622/CM191,2)</f>
        <v>1</v>
      </c>
      <c r="CN171" s="492">
        <f t="shared" si="542"/>
        <v>-7.4074074074074181</v>
      </c>
      <c r="CO171" s="505"/>
      <c r="CQ171" s="416">
        <f>CQ141/CQ191</f>
        <v>1.0405405405405406</v>
      </c>
      <c r="CR171" s="492">
        <f t="shared" si="543"/>
        <v>4.0540540540540571</v>
      </c>
      <c r="CS171" s="505"/>
      <c r="CU171" s="416">
        <f>CU141/CU191</f>
        <v>1.1268292682926828</v>
      </c>
      <c r="CV171" s="492">
        <f t="shared" si="544"/>
        <v>8.2926829268292543</v>
      </c>
      <c r="CW171" s="505"/>
      <c r="CY171" s="416">
        <f>CY141/CY191</f>
        <v>1.085482233502538</v>
      </c>
      <c r="CZ171" s="492">
        <f t="shared" si="545"/>
        <v>-3.6693255982595985</v>
      </c>
      <c r="DA171" s="416"/>
      <c r="DC171" s="416">
        <f>DC141/DC191</f>
        <v>1.2225414364640883</v>
      </c>
      <c r="DD171" s="492">
        <f t="shared" si="546"/>
        <v>12.626572663405078</v>
      </c>
      <c r="DE171" s="505"/>
      <c r="DG171" s="416">
        <f>DG161/DG191</f>
        <v>1.2380952380952381</v>
      </c>
      <c r="DH171" s="492">
        <f t="shared" si="547"/>
        <v>1.27225148917125</v>
      </c>
      <c r="DI171" s="505"/>
      <c r="DJ171" s="505"/>
      <c r="DK171" s="416">
        <f>DK161/DK191</f>
        <v>1.6602588859112928</v>
      </c>
      <c r="DL171" s="492">
        <f t="shared" si="548"/>
        <v>34.097833092835181</v>
      </c>
      <c r="DM171" s="505"/>
      <c r="DN171" s="505"/>
    </row>
    <row r="172" spans="1:122" x14ac:dyDescent="0.2">
      <c r="A172" s="448" t="s">
        <v>91</v>
      </c>
      <c r="C172" s="416">
        <f>(C142)/C192</f>
        <v>1.7569923515296865E-2</v>
      </c>
      <c r="D172" s="485" t="s">
        <v>94</v>
      </c>
      <c r="E172" s="505"/>
      <c r="F172" s="305"/>
      <c r="G172" s="416">
        <f>ROUND((G142)/G192,2)</f>
        <v>0.02</v>
      </c>
      <c r="H172" s="492">
        <f t="shared" si="522"/>
        <v>13.830888236863647</v>
      </c>
      <c r="I172" s="505"/>
      <c r="K172" s="416">
        <f>ROUND((K142)/K192+K112*0.6/K192,2)</f>
        <v>0.04</v>
      </c>
      <c r="L172" s="492">
        <f>(K172/G172-1)*100</f>
        <v>100</v>
      </c>
      <c r="M172" s="505"/>
      <c r="O172" s="416">
        <f>ROUND((O142)/O192+O112*0.6/O192,2)</f>
        <v>0.04</v>
      </c>
      <c r="P172" s="492">
        <f t="shared" si="523"/>
        <v>0</v>
      </c>
      <c r="Q172" s="505"/>
      <c r="R172" s="305"/>
      <c r="S172" s="416">
        <f>ROUND((S142)/S192+S112*0.6/S192,2)</f>
        <v>0.05</v>
      </c>
      <c r="T172" s="492">
        <f t="shared" si="524"/>
        <v>25</v>
      </c>
      <c r="U172" s="505"/>
      <c r="W172" s="416">
        <f>ROUND((W142)/W192+W112*0.6/W192,2)</f>
        <v>0.05</v>
      </c>
      <c r="X172" s="492">
        <f t="shared" si="525"/>
        <v>0</v>
      </c>
      <c r="Y172" s="505"/>
      <c r="AA172" s="416">
        <f>ROUND((AA142)/AA192+AA112*0.6/AA192,2)</f>
        <v>7.0000000000000007E-2</v>
      </c>
      <c r="AB172" s="492">
        <f t="shared" si="526"/>
        <v>40.000000000000014</v>
      </c>
      <c r="AC172" s="505"/>
      <c r="AE172" s="416">
        <f>ROUND((AE142)/AE192+AE112*0.6/AE192,2)</f>
        <v>0.1</v>
      </c>
      <c r="AF172" s="492">
        <f t="shared" si="527"/>
        <v>42.857142857142861</v>
      </c>
      <c r="AG172" s="505"/>
      <c r="AI172" s="416">
        <f>ROUND((AI142)/AI192+AI112*0.6/AI192,2)</f>
        <v>0.11</v>
      </c>
      <c r="AJ172" s="492">
        <f t="shared" si="528"/>
        <v>9.9999999999999858</v>
      </c>
      <c r="AK172" s="505"/>
      <c r="AM172" s="416">
        <f>ROUND((AM142)/AM192+AM112*0.6/AM192,2)</f>
        <v>0.15</v>
      </c>
      <c r="AN172" s="492">
        <f t="shared" si="529"/>
        <v>36.363636363636353</v>
      </c>
      <c r="AO172" s="505"/>
      <c r="AQ172" s="416">
        <f>ROUND((AQ142)/AQ192+AQ112*0.6/AQ192,2)</f>
        <v>0.22</v>
      </c>
      <c r="AR172" s="492">
        <f t="shared" si="530"/>
        <v>46.666666666666679</v>
      </c>
      <c r="AS172" s="505"/>
      <c r="AU172" s="416">
        <f>ROUND((AU142)/AU192+AU112*0.6/AU192,2)</f>
        <v>0.28000000000000003</v>
      </c>
      <c r="AV172" s="492">
        <f t="shared" si="531"/>
        <v>27.272727272727295</v>
      </c>
      <c r="AW172" s="505"/>
      <c r="AY172" s="416">
        <f>ROUND((AY142)/AY192+AY112*0.622/AY192,2)</f>
        <v>0.38</v>
      </c>
      <c r="AZ172" s="492">
        <f t="shared" si="532"/>
        <v>35.714285714285701</v>
      </c>
      <c r="BA172" s="505"/>
      <c r="BC172" s="416">
        <f>ROUND((BC142)/BC192+BC112*0.622/BC192,2)</f>
        <v>0.34</v>
      </c>
      <c r="BD172" s="492">
        <f t="shared" si="533"/>
        <v>-10.526315789473683</v>
      </c>
      <c r="BE172" s="505"/>
      <c r="BG172" s="416">
        <f>ROUND((BG142)/BG192+BG112*0.622/BG192,2)</f>
        <v>0.39</v>
      </c>
      <c r="BH172" s="492">
        <f t="shared" si="534"/>
        <v>14.705882352941169</v>
      </c>
      <c r="BI172" s="505"/>
      <c r="BK172" s="416">
        <f>ROUND((BK142)/BK192+BK112*0.622/BK192,2)</f>
        <v>0.45</v>
      </c>
      <c r="BL172" s="492">
        <f t="shared" si="535"/>
        <v>15.384615384615374</v>
      </c>
      <c r="BM172" s="505"/>
      <c r="BO172" s="416">
        <f>ROUND((BO142)/BO192+BO112*0.622/BO192,2)</f>
        <v>0.68</v>
      </c>
      <c r="BP172" s="492">
        <f t="shared" si="536"/>
        <v>51.111111111111107</v>
      </c>
      <c r="BQ172" s="505"/>
      <c r="BS172" s="416">
        <f>ROUND((BS142)/BS192+BS112*0.622/BS192,2)</f>
        <v>0.61</v>
      </c>
      <c r="BT172" s="492">
        <f t="shared" si="537"/>
        <v>-10.294117647058831</v>
      </c>
      <c r="BU172" s="505"/>
      <c r="BW172" s="416">
        <f>ROUND((BW142)/BW192+BW112*0.622/BW192,2)</f>
        <v>0.52</v>
      </c>
      <c r="BX172" s="492">
        <f t="shared" si="538"/>
        <v>-14.754098360655732</v>
      </c>
      <c r="BY172" s="505"/>
      <c r="CA172" s="416">
        <f>ROUND((CA142)/CA192+CA112*0.624/CA192,2)</f>
        <v>0.63</v>
      </c>
      <c r="CB172" s="492">
        <f t="shared" si="539"/>
        <v>21.153846153846146</v>
      </c>
      <c r="CC172" s="505"/>
      <c r="CE172" s="416">
        <f>ROUND((CE142)/CE192+CE112*0.622/CE192,2)</f>
        <v>0.56999999999999995</v>
      </c>
      <c r="CF172" s="492">
        <f t="shared" si="540"/>
        <v>-9.5238095238095344</v>
      </c>
      <c r="CG172" s="505"/>
      <c r="CI172" s="416">
        <f>ROUND((CI142)/CI192+CI112*0.622/CI192,2)</f>
        <v>0.8</v>
      </c>
      <c r="CJ172" s="492">
        <f t="shared" si="541"/>
        <v>40.350877192982473</v>
      </c>
      <c r="CK172" s="505"/>
      <c r="CM172" s="416">
        <f>CM162/CM192</f>
        <v>0.91276595744680855</v>
      </c>
      <c r="CN172" s="492">
        <f t="shared" si="542"/>
        <v>14.095744680851062</v>
      </c>
      <c r="CO172" s="505"/>
      <c r="CQ172" s="416">
        <f>CQ142/CQ192</f>
        <v>0.81192660550458717</v>
      </c>
      <c r="CR172" s="492">
        <f t="shared" si="543"/>
        <v>-11.047667928401872</v>
      </c>
      <c r="CS172" s="505"/>
      <c r="CU172" s="416">
        <f>CU142/CU192</f>
        <v>0.70297029702970293</v>
      </c>
      <c r="CV172" s="492">
        <f t="shared" si="544"/>
        <v>-13.419477540974444</v>
      </c>
      <c r="CW172" s="505"/>
      <c r="CY172" s="416">
        <f>CY142/CY192</f>
        <v>0.75166666666666659</v>
      </c>
      <c r="CZ172" s="492">
        <f t="shared" si="545"/>
        <v>6.9272300469483516</v>
      </c>
      <c r="DA172" s="416"/>
      <c r="DC172" s="416">
        <f>DC142/DC192</f>
        <v>0.80350282485875701</v>
      </c>
      <c r="DD172" s="492">
        <f t="shared" si="546"/>
        <v>6.8961629523845325</v>
      </c>
      <c r="DE172" s="505"/>
      <c r="DG172" s="416">
        <f>DG162/DG192</f>
        <v>0.70481927710843373</v>
      </c>
      <c r="DH172" s="492">
        <f t="shared" si="547"/>
        <v>-12.281667804673901</v>
      </c>
      <c r="DI172" s="505"/>
      <c r="DJ172" s="505"/>
      <c r="DK172" s="416">
        <f>DK162/DK192</f>
        <v>0.8488389001242419</v>
      </c>
      <c r="DL172" s="492">
        <f t="shared" si="548"/>
        <v>20.433553350960821</v>
      </c>
      <c r="DM172" s="505"/>
      <c r="DN172" s="505"/>
      <c r="DQ172" s="507"/>
    </row>
    <row r="173" spans="1:122" x14ac:dyDescent="0.2">
      <c r="A173" s="448" t="s">
        <v>92</v>
      </c>
      <c r="C173" s="508">
        <f>(C143)/C193</f>
        <v>5.3281531193761091E-2</v>
      </c>
      <c r="D173" s="485" t="s">
        <v>94</v>
      </c>
      <c r="E173" s="505"/>
      <c r="F173" s="305"/>
      <c r="G173" s="508">
        <f>ROUND((G143)/G193,2)</f>
        <v>0.06</v>
      </c>
      <c r="H173" s="492">
        <f t="shared" si="522"/>
        <v>12.609376374351644</v>
      </c>
      <c r="I173" s="505"/>
      <c r="K173" s="508">
        <f>ROUND((K143+K113*0.6)/K193,2)</f>
        <v>7.0000000000000007E-2</v>
      </c>
      <c r="L173" s="492">
        <f>(K173/G173-1)*100</f>
        <v>16.666666666666675</v>
      </c>
      <c r="M173" s="505"/>
      <c r="O173" s="508">
        <f>ROUND((O143+O113*0.6)/O193,2)</f>
        <v>0.1</v>
      </c>
      <c r="P173" s="492">
        <f t="shared" si="523"/>
        <v>42.857142857142861</v>
      </c>
      <c r="Q173" s="505"/>
      <c r="R173" s="305"/>
      <c r="S173" s="508">
        <f>ROUND((S143+S113*0.6)/S193,2)</f>
        <v>0.12</v>
      </c>
      <c r="T173" s="492">
        <f t="shared" si="524"/>
        <v>19.999999999999996</v>
      </c>
      <c r="U173" s="505"/>
      <c r="W173" s="508">
        <f>ROUND((W143+W113*0.6)/W193,2)</f>
        <v>0.14000000000000001</v>
      </c>
      <c r="X173" s="492">
        <f t="shared" si="525"/>
        <v>16.666666666666675</v>
      </c>
      <c r="Y173" s="505"/>
      <c r="AA173" s="508">
        <f>ROUND((AA143+AA113*0.6)/AA193,2)</f>
        <v>0.17</v>
      </c>
      <c r="AB173" s="492">
        <f t="shared" si="526"/>
        <v>21.42857142857142</v>
      </c>
      <c r="AC173" s="505"/>
      <c r="AE173" s="508">
        <f>ROUND((AE143+AE113*0.6)/AE193,2)</f>
        <v>0.22</v>
      </c>
      <c r="AF173" s="492">
        <f t="shared" si="527"/>
        <v>29.411764705882337</v>
      </c>
      <c r="AG173" s="505"/>
      <c r="AI173" s="508">
        <f>ROUND((AI143+AI113*0.6)/AI193,2)</f>
        <v>0.28000000000000003</v>
      </c>
      <c r="AJ173" s="492">
        <f t="shared" si="528"/>
        <v>27.272727272727295</v>
      </c>
      <c r="AK173" s="505"/>
      <c r="AM173" s="508">
        <f>ROUND((AM143+AM113*0.6)/AM193,2)</f>
        <v>0.36</v>
      </c>
      <c r="AN173" s="492">
        <f t="shared" si="529"/>
        <v>28.571428571428559</v>
      </c>
      <c r="AO173" s="505"/>
      <c r="AQ173" s="508">
        <f>ROUND((AQ143+AQ113*0.6)/AQ193,2)</f>
        <v>0.52</v>
      </c>
      <c r="AR173" s="492">
        <f t="shared" si="530"/>
        <v>44.444444444444464</v>
      </c>
      <c r="AS173" s="505"/>
      <c r="AU173" s="508">
        <f>ROUND((AU143+AU113*0.6)/AU193,2)</f>
        <v>0.67</v>
      </c>
      <c r="AV173" s="492">
        <f t="shared" si="531"/>
        <v>28.846153846153854</v>
      </c>
      <c r="AW173" s="505"/>
      <c r="AY173" s="508">
        <f>ROUND((AY143)/AY193+AY113*0.622/AY193,2)</f>
        <v>0.8</v>
      </c>
      <c r="AZ173" s="492">
        <f t="shared" si="532"/>
        <v>19.402985074626855</v>
      </c>
      <c r="BA173" s="505"/>
      <c r="BC173" s="508">
        <f>ROUND((BC143)/BC193+BC113*0.622/BC193,2)</f>
        <v>0.71</v>
      </c>
      <c r="BD173" s="492">
        <f t="shared" si="533"/>
        <v>-11.250000000000004</v>
      </c>
      <c r="BE173" s="505"/>
      <c r="BG173" s="508">
        <f>ROUND((BG143)/BG193+BG113*0.622/BG193,2)</f>
        <v>0.92</v>
      </c>
      <c r="BH173" s="492">
        <f t="shared" si="534"/>
        <v>29.577464788732399</v>
      </c>
      <c r="BI173" s="505"/>
      <c r="BK173" s="508">
        <f>ROUND((BK143)/BK193+BK113*0.622/BK193,2)</f>
        <v>1.08</v>
      </c>
      <c r="BL173" s="492">
        <f t="shared" si="535"/>
        <v>17.391304347826097</v>
      </c>
      <c r="BM173" s="505"/>
      <c r="BO173" s="508">
        <f>ROUND((BO143)/BO193+BO113*0.622/BO193,2)</f>
        <v>1.48</v>
      </c>
      <c r="BP173" s="492">
        <f t="shared" si="536"/>
        <v>37.037037037037024</v>
      </c>
      <c r="BQ173" s="505"/>
      <c r="BS173" s="508">
        <f>ROUND((BS143)/BS193+BS113*0.622/BS193,2)</f>
        <v>1.31</v>
      </c>
      <c r="BT173" s="492">
        <f t="shared" si="537"/>
        <v>-11.486486486486481</v>
      </c>
      <c r="BU173" s="505"/>
      <c r="BW173" s="508">
        <f>ROUND((BW143)/BW193+BW113*0.622/BW193,2)</f>
        <v>1.1000000000000001</v>
      </c>
      <c r="BX173" s="492">
        <f t="shared" si="538"/>
        <v>-16.030534351145032</v>
      </c>
      <c r="BY173" s="505"/>
      <c r="CA173" s="508">
        <f>ROUND((CA143)/CA193+CA113*0.624/CA193,2)</f>
        <v>1.4</v>
      </c>
      <c r="CB173" s="492">
        <f t="shared" si="539"/>
        <v>27.272727272727249</v>
      </c>
      <c r="CC173" s="505"/>
      <c r="CE173" s="508">
        <f>ROUND((CE143)/CE193+CE113*0.622/CE193,2)</f>
        <v>1.66</v>
      </c>
      <c r="CF173" s="492">
        <f t="shared" si="540"/>
        <v>18.571428571428573</v>
      </c>
      <c r="CG173" s="505"/>
      <c r="CI173" s="508">
        <f>ROUND((CI143)/CI193+CI113*0.622/CI193,2)</f>
        <v>1.81</v>
      </c>
      <c r="CJ173" s="492">
        <f t="shared" si="541"/>
        <v>9.0361445783132552</v>
      </c>
      <c r="CK173" s="505"/>
      <c r="CM173" s="508">
        <f>CM163/CM193</f>
        <v>1.6644649933949802</v>
      </c>
      <c r="CN173" s="492">
        <f t="shared" si="542"/>
        <v>-8.0406080997248548</v>
      </c>
      <c r="CO173" s="505"/>
      <c r="CQ173" s="508">
        <f>CQ143/CQ193</f>
        <v>1.557109557109557</v>
      </c>
      <c r="CR173" s="492">
        <f t="shared" si="543"/>
        <v>-6.4498464498464525</v>
      </c>
      <c r="CS173" s="505"/>
      <c r="CU173" s="508">
        <f>CU143/CU193</f>
        <v>1.8349080059671805</v>
      </c>
      <c r="CV173" s="492">
        <f t="shared" si="544"/>
        <v>17.840648886215639</v>
      </c>
      <c r="CW173" s="505"/>
      <c r="CY173" s="508">
        <f>CY143/CY193</f>
        <v>1.5828877005347595</v>
      </c>
      <c r="CZ173" s="492">
        <f t="shared" si="545"/>
        <v>-13.734765155138174</v>
      </c>
      <c r="DA173" s="941"/>
      <c r="DC173" s="508">
        <f>DC143/DC193</f>
        <v>1.44</v>
      </c>
      <c r="DD173" s="492">
        <f t="shared" si="546"/>
        <v>-9.0270270270270352</v>
      </c>
      <c r="DE173" s="505"/>
      <c r="DG173" s="508">
        <f>DG143/DG193</f>
        <v>1.9520958083832336</v>
      </c>
      <c r="DH173" s="492">
        <f t="shared" si="547"/>
        <v>35.562208915502346</v>
      </c>
      <c r="DI173" s="509"/>
      <c r="DJ173" s="509"/>
      <c r="DK173" s="508">
        <f>DK163/DK193</f>
        <v>1.8295396002099915</v>
      </c>
      <c r="DL173" s="492">
        <f t="shared" si="548"/>
        <v>-6.2781861242120929</v>
      </c>
      <c r="DM173" s="509"/>
      <c r="DN173" s="514"/>
      <c r="DR173" s="413"/>
    </row>
    <row r="174" spans="1:122" x14ac:dyDescent="0.2">
      <c r="A174" s="448" t="s">
        <v>93</v>
      </c>
      <c r="C174" s="320">
        <f>(C144)/C194</f>
        <v>5.3829859028194073E-2</v>
      </c>
      <c r="D174" s="485" t="s">
        <v>94</v>
      </c>
      <c r="E174" s="505"/>
      <c r="F174" s="305"/>
      <c r="G174" s="320">
        <f>ROUND((G144)/G194,2)</f>
        <v>0.09</v>
      </c>
      <c r="H174" s="492">
        <f t="shared" si="522"/>
        <v>67.193452899182503</v>
      </c>
      <c r="I174" s="505"/>
      <c r="K174" s="320">
        <f>ROUND((K144+K114*0.6)/K194,2)</f>
        <v>0.14000000000000001</v>
      </c>
      <c r="L174" s="492">
        <f>(K174/G174-1)*100</f>
        <v>55.555555555555578</v>
      </c>
      <c r="M174" s="505"/>
      <c r="O174" s="320">
        <f>ROUND((O144+O114*0.6)/O194,2)</f>
        <v>0.19</v>
      </c>
      <c r="P174" s="492">
        <f t="shared" si="523"/>
        <v>35.714285714285701</v>
      </c>
      <c r="Q174" s="505"/>
      <c r="R174" s="305"/>
      <c r="S174" s="320">
        <f>ROUND((S144+S114*0.6)/S194,2)</f>
        <v>0.23</v>
      </c>
      <c r="T174" s="492">
        <f t="shared" si="524"/>
        <v>21.052631578947366</v>
      </c>
      <c r="U174" s="505"/>
      <c r="W174" s="320">
        <f>ROUND((W144)/W194,2)</f>
        <v>0.28000000000000003</v>
      </c>
      <c r="X174" s="492">
        <f t="shared" si="525"/>
        <v>21.739130434782616</v>
      </c>
      <c r="Y174" s="505"/>
      <c r="AA174" s="320">
        <f>ROUND((AA144+AA114*0.6)/AA194,2)</f>
        <v>0.34</v>
      </c>
      <c r="AB174" s="492">
        <f t="shared" si="526"/>
        <v>21.42857142857142</v>
      </c>
      <c r="AC174" s="505"/>
      <c r="AE174" s="320">
        <f>ROUND((AE144+AE114*0.6)/AE194,2)</f>
        <v>0.45</v>
      </c>
      <c r="AF174" s="492">
        <f t="shared" si="527"/>
        <v>32.352941176470587</v>
      </c>
      <c r="AG174" s="505"/>
      <c r="AI174" s="320">
        <f>ROUND((AI144+AI114*0.6)/AI194,2)</f>
        <v>0.55000000000000004</v>
      </c>
      <c r="AJ174" s="492">
        <f t="shared" si="528"/>
        <v>22.222222222222232</v>
      </c>
      <c r="AK174" s="505"/>
      <c r="AM174" s="320">
        <f>ROUND((AM144+AM114*0.6)/AM194,2)</f>
        <v>0.78</v>
      </c>
      <c r="AN174" s="492">
        <f t="shared" si="529"/>
        <v>41.81818181818182</v>
      </c>
      <c r="AO174" s="505"/>
      <c r="AQ174" s="320">
        <f>ROUND((AQ144+AQ114*0.6)/AQ194,2)</f>
        <v>1.07</v>
      </c>
      <c r="AR174" s="492">
        <f t="shared" si="530"/>
        <v>37.179487179487182</v>
      </c>
      <c r="AS174" s="505"/>
      <c r="AU174" s="320">
        <f>ROUND((AU144+AU114*0.6)/AU194,2)</f>
        <v>1.42</v>
      </c>
      <c r="AV174" s="492">
        <f t="shared" si="531"/>
        <v>32.710280373831765</v>
      </c>
      <c r="AW174" s="505"/>
      <c r="AY174" s="320">
        <f>ROUND((AY144)/AY194+AY114*0.622/AY194,2)</f>
        <v>1.84</v>
      </c>
      <c r="AZ174" s="492">
        <f t="shared" si="532"/>
        <v>29.577464788732399</v>
      </c>
      <c r="BA174" s="505"/>
      <c r="BC174" s="320">
        <f>ROUND((BC144)/BC194+BC114*0.622/BC194,2)</f>
        <v>1.68</v>
      </c>
      <c r="BD174" s="492">
        <f t="shared" si="533"/>
        <v>-8.6956521739130483</v>
      </c>
      <c r="BE174" s="505"/>
      <c r="BG174" s="320">
        <f>ROUND((BG144)/BG194+BG114*0.622/BG194,2)</f>
        <v>2.04</v>
      </c>
      <c r="BH174" s="492">
        <f t="shared" si="534"/>
        <v>21.428571428571441</v>
      </c>
      <c r="BI174" s="505"/>
      <c r="BK174" s="320">
        <f>ROUND((BK144)/BK194+BK114*0.622/BK194,2)</f>
        <v>2.41</v>
      </c>
      <c r="BL174" s="492">
        <f t="shared" si="535"/>
        <v>18.137254901960787</v>
      </c>
      <c r="BM174" s="505"/>
      <c r="BO174" s="320">
        <f>ROUND((BO144)/BO194+BO114*0.622/BO194,2)</f>
        <v>3.31</v>
      </c>
      <c r="BP174" s="492">
        <f t="shared" si="536"/>
        <v>37.344398340248965</v>
      </c>
      <c r="BQ174" s="505"/>
      <c r="BS174" s="320">
        <f>ROUND((BS144)/BS194+BS114*0.622/BS194,2)</f>
        <v>3.39</v>
      </c>
      <c r="BT174" s="492">
        <f t="shared" si="537"/>
        <v>2.4169184290030232</v>
      </c>
      <c r="BU174" s="505"/>
      <c r="BW174" s="320">
        <f>ROUND((BW144)/BW194+BW114*0.622/BW194,2)</f>
        <v>2.89</v>
      </c>
      <c r="BX174" s="492">
        <f t="shared" si="538"/>
        <v>-14.749262536873154</v>
      </c>
      <c r="BY174" s="505"/>
      <c r="CA174" s="320">
        <f>ROUND((CA144)/CA194+CA114*0.62/CA194,2)</f>
        <v>3.18</v>
      </c>
      <c r="CB174" s="492">
        <f t="shared" si="539"/>
        <v>10.034602076124566</v>
      </c>
      <c r="CC174" s="505"/>
      <c r="CE174" s="320">
        <f>ROUND((CE144)/CE194+CE114*0.622/CE194,2)</f>
        <v>3.66</v>
      </c>
      <c r="CF174" s="492">
        <f t="shared" si="540"/>
        <v>15.094339622641506</v>
      </c>
      <c r="CG174" s="505"/>
      <c r="CI174" s="320">
        <f>ROUND((CI144)/CI194+CI114*0.622/CI194,2)</f>
        <v>4.3099999999999996</v>
      </c>
      <c r="CJ174" s="492">
        <f t="shared" si="541"/>
        <v>17.759562841530041</v>
      </c>
      <c r="CK174" s="505"/>
      <c r="CM174" s="416">
        <f>(CM144)/CM194</f>
        <v>4.1599831152384974</v>
      </c>
      <c r="CN174" s="492">
        <f t="shared" si="542"/>
        <v>-3.4806701800812578</v>
      </c>
      <c r="CO174" s="509"/>
      <c r="CQ174" s="416">
        <f>(CQ144)/CQ194+CQ114*0.622/CQ194</f>
        <v>4.0501138952164011</v>
      </c>
      <c r="CR174" s="492">
        <f t="shared" si="543"/>
        <v>-2.6410977395468938</v>
      </c>
      <c r="CS174" s="509"/>
      <c r="CU174" s="416">
        <f>(CU144)/CU194+CU114*0.622/CU194</f>
        <v>4.2416829745596871</v>
      </c>
      <c r="CV174" s="492">
        <f t="shared" si="544"/>
        <v>4.729967707069882</v>
      </c>
      <c r="CW174" s="509"/>
      <c r="CY174" s="416">
        <f>(CY144)/CY194</f>
        <v>4.0059487179487183</v>
      </c>
      <c r="CZ174" s="492">
        <f t="shared" si="545"/>
        <v>-5.5575642504362204</v>
      </c>
      <c r="DA174" s="416"/>
      <c r="DC174" s="416">
        <f>(DC144)/DC194</f>
        <v>3.7605586592178768</v>
      </c>
      <c r="DD174" s="492">
        <f t="shared" si="546"/>
        <v>-6.1256415398271873</v>
      </c>
      <c r="DE174" s="509"/>
      <c r="DG174" s="416">
        <f>(DG144)/DG194</f>
        <v>4.2678571428571432</v>
      </c>
      <c r="DH174" s="492">
        <f t="shared" si="547"/>
        <v>13.489976612803979</v>
      </c>
      <c r="DI174" s="509"/>
      <c r="DJ174" s="509"/>
      <c r="DK174" s="416">
        <f>(DK164)/DK194</f>
        <v>4.8241289482012268</v>
      </c>
      <c r="DL174" s="492">
        <f t="shared" si="548"/>
        <v>13.033983723543386</v>
      </c>
      <c r="DM174" s="509"/>
      <c r="DN174" s="509"/>
    </row>
    <row r="175" spans="1:122" hidden="1" outlineLevel="1" x14ac:dyDescent="0.2">
      <c r="A175" s="448" t="s">
        <v>467</v>
      </c>
      <c r="C175" s="416">
        <f>C170+C171</f>
        <v>-1.702159568086388E-2</v>
      </c>
      <c r="D175" s="485" t="s">
        <v>94</v>
      </c>
      <c r="E175" s="505"/>
      <c r="F175" s="305"/>
      <c r="G175" s="416">
        <f>G170+G171</f>
        <v>0</v>
      </c>
      <c r="H175" s="492">
        <f t="shared" si="522"/>
        <v>-100</v>
      </c>
      <c r="I175" s="505"/>
      <c r="K175" s="416">
        <f>K170+K171</f>
        <v>0.02</v>
      </c>
      <c r="L175" s="494" t="s">
        <v>236</v>
      </c>
      <c r="M175" s="505"/>
      <c r="O175" s="416">
        <f>O170+O171</f>
        <v>0.05</v>
      </c>
      <c r="P175" s="492">
        <f t="shared" si="523"/>
        <v>150</v>
      </c>
      <c r="Q175" s="505"/>
      <c r="R175" s="305"/>
      <c r="S175" s="416">
        <f>S170+S171</f>
        <v>7.0000000000000007E-2</v>
      </c>
      <c r="T175" s="492">
        <f t="shared" si="524"/>
        <v>40.000000000000014</v>
      </c>
      <c r="U175" s="505"/>
      <c r="W175" s="416">
        <f>W170+W171</f>
        <v>0.08</v>
      </c>
      <c r="X175" s="492">
        <f t="shared" si="525"/>
        <v>14.285714285714279</v>
      </c>
      <c r="Y175" s="505"/>
      <c r="AA175" s="416">
        <f>AA170+AA171</f>
        <v>0.1</v>
      </c>
      <c r="AB175" s="492">
        <f t="shared" si="526"/>
        <v>25</v>
      </c>
      <c r="AC175" s="505"/>
      <c r="AE175" s="416">
        <f>AE170+AE171</f>
        <v>0.12000000000000001</v>
      </c>
      <c r="AF175" s="492">
        <f t="shared" si="527"/>
        <v>19.999999999999996</v>
      </c>
      <c r="AG175" s="505"/>
      <c r="AI175" s="416">
        <f>AI170+AI171</f>
        <v>0.16</v>
      </c>
      <c r="AJ175" s="492">
        <f t="shared" si="528"/>
        <v>33.333333333333329</v>
      </c>
      <c r="AK175" s="505"/>
      <c r="AM175" s="416">
        <f>AM170+AM171</f>
        <v>0.24</v>
      </c>
      <c r="AN175" s="492">
        <f t="shared" si="529"/>
        <v>50</v>
      </c>
      <c r="AO175" s="505"/>
      <c r="AQ175" s="416">
        <f>AQ170+AQ171</f>
        <v>0.32999999999999996</v>
      </c>
      <c r="AR175" s="492">
        <f t="shared" si="530"/>
        <v>37.499999999999979</v>
      </c>
      <c r="AS175" s="505"/>
      <c r="AU175" s="416">
        <f>AU170+AU171</f>
        <v>0.45999999999999996</v>
      </c>
      <c r="AV175" s="492">
        <f t="shared" si="531"/>
        <v>39.393939393939405</v>
      </c>
      <c r="AW175" s="505"/>
      <c r="AY175" s="416">
        <f>AY170+AY171</f>
        <v>0.65999999999999992</v>
      </c>
      <c r="AZ175" s="492">
        <f t="shared" si="532"/>
        <v>43.478260869565212</v>
      </c>
      <c r="BA175" s="505"/>
      <c r="BC175" s="416">
        <f>BC170+BC171</f>
        <v>0.63</v>
      </c>
      <c r="BD175" s="492">
        <f t="shared" si="533"/>
        <v>-4.5454545454545308</v>
      </c>
      <c r="BE175" s="505"/>
      <c r="BG175" s="416">
        <f>BG170+BG171</f>
        <v>0.73</v>
      </c>
      <c r="BH175" s="492">
        <f t="shared" si="534"/>
        <v>15.873015873015861</v>
      </c>
      <c r="BI175" s="505"/>
      <c r="BK175" s="416">
        <f>BK170+BK171</f>
        <v>0.88</v>
      </c>
      <c r="BL175" s="492">
        <f t="shared" si="535"/>
        <v>20.547945205479444</v>
      </c>
      <c r="BM175" s="505"/>
      <c r="BO175" s="416">
        <f>BO170+BO171</f>
        <v>1.17</v>
      </c>
      <c r="BP175" s="492">
        <f t="shared" si="536"/>
        <v>32.954545454545439</v>
      </c>
      <c r="BQ175" s="505"/>
      <c r="BS175" s="416">
        <f>BS170+BS171</f>
        <v>1.47</v>
      </c>
      <c r="BT175" s="492">
        <f t="shared" si="537"/>
        <v>25.641025641025639</v>
      </c>
      <c r="BU175" s="505"/>
      <c r="BW175" s="416">
        <f>BW170+BW171</f>
        <v>1.26</v>
      </c>
      <c r="BX175" s="492">
        <f t="shared" si="538"/>
        <v>-14.285714285714279</v>
      </c>
      <c r="BY175" s="505"/>
      <c r="CA175" s="416">
        <f>CA170+CA171</f>
        <v>1.2</v>
      </c>
      <c r="CB175" s="492">
        <f t="shared" si="539"/>
        <v>-4.7619047619047672</v>
      </c>
      <c r="CC175" s="505"/>
      <c r="CE175" s="416">
        <f>CE170+CE171</f>
        <v>1.46</v>
      </c>
      <c r="CF175" s="492">
        <f t="shared" si="540"/>
        <v>21.666666666666679</v>
      </c>
      <c r="CG175" s="505"/>
      <c r="CI175" s="416">
        <f>CI170+CI171</f>
        <v>1.77</v>
      </c>
      <c r="CJ175" s="492">
        <f t="shared" si="541"/>
        <v>21.232876712328764</v>
      </c>
      <c r="CK175" s="505"/>
      <c r="CM175" s="416">
        <f>CM170+CM171</f>
        <v>1.63</v>
      </c>
      <c r="CN175" s="492">
        <f t="shared" si="542"/>
        <v>-7.9096045197740157</v>
      </c>
      <c r="CO175" s="505"/>
      <c r="CQ175" s="416">
        <f>CQ170+CQ171</f>
        <v>1.6997333656526483</v>
      </c>
      <c r="CR175" s="492">
        <f t="shared" si="543"/>
        <v>4.278120592187018</v>
      </c>
      <c r="CS175" s="505"/>
      <c r="CU175" s="416">
        <f>CU170+CU171</f>
        <v>1.7277908067542214</v>
      </c>
      <c r="CV175" s="492">
        <f t="shared" si="544"/>
        <v>1.6506966132773249</v>
      </c>
      <c r="CW175" s="505"/>
      <c r="CY175" s="320">
        <f>CY170+CY171</f>
        <v>1.7141951047896669</v>
      </c>
      <c r="CZ175" s="492">
        <f t="shared" si="545"/>
        <v>-0.78688356897181899</v>
      </c>
      <c r="DA175" s="505"/>
      <c r="DC175" s="416">
        <f>DC170+DC171</f>
        <v>1.5358023060293058</v>
      </c>
      <c r="DD175" s="492">
        <f t="shared" si="546"/>
        <v>-10.40679665120442</v>
      </c>
      <c r="DE175" s="505"/>
      <c r="DG175" s="416">
        <f>DG170+DG171</f>
        <v>1.6240601503759398</v>
      </c>
      <c r="DH175" s="492">
        <f t="shared" si="547"/>
        <v>5.7466930476760103</v>
      </c>
      <c r="DI175" s="505"/>
      <c r="DJ175" s="505"/>
      <c r="DK175" s="416">
        <f>DK170+DK171</f>
        <v>2.1495855308623462</v>
      </c>
      <c r="DL175" s="492">
        <f t="shared" si="548"/>
        <v>32.358738705875957</v>
      </c>
      <c r="DM175" s="505"/>
      <c r="DN175" s="505"/>
    </row>
    <row r="176" spans="1:122" hidden="1" outlineLevel="1" x14ac:dyDescent="0.2">
      <c r="A176" s="448" t="s">
        <v>468</v>
      </c>
      <c r="C176" s="416">
        <f>C173+C172</f>
        <v>7.0851454709057959E-2</v>
      </c>
      <c r="D176" s="485" t="s">
        <v>94</v>
      </c>
      <c r="E176" s="505"/>
      <c r="F176" s="305"/>
      <c r="G176" s="416">
        <f>G173+G172</f>
        <v>0.08</v>
      </c>
      <c r="H176" s="492">
        <f t="shared" si="522"/>
        <v>12.912289985448178</v>
      </c>
      <c r="I176" s="505"/>
      <c r="K176" s="416">
        <f>K173+K172</f>
        <v>0.11000000000000001</v>
      </c>
      <c r="L176" s="492">
        <f>(K176/G176-1)*100</f>
        <v>37.500000000000021</v>
      </c>
      <c r="M176" s="505"/>
      <c r="O176" s="416">
        <f>O173+O172</f>
        <v>0.14000000000000001</v>
      </c>
      <c r="P176" s="492">
        <f t="shared" si="523"/>
        <v>27.27272727272727</v>
      </c>
      <c r="Q176" s="505"/>
      <c r="R176" s="305"/>
      <c r="S176" s="416">
        <f>S173+S172</f>
        <v>0.16999999999999998</v>
      </c>
      <c r="T176" s="492">
        <f t="shared" si="524"/>
        <v>21.428571428571395</v>
      </c>
      <c r="U176" s="505"/>
      <c r="W176" s="416">
        <f>W173+W172</f>
        <v>0.19</v>
      </c>
      <c r="X176" s="492">
        <f t="shared" si="525"/>
        <v>11.764705882352944</v>
      </c>
      <c r="Y176" s="505"/>
      <c r="AA176" s="416">
        <f>AA173+AA172</f>
        <v>0.24000000000000002</v>
      </c>
      <c r="AB176" s="492">
        <f t="shared" si="526"/>
        <v>26.315789473684227</v>
      </c>
      <c r="AC176" s="505"/>
      <c r="AE176" s="416">
        <f>AE173+AE172</f>
        <v>0.32</v>
      </c>
      <c r="AF176" s="492">
        <f t="shared" si="527"/>
        <v>33.333333333333329</v>
      </c>
      <c r="AG176" s="505"/>
      <c r="AI176" s="416">
        <f>AI173+AI172</f>
        <v>0.39</v>
      </c>
      <c r="AJ176" s="492">
        <f t="shared" si="528"/>
        <v>21.875</v>
      </c>
      <c r="AK176" s="505"/>
      <c r="AM176" s="416">
        <f>AM173+AM172</f>
        <v>0.51</v>
      </c>
      <c r="AN176" s="492">
        <f t="shared" si="529"/>
        <v>30.76923076923077</v>
      </c>
      <c r="AO176" s="505"/>
      <c r="AQ176" s="416">
        <f>AQ173+AQ172</f>
        <v>0.74</v>
      </c>
      <c r="AR176" s="492">
        <f t="shared" si="530"/>
        <v>45.098039215686271</v>
      </c>
      <c r="AS176" s="505"/>
      <c r="AU176" s="416">
        <f>AU173+AU172</f>
        <v>0.95000000000000007</v>
      </c>
      <c r="AV176" s="492">
        <f t="shared" si="531"/>
        <v>28.3783783783784</v>
      </c>
      <c r="AW176" s="505"/>
      <c r="AY176" s="416">
        <f>AY173+AY172</f>
        <v>1.1800000000000002</v>
      </c>
      <c r="AZ176" s="492">
        <f t="shared" si="532"/>
        <v>24.210526315789483</v>
      </c>
      <c r="BA176" s="505"/>
      <c r="BC176" s="416">
        <f>BC173+BC172</f>
        <v>1.05</v>
      </c>
      <c r="BD176" s="492">
        <f t="shared" si="533"/>
        <v>-11.016949152542377</v>
      </c>
      <c r="BE176" s="505"/>
      <c r="BG176" s="416">
        <f>BG173+BG172</f>
        <v>1.31</v>
      </c>
      <c r="BH176" s="492">
        <f t="shared" si="534"/>
        <v>24.761904761904763</v>
      </c>
      <c r="BI176" s="505"/>
      <c r="BK176" s="416">
        <f>BK173+BK172</f>
        <v>1.53</v>
      </c>
      <c r="BL176" s="492">
        <f t="shared" si="535"/>
        <v>16.793893129771</v>
      </c>
      <c r="BM176" s="505"/>
      <c r="BO176" s="416">
        <f>BO173+BO172</f>
        <v>2.16</v>
      </c>
      <c r="BP176" s="492">
        <f t="shared" si="536"/>
        <v>41.176470588235304</v>
      </c>
      <c r="BQ176" s="505"/>
      <c r="BS176" s="416">
        <f>BS173+BS172</f>
        <v>1.92</v>
      </c>
      <c r="BT176" s="492">
        <f t="shared" si="537"/>
        <v>-11.111111111111116</v>
      </c>
      <c r="BU176" s="505"/>
      <c r="BW176" s="416">
        <f>BW173+BW172</f>
        <v>1.62</v>
      </c>
      <c r="BX176" s="492">
        <f t="shared" si="538"/>
        <v>-15.624999999999989</v>
      </c>
      <c r="BY176" s="505"/>
      <c r="CA176" s="416">
        <f>CA173+CA172</f>
        <v>2.0299999999999998</v>
      </c>
      <c r="CB176" s="492">
        <f t="shared" si="539"/>
        <v>25.308641975308621</v>
      </c>
      <c r="CC176" s="505"/>
      <c r="CE176" s="416">
        <f>CE173+CE172</f>
        <v>2.23</v>
      </c>
      <c r="CF176" s="492">
        <f t="shared" si="540"/>
        <v>9.852216748768484</v>
      </c>
      <c r="CG176" s="505"/>
      <c r="CI176" s="416">
        <f>CI173+CI172</f>
        <v>2.6100000000000003</v>
      </c>
      <c r="CJ176" s="492">
        <f t="shared" si="541"/>
        <v>17.040358744394624</v>
      </c>
      <c r="CK176" s="505"/>
      <c r="CM176" s="416">
        <f>CM173+CM172</f>
        <v>2.5772309508417885</v>
      </c>
      <c r="CN176" s="492">
        <f t="shared" si="542"/>
        <v>-1.2555191248357023</v>
      </c>
      <c r="CO176" s="505"/>
      <c r="CQ176" s="416">
        <f>CQ173+CQ172</f>
        <v>2.3690361626141443</v>
      </c>
      <c r="CR176" s="492">
        <f t="shared" si="543"/>
        <v>-8.078235602426032</v>
      </c>
      <c r="CS176" s="505"/>
      <c r="CU176" s="416">
        <f>CU173+CU172</f>
        <v>2.5378783029968837</v>
      </c>
      <c r="CV176" s="492">
        <f t="shared" si="544"/>
        <v>7.1270393861961212</v>
      </c>
      <c r="CW176" s="505"/>
      <c r="CY176" s="320">
        <f>CY173+CY172</f>
        <v>2.334554367201426</v>
      </c>
      <c r="CZ176" s="492">
        <f t="shared" si="545"/>
        <v>-8.011571538137197</v>
      </c>
      <c r="DA176" s="505"/>
      <c r="DC176" s="416">
        <f>DC173+DC172</f>
        <v>2.2435028248587567</v>
      </c>
      <c r="DD176" s="492">
        <f t="shared" si="546"/>
        <v>-3.9001679987353821</v>
      </c>
      <c r="DE176" s="505"/>
      <c r="DG176" s="416">
        <f>DG173+DG172</f>
        <v>2.6569150854916672</v>
      </c>
      <c r="DH176" s="492">
        <f t="shared" si="547"/>
        <v>18.427088927732349</v>
      </c>
      <c r="DI176" s="505"/>
      <c r="DJ176" s="505"/>
      <c r="DK176" s="416">
        <f>DK173+DK172</f>
        <v>2.6783785003342335</v>
      </c>
      <c r="DL176" s="492">
        <f t="shared" si="548"/>
        <v>0.80783217197151203</v>
      </c>
      <c r="DM176" s="505"/>
      <c r="DN176" s="505"/>
    </row>
    <row r="177" spans="1:120" collapsed="1" x14ac:dyDescent="0.2">
      <c r="C177" s="413"/>
      <c r="D177" s="459"/>
      <c r="E177" s="459"/>
      <c r="F177" s="305"/>
      <c r="G177" s="413"/>
      <c r="H177" s="459"/>
      <c r="I177" s="459"/>
      <c r="K177" s="413"/>
      <c r="O177" s="413"/>
      <c r="R177" s="305"/>
      <c r="S177" s="413"/>
      <c r="W177" s="413"/>
      <c r="AA177" s="413"/>
      <c r="AE177" s="413"/>
      <c r="AI177" s="413"/>
      <c r="AM177" s="413"/>
      <c r="AQ177" s="413"/>
      <c r="AU177" s="413"/>
      <c r="AY177" s="413"/>
      <c r="BC177" s="413"/>
      <c r="BG177" s="413"/>
      <c r="BK177" s="413"/>
      <c r="BO177" s="413"/>
      <c r="BS177" s="413"/>
      <c r="BW177" s="413"/>
      <c r="CA177" s="413"/>
      <c r="CE177" s="413"/>
      <c r="CI177" s="413"/>
      <c r="CU177" s="311"/>
      <c r="CV177" s="492"/>
      <c r="CY177" s="320"/>
    </row>
    <row r="178" spans="1:120" x14ac:dyDescent="0.2">
      <c r="A178" s="510"/>
      <c r="B178" s="510"/>
      <c r="C178" s="510"/>
      <c r="D178" s="510"/>
      <c r="E178" s="510"/>
      <c r="F178" s="510"/>
      <c r="G178" s="510"/>
      <c r="H178" s="510"/>
      <c r="I178" s="510"/>
      <c r="J178" s="510"/>
      <c r="K178" s="510"/>
      <c r="L178" s="510"/>
      <c r="M178" s="510"/>
      <c r="N178" s="510"/>
      <c r="O178" s="510"/>
      <c r="P178" s="510"/>
      <c r="Q178" s="510"/>
      <c r="R178" s="510"/>
      <c r="S178" s="510"/>
      <c r="T178" s="510"/>
      <c r="U178" s="510"/>
      <c r="V178" s="510"/>
      <c r="W178" s="510"/>
      <c r="X178" s="510"/>
      <c r="Y178" s="510"/>
      <c r="Z178" s="510"/>
      <c r="AA178" s="510"/>
      <c r="AB178" s="510"/>
      <c r="AC178" s="510"/>
      <c r="AD178" s="510"/>
      <c r="AE178" s="510"/>
      <c r="AF178" s="510"/>
      <c r="AG178" s="510"/>
      <c r="AH178" s="510"/>
      <c r="AI178" s="510"/>
      <c r="AJ178" s="510"/>
      <c r="AK178" s="510"/>
      <c r="AL178" s="510"/>
      <c r="AM178" s="510"/>
      <c r="AN178" s="510"/>
      <c r="AO178" s="510"/>
      <c r="AP178" s="510"/>
      <c r="AQ178" s="510"/>
      <c r="AR178" s="510"/>
      <c r="AS178" s="510"/>
      <c r="AT178" s="510"/>
      <c r="AU178" s="510"/>
      <c r="AV178" s="510"/>
      <c r="AW178" s="510"/>
      <c r="AX178" s="510"/>
      <c r="AY178" s="510"/>
      <c r="AZ178" s="510"/>
      <c r="BA178" s="510"/>
      <c r="BB178" s="510"/>
      <c r="BC178" s="510"/>
      <c r="BD178" s="510"/>
      <c r="BE178" s="510"/>
      <c r="BF178" s="510"/>
      <c r="BG178" s="510"/>
      <c r="BH178" s="510"/>
      <c r="BI178" s="510"/>
      <c r="BJ178" s="510"/>
      <c r="BK178" s="510"/>
      <c r="BL178" s="510"/>
      <c r="BM178" s="510"/>
      <c r="BN178" s="510"/>
      <c r="BO178" s="510"/>
      <c r="BP178" s="510"/>
      <c r="BQ178" s="510"/>
      <c r="BR178" s="510"/>
      <c r="BS178" s="510"/>
      <c r="BT178" s="510"/>
      <c r="BU178" s="510"/>
      <c r="BV178" s="510"/>
      <c r="BW178" s="510"/>
      <c r="BX178" s="510"/>
      <c r="BY178" s="510"/>
      <c r="BZ178" s="510"/>
      <c r="CA178" s="510"/>
      <c r="CB178" s="510"/>
      <c r="CC178" s="510"/>
      <c r="CD178" s="510"/>
      <c r="CE178" s="510"/>
      <c r="CF178" s="510"/>
      <c r="CG178" s="510"/>
      <c r="CH178" s="510"/>
      <c r="CI178" s="510"/>
      <c r="CJ178" s="510"/>
      <c r="CK178" s="511" t="s">
        <v>294</v>
      </c>
      <c r="CL178" s="511"/>
      <c r="CM178" s="511"/>
      <c r="CN178" s="511"/>
      <c r="CO178" s="511"/>
      <c r="CP178" s="511"/>
      <c r="CQ178" s="511"/>
      <c r="CR178" s="511"/>
      <c r="CS178" s="510"/>
      <c r="CT178" s="510"/>
      <c r="CU178" s="510"/>
      <c r="CV178" s="510"/>
      <c r="CW178" s="510"/>
      <c r="CX178" s="510"/>
      <c r="CY178" s="940"/>
      <c r="CZ178" s="511" t="s">
        <v>294</v>
      </c>
      <c r="DA178" s="511"/>
      <c r="DB178" s="511"/>
      <c r="DC178" s="511"/>
      <c r="DD178" s="511"/>
      <c r="DE178" s="511"/>
      <c r="DF178" s="511"/>
      <c r="DG178" s="511"/>
      <c r="DH178" s="511"/>
      <c r="DI178" s="511"/>
      <c r="DJ178" s="511"/>
      <c r="DK178" s="511"/>
      <c r="DL178" s="511"/>
      <c r="DM178" s="511"/>
      <c r="DN178" s="511"/>
      <c r="DO178" s="511"/>
      <c r="DP178" s="318"/>
    </row>
    <row r="179" spans="1:120" outlineLevel="1" x14ac:dyDescent="0.2">
      <c r="C179" s="413"/>
      <c r="D179" s="459"/>
      <c r="E179" s="459"/>
      <c r="F179" s="305"/>
      <c r="G179" s="413"/>
      <c r="H179" s="459"/>
      <c r="I179" s="459"/>
      <c r="K179" s="413"/>
      <c r="O179" s="413"/>
      <c r="R179" s="305"/>
      <c r="S179" s="413"/>
      <c r="W179" s="413"/>
      <c r="AA179" s="413"/>
      <c r="AE179" s="413"/>
      <c r="AI179" s="413"/>
      <c r="AM179" s="413"/>
      <c r="AQ179" s="413"/>
      <c r="AU179" s="413"/>
      <c r="AY179" s="413"/>
      <c r="BC179" s="413"/>
      <c r="BG179" s="413"/>
      <c r="BK179" s="413"/>
      <c r="BO179" s="413"/>
      <c r="BS179" s="413"/>
      <c r="BW179" s="413"/>
      <c r="CA179" s="413"/>
      <c r="CE179" s="413"/>
      <c r="CI179" s="413"/>
      <c r="CM179" s="512"/>
      <c r="CQ179" s="512"/>
      <c r="CU179" s="512"/>
      <c r="CY179" s="320"/>
      <c r="DC179" s="512"/>
      <c r="DG179" s="512"/>
      <c r="DK179" s="512"/>
    </row>
    <row r="180" spans="1:120" outlineLevel="1" x14ac:dyDescent="0.2">
      <c r="A180" s="448" t="s">
        <v>89</v>
      </c>
      <c r="C180" s="320">
        <f>(C160)/C190</f>
        <v>-7.0532768446310446E-3</v>
      </c>
      <c r="D180" s="450" t="s">
        <v>94</v>
      </c>
      <c r="E180" s="505"/>
      <c r="F180" s="305"/>
      <c r="G180" s="320">
        <f>(G160)/G190</f>
        <v>2.3469770935035739E-3</v>
      </c>
      <c r="H180" s="513">
        <f t="shared" ref="H180:H186" si="549">(G180/C180-1)*100</f>
        <v>-133.27498899026051</v>
      </c>
      <c r="I180" s="505"/>
      <c r="K180" s="320">
        <f>(K160)/K190</f>
        <v>1.2981401465339094E-2</v>
      </c>
      <c r="L180" s="513">
        <f t="shared" ref="L180:L186" si="550">(K180/G180-1)*100</f>
        <v>453.11155363516662</v>
      </c>
      <c r="M180" s="505"/>
      <c r="O180" s="320">
        <f>(O160)/O190</f>
        <v>2.5446587091311354E-2</v>
      </c>
      <c r="P180" s="513">
        <f t="shared" ref="P180:P186" si="551">(O180/K180-1)*100</f>
        <v>96.023419807598188</v>
      </c>
      <c r="Q180" s="505"/>
      <c r="R180" s="305"/>
      <c r="S180" s="320">
        <f>(S160)/S190</f>
        <v>3.8367852380045246E-2</v>
      </c>
      <c r="T180" s="513">
        <f t="shared" ref="T180:T186" si="552">(S180/O180-1)*100</f>
        <v>50.777989371886378</v>
      </c>
      <c r="U180" s="513"/>
      <c r="V180" s="513"/>
      <c r="W180" s="320">
        <f>(W160)/W190</f>
        <v>4.0151905951346649E-2</v>
      </c>
      <c r="X180" s="513">
        <f t="shared" ref="X180:X186" si="553">(W180/S180-1)*100</f>
        <v>4.6498656052723852</v>
      </c>
      <c r="AA180" s="320">
        <f>(AA160)/AA190</f>
        <v>4.6831081081080979E-2</v>
      </c>
      <c r="AB180" s="492">
        <f t="shared" ref="AB180:AB186" si="554">(AA180/W180-1)*100</f>
        <v>16.634764829912928</v>
      </c>
      <c r="AE180" s="320">
        <f>(AE160)/AE190</f>
        <v>5.0938766801792108E-2</v>
      </c>
      <c r="AF180" s="492">
        <f t="shared" ref="AF180:AF186" si="555">(AE180/AA180-1)*100</f>
        <v>8.7712810080110781</v>
      </c>
      <c r="AI180" s="320">
        <f>(AI160)/AI190</f>
        <v>6.7045461552216468E-2</v>
      </c>
      <c r="AJ180" s="492">
        <f t="shared" ref="AJ180:AJ186" si="556">(AI180/AE180-1)*100</f>
        <v>31.619718657691777</v>
      </c>
      <c r="AM180" s="320">
        <f>(AM160)/AM190</f>
        <v>0.11390104972910195</v>
      </c>
      <c r="AN180" s="492">
        <f t="shared" ref="AN180:AN186" si="557">(AM180/AI180-1)*100</f>
        <v>69.886293705940588</v>
      </c>
      <c r="AQ180" s="320">
        <f>(AQ160)/AQ190</f>
        <v>0.1484809114234158</v>
      </c>
      <c r="AR180" s="492">
        <f t="shared" ref="AR180:AR186" si="558">(AQ180/AM180-1)*100</f>
        <v>30.359563653326571</v>
      </c>
      <c r="AU180" s="320">
        <f>(AU160)/AU190</f>
        <v>0.21146033030233738</v>
      </c>
      <c r="AV180" s="492">
        <f t="shared" ref="AV180:AV186" si="559">(AU180/AQ180-1)*100</f>
        <v>42.415835325341078</v>
      </c>
      <c r="AY180" s="320">
        <f>ROUND((AY160)/AY190,2)</f>
        <v>0.3</v>
      </c>
      <c r="AZ180" s="492">
        <f t="shared" ref="AZ180:AZ186" si="560">(AY180/AU180-1)*100</f>
        <v>41.870581385677497</v>
      </c>
      <c r="BC180" s="320">
        <f>ROUND((BC160)/BC190,2)</f>
        <v>0.31</v>
      </c>
      <c r="BD180" s="492">
        <f t="shared" ref="BD180:BD186" si="561">(BC180/AY180-1)*100</f>
        <v>3.3333333333333437</v>
      </c>
      <c r="BG180" s="320">
        <f>ROUND((BG160)/BG190,2)</f>
        <v>0.3</v>
      </c>
      <c r="BH180" s="492">
        <f t="shared" ref="BH180:BH186" si="562">(BG180/BC180-1)*100</f>
        <v>-3.2258064516129115</v>
      </c>
      <c r="BK180" s="320">
        <f>ROUND((BK160)/BK190,2)</f>
        <v>0.36</v>
      </c>
      <c r="BL180" s="492">
        <f t="shared" ref="BL180:BL186" si="563">(BK180/BG180-1)*100</f>
        <v>19.999999999999996</v>
      </c>
      <c r="BO180" s="320">
        <f>ROUND((BO160)/BO190,2)</f>
        <v>0.48</v>
      </c>
      <c r="BP180" s="492">
        <f t="shared" ref="BP180:BP186" si="564">(BO180/BK180-1)*100</f>
        <v>33.333333333333329</v>
      </c>
      <c r="BQ180" s="492"/>
      <c r="BS180" s="320">
        <f>ROUND((BS160)/BS190,2)</f>
        <v>0.64</v>
      </c>
      <c r="BT180" s="492">
        <f t="shared" ref="BT180:BT186" si="565">(BS180/BO180-1)*100</f>
        <v>33.33333333333335</v>
      </c>
      <c r="BW180" s="320">
        <f>ROUND((BW160)/BW190,2)</f>
        <v>0.49</v>
      </c>
      <c r="BX180" s="492">
        <f t="shared" ref="BX180:BX186" si="566">(BW180/BS180-1)*100</f>
        <v>-23.4375</v>
      </c>
      <c r="CA180" s="320">
        <f>ROUND((CA160)/CA190,2)</f>
        <v>0.45</v>
      </c>
      <c r="CB180" s="492">
        <f>(CA180/BW180-1)*100</f>
        <v>-8.1632653061224474</v>
      </c>
      <c r="CC180" s="492"/>
      <c r="CE180" s="320">
        <f>ROUND((CE160)/CE190,2)</f>
        <v>0.63</v>
      </c>
      <c r="CF180" s="492">
        <f>(CE180/CA180-1)*100</f>
        <v>39.999999999999993</v>
      </c>
      <c r="CI180" s="320">
        <f>ROUND((CI160)/CI190,2)</f>
        <v>0.69</v>
      </c>
      <c r="CJ180" s="492">
        <f>(CI180/CE180-1)*100</f>
        <v>9.5238095238095113</v>
      </c>
      <c r="CM180" s="320">
        <f>(CM160)/CM190</f>
        <v>0.62653061224489792</v>
      </c>
      <c r="CN180" s="492">
        <f>(CM180/CI180-1)*100</f>
        <v>-9.1984619934930461</v>
      </c>
      <c r="CQ180" s="320">
        <f>(CQ160)/CQ190</f>
        <v>0.65919282511210764</v>
      </c>
      <c r="CR180" s="492">
        <f>(CQ180/CM180-1)*100</f>
        <v>5.2131870700106608</v>
      </c>
      <c r="CS180" s="310"/>
      <c r="CU180" s="320">
        <f>(CU160)/CU190</f>
        <v>0.60096153846153844</v>
      </c>
      <c r="CV180" s="492">
        <f>(CU180/CQ180-1)*100</f>
        <v>-8.8337257980115158</v>
      </c>
      <c r="CW180" s="310"/>
      <c r="CY180" s="320">
        <f>(CY160)/CY190</f>
        <v>0.62871287128712872</v>
      </c>
      <c r="CZ180" s="492">
        <f t="shared" ref="CZ180:CZ186" si="567">(CY180/CU180-1)*100</f>
        <v>4.6178217821782219</v>
      </c>
      <c r="DA180" s="310"/>
      <c r="DC180" s="320">
        <f>(DC160)/DC190</f>
        <v>9.4130434782608699E-2</v>
      </c>
      <c r="DD180" s="492">
        <f>(DC180/CY180-1)*100</f>
        <v>-85.028072577884288</v>
      </c>
      <c r="DE180" s="885"/>
      <c r="DG180" s="320">
        <f>(DG160)/DG190</f>
        <v>0.38596491228070173</v>
      </c>
      <c r="DH180" s="492">
        <f>(DG180/DC180-1)*100</f>
        <v>310.03200842753529</v>
      </c>
      <c r="DI180" s="885"/>
      <c r="DJ180" s="885"/>
      <c r="DK180" s="320">
        <f>(DK160)/DK190</f>
        <v>0.48932664495105344</v>
      </c>
      <c r="DL180" s="492">
        <f>(DK180/DG180-1)*100</f>
        <v>26.780085282772937</v>
      </c>
      <c r="DM180" s="885"/>
      <c r="DN180" s="514"/>
    </row>
    <row r="181" spans="1:120" outlineLevel="1" x14ac:dyDescent="0.2">
      <c r="A181" s="448" t="s">
        <v>90</v>
      </c>
      <c r="C181" s="416">
        <f>(C161)/C191</f>
        <v>-9.9683188362328333E-3</v>
      </c>
      <c r="D181" s="450" t="s">
        <v>94</v>
      </c>
      <c r="E181" s="505"/>
      <c r="F181" s="305"/>
      <c r="G181" s="416">
        <f>(G161)/G191</f>
        <v>-6.6184754036795711E-4</v>
      </c>
      <c r="H181" s="513">
        <f t="shared" si="549"/>
        <v>-93.360489855498258</v>
      </c>
      <c r="I181" s="505"/>
      <c r="K181" s="416">
        <f>(K161)/K191</f>
        <v>-3.2930027858455356E-2</v>
      </c>
      <c r="L181" s="513">
        <f t="shared" si="550"/>
        <v>4875.4703084864168</v>
      </c>
      <c r="M181" s="505"/>
      <c r="O181" s="416">
        <f>(O161)/O191</f>
        <v>2.3418516395009126E-2</v>
      </c>
      <c r="P181" s="513">
        <f t="shared" si="551"/>
        <v>-171.11599326811992</v>
      </c>
      <c r="Q181" s="505"/>
      <c r="R181" s="305"/>
      <c r="S181" s="416">
        <f>(S161)/S191</f>
        <v>3.209601937256807E-2</v>
      </c>
      <c r="T181" s="513">
        <f t="shared" si="552"/>
        <v>37.054025247339162</v>
      </c>
      <c r="U181" s="513"/>
      <c r="V181" s="513"/>
      <c r="W181" s="416">
        <f>(W161)/W191</f>
        <v>3.7003989794810621E-2</v>
      </c>
      <c r="X181" s="513">
        <f t="shared" si="553"/>
        <v>15.291523740907609</v>
      </c>
      <c r="Y181" s="513"/>
      <c r="Z181" s="513"/>
      <c r="AA181" s="416">
        <f>(AA161)/AA191</f>
        <v>4.9433333333333426E-2</v>
      </c>
      <c r="AB181" s="492">
        <f t="shared" si="554"/>
        <v>33.589198374132835</v>
      </c>
      <c r="AE181" s="416">
        <f>(AE161)/AE191</f>
        <v>6.9382115986417331E-2</v>
      </c>
      <c r="AF181" s="492">
        <f t="shared" si="555"/>
        <v>40.354921078389474</v>
      </c>
      <c r="AI181" s="416">
        <f>(AI161)/AI191</f>
        <v>9.2117411767597468E-2</v>
      </c>
      <c r="AJ181" s="492">
        <f t="shared" si="556"/>
        <v>32.768236393411442</v>
      </c>
      <c r="AM181" s="416">
        <f>(AM161)/AM191</f>
        <v>0.13273808102752663</v>
      </c>
      <c r="AN181" s="492">
        <f t="shared" si="557"/>
        <v>44.096624601666875</v>
      </c>
      <c r="AQ181" s="416">
        <f>(AQ161)/AQ191</f>
        <v>0.18461647387845068</v>
      </c>
      <c r="AR181" s="492">
        <f t="shared" si="558"/>
        <v>39.083277722062107</v>
      </c>
      <c r="AU181" s="416">
        <f>(AU161)/AU191</f>
        <v>0.24863643538194408</v>
      </c>
      <c r="AV181" s="492">
        <f t="shared" si="559"/>
        <v>34.67727454573928</v>
      </c>
      <c r="AY181" s="416">
        <f>ROUND((AY161)/AY191,2)</f>
        <v>0.36</v>
      </c>
      <c r="AZ181" s="492">
        <f t="shared" si="560"/>
        <v>44.789720560055571</v>
      </c>
      <c r="BC181" s="416">
        <f>ROUND((BC161)/BC191,2)</f>
        <v>0.32</v>
      </c>
      <c r="BD181" s="492">
        <f t="shared" si="561"/>
        <v>-11.111111111111105</v>
      </c>
      <c r="BG181" s="416">
        <f>ROUND((BG161)/BG191,2)</f>
        <v>0.43</v>
      </c>
      <c r="BH181" s="492">
        <f t="shared" si="562"/>
        <v>34.375</v>
      </c>
      <c r="BK181" s="416">
        <f>ROUND((BK161)/BK191,2)</f>
        <v>0.54</v>
      </c>
      <c r="BL181" s="492">
        <f t="shared" si="563"/>
        <v>25.581395348837212</v>
      </c>
      <c r="BO181" s="416">
        <f>ROUND((BO161)/BO191,2)</f>
        <v>0.69</v>
      </c>
      <c r="BP181" s="492">
        <f t="shared" si="564"/>
        <v>27.777777777777768</v>
      </c>
      <c r="BQ181" s="492"/>
      <c r="BS181" s="416">
        <f>ROUND((BS161)/BS191,2)</f>
        <v>0.83</v>
      </c>
      <c r="BT181" s="492">
        <f t="shared" si="565"/>
        <v>20.289855072463769</v>
      </c>
      <c r="BW181" s="416">
        <f>ROUND((BW161)/BW191,2)</f>
        <v>0.77</v>
      </c>
      <c r="BX181" s="492">
        <f t="shared" si="566"/>
        <v>-7.2289156626505928</v>
      </c>
      <c r="CA181" s="416">
        <f>ROUND((CA161)/CA191,2)</f>
        <v>0.75</v>
      </c>
      <c r="CB181" s="492">
        <f t="shared" ref="CB181:CB186" si="568">(CA181/BW181-1)*100</f>
        <v>-2.5974025974025983</v>
      </c>
      <c r="CC181" s="492"/>
      <c r="CE181" s="416">
        <f>ROUND((CE161)/CE191,2)</f>
        <v>0.83</v>
      </c>
      <c r="CF181" s="492">
        <f t="shared" ref="CF181:CF186" si="569">(CE181/CA181-1)*100</f>
        <v>10.666666666666668</v>
      </c>
      <c r="CI181" s="416">
        <f>ROUND((CI161)/CI191,2)</f>
        <v>1.08</v>
      </c>
      <c r="CJ181" s="492">
        <f t="shared" ref="CJ181:CJ186" si="570">(CI181/CE181-1)*100</f>
        <v>30.120481927710863</v>
      </c>
      <c r="CM181" s="416">
        <f>(CM161)/CM191</f>
        <v>1.002092050209205</v>
      </c>
      <c r="CN181" s="492">
        <f t="shared" ref="CN181:CN186" si="571">(CM181/CI181-1)*100</f>
        <v>-7.2136990547032482</v>
      </c>
      <c r="CQ181" s="416">
        <f>(CQ161)/CQ191</f>
        <v>1.0405405405405406</v>
      </c>
      <c r="CR181" s="492">
        <f t="shared" ref="CR181:CR186" si="572">(CQ181/CM181-1)*100</f>
        <v>3.8368222084297354</v>
      </c>
      <c r="CS181" s="310"/>
      <c r="CU181" s="416">
        <f>(CU161)/CU191</f>
        <v>1.1268292682926828</v>
      </c>
      <c r="CV181" s="492">
        <f t="shared" ref="CV181:CV186" si="573">(CU181/CQ181-1)*100</f>
        <v>8.2926829268292543</v>
      </c>
      <c r="CW181" s="310"/>
      <c r="CY181" s="416">
        <f>(CY161)/CY191</f>
        <v>0.66388832487309646</v>
      </c>
      <c r="CZ181" s="492">
        <f t="shared" si="567"/>
        <v>-41.083503636803123</v>
      </c>
      <c r="DA181" s="310"/>
      <c r="DC181" s="416">
        <f>(DC161)/DC191</f>
        <v>0.76994475138121554</v>
      </c>
      <c r="DD181" s="492">
        <f t="shared" ref="DD181:DD186" si="574">(DC181/CY181-1)*100</f>
        <v>15.975040158808639</v>
      </c>
      <c r="DE181" s="310"/>
      <c r="DG181" s="416">
        <f>(DG161)/DG191</f>
        <v>1.2380952380952381</v>
      </c>
      <c r="DH181" s="492">
        <f t="shared" ref="DH181:DH186" si="575">(DG181/DC181-1)*100</f>
        <v>60.80312722103767</v>
      </c>
      <c r="DI181" s="310"/>
      <c r="DJ181" s="310"/>
      <c r="DK181" s="416">
        <f>(DK161)/DK191</f>
        <v>1.6602588859112928</v>
      </c>
      <c r="DL181" s="492">
        <f t="shared" ref="DL181:DL186" si="576">(DK181/DG181-1)*100</f>
        <v>34.097833092835181</v>
      </c>
      <c r="DM181" s="310"/>
      <c r="DN181" s="310"/>
      <c r="DO181" s="303" t="s">
        <v>232</v>
      </c>
    </row>
    <row r="182" spans="1:120" outlineLevel="1" x14ac:dyDescent="0.2">
      <c r="A182" s="448" t="s">
        <v>91</v>
      </c>
      <c r="C182" s="416">
        <f>(C162)/C192</f>
        <v>1.7569923515296865E-2</v>
      </c>
      <c r="D182" s="450" t="s">
        <v>94</v>
      </c>
      <c r="E182" s="505"/>
      <c r="F182" s="305"/>
      <c r="G182" s="416">
        <f>(G162)/G192</f>
        <v>2.2019339091250447E-2</v>
      </c>
      <c r="H182" s="513">
        <f t="shared" si="549"/>
        <v>25.324046357286623</v>
      </c>
      <c r="I182" s="505"/>
      <c r="K182" s="416">
        <f>(K162)/K192</f>
        <v>3.5999629714025275E-2</v>
      </c>
      <c r="L182" s="513">
        <f t="shared" si="550"/>
        <v>63.490963851544493</v>
      </c>
      <c r="M182" s="505"/>
      <c r="O182" s="416">
        <f>(O162)/O192</f>
        <v>4.4580467299923508E-2</v>
      </c>
      <c r="P182" s="513">
        <f t="shared" si="551"/>
        <v>23.835905130310774</v>
      </c>
      <c r="Q182" s="505"/>
      <c r="R182" s="305"/>
      <c r="S182" s="416">
        <f>(S162)/S192</f>
        <v>4.7032124802957022E-2</v>
      </c>
      <c r="T182" s="513">
        <f t="shared" si="552"/>
        <v>5.4993983946815206</v>
      </c>
      <c r="U182" s="513"/>
      <c r="V182" s="513"/>
      <c r="W182" s="416">
        <f>(W162)/W192</f>
        <v>2.5688322256883243E-2</v>
      </c>
      <c r="X182" s="513">
        <f t="shared" si="553"/>
        <v>-45.38132741290022</v>
      </c>
      <c r="Y182" s="513"/>
      <c r="Z182" s="513"/>
      <c r="AA182" s="416">
        <f>(AA162)/AA192</f>
        <v>7.3416666666666769E-2</v>
      </c>
      <c r="AB182" s="492">
        <f t="shared" si="554"/>
        <v>185.79782646955314</v>
      </c>
      <c r="AE182" s="416">
        <f>(AE162)/AE192</f>
        <v>0.10295344018121519</v>
      </c>
      <c r="AF182" s="492">
        <f t="shared" si="555"/>
        <v>40.231700587353082</v>
      </c>
      <c r="AI182" s="416">
        <f>(AI162)/AI192</f>
        <v>0.1062818409198456</v>
      </c>
      <c r="AJ182" s="492">
        <f t="shared" si="556"/>
        <v>3.2329184267877453</v>
      </c>
      <c r="AM182" s="416">
        <f>(AM162)/AM192</f>
        <v>0.15217533919785309</v>
      </c>
      <c r="AN182" s="492">
        <f t="shared" si="557"/>
        <v>43.180940300628492</v>
      </c>
      <c r="AQ182" s="416">
        <f>(AQ162)/AQ192</f>
        <v>0.21792324245715974</v>
      </c>
      <c r="AR182" s="492">
        <f t="shared" si="558"/>
        <v>43.205360083885559</v>
      </c>
      <c r="AU182" s="416">
        <f>(AU162)/AU192</f>
        <v>0.28388042957474918</v>
      </c>
      <c r="AV182" s="492">
        <f t="shared" si="559"/>
        <v>30.266247130824333</v>
      </c>
      <c r="AY182" s="416">
        <f>ROUND((AY162)/AY192,2)</f>
        <v>0.38</v>
      </c>
      <c r="AZ182" s="492">
        <f t="shared" si="560"/>
        <v>33.859174642379266</v>
      </c>
      <c r="BC182" s="416">
        <f>ROUND((BC162)/BC192,2)</f>
        <v>0.34</v>
      </c>
      <c r="BD182" s="492">
        <f t="shared" si="561"/>
        <v>-10.526315789473683</v>
      </c>
      <c r="BG182" s="416">
        <f>ROUND((BG162)/BG192,2)</f>
        <v>0.39</v>
      </c>
      <c r="BH182" s="492">
        <f t="shared" si="562"/>
        <v>14.705882352941169</v>
      </c>
      <c r="BK182" s="416">
        <f>ROUND((BK162)/BK192,2)</f>
        <v>0.45</v>
      </c>
      <c r="BL182" s="492">
        <f t="shared" si="563"/>
        <v>15.384615384615374</v>
      </c>
      <c r="BO182" s="416">
        <f>ROUND((BO162)/BO192,2)</f>
        <v>0.68</v>
      </c>
      <c r="BP182" s="492">
        <f t="shared" si="564"/>
        <v>51.111111111111107</v>
      </c>
      <c r="BQ182" s="492"/>
      <c r="BS182" s="416">
        <f>ROUND((BS162)/BS192,2)</f>
        <v>0.61</v>
      </c>
      <c r="BT182" s="492">
        <f t="shared" si="565"/>
        <v>-10.294117647058831</v>
      </c>
      <c r="BW182" s="416">
        <f>ROUND((BW162)/BW192,2)</f>
        <v>0.52</v>
      </c>
      <c r="BX182" s="492">
        <f t="shared" si="566"/>
        <v>-14.754098360655732</v>
      </c>
      <c r="CA182" s="416">
        <f>ROUND((CA162)/CA192,2)</f>
        <v>0.63</v>
      </c>
      <c r="CB182" s="492">
        <f t="shared" si="568"/>
        <v>21.153846153846146</v>
      </c>
      <c r="CC182" s="492"/>
      <c r="CE182" s="416">
        <f>ROUND((CE162)/CE192,2)</f>
        <v>0.56999999999999995</v>
      </c>
      <c r="CF182" s="492">
        <f t="shared" si="569"/>
        <v>-9.5238095238095344</v>
      </c>
      <c r="CI182" s="416">
        <f>ROUND((CI162)/CI192,2)</f>
        <v>0.8</v>
      </c>
      <c r="CJ182" s="492">
        <f t="shared" si="570"/>
        <v>40.350877192982473</v>
      </c>
      <c r="CM182" s="416">
        <f>(CM162)/CM192</f>
        <v>0.91276595744680855</v>
      </c>
      <c r="CN182" s="492">
        <f t="shared" si="571"/>
        <v>14.095744680851062</v>
      </c>
      <c r="CQ182" s="416">
        <f>(CQ162)/CQ192</f>
        <v>0.81192660550458717</v>
      </c>
      <c r="CR182" s="492">
        <f t="shared" si="572"/>
        <v>-11.047667928401872</v>
      </c>
      <c r="CS182" s="310"/>
      <c r="CU182" s="416">
        <f>(CU162)/CU192</f>
        <v>0.70297029702970293</v>
      </c>
      <c r="CV182" s="492">
        <f t="shared" si="573"/>
        <v>-13.419477540974444</v>
      </c>
      <c r="CW182" s="310"/>
      <c r="CY182" s="416">
        <f>(CY162)/CY192</f>
        <v>0.62618750000000001</v>
      </c>
      <c r="CZ182" s="492">
        <f t="shared" si="567"/>
        <v>-10.922623239436613</v>
      </c>
      <c r="DA182" s="310"/>
      <c r="DC182" s="416">
        <f>(DC162)/DC192</f>
        <v>0.82994350282485874</v>
      </c>
      <c r="DD182" s="492">
        <f t="shared" si="574"/>
        <v>32.539136093399932</v>
      </c>
      <c r="DE182" s="885"/>
      <c r="DG182" s="416">
        <f>(DG162)/DG192</f>
        <v>0.70481927710843373</v>
      </c>
      <c r="DH182" s="492">
        <f t="shared" si="575"/>
        <v>-15.076234140100219</v>
      </c>
      <c r="DI182" s="885"/>
      <c r="DJ182" s="885"/>
      <c r="DK182" s="416">
        <f>(DK162)/DK192</f>
        <v>0.8488389001242419</v>
      </c>
      <c r="DL182" s="492">
        <f t="shared" si="576"/>
        <v>20.433553350960821</v>
      </c>
      <c r="DM182" s="885"/>
      <c r="DN182" s="310"/>
      <c r="DO182" s="431"/>
    </row>
    <row r="183" spans="1:120" outlineLevel="1" x14ac:dyDescent="0.2">
      <c r="A183" s="448" t="s">
        <v>92</v>
      </c>
      <c r="C183" s="508">
        <f>(C163)/C193</f>
        <v>5.3281531193761091E-2</v>
      </c>
      <c r="D183" s="450" t="s">
        <v>94</v>
      </c>
      <c r="E183" s="505"/>
      <c r="F183" s="305"/>
      <c r="G183" s="508">
        <f>(G163)/G193</f>
        <v>7.0615846789335177E-2</v>
      </c>
      <c r="H183" s="513">
        <f t="shared" si="549"/>
        <v>32.533441151563267</v>
      </c>
      <c r="I183" s="505"/>
      <c r="K183" s="508">
        <f>(K163)/K193</f>
        <v>6.9417192742990325E-2</v>
      </c>
      <c r="L183" s="513">
        <f t="shared" si="550"/>
        <v>-1.6974292610562824</v>
      </c>
      <c r="M183" s="505"/>
      <c r="O183" s="508">
        <f>(O163)/O193</f>
        <v>8.9924965893588157E-2</v>
      </c>
      <c r="P183" s="513">
        <f t="shared" si="551"/>
        <v>29.542786650168431</v>
      </c>
      <c r="Q183" s="505"/>
      <c r="R183" s="305"/>
      <c r="S183" s="508">
        <f>(S163)/S193</f>
        <v>0.11503502674522799</v>
      </c>
      <c r="T183" s="513">
        <f t="shared" si="552"/>
        <v>27.923347651144592</v>
      </c>
      <c r="U183" s="513"/>
      <c r="V183" s="513"/>
      <c r="W183" s="508">
        <f>(W163)/W193</f>
        <v>0.14241367637102245</v>
      </c>
      <c r="X183" s="513">
        <f t="shared" si="553"/>
        <v>23.800272317431535</v>
      </c>
      <c r="Y183" s="513"/>
      <c r="Z183" s="513"/>
      <c r="AA183" s="508">
        <f>(AA163)/AA193</f>
        <v>0.17231456953642385</v>
      </c>
      <c r="AB183" s="492">
        <f t="shared" si="554"/>
        <v>20.995801756779485</v>
      </c>
      <c r="AE183" s="508">
        <f>(AE163)/AE193</f>
        <v>0.22451531861987059</v>
      </c>
      <c r="AF183" s="492">
        <f t="shared" si="555"/>
        <v>30.293868489403941</v>
      </c>
      <c r="AI183" s="508">
        <f>(AI163)/AI193</f>
        <v>0.28117760972680145</v>
      </c>
      <c r="AJ183" s="492">
        <f t="shared" si="556"/>
        <v>25.237605814713437</v>
      </c>
      <c r="AM183" s="508">
        <f>(AM163)/AM193</f>
        <v>0.35755421873694504</v>
      </c>
      <c r="AN183" s="492">
        <f t="shared" si="557"/>
        <v>27.16311909911775</v>
      </c>
      <c r="AQ183" s="508">
        <f>(AQ163)/AQ193</f>
        <v>0.51956108412456292</v>
      </c>
      <c r="AR183" s="492">
        <f t="shared" si="558"/>
        <v>45.309733992205345</v>
      </c>
      <c r="AU183" s="508">
        <f>(AU163)/AU193</f>
        <v>0.67114679548481526</v>
      </c>
      <c r="AV183" s="492">
        <f t="shared" si="559"/>
        <v>29.175724662994629</v>
      </c>
      <c r="AY183" s="508">
        <f>ROUND((AY163)/AY193,2)</f>
        <v>0.8</v>
      </c>
      <c r="AZ183" s="492">
        <f t="shared" si="560"/>
        <v>19.198959956607609</v>
      </c>
      <c r="BC183" s="508">
        <f>ROUND((BC163)/BC193,2)</f>
        <v>0.71</v>
      </c>
      <c r="BD183" s="492">
        <f t="shared" si="561"/>
        <v>-11.250000000000004</v>
      </c>
      <c r="BG183" s="508">
        <f>ROUND((BG163)/BG193,2)</f>
        <v>0.92</v>
      </c>
      <c r="BH183" s="492">
        <f t="shared" si="562"/>
        <v>29.577464788732399</v>
      </c>
      <c r="BK183" s="508">
        <f>ROUND((BK163)/BK193,2)</f>
        <v>1.08</v>
      </c>
      <c r="BL183" s="492">
        <f t="shared" si="563"/>
        <v>17.391304347826097</v>
      </c>
      <c r="BO183" s="508">
        <f>ROUND((BO163)/BO193,2)</f>
        <v>1.48</v>
      </c>
      <c r="BP183" s="492">
        <f t="shared" si="564"/>
        <v>37.037037037037024</v>
      </c>
      <c r="BQ183" s="492"/>
      <c r="BS183" s="508">
        <f>ROUND((BS163)/BS193,2)</f>
        <v>1.31</v>
      </c>
      <c r="BT183" s="492">
        <f t="shared" si="565"/>
        <v>-11.486486486486481</v>
      </c>
      <c r="BW183" s="508">
        <f>ROUND((BW163)/BW193,2)</f>
        <v>1.1000000000000001</v>
      </c>
      <c r="BX183" s="492">
        <f t="shared" si="566"/>
        <v>-16.030534351145032</v>
      </c>
      <c r="CA183" s="508">
        <f>ROUND((CA163)/CA193,2)</f>
        <v>1.4</v>
      </c>
      <c r="CB183" s="492">
        <f t="shared" si="568"/>
        <v>27.272727272727249</v>
      </c>
      <c r="CC183" s="492"/>
      <c r="CE183" s="508">
        <f>ROUND((CE163)/CE193,2)</f>
        <v>1.66</v>
      </c>
      <c r="CF183" s="492">
        <f t="shared" si="569"/>
        <v>18.571428571428573</v>
      </c>
      <c r="CI183" s="508">
        <f>ROUND((CI163)/CI193,2)</f>
        <v>1.81</v>
      </c>
      <c r="CJ183" s="492">
        <f t="shared" si="570"/>
        <v>9.0361445783132552</v>
      </c>
      <c r="CM183" s="508">
        <f>(CM163)/CM193</f>
        <v>1.6644649933949802</v>
      </c>
      <c r="CN183" s="492">
        <f t="shared" si="571"/>
        <v>-8.0406080997248548</v>
      </c>
      <c r="CQ183" s="508">
        <f>(CQ163)/CQ193</f>
        <v>1.557109557109557</v>
      </c>
      <c r="CR183" s="492">
        <f t="shared" si="572"/>
        <v>-6.4498464498464525</v>
      </c>
      <c r="CS183" s="310"/>
      <c r="CU183" s="508">
        <f>(CU163)/CU193</f>
        <v>1.8349080059671805</v>
      </c>
      <c r="CV183" s="492">
        <f t="shared" si="573"/>
        <v>17.840648886215639</v>
      </c>
      <c r="CW183" s="310"/>
      <c r="CY183" s="508">
        <f>(CY163)/CY193</f>
        <v>1.5828877005347595</v>
      </c>
      <c r="CZ183" s="492">
        <f t="shared" si="567"/>
        <v>-13.734765155138174</v>
      </c>
      <c r="DA183" s="514"/>
      <c r="DC183" s="508">
        <f>(DC163)/DC193</f>
        <v>1.44</v>
      </c>
      <c r="DD183" s="492">
        <f t="shared" si="574"/>
        <v>-9.0270270270270352</v>
      </c>
      <c r="DE183" s="514"/>
      <c r="DG183" s="508">
        <f>(DG163)/DG193</f>
        <v>2.808383233532934</v>
      </c>
      <c r="DH183" s="492">
        <f t="shared" si="575"/>
        <v>95.026613439787084</v>
      </c>
      <c r="DI183" s="514"/>
      <c r="DJ183" s="514"/>
      <c r="DK183" s="508">
        <f>(DK163)/DK193</f>
        <v>1.8295396002099915</v>
      </c>
      <c r="DL183" s="492">
        <f t="shared" si="576"/>
        <v>-34.854346858194333</v>
      </c>
      <c r="DM183" s="514"/>
      <c r="DN183" s="310"/>
      <c r="DO183" s="303" t="s">
        <v>232</v>
      </c>
    </row>
    <row r="184" spans="1:120" outlineLevel="1" x14ac:dyDescent="0.2">
      <c r="A184" s="448" t="s">
        <v>93</v>
      </c>
      <c r="C184" s="320">
        <f>(C164)/C194</f>
        <v>5.3829859028194073E-2</v>
      </c>
      <c r="D184" s="450" t="s">
        <v>94</v>
      </c>
      <c r="E184" s="505"/>
      <c r="F184" s="305"/>
      <c r="G184" s="320">
        <f>(G164)/G194</f>
        <v>9.4320315433721241E-2</v>
      </c>
      <c r="H184" s="513">
        <f t="shared" si="549"/>
        <v>75.219324621154556</v>
      </c>
      <c r="I184" s="505"/>
      <c r="K184" s="320">
        <f>(K164)/K194</f>
        <v>9.0005473741351719E-2</v>
      </c>
      <c r="L184" s="513">
        <f t="shared" si="550"/>
        <v>-4.5746684290952739</v>
      </c>
      <c r="M184" s="505"/>
      <c r="O184" s="320">
        <f>(O164)/O194</f>
        <v>0.18340681390079447</v>
      </c>
      <c r="P184" s="513">
        <f t="shared" si="551"/>
        <v>103.7729554402988</v>
      </c>
      <c r="Q184" s="505"/>
      <c r="R184" s="305"/>
      <c r="S184" s="320">
        <f>(S164)/S194</f>
        <v>0.23264160305602946</v>
      </c>
      <c r="T184" s="513">
        <f t="shared" si="552"/>
        <v>26.844580148405118</v>
      </c>
      <c r="U184" s="513"/>
      <c r="V184" s="513"/>
      <c r="W184" s="320">
        <f>(W164)/W194</f>
        <v>0.24683690526344459</v>
      </c>
      <c r="X184" s="513">
        <f t="shared" si="553"/>
        <v>6.1017900585891072</v>
      </c>
      <c r="Y184" s="513"/>
      <c r="Z184" s="513"/>
      <c r="AA184" s="320">
        <f>(AA164)/AA194</f>
        <v>0.34309181969949926</v>
      </c>
      <c r="AB184" s="492">
        <f t="shared" si="554"/>
        <v>38.99534971617129</v>
      </c>
      <c r="AE184" s="320">
        <f>(AE164)/AE194</f>
        <v>0.45251840105588215</v>
      </c>
      <c r="AF184" s="492">
        <f t="shared" si="555"/>
        <v>31.894255436409225</v>
      </c>
      <c r="AI184" s="320">
        <f>(AI164)/AI194</f>
        <v>0.54750446096425742</v>
      </c>
      <c r="AJ184" s="492">
        <f t="shared" si="556"/>
        <v>20.990540867893959</v>
      </c>
      <c r="AM184" s="320">
        <f>(AM164)/AM194</f>
        <v>0.77521446372088376</v>
      </c>
      <c r="AN184" s="492">
        <f t="shared" si="557"/>
        <v>41.590529208764181</v>
      </c>
      <c r="AQ184" s="320">
        <f>(AQ164)/AQ194</f>
        <v>1.0723789061116586</v>
      </c>
      <c r="AR184" s="492">
        <f t="shared" si="558"/>
        <v>38.333191174535287</v>
      </c>
      <c r="AU184" s="320">
        <f>(AU164)/AU194</f>
        <v>1.4191983074683236</v>
      </c>
      <c r="AV184" s="492">
        <f t="shared" si="559"/>
        <v>32.341124893457504</v>
      </c>
      <c r="AY184" s="320">
        <f>ROUND((AY164)/AY194,2)</f>
        <v>1.84</v>
      </c>
      <c r="AZ184" s="492">
        <f t="shared" si="560"/>
        <v>29.650661948881218</v>
      </c>
      <c r="BC184" s="320">
        <f>ROUND((BC164)/BC194,2)</f>
        <v>1.68</v>
      </c>
      <c r="BD184" s="492">
        <f t="shared" si="561"/>
        <v>-8.6956521739130483</v>
      </c>
      <c r="BG184" s="320">
        <f>ROUND((BG164)/BG194,2)</f>
        <v>2.04</v>
      </c>
      <c r="BH184" s="492">
        <f t="shared" si="562"/>
        <v>21.428571428571441</v>
      </c>
      <c r="BK184" s="320">
        <f>ROUND((BK164)/BK194,2)</f>
        <v>2.4300000000000002</v>
      </c>
      <c r="BL184" s="492">
        <f t="shared" si="563"/>
        <v>19.117647058823529</v>
      </c>
      <c r="BO184" s="320">
        <f>ROUND((BO164)/BO194,2)</f>
        <v>3.31</v>
      </c>
      <c r="BP184" s="492">
        <f t="shared" si="564"/>
        <v>36.213991769547313</v>
      </c>
      <c r="BQ184" s="492"/>
      <c r="BS184" s="320">
        <f>ROUND((BS164)/BS194,2)</f>
        <v>3.39</v>
      </c>
      <c r="BT184" s="492">
        <f t="shared" si="565"/>
        <v>2.4169184290030232</v>
      </c>
      <c r="BW184" s="320">
        <f>ROUND((BW164)/BW194,2)</f>
        <v>2.89</v>
      </c>
      <c r="BX184" s="492">
        <f t="shared" si="566"/>
        <v>-14.749262536873154</v>
      </c>
      <c r="CA184" s="320">
        <f>ROUND((CA164)/CA194,2)</f>
        <v>3.18</v>
      </c>
      <c r="CB184" s="492">
        <f t="shared" si="568"/>
        <v>10.034602076124566</v>
      </c>
      <c r="CC184" s="492"/>
      <c r="CE184" s="320">
        <f>ROUND((CE164)/CE194,2)</f>
        <v>3.66</v>
      </c>
      <c r="CF184" s="492">
        <f t="shared" si="569"/>
        <v>15.094339622641506</v>
      </c>
      <c r="CI184" s="320">
        <f>ROUND((CI164)/CI194,2)</f>
        <v>4.3099999999999996</v>
      </c>
      <c r="CJ184" s="492">
        <f t="shared" si="570"/>
        <v>17.759562841530041</v>
      </c>
      <c r="CM184" s="320">
        <f>(CM164)/CM194</f>
        <v>4.1599831152384974</v>
      </c>
      <c r="CN184" s="492">
        <f t="shared" si="571"/>
        <v>-3.4806701800812578</v>
      </c>
      <c r="CQ184" s="320">
        <f>(CQ164)/CQ194</f>
        <v>4.0501138952164011</v>
      </c>
      <c r="CR184" s="492">
        <f t="shared" si="572"/>
        <v>-2.6410977395468938</v>
      </c>
      <c r="CS184" s="310"/>
      <c r="CU184" s="320">
        <f>(CU164)/CU194</f>
        <v>4.2416829745596871</v>
      </c>
      <c r="CV184" s="492">
        <f t="shared" si="573"/>
        <v>4.729967707069882</v>
      </c>
      <c r="CW184" s="310"/>
      <c r="CY184" s="320">
        <f>(CY164)/CY194</f>
        <v>3.4564820512820518</v>
      </c>
      <c r="CZ184" s="492">
        <f t="shared" si="567"/>
        <v>-18.511541951320488</v>
      </c>
      <c r="DA184" s="310" t="s">
        <v>491</v>
      </c>
      <c r="DC184" s="320">
        <f>(DC164)/DC194</f>
        <v>3.1054748603351956</v>
      </c>
      <c r="DD184" s="492">
        <f t="shared" si="574"/>
        <v>-10.15504162148515</v>
      </c>
      <c r="DE184" s="310"/>
      <c r="DG184" s="320">
        <f>(DG164)/DG194</f>
        <v>5.1190476190476186</v>
      </c>
      <c r="DH184" s="492">
        <f t="shared" si="575"/>
        <v>64.839448048054209</v>
      </c>
      <c r="DI184" s="310"/>
      <c r="DJ184" s="310"/>
      <c r="DK184" s="320">
        <f>(DK164)/DK194</f>
        <v>4.8241289482012268</v>
      </c>
      <c r="DL184" s="492">
        <f t="shared" si="576"/>
        <v>-5.7612019421155569</v>
      </c>
      <c r="DM184" s="310"/>
      <c r="DO184" s="320"/>
    </row>
    <row r="185" spans="1:120" outlineLevel="1" x14ac:dyDescent="0.2">
      <c r="A185" s="448" t="s">
        <v>467</v>
      </c>
      <c r="C185" s="416">
        <f>C180+C181</f>
        <v>-1.702159568086388E-2</v>
      </c>
      <c r="D185" s="450" t="s">
        <v>94</v>
      </c>
      <c r="E185" s="505"/>
      <c r="F185" s="305"/>
      <c r="G185" s="416">
        <f>G180+G181</f>
        <v>1.6851295531356168E-3</v>
      </c>
      <c r="H185" s="513">
        <f t="shared" si="549"/>
        <v>-109.89995053771653</v>
      </c>
      <c r="I185" s="505"/>
      <c r="K185" s="416">
        <f>K180+K181</f>
        <v>-1.9948626393116262E-2</v>
      </c>
      <c r="L185" s="513">
        <f t="shared" si="550"/>
        <v>-1283.8037233396515</v>
      </c>
      <c r="M185" s="505"/>
      <c r="O185" s="416">
        <f>O180+O181</f>
        <v>4.8865103486320477E-2</v>
      </c>
      <c r="P185" s="513">
        <f t="shared" si="551"/>
        <v>-344.95472782618515</v>
      </c>
      <c r="Q185" s="505"/>
      <c r="R185" s="305"/>
      <c r="S185" s="416">
        <f>S180+S181</f>
        <v>7.0463871752613316E-2</v>
      </c>
      <c r="T185" s="513">
        <f t="shared" si="552"/>
        <v>44.200803283552446</v>
      </c>
      <c r="U185" s="513"/>
      <c r="V185" s="513"/>
      <c r="W185" s="416">
        <f>W180+W181</f>
        <v>7.7155895746157277E-2</v>
      </c>
      <c r="X185" s="513">
        <f t="shared" si="553"/>
        <v>9.4970994739524315</v>
      </c>
      <c r="Y185" s="513"/>
      <c r="Z185" s="513"/>
      <c r="AA185" s="416">
        <f>AA180+AA181</f>
        <v>9.6264414414414412E-2</v>
      </c>
      <c r="AB185" s="492">
        <f t="shared" si="554"/>
        <v>24.766116034896555</v>
      </c>
      <c r="AE185" s="416">
        <f>AE180+AE181</f>
        <v>0.12032088278820943</v>
      </c>
      <c r="AF185" s="492">
        <f t="shared" si="555"/>
        <v>24.989990870596166</v>
      </c>
      <c r="AI185" s="416">
        <f>AI180+AI181</f>
        <v>0.15916287331981394</v>
      </c>
      <c r="AJ185" s="492">
        <f t="shared" si="556"/>
        <v>32.282002617928555</v>
      </c>
      <c r="AM185" s="416">
        <f>AM180+AM181</f>
        <v>0.24663913075662858</v>
      </c>
      <c r="AN185" s="492">
        <f t="shared" si="557"/>
        <v>54.960215037739488</v>
      </c>
      <c r="AQ185" s="416">
        <f>AQ180+AQ181</f>
        <v>0.3330973853018665</v>
      </c>
      <c r="AR185" s="492">
        <f t="shared" si="558"/>
        <v>35.054556947231006</v>
      </c>
      <c r="AU185" s="416">
        <f>AU180+AU181</f>
        <v>0.46009676568428148</v>
      </c>
      <c r="AV185" s="492">
        <f t="shared" si="559"/>
        <v>38.126801946320569</v>
      </c>
      <c r="AY185" s="416">
        <f>AY180+AY181</f>
        <v>0.65999999999999992</v>
      </c>
      <c r="AZ185" s="492">
        <f t="shared" si="560"/>
        <v>43.448085104100052</v>
      </c>
      <c r="BC185" s="416">
        <f>BC180+BC181</f>
        <v>0.63</v>
      </c>
      <c r="BD185" s="492">
        <f t="shared" si="561"/>
        <v>-4.5454545454545308</v>
      </c>
      <c r="BG185" s="416">
        <f>BG180+BG181</f>
        <v>0.73</v>
      </c>
      <c r="BH185" s="492">
        <f t="shared" si="562"/>
        <v>15.873015873015861</v>
      </c>
      <c r="BK185" s="416">
        <f>BK180+BK181</f>
        <v>0.9</v>
      </c>
      <c r="BL185" s="492">
        <f t="shared" si="563"/>
        <v>23.287671232876718</v>
      </c>
      <c r="BO185" s="416">
        <f>BO180+BO181</f>
        <v>1.17</v>
      </c>
      <c r="BP185" s="492">
        <f t="shared" si="564"/>
        <v>29.999999999999982</v>
      </c>
      <c r="BQ185" s="492"/>
      <c r="BS185" s="416">
        <f>BS180+BS181</f>
        <v>1.47</v>
      </c>
      <c r="BT185" s="492">
        <f t="shared" si="565"/>
        <v>25.641025641025639</v>
      </c>
      <c r="BW185" s="416">
        <f>BW180+BW181</f>
        <v>1.26</v>
      </c>
      <c r="BX185" s="492">
        <f t="shared" si="566"/>
        <v>-14.285714285714279</v>
      </c>
      <c r="CA185" s="416">
        <f>CA180+CA181</f>
        <v>1.2</v>
      </c>
      <c r="CB185" s="492">
        <f t="shared" si="568"/>
        <v>-4.7619047619047672</v>
      </c>
      <c r="CC185" s="492"/>
      <c r="CE185" s="416">
        <f>CE180+CE181</f>
        <v>1.46</v>
      </c>
      <c r="CF185" s="492">
        <f t="shared" si="569"/>
        <v>21.666666666666679</v>
      </c>
      <c r="CI185" s="416">
        <f>CI180+CI181</f>
        <v>1.77</v>
      </c>
      <c r="CJ185" s="492">
        <f t="shared" si="570"/>
        <v>21.232876712328764</v>
      </c>
      <c r="CM185" s="416">
        <f>CM180+CM181</f>
        <v>1.6286226624541029</v>
      </c>
      <c r="CN185" s="492">
        <f t="shared" si="571"/>
        <v>-7.9874202003331725</v>
      </c>
      <c r="CQ185" s="416">
        <f>CQ180+CQ181</f>
        <v>1.6997333656526483</v>
      </c>
      <c r="CR185" s="492">
        <f t="shared" si="572"/>
        <v>4.3663093261511854</v>
      </c>
      <c r="CU185" s="416">
        <f>CU180+CU181</f>
        <v>1.7277908067542214</v>
      </c>
      <c r="CV185" s="492">
        <f t="shared" si="573"/>
        <v>1.6506966132773249</v>
      </c>
      <c r="CY185" s="416">
        <f>CY180+CY181</f>
        <v>1.2926011961602253</v>
      </c>
      <c r="CZ185" s="492">
        <f t="shared" si="567"/>
        <v>-25.187633184108151</v>
      </c>
      <c r="DC185" s="416">
        <f>DC180+DC181</f>
        <v>0.86407518616382428</v>
      </c>
      <c r="DD185" s="492">
        <f t="shared" si="574"/>
        <v>-33.152221371090448</v>
      </c>
      <c r="DG185" s="416">
        <f>DG180+DG181</f>
        <v>1.6240601503759398</v>
      </c>
      <c r="DH185" s="492">
        <f t="shared" si="575"/>
        <v>87.953568900198249</v>
      </c>
      <c r="DK185" s="416">
        <f>DK180+DK181</f>
        <v>2.1495855308623462</v>
      </c>
      <c r="DL185" s="492">
        <f t="shared" si="576"/>
        <v>32.358738705875957</v>
      </c>
      <c r="DO185" s="303" t="s">
        <v>232</v>
      </c>
    </row>
    <row r="186" spans="1:120" outlineLevel="1" x14ac:dyDescent="0.2">
      <c r="A186" s="448" t="s">
        <v>468</v>
      </c>
      <c r="C186" s="416">
        <f>C183+C182</f>
        <v>7.0851454709057959E-2</v>
      </c>
      <c r="D186" s="450" t="s">
        <v>94</v>
      </c>
      <c r="E186" s="505"/>
      <c r="F186" s="305"/>
      <c r="G186" s="416">
        <f>G183+G182</f>
        <v>9.2635185880585627E-2</v>
      </c>
      <c r="H186" s="513">
        <f t="shared" si="549"/>
        <v>30.745637137557225</v>
      </c>
      <c r="I186" s="505"/>
      <c r="K186" s="416">
        <f>K183+K182</f>
        <v>0.1054168224570156</v>
      </c>
      <c r="L186" s="513">
        <f t="shared" si="550"/>
        <v>13.797820401533546</v>
      </c>
      <c r="M186" s="505"/>
      <c r="O186" s="416">
        <f>O183+O182</f>
        <v>0.13450543319351166</v>
      </c>
      <c r="P186" s="513">
        <f t="shared" si="551"/>
        <v>27.593898258844906</v>
      </c>
      <c r="Q186" s="505"/>
      <c r="R186" s="305"/>
      <c r="S186" s="416">
        <f>S183+S182</f>
        <v>0.16206715154818502</v>
      </c>
      <c r="T186" s="513">
        <f t="shared" si="552"/>
        <v>20.491156156510492</v>
      </c>
      <c r="U186" s="513"/>
      <c r="V186" s="513"/>
      <c r="W186" s="416">
        <f>W183+W182</f>
        <v>0.1681019986279057</v>
      </c>
      <c r="X186" s="513">
        <f t="shared" si="553"/>
        <v>3.7236707266533386</v>
      </c>
      <c r="Y186" s="513"/>
      <c r="Z186" s="513"/>
      <c r="AA186" s="416">
        <f>AA183+AA182</f>
        <v>0.24573123620309062</v>
      </c>
      <c r="AB186" s="492">
        <f t="shared" si="554"/>
        <v>46.179842124909818</v>
      </c>
      <c r="AE186" s="416">
        <f>AE183+AE182</f>
        <v>0.32746875880108578</v>
      </c>
      <c r="AF186" s="492">
        <f t="shared" si="555"/>
        <v>33.262976193405549</v>
      </c>
      <c r="AI186" s="416">
        <f>AI183+AI182</f>
        <v>0.38745945064664705</v>
      </c>
      <c r="AJ186" s="492">
        <f t="shared" si="556"/>
        <v>18.31951605557629</v>
      </c>
      <c r="AM186" s="416">
        <f>AM183+AM182</f>
        <v>0.50972955793479813</v>
      </c>
      <c r="AN186" s="492">
        <f t="shared" si="557"/>
        <v>31.556878296319635</v>
      </c>
      <c r="AQ186" s="416">
        <f>AQ183+AQ182</f>
        <v>0.73748432658172269</v>
      </c>
      <c r="AR186" s="492">
        <f t="shared" si="558"/>
        <v>44.681491410795871</v>
      </c>
      <c r="AU186" s="416">
        <f>AU183+AU182</f>
        <v>0.95502722505956439</v>
      </c>
      <c r="AV186" s="492">
        <f t="shared" si="559"/>
        <v>29.497969060056374</v>
      </c>
      <c r="AY186" s="416">
        <f>AY183+AY182</f>
        <v>1.1800000000000002</v>
      </c>
      <c r="AZ186" s="492">
        <f t="shared" si="560"/>
        <v>23.556687080455152</v>
      </c>
      <c r="BC186" s="416">
        <f>BC183+BC182</f>
        <v>1.05</v>
      </c>
      <c r="BD186" s="492">
        <f t="shared" si="561"/>
        <v>-11.016949152542377</v>
      </c>
      <c r="BG186" s="416">
        <f>BG183+BG182</f>
        <v>1.31</v>
      </c>
      <c r="BH186" s="492">
        <f t="shared" si="562"/>
        <v>24.761904761904763</v>
      </c>
      <c r="BK186" s="416">
        <f>BK183+BK182</f>
        <v>1.53</v>
      </c>
      <c r="BL186" s="492">
        <f t="shared" si="563"/>
        <v>16.793893129771</v>
      </c>
      <c r="BO186" s="416">
        <f>BO183+BO182</f>
        <v>2.16</v>
      </c>
      <c r="BP186" s="492">
        <f t="shared" si="564"/>
        <v>41.176470588235304</v>
      </c>
      <c r="BQ186" s="492"/>
      <c r="BS186" s="416">
        <f>BS183+BS182</f>
        <v>1.92</v>
      </c>
      <c r="BT186" s="492">
        <f t="shared" si="565"/>
        <v>-11.111111111111116</v>
      </c>
      <c r="BW186" s="416">
        <f>BW183+BW182</f>
        <v>1.62</v>
      </c>
      <c r="BX186" s="492">
        <f t="shared" si="566"/>
        <v>-15.624999999999989</v>
      </c>
      <c r="CA186" s="416">
        <f>CA183+CA182</f>
        <v>2.0299999999999998</v>
      </c>
      <c r="CB186" s="492">
        <f t="shared" si="568"/>
        <v>25.308641975308621</v>
      </c>
      <c r="CC186" s="492"/>
      <c r="CE186" s="416">
        <f>CE183+CE182</f>
        <v>2.23</v>
      </c>
      <c r="CF186" s="492">
        <f t="shared" si="569"/>
        <v>9.852216748768484</v>
      </c>
      <c r="CI186" s="416">
        <f>CI183+CI182</f>
        <v>2.6100000000000003</v>
      </c>
      <c r="CJ186" s="492">
        <f t="shared" si="570"/>
        <v>17.040358744394624</v>
      </c>
      <c r="CM186" s="416">
        <f>CM183+CM182</f>
        <v>2.5772309508417885</v>
      </c>
      <c r="CN186" s="492">
        <f t="shared" si="571"/>
        <v>-1.2555191248357023</v>
      </c>
      <c r="CQ186" s="416">
        <f>CQ183+CQ182</f>
        <v>2.3690361626141443</v>
      </c>
      <c r="CR186" s="492">
        <f t="shared" si="572"/>
        <v>-8.078235602426032</v>
      </c>
      <c r="CU186" s="416">
        <f>CU183+CU182</f>
        <v>2.5378783029968837</v>
      </c>
      <c r="CV186" s="492">
        <f t="shared" si="573"/>
        <v>7.1270393861961212</v>
      </c>
      <c r="CY186" s="416">
        <f>CY183+CY182</f>
        <v>2.2090752005347594</v>
      </c>
      <c r="CZ186" s="492">
        <f t="shared" si="567"/>
        <v>-12.955826214119615</v>
      </c>
      <c r="DC186" s="416">
        <f>DC183+DC182</f>
        <v>2.2699435028248587</v>
      </c>
      <c r="DD186" s="492">
        <f t="shared" si="574"/>
        <v>2.7553748408096101</v>
      </c>
      <c r="DG186" s="416">
        <f>DG183+DG182</f>
        <v>3.5132025106413676</v>
      </c>
      <c r="DH186" s="492">
        <f t="shared" si="575"/>
        <v>54.770482448982548</v>
      </c>
      <c r="DK186" s="416">
        <f>DK183+DK182</f>
        <v>2.6783785003342335</v>
      </c>
      <c r="DL186" s="492">
        <f t="shared" si="576"/>
        <v>-23.762479042368934</v>
      </c>
      <c r="DO186" s="303" t="s">
        <v>232</v>
      </c>
    </row>
    <row r="187" spans="1:120" x14ac:dyDescent="0.2">
      <c r="C187" s="413"/>
      <c r="D187" s="459"/>
      <c r="E187" s="459"/>
      <c r="F187" s="305"/>
      <c r="G187" s="413"/>
      <c r="H187" s="459"/>
      <c r="I187" s="459"/>
      <c r="K187" s="413"/>
      <c r="O187" s="413"/>
      <c r="R187" s="305"/>
      <c r="S187" s="413"/>
      <c r="W187" s="413"/>
      <c r="AA187" s="413"/>
      <c r="AE187" s="413"/>
      <c r="AI187" s="413"/>
      <c r="AM187" s="413"/>
      <c r="AQ187" s="413"/>
      <c r="AU187" s="413"/>
      <c r="AY187" s="413"/>
      <c r="BC187" s="413"/>
      <c r="BG187" s="413"/>
      <c r="BK187" s="413"/>
      <c r="BO187" s="413"/>
      <c r="BS187" s="413"/>
      <c r="BW187" s="413"/>
      <c r="CA187" s="413"/>
      <c r="CB187" s="492"/>
      <c r="CE187" s="413"/>
      <c r="CI187" s="413"/>
      <c r="CM187" s="515"/>
      <c r="CQ187" s="318"/>
      <c r="CU187" s="318"/>
      <c r="CY187" s="515"/>
      <c r="CZ187" s="320"/>
      <c r="DC187" s="515"/>
      <c r="DG187" s="515"/>
      <c r="DK187" s="515"/>
      <c r="DO187" s="303" t="s">
        <v>232</v>
      </c>
    </row>
    <row r="188" spans="1:120" s="310" customFormat="1" x14ac:dyDescent="0.2">
      <c r="A188" s="462"/>
      <c r="B188" s="317"/>
      <c r="C188" s="462"/>
      <c r="D188" s="516"/>
      <c r="E188" s="516"/>
      <c r="F188" s="517"/>
      <c r="G188" s="462"/>
      <c r="H188" s="516"/>
      <c r="I188" s="516"/>
      <c r="J188" s="317"/>
      <c r="K188" s="462"/>
      <c r="L188" s="516"/>
      <c r="M188" s="516"/>
      <c r="N188" s="317"/>
      <c r="O188" s="462"/>
      <c r="P188" s="516"/>
      <c r="Q188" s="516"/>
      <c r="R188" s="517"/>
      <c r="S188" s="462"/>
      <c r="T188" s="516"/>
      <c r="U188" s="516"/>
      <c r="V188" s="317"/>
      <c r="W188" s="462"/>
      <c r="X188" s="516"/>
      <c r="Y188" s="516"/>
      <c r="Z188" s="317"/>
      <c r="AA188" s="462"/>
      <c r="AB188" s="516"/>
      <c r="AC188" s="516"/>
      <c r="AD188" s="317"/>
      <c r="AE188" s="462"/>
      <c r="AF188" s="516"/>
      <c r="AG188" s="516"/>
      <c r="AH188" s="317"/>
      <c r="AI188" s="462"/>
      <c r="AJ188" s="516"/>
      <c r="AK188" s="516"/>
      <c r="AL188" s="317"/>
      <c r="AM188" s="462"/>
      <c r="AN188" s="516"/>
      <c r="AO188" s="516"/>
      <c r="AP188" s="317"/>
      <c r="AQ188" s="462"/>
      <c r="AR188" s="516"/>
      <c r="AS188" s="516"/>
      <c r="AT188" s="317"/>
      <c r="AU188" s="462"/>
      <c r="AV188" s="516"/>
      <c r="AW188" s="516"/>
      <c r="AX188" s="317"/>
      <c r="AY188" s="462"/>
      <c r="AZ188" s="516"/>
      <c r="BA188" s="516"/>
      <c r="BB188" s="317"/>
      <c r="BC188" s="462"/>
      <c r="BD188" s="516"/>
      <c r="BE188" s="516"/>
      <c r="BF188" s="317"/>
      <c r="BG188" s="462"/>
      <c r="BH188" s="516"/>
      <c r="BI188" s="516"/>
      <c r="BJ188" s="317"/>
      <c r="BK188" s="462"/>
      <c r="BL188" s="516"/>
      <c r="BM188" s="516"/>
      <c r="BN188" s="317"/>
      <c r="BO188" s="462"/>
      <c r="BP188" s="516"/>
      <c r="BQ188" s="516"/>
      <c r="BR188" s="317"/>
      <c r="BS188" s="462"/>
      <c r="BT188" s="516"/>
      <c r="BU188" s="516"/>
      <c r="BV188" s="317"/>
      <c r="BW188" s="462"/>
      <c r="BX188" s="516"/>
      <c r="BY188" s="516"/>
      <c r="BZ188" s="317"/>
      <c r="CA188" s="462"/>
      <c r="CB188" s="516"/>
      <c r="CC188" s="516"/>
      <c r="CD188" s="317"/>
      <c r="CE188" s="462"/>
      <c r="CF188" s="518"/>
      <c r="CG188" s="516"/>
      <c r="CH188" s="317"/>
      <c r="CI188" s="462"/>
      <c r="CJ188" s="1350" t="s">
        <v>295</v>
      </c>
      <c r="CK188" s="1350"/>
      <c r="CL188" s="1350"/>
      <c r="CM188" s="1350"/>
      <c r="CN188" s="1350"/>
      <c r="CO188" s="1350"/>
      <c r="CP188" s="1350"/>
      <c r="CQ188" s="1350"/>
      <c r="CR188" s="516"/>
      <c r="CS188" s="516"/>
      <c r="CT188" s="317"/>
      <c r="CU188" s="317"/>
      <c r="CV188" s="516"/>
      <c r="CW188" s="516"/>
      <c r="CX188" s="317"/>
      <c r="CY188" s="504" t="s">
        <v>295</v>
      </c>
      <c r="CZ188" s="504"/>
      <c r="DA188" s="504"/>
      <c r="DB188" s="504"/>
      <c r="DC188" s="504"/>
      <c r="DD188" s="504"/>
      <c r="DE188" s="504"/>
      <c r="DF188" s="504"/>
      <c r="DG188" s="504"/>
      <c r="DH188" s="504"/>
      <c r="DI188" s="504"/>
      <c r="DJ188" s="504"/>
      <c r="DK188" s="504"/>
      <c r="DL188" s="504"/>
      <c r="DM188" s="504"/>
      <c r="DN188" s="516"/>
      <c r="DO188" s="310" t="s">
        <v>232</v>
      </c>
      <c r="DP188" s="317"/>
    </row>
    <row r="189" spans="1:120" x14ac:dyDescent="0.2">
      <c r="C189" s="413"/>
      <c r="D189" s="459"/>
      <c r="E189" s="459"/>
      <c r="F189" s="305"/>
      <c r="G189" s="413"/>
      <c r="H189" s="459"/>
      <c r="I189" s="459"/>
      <c r="K189" s="413"/>
      <c r="O189" s="413"/>
      <c r="R189" s="305"/>
      <c r="S189" s="413"/>
      <c r="W189" s="413"/>
      <c r="AA189" s="413"/>
      <c r="AE189" s="413"/>
      <c r="AI189" s="413"/>
      <c r="AM189" s="413"/>
      <c r="AQ189" s="413"/>
      <c r="AU189" s="413"/>
      <c r="AY189" s="413"/>
      <c r="BC189" s="413"/>
      <c r="BG189" s="413"/>
      <c r="BK189" s="413"/>
      <c r="BO189" s="413"/>
      <c r="BS189" s="413"/>
      <c r="BW189" s="413"/>
      <c r="CA189" s="413"/>
      <c r="CE189" s="413"/>
      <c r="CI189" s="413"/>
      <c r="CM189" s="515"/>
      <c r="CO189" s="305"/>
      <c r="CQ189" s="519"/>
      <c r="CS189" s="305"/>
      <c r="CU189" s="519"/>
      <c r="CW189" s="305"/>
      <c r="CY189" s="519"/>
      <c r="DA189" s="305"/>
      <c r="DC189" s="519"/>
      <c r="DE189" s="305"/>
      <c r="DG189" s="519"/>
      <c r="DI189" s="305"/>
      <c r="DJ189" s="305"/>
      <c r="DK189" s="519"/>
      <c r="DM189" s="305"/>
      <c r="DN189" s="305"/>
      <c r="DO189" s="303" t="s">
        <v>232</v>
      </c>
    </row>
    <row r="190" spans="1:120" x14ac:dyDescent="0.2">
      <c r="A190" s="520" t="s">
        <v>89</v>
      </c>
      <c r="B190" s="413"/>
      <c r="C190" s="500">
        <v>213.376</v>
      </c>
      <c r="D190" s="521"/>
      <c r="E190" s="521"/>
      <c r="F190" s="502"/>
      <c r="G190" s="500">
        <v>213.04</v>
      </c>
      <c r="H190" s="521"/>
      <c r="I190" s="521"/>
      <c r="J190" s="500"/>
      <c r="K190" s="500">
        <v>212.92</v>
      </c>
      <c r="L190" s="521"/>
      <c r="M190" s="521"/>
      <c r="N190" s="500"/>
      <c r="O190" s="500">
        <v>292.88799999999998</v>
      </c>
      <c r="P190" s="521"/>
      <c r="Q190" s="521"/>
      <c r="R190" s="502"/>
      <c r="S190" s="500">
        <v>293.94400000000002</v>
      </c>
      <c r="T190" s="521"/>
      <c r="U190" s="521"/>
      <c r="V190" s="500"/>
      <c r="W190" s="500">
        <v>294.65600000000001</v>
      </c>
      <c r="X190" s="521"/>
      <c r="Y190" s="521"/>
      <c r="Z190" s="500"/>
      <c r="AA190" s="500">
        <v>296</v>
      </c>
      <c r="AB190" s="521"/>
      <c r="AC190" s="521"/>
      <c r="AD190" s="500"/>
      <c r="AE190" s="500">
        <v>299.96800000000002</v>
      </c>
      <c r="AF190" s="521"/>
      <c r="AG190" s="521"/>
      <c r="AH190" s="500"/>
      <c r="AI190" s="500">
        <v>324.36200000000002</v>
      </c>
      <c r="AJ190" s="521"/>
      <c r="AK190" s="521"/>
      <c r="AL190" s="500"/>
      <c r="AM190" s="500">
        <v>330.75200000000001</v>
      </c>
      <c r="AN190" s="521"/>
      <c r="AO190" s="521"/>
      <c r="AP190" s="500"/>
      <c r="AQ190" s="500">
        <v>336.35300000000001</v>
      </c>
      <c r="AR190" s="521"/>
      <c r="AS190" s="521"/>
      <c r="AT190" s="500"/>
      <c r="AU190" s="500">
        <v>341.142</v>
      </c>
      <c r="AV190" s="521"/>
      <c r="AW190" s="521"/>
      <c r="AX190" s="500"/>
      <c r="AY190" s="500">
        <v>342.61500000000001</v>
      </c>
      <c r="AZ190" s="521"/>
      <c r="BA190" s="521"/>
      <c r="BB190" s="500"/>
      <c r="BC190" s="500">
        <v>342.84699999999998</v>
      </c>
      <c r="BD190" s="521"/>
      <c r="BE190" s="521"/>
      <c r="BF190" s="500"/>
      <c r="BG190" s="500">
        <v>343.858</v>
      </c>
      <c r="BH190" s="521"/>
      <c r="BI190" s="521"/>
      <c r="BJ190" s="500"/>
      <c r="BK190" s="500">
        <v>345.9</v>
      </c>
      <c r="BL190" s="521"/>
      <c r="BM190" s="521"/>
      <c r="BN190" s="500"/>
      <c r="BO190" s="500">
        <v>347.28500000000003</v>
      </c>
      <c r="BP190" s="521"/>
      <c r="BQ190" s="521"/>
      <c r="BR190" s="500"/>
      <c r="BS190" s="500">
        <v>325.10000000000002</v>
      </c>
      <c r="BT190" s="521"/>
      <c r="BU190" s="521"/>
      <c r="BV190" s="500"/>
      <c r="BW190" s="500">
        <v>309.39600000000002</v>
      </c>
      <c r="BX190" s="521"/>
      <c r="BY190" s="521"/>
      <c r="BZ190" s="500"/>
      <c r="CA190" s="500">
        <v>306</v>
      </c>
      <c r="CB190" s="521"/>
      <c r="CC190" s="521"/>
      <c r="CD190" s="500"/>
      <c r="CE190" s="1017">
        <v>309</v>
      </c>
      <c r="CF190" s="521"/>
      <c r="CG190" s="521"/>
      <c r="CH190" s="500"/>
      <c r="CI190" s="1017">
        <v>290</v>
      </c>
      <c r="CJ190" s="522"/>
      <c r="CK190" s="522"/>
      <c r="CL190" s="453"/>
      <c r="CM190" s="1017">
        <v>245</v>
      </c>
      <c r="CN190" s="522"/>
      <c r="CO190" s="453"/>
      <c r="CP190" s="453"/>
      <c r="CQ190" s="1017">
        <v>223</v>
      </c>
      <c r="CS190" s="305"/>
      <c r="CT190" s="453"/>
      <c r="CU190" s="1017">
        <v>208</v>
      </c>
      <c r="CW190" s="305"/>
      <c r="CX190" s="453"/>
      <c r="CY190" s="1017">
        <v>202</v>
      </c>
      <c r="DA190" s="305"/>
      <c r="DB190" s="453"/>
      <c r="DC190" s="1017">
        <v>184</v>
      </c>
      <c r="DE190" s="305"/>
      <c r="DF190" s="453"/>
      <c r="DG190" s="1017">
        <v>171</v>
      </c>
      <c r="DI190" s="305"/>
      <c r="DJ190" s="305"/>
      <c r="DK190" s="1035">
        <f>DG193+(DK198-DG201)/2</f>
        <v>166.16666666666669</v>
      </c>
      <c r="DM190" s="305"/>
      <c r="DN190" s="305"/>
      <c r="DO190" s="303" t="s">
        <v>232</v>
      </c>
    </row>
    <row r="191" spans="1:120" x14ac:dyDescent="0.2">
      <c r="A191" s="448" t="s">
        <v>90</v>
      </c>
      <c r="C191" s="500">
        <v>213.376</v>
      </c>
      <c r="D191" s="524"/>
      <c r="E191" s="524"/>
      <c r="F191" s="525"/>
      <c r="G191" s="500">
        <v>213.04</v>
      </c>
      <c r="H191" s="524"/>
      <c r="I191" s="524"/>
      <c r="J191" s="526"/>
      <c r="K191" s="500">
        <v>269.93599999999998</v>
      </c>
      <c r="L191" s="524"/>
      <c r="M191" s="524"/>
      <c r="N191" s="526"/>
      <c r="O191" s="500">
        <v>293.01600000000002</v>
      </c>
      <c r="P191" s="524"/>
      <c r="Q191" s="524"/>
      <c r="R191" s="525"/>
      <c r="S191" s="500">
        <v>294.024</v>
      </c>
      <c r="T191" s="524"/>
      <c r="U191" s="524"/>
      <c r="V191" s="526"/>
      <c r="W191" s="500">
        <v>294.75200000000001</v>
      </c>
      <c r="X191" s="524"/>
      <c r="Y191" s="524"/>
      <c r="Z191" s="526"/>
      <c r="AA191" s="500">
        <v>300</v>
      </c>
      <c r="AB191" s="524"/>
      <c r="AC191" s="524"/>
      <c r="AD191" s="526"/>
      <c r="AE191" s="500">
        <v>300.38</v>
      </c>
      <c r="AF191" s="524"/>
      <c r="AG191" s="524"/>
      <c r="AH191" s="526"/>
      <c r="AI191" s="500">
        <v>325.50400000000002</v>
      </c>
      <c r="AJ191" s="524"/>
      <c r="AK191" s="524"/>
      <c r="AL191" s="526"/>
      <c r="AM191" s="500">
        <v>335.096</v>
      </c>
      <c r="AN191" s="524"/>
      <c r="AO191" s="524"/>
      <c r="AP191" s="526"/>
      <c r="AQ191" s="500">
        <v>338.97300000000001</v>
      </c>
      <c r="AR191" s="524"/>
      <c r="AS191" s="524"/>
      <c r="AT191" s="526"/>
      <c r="AU191" s="500">
        <v>342.11799999999999</v>
      </c>
      <c r="AV191" s="524"/>
      <c r="AW191" s="524"/>
      <c r="AX191" s="526"/>
      <c r="AY191" s="500">
        <v>343.21499999999997</v>
      </c>
      <c r="AZ191" s="524"/>
      <c r="BA191" s="524"/>
      <c r="BB191" s="526"/>
      <c r="BC191" s="500">
        <v>343.7</v>
      </c>
      <c r="BD191" s="524"/>
      <c r="BE191" s="524"/>
      <c r="BF191" s="526"/>
      <c r="BG191" s="500">
        <v>344.19499999999999</v>
      </c>
      <c r="BH191" s="524"/>
      <c r="BI191" s="524"/>
      <c r="BJ191" s="526"/>
      <c r="BK191" s="500">
        <v>346.77199999999999</v>
      </c>
      <c r="BL191" s="524"/>
      <c r="BM191" s="524"/>
      <c r="BN191" s="526"/>
      <c r="BO191" s="500">
        <v>335.7</v>
      </c>
      <c r="BP191" s="524"/>
      <c r="BQ191" s="524"/>
      <c r="BR191" s="526"/>
      <c r="BS191" s="500">
        <v>323.21300000000002</v>
      </c>
      <c r="BT191" s="524"/>
      <c r="BU191" s="524"/>
      <c r="BV191" s="526"/>
      <c r="BW191" s="500">
        <v>306.70800000000003</v>
      </c>
      <c r="BX191" s="524"/>
      <c r="BY191" s="524"/>
      <c r="BZ191" s="526"/>
      <c r="CA191" s="500">
        <v>306</v>
      </c>
      <c r="CB191" s="524"/>
      <c r="CC191" s="524"/>
      <c r="CD191" s="526"/>
      <c r="CE191" s="1017">
        <v>308</v>
      </c>
      <c r="CF191" s="524"/>
      <c r="CG191" s="524"/>
      <c r="CH191" s="526"/>
      <c r="CI191" s="1017">
        <v>278</v>
      </c>
      <c r="CJ191" s="485"/>
      <c r="CK191" s="485"/>
      <c r="CL191" s="420"/>
      <c r="CM191" s="1017">
        <v>239</v>
      </c>
      <c r="CN191" s="485"/>
      <c r="CO191" s="499"/>
      <c r="CP191" s="420"/>
      <c r="CQ191" s="1017">
        <v>222</v>
      </c>
      <c r="CS191" s="305"/>
      <c r="CT191" s="420"/>
      <c r="CU191" s="1017">
        <v>205</v>
      </c>
      <c r="CW191" s="305"/>
      <c r="CX191" s="420"/>
      <c r="CY191" s="1017">
        <v>197</v>
      </c>
      <c r="DA191" s="305"/>
      <c r="DB191" s="420"/>
      <c r="DC191" s="1017">
        <v>181</v>
      </c>
      <c r="DE191" s="305"/>
      <c r="DF191" s="420"/>
      <c r="DG191" s="1017">
        <v>168</v>
      </c>
      <c r="DI191" s="305"/>
      <c r="DJ191" s="305"/>
      <c r="DK191" s="1035">
        <f>DK190+(DK199-DK198)/2</f>
        <v>165.33333333333337</v>
      </c>
      <c r="DM191" s="305"/>
      <c r="DN191" s="305"/>
      <c r="DO191" s="303" t="s">
        <v>232</v>
      </c>
    </row>
    <row r="192" spans="1:120" x14ac:dyDescent="0.2">
      <c r="A192" s="448" t="s">
        <v>91</v>
      </c>
      <c r="C192" s="500">
        <v>213.376</v>
      </c>
      <c r="D192" s="524"/>
      <c r="E192" s="524"/>
      <c r="F192" s="525"/>
      <c r="G192" s="500">
        <v>213.04</v>
      </c>
      <c r="H192" s="524"/>
      <c r="I192" s="524"/>
      <c r="J192" s="526"/>
      <c r="K192" s="500">
        <v>280.86399999999998</v>
      </c>
      <c r="L192" s="524"/>
      <c r="M192" s="524"/>
      <c r="N192" s="526"/>
      <c r="O192" s="500">
        <v>293.08800000000002</v>
      </c>
      <c r="P192" s="524"/>
      <c r="Q192" s="524"/>
      <c r="R192" s="525"/>
      <c r="S192" s="500">
        <v>294.35200000000003</v>
      </c>
      <c r="T192" s="524"/>
      <c r="U192" s="524"/>
      <c r="V192" s="526"/>
      <c r="W192" s="500">
        <v>294.92</v>
      </c>
      <c r="X192" s="524"/>
      <c r="Y192" s="524"/>
      <c r="Z192" s="526"/>
      <c r="AA192" s="500">
        <v>300</v>
      </c>
      <c r="AB192" s="524"/>
      <c r="AC192" s="524"/>
      <c r="AD192" s="526"/>
      <c r="AE192" s="500">
        <v>316.08800000000002</v>
      </c>
      <c r="AF192" s="524"/>
      <c r="AG192" s="524"/>
      <c r="AH192" s="526"/>
      <c r="AI192" s="500">
        <v>325.44600000000003</v>
      </c>
      <c r="AJ192" s="524"/>
      <c r="AK192" s="524"/>
      <c r="AL192" s="526"/>
      <c r="AM192" s="500">
        <v>335.35</v>
      </c>
      <c r="AN192" s="524"/>
      <c r="AO192" s="524"/>
      <c r="AP192" s="526"/>
      <c r="AQ192" s="500">
        <v>339.69299999999998</v>
      </c>
      <c r="AR192" s="524"/>
      <c r="AS192" s="524"/>
      <c r="AT192" s="526"/>
      <c r="AU192" s="500">
        <v>342.29199999999997</v>
      </c>
      <c r="AV192" s="524"/>
      <c r="AW192" s="524"/>
      <c r="AX192" s="526"/>
      <c r="AY192" s="500">
        <v>346.76600000000002</v>
      </c>
      <c r="AZ192" s="524"/>
      <c r="BA192" s="524"/>
      <c r="BB192" s="526"/>
      <c r="BC192" s="500">
        <v>344.447</v>
      </c>
      <c r="BD192" s="524"/>
      <c r="BE192" s="524"/>
      <c r="BF192" s="526"/>
      <c r="BG192" s="500">
        <v>344.89600000000002</v>
      </c>
      <c r="BH192" s="524"/>
      <c r="BI192" s="524"/>
      <c r="BJ192" s="526"/>
      <c r="BK192" s="500">
        <v>346.8</v>
      </c>
      <c r="BL192" s="524"/>
      <c r="BM192" s="524"/>
      <c r="BN192" s="526"/>
      <c r="BO192" s="500">
        <v>329.8</v>
      </c>
      <c r="BP192" s="524"/>
      <c r="BQ192" s="524"/>
      <c r="BR192" s="526"/>
      <c r="BS192" s="500">
        <v>318.60000000000002</v>
      </c>
      <c r="BT192" s="524"/>
      <c r="BU192" s="524"/>
      <c r="BV192" s="526"/>
      <c r="BW192" s="500">
        <v>305.38600000000002</v>
      </c>
      <c r="BX192" s="524"/>
      <c r="BY192" s="524"/>
      <c r="BZ192" s="526"/>
      <c r="CA192" s="500">
        <v>308</v>
      </c>
      <c r="CB192" s="524"/>
      <c r="CC192" s="524"/>
      <c r="CD192" s="526"/>
      <c r="CE192" s="1017">
        <v>308</v>
      </c>
      <c r="CF192" s="524"/>
      <c r="CG192" s="524"/>
      <c r="CH192" s="526"/>
      <c r="CI192" s="1017">
        <v>265</v>
      </c>
      <c r="CJ192" s="485"/>
      <c r="CK192" s="485"/>
      <c r="CL192" s="420"/>
      <c r="CM192" s="1017">
        <v>235</v>
      </c>
      <c r="CN192" s="485"/>
      <c r="CO192" s="499"/>
      <c r="CP192" s="420"/>
      <c r="CQ192" s="1017">
        <v>218</v>
      </c>
      <c r="CS192" s="305"/>
      <c r="CT192" s="420"/>
      <c r="CU192" s="1017">
        <v>202</v>
      </c>
      <c r="CW192" s="305"/>
      <c r="CX192" s="420"/>
      <c r="CY192" s="1017">
        <v>192</v>
      </c>
      <c r="DA192" s="305"/>
      <c r="DB192" s="420"/>
      <c r="DC192" s="1017">
        <v>177</v>
      </c>
      <c r="DE192" s="305"/>
      <c r="DF192" s="420"/>
      <c r="DG192" s="1017">
        <v>166</v>
      </c>
      <c r="DI192" s="305"/>
      <c r="DJ192" s="305"/>
      <c r="DK192" s="1035">
        <f>DK191+(DK200-DK199)/2</f>
        <v>165.00000000000006</v>
      </c>
      <c r="DM192" s="305"/>
      <c r="DN192" s="305"/>
      <c r="DO192" s="303" t="s">
        <v>232</v>
      </c>
    </row>
    <row r="193" spans="1:120" x14ac:dyDescent="0.2">
      <c r="A193" s="448" t="s">
        <v>92</v>
      </c>
      <c r="C193" s="501">
        <v>213.376</v>
      </c>
      <c r="D193" s="524"/>
      <c r="E193" s="524"/>
      <c r="F193" s="525"/>
      <c r="G193" s="501">
        <v>213.04</v>
      </c>
      <c r="H193" s="524"/>
      <c r="I193" s="524"/>
      <c r="J193" s="526"/>
      <c r="K193" s="501">
        <v>281.32799999999997</v>
      </c>
      <c r="L193" s="524"/>
      <c r="M193" s="524"/>
      <c r="N193" s="526"/>
      <c r="O193" s="501">
        <v>293.2</v>
      </c>
      <c r="P193" s="524"/>
      <c r="Q193" s="524"/>
      <c r="R193" s="525"/>
      <c r="S193" s="501">
        <v>294.63200000000001</v>
      </c>
      <c r="T193" s="524"/>
      <c r="U193" s="524"/>
      <c r="V193" s="526"/>
      <c r="W193" s="501">
        <v>295.39999999999998</v>
      </c>
      <c r="X193" s="524"/>
      <c r="Y193" s="524"/>
      <c r="Z193" s="526"/>
      <c r="AA193" s="501">
        <v>302</v>
      </c>
      <c r="AB193" s="524"/>
      <c r="AC193" s="524"/>
      <c r="AD193" s="526"/>
      <c r="AE193" s="501">
        <v>323.33199999999999</v>
      </c>
      <c r="AF193" s="524"/>
      <c r="AG193" s="524"/>
      <c r="AH193" s="526"/>
      <c r="AI193" s="501">
        <v>326.35599999999999</v>
      </c>
      <c r="AJ193" s="524"/>
      <c r="AK193" s="524"/>
      <c r="AL193" s="526"/>
      <c r="AM193" s="501">
        <v>335.12400000000002</v>
      </c>
      <c r="AN193" s="524"/>
      <c r="AO193" s="524"/>
      <c r="AP193" s="526"/>
      <c r="AQ193" s="501">
        <v>340.29300000000001</v>
      </c>
      <c r="AR193" s="524"/>
      <c r="AS193" s="524"/>
      <c r="AT193" s="526"/>
      <c r="AU193" s="501">
        <v>346.12099999999998</v>
      </c>
      <c r="AV193" s="524"/>
      <c r="AW193" s="524"/>
      <c r="AX193" s="526"/>
      <c r="AY193" s="501">
        <v>346.65699999999998</v>
      </c>
      <c r="AZ193" s="524"/>
      <c r="BA193" s="524"/>
      <c r="BB193" s="526"/>
      <c r="BC193" s="501">
        <v>343.99799999999999</v>
      </c>
      <c r="BD193" s="524"/>
      <c r="BE193" s="524"/>
      <c r="BF193" s="526"/>
      <c r="BG193" s="501">
        <v>345.678</v>
      </c>
      <c r="BH193" s="524"/>
      <c r="BI193" s="524"/>
      <c r="BJ193" s="526"/>
      <c r="BK193" s="501">
        <v>346.6</v>
      </c>
      <c r="BL193" s="524"/>
      <c r="BM193" s="524"/>
      <c r="BN193" s="526"/>
      <c r="BO193" s="501">
        <v>327.8</v>
      </c>
      <c r="BP193" s="524"/>
      <c r="BQ193" s="524"/>
      <c r="BR193" s="526"/>
      <c r="BS193" s="501">
        <v>313.8</v>
      </c>
      <c r="BT193" s="524"/>
      <c r="BU193" s="524"/>
      <c r="BV193" s="526"/>
      <c r="BW193" s="501">
        <v>305</v>
      </c>
      <c r="BX193" s="524"/>
      <c r="BY193" s="524"/>
      <c r="BZ193" s="526"/>
      <c r="CA193" s="501">
        <v>308</v>
      </c>
      <c r="CB193" s="524"/>
      <c r="CC193" s="524"/>
      <c r="CD193" s="526"/>
      <c r="CE193" s="1018">
        <v>297</v>
      </c>
      <c r="CF193" s="524"/>
      <c r="CG193" s="524"/>
      <c r="CH193" s="526"/>
      <c r="CI193" s="1018">
        <v>252</v>
      </c>
      <c r="CJ193" s="485"/>
      <c r="CK193" s="485"/>
      <c r="CL193" s="420"/>
      <c r="CM193" s="1018">
        <v>227.1</v>
      </c>
      <c r="CN193" s="485"/>
      <c r="CO193" s="499"/>
      <c r="CP193" s="420"/>
      <c r="CQ193" s="1018">
        <v>214.5</v>
      </c>
      <c r="CS193" s="305"/>
      <c r="CT193" s="420"/>
      <c r="CU193" s="1018">
        <v>201.1</v>
      </c>
      <c r="CW193" s="305"/>
      <c r="CX193" s="420"/>
      <c r="CY193" s="1018">
        <v>187</v>
      </c>
      <c r="DA193" s="305"/>
      <c r="DB193" s="420"/>
      <c r="DC193" s="1018">
        <v>175</v>
      </c>
      <c r="DE193" s="305"/>
      <c r="DF193" s="420"/>
      <c r="DG193" s="1018">
        <v>167</v>
      </c>
      <c r="DI193" s="305"/>
      <c r="DJ193" s="305"/>
      <c r="DK193" s="1036">
        <f>DK192+(DK201-DK200)/2</f>
        <v>165.08333333333337</v>
      </c>
      <c r="DM193" s="305"/>
      <c r="DN193" s="305"/>
      <c r="DO193" s="303" t="s">
        <v>232</v>
      </c>
    </row>
    <row r="194" spans="1:120" x14ac:dyDescent="0.2">
      <c r="A194" s="448" t="s">
        <v>93</v>
      </c>
      <c r="C194" s="527">
        <v>213.376</v>
      </c>
      <c r="D194" s="528"/>
      <c r="E194" s="529"/>
      <c r="F194" s="530"/>
      <c r="G194" s="527">
        <v>213.04</v>
      </c>
      <c r="H194" s="528"/>
      <c r="I194" s="529"/>
      <c r="J194" s="531"/>
      <c r="K194" s="527">
        <v>261.261888</v>
      </c>
      <c r="L194" s="532"/>
      <c r="M194" s="533"/>
      <c r="N194" s="531"/>
      <c r="O194" s="527">
        <v>293.048</v>
      </c>
      <c r="P194" s="532"/>
      <c r="Q194" s="533"/>
      <c r="R194" s="530"/>
      <c r="S194" s="527">
        <v>294.238</v>
      </c>
      <c r="T194" s="532"/>
      <c r="U194" s="533"/>
      <c r="V194" s="531"/>
      <c r="W194" s="527">
        <v>294.33199999999999</v>
      </c>
      <c r="X194" s="532"/>
      <c r="Y194" s="533"/>
      <c r="Z194" s="531"/>
      <c r="AA194" s="527">
        <v>299.5</v>
      </c>
      <c r="AB194" s="532"/>
      <c r="AC194" s="533"/>
      <c r="AD194" s="531"/>
      <c r="AE194" s="527">
        <v>312.15600000000001</v>
      </c>
      <c r="AF194" s="532"/>
      <c r="AG194" s="533"/>
      <c r="AH194" s="531"/>
      <c r="AI194" s="527">
        <v>325.26600000000002</v>
      </c>
      <c r="AJ194" s="532"/>
      <c r="AK194" s="533"/>
      <c r="AL194" s="531"/>
      <c r="AM194" s="527">
        <v>333.85599999999999</v>
      </c>
      <c r="AN194" s="532"/>
      <c r="AO194" s="533"/>
      <c r="AP194" s="531"/>
      <c r="AQ194" s="527">
        <v>338.82799999999997</v>
      </c>
      <c r="AR194" s="532"/>
      <c r="AS194" s="533"/>
      <c r="AT194" s="531"/>
      <c r="AU194" s="527">
        <v>342.91824999999994</v>
      </c>
      <c r="AV194" s="532"/>
      <c r="AW194" s="533"/>
      <c r="AX194" s="531"/>
      <c r="AY194" s="527">
        <v>344.81324999999998</v>
      </c>
      <c r="AZ194" s="532"/>
      <c r="BA194" s="533"/>
      <c r="BB194" s="531"/>
      <c r="BC194" s="527">
        <v>343.74800000000005</v>
      </c>
      <c r="BD194" s="532"/>
      <c r="BE194" s="533"/>
      <c r="BF194" s="531"/>
      <c r="BG194" s="527">
        <v>344.65674999999999</v>
      </c>
      <c r="BH194" s="532"/>
      <c r="BI194" s="534"/>
      <c r="BJ194" s="531"/>
      <c r="BK194" s="527">
        <v>346.51800000000003</v>
      </c>
      <c r="BL194" s="532"/>
      <c r="BM194" s="534"/>
      <c r="BN194" s="531"/>
      <c r="BO194" s="527">
        <v>334.77100000000002</v>
      </c>
      <c r="BP194" s="532"/>
      <c r="BQ194" s="533"/>
      <c r="BR194" s="531"/>
      <c r="BS194" s="527">
        <v>320.17825000000005</v>
      </c>
      <c r="BT194" s="532"/>
      <c r="BU194" s="533"/>
      <c r="BV194" s="531"/>
      <c r="BW194" s="527">
        <v>306.6225</v>
      </c>
      <c r="BX194" s="532"/>
      <c r="BY194" s="533"/>
      <c r="BZ194" s="531"/>
      <c r="CA194" s="527">
        <v>306</v>
      </c>
      <c r="CB194" s="532"/>
      <c r="CC194" s="533"/>
      <c r="CD194" s="531"/>
      <c r="CE194" s="1019">
        <v>306</v>
      </c>
      <c r="CF194" s="532"/>
      <c r="CG194" s="533"/>
      <c r="CH194" s="531"/>
      <c r="CI194" s="1019">
        <v>271</v>
      </c>
      <c r="CJ194" s="535"/>
      <c r="CK194" s="499"/>
      <c r="CM194" s="1019">
        <v>236.9</v>
      </c>
      <c r="CN194" s="535"/>
      <c r="CO194" s="499"/>
      <c r="CQ194" s="1019">
        <v>219.5</v>
      </c>
      <c r="CS194" s="305"/>
      <c r="CU194" s="1019">
        <v>204.4</v>
      </c>
      <c r="CV194" s="413"/>
      <c r="CW194" s="305"/>
      <c r="CY194" s="1019">
        <v>195</v>
      </c>
      <c r="DA194" s="305"/>
      <c r="DC194" s="1019">
        <v>179</v>
      </c>
      <c r="DE194" s="305"/>
      <c r="DG194" s="1019">
        <v>168</v>
      </c>
      <c r="DI194" s="305"/>
      <c r="DJ194" s="305"/>
      <c r="DK194" s="1034">
        <f>AVERAGE(DK190:DK193)</f>
        <v>165.39583333333337</v>
      </c>
      <c r="DM194" s="305"/>
      <c r="DN194" s="305"/>
      <c r="DO194" s="303" t="s">
        <v>232</v>
      </c>
    </row>
    <row r="195" spans="1:120" x14ac:dyDescent="0.2">
      <c r="C195" s="472"/>
      <c r="F195" s="530"/>
      <c r="G195" s="472"/>
      <c r="J195" s="531"/>
      <c r="K195" s="472"/>
      <c r="L195" s="531"/>
      <c r="M195" s="531"/>
      <c r="N195" s="531"/>
      <c r="O195" s="472"/>
      <c r="P195" s="531"/>
      <c r="Q195" s="531"/>
      <c r="R195" s="530"/>
      <c r="S195" s="472"/>
      <c r="T195" s="531"/>
      <c r="U195" s="531"/>
      <c r="V195" s="531"/>
      <c r="W195" s="472"/>
      <c r="X195" s="531"/>
      <c r="Y195" s="531"/>
      <c r="Z195" s="531"/>
      <c r="AA195" s="472"/>
      <c r="AB195" s="531"/>
      <c r="AC195" s="531"/>
      <c r="AD195" s="531"/>
      <c r="AE195" s="472"/>
      <c r="AF195" s="531"/>
      <c r="AG195" s="531"/>
      <c r="AH195" s="531"/>
      <c r="AI195" s="472"/>
      <c r="AJ195" s="531"/>
      <c r="AK195" s="531"/>
      <c r="AL195" s="531"/>
      <c r="AM195" s="472"/>
      <c r="AN195" s="531"/>
      <c r="AO195" s="531"/>
      <c r="AP195" s="531"/>
      <c r="AQ195" s="472"/>
      <c r="AR195" s="531"/>
      <c r="AS195" s="531"/>
      <c r="AT195" s="531"/>
      <c r="AU195" s="472"/>
      <c r="AV195" s="531"/>
      <c r="AW195" s="531"/>
      <c r="AX195" s="531"/>
      <c r="AY195" s="472"/>
      <c r="AZ195" s="531"/>
      <c r="BA195" s="531"/>
      <c r="BB195" s="531"/>
      <c r="BC195" s="472"/>
      <c r="BD195" s="531"/>
      <c r="BE195" s="531"/>
      <c r="BF195" s="531"/>
      <c r="BG195" s="472"/>
      <c r="BH195" s="531"/>
      <c r="BI195" s="531"/>
      <c r="BJ195" s="531"/>
      <c r="BK195" s="472"/>
      <c r="BL195" s="531"/>
      <c r="BM195" s="531"/>
      <c r="BN195" s="531"/>
      <c r="BO195" s="472"/>
      <c r="BP195" s="531"/>
      <c r="BQ195" s="531"/>
      <c r="BR195" s="531"/>
      <c r="BS195" s="472"/>
      <c r="BT195" s="531"/>
      <c r="BU195" s="531"/>
      <c r="BV195" s="531"/>
      <c r="BW195" s="472"/>
      <c r="BX195" s="531"/>
      <c r="BY195" s="531"/>
      <c r="BZ195" s="531"/>
      <c r="CA195" s="472"/>
      <c r="CB195" s="531"/>
      <c r="CC195" s="531"/>
      <c r="CD195" s="531"/>
      <c r="CE195" s="472"/>
      <c r="CF195" s="531"/>
      <c r="CG195" s="531"/>
      <c r="CH195" s="531"/>
      <c r="CI195" s="472"/>
      <c r="CJ195" s="1352" t="s">
        <v>296</v>
      </c>
      <c r="CK195" s="1352"/>
      <c r="CL195" s="1352"/>
      <c r="CM195" s="1352"/>
      <c r="CN195" s="1352"/>
      <c r="CO195" s="1352"/>
      <c r="CP195" s="1352"/>
      <c r="CQ195" s="1352"/>
      <c r="CS195" s="305"/>
      <c r="CW195" s="305"/>
      <c r="CY195" s="447" t="s">
        <v>296</v>
      </c>
      <c r="CZ195" s="447"/>
      <c r="DA195" s="447"/>
      <c r="DB195" s="447"/>
      <c r="DC195" s="447"/>
      <c r="DD195" s="447"/>
      <c r="DE195" s="447"/>
      <c r="DF195" s="447"/>
      <c r="DG195" s="447"/>
      <c r="DH195" s="447"/>
      <c r="DI195" s="447"/>
      <c r="DJ195" s="447"/>
      <c r="DK195" s="447"/>
      <c r="DL195" s="447"/>
      <c r="DM195" s="447"/>
      <c r="DN195" s="447"/>
      <c r="DO195" s="303" t="s">
        <v>232</v>
      </c>
    </row>
    <row r="196" spans="1:120" outlineLevel="1" x14ac:dyDescent="0.2">
      <c r="B196" s="318"/>
      <c r="C196" s="463"/>
      <c r="D196" s="464"/>
      <c r="E196" s="464"/>
      <c r="F196" s="465"/>
      <c r="G196" s="463"/>
      <c r="H196" s="464"/>
      <c r="I196" s="464"/>
      <c r="J196" s="318"/>
      <c r="K196" s="463"/>
      <c r="L196" s="464"/>
      <c r="M196" s="464"/>
      <c r="N196" s="318"/>
      <c r="O196" s="463"/>
      <c r="P196" s="464"/>
      <c r="Q196" s="464"/>
      <c r="R196" s="465"/>
      <c r="S196" s="463"/>
      <c r="T196" s="464"/>
      <c r="U196" s="464"/>
      <c r="V196" s="318"/>
      <c r="W196" s="463"/>
      <c r="X196" s="464"/>
      <c r="Y196" s="464"/>
      <c r="Z196" s="318"/>
      <c r="AA196" s="463"/>
      <c r="AB196" s="464"/>
      <c r="AC196" s="464"/>
      <c r="AD196" s="318"/>
      <c r="AE196" s="463"/>
      <c r="AF196" s="464"/>
      <c r="AG196" s="464"/>
      <c r="AH196" s="318"/>
      <c r="AI196" s="463"/>
      <c r="AJ196" s="464"/>
      <c r="AK196" s="464"/>
      <c r="AL196" s="318"/>
      <c r="AM196" s="463"/>
      <c r="AN196" s="464"/>
      <c r="AO196" s="464"/>
      <c r="AP196" s="318"/>
      <c r="AQ196" s="463"/>
      <c r="AR196" s="464"/>
      <c r="AS196" s="464"/>
      <c r="AT196" s="318"/>
      <c r="AU196" s="463"/>
      <c r="AV196" s="464"/>
      <c r="AW196" s="464"/>
      <c r="AX196" s="318"/>
      <c r="AY196" s="463"/>
      <c r="AZ196" s="464"/>
      <c r="BA196" s="464"/>
      <c r="BB196" s="318"/>
      <c r="BC196" s="463"/>
      <c r="BD196" s="464"/>
      <c r="BE196" s="464"/>
      <c r="BF196" s="318"/>
      <c r="BG196" s="463"/>
      <c r="BH196" s="464"/>
      <c r="BI196" s="464"/>
      <c r="BJ196" s="318"/>
      <c r="BK196" s="463"/>
      <c r="BL196" s="464"/>
      <c r="BM196" s="464"/>
      <c r="BN196" s="318"/>
      <c r="BO196" s="463"/>
      <c r="BP196" s="464"/>
      <c r="BQ196" s="464"/>
      <c r="BR196" s="318"/>
      <c r="BS196" s="463"/>
      <c r="BT196" s="464"/>
      <c r="BU196" s="464"/>
      <c r="BV196" s="318"/>
      <c r="BW196" s="463"/>
      <c r="BX196" s="464"/>
      <c r="BY196" s="464"/>
      <c r="BZ196" s="318"/>
      <c r="CA196" s="463"/>
      <c r="CB196" s="464"/>
      <c r="CC196" s="464"/>
      <c r="CD196" s="318"/>
      <c r="CE196" s="463"/>
      <c r="CG196" s="464"/>
      <c r="CH196" s="318"/>
      <c r="CI196" s="463"/>
      <c r="CR196" s="464" t="s">
        <v>345</v>
      </c>
      <c r="CS196" s="537" t="s">
        <v>347</v>
      </c>
      <c r="CT196" s="318"/>
      <c r="CU196" s="318"/>
      <c r="CV196" s="464" t="s">
        <v>345</v>
      </c>
      <c r="CW196" s="537" t="s">
        <v>347</v>
      </c>
      <c r="CX196" s="318"/>
      <c r="CY196" s="318"/>
      <c r="CZ196" s="464" t="s">
        <v>345</v>
      </c>
      <c r="DA196" s="537" t="s">
        <v>347</v>
      </c>
      <c r="DB196" s="318"/>
      <c r="DC196" s="318"/>
      <c r="DD196" s="464" t="s">
        <v>345</v>
      </c>
      <c r="DE196" s="537" t="s">
        <v>347</v>
      </c>
      <c r="DF196" s="318"/>
      <c r="DG196" s="318"/>
      <c r="DH196" s="464" t="s">
        <v>345</v>
      </c>
      <c r="DI196" s="537" t="s">
        <v>347</v>
      </c>
      <c r="DJ196" s="537"/>
      <c r="DK196" s="318"/>
      <c r="DL196" s="464" t="s">
        <v>345</v>
      </c>
      <c r="DM196" s="537" t="s">
        <v>347</v>
      </c>
      <c r="DN196" s="537"/>
      <c r="DO196" s="303" t="s">
        <v>232</v>
      </c>
      <c r="DP196" s="318"/>
    </row>
    <row r="197" spans="1:120" ht="13.5" outlineLevel="1" thickBot="1" x14ac:dyDescent="0.25">
      <c r="C197" s="472"/>
      <c r="F197" s="530"/>
      <c r="G197" s="472"/>
      <c r="J197" s="531"/>
      <c r="K197" s="472"/>
      <c r="L197" s="531"/>
      <c r="M197" s="531"/>
      <c r="N197" s="531"/>
      <c r="O197" s="472"/>
      <c r="P197" s="531"/>
      <c r="Q197" s="531"/>
      <c r="R197" s="530"/>
      <c r="S197" s="472"/>
      <c r="T197" s="531"/>
      <c r="U197" s="531"/>
      <c r="V197" s="531"/>
      <c r="W197" s="472"/>
      <c r="X197" s="531"/>
      <c r="Y197" s="531"/>
      <c r="Z197" s="531"/>
      <c r="AA197" s="472"/>
      <c r="AB197" s="531"/>
      <c r="AC197" s="531"/>
      <c r="AD197" s="531"/>
      <c r="AE197" s="472"/>
      <c r="AF197" s="531"/>
      <c r="AG197" s="531"/>
      <c r="AH197" s="531"/>
      <c r="AI197" s="472"/>
      <c r="AJ197" s="531"/>
      <c r="AK197" s="531"/>
      <c r="AL197" s="531"/>
      <c r="AM197" s="472"/>
      <c r="AN197" s="531"/>
      <c r="AO197" s="531"/>
      <c r="AP197" s="531"/>
      <c r="AQ197" s="472"/>
      <c r="AR197" s="531"/>
      <c r="AS197" s="531"/>
      <c r="AT197" s="531"/>
      <c r="AU197" s="472"/>
      <c r="AV197" s="531"/>
      <c r="AW197" s="531"/>
      <c r="AX197" s="531"/>
      <c r="AY197" s="472"/>
      <c r="AZ197" s="531"/>
      <c r="BA197" s="531"/>
      <c r="BB197" s="531"/>
      <c r="BC197" s="472"/>
      <c r="BD197" s="531"/>
      <c r="BE197" s="531"/>
      <c r="BF197" s="531"/>
      <c r="BG197" s="472"/>
      <c r="BH197" s="531"/>
      <c r="BI197" s="531"/>
      <c r="BJ197" s="531"/>
      <c r="BK197" s="472"/>
      <c r="BL197" s="531"/>
      <c r="BM197" s="531"/>
      <c r="BN197" s="531"/>
      <c r="BO197" s="472"/>
      <c r="BP197" s="531"/>
      <c r="BQ197" s="531"/>
      <c r="BR197" s="531"/>
      <c r="BS197" s="472"/>
      <c r="BT197" s="531"/>
      <c r="BU197" s="531"/>
      <c r="BV197" s="531"/>
      <c r="BW197" s="472"/>
      <c r="BX197" s="531"/>
      <c r="BY197" s="531"/>
      <c r="BZ197" s="531"/>
      <c r="CA197" s="472"/>
      <c r="CB197" s="531"/>
      <c r="CC197" s="531"/>
      <c r="CD197" s="531"/>
      <c r="CE197" s="472"/>
      <c r="CF197" s="531"/>
      <c r="CG197" s="531"/>
      <c r="CH197" s="531"/>
      <c r="CI197" s="472"/>
      <c r="CR197" s="538" t="s">
        <v>346</v>
      </c>
      <c r="CS197" s="538" t="s">
        <v>348</v>
      </c>
      <c r="CV197" s="538" t="s">
        <v>346</v>
      </c>
      <c r="CW197" s="538" t="s">
        <v>348</v>
      </c>
      <c r="CZ197" s="539" t="s">
        <v>346</v>
      </c>
      <c r="DA197" s="538" t="s">
        <v>348</v>
      </c>
      <c r="DD197" s="539" t="s">
        <v>346</v>
      </c>
      <c r="DE197" s="538" t="s">
        <v>348</v>
      </c>
      <c r="DH197" s="539" t="s">
        <v>346</v>
      </c>
      <c r="DI197" s="538" t="s">
        <v>348</v>
      </c>
      <c r="DJ197" s="538"/>
      <c r="DL197" s="539" t="s">
        <v>346</v>
      </c>
      <c r="DM197" s="538" t="s">
        <v>348</v>
      </c>
      <c r="DN197" s="538"/>
      <c r="DO197" s="303" t="s">
        <v>232</v>
      </c>
    </row>
    <row r="198" spans="1:120" outlineLevel="1" x14ac:dyDescent="0.2">
      <c r="A198" s="520" t="s">
        <v>89</v>
      </c>
      <c r="B198" s="413"/>
      <c r="C198" s="500">
        <v>0</v>
      </c>
      <c r="D198" s="521"/>
      <c r="E198" s="521"/>
      <c r="F198" s="502"/>
      <c r="G198" s="500">
        <v>0</v>
      </c>
      <c r="H198" s="521"/>
      <c r="I198" s="521"/>
      <c r="J198" s="500"/>
      <c r="K198" s="500">
        <v>0</v>
      </c>
      <c r="L198" s="521"/>
      <c r="M198" s="521"/>
      <c r="N198" s="500"/>
      <c r="O198" s="500">
        <v>0</v>
      </c>
      <c r="P198" s="521"/>
      <c r="Q198" s="521"/>
      <c r="R198" s="502"/>
      <c r="S198" s="500">
        <v>0</v>
      </c>
      <c r="T198" s="521"/>
      <c r="U198" s="521"/>
      <c r="V198" s="500"/>
      <c r="W198" s="500">
        <v>0</v>
      </c>
      <c r="X198" s="521"/>
      <c r="Y198" s="521"/>
      <c r="Z198" s="500"/>
      <c r="AA198" s="500">
        <v>0</v>
      </c>
      <c r="AB198" s="521"/>
      <c r="AC198" s="521"/>
      <c r="AD198" s="500"/>
      <c r="AE198" s="500">
        <v>0</v>
      </c>
      <c r="AF198" s="521"/>
      <c r="AG198" s="521"/>
      <c r="AH198" s="500"/>
      <c r="AI198" s="500">
        <v>0</v>
      </c>
      <c r="AJ198" s="521"/>
      <c r="AK198" s="521"/>
      <c r="AL198" s="500"/>
      <c r="AM198" s="500">
        <v>0</v>
      </c>
      <c r="AN198" s="521"/>
      <c r="AO198" s="521"/>
      <c r="AP198" s="500"/>
      <c r="AQ198" s="500">
        <v>0</v>
      </c>
      <c r="AR198" s="521"/>
      <c r="AS198" s="521"/>
      <c r="AT198" s="500"/>
      <c r="AU198" s="500">
        <v>334.39</v>
      </c>
      <c r="AV198" s="521"/>
      <c r="AW198" s="521"/>
      <c r="AX198" s="500"/>
      <c r="AY198" s="500">
        <v>336.66</v>
      </c>
      <c r="AZ198" s="521"/>
      <c r="BA198" s="521"/>
      <c r="BB198" s="500"/>
      <c r="BC198" s="500">
        <v>338.83</v>
      </c>
      <c r="BD198" s="521"/>
      <c r="BE198" s="521"/>
      <c r="BF198" s="500"/>
      <c r="BG198" s="500">
        <v>340.99123200000002</v>
      </c>
      <c r="BH198" s="521"/>
      <c r="BI198" s="521"/>
      <c r="BJ198" s="500"/>
      <c r="BK198" s="500">
        <v>343.78117900000001</v>
      </c>
      <c r="BL198" s="521"/>
      <c r="BM198" s="521"/>
      <c r="BN198" s="500"/>
      <c r="BO198" s="500">
        <v>340.443487</v>
      </c>
      <c r="BP198" s="521"/>
      <c r="BQ198" s="521"/>
      <c r="BR198" s="500"/>
      <c r="BS198" s="500">
        <v>322.62593600000002</v>
      </c>
      <c r="BT198" s="521"/>
      <c r="BU198" s="521"/>
      <c r="BV198" s="500"/>
      <c r="BW198" s="500">
        <v>306.72314399999999</v>
      </c>
      <c r="BX198" s="521"/>
      <c r="BY198" s="521"/>
      <c r="BZ198" s="500"/>
      <c r="CA198" s="500">
        <v>305.38732099999999</v>
      </c>
      <c r="CB198" s="521"/>
      <c r="CC198" s="521"/>
      <c r="CD198" s="500"/>
      <c r="CE198" s="1017">
        <v>307.91899999999998</v>
      </c>
      <c r="CF198" s="521"/>
      <c r="CG198" s="521"/>
      <c r="CH198" s="500"/>
      <c r="CI198" s="1017">
        <v>281.08931100000001</v>
      </c>
      <c r="CJ198" s="522"/>
      <c r="CK198" s="522"/>
      <c r="CL198" s="453"/>
      <c r="CM198" s="1017">
        <f>359-117</f>
        <v>242</v>
      </c>
      <c r="CP198" s="453"/>
      <c r="CQ198" s="1017">
        <f>361-140</f>
        <v>221</v>
      </c>
      <c r="CR198" s="1031">
        <v>-109</v>
      </c>
      <c r="CS198" s="540">
        <v>40</v>
      </c>
      <c r="CT198" s="453"/>
      <c r="CU198" s="1017">
        <f>365-157</f>
        <v>208</v>
      </c>
      <c r="CV198" s="1031">
        <v>-167</v>
      </c>
      <c r="CW198" s="540">
        <f>-CV198/3</f>
        <v>55.666666666666664</v>
      </c>
      <c r="CX198" s="453"/>
      <c r="CY198" s="1020">
        <f>CU201+(CZ198/DA198)</f>
        <v>197.07272727272726</v>
      </c>
      <c r="CZ198" s="541">
        <v>-147</v>
      </c>
      <c r="DA198" s="540">
        <v>70</v>
      </c>
      <c r="DB198" s="453"/>
      <c r="DC198" s="453">
        <f>CY201+(DD198/DE198)</f>
        <v>179.49272727272725</v>
      </c>
      <c r="DD198" s="541">
        <v>-126</v>
      </c>
      <c r="DE198" s="540">
        <f>(126/2.8)</f>
        <v>45</v>
      </c>
      <c r="DF198" s="453"/>
      <c r="DG198" s="453">
        <f>DC201+(DH198/DI198)</f>
        <v>167.02189393939392</v>
      </c>
      <c r="DH198" s="541">
        <v>-156</v>
      </c>
      <c r="DI198" s="1024">
        <f>-DH198/4</f>
        <v>39</v>
      </c>
      <c r="DJ198" s="1152"/>
      <c r="DK198" s="453">
        <f>DG201+(DL198/DM198)</f>
        <v>163.60522727272726</v>
      </c>
      <c r="DL198" s="1027">
        <v>-100</v>
      </c>
      <c r="DM198" s="1024">
        <v>60</v>
      </c>
      <c r="DN198" s="542"/>
      <c r="DO198" s="305" t="s">
        <v>232</v>
      </c>
    </row>
    <row r="199" spans="1:120" outlineLevel="1" x14ac:dyDescent="0.2">
      <c r="A199" s="448" t="s">
        <v>90</v>
      </c>
      <c r="C199" s="500">
        <v>0</v>
      </c>
      <c r="D199" s="524"/>
      <c r="E199" s="524"/>
      <c r="F199" s="525"/>
      <c r="G199" s="500">
        <v>0</v>
      </c>
      <c r="H199" s="524"/>
      <c r="I199" s="524"/>
      <c r="J199" s="526"/>
      <c r="K199" s="500">
        <v>0</v>
      </c>
      <c r="L199" s="524"/>
      <c r="M199" s="524"/>
      <c r="N199" s="526"/>
      <c r="O199" s="500">
        <v>0</v>
      </c>
      <c r="P199" s="524"/>
      <c r="Q199" s="524"/>
      <c r="R199" s="525"/>
      <c r="S199" s="500">
        <v>0</v>
      </c>
      <c r="T199" s="524"/>
      <c r="U199" s="524"/>
      <c r="V199" s="526"/>
      <c r="W199" s="500">
        <v>0</v>
      </c>
      <c r="X199" s="524"/>
      <c r="Y199" s="524"/>
      <c r="Z199" s="526"/>
      <c r="AA199" s="500">
        <v>0</v>
      </c>
      <c r="AB199" s="524"/>
      <c r="AC199" s="524"/>
      <c r="AD199" s="526"/>
      <c r="AE199" s="500">
        <v>0</v>
      </c>
      <c r="AF199" s="524"/>
      <c r="AG199" s="524"/>
      <c r="AH199" s="526"/>
      <c r="AI199" s="500">
        <v>0</v>
      </c>
      <c r="AJ199" s="524"/>
      <c r="AK199" s="524"/>
      <c r="AL199" s="526"/>
      <c r="AM199" s="500">
        <v>0</v>
      </c>
      <c r="AN199" s="524"/>
      <c r="AO199" s="524"/>
      <c r="AP199" s="526"/>
      <c r="AQ199" s="500">
        <v>0</v>
      </c>
      <c r="AR199" s="524"/>
      <c r="AS199" s="524"/>
      <c r="AT199" s="526"/>
      <c r="AU199" s="500">
        <v>334.6</v>
      </c>
      <c r="AV199" s="524"/>
      <c r="AW199" s="524"/>
      <c r="AX199" s="526"/>
      <c r="AY199" s="500">
        <v>336.92</v>
      </c>
      <c r="AZ199" s="524"/>
      <c r="BA199" s="524"/>
      <c r="BB199" s="526"/>
      <c r="BC199" s="500">
        <v>339.47</v>
      </c>
      <c r="BD199" s="524"/>
      <c r="BE199" s="524"/>
      <c r="BF199" s="526"/>
      <c r="BG199" s="500">
        <v>341.3</v>
      </c>
      <c r="BH199" s="524"/>
      <c r="BI199" s="524"/>
      <c r="BJ199" s="526"/>
      <c r="BK199" s="500">
        <v>346.77199999999999</v>
      </c>
      <c r="BL199" s="524"/>
      <c r="BM199" s="524"/>
      <c r="BN199" s="526"/>
      <c r="BO199" s="500">
        <v>326.89999999999998</v>
      </c>
      <c r="BP199" s="524"/>
      <c r="BQ199" s="524"/>
      <c r="BR199" s="526"/>
      <c r="BS199" s="500">
        <v>317.8</v>
      </c>
      <c r="BT199" s="524"/>
      <c r="BU199" s="524"/>
      <c r="BV199" s="526"/>
      <c r="BW199" s="500">
        <v>304.55726700000002</v>
      </c>
      <c r="BX199" s="524"/>
      <c r="BY199" s="524"/>
      <c r="BZ199" s="526"/>
      <c r="CA199" s="500">
        <v>305.58220799999998</v>
      </c>
      <c r="CB199" s="524"/>
      <c r="CC199" s="524"/>
      <c r="CD199" s="526"/>
      <c r="CE199" s="1017">
        <v>307.99140399999999</v>
      </c>
      <c r="CF199" s="524"/>
      <c r="CG199" s="524"/>
      <c r="CH199" s="526"/>
      <c r="CI199" s="1017">
        <v>269</v>
      </c>
      <c r="CJ199" s="485"/>
      <c r="CK199" s="522"/>
      <c r="CL199" s="420"/>
      <c r="CM199" s="1017">
        <f>359-124</f>
        <v>235</v>
      </c>
      <c r="CP199" s="420"/>
      <c r="CQ199" s="1017">
        <f>362-144</f>
        <v>218</v>
      </c>
      <c r="CR199" s="1032">
        <f>-279-CR198</f>
        <v>-170</v>
      </c>
      <c r="CS199" s="543">
        <v>40</v>
      </c>
      <c r="CT199" s="420"/>
      <c r="CU199" s="1017">
        <f>CU198-4.3</f>
        <v>203.7</v>
      </c>
      <c r="CV199" s="1032">
        <f>-392-CV198</f>
        <v>-225</v>
      </c>
      <c r="CW199" s="543">
        <f>-CV199/4.3</f>
        <v>52.325581395348841</v>
      </c>
      <c r="CX199" s="420"/>
      <c r="CY199" s="1020">
        <f>CY198+(CZ199/DA199)</f>
        <v>191.07272727272726</v>
      </c>
      <c r="CZ199" s="541">
        <f>-(6*DA199)</f>
        <v>-396</v>
      </c>
      <c r="DA199" s="543">
        <v>66</v>
      </c>
      <c r="DB199" s="420"/>
      <c r="DC199" s="453">
        <f>DC198+(DD199/DE199)</f>
        <v>175.79272727272726</v>
      </c>
      <c r="DD199" s="541">
        <f>-267-DD198</f>
        <v>-141</v>
      </c>
      <c r="DE199" s="543">
        <f>DD199/-3.7</f>
        <v>38.108108108108105</v>
      </c>
      <c r="DF199" s="420"/>
      <c r="DG199" s="453">
        <f>DG198+(DH199/DI199)</f>
        <v>164.62189393939391</v>
      </c>
      <c r="DH199" s="541">
        <v>-93</v>
      </c>
      <c r="DI199" s="1025">
        <f>-DH199/2.4</f>
        <v>38.75</v>
      </c>
      <c r="DJ199" s="1153"/>
      <c r="DK199" s="453">
        <f>DK198+(DL199/DM199)</f>
        <v>161.93856060606061</v>
      </c>
      <c r="DL199" s="1027">
        <v>-100</v>
      </c>
      <c r="DM199" s="1025">
        <v>60</v>
      </c>
      <c r="DN199" s="542"/>
      <c r="DO199" s="305" t="s">
        <v>232</v>
      </c>
    </row>
    <row r="200" spans="1:120" outlineLevel="1" x14ac:dyDescent="0.2">
      <c r="A200" s="448" t="s">
        <v>91</v>
      </c>
      <c r="C200" s="500">
        <v>0</v>
      </c>
      <c r="D200" s="524"/>
      <c r="E200" s="524"/>
      <c r="F200" s="525"/>
      <c r="G200" s="500">
        <v>0</v>
      </c>
      <c r="H200" s="524"/>
      <c r="I200" s="524"/>
      <c r="J200" s="526"/>
      <c r="K200" s="500">
        <v>0</v>
      </c>
      <c r="L200" s="524"/>
      <c r="M200" s="524"/>
      <c r="N200" s="526"/>
      <c r="O200" s="500">
        <v>0</v>
      </c>
      <c r="P200" s="524"/>
      <c r="Q200" s="524"/>
      <c r="R200" s="525"/>
      <c r="S200" s="500">
        <v>0</v>
      </c>
      <c r="T200" s="524"/>
      <c r="U200" s="524"/>
      <c r="V200" s="526"/>
      <c r="W200" s="500">
        <v>0</v>
      </c>
      <c r="X200" s="524"/>
      <c r="Y200" s="524"/>
      <c r="Z200" s="526"/>
      <c r="AA200" s="500">
        <v>0</v>
      </c>
      <c r="AB200" s="524"/>
      <c r="AC200" s="524"/>
      <c r="AD200" s="526"/>
      <c r="AE200" s="500">
        <v>0</v>
      </c>
      <c r="AF200" s="524"/>
      <c r="AG200" s="524"/>
      <c r="AH200" s="526"/>
      <c r="AI200" s="500">
        <v>0</v>
      </c>
      <c r="AJ200" s="524"/>
      <c r="AK200" s="524"/>
      <c r="AL200" s="526"/>
      <c r="AM200" s="500">
        <v>0</v>
      </c>
      <c r="AN200" s="524"/>
      <c r="AO200" s="524"/>
      <c r="AP200" s="526"/>
      <c r="AQ200" s="500">
        <v>0</v>
      </c>
      <c r="AR200" s="524"/>
      <c r="AS200" s="524"/>
      <c r="AT200" s="526"/>
      <c r="AU200" s="500">
        <v>334.95499999999998</v>
      </c>
      <c r="AV200" s="524"/>
      <c r="AW200" s="524"/>
      <c r="AX200" s="526"/>
      <c r="AY200" s="500">
        <v>337.18</v>
      </c>
      <c r="AZ200" s="524"/>
      <c r="BA200" s="524"/>
      <c r="BB200" s="526"/>
      <c r="BC200" s="500">
        <v>340.01</v>
      </c>
      <c r="BD200" s="524"/>
      <c r="BE200" s="524"/>
      <c r="BF200" s="526"/>
      <c r="BG200" s="500">
        <v>343</v>
      </c>
      <c r="BH200" s="524"/>
      <c r="BI200" s="524"/>
      <c r="BJ200" s="526"/>
      <c r="BK200" s="500">
        <v>344.75268599999998</v>
      </c>
      <c r="BL200" s="524"/>
      <c r="BM200" s="524"/>
      <c r="BN200" s="526"/>
      <c r="BO200" s="500">
        <v>327.02123999999998</v>
      </c>
      <c r="BP200" s="524"/>
      <c r="BQ200" s="524"/>
      <c r="BR200" s="526"/>
      <c r="BS200" s="500">
        <v>313.67069099999998</v>
      </c>
      <c r="BT200" s="524"/>
      <c r="BU200" s="524"/>
      <c r="BV200" s="526"/>
      <c r="BW200" s="500">
        <v>304.71803</v>
      </c>
      <c r="BX200" s="524"/>
      <c r="BY200" s="524"/>
      <c r="BZ200" s="526"/>
      <c r="CA200" s="500">
        <v>305</v>
      </c>
      <c r="CB200" s="524"/>
      <c r="CC200" s="524"/>
      <c r="CD200" s="526"/>
      <c r="CE200" s="1017">
        <v>307.97217323076922</v>
      </c>
      <c r="CF200" s="524"/>
      <c r="CG200" s="524"/>
      <c r="CH200" s="526"/>
      <c r="CI200" s="1017">
        <v>253.430813</v>
      </c>
      <c r="CJ200" s="485"/>
      <c r="CK200" s="485"/>
      <c r="CL200" s="420"/>
      <c r="CM200" s="1017">
        <f>360-129</f>
        <v>231</v>
      </c>
      <c r="CP200" s="420"/>
      <c r="CQ200" s="1017">
        <f>363-149</f>
        <v>214</v>
      </c>
      <c r="CR200" s="1032">
        <f>-562-SUM(CR198:CR199)</f>
        <v>-283</v>
      </c>
      <c r="CS200" s="543">
        <f>-CR200/5.3</f>
        <v>53.39622641509434</v>
      </c>
      <c r="CT200" s="420"/>
      <c r="CU200" s="1017">
        <f>CU199+CV200/CW200</f>
        <v>200.84545454545454</v>
      </c>
      <c r="CV200" s="1032">
        <f>-549-CV199-CV198</f>
        <v>-157</v>
      </c>
      <c r="CW200" s="543">
        <v>55</v>
      </c>
      <c r="CX200" s="420"/>
      <c r="CY200" s="1020">
        <f>CY199+(CZ200/DA200)</f>
        <v>186.07272727272726</v>
      </c>
      <c r="CZ200" s="541">
        <v>-246</v>
      </c>
      <c r="DA200" s="543">
        <f>-CZ200/5</f>
        <v>49.2</v>
      </c>
      <c r="DB200" s="420"/>
      <c r="DC200" s="453">
        <f>DC199+(DD200/DE200)+1</f>
        <v>172.79272727272726</v>
      </c>
      <c r="DD200" s="541">
        <f>-441-SUM(DD198:DD199)</f>
        <v>-174</v>
      </c>
      <c r="DE200" s="543">
        <f>DD200/-4</f>
        <v>43.5</v>
      </c>
      <c r="DF200" s="420"/>
      <c r="DG200" s="1157">
        <f>DG199+(DH200/DI200)+1</f>
        <v>164.62189393939391</v>
      </c>
      <c r="DH200" s="1294">
        <v>-50</v>
      </c>
      <c r="DI200" s="1295">
        <v>50</v>
      </c>
      <c r="DJ200" s="1153"/>
      <c r="DK200" s="453">
        <f>DK199+(DL200/DM200)+1</f>
        <v>161.27189393939395</v>
      </c>
      <c r="DL200" s="1027">
        <v>-100</v>
      </c>
      <c r="DM200" s="1025">
        <v>60</v>
      </c>
      <c r="DN200" s="542"/>
      <c r="DO200" s="305" t="s">
        <v>232</v>
      </c>
    </row>
    <row r="201" spans="1:120" outlineLevel="1" x14ac:dyDescent="0.2">
      <c r="A201" s="448" t="s">
        <v>92</v>
      </c>
      <c r="C201" s="501">
        <v>0</v>
      </c>
      <c r="D201" s="524"/>
      <c r="E201" s="524"/>
      <c r="F201" s="525"/>
      <c r="G201" s="501">
        <v>0</v>
      </c>
      <c r="H201" s="524"/>
      <c r="I201" s="524"/>
      <c r="J201" s="526"/>
      <c r="K201" s="501">
        <v>0</v>
      </c>
      <c r="L201" s="524"/>
      <c r="M201" s="524"/>
      <c r="N201" s="526"/>
      <c r="O201" s="501">
        <v>0</v>
      </c>
      <c r="P201" s="524"/>
      <c r="Q201" s="524"/>
      <c r="R201" s="525"/>
      <c r="S201" s="501">
        <v>0</v>
      </c>
      <c r="T201" s="524"/>
      <c r="U201" s="524"/>
      <c r="V201" s="526"/>
      <c r="W201" s="501">
        <v>0</v>
      </c>
      <c r="X201" s="524"/>
      <c r="Y201" s="524"/>
      <c r="Z201" s="526"/>
      <c r="AA201" s="501">
        <v>0</v>
      </c>
      <c r="AB201" s="524"/>
      <c r="AC201" s="524"/>
      <c r="AD201" s="526"/>
      <c r="AE201" s="501">
        <v>0</v>
      </c>
      <c r="AF201" s="524"/>
      <c r="AG201" s="524"/>
      <c r="AH201" s="526"/>
      <c r="AI201" s="501">
        <v>0</v>
      </c>
      <c r="AJ201" s="524"/>
      <c r="AK201" s="524"/>
      <c r="AL201" s="526"/>
      <c r="AM201" s="501">
        <v>0</v>
      </c>
      <c r="AN201" s="524"/>
      <c r="AO201" s="524"/>
      <c r="AP201" s="526"/>
      <c r="AQ201" s="501">
        <v>0</v>
      </c>
      <c r="AR201" s="524"/>
      <c r="AS201" s="524"/>
      <c r="AT201" s="526"/>
      <c r="AU201" s="501">
        <v>335.13799999999998</v>
      </c>
      <c r="AV201" s="524"/>
      <c r="AW201" s="524"/>
      <c r="AX201" s="526"/>
      <c r="AY201" s="501">
        <v>337.322</v>
      </c>
      <c r="AZ201" s="524"/>
      <c r="BA201" s="524"/>
      <c r="BB201" s="526"/>
      <c r="BC201" s="501">
        <v>340.14100000000002</v>
      </c>
      <c r="BD201" s="524"/>
      <c r="BE201" s="524"/>
      <c r="BF201" s="526"/>
      <c r="BG201" s="501">
        <v>343.39833099999998</v>
      </c>
      <c r="BH201" s="524"/>
      <c r="BI201" s="524"/>
      <c r="BJ201" s="526"/>
      <c r="BK201" s="501">
        <v>345.475525</v>
      </c>
      <c r="BL201" s="524"/>
      <c r="BM201" s="524"/>
      <c r="BN201" s="526"/>
      <c r="BO201" s="501">
        <v>321.12630899999999</v>
      </c>
      <c r="BP201" s="524"/>
      <c r="BQ201" s="524"/>
      <c r="BR201" s="526"/>
      <c r="BS201" s="501">
        <v>312.39999999999998</v>
      </c>
      <c r="BT201" s="524"/>
      <c r="BU201" s="524"/>
      <c r="BV201" s="526"/>
      <c r="BW201" s="501">
        <v>304.716297</v>
      </c>
      <c r="BX201" s="524"/>
      <c r="BY201" s="524"/>
      <c r="BZ201" s="526"/>
      <c r="CA201" s="501">
        <v>306.97399999999999</v>
      </c>
      <c r="CB201" s="524"/>
      <c r="CC201" s="524"/>
      <c r="CD201" s="526"/>
      <c r="CE201" s="1018">
        <v>291</v>
      </c>
      <c r="CF201" s="524"/>
      <c r="CG201" s="524"/>
      <c r="CH201" s="526"/>
      <c r="CI201" s="1018">
        <v>247</v>
      </c>
      <c r="CJ201" s="485"/>
      <c r="CK201" s="485"/>
      <c r="CL201" s="420"/>
      <c r="CM201" s="1018">
        <f>360-138</f>
        <v>222</v>
      </c>
      <c r="CN201" s="305"/>
      <c r="CP201" s="420"/>
      <c r="CQ201" s="1018">
        <f>364-153</f>
        <v>211</v>
      </c>
      <c r="CR201" s="1028">
        <f>CR202-CR200-CR199-CR198</f>
        <v>-250</v>
      </c>
      <c r="CS201" s="543">
        <f>-CR201/4.6</f>
        <v>54.347826086956523</v>
      </c>
      <c r="CT201" s="420"/>
      <c r="CU201" s="1018">
        <f>CU200+(CV201/CW201)+1</f>
        <v>199.17272727272726</v>
      </c>
      <c r="CV201" s="1028">
        <f>CV202-CV200-CV199-CV198</f>
        <v>-147</v>
      </c>
      <c r="CW201" s="543">
        <f>CW200</f>
        <v>55</v>
      </c>
      <c r="CX201" s="420"/>
      <c r="CY201" s="1021">
        <f>CY200+(CZ201/DA201)+1</f>
        <v>182.29272727272726</v>
      </c>
      <c r="CZ201" s="541">
        <f>CZ202-CZ200-CZ199-CZ198</f>
        <v>-239</v>
      </c>
      <c r="DA201" s="545">
        <v>50</v>
      </c>
      <c r="DB201" s="420"/>
      <c r="DC201" s="544">
        <f>DC200+(DD201/DE201)+1</f>
        <v>171.02189393939392</v>
      </c>
      <c r="DD201" s="541">
        <f>DD202-DD200-DD199-DD198</f>
        <v>-133</v>
      </c>
      <c r="DE201" s="545">
        <v>48</v>
      </c>
      <c r="DF201" s="420"/>
      <c r="DG201" s="544">
        <f>DG200+(DH201/DI201)+1</f>
        <v>165.27189393939392</v>
      </c>
      <c r="DH201" s="1028">
        <f>DH202-DH200-DH199-DH198</f>
        <v>-21</v>
      </c>
      <c r="DI201" s="1026">
        <v>60</v>
      </c>
      <c r="DJ201" s="1153"/>
      <c r="DK201" s="544">
        <f>DK200+(DL201/DM201)+1</f>
        <v>161.43856060606061</v>
      </c>
      <c r="DL201" s="1028">
        <f>DL202-DL200-DL199-DL198</f>
        <v>-50</v>
      </c>
      <c r="DM201" s="1026">
        <v>60</v>
      </c>
      <c r="DN201" s="542"/>
      <c r="DO201" s="305" t="s">
        <v>232</v>
      </c>
    </row>
    <row r="202" spans="1:120" ht="13.5" outlineLevel="1" thickBot="1" x14ac:dyDescent="0.25">
      <c r="A202" s="448" t="s">
        <v>93</v>
      </c>
      <c r="C202" s="546">
        <f>C201</f>
        <v>0</v>
      </c>
      <c r="D202" s="547"/>
      <c r="E202" s="505"/>
      <c r="F202" s="305"/>
      <c r="G202" s="546">
        <f>G201</f>
        <v>0</v>
      </c>
      <c r="H202" s="547"/>
      <c r="I202" s="505"/>
      <c r="K202" s="546">
        <f>K201</f>
        <v>0</v>
      </c>
      <c r="L202" s="535"/>
      <c r="M202" s="499"/>
      <c r="O202" s="546">
        <f>O201</f>
        <v>0</v>
      </c>
      <c r="P202" s="535"/>
      <c r="Q202" s="499"/>
      <c r="R202" s="305"/>
      <c r="S202" s="546">
        <f>S201</f>
        <v>0</v>
      </c>
      <c r="T202" s="535"/>
      <c r="U202" s="499"/>
      <c r="W202" s="546">
        <f>W201</f>
        <v>0</v>
      </c>
      <c r="X202" s="535"/>
      <c r="Y202" s="499"/>
      <c r="AA202" s="546">
        <f>AA201</f>
        <v>0</v>
      </c>
      <c r="AB202" s="535"/>
      <c r="AC202" s="499"/>
      <c r="AE202" s="546">
        <f>AE201</f>
        <v>0</v>
      </c>
      <c r="AF202" s="535"/>
      <c r="AG202" s="499"/>
      <c r="AI202" s="546">
        <f>AI201</f>
        <v>0</v>
      </c>
      <c r="AJ202" s="535"/>
      <c r="AK202" s="499"/>
      <c r="AM202" s="546">
        <f>AM201</f>
        <v>0</v>
      </c>
      <c r="AN202" s="535"/>
      <c r="AO202" s="499"/>
      <c r="AQ202" s="546">
        <f>AQ201</f>
        <v>0</v>
      </c>
      <c r="AR202" s="535"/>
      <c r="AS202" s="499"/>
      <c r="AU202" s="546">
        <f>AU201</f>
        <v>335.13799999999998</v>
      </c>
      <c r="AV202" s="535"/>
      <c r="AW202" s="499"/>
      <c r="AY202" s="546">
        <f>AY201</f>
        <v>337.322</v>
      </c>
      <c r="AZ202" s="535"/>
      <c r="BA202" s="499"/>
      <c r="BC202" s="546">
        <f>BC201</f>
        <v>340.14100000000002</v>
      </c>
      <c r="BD202" s="535"/>
      <c r="BE202" s="499"/>
      <c r="BG202" s="546">
        <f>BG201</f>
        <v>343.39833099999998</v>
      </c>
      <c r="BH202" s="535"/>
      <c r="BI202" s="513"/>
      <c r="BK202" s="546">
        <f>BK201</f>
        <v>345.475525</v>
      </c>
      <c r="BL202" s="535"/>
      <c r="BM202" s="513"/>
      <c r="BO202" s="546">
        <f>BO201</f>
        <v>321.12630899999999</v>
      </c>
      <c r="BP202" s="535"/>
      <c r="BQ202" s="499"/>
      <c r="BS202" s="546">
        <f>BS201</f>
        <v>312.39999999999998</v>
      </c>
      <c r="BT202" s="535"/>
      <c r="BU202" s="499"/>
      <c r="BW202" s="546">
        <f>BW201</f>
        <v>304.716297</v>
      </c>
      <c r="BX202" s="535"/>
      <c r="BY202" s="499"/>
      <c r="CA202" s="546">
        <f>CA201</f>
        <v>306.97399999999999</v>
      </c>
      <c r="CB202" s="535"/>
      <c r="CC202" s="499"/>
      <c r="CE202" s="1019">
        <f>CE201</f>
        <v>291</v>
      </c>
      <c r="CF202" s="535"/>
      <c r="CG202" s="499"/>
      <c r="CI202" s="1019">
        <f>CI201</f>
        <v>247</v>
      </c>
      <c r="CJ202" s="535"/>
      <c r="CK202" s="499"/>
      <c r="CM202" s="1019">
        <f>CM201</f>
        <v>222</v>
      </c>
      <c r="CQ202" s="1019">
        <f>CQ201</f>
        <v>211</v>
      </c>
      <c r="CR202" s="1029">
        <f>flow!AB41</f>
        <v>-812</v>
      </c>
      <c r="CS202" s="548"/>
      <c r="CU202" s="1019">
        <f>CU201</f>
        <v>199.17272727272726</v>
      </c>
      <c r="CV202" s="1030">
        <f>flow!AC41</f>
        <v>-696</v>
      </c>
      <c r="CW202" s="548"/>
      <c r="CY202" s="1022">
        <f>CY201</f>
        <v>182.29272727272726</v>
      </c>
      <c r="CZ202" s="1033">
        <f>flow!AD41</f>
        <v>-1028</v>
      </c>
      <c r="DA202" s="1023">
        <f>AVERAGE(DA198:DA201)</f>
        <v>58.8</v>
      </c>
      <c r="DC202" s="546">
        <f>DC201</f>
        <v>171.02189393939392</v>
      </c>
      <c r="DD202" s="1029">
        <f>flow!$AE$41</f>
        <v>-574</v>
      </c>
      <c r="DE202" s="1023">
        <f>AVERAGE(DE198:DE201)</f>
        <v>43.652027027027025</v>
      </c>
      <c r="DG202" s="546">
        <f>DG201</f>
        <v>165.27189393939392</v>
      </c>
      <c r="DH202" s="1030">
        <f>flow!$AF$41</f>
        <v>-320</v>
      </c>
      <c r="DI202" s="1023">
        <f>AVERAGE(DI198:DI201)</f>
        <v>46.9375</v>
      </c>
      <c r="DJ202" s="1154"/>
      <c r="DK202" s="546">
        <f>DK201</f>
        <v>161.43856060606061</v>
      </c>
      <c r="DL202" s="1030">
        <f>flow!$AG$41</f>
        <v>-350</v>
      </c>
      <c r="DM202" s="1023">
        <f>AVERAGE(DM198:DM201)</f>
        <v>60</v>
      </c>
      <c r="DN202" s="542"/>
      <c r="DO202" s="305" t="s">
        <v>232</v>
      </c>
    </row>
    <row r="203" spans="1:120" outlineLevel="1" x14ac:dyDescent="0.2">
      <c r="C203" s="432"/>
      <c r="D203" s="549"/>
      <c r="E203" s="549"/>
      <c r="F203" s="305"/>
      <c r="G203" s="432"/>
      <c r="H203" s="549"/>
      <c r="I203" s="549"/>
      <c r="J203" s="305"/>
      <c r="K203" s="432"/>
      <c r="L203" s="305"/>
      <c r="M203" s="305"/>
      <c r="N203" s="305"/>
      <c r="O203" s="432"/>
      <c r="P203" s="305"/>
      <c r="Q203" s="305"/>
      <c r="R203" s="305"/>
      <c r="S203" s="432"/>
      <c r="T203" s="305"/>
      <c r="U203" s="305"/>
      <c r="V203" s="305"/>
      <c r="W203" s="432"/>
      <c r="X203" s="305"/>
      <c r="Y203" s="305"/>
      <c r="Z203" s="305"/>
      <c r="AA203" s="413"/>
      <c r="AE203" s="413"/>
      <c r="AI203" s="413"/>
      <c r="AM203" s="413"/>
      <c r="AQ203" s="413"/>
      <c r="AU203" s="413"/>
      <c r="AY203" s="413"/>
      <c r="BC203" s="413"/>
      <c r="BG203" s="413"/>
      <c r="BK203" s="413"/>
      <c r="BO203" s="413"/>
      <c r="BS203" s="413"/>
      <c r="BW203" s="413"/>
      <c r="CA203" s="413"/>
      <c r="CE203" s="413"/>
      <c r="CI203" s="413"/>
      <c r="CQ203" s="523"/>
      <c r="DO203" s="303" t="s">
        <v>232</v>
      </c>
    </row>
    <row r="204" spans="1:120" outlineLevel="1" x14ac:dyDescent="0.2">
      <c r="B204" s="318"/>
      <c r="C204" s="463"/>
      <c r="D204" s="464"/>
      <c r="E204" s="464"/>
      <c r="F204" s="465"/>
      <c r="G204" s="463"/>
      <c r="H204" s="464"/>
      <c r="I204" s="464"/>
      <c r="J204" s="318"/>
      <c r="K204" s="463"/>
      <c r="L204" s="464"/>
      <c r="M204" s="464"/>
      <c r="N204" s="318"/>
      <c r="O204" s="463"/>
      <c r="P204" s="464"/>
      <c r="Q204" s="464"/>
      <c r="R204" s="465"/>
      <c r="S204" s="463"/>
      <c r="T204" s="464"/>
      <c r="U204" s="464"/>
      <c r="V204" s="318"/>
      <c r="W204" s="463"/>
      <c r="X204" s="464"/>
      <c r="Y204" s="464"/>
      <c r="Z204" s="318"/>
      <c r="AA204" s="463"/>
      <c r="AB204" s="464"/>
      <c r="AC204" s="464"/>
      <c r="AD204" s="318"/>
      <c r="AE204" s="463"/>
      <c r="AF204" s="464"/>
      <c r="AG204" s="464"/>
      <c r="AH204" s="318"/>
      <c r="AI204" s="463"/>
      <c r="AJ204" s="464"/>
      <c r="AK204" s="464"/>
      <c r="AL204" s="318"/>
      <c r="AM204" s="463"/>
      <c r="AN204" s="464"/>
      <c r="AO204" s="464"/>
      <c r="AP204" s="318"/>
      <c r="AQ204" s="463"/>
      <c r="AR204" s="464"/>
      <c r="AS204" s="464"/>
      <c r="AT204" s="318"/>
      <c r="AU204" s="463"/>
      <c r="AV204" s="464"/>
      <c r="AW204" s="464"/>
      <c r="AX204" s="318"/>
      <c r="AY204" s="463"/>
      <c r="AZ204" s="464"/>
      <c r="BA204" s="464"/>
      <c r="BB204" s="318"/>
      <c r="BC204" s="463"/>
      <c r="BD204" s="464"/>
      <c r="BE204" s="464"/>
      <c r="BF204" s="318"/>
      <c r="BG204" s="463"/>
      <c r="BH204" s="464"/>
      <c r="BI204" s="464"/>
      <c r="BJ204" s="318"/>
      <c r="BK204" s="463"/>
      <c r="BL204" s="464"/>
      <c r="BM204" s="464"/>
      <c r="BN204" s="318"/>
      <c r="BO204" s="463"/>
      <c r="BP204" s="464"/>
      <c r="BQ204" s="464"/>
      <c r="BR204" s="318"/>
      <c r="BS204" s="463"/>
      <c r="BT204" s="464"/>
      <c r="BU204" s="464"/>
      <c r="BV204" s="318"/>
      <c r="BW204" s="463"/>
      <c r="BX204" s="464"/>
      <c r="BY204" s="464"/>
      <c r="BZ204" s="318"/>
      <c r="CA204" s="463"/>
      <c r="CB204" s="464"/>
      <c r="CC204" s="464"/>
      <c r="CD204" s="318"/>
      <c r="CE204" s="463"/>
      <c r="CF204" s="464"/>
      <c r="CH204" s="318"/>
      <c r="CI204" s="463"/>
      <c r="CJ204" s="464"/>
      <c r="CK204" s="536" t="s">
        <v>297</v>
      </c>
      <c r="CL204" s="318"/>
      <c r="CM204" s="318"/>
      <c r="CN204" s="464"/>
      <c r="CO204" s="537"/>
      <c r="CP204" s="318"/>
      <c r="CQ204" s="318"/>
      <c r="CR204" s="464"/>
      <c r="CS204" s="537"/>
      <c r="CT204" s="318"/>
      <c r="CU204" s="318"/>
      <c r="CV204" s="464"/>
      <c r="CW204" s="537"/>
      <c r="CX204" s="318"/>
      <c r="CY204" s="318"/>
      <c r="CZ204" s="897" t="s">
        <v>297</v>
      </c>
      <c r="DA204" s="898"/>
      <c r="DB204" s="898"/>
      <c r="DC204" s="898"/>
      <c r="DD204" s="898"/>
      <c r="DE204" s="898"/>
      <c r="DF204" s="898"/>
      <c r="DG204" s="898"/>
      <c r="DH204" s="898"/>
      <c r="DI204" s="898"/>
      <c r="DJ204" s="898"/>
      <c r="DK204" s="898"/>
      <c r="DL204" s="898"/>
      <c r="DM204" s="898"/>
      <c r="DN204" s="537"/>
      <c r="DP204" s="318"/>
    </row>
    <row r="205" spans="1:120" x14ac:dyDescent="0.2">
      <c r="C205" s="413"/>
      <c r="D205" s="459"/>
      <c r="E205" s="459"/>
      <c r="F205" s="305"/>
      <c r="G205" s="413"/>
      <c r="H205" s="459"/>
      <c r="I205" s="459"/>
      <c r="K205" s="413"/>
      <c r="O205" s="413"/>
      <c r="R205" s="305"/>
      <c r="S205" s="413"/>
      <c r="W205" s="413"/>
      <c r="AA205" s="413"/>
      <c r="AE205" s="413"/>
      <c r="AI205" s="413"/>
      <c r="AM205" s="413"/>
      <c r="AQ205" s="413"/>
      <c r="AU205" s="413"/>
      <c r="AY205" s="413"/>
      <c r="BC205" s="413"/>
      <c r="BG205" s="413"/>
      <c r="BK205" s="413"/>
      <c r="BO205" s="413"/>
      <c r="BS205" s="413"/>
      <c r="BW205" s="413"/>
      <c r="CA205" s="413"/>
      <c r="CE205" s="413"/>
      <c r="CI205" s="413"/>
      <c r="CZ205" s="413"/>
      <c r="DO205" s="303" t="s">
        <v>232</v>
      </c>
    </row>
    <row r="206" spans="1:120" x14ac:dyDescent="0.2">
      <c r="A206" s="520" t="s">
        <v>89</v>
      </c>
      <c r="B206" s="413"/>
      <c r="C206" s="500">
        <v>213.376</v>
      </c>
      <c r="D206" s="521"/>
      <c r="E206" s="521"/>
      <c r="F206" s="502"/>
      <c r="G206" s="500">
        <v>213.04</v>
      </c>
      <c r="H206" s="521"/>
      <c r="I206" s="521"/>
      <c r="J206" s="500"/>
      <c r="K206" s="500">
        <v>212.92</v>
      </c>
      <c r="L206" s="521"/>
      <c r="M206" s="521"/>
      <c r="N206" s="500"/>
      <c r="O206" s="500">
        <v>292.88799999999998</v>
      </c>
      <c r="P206" s="521"/>
      <c r="Q206" s="521"/>
      <c r="R206" s="502"/>
      <c r="S206" s="500">
        <v>293.34399999999999</v>
      </c>
      <c r="T206" s="521"/>
      <c r="U206" s="521"/>
      <c r="V206" s="500"/>
      <c r="W206" s="500">
        <v>294.05599999999998</v>
      </c>
      <c r="X206" s="521"/>
      <c r="Y206" s="521"/>
      <c r="Z206" s="500"/>
      <c r="AA206" s="500">
        <v>295.084</v>
      </c>
      <c r="AB206" s="521"/>
      <c r="AC206" s="521"/>
      <c r="AD206" s="500"/>
      <c r="AE206" s="500">
        <v>295.96800000000002</v>
      </c>
      <c r="AF206" s="521"/>
      <c r="AG206" s="521"/>
      <c r="AH206" s="500"/>
      <c r="AI206" s="500">
        <v>315.73200000000003</v>
      </c>
      <c r="AJ206" s="521"/>
      <c r="AK206" s="521"/>
      <c r="AL206" s="500"/>
      <c r="AM206" s="500">
        <v>320.87200000000001</v>
      </c>
      <c r="AN206" s="521"/>
      <c r="AO206" s="521"/>
      <c r="AP206" s="500"/>
      <c r="AQ206" s="500">
        <v>327.80599999999998</v>
      </c>
      <c r="AR206" s="521"/>
      <c r="AS206" s="521"/>
      <c r="AT206" s="500"/>
      <c r="AU206" s="500">
        <v>332.78399999999999</v>
      </c>
      <c r="AV206" s="521"/>
      <c r="AW206" s="521"/>
      <c r="AX206" s="500"/>
      <c r="AY206" s="500">
        <v>335.858</v>
      </c>
      <c r="AZ206" s="521"/>
      <c r="BA206" s="521"/>
      <c r="BB206" s="500"/>
      <c r="BC206" s="500">
        <v>338.01299999999998</v>
      </c>
      <c r="BD206" s="521"/>
      <c r="BE206" s="521"/>
      <c r="BF206" s="500"/>
      <c r="BG206" s="500">
        <v>340.4</v>
      </c>
      <c r="BH206" s="521"/>
      <c r="BI206" s="521"/>
      <c r="BJ206" s="500"/>
      <c r="BK206" s="500">
        <v>343.5</v>
      </c>
      <c r="BL206" s="521"/>
      <c r="BM206" s="521"/>
      <c r="BN206" s="500"/>
      <c r="BO206" s="500">
        <v>345.27699999999999</v>
      </c>
      <c r="BP206" s="521"/>
      <c r="BQ206" s="521"/>
      <c r="BR206" s="500"/>
      <c r="BS206" s="500">
        <v>321.8</v>
      </c>
      <c r="BT206" s="521"/>
      <c r="BU206" s="521"/>
      <c r="BV206" s="500"/>
      <c r="BW206" s="500">
        <v>308.5</v>
      </c>
      <c r="BX206" s="521"/>
      <c r="BY206" s="521"/>
      <c r="BZ206" s="500"/>
      <c r="CA206" s="500">
        <v>305</v>
      </c>
      <c r="CB206" s="521"/>
      <c r="CC206" s="521"/>
      <c r="CD206" s="500"/>
      <c r="CE206" s="1017">
        <v>307</v>
      </c>
      <c r="CF206" s="521"/>
      <c r="CG206" s="521"/>
      <c r="CH206" s="500"/>
      <c r="CI206" s="1017">
        <v>288</v>
      </c>
      <c r="CJ206" s="522"/>
      <c r="CK206" s="522"/>
      <c r="CL206" s="453"/>
      <c r="CM206" s="1017">
        <v>243</v>
      </c>
      <c r="CN206" s="522"/>
      <c r="CO206" s="453"/>
      <c r="CP206" s="453"/>
      <c r="CQ206" s="1017">
        <f>AVERAGE(CM201,CQ198)</f>
        <v>221.5</v>
      </c>
      <c r="CR206" s="522"/>
      <c r="CS206" s="453"/>
      <c r="CT206" s="453"/>
      <c r="CU206" s="1017">
        <v>206</v>
      </c>
      <c r="CV206" s="522"/>
      <c r="CW206" s="453"/>
      <c r="CX206" s="453"/>
      <c r="CY206" s="1017">
        <v>200</v>
      </c>
      <c r="CZ206" s="522"/>
      <c r="DA206" s="453"/>
      <c r="DB206" s="453"/>
      <c r="DC206" s="1017">
        <v>183</v>
      </c>
      <c r="DD206" s="522"/>
      <c r="DE206" s="453"/>
      <c r="DF206" s="453"/>
      <c r="DG206" s="1017">
        <v>170</v>
      </c>
      <c r="DH206" s="522"/>
      <c r="DI206" s="453"/>
      <c r="DJ206" s="453"/>
      <c r="DK206" s="1248">
        <f>AVERAGE(DG201,DK198)</f>
        <v>164.43856060606061</v>
      </c>
      <c r="DL206" s="522"/>
      <c r="DM206" s="453"/>
      <c r="DN206" s="453"/>
      <c r="DO206" s="303" t="s">
        <v>232</v>
      </c>
    </row>
    <row r="207" spans="1:120" x14ac:dyDescent="0.2">
      <c r="A207" s="448" t="s">
        <v>90</v>
      </c>
      <c r="C207" s="500">
        <v>213.376</v>
      </c>
      <c r="D207" s="524"/>
      <c r="E207" s="524"/>
      <c r="F207" s="525"/>
      <c r="G207" s="500">
        <v>213.04</v>
      </c>
      <c r="H207" s="524"/>
      <c r="I207" s="524"/>
      <c r="J207" s="526"/>
      <c r="K207" s="500">
        <v>269.93599999999998</v>
      </c>
      <c r="L207" s="524"/>
      <c r="M207" s="524"/>
      <c r="N207" s="526"/>
      <c r="O207" s="500">
        <v>293.01600000000002</v>
      </c>
      <c r="P207" s="524"/>
      <c r="Q207" s="524"/>
      <c r="R207" s="525"/>
      <c r="S207" s="500">
        <v>293.42399999999998</v>
      </c>
      <c r="T207" s="524"/>
      <c r="U207" s="524"/>
      <c r="V207" s="526"/>
      <c r="W207" s="500">
        <v>294.15199999999999</v>
      </c>
      <c r="X207" s="524"/>
      <c r="Y207" s="524"/>
      <c r="Z207" s="526"/>
      <c r="AA207" s="500">
        <v>295.29599999999999</v>
      </c>
      <c r="AB207" s="524"/>
      <c r="AC207" s="524"/>
      <c r="AD207" s="526"/>
      <c r="AE207" s="500">
        <v>296.38</v>
      </c>
      <c r="AF207" s="524"/>
      <c r="AG207" s="524"/>
      <c r="AH207" s="526"/>
      <c r="AI207" s="500">
        <v>316.04399999999998</v>
      </c>
      <c r="AJ207" s="524"/>
      <c r="AK207" s="524"/>
      <c r="AL207" s="526"/>
      <c r="AM207" s="500">
        <v>325.64600000000002</v>
      </c>
      <c r="AN207" s="524"/>
      <c r="AO207" s="524"/>
      <c r="AP207" s="526"/>
      <c r="AQ207" s="500">
        <v>329.84800000000001</v>
      </c>
      <c r="AR207" s="524"/>
      <c r="AS207" s="524"/>
      <c r="AT207" s="526"/>
      <c r="AU207" s="500">
        <v>334.15899999999999</v>
      </c>
      <c r="AV207" s="524"/>
      <c r="AW207" s="524"/>
      <c r="AX207" s="526"/>
      <c r="AY207" s="500">
        <v>336.358</v>
      </c>
      <c r="AZ207" s="524"/>
      <c r="BA207" s="524"/>
      <c r="BB207" s="526"/>
      <c r="BC207" s="500">
        <v>338.95400000000001</v>
      </c>
      <c r="BD207" s="524"/>
      <c r="BE207" s="524"/>
      <c r="BF207" s="526"/>
      <c r="BG207" s="500">
        <v>341.03</v>
      </c>
      <c r="BH207" s="524"/>
      <c r="BI207" s="524"/>
      <c r="BJ207" s="526"/>
      <c r="BK207" s="500">
        <v>344.06599999999997</v>
      </c>
      <c r="BL207" s="524"/>
      <c r="BM207" s="524"/>
      <c r="BN207" s="526"/>
      <c r="BO207" s="500">
        <v>333.39400000000001</v>
      </c>
      <c r="BP207" s="524"/>
      <c r="BQ207" s="524"/>
      <c r="BR207" s="526"/>
      <c r="BS207" s="500">
        <v>320.488</v>
      </c>
      <c r="BT207" s="524"/>
      <c r="BU207" s="524"/>
      <c r="BV207" s="526"/>
      <c r="BW207" s="500">
        <v>305.86599999999999</v>
      </c>
      <c r="BX207" s="524"/>
      <c r="BY207" s="524"/>
      <c r="BZ207" s="526"/>
      <c r="CA207" s="500">
        <v>305</v>
      </c>
      <c r="CB207" s="524"/>
      <c r="CC207" s="524"/>
      <c r="CD207" s="526"/>
      <c r="CE207" s="1017">
        <v>307</v>
      </c>
      <c r="CF207" s="524"/>
      <c r="CG207" s="524"/>
      <c r="CH207" s="526"/>
      <c r="CI207" s="1017">
        <v>276</v>
      </c>
      <c r="CJ207" s="485"/>
      <c r="CK207" s="485"/>
      <c r="CL207" s="420"/>
      <c r="CM207" s="1017">
        <v>238</v>
      </c>
      <c r="CN207" s="485"/>
      <c r="CO207" s="499"/>
      <c r="CP207" s="420"/>
      <c r="CQ207" s="1017">
        <f>AVERAGE(CQ198:CQ199)</f>
        <v>219.5</v>
      </c>
      <c r="CR207" s="485"/>
      <c r="CS207" s="499"/>
      <c r="CT207" s="420"/>
      <c r="CU207" s="1017">
        <v>204</v>
      </c>
      <c r="CV207" s="485"/>
      <c r="CW207" s="499"/>
      <c r="CX207" s="420"/>
      <c r="CY207" s="1017">
        <v>196</v>
      </c>
      <c r="CZ207" s="485"/>
      <c r="DA207" s="499"/>
      <c r="DB207" s="420"/>
      <c r="DC207" s="1017">
        <v>180</v>
      </c>
      <c r="DD207" s="485"/>
      <c r="DE207" s="499"/>
      <c r="DF207" s="420"/>
      <c r="DG207" s="1249">
        <v>168</v>
      </c>
      <c r="DH207" s="485"/>
      <c r="DI207" s="499"/>
      <c r="DJ207" s="499"/>
      <c r="DK207" s="1248">
        <f>AVERAGE(DK198:DK199)</f>
        <v>162.77189393939392</v>
      </c>
      <c r="DL207" s="485"/>
      <c r="DM207" s="499"/>
      <c r="DN207" s="499"/>
      <c r="DO207" s="303" t="s">
        <v>232</v>
      </c>
    </row>
    <row r="208" spans="1:120" x14ac:dyDescent="0.2">
      <c r="A208" s="448" t="s">
        <v>91</v>
      </c>
      <c r="C208" s="500">
        <v>213.376</v>
      </c>
      <c r="D208" s="524"/>
      <c r="E208" s="524"/>
      <c r="F208" s="525"/>
      <c r="G208" s="500">
        <v>213.04</v>
      </c>
      <c r="H208" s="524"/>
      <c r="I208" s="524"/>
      <c r="J208" s="526"/>
      <c r="K208" s="500">
        <v>280.86399999999998</v>
      </c>
      <c r="L208" s="524"/>
      <c r="M208" s="524"/>
      <c r="N208" s="526"/>
      <c r="O208" s="500">
        <v>293.08800000000002</v>
      </c>
      <c r="P208" s="524"/>
      <c r="Q208" s="524"/>
      <c r="R208" s="525"/>
      <c r="S208" s="500">
        <v>293.75200000000001</v>
      </c>
      <c r="T208" s="524"/>
      <c r="U208" s="524"/>
      <c r="V208" s="526"/>
      <c r="W208" s="500">
        <v>294.32</v>
      </c>
      <c r="X208" s="524"/>
      <c r="Y208" s="524"/>
      <c r="Z208" s="526"/>
      <c r="AA208" s="500">
        <v>295.58800000000002</v>
      </c>
      <c r="AB208" s="524"/>
      <c r="AC208" s="524"/>
      <c r="AD208" s="526"/>
      <c r="AE208" s="500">
        <v>312.08800000000002</v>
      </c>
      <c r="AF208" s="524"/>
      <c r="AG208" s="524"/>
      <c r="AH208" s="526"/>
      <c r="AI208" s="500">
        <v>316.26400000000001</v>
      </c>
      <c r="AJ208" s="524"/>
      <c r="AK208" s="524"/>
      <c r="AL208" s="526"/>
      <c r="AM208" s="500">
        <v>325.90600000000001</v>
      </c>
      <c r="AN208" s="524"/>
      <c r="AO208" s="524"/>
      <c r="AP208" s="526"/>
      <c r="AQ208" s="500">
        <v>331.19600000000003</v>
      </c>
      <c r="AR208" s="524"/>
      <c r="AS208" s="524"/>
      <c r="AT208" s="526"/>
      <c r="AU208" s="500">
        <v>334.61599999999999</v>
      </c>
      <c r="AV208" s="524"/>
      <c r="AW208" s="524"/>
      <c r="AX208" s="526"/>
      <c r="AY208" s="500">
        <v>336.858</v>
      </c>
      <c r="AZ208" s="524"/>
      <c r="BA208" s="524"/>
      <c r="BB208" s="526"/>
      <c r="BC208" s="500">
        <v>339.75099999999998</v>
      </c>
      <c r="BD208" s="524"/>
      <c r="BE208" s="524"/>
      <c r="BF208" s="526"/>
      <c r="BG208" s="500">
        <v>342.31200000000001</v>
      </c>
      <c r="BH208" s="524"/>
      <c r="BI208" s="524"/>
      <c r="BJ208" s="526"/>
      <c r="BK208" s="500">
        <v>344.4</v>
      </c>
      <c r="BL208" s="524"/>
      <c r="BM208" s="524"/>
      <c r="BN208" s="526"/>
      <c r="BO208" s="500">
        <v>326.89999999999998</v>
      </c>
      <c r="BP208" s="524"/>
      <c r="BQ208" s="524"/>
      <c r="BR208" s="526"/>
      <c r="BS208" s="500">
        <v>316.89999999999998</v>
      </c>
      <c r="BT208" s="524"/>
      <c r="BU208" s="524"/>
      <c r="BV208" s="526"/>
      <c r="BW208" s="500">
        <v>306.3</v>
      </c>
      <c r="BX208" s="524"/>
      <c r="BY208" s="524"/>
      <c r="BZ208" s="526"/>
      <c r="CA208" s="500">
        <v>305</v>
      </c>
      <c r="CB208" s="524"/>
      <c r="CC208" s="524"/>
      <c r="CD208" s="526"/>
      <c r="CE208" s="1017">
        <v>307</v>
      </c>
      <c r="CF208" s="524"/>
      <c r="CG208" s="524"/>
      <c r="CH208" s="526"/>
      <c r="CI208" s="1017">
        <v>264</v>
      </c>
      <c r="CJ208" s="485"/>
      <c r="CK208" s="485"/>
      <c r="CL208" s="420"/>
      <c r="CM208" s="1017">
        <v>233</v>
      </c>
      <c r="CN208" s="485"/>
      <c r="CO208" s="499"/>
      <c r="CP208" s="420"/>
      <c r="CQ208" s="1017">
        <f>AVERAGE(CQ199:CQ200)</f>
        <v>216</v>
      </c>
      <c r="CR208" s="485"/>
      <c r="CS208" s="499"/>
      <c r="CT208" s="420"/>
      <c r="CU208" s="1017">
        <v>202</v>
      </c>
      <c r="CV208" s="485"/>
      <c r="CW208" s="499"/>
      <c r="CX208" s="420"/>
      <c r="CY208" s="1017">
        <v>192</v>
      </c>
      <c r="CZ208" s="485"/>
      <c r="DA208" s="499"/>
      <c r="DB208" s="420"/>
      <c r="DC208" s="1017">
        <v>177</v>
      </c>
      <c r="DD208" s="485"/>
      <c r="DE208" s="499"/>
      <c r="DF208" s="420"/>
      <c r="DG208" s="1017">
        <v>166</v>
      </c>
      <c r="DH208" s="485"/>
      <c r="DI208" s="499"/>
      <c r="DJ208" s="499"/>
      <c r="DK208" s="1037">
        <f>AVERAGE(DK199:DK200)</f>
        <v>161.60522727272729</v>
      </c>
      <c r="DL208" s="485"/>
      <c r="DM208" s="499"/>
      <c r="DN208" s="499"/>
      <c r="DO208" s="303" t="s">
        <v>232</v>
      </c>
    </row>
    <row r="209" spans="1:119" x14ac:dyDescent="0.2">
      <c r="A209" s="448" t="s">
        <v>92</v>
      </c>
      <c r="C209" s="501">
        <v>213.376</v>
      </c>
      <c r="D209" s="524"/>
      <c r="E209" s="524"/>
      <c r="F209" s="525"/>
      <c r="G209" s="501">
        <v>213.04</v>
      </c>
      <c r="H209" s="524"/>
      <c r="I209" s="524"/>
      <c r="J209" s="526"/>
      <c r="K209" s="501">
        <v>281.32799999999997</v>
      </c>
      <c r="L209" s="524"/>
      <c r="M209" s="524"/>
      <c r="N209" s="526"/>
      <c r="O209" s="501">
        <v>293.2</v>
      </c>
      <c r="P209" s="524"/>
      <c r="Q209" s="524"/>
      <c r="R209" s="525"/>
      <c r="S209" s="501">
        <v>294.03199999999998</v>
      </c>
      <c r="T209" s="524"/>
      <c r="U209" s="524"/>
      <c r="V209" s="526"/>
      <c r="W209" s="501">
        <v>294.8</v>
      </c>
      <c r="X209" s="524"/>
      <c r="Y209" s="524"/>
      <c r="Z209" s="526"/>
      <c r="AA209" s="501">
        <v>296</v>
      </c>
      <c r="AB209" s="524"/>
      <c r="AC209" s="524"/>
      <c r="AD209" s="526"/>
      <c r="AE209" s="501">
        <v>315.37200000000001</v>
      </c>
      <c r="AF209" s="524"/>
      <c r="AG209" s="524"/>
      <c r="AH209" s="526"/>
      <c r="AI209" s="501">
        <v>316.49599999999998</v>
      </c>
      <c r="AJ209" s="524"/>
      <c r="AK209" s="524"/>
      <c r="AL209" s="526"/>
      <c r="AM209" s="501">
        <v>326.07400000000001</v>
      </c>
      <c r="AN209" s="524"/>
      <c r="AO209" s="524"/>
      <c r="AP209" s="526"/>
      <c r="AQ209" s="501">
        <v>331.69600000000003</v>
      </c>
      <c r="AR209" s="524"/>
      <c r="AS209" s="524"/>
      <c r="AT209" s="526"/>
      <c r="AU209" s="501">
        <v>334.99900000000002</v>
      </c>
      <c r="AV209" s="524"/>
      <c r="AW209" s="524"/>
      <c r="AX209" s="526"/>
      <c r="AY209" s="501">
        <v>337.17500000000001</v>
      </c>
      <c r="AZ209" s="524"/>
      <c r="BA209" s="524"/>
      <c r="BB209" s="526"/>
      <c r="BC209" s="501">
        <v>340.04300000000001</v>
      </c>
      <c r="BD209" s="524"/>
      <c r="BE209" s="524"/>
      <c r="BF209" s="526"/>
      <c r="BG209" s="501">
        <v>343.2</v>
      </c>
      <c r="BH209" s="524"/>
      <c r="BI209" s="524"/>
      <c r="BJ209" s="526"/>
      <c r="BK209" s="501">
        <v>344.7</v>
      </c>
      <c r="BL209" s="524"/>
      <c r="BM209" s="524"/>
      <c r="BN209" s="526"/>
      <c r="BO209" s="501">
        <v>324.5</v>
      </c>
      <c r="BP209" s="524"/>
      <c r="BQ209" s="524"/>
      <c r="BR209" s="526"/>
      <c r="BS209" s="501">
        <v>312.89999999999998</v>
      </c>
      <c r="BT209" s="524"/>
      <c r="BU209" s="524"/>
      <c r="BV209" s="526"/>
      <c r="BW209" s="501">
        <v>305</v>
      </c>
      <c r="BX209" s="524"/>
      <c r="BY209" s="524"/>
      <c r="BZ209" s="526"/>
      <c r="CA209" s="501">
        <v>306</v>
      </c>
      <c r="CB209" s="524"/>
      <c r="CC209" s="524"/>
      <c r="CD209" s="526"/>
      <c r="CE209" s="1018">
        <v>295</v>
      </c>
      <c r="CF209" s="524"/>
      <c r="CG209" s="524"/>
      <c r="CH209" s="526"/>
      <c r="CI209" s="1018">
        <v>251</v>
      </c>
      <c r="CJ209" s="485"/>
      <c r="CK209" s="485"/>
      <c r="CL209" s="420"/>
      <c r="CM209" s="1018">
        <v>227</v>
      </c>
      <c r="CN209" s="485"/>
      <c r="CO209" s="499"/>
      <c r="CP209" s="420"/>
      <c r="CQ209" s="1018">
        <v>213</v>
      </c>
      <c r="CR209" s="485"/>
      <c r="CS209" s="499"/>
      <c r="CT209" s="420"/>
      <c r="CU209" s="1018">
        <v>199</v>
      </c>
      <c r="CV209" s="485"/>
      <c r="CW209" s="499"/>
      <c r="CX209" s="420"/>
      <c r="CY209" s="1018">
        <v>187</v>
      </c>
      <c r="CZ209" s="485"/>
      <c r="DA209" s="499"/>
      <c r="DB209" s="420"/>
      <c r="DC209" s="1018">
        <v>174</v>
      </c>
      <c r="DD209" s="485"/>
      <c r="DE209" s="499"/>
      <c r="DF209" s="420"/>
      <c r="DG209" s="1018">
        <v>165</v>
      </c>
      <c r="DH209" s="485"/>
      <c r="DI209" s="499"/>
      <c r="DJ209" s="499"/>
      <c r="DK209" s="1038">
        <f>AVERAGE(DK200:DK201)</f>
        <v>161.35522727272729</v>
      </c>
      <c r="DL209" s="485"/>
      <c r="DM209" s="499"/>
      <c r="DN209" s="499"/>
      <c r="DO209" s="303" t="s">
        <v>232</v>
      </c>
    </row>
    <row r="210" spans="1:119" x14ac:dyDescent="0.2">
      <c r="A210" s="448" t="s">
        <v>93</v>
      </c>
      <c r="C210" s="550">
        <f>AVERAGE(C206:C209)</f>
        <v>213.376</v>
      </c>
      <c r="D210" s="551"/>
      <c r="E210" s="524"/>
      <c r="F210" s="530"/>
      <c r="G210" s="550">
        <f>AVERAGE(G206:G209)</f>
        <v>213.04</v>
      </c>
      <c r="H210" s="551"/>
      <c r="I210" s="524"/>
      <c r="J210" s="530"/>
      <c r="K210" s="550">
        <f>AVERAGE(K206:K209)</f>
        <v>261.262</v>
      </c>
      <c r="L210" s="552"/>
      <c r="M210" s="553"/>
      <c r="N210" s="530"/>
      <c r="O210" s="550">
        <f>AVERAGE(O206:O209)</f>
        <v>293.048</v>
      </c>
      <c r="P210" s="552"/>
      <c r="Q210" s="553"/>
      <c r="R210" s="530"/>
      <c r="S210" s="550">
        <f>AVERAGE(S206:S209)</f>
        <v>293.63799999999998</v>
      </c>
      <c r="T210" s="552"/>
      <c r="U210" s="553"/>
      <c r="V210" s="530"/>
      <c r="W210" s="550">
        <f>AVERAGE(W206:W209)</f>
        <v>294.33199999999999</v>
      </c>
      <c r="X210" s="552"/>
      <c r="Y210" s="553"/>
      <c r="Z210" s="530"/>
      <c r="AA210" s="527">
        <v>226.4</v>
      </c>
      <c r="AB210" s="532"/>
      <c r="AC210" s="533"/>
      <c r="AD210" s="531"/>
      <c r="AE210" s="527">
        <v>247.375</v>
      </c>
      <c r="AF210" s="532"/>
      <c r="AG210" s="533"/>
      <c r="AH210" s="531"/>
      <c r="AI210" s="527">
        <v>252.25</v>
      </c>
      <c r="AJ210" s="532"/>
      <c r="AK210" s="533"/>
      <c r="AL210" s="531"/>
      <c r="AM210" s="527">
        <v>259.39999999999998</v>
      </c>
      <c r="AN210" s="532"/>
      <c r="AO210" s="533"/>
      <c r="AP210" s="531"/>
      <c r="AQ210" s="527">
        <v>261.8</v>
      </c>
      <c r="AR210" s="532"/>
      <c r="AS210" s="533"/>
      <c r="AT210" s="531"/>
      <c r="AU210" s="527">
        <v>267</v>
      </c>
      <c r="AV210" s="532"/>
      <c r="AW210" s="533"/>
      <c r="AX210" s="531"/>
      <c r="AY210" s="527">
        <v>269</v>
      </c>
      <c r="AZ210" s="532"/>
      <c r="BA210" s="533"/>
      <c r="BB210" s="531"/>
      <c r="BC210" s="527">
        <v>274</v>
      </c>
      <c r="BD210" s="532"/>
      <c r="BE210" s="533"/>
      <c r="BF210" s="531"/>
      <c r="BG210" s="527">
        <v>271.39999999999998</v>
      </c>
      <c r="BH210" s="532"/>
      <c r="BI210" s="534"/>
      <c r="BJ210" s="531"/>
      <c r="BK210" s="527">
        <v>232.9</v>
      </c>
      <c r="BL210" s="532"/>
      <c r="BM210" s="534"/>
      <c r="BN210" s="531"/>
      <c r="BO210" s="527">
        <v>225.5</v>
      </c>
      <c r="BP210" s="532"/>
      <c r="BQ210" s="533"/>
      <c r="BR210" s="531"/>
      <c r="BS210" s="527">
        <v>221.7</v>
      </c>
      <c r="BT210" s="532"/>
      <c r="BU210" s="533"/>
      <c r="BV210" s="531"/>
      <c r="BW210" s="527">
        <v>222.258048</v>
      </c>
      <c r="BX210" s="532"/>
      <c r="BY210" s="533"/>
      <c r="BZ210" s="531"/>
      <c r="CA210" s="527">
        <v>236</v>
      </c>
      <c r="CB210" s="532"/>
      <c r="CC210" s="533"/>
      <c r="CD210" s="531"/>
      <c r="CE210" s="1019">
        <v>237</v>
      </c>
      <c r="CF210" s="532"/>
      <c r="CG210" s="533"/>
      <c r="CH210" s="531"/>
      <c r="CI210" s="1019">
        <v>215.9</v>
      </c>
      <c r="CJ210" s="535"/>
      <c r="CK210" s="499"/>
      <c r="CM210" s="1019">
        <v>235</v>
      </c>
      <c r="CN210" s="535"/>
      <c r="CO210" s="499"/>
      <c r="CQ210" s="1019">
        <v>218</v>
      </c>
      <c r="CR210" s="535"/>
      <c r="CS210" s="499"/>
      <c r="CU210" s="1019">
        <v>203</v>
      </c>
      <c r="CV210" s="535"/>
      <c r="CW210" s="499"/>
      <c r="CY210" s="1019">
        <f>AVERAGE(CY206:CY209)</f>
        <v>193.75</v>
      </c>
      <c r="CZ210" s="535"/>
      <c r="DA210" s="499"/>
      <c r="DC210" s="1019">
        <f>AVERAGE(DC206:DC209)</f>
        <v>178.5</v>
      </c>
      <c r="DD210" s="535"/>
      <c r="DE210" s="499"/>
      <c r="DG210" s="1019">
        <v>167</v>
      </c>
      <c r="DH210" s="535"/>
      <c r="DI210" s="499"/>
      <c r="DJ210" s="499"/>
      <c r="DK210" s="1034">
        <f>AVERAGE(DK206:DK209)</f>
        <v>162.54272727272729</v>
      </c>
      <c r="DL210" s="535"/>
      <c r="DM210" s="499"/>
      <c r="DN210" s="499"/>
      <c r="DO210" s="303" t="s">
        <v>232</v>
      </c>
    </row>
    <row r="211" spans="1:119" x14ac:dyDescent="0.2">
      <c r="DO211" s="303" t="s">
        <v>232</v>
      </c>
    </row>
    <row r="212" spans="1:119" x14ac:dyDescent="0.2">
      <c r="DO212" s="303" t="s">
        <v>232</v>
      </c>
    </row>
    <row r="213" spans="1:119" x14ac:dyDescent="0.2">
      <c r="CM213" s="554"/>
      <c r="DO213" s="303" t="s">
        <v>232</v>
      </c>
    </row>
    <row r="214" spans="1:119" x14ac:dyDescent="0.2">
      <c r="CM214" s="554"/>
      <c r="DO214" s="303" t="s">
        <v>232</v>
      </c>
    </row>
    <row r="215" spans="1:119" x14ac:dyDescent="0.2">
      <c r="DO215" s="303" t="s">
        <v>232</v>
      </c>
    </row>
    <row r="216" spans="1:119" x14ac:dyDescent="0.2">
      <c r="DO216" s="303" t="s">
        <v>232</v>
      </c>
    </row>
    <row r="217" spans="1:119" x14ac:dyDescent="0.2">
      <c r="DO217" s="303" t="s">
        <v>232</v>
      </c>
    </row>
    <row r="218" spans="1:119" x14ac:dyDescent="0.2">
      <c r="BT218" s="419"/>
      <c r="DO218" s="303" t="s">
        <v>232</v>
      </c>
    </row>
    <row r="219" spans="1:119" x14ac:dyDescent="0.2">
      <c r="DO219" s="303" t="s">
        <v>232</v>
      </c>
    </row>
    <row r="220" spans="1:119" x14ac:dyDescent="0.2">
      <c r="DO220" s="303" t="s">
        <v>232</v>
      </c>
    </row>
    <row r="221" spans="1:119" x14ac:dyDescent="0.2">
      <c r="DO221" s="303" t="s">
        <v>232</v>
      </c>
    </row>
    <row r="222" spans="1:119" x14ac:dyDescent="0.2">
      <c r="DO222" s="303" t="s">
        <v>232</v>
      </c>
    </row>
    <row r="223" spans="1:119" x14ac:dyDescent="0.2">
      <c r="CJ223" s="310"/>
      <c r="CK223" s="419"/>
      <c r="DO223" s="303" t="s">
        <v>232</v>
      </c>
    </row>
    <row r="224" spans="1:119" x14ac:dyDescent="0.2">
      <c r="CJ224" s="310"/>
      <c r="CK224" s="419"/>
      <c r="DO224" s="303" t="s">
        <v>232</v>
      </c>
    </row>
    <row r="225" spans="119:119" x14ac:dyDescent="0.2">
      <c r="DO225" s="303" t="s">
        <v>232</v>
      </c>
    </row>
    <row r="226" spans="119:119" x14ac:dyDescent="0.2">
      <c r="DO226" s="303" t="s">
        <v>232</v>
      </c>
    </row>
    <row r="227" spans="119:119" x14ac:dyDescent="0.2">
      <c r="DO227" s="303" t="s">
        <v>232</v>
      </c>
    </row>
    <row r="228" spans="119:119" x14ac:dyDescent="0.2">
      <c r="DO228" s="303" t="s">
        <v>232</v>
      </c>
    </row>
    <row r="229" spans="119:119" x14ac:dyDescent="0.2">
      <c r="DO229" s="303" t="s">
        <v>232</v>
      </c>
    </row>
    <row r="230" spans="119:119" x14ac:dyDescent="0.2">
      <c r="DO230" s="303" t="s">
        <v>232</v>
      </c>
    </row>
    <row r="231" spans="119:119" x14ac:dyDescent="0.2">
      <c r="DO231" s="303" t="s">
        <v>232</v>
      </c>
    </row>
    <row r="232" spans="119:119" x14ac:dyDescent="0.2">
      <c r="DO232" s="303" t="s">
        <v>232</v>
      </c>
    </row>
    <row r="233" spans="119:119" x14ac:dyDescent="0.2">
      <c r="DO233" s="303" t="s">
        <v>232</v>
      </c>
    </row>
    <row r="234" spans="119:119" x14ac:dyDescent="0.2">
      <c r="DO234" s="303" t="s">
        <v>232</v>
      </c>
    </row>
    <row r="235" spans="119:119" x14ac:dyDescent="0.2">
      <c r="DO235" s="303" t="s">
        <v>232</v>
      </c>
    </row>
    <row r="236" spans="119:119" x14ac:dyDescent="0.2">
      <c r="DO236" s="303" t="s">
        <v>232</v>
      </c>
    </row>
    <row r="237" spans="119:119" x14ac:dyDescent="0.2">
      <c r="DO237" s="303" t="s">
        <v>232</v>
      </c>
    </row>
    <row r="238" spans="119:119" x14ac:dyDescent="0.2">
      <c r="DO238" s="303" t="s">
        <v>232</v>
      </c>
    </row>
    <row r="239" spans="119:119" x14ac:dyDescent="0.2">
      <c r="DO239" s="303" t="s">
        <v>232</v>
      </c>
    </row>
    <row r="240" spans="119:119" x14ac:dyDescent="0.2">
      <c r="DO240" s="303" t="s">
        <v>232</v>
      </c>
    </row>
    <row r="241" spans="119:119" x14ac:dyDescent="0.2">
      <c r="DO241" s="303" t="s">
        <v>232</v>
      </c>
    </row>
    <row r="242" spans="119:119" x14ac:dyDescent="0.2">
      <c r="DO242" s="303" t="s">
        <v>232</v>
      </c>
    </row>
    <row r="243" spans="119:119" x14ac:dyDescent="0.2">
      <c r="DO243" s="303" t="s">
        <v>232</v>
      </c>
    </row>
    <row r="244" spans="119:119" x14ac:dyDescent="0.2">
      <c r="DO244" s="303" t="s">
        <v>232</v>
      </c>
    </row>
    <row r="245" spans="119:119" x14ac:dyDescent="0.2">
      <c r="DO245" s="303" t="s">
        <v>232</v>
      </c>
    </row>
    <row r="246" spans="119:119" x14ac:dyDescent="0.2">
      <c r="DO246" s="303" t="s">
        <v>232</v>
      </c>
    </row>
    <row r="247" spans="119:119" x14ac:dyDescent="0.2">
      <c r="DO247" s="303" t="s">
        <v>232</v>
      </c>
    </row>
    <row r="248" spans="119:119" x14ac:dyDescent="0.2">
      <c r="DO248" s="303" t="s">
        <v>232</v>
      </c>
    </row>
    <row r="249" spans="119:119" x14ac:dyDescent="0.2">
      <c r="DO249" s="303" t="s">
        <v>232</v>
      </c>
    </row>
    <row r="250" spans="119:119" x14ac:dyDescent="0.2">
      <c r="DO250" s="303" t="s">
        <v>232</v>
      </c>
    </row>
    <row r="251" spans="119:119" x14ac:dyDescent="0.2">
      <c r="DO251" s="303" t="s">
        <v>232</v>
      </c>
    </row>
    <row r="252" spans="119:119" x14ac:dyDescent="0.2">
      <c r="DO252" s="303" t="s">
        <v>232</v>
      </c>
    </row>
    <row r="253" spans="119:119" x14ac:dyDescent="0.2">
      <c r="DO253" s="303" t="s">
        <v>232</v>
      </c>
    </row>
    <row r="254" spans="119:119" x14ac:dyDescent="0.2">
      <c r="DO254" s="303" t="s">
        <v>232</v>
      </c>
    </row>
    <row r="255" spans="119:119" x14ac:dyDescent="0.2">
      <c r="DO255" s="303" t="s">
        <v>232</v>
      </c>
    </row>
    <row r="256" spans="119:119" x14ac:dyDescent="0.2">
      <c r="DO256" s="303" t="s">
        <v>232</v>
      </c>
    </row>
    <row r="257" spans="119:119" x14ac:dyDescent="0.2">
      <c r="DO257" s="303" t="s">
        <v>232</v>
      </c>
    </row>
    <row r="258" spans="119:119" x14ac:dyDescent="0.2">
      <c r="DO258" s="303" t="s">
        <v>232</v>
      </c>
    </row>
    <row r="259" spans="119:119" x14ac:dyDescent="0.2">
      <c r="DO259" s="303" t="s">
        <v>232</v>
      </c>
    </row>
    <row r="260" spans="119:119" x14ac:dyDescent="0.2">
      <c r="DO260" s="303" t="s">
        <v>232</v>
      </c>
    </row>
    <row r="261" spans="119:119" x14ac:dyDescent="0.2">
      <c r="DO261" s="303" t="s">
        <v>232</v>
      </c>
    </row>
    <row r="262" spans="119:119" x14ac:dyDescent="0.2">
      <c r="DO262" s="303" t="s">
        <v>232</v>
      </c>
    </row>
    <row r="263" spans="119:119" x14ac:dyDescent="0.2">
      <c r="DO263" s="303" t="s">
        <v>232</v>
      </c>
    </row>
    <row r="264" spans="119:119" x14ac:dyDescent="0.2">
      <c r="DO264" s="303" t="s">
        <v>232</v>
      </c>
    </row>
    <row r="265" spans="119:119" x14ac:dyDescent="0.2">
      <c r="DO265" s="303" t="s">
        <v>232</v>
      </c>
    </row>
    <row r="266" spans="119:119" x14ac:dyDescent="0.2">
      <c r="DO266" s="303" t="s">
        <v>232</v>
      </c>
    </row>
    <row r="267" spans="119:119" x14ac:dyDescent="0.2">
      <c r="DO267" s="303" t="s">
        <v>232</v>
      </c>
    </row>
    <row r="268" spans="119:119" x14ac:dyDescent="0.2">
      <c r="DO268" s="303" t="s">
        <v>232</v>
      </c>
    </row>
    <row r="269" spans="119:119" x14ac:dyDescent="0.2">
      <c r="DO269" s="303" t="s">
        <v>232</v>
      </c>
    </row>
    <row r="270" spans="119:119" x14ac:dyDescent="0.2">
      <c r="DO270" s="303" t="s">
        <v>232</v>
      </c>
    </row>
    <row r="271" spans="119:119" x14ac:dyDescent="0.2">
      <c r="DO271" s="303" t="s">
        <v>232</v>
      </c>
    </row>
    <row r="272" spans="119:119" x14ac:dyDescent="0.2">
      <c r="DO272" s="303" t="s">
        <v>232</v>
      </c>
    </row>
    <row r="273" spans="119:119" x14ac:dyDescent="0.2">
      <c r="DO273" s="303" t="s">
        <v>232</v>
      </c>
    </row>
    <row r="274" spans="119:119" x14ac:dyDescent="0.2">
      <c r="DO274" s="303" t="s">
        <v>232</v>
      </c>
    </row>
    <row r="275" spans="119:119" x14ac:dyDescent="0.2">
      <c r="DO275" s="303" t="s">
        <v>232</v>
      </c>
    </row>
    <row r="276" spans="119:119" x14ac:dyDescent="0.2">
      <c r="DO276" s="303" t="s">
        <v>232</v>
      </c>
    </row>
    <row r="277" spans="119:119" x14ac:dyDescent="0.2">
      <c r="DO277" s="303" t="s">
        <v>232</v>
      </c>
    </row>
    <row r="278" spans="119:119" x14ac:dyDescent="0.2">
      <c r="DO278" s="303" t="s">
        <v>232</v>
      </c>
    </row>
    <row r="279" spans="119:119" x14ac:dyDescent="0.2">
      <c r="DO279" s="303" t="s">
        <v>232</v>
      </c>
    </row>
    <row r="280" spans="119:119" x14ac:dyDescent="0.2">
      <c r="DO280" s="303" t="s">
        <v>232</v>
      </c>
    </row>
    <row r="281" spans="119:119" x14ac:dyDescent="0.2">
      <c r="DO281" s="303" t="s">
        <v>232</v>
      </c>
    </row>
    <row r="282" spans="119:119" x14ac:dyDescent="0.2">
      <c r="DO282" s="303" t="s">
        <v>232</v>
      </c>
    </row>
    <row r="283" spans="119:119" x14ac:dyDescent="0.2">
      <c r="DO283" s="303" t="s">
        <v>232</v>
      </c>
    </row>
    <row r="284" spans="119:119" x14ac:dyDescent="0.2">
      <c r="DO284" s="303" t="s">
        <v>232</v>
      </c>
    </row>
    <row r="285" spans="119:119" x14ac:dyDescent="0.2">
      <c r="DO285" s="303" t="s">
        <v>232</v>
      </c>
    </row>
    <row r="286" spans="119:119" x14ac:dyDescent="0.2">
      <c r="DO286" s="303" t="s">
        <v>232</v>
      </c>
    </row>
    <row r="287" spans="119:119" x14ac:dyDescent="0.2">
      <c r="DO287" s="303" t="s">
        <v>232</v>
      </c>
    </row>
    <row r="288" spans="119:119" x14ac:dyDescent="0.2">
      <c r="DO288" s="303" t="s">
        <v>232</v>
      </c>
    </row>
    <row r="289" spans="119:119" x14ac:dyDescent="0.2">
      <c r="DO289" s="303" t="s">
        <v>232</v>
      </c>
    </row>
    <row r="290" spans="119:119" x14ac:dyDescent="0.2">
      <c r="DO290" s="303" t="s">
        <v>232</v>
      </c>
    </row>
    <row r="291" spans="119:119" x14ac:dyDescent="0.2">
      <c r="DO291" s="303" t="s">
        <v>232</v>
      </c>
    </row>
    <row r="292" spans="119:119" x14ac:dyDescent="0.2">
      <c r="DO292" s="303" t="s">
        <v>232</v>
      </c>
    </row>
    <row r="293" spans="119:119" x14ac:dyDescent="0.2">
      <c r="DO293" s="303" t="s">
        <v>232</v>
      </c>
    </row>
    <row r="294" spans="119:119" x14ac:dyDescent="0.2">
      <c r="DO294" s="303" t="s">
        <v>232</v>
      </c>
    </row>
    <row r="295" spans="119:119" x14ac:dyDescent="0.2">
      <c r="DO295" s="303" t="s">
        <v>232</v>
      </c>
    </row>
    <row r="296" spans="119:119" x14ac:dyDescent="0.2">
      <c r="DO296" s="303" t="s">
        <v>232</v>
      </c>
    </row>
    <row r="297" spans="119:119" x14ac:dyDescent="0.2">
      <c r="DO297" s="303" t="s">
        <v>232</v>
      </c>
    </row>
    <row r="298" spans="119:119" x14ac:dyDescent="0.2">
      <c r="DO298" s="303" t="s">
        <v>232</v>
      </c>
    </row>
    <row r="299" spans="119:119" x14ac:dyDescent="0.2">
      <c r="DO299" s="303" t="s">
        <v>232</v>
      </c>
    </row>
    <row r="300" spans="119:119" x14ac:dyDescent="0.2">
      <c r="DO300" s="303" t="s">
        <v>232</v>
      </c>
    </row>
    <row r="301" spans="119:119" x14ac:dyDescent="0.2">
      <c r="DO301" s="303" t="s">
        <v>232</v>
      </c>
    </row>
    <row r="302" spans="119:119" x14ac:dyDescent="0.2">
      <c r="DO302" s="303" t="s">
        <v>232</v>
      </c>
    </row>
    <row r="303" spans="119:119" x14ac:dyDescent="0.2">
      <c r="DO303" s="303" t="s">
        <v>232</v>
      </c>
    </row>
    <row r="304" spans="119:119" x14ac:dyDescent="0.2">
      <c r="DO304" s="303" t="s">
        <v>232</v>
      </c>
    </row>
    <row r="305" spans="119:119" x14ac:dyDescent="0.2">
      <c r="DO305" s="303" t="s">
        <v>232</v>
      </c>
    </row>
    <row r="306" spans="119:119" x14ac:dyDescent="0.2">
      <c r="DO306" s="303" t="s">
        <v>232</v>
      </c>
    </row>
    <row r="307" spans="119:119" x14ac:dyDescent="0.2">
      <c r="DO307" s="303" t="s">
        <v>232</v>
      </c>
    </row>
    <row r="308" spans="119:119" x14ac:dyDescent="0.2">
      <c r="DO308" s="303" t="s">
        <v>232</v>
      </c>
    </row>
    <row r="309" spans="119:119" x14ac:dyDescent="0.2">
      <c r="DO309" s="303" t="s">
        <v>232</v>
      </c>
    </row>
    <row r="310" spans="119:119" x14ac:dyDescent="0.2">
      <c r="DO310" s="303" t="s">
        <v>232</v>
      </c>
    </row>
    <row r="311" spans="119:119" x14ac:dyDescent="0.2">
      <c r="DO311" s="303" t="s">
        <v>232</v>
      </c>
    </row>
    <row r="312" spans="119:119" x14ac:dyDescent="0.2">
      <c r="DO312" s="303" t="s">
        <v>232</v>
      </c>
    </row>
    <row r="313" spans="119:119" x14ac:dyDescent="0.2">
      <c r="DO313" s="303" t="s">
        <v>232</v>
      </c>
    </row>
    <row r="314" spans="119:119" x14ac:dyDescent="0.2">
      <c r="DO314" s="303" t="s">
        <v>232</v>
      </c>
    </row>
    <row r="315" spans="119:119" x14ac:dyDescent="0.2">
      <c r="DO315" s="303" t="s">
        <v>232</v>
      </c>
    </row>
    <row r="316" spans="119:119" x14ac:dyDescent="0.2">
      <c r="DO316" s="303" t="s">
        <v>232</v>
      </c>
    </row>
    <row r="317" spans="119:119" x14ac:dyDescent="0.2">
      <c r="DO317" s="303" t="s">
        <v>232</v>
      </c>
    </row>
    <row r="318" spans="119:119" x14ac:dyDescent="0.2">
      <c r="DO318" s="303" t="s">
        <v>232</v>
      </c>
    </row>
    <row r="319" spans="119:119" x14ac:dyDescent="0.2">
      <c r="DO319" s="303" t="s">
        <v>232</v>
      </c>
    </row>
    <row r="320" spans="119:119" x14ac:dyDescent="0.2">
      <c r="DO320" s="303" t="s">
        <v>232</v>
      </c>
    </row>
    <row r="321" spans="119:119" x14ac:dyDescent="0.2">
      <c r="DO321" s="303" t="s">
        <v>232</v>
      </c>
    </row>
    <row r="322" spans="119:119" x14ac:dyDescent="0.2">
      <c r="DO322" s="303" t="s">
        <v>232</v>
      </c>
    </row>
    <row r="323" spans="119:119" x14ac:dyDescent="0.2">
      <c r="DO323" s="303" t="s">
        <v>232</v>
      </c>
    </row>
    <row r="324" spans="119:119" x14ac:dyDescent="0.2">
      <c r="DO324" s="303" t="s">
        <v>232</v>
      </c>
    </row>
    <row r="325" spans="119:119" x14ac:dyDescent="0.2">
      <c r="DO325" s="303" t="s">
        <v>232</v>
      </c>
    </row>
    <row r="326" spans="119:119" x14ac:dyDescent="0.2">
      <c r="DO326" s="303" t="s">
        <v>232</v>
      </c>
    </row>
    <row r="327" spans="119:119" x14ac:dyDescent="0.2">
      <c r="DO327" s="303" t="s">
        <v>232</v>
      </c>
    </row>
    <row r="328" spans="119:119" x14ac:dyDescent="0.2">
      <c r="DO328" s="303" t="s">
        <v>232</v>
      </c>
    </row>
    <row r="329" spans="119:119" x14ac:dyDescent="0.2">
      <c r="DO329" s="303" t="s">
        <v>232</v>
      </c>
    </row>
    <row r="330" spans="119:119" x14ac:dyDescent="0.2">
      <c r="DO330" s="303" t="s">
        <v>232</v>
      </c>
    </row>
    <row r="331" spans="119:119" x14ac:dyDescent="0.2">
      <c r="DO331" s="303" t="s">
        <v>232</v>
      </c>
    </row>
    <row r="332" spans="119:119" x14ac:dyDescent="0.2">
      <c r="DO332" s="303" t="s">
        <v>232</v>
      </c>
    </row>
    <row r="333" spans="119:119" x14ac:dyDescent="0.2">
      <c r="DO333" s="303" t="s">
        <v>232</v>
      </c>
    </row>
    <row r="334" spans="119:119" x14ac:dyDescent="0.2">
      <c r="DO334" s="303" t="s">
        <v>232</v>
      </c>
    </row>
    <row r="335" spans="119:119" x14ac:dyDescent="0.2">
      <c r="DO335" s="303" t="s">
        <v>232</v>
      </c>
    </row>
    <row r="336" spans="119:119" x14ac:dyDescent="0.2">
      <c r="DO336" s="303" t="s">
        <v>232</v>
      </c>
    </row>
    <row r="337" spans="119:119" x14ac:dyDescent="0.2">
      <c r="DO337" s="303" t="s">
        <v>232</v>
      </c>
    </row>
    <row r="338" spans="119:119" x14ac:dyDescent="0.2">
      <c r="DO338" s="303" t="s">
        <v>232</v>
      </c>
    </row>
    <row r="339" spans="119:119" x14ac:dyDescent="0.2">
      <c r="DO339" s="303" t="s">
        <v>232</v>
      </c>
    </row>
    <row r="340" spans="119:119" x14ac:dyDescent="0.2">
      <c r="DO340" s="303" t="s">
        <v>232</v>
      </c>
    </row>
    <row r="341" spans="119:119" x14ac:dyDescent="0.2">
      <c r="DO341" s="303" t="s">
        <v>232</v>
      </c>
    </row>
    <row r="342" spans="119:119" x14ac:dyDescent="0.2">
      <c r="DO342" s="303" t="s">
        <v>232</v>
      </c>
    </row>
    <row r="343" spans="119:119" x14ac:dyDescent="0.2">
      <c r="DO343" s="303" t="s">
        <v>232</v>
      </c>
    </row>
    <row r="344" spans="119:119" x14ac:dyDescent="0.2">
      <c r="DO344" s="303" t="s">
        <v>232</v>
      </c>
    </row>
    <row r="345" spans="119:119" x14ac:dyDescent="0.2">
      <c r="DO345" s="303" t="s">
        <v>232</v>
      </c>
    </row>
    <row r="346" spans="119:119" x14ac:dyDescent="0.2">
      <c r="DO346" s="303" t="s">
        <v>232</v>
      </c>
    </row>
    <row r="347" spans="119:119" x14ac:dyDescent="0.2">
      <c r="DO347" s="303" t="s">
        <v>232</v>
      </c>
    </row>
    <row r="348" spans="119:119" x14ac:dyDescent="0.2">
      <c r="DO348" s="303" t="s">
        <v>232</v>
      </c>
    </row>
    <row r="349" spans="119:119" x14ac:dyDescent="0.2">
      <c r="DO349" s="303" t="s">
        <v>232</v>
      </c>
    </row>
    <row r="350" spans="119:119" x14ac:dyDescent="0.2">
      <c r="DO350" s="303" t="s">
        <v>232</v>
      </c>
    </row>
    <row r="351" spans="119:119" x14ac:dyDescent="0.2">
      <c r="DO351" s="303" t="s">
        <v>232</v>
      </c>
    </row>
    <row r="352" spans="119:119" x14ac:dyDescent="0.2">
      <c r="DO352" s="303" t="s">
        <v>232</v>
      </c>
    </row>
    <row r="353" spans="119:119" x14ac:dyDescent="0.2">
      <c r="DO353" s="303" t="s">
        <v>232</v>
      </c>
    </row>
    <row r="354" spans="119:119" x14ac:dyDescent="0.2">
      <c r="DO354" s="303" t="s">
        <v>232</v>
      </c>
    </row>
    <row r="355" spans="119:119" x14ac:dyDescent="0.2">
      <c r="DO355" s="303" t="s">
        <v>232</v>
      </c>
    </row>
    <row r="356" spans="119:119" x14ac:dyDescent="0.2">
      <c r="DO356" s="303" t="s">
        <v>232</v>
      </c>
    </row>
    <row r="357" spans="119:119" x14ac:dyDescent="0.2">
      <c r="DO357" s="303" t="s">
        <v>232</v>
      </c>
    </row>
    <row r="358" spans="119:119" x14ac:dyDescent="0.2">
      <c r="DO358" s="303" t="s">
        <v>232</v>
      </c>
    </row>
    <row r="359" spans="119:119" x14ac:dyDescent="0.2">
      <c r="DO359" s="303" t="s">
        <v>232</v>
      </c>
    </row>
    <row r="360" spans="119:119" x14ac:dyDescent="0.2">
      <c r="DO360" s="303" t="s">
        <v>232</v>
      </c>
    </row>
    <row r="361" spans="119:119" x14ac:dyDescent="0.2">
      <c r="DO361" s="303" t="s">
        <v>232</v>
      </c>
    </row>
    <row r="362" spans="119:119" x14ac:dyDescent="0.2">
      <c r="DO362" s="303" t="s">
        <v>232</v>
      </c>
    </row>
    <row r="363" spans="119:119" x14ac:dyDescent="0.2">
      <c r="DO363" s="303" t="s">
        <v>232</v>
      </c>
    </row>
    <row r="364" spans="119:119" x14ac:dyDescent="0.2">
      <c r="DO364" s="303" t="s">
        <v>232</v>
      </c>
    </row>
    <row r="365" spans="119:119" x14ac:dyDescent="0.2">
      <c r="DO365" s="303" t="s">
        <v>232</v>
      </c>
    </row>
    <row r="366" spans="119:119" x14ac:dyDescent="0.2">
      <c r="DO366" s="303" t="s">
        <v>232</v>
      </c>
    </row>
    <row r="367" spans="119:119" x14ac:dyDescent="0.2">
      <c r="DO367" s="303" t="s">
        <v>232</v>
      </c>
    </row>
    <row r="368" spans="119:119" x14ac:dyDescent="0.2">
      <c r="DO368" s="303" t="s">
        <v>232</v>
      </c>
    </row>
    <row r="369" spans="119:119" x14ac:dyDescent="0.2">
      <c r="DO369" s="303" t="s">
        <v>232</v>
      </c>
    </row>
    <row r="370" spans="119:119" x14ac:dyDescent="0.2">
      <c r="DO370" s="303" t="s">
        <v>232</v>
      </c>
    </row>
    <row r="371" spans="119:119" x14ac:dyDescent="0.2">
      <c r="DO371" s="303" t="s">
        <v>232</v>
      </c>
    </row>
    <row r="372" spans="119:119" x14ac:dyDescent="0.2">
      <c r="DO372" s="303" t="s">
        <v>232</v>
      </c>
    </row>
    <row r="373" spans="119:119" x14ac:dyDescent="0.2">
      <c r="DO373" s="303" t="s">
        <v>232</v>
      </c>
    </row>
    <row r="374" spans="119:119" x14ac:dyDescent="0.2">
      <c r="DO374" s="303" t="s">
        <v>232</v>
      </c>
    </row>
    <row r="375" spans="119:119" x14ac:dyDescent="0.2">
      <c r="DO375" s="303" t="s">
        <v>232</v>
      </c>
    </row>
    <row r="376" spans="119:119" x14ac:dyDescent="0.2">
      <c r="DO376" s="303" t="s">
        <v>232</v>
      </c>
    </row>
    <row r="377" spans="119:119" x14ac:dyDescent="0.2">
      <c r="DO377" s="303" t="s">
        <v>232</v>
      </c>
    </row>
    <row r="378" spans="119:119" x14ac:dyDescent="0.2">
      <c r="DO378" s="303" t="s">
        <v>232</v>
      </c>
    </row>
    <row r="379" spans="119:119" x14ac:dyDescent="0.2">
      <c r="DO379" s="303" t="s">
        <v>232</v>
      </c>
    </row>
    <row r="380" spans="119:119" x14ac:dyDescent="0.2">
      <c r="DO380" s="303" t="s">
        <v>232</v>
      </c>
    </row>
    <row r="381" spans="119:119" x14ac:dyDescent="0.2">
      <c r="DO381" s="303" t="s">
        <v>232</v>
      </c>
    </row>
    <row r="382" spans="119:119" x14ac:dyDescent="0.2">
      <c r="DO382" s="303" t="s">
        <v>232</v>
      </c>
    </row>
    <row r="383" spans="119:119" x14ac:dyDescent="0.2">
      <c r="DO383" s="303" t="s">
        <v>232</v>
      </c>
    </row>
    <row r="384" spans="119:119" x14ac:dyDescent="0.2">
      <c r="DO384" s="303" t="s">
        <v>232</v>
      </c>
    </row>
    <row r="385" spans="119:119" x14ac:dyDescent="0.2">
      <c r="DO385" s="303" t="s">
        <v>232</v>
      </c>
    </row>
    <row r="386" spans="119:119" x14ac:dyDescent="0.2">
      <c r="DO386" s="303" t="s">
        <v>232</v>
      </c>
    </row>
    <row r="387" spans="119:119" x14ac:dyDescent="0.2">
      <c r="DO387" s="303" t="s">
        <v>232</v>
      </c>
    </row>
    <row r="388" spans="119:119" x14ac:dyDescent="0.2">
      <c r="DO388" s="303" t="s">
        <v>232</v>
      </c>
    </row>
    <row r="389" spans="119:119" x14ac:dyDescent="0.2">
      <c r="DO389" s="303" t="s">
        <v>232</v>
      </c>
    </row>
    <row r="390" spans="119:119" x14ac:dyDescent="0.2">
      <c r="DO390" s="303" t="s">
        <v>232</v>
      </c>
    </row>
    <row r="391" spans="119:119" x14ac:dyDescent="0.2">
      <c r="DO391" s="303" t="s">
        <v>232</v>
      </c>
    </row>
    <row r="392" spans="119:119" x14ac:dyDescent="0.2">
      <c r="DO392" s="303" t="s">
        <v>232</v>
      </c>
    </row>
    <row r="393" spans="119:119" x14ac:dyDescent="0.2">
      <c r="DO393" s="303" t="s">
        <v>232</v>
      </c>
    </row>
    <row r="394" spans="119:119" x14ac:dyDescent="0.2">
      <c r="DO394" s="303" t="s">
        <v>232</v>
      </c>
    </row>
    <row r="395" spans="119:119" x14ac:dyDescent="0.2">
      <c r="DO395" s="303" t="s">
        <v>232</v>
      </c>
    </row>
    <row r="396" spans="119:119" x14ac:dyDescent="0.2">
      <c r="DO396" s="303" t="s">
        <v>232</v>
      </c>
    </row>
    <row r="397" spans="119:119" x14ac:dyDescent="0.2">
      <c r="DO397" s="303" t="s">
        <v>232</v>
      </c>
    </row>
    <row r="398" spans="119:119" x14ac:dyDescent="0.2">
      <c r="DO398" s="303" t="s">
        <v>232</v>
      </c>
    </row>
    <row r="399" spans="119:119" x14ac:dyDescent="0.2">
      <c r="DO399" s="303" t="s">
        <v>232</v>
      </c>
    </row>
    <row r="400" spans="119:119" x14ac:dyDescent="0.2">
      <c r="DO400" s="303" t="s">
        <v>232</v>
      </c>
    </row>
    <row r="401" spans="119:119" x14ac:dyDescent="0.2">
      <c r="DO401" s="303" t="s">
        <v>232</v>
      </c>
    </row>
    <row r="402" spans="119:119" x14ac:dyDescent="0.2">
      <c r="DO402" s="303" t="s">
        <v>232</v>
      </c>
    </row>
    <row r="403" spans="119:119" x14ac:dyDescent="0.2">
      <c r="DO403" s="303" t="s">
        <v>232</v>
      </c>
    </row>
    <row r="404" spans="119:119" x14ac:dyDescent="0.2">
      <c r="DO404" s="303" t="s">
        <v>232</v>
      </c>
    </row>
    <row r="405" spans="119:119" x14ac:dyDescent="0.2">
      <c r="DO405" s="303" t="s">
        <v>232</v>
      </c>
    </row>
    <row r="406" spans="119:119" x14ac:dyDescent="0.2">
      <c r="DO406" s="303" t="s">
        <v>232</v>
      </c>
    </row>
    <row r="407" spans="119:119" x14ac:dyDescent="0.2">
      <c r="DO407" s="303" t="s">
        <v>232</v>
      </c>
    </row>
    <row r="408" spans="119:119" x14ac:dyDescent="0.2">
      <c r="DO408" s="303" t="s">
        <v>232</v>
      </c>
    </row>
    <row r="409" spans="119:119" x14ac:dyDescent="0.2">
      <c r="DO409" s="303" t="s">
        <v>232</v>
      </c>
    </row>
    <row r="410" spans="119:119" x14ac:dyDescent="0.2">
      <c r="DO410" s="303" t="s">
        <v>232</v>
      </c>
    </row>
    <row r="411" spans="119:119" x14ac:dyDescent="0.2">
      <c r="DO411" s="303" t="s">
        <v>232</v>
      </c>
    </row>
    <row r="412" spans="119:119" x14ac:dyDescent="0.2">
      <c r="DO412" s="303" t="s">
        <v>232</v>
      </c>
    </row>
    <row r="413" spans="119:119" x14ac:dyDescent="0.2">
      <c r="DO413" s="303" t="s">
        <v>232</v>
      </c>
    </row>
    <row r="414" spans="119:119" x14ac:dyDescent="0.2">
      <c r="DO414" s="303" t="s">
        <v>232</v>
      </c>
    </row>
    <row r="415" spans="119:119" x14ac:dyDescent="0.2">
      <c r="DO415" s="303" t="s">
        <v>232</v>
      </c>
    </row>
    <row r="416" spans="119:119" x14ac:dyDescent="0.2">
      <c r="DO416" s="303" t="s">
        <v>232</v>
      </c>
    </row>
    <row r="417" spans="119:119" x14ac:dyDescent="0.2">
      <c r="DO417" s="303" t="s">
        <v>232</v>
      </c>
    </row>
    <row r="418" spans="119:119" x14ac:dyDescent="0.2">
      <c r="DO418" s="303" t="s">
        <v>232</v>
      </c>
    </row>
    <row r="419" spans="119:119" x14ac:dyDescent="0.2">
      <c r="DO419" s="303" t="s">
        <v>232</v>
      </c>
    </row>
    <row r="420" spans="119:119" x14ac:dyDescent="0.2">
      <c r="DO420" s="303" t="s">
        <v>232</v>
      </c>
    </row>
    <row r="421" spans="119:119" x14ac:dyDescent="0.2">
      <c r="DO421" s="303" t="s">
        <v>232</v>
      </c>
    </row>
    <row r="422" spans="119:119" x14ac:dyDescent="0.2">
      <c r="DO422" s="303" t="s">
        <v>232</v>
      </c>
    </row>
    <row r="423" spans="119:119" x14ac:dyDescent="0.2">
      <c r="DO423" s="303" t="s">
        <v>232</v>
      </c>
    </row>
    <row r="424" spans="119:119" x14ac:dyDescent="0.2">
      <c r="DO424" s="303" t="s">
        <v>232</v>
      </c>
    </row>
    <row r="425" spans="119:119" x14ac:dyDescent="0.2">
      <c r="DO425" s="303" t="s">
        <v>232</v>
      </c>
    </row>
    <row r="426" spans="119:119" x14ac:dyDescent="0.2">
      <c r="DO426" s="303" t="s">
        <v>232</v>
      </c>
    </row>
    <row r="427" spans="119:119" x14ac:dyDescent="0.2">
      <c r="DO427" s="303" t="s">
        <v>232</v>
      </c>
    </row>
    <row r="428" spans="119:119" x14ac:dyDescent="0.2">
      <c r="DO428" s="303" t="s">
        <v>232</v>
      </c>
    </row>
    <row r="429" spans="119:119" x14ac:dyDescent="0.2">
      <c r="DO429" s="303" t="s">
        <v>232</v>
      </c>
    </row>
    <row r="430" spans="119:119" x14ac:dyDescent="0.2">
      <c r="DO430" s="303" t="s">
        <v>232</v>
      </c>
    </row>
    <row r="431" spans="119:119" x14ac:dyDescent="0.2">
      <c r="DO431" s="303" t="s">
        <v>232</v>
      </c>
    </row>
    <row r="432" spans="119:119" x14ac:dyDescent="0.2">
      <c r="DO432" s="303" t="s">
        <v>232</v>
      </c>
    </row>
    <row r="433" spans="119:119" x14ac:dyDescent="0.2">
      <c r="DO433" s="303" t="s">
        <v>232</v>
      </c>
    </row>
    <row r="434" spans="119:119" x14ac:dyDescent="0.2">
      <c r="DO434" s="303" t="s">
        <v>232</v>
      </c>
    </row>
    <row r="435" spans="119:119" x14ac:dyDescent="0.2">
      <c r="DO435" s="303" t="s">
        <v>232</v>
      </c>
    </row>
    <row r="436" spans="119:119" x14ac:dyDescent="0.2">
      <c r="DO436" s="303" t="s">
        <v>232</v>
      </c>
    </row>
    <row r="437" spans="119:119" x14ac:dyDescent="0.2">
      <c r="DO437" s="303" t="s">
        <v>232</v>
      </c>
    </row>
    <row r="438" spans="119:119" x14ac:dyDescent="0.2">
      <c r="DO438" s="303" t="s">
        <v>232</v>
      </c>
    </row>
    <row r="439" spans="119:119" x14ac:dyDescent="0.2">
      <c r="DO439" s="303" t="s">
        <v>232</v>
      </c>
    </row>
    <row r="440" spans="119:119" x14ac:dyDescent="0.2">
      <c r="DO440" s="303" t="s">
        <v>232</v>
      </c>
    </row>
    <row r="441" spans="119:119" x14ac:dyDescent="0.2">
      <c r="DO441" s="303" t="s">
        <v>232</v>
      </c>
    </row>
    <row r="442" spans="119:119" x14ac:dyDescent="0.2">
      <c r="DO442" s="303" t="s">
        <v>232</v>
      </c>
    </row>
    <row r="443" spans="119:119" x14ac:dyDescent="0.2">
      <c r="DO443" s="303" t="s">
        <v>232</v>
      </c>
    </row>
    <row r="444" spans="119:119" x14ac:dyDescent="0.2">
      <c r="DO444" s="303" t="s">
        <v>232</v>
      </c>
    </row>
    <row r="445" spans="119:119" x14ac:dyDescent="0.2">
      <c r="DO445" s="303" t="s">
        <v>232</v>
      </c>
    </row>
    <row r="446" spans="119:119" x14ac:dyDescent="0.2">
      <c r="DO446" s="303" t="s">
        <v>232</v>
      </c>
    </row>
    <row r="447" spans="119:119" x14ac:dyDescent="0.2">
      <c r="DO447" s="303" t="s">
        <v>232</v>
      </c>
    </row>
    <row r="448" spans="119:119" x14ac:dyDescent="0.2">
      <c r="DO448" s="303" t="s">
        <v>232</v>
      </c>
    </row>
    <row r="449" spans="119:119" x14ac:dyDescent="0.2">
      <c r="DO449" s="303" t="s">
        <v>232</v>
      </c>
    </row>
    <row r="450" spans="119:119" x14ac:dyDescent="0.2">
      <c r="DO450" s="303" t="s">
        <v>232</v>
      </c>
    </row>
    <row r="451" spans="119:119" x14ac:dyDescent="0.2">
      <c r="DO451" s="303" t="s">
        <v>232</v>
      </c>
    </row>
    <row r="452" spans="119:119" x14ac:dyDescent="0.2">
      <c r="DO452" s="303" t="s">
        <v>232</v>
      </c>
    </row>
    <row r="453" spans="119:119" x14ac:dyDescent="0.2">
      <c r="DO453" s="303" t="s">
        <v>232</v>
      </c>
    </row>
    <row r="454" spans="119:119" x14ac:dyDescent="0.2">
      <c r="DO454" s="303" t="s">
        <v>232</v>
      </c>
    </row>
    <row r="455" spans="119:119" x14ac:dyDescent="0.2">
      <c r="DO455" s="303" t="s">
        <v>232</v>
      </c>
    </row>
    <row r="456" spans="119:119" x14ac:dyDescent="0.2">
      <c r="DO456" s="303" t="s">
        <v>232</v>
      </c>
    </row>
    <row r="457" spans="119:119" x14ac:dyDescent="0.2">
      <c r="DO457" s="303" t="s">
        <v>232</v>
      </c>
    </row>
    <row r="458" spans="119:119" x14ac:dyDescent="0.2">
      <c r="DO458" s="303" t="s">
        <v>232</v>
      </c>
    </row>
    <row r="459" spans="119:119" x14ac:dyDescent="0.2">
      <c r="DO459" s="303" t="s">
        <v>232</v>
      </c>
    </row>
    <row r="460" spans="119:119" x14ac:dyDescent="0.2">
      <c r="DO460" s="303" t="s">
        <v>232</v>
      </c>
    </row>
    <row r="461" spans="119:119" x14ac:dyDescent="0.2">
      <c r="DO461" s="303" t="s">
        <v>232</v>
      </c>
    </row>
    <row r="462" spans="119:119" x14ac:dyDescent="0.2">
      <c r="DO462" s="303" t="s">
        <v>232</v>
      </c>
    </row>
    <row r="463" spans="119:119" x14ac:dyDescent="0.2">
      <c r="DO463" s="303" t="s">
        <v>232</v>
      </c>
    </row>
    <row r="464" spans="119:119" x14ac:dyDescent="0.2">
      <c r="DO464" s="303" t="s">
        <v>232</v>
      </c>
    </row>
    <row r="465" spans="119:119" x14ac:dyDescent="0.2">
      <c r="DO465" s="303" t="s">
        <v>232</v>
      </c>
    </row>
    <row r="466" spans="119:119" x14ac:dyDescent="0.2">
      <c r="DO466" s="303" t="s">
        <v>232</v>
      </c>
    </row>
    <row r="467" spans="119:119" x14ac:dyDescent="0.2">
      <c r="DO467" s="303" t="s">
        <v>232</v>
      </c>
    </row>
    <row r="468" spans="119:119" x14ac:dyDescent="0.2">
      <c r="DO468" s="303" t="s">
        <v>232</v>
      </c>
    </row>
    <row r="469" spans="119:119" x14ac:dyDescent="0.2">
      <c r="DO469" s="303" t="s">
        <v>232</v>
      </c>
    </row>
    <row r="470" spans="119:119" x14ac:dyDescent="0.2">
      <c r="DO470" s="303" t="s">
        <v>232</v>
      </c>
    </row>
    <row r="471" spans="119:119" x14ac:dyDescent="0.2">
      <c r="DO471" s="303" t="s">
        <v>232</v>
      </c>
    </row>
    <row r="472" spans="119:119" x14ac:dyDescent="0.2">
      <c r="DO472" s="303" t="s">
        <v>232</v>
      </c>
    </row>
    <row r="473" spans="119:119" x14ac:dyDescent="0.2">
      <c r="DO473" s="303" t="s">
        <v>232</v>
      </c>
    </row>
    <row r="474" spans="119:119" x14ac:dyDescent="0.2">
      <c r="DO474" s="303" t="s">
        <v>232</v>
      </c>
    </row>
    <row r="475" spans="119:119" x14ac:dyDescent="0.2">
      <c r="DO475" s="303" t="s">
        <v>232</v>
      </c>
    </row>
    <row r="476" spans="119:119" x14ac:dyDescent="0.2">
      <c r="DO476" s="303" t="s">
        <v>232</v>
      </c>
    </row>
    <row r="477" spans="119:119" x14ac:dyDescent="0.2">
      <c r="DO477" s="303" t="s">
        <v>232</v>
      </c>
    </row>
    <row r="478" spans="119:119" x14ac:dyDescent="0.2">
      <c r="DO478" s="303" t="s">
        <v>232</v>
      </c>
    </row>
    <row r="479" spans="119:119" x14ac:dyDescent="0.2">
      <c r="DO479" s="303" t="s">
        <v>232</v>
      </c>
    </row>
    <row r="480" spans="119:119" x14ac:dyDescent="0.2">
      <c r="DO480" s="303" t="s">
        <v>232</v>
      </c>
    </row>
    <row r="481" spans="119:119" x14ac:dyDescent="0.2">
      <c r="DO481" s="303" t="s">
        <v>232</v>
      </c>
    </row>
    <row r="482" spans="119:119" x14ac:dyDescent="0.2">
      <c r="DO482" s="303" t="s">
        <v>232</v>
      </c>
    </row>
    <row r="483" spans="119:119" x14ac:dyDescent="0.2">
      <c r="DO483" s="303" t="s">
        <v>232</v>
      </c>
    </row>
    <row r="484" spans="119:119" x14ac:dyDescent="0.2">
      <c r="DO484" s="303" t="s">
        <v>232</v>
      </c>
    </row>
    <row r="485" spans="119:119" x14ac:dyDescent="0.2">
      <c r="DO485" s="303" t="s">
        <v>232</v>
      </c>
    </row>
    <row r="486" spans="119:119" x14ac:dyDescent="0.2">
      <c r="DO486" s="303" t="s">
        <v>232</v>
      </c>
    </row>
    <row r="487" spans="119:119" x14ac:dyDescent="0.2">
      <c r="DO487" s="303" t="s">
        <v>232</v>
      </c>
    </row>
    <row r="488" spans="119:119" x14ac:dyDescent="0.2">
      <c r="DO488" s="303" t="s">
        <v>232</v>
      </c>
    </row>
    <row r="489" spans="119:119" x14ac:dyDescent="0.2">
      <c r="DO489" s="303" t="s">
        <v>232</v>
      </c>
    </row>
    <row r="490" spans="119:119" x14ac:dyDescent="0.2">
      <c r="DO490" s="303" t="s">
        <v>232</v>
      </c>
    </row>
    <row r="491" spans="119:119" x14ac:dyDescent="0.2">
      <c r="DO491" s="303" t="s">
        <v>232</v>
      </c>
    </row>
    <row r="492" spans="119:119" x14ac:dyDescent="0.2">
      <c r="DO492" s="303" t="s">
        <v>232</v>
      </c>
    </row>
    <row r="493" spans="119:119" x14ac:dyDescent="0.2">
      <c r="DO493" s="303" t="s">
        <v>232</v>
      </c>
    </row>
    <row r="494" spans="119:119" x14ac:dyDescent="0.2">
      <c r="DO494" s="303" t="s">
        <v>232</v>
      </c>
    </row>
    <row r="495" spans="119:119" x14ac:dyDescent="0.2">
      <c r="DO495" s="303" t="s">
        <v>232</v>
      </c>
    </row>
    <row r="496" spans="119:119" x14ac:dyDescent="0.2">
      <c r="DO496" s="303" t="s">
        <v>232</v>
      </c>
    </row>
    <row r="497" spans="119:119" x14ac:dyDescent="0.2">
      <c r="DO497" s="303" t="s">
        <v>232</v>
      </c>
    </row>
    <row r="498" spans="119:119" x14ac:dyDescent="0.2">
      <c r="DO498" s="303" t="s">
        <v>232</v>
      </c>
    </row>
    <row r="499" spans="119:119" x14ac:dyDescent="0.2">
      <c r="DO499" s="303" t="s">
        <v>232</v>
      </c>
    </row>
    <row r="500" spans="119:119" x14ac:dyDescent="0.2">
      <c r="DO500" s="303" t="s">
        <v>232</v>
      </c>
    </row>
    <row r="501" spans="119:119" x14ac:dyDescent="0.2">
      <c r="DO501" s="303" t="s">
        <v>232</v>
      </c>
    </row>
    <row r="502" spans="119:119" x14ac:dyDescent="0.2">
      <c r="DO502" s="303" t="s">
        <v>232</v>
      </c>
    </row>
    <row r="503" spans="119:119" x14ac:dyDescent="0.2">
      <c r="DO503" s="303" t="s">
        <v>232</v>
      </c>
    </row>
    <row r="504" spans="119:119" x14ac:dyDescent="0.2">
      <c r="DO504" s="303" t="s">
        <v>232</v>
      </c>
    </row>
    <row r="505" spans="119:119" x14ac:dyDescent="0.2">
      <c r="DO505" s="303" t="s">
        <v>232</v>
      </c>
    </row>
    <row r="506" spans="119:119" x14ac:dyDescent="0.2">
      <c r="DO506" s="303" t="s">
        <v>232</v>
      </c>
    </row>
    <row r="507" spans="119:119" x14ac:dyDescent="0.2">
      <c r="DO507" s="303" t="s">
        <v>232</v>
      </c>
    </row>
    <row r="508" spans="119:119" x14ac:dyDescent="0.2">
      <c r="DO508" s="303" t="s">
        <v>232</v>
      </c>
    </row>
    <row r="509" spans="119:119" x14ac:dyDescent="0.2">
      <c r="DO509" s="303" t="s">
        <v>232</v>
      </c>
    </row>
    <row r="510" spans="119:119" x14ac:dyDescent="0.2">
      <c r="DO510" s="303" t="s">
        <v>232</v>
      </c>
    </row>
    <row r="511" spans="119:119" x14ac:dyDescent="0.2">
      <c r="DO511" s="303" t="s">
        <v>232</v>
      </c>
    </row>
    <row r="512" spans="119:119" x14ac:dyDescent="0.2">
      <c r="DO512" s="303" t="s">
        <v>232</v>
      </c>
    </row>
    <row r="513" spans="119:119" x14ac:dyDescent="0.2">
      <c r="DO513" s="303" t="s">
        <v>232</v>
      </c>
    </row>
    <row r="514" spans="119:119" x14ac:dyDescent="0.2">
      <c r="DO514" s="303" t="s">
        <v>232</v>
      </c>
    </row>
    <row r="515" spans="119:119" x14ac:dyDescent="0.2">
      <c r="DO515" s="303" t="s">
        <v>232</v>
      </c>
    </row>
    <row r="516" spans="119:119" x14ac:dyDescent="0.2">
      <c r="DO516" s="303" t="s">
        <v>232</v>
      </c>
    </row>
    <row r="517" spans="119:119" x14ac:dyDescent="0.2">
      <c r="DO517" s="303" t="s">
        <v>232</v>
      </c>
    </row>
    <row r="518" spans="119:119" x14ac:dyDescent="0.2">
      <c r="DO518" s="303" t="s">
        <v>232</v>
      </c>
    </row>
    <row r="519" spans="119:119" x14ac:dyDescent="0.2">
      <c r="DO519" s="303" t="s">
        <v>232</v>
      </c>
    </row>
    <row r="520" spans="119:119" x14ac:dyDescent="0.2">
      <c r="DO520" s="303" t="s">
        <v>232</v>
      </c>
    </row>
    <row r="521" spans="119:119" x14ac:dyDescent="0.2">
      <c r="DO521" s="303" t="s">
        <v>232</v>
      </c>
    </row>
    <row r="522" spans="119:119" x14ac:dyDescent="0.2">
      <c r="DO522" s="303" t="s">
        <v>232</v>
      </c>
    </row>
    <row r="523" spans="119:119" x14ac:dyDescent="0.2">
      <c r="DO523" s="303" t="s">
        <v>232</v>
      </c>
    </row>
    <row r="524" spans="119:119" x14ac:dyDescent="0.2">
      <c r="DO524" s="303" t="s">
        <v>232</v>
      </c>
    </row>
    <row r="525" spans="119:119" x14ac:dyDescent="0.2">
      <c r="DO525" s="303" t="s">
        <v>232</v>
      </c>
    </row>
    <row r="526" spans="119:119" x14ac:dyDescent="0.2">
      <c r="DO526" s="303" t="s">
        <v>232</v>
      </c>
    </row>
    <row r="527" spans="119:119" x14ac:dyDescent="0.2">
      <c r="DO527" s="303" t="s">
        <v>232</v>
      </c>
    </row>
    <row r="528" spans="119:119" x14ac:dyDescent="0.2">
      <c r="DO528" s="303" t="s">
        <v>232</v>
      </c>
    </row>
    <row r="529" spans="119:119" x14ac:dyDescent="0.2">
      <c r="DO529" s="303" t="s">
        <v>232</v>
      </c>
    </row>
    <row r="530" spans="119:119" x14ac:dyDescent="0.2">
      <c r="DO530" s="303" t="s">
        <v>232</v>
      </c>
    </row>
    <row r="531" spans="119:119" x14ac:dyDescent="0.2">
      <c r="DO531" s="303" t="s">
        <v>232</v>
      </c>
    </row>
    <row r="532" spans="119:119" x14ac:dyDescent="0.2">
      <c r="DO532" s="303" t="s">
        <v>232</v>
      </c>
    </row>
    <row r="533" spans="119:119" x14ac:dyDescent="0.2">
      <c r="DO533" s="303" t="s">
        <v>232</v>
      </c>
    </row>
    <row r="534" spans="119:119" x14ac:dyDescent="0.2">
      <c r="DO534" s="303" t="s">
        <v>232</v>
      </c>
    </row>
    <row r="535" spans="119:119" x14ac:dyDescent="0.2">
      <c r="DO535" s="303" t="s">
        <v>232</v>
      </c>
    </row>
    <row r="536" spans="119:119" x14ac:dyDescent="0.2">
      <c r="DO536" s="303" t="s">
        <v>232</v>
      </c>
    </row>
    <row r="537" spans="119:119" x14ac:dyDescent="0.2">
      <c r="DO537" s="303" t="s">
        <v>232</v>
      </c>
    </row>
    <row r="538" spans="119:119" x14ac:dyDescent="0.2">
      <c r="DO538" s="303" t="s">
        <v>232</v>
      </c>
    </row>
    <row r="539" spans="119:119" x14ac:dyDescent="0.2">
      <c r="DO539" s="303" t="s">
        <v>232</v>
      </c>
    </row>
    <row r="540" spans="119:119" x14ac:dyDescent="0.2">
      <c r="DO540" s="303" t="s">
        <v>232</v>
      </c>
    </row>
    <row r="541" spans="119:119" x14ac:dyDescent="0.2">
      <c r="DO541" s="303" t="s">
        <v>232</v>
      </c>
    </row>
    <row r="542" spans="119:119" x14ac:dyDescent="0.2">
      <c r="DO542" s="303" t="s">
        <v>232</v>
      </c>
    </row>
    <row r="543" spans="119:119" x14ac:dyDescent="0.2">
      <c r="DO543" s="303" t="s">
        <v>232</v>
      </c>
    </row>
    <row r="544" spans="119:119" x14ac:dyDescent="0.2">
      <c r="DO544" s="303" t="s">
        <v>232</v>
      </c>
    </row>
    <row r="545" spans="119:119" x14ac:dyDescent="0.2">
      <c r="DO545" s="303" t="s">
        <v>232</v>
      </c>
    </row>
    <row r="546" spans="119:119" x14ac:dyDescent="0.2">
      <c r="DO546" s="303" t="s">
        <v>232</v>
      </c>
    </row>
    <row r="547" spans="119:119" x14ac:dyDescent="0.2">
      <c r="DO547" s="303" t="s">
        <v>232</v>
      </c>
    </row>
    <row r="548" spans="119:119" x14ac:dyDescent="0.2">
      <c r="DO548" s="303" t="s">
        <v>232</v>
      </c>
    </row>
    <row r="549" spans="119:119" x14ac:dyDescent="0.2">
      <c r="DO549" s="303" t="s">
        <v>232</v>
      </c>
    </row>
    <row r="550" spans="119:119" x14ac:dyDescent="0.2">
      <c r="DO550" s="303" t="s">
        <v>232</v>
      </c>
    </row>
    <row r="551" spans="119:119" x14ac:dyDescent="0.2">
      <c r="DO551" s="303" t="s">
        <v>232</v>
      </c>
    </row>
    <row r="552" spans="119:119" x14ac:dyDescent="0.2">
      <c r="DO552" s="303" t="s">
        <v>232</v>
      </c>
    </row>
    <row r="553" spans="119:119" x14ac:dyDescent="0.2">
      <c r="DO553" s="303" t="s">
        <v>232</v>
      </c>
    </row>
    <row r="554" spans="119:119" x14ac:dyDescent="0.2">
      <c r="DO554" s="303" t="s">
        <v>232</v>
      </c>
    </row>
    <row r="555" spans="119:119" x14ac:dyDescent="0.2">
      <c r="DO555" s="303" t="s">
        <v>232</v>
      </c>
    </row>
    <row r="556" spans="119:119" x14ac:dyDescent="0.2">
      <c r="DO556" s="303" t="s">
        <v>232</v>
      </c>
    </row>
    <row r="557" spans="119:119" x14ac:dyDescent="0.2">
      <c r="DO557" s="303" t="s">
        <v>232</v>
      </c>
    </row>
    <row r="558" spans="119:119" x14ac:dyDescent="0.2">
      <c r="DO558" s="303" t="s">
        <v>232</v>
      </c>
    </row>
    <row r="559" spans="119:119" x14ac:dyDescent="0.2">
      <c r="DO559" s="303" t="s">
        <v>232</v>
      </c>
    </row>
    <row r="560" spans="119:119" x14ac:dyDescent="0.2">
      <c r="DO560" s="303" t="s">
        <v>232</v>
      </c>
    </row>
    <row r="561" spans="119:119" x14ac:dyDescent="0.2">
      <c r="DO561" s="303" t="s">
        <v>232</v>
      </c>
    </row>
    <row r="562" spans="119:119" x14ac:dyDescent="0.2">
      <c r="DO562" s="303" t="s">
        <v>232</v>
      </c>
    </row>
    <row r="563" spans="119:119" x14ac:dyDescent="0.2">
      <c r="DO563" s="303" t="s">
        <v>232</v>
      </c>
    </row>
    <row r="564" spans="119:119" x14ac:dyDescent="0.2">
      <c r="DO564" s="303" t="s">
        <v>232</v>
      </c>
    </row>
    <row r="565" spans="119:119" x14ac:dyDescent="0.2">
      <c r="DO565" s="303" t="s">
        <v>232</v>
      </c>
    </row>
    <row r="566" spans="119:119" x14ac:dyDescent="0.2">
      <c r="DO566" s="303" t="s">
        <v>232</v>
      </c>
    </row>
    <row r="567" spans="119:119" x14ac:dyDescent="0.2">
      <c r="DO567" s="303" t="s">
        <v>232</v>
      </c>
    </row>
    <row r="568" spans="119:119" x14ac:dyDescent="0.2">
      <c r="DO568" s="303" t="s">
        <v>232</v>
      </c>
    </row>
    <row r="569" spans="119:119" x14ac:dyDescent="0.2">
      <c r="DO569" s="303" t="s">
        <v>232</v>
      </c>
    </row>
    <row r="570" spans="119:119" x14ac:dyDescent="0.2">
      <c r="DO570" s="303" t="s">
        <v>232</v>
      </c>
    </row>
    <row r="571" spans="119:119" x14ac:dyDescent="0.2">
      <c r="DO571" s="303" t="s">
        <v>232</v>
      </c>
    </row>
    <row r="572" spans="119:119" x14ac:dyDescent="0.2">
      <c r="DO572" s="303" t="s">
        <v>232</v>
      </c>
    </row>
    <row r="573" spans="119:119" x14ac:dyDescent="0.2">
      <c r="DO573" s="303" t="s">
        <v>232</v>
      </c>
    </row>
    <row r="574" spans="119:119" x14ac:dyDescent="0.2">
      <c r="DO574" s="303" t="s">
        <v>232</v>
      </c>
    </row>
    <row r="575" spans="119:119" x14ac:dyDescent="0.2">
      <c r="DO575" s="303" t="s">
        <v>232</v>
      </c>
    </row>
    <row r="576" spans="119:119" x14ac:dyDescent="0.2">
      <c r="DO576" s="303" t="s">
        <v>232</v>
      </c>
    </row>
    <row r="577" spans="119:119" x14ac:dyDescent="0.2">
      <c r="DO577" s="303" t="s">
        <v>232</v>
      </c>
    </row>
    <row r="578" spans="119:119" x14ac:dyDescent="0.2">
      <c r="DO578" s="303" t="s">
        <v>232</v>
      </c>
    </row>
    <row r="579" spans="119:119" x14ac:dyDescent="0.2">
      <c r="DO579" s="303" t="s">
        <v>232</v>
      </c>
    </row>
    <row r="580" spans="119:119" x14ac:dyDescent="0.2">
      <c r="DO580" s="303" t="s">
        <v>232</v>
      </c>
    </row>
    <row r="581" spans="119:119" x14ac:dyDescent="0.2">
      <c r="DO581" s="303" t="s">
        <v>232</v>
      </c>
    </row>
    <row r="582" spans="119:119" x14ac:dyDescent="0.2">
      <c r="DO582" s="303" t="s">
        <v>232</v>
      </c>
    </row>
    <row r="583" spans="119:119" x14ac:dyDescent="0.2">
      <c r="DO583" s="303" t="s">
        <v>232</v>
      </c>
    </row>
    <row r="584" spans="119:119" x14ac:dyDescent="0.2">
      <c r="DO584" s="303" t="s">
        <v>232</v>
      </c>
    </row>
    <row r="585" spans="119:119" x14ac:dyDescent="0.2">
      <c r="DO585" s="303" t="s">
        <v>232</v>
      </c>
    </row>
    <row r="586" spans="119:119" x14ac:dyDescent="0.2">
      <c r="DO586" s="303" t="s">
        <v>232</v>
      </c>
    </row>
    <row r="587" spans="119:119" x14ac:dyDescent="0.2">
      <c r="DO587" s="303" t="s">
        <v>232</v>
      </c>
    </row>
    <row r="588" spans="119:119" x14ac:dyDescent="0.2">
      <c r="DO588" s="303" t="s">
        <v>232</v>
      </c>
    </row>
    <row r="589" spans="119:119" x14ac:dyDescent="0.2">
      <c r="DO589" s="303" t="s">
        <v>232</v>
      </c>
    </row>
    <row r="590" spans="119:119" x14ac:dyDescent="0.2">
      <c r="DO590" s="303" t="s">
        <v>232</v>
      </c>
    </row>
    <row r="591" spans="119:119" x14ac:dyDescent="0.2">
      <c r="DO591" s="303" t="s">
        <v>232</v>
      </c>
    </row>
    <row r="592" spans="119:119" x14ac:dyDescent="0.2">
      <c r="DO592" s="303" t="s">
        <v>232</v>
      </c>
    </row>
    <row r="593" spans="119:119" x14ac:dyDescent="0.2">
      <c r="DO593" s="303" t="s">
        <v>232</v>
      </c>
    </row>
    <row r="594" spans="119:119" x14ac:dyDescent="0.2">
      <c r="DO594" s="303" t="s">
        <v>232</v>
      </c>
    </row>
    <row r="595" spans="119:119" x14ac:dyDescent="0.2">
      <c r="DO595" s="303" t="s">
        <v>232</v>
      </c>
    </row>
    <row r="596" spans="119:119" x14ac:dyDescent="0.2">
      <c r="DO596" s="303" t="s">
        <v>232</v>
      </c>
    </row>
    <row r="597" spans="119:119" x14ac:dyDescent="0.2">
      <c r="DO597" s="303" t="s">
        <v>232</v>
      </c>
    </row>
    <row r="598" spans="119:119" x14ac:dyDescent="0.2">
      <c r="DO598" s="303" t="s">
        <v>232</v>
      </c>
    </row>
    <row r="599" spans="119:119" x14ac:dyDescent="0.2">
      <c r="DO599" s="303" t="s">
        <v>232</v>
      </c>
    </row>
    <row r="600" spans="119:119" x14ac:dyDescent="0.2">
      <c r="DO600" s="303" t="s">
        <v>232</v>
      </c>
    </row>
    <row r="601" spans="119:119" x14ac:dyDescent="0.2">
      <c r="DO601" s="303" t="s">
        <v>232</v>
      </c>
    </row>
    <row r="602" spans="119:119" x14ac:dyDescent="0.2">
      <c r="DO602" s="303" t="s">
        <v>232</v>
      </c>
    </row>
    <row r="603" spans="119:119" x14ac:dyDescent="0.2">
      <c r="DO603" s="303" t="s">
        <v>232</v>
      </c>
    </row>
    <row r="604" spans="119:119" x14ac:dyDescent="0.2">
      <c r="DO604" s="303" t="s">
        <v>232</v>
      </c>
    </row>
    <row r="605" spans="119:119" x14ac:dyDescent="0.2">
      <c r="DO605" s="303" t="s">
        <v>232</v>
      </c>
    </row>
    <row r="606" spans="119:119" x14ac:dyDescent="0.2">
      <c r="DO606" s="303" t="s">
        <v>232</v>
      </c>
    </row>
    <row r="607" spans="119:119" x14ac:dyDescent="0.2">
      <c r="DO607" s="303" t="s">
        <v>232</v>
      </c>
    </row>
    <row r="608" spans="119:119" x14ac:dyDescent="0.2">
      <c r="DO608" s="303" t="s">
        <v>232</v>
      </c>
    </row>
    <row r="609" spans="119:119" x14ac:dyDescent="0.2">
      <c r="DO609" s="303" t="s">
        <v>232</v>
      </c>
    </row>
    <row r="610" spans="119:119" x14ac:dyDescent="0.2">
      <c r="DO610" s="303" t="s">
        <v>232</v>
      </c>
    </row>
    <row r="611" spans="119:119" x14ac:dyDescent="0.2">
      <c r="DO611" s="303" t="s">
        <v>232</v>
      </c>
    </row>
    <row r="612" spans="119:119" x14ac:dyDescent="0.2">
      <c r="DO612" s="303" t="s">
        <v>232</v>
      </c>
    </row>
    <row r="613" spans="119:119" x14ac:dyDescent="0.2">
      <c r="DO613" s="303" t="s">
        <v>232</v>
      </c>
    </row>
    <row r="614" spans="119:119" x14ac:dyDescent="0.2">
      <c r="DO614" s="303" t="s">
        <v>232</v>
      </c>
    </row>
    <row r="615" spans="119:119" x14ac:dyDescent="0.2">
      <c r="DO615" s="303" t="s">
        <v>232</v>
      </c>
    </row>
    <row r="616" spans="119:119" x14ac:dyDescent="0.2">
      <c r="DO616" s="303" t="s">
        <v>232</v>
      </c>
    </row>
    <row r="617" spans="119:119" x14ac:dyDescent="0.2">
      <c r="DO617" s="303" t="s">
        <v>232</v>
      </c>
    </row>
    <row r="618" spans="119:119" x14ac:dyDescent="0.2">
      <c r="DO618" s="303" t="s">
        <v>232</v>
      </c>
    </row>
    <row r="619" spans="119:119" x14ac:dyDescent="0.2">
      <c r="DO619" s="303" t="s">
        <v>232</v>
      </c>
    </row>
    <row r="620" spans="119:119" x14ac:dyDescent="0.2">
      <c r="DO620" s="303" t="s">
        <v>232</v>
      </c>
    </row>
    <row r="621" spans="119:119" x14ac:dyDescent="0.2">
      <c r="DO621" s="303" t="s">
        <v>232</v>
      </c>
    </row>
    <row r="622" spans="119:119" x14ac:dyDescent="0.2">
      <c r="DO622" s="303" t="s">
        <v>232</v>
      </c>
    </row>
    <row r="623" spans="119:119" x14ac:dyDescent="0.2">
      <c r="DO623" s="303" t="s">
        <v>232</v>
      </c>
    </row>
    <row r="624" spans="119:119" x14ac:dyDescent="0.2">
      <c r="DO624" s="303" t="s">
        <v>232</v>
      </c>
    </row>
    <row r="625" spans="119:119" x14ac:dyDescent="0.2">
      <c r="DO625" s="303" t="s">
        <v>232</v>
      </c>
    </row>
    <row r="626" spans="119:119" x14ac:dyDescent="0.2">
      <c r="DO626" s="303" t="s">
        <v>232</v>
      </c>
    </row>
    <row r="627" spans="119:119" x14ac:dyDescent="0.2">
      <c r="DO627" s="303" t="s">
        <v>232</v>
      </c>
    </row>
    <row r="628" spans="119:119" x14ac:dyDescent="0.2">
      <c r="DO628" s="303" t="s">
        <v>232</v>
      </c>
    </row>
    <row r="629" spans="119:119" x14ac:dyDescent="0.2">
      <c r="DO629" s="303" t="s">
        <v>232</v>
      </c>
    </row>
    <row r="630" spans="119:119" x14ac:dyDescent="0.2">
      <c r="DO630" s="303" t="s">
        <v>232</v>
      </c>
    </row>
    <row r="631" spans="119:119" x14ac:dyDescent="0.2">
      <c r="DO631" s="303" t="s">
        <v>232</v>
      </c>
    </row>
    <row r="632" spans="119:119" x14ac:dyDescent="0.2">
      <c r="DO632" s="303" t="s">
        <v>232</v>
      </c>
    </row>
    <row r="633" spans="119:119" x14ac:dyDescent="0.2">
      <c r="DO633" s="303" t="s">
        <v>232</v>
      </c>
    </row>
    <row r="634" spans="119:119" x14ac:dyDescent="0.2">
      <c r="DO634" s="303" t="s">
        <v>232</v>
      </c>
    </row>
    <row r="635" spans="119:119" x14ac:dyDescent="0.2">
      <c r="DO635" s="303" t="s">
        <v>232</v>
      </c>
    </row>
    <row r="636" spans="119:119" x14ac:dyDescent="0.2">
      <c r="DO636" s="303" t="s">
        <v>232</v>
      </c>
    </row>
    <row r="637" spans="119:119" x14ac:dyDescent="0.2">
      <c r="DO637" s="303" t="s">
        <v>232</v>
      </c>
    </row>
    <row r="638" spans="119:119" x14ac:dyDescent="0.2">
      <c r="DO638" s="303" t="s">
        <v>232</v>
      </c>
    </row>
    <row r="639" spans="119:119" x14ac:dyDescent="0.2">
      <c r="DO639" s="303" t="s">
        <v>232</v>
      </c>
    </row>
    <row r="640" spans="119:119" x14ac:dyDescent="0.2">
      <c r="DO640" s="303" t="s">
        <v>232</v>
      </c>
    </row>
    <row r="641" spans="119:119" x14ac:dyDescent="0.2">
      <c r="DO641" s="303" t="s">
        <v>232</v>
      </c>
    </row>
    <row r="642" spans="119:119" x14ac:dyDescent="0.2">
      <c r="DO642" s="303" t="s">
        <v>232</v>
      </c>
    </row>
    <row r="643" spans="119:119" x14ac:dyDescent="0.2">
      <c r="DO643" s="303" t="s">
        <v>232</v>
      </c>
    </row>
    <row r="644" spans="119:119" x14ac:dyDescent="0.2">
      <c r="DO644" s="303" t="s">
        <v>232</v>
      </c>
    </row>
    <row r="645" spans="119:119" x14ac:dyDescent="0.2">
      <c r="DO645" s="303" t="s">
        <v>232</v>
      </c>
    </row>
    <row r="646" spans="119:119" x14ac:dyDescent="0.2">
      <c r="DO646" s="303" t="s">
        <v>232</v>
      </c>
    </row>
    <row r="647" spans="119:119" x14ac:dyDescent="0.2">
      <c r="DO647" s="303" t="s">
        <v>232</v>
      </c>
    </row>
    <row r="648" spans="119:119" x14ac:dyDescent="0.2">
      <c r="DO648" s="303" t="s">
        <v>232</v>
      </c>
    </row>
    <row r="649" spans="119:119" x14ac:dyDescent="0.2">
      <c r="DO649" s="303" t="s">
        <v>232</v>
      </c>
    </row>
    <row r="650" spans="119:119" x14ac:dyDescent="0.2">
      <c r="DO650" s="303" t="s">
        <v>232</v>
      </c>
    </row>
    <row r="651" spans="119:119" x14ac:dyDescent="0.2">
      <c r="DO651" s="303" t="s">
        <v>232</v>
      </c>
    </row>
    <row r="652" spans="119:119" x14ac:dyDescent="0.2">
      <c r="DO652" s="303" t="s">
        <v>232</v>
      </c>
    </row>
    <row r="653" spans="119:119" x14ac:dyDescent="0.2">
      <c r="DO653" s="303" t="s">
        <v>232</v>
      </c>
    </row>
    <row r="654" spans="119:119" x14ac:dyDescent="0.2">
      <c r="DO654" s="303" t="s">
        <v>232</v>
      </c>
    </row>
    <row r="655" spans="119:119" x14ac:dyDescent="0.2">
      <c r="DO655" s="303" t="s">
        <v>232</v>
      </c>
    </row>
    <row r="656" spans="119:119" x14ac:dyDescent="0.2">
      <c r="DO656" s="303" t="s">
        <v>232</v>
      </c>
    </row>
    <row r="657" spans="119:119" x14ac:dyDescent="0.2">
      <c r="DO657" s="303" t="s">
        <v>232</v>
      </c>
    </row>
    <row r="658" spans="119:119" x14ac:dyDescent="0.2">
      <c r="DO658" s="303" t="s">
        <v>232</v>
      </c>
    </row>
    <row r="659" spans="119:119" x14ac:dyDescent="0.2">
      <c r="DO659" s="303" t="s">
        <v>232</v>
      </c>
    </row>
    <row r="660" spans="119:119" x14ac:dyDescent="0.2">
      <c r="DO660" s="303" t="s">
        <v>232</v>
      </c>
    </row>
    <row r="661" spans="119:119" x14ac:dyDescent="0.2">
      <c r="DO661" s="303" t="s">
        <v>232</v>
      </c>
    </row>
    <row r="662" spans="119:119" x14ac:dyDescent="0.2">
      <c r="DO662" s="303" t="s">
        <v>232</v>
      </c>
    </row>
    <row r="663" spans="119:119" x14ac:dyDescent="0.2">
      <c r="DO663" s="303" t="s">
        <v>232</v>
      </c>
    </row>
    <row r="664" spans="119:119" x14ac:dyDescent="0.2">
      <c r="DO664" s="303" t="s">
        <v>232</v>
      </c>
    </row>
    <row r="665" spans="119:119" x14ac:dyDescent="0.2">
      <c r="DO665" s="303" t="s">
        <v>232</v>
      </c>
    </row>
    <row r="666" spans="119:119" x14ac:dyDescent="0.2">
      <c r="DO666" s="303" t="s">
        <v>232</v>
      </c>
    </row>
    <row r="667" spans="119:119" x14ac:dyDescent="0.2">
      <c r="DO667" s="303" t="s">
        <v>232</v>
      </c>
    </row>
    <row r="668" spans="119:119" x14ac:dyDescent="0.2">
      <c r="DO668" s="303" t="s">
        <v>232</v>
      </c>
    </row>
    <row r="669" spans="119:119" x14ac:dyDescent="0.2">
      <c r="DO669" s="303" t="s">
        <v>232</v>
      </c>
    </row>
    <row r="670" spans="119:119" x14ac:dyDescent="0.2">
      <c r="DO670" s="303" t="s">
        <v>232</v>
      </c>
    </row>
    <row r="671" spans="119:119" x14ac:dyDescent="0.2">
      <c r="DO671" s="303" t="s">
        <v>232</v>
      </c>
    </row>
    <row r="672" spans="119:119" x14ac:dyDescent="0.2">
      <c r="DO672" s="303" t="s">
        <v>232</v>
      </c>
    </row>
    <row r="673" spans="119:119" x14ac:dyDescent="0.2">
      <c r="DO673" s="303" t="s">
        <v>232</v>
      </c>
    </row>
    <row r="674" spans="119:119" x14ac:dyDescent="0.2">
      <c r="DO674" s="303" t="s">
        <v>232</v>
      </c>
    </row>
    <row r="675" spans="119:119" x14ac:dyDescent="0.2">
      <c r="DO675" s="303" t="s">
        <v>232</v>
      </c>
    </row>
    <row r="676" spans="119:119" x14ac:dyDescent="0.2">
      <c r="DO676" s="303" t="s">
        <v>232</v>
      </c>
    </row>
    <row r="677" spans="119:119" x14ac:dyDescent="0.2">
      <c r="DO677" s="303" t="s">
        <v>232</v>
      </c>
    </row>
    <row r="678" spans="119:119" x14ac:dyDescent="0.2">
      <c r="DO678" s="303" t="s">
        <v>232</v>
      </c>
    </row>
    <row r="679" spans="119:119" x14ac:dyDescent="0.2">
      <c r="DO679" s="303" t="s">
        <v>232</v>
      </c>
    </row>
    <row r="680" spans="119:119" x14ac:dyDescent="0.2">
      <c r="DO680" s="303" t="s">
        <v>232</v>
      </c>
    </row>
    <row r="681" spans="119:119" x14ac:dyDescent="0.2">
      <c r="DO681" s="303" t="s">
        <v>232</v>
      </c>
    </row>
    <row r="682" spans="119:119" x14ac:dyDescent="0.2">
      <c r="DO682" s="303" t="s">
        <v>232</v>
      </c>
    </row>
    <row r="683" spans="119:119" x14ac:dyDescent="0.2">
      <c r="DO683" s="303" t="s">
        <v>232</v>
      </c>
    </row>
    <row r="684" spans="119:119" x14ac:dyDescent="0.2">
      <c r="DO684" s="303" t="s">
        <v>232</v>
      </c>
    </row>
    <row r="685" spans="119:119" x14ac:dyDescent="0.2">
      <c r="DO685" s="303" t="s">
        <v>232</v>
      </c>
    </row>
    <row r="686" spans="119:119" x14ac:dyDescent="0.2">
      <c r="DO686" s="303" t="s">
        <v>232</v>
      </c>
    </row>
    <row r="687" spans="119:119" x14ac:dyDescent="0.2">
      <c r="DO687" s="303" t="s">
        <v>232</v>
      </c>
    </row>
    <row r="688" spans="119:119" x14ac:dyDescent="0.2">
      <c r="DO688" s="303" t="s">
        <v>232</v>
      </c>
    </row>
    <row r="689" spans="119:119" x14ac:dyDescent="0.2">
      <c r="DO689" s="303" t="s">
        <v>232</v>
      </c>
    </row>
    <row r="690" spans="119:119" x14ac:dyDescent="0.2">
      <c r="DO690" s="303" t="s">
        <v>232</v>
      </c>
    </row>
    <row r="691" spans="119:119" x14ac:dyDescent="0.2">
      <c r="DO691" s="303" t="s">
        <v>232</v>
      </c>
    </row>
    <row r="692" spans="119:119" x14ac:dyDescent="0.2">
      <c r="DO692" s="303" t="s">
        <v>232</v>
      </c>
    </row>
    <row r="693" spans="119:119" x14ac:dyDescent="0.2">
      <c r="DO693" s="303" t="s">
        <v>232</v>
      </c>
    </row>
    <row r="694" spans="119:119" x14ac:dyDescent="0.2">
      <c r="DO694" s="303" t="s">
        <v>232</v>
      </c>
    </row>
    <row r="695" spans="119:119" x14ac:dyDescent="0.2">
      <c r="DO695" s="303" t="s">
        <v>232</v>
      </c>
    </row>
    <row r="696" spans="119:119" x14ac:dyDescent="0.2">
      <c r="DO696" s="303" t="s">
        <v>232</v>
      </c>
    </row>
    <row r="697" spans="119:119" x14ac:dyDescent="0.2">
      <c r="DO697" s="303" t="s">
        <v>232</v>
      </c>
    </row>
    <row r="698" spans="119:119" x14ac:dyDescent="0.2">
      <c r="DO698" s="303" t="s">
        <v>232</v>
      </c>
    </row>
    <row r="699" spans="119:119" x14ac:dyDescent="0.2">
      <c r="DO699" s="303" t="s">
        <v>232</v>
      </c>
    </row>
    <row r="700" spans="119:119" x14ac:dyDescent="0.2">
      <c r="DO700" s="303" t="s">
        <v>232</v>
      </c>
    </row>
    <row r="701" spans="119:119" x14ac:dyDescent="0.2">
      <c r="DO701" s="303" t="s">
        <v>232</v>
      </c>
    </row>
    <row r="702" spans="119:119" x14ac:dyDescent="0.2">
      <c r="DO702" s="303" t="s">
        <v>232</v>
      </c>
    </row>
    <row r="703" spans="119:119" x14ac:dyDescent="0.2">
      <c r="DO703" s="303" t="s">
        <v>232</v>
      </c>
    </row>
    <row r="704" spans="119:119" x14ac:dyDescent="0.2">
      <c r="DO704" s="303" t="s">
        <v>232</v>
      </c>
    </row>
    <row r="705" spans="119:119" x14ac:dyDescent="0.2">
      <c r="DO705" s="303" t="s">
        <v>232</v>
      </c>
    </row>
    <row r="706" spans="119:119" x14ac:dyDescent="0.2">
      <c r="DO706" s="303" t="s">
        <v>232</v>
      </c>
    </row>
    <row r="707" spans="119:119" x14ac:dyDescent="0.2">
      <c r="DO707" s="303" t="s">
        <v>232</v>
      </c>
    </row>
    <row r="708" spans="119:119" x14ac:dyDescent="0.2">
      <c r="DO708" s="303" t="s">
        <v>232</v>
      </c>
    </row>
    <row r="709" spans="119:119" x14ac:dyDescent="0.2">
      <c r="DO709" s="303" t="s">
        <v>232</v>
      </c>
    </row>
    <row r="710" spans="119:119" x14ac:dyDescent="0.2">
      <c r="DO710" s="303" t="s">
        <v>232</v>
      </c>
    </row>
    <row r="711" spans="119:119" x14ac:dyDescent="0.2">
      <c r="DO711" s="303" t="s">
        <v>232</v>
      </c>
    </row>
    <row r="712" spans="119:119" x14ac:dyDescent="0.2">
      <c r="DO712" s="303" t="s">
        <v>232</v>
      </c>
    </row>
    <row r="713" spans="119:119" x14ac:dyDescent="0.2">
      <c r="DO713" s="303" t="s">
        <v>232</v>
      </c>
    </row>
    <row r="714" spans="119:119" x14ac:dyDescent="0.2">
      <c r="DO714" s="303" t="s">
        <v>232</v>
      </c>
    </row>
    <row r="715" spans="119:119" x14ac:dyDescent="0.2">
      <c r="DO715" s="303" t="s">
        <v>232</v>
      </c>
    </row>
    <row r="716" spans="119:119" x14ac:dyDescent="0.2">
      <c r="DO716" s="303" t="s">
        <v>232</v>
      </c>
    </row>
    <row r="717" spans="119:119" x14ac:dyDescent="0.2">
      <c r="DO717" s="303" t="s">
        <v>232</v>
      </c>
    </row>
    <row r="718" spans="119:119" x14ac:dyDescent="0.2">
      <c r="DO718" s="303" t="s">
        <v>232</v>
      </c>
    </row>
    <row r="719" spans="119:119" x14ac:dyDescent="0.2">
      <c r="DO719" s="303" t="s">
        <v>232</v>
      </c>
    </row>
    <row r="720" spans="119:119" x14ac:dyDescent="0.2">
      <c r="DO720" s="303" t="s">
        <v>232</v>
      </c>
    </row>
    <row r="721" spans="119:119" x14ac:dyDescent="0.2">
      <c r="DO721" s="303" t="s">
        <v>232</v>
      </c>
    </row>
    <row r="722" spans="119:119" x14ac:dyDescent="0.2">
      <c r="DO722" s="303" t="s">
        <v>232</v>
      </c>
    </row>
    <row r="723" spans="119:119" x14ac:dyDescent="0.2">
      <c r="DO723" s="303" t="s">
        <v>232</v>
      </c>
    </row>
    <row r="724" spans="119:119" x14ac:dyDescent="0.2">
      <c r="DO724" s="303" t="s">
        <v>232</v>
      </c>
    </row>
    <row r="725" spans="119:119" x14ac:dyDescent="0.2">
      <c r="DO725" s="303" t="s">
        <v>232</v>
      </c>
    </row>
    <row r="726" spans="119:119" x14ac:dyDescent="0.2">
      <c r="DO726" s="303" t="s">
        <v>232</v>
      </c>
    </row>
    <row r="727" spans="119:119" x14ac:dyDescent="0.2">
      <c r="DO727" s="303" t="s">
        <v>232</v>
      </c>
    </row>
    <row r="728" spans="119:119" x14ac:dyDescent="0.2">
      <c r="DO728" s="303" t="s">
        <v>232</v>
      </c>
    </row>
    <row r="729" spans="119:119" x14ac:dyDescent="0.2">
      <c r="DO729" s="303" t="s">
        <v>232</v>
      </c>
    </row>
    <row r="730" spans="119:119" x14ac:dyDescent="0.2">
      <c r="DO730" s="303" t="s">
        <v>232</v>
      </c>
    </row>
    <row r="731" spans="119:119" x14ac:dyDescent="0.2">
      <c r="DO731" s="303" t="s">
        <v>232</v>
      </c>
    </row>
    <row r="732" spans="119:119" x14ac:dyDescent="0.2">
      <c r="DO732" s="303" t="s">
        <v>232</v>
      </c>
    </row>
    <row r="733" spans="119:119" x14ac:dyDescent="0.2">
      <c r="DO733" s="303" t="s">
        <v>232</v>
      </c>
    </row>
    <row r="734" spans="119:119" x14ac:dyDescent="0.2">
      <c r="DO734" s="303" t="s">
        <v>232</v>
      </c>
    </row>
    <row r="735" spans="119:119" x14ac:dyDescent="0.2">
      <c r="DO735" s="303" t="s">
        <v>232</v>
      </c>
    </row>
    <row r="736" spans="119:119" x14ac:dyDescent="0.2">
      <c r="DO736" s="303" t="s">
        <v>232</v>
      </c>
    </row>
    <row r="737" spans="119:119" x14ac:dyDescent="0.2">
      <c r="DO737" s="303" t="s">
        <v>232</v>
      </c>
    </row>
    <row r="738" spans="119:119" x14ac:dyDescent="0.2">
      <c r="DO738" s="303" t="s">
        <v>232</v>
      </c>
    </row>
    <row r="739" spans="119:119" x14ac:dyDescent="0.2">
      <c r="DO739" s="303" t="s">
        <v>232</v>
      </c>
    </row>
    <row r="740" spans="119:119" x14ac:dyDescent="0.2">
      <c r="DO740" s="303" t="s">
        <v>232</v>
      </c>
    </row>
    <row r="741" spans="119:119" x14ac:dyDescent="0.2">
      <c r="DO741" s="303" t="s">
        <v>232</v>
      </c>
    </row>
    <row r="742" spans="119:119" x14ac:dyDescent="0.2">
      <c r="DO742" s="303" t="s">
        <v>232</v>
      </c>
    </row>
    <row r="743" spans="119:119" x14ac:dyDescent="0.2">
      <c r="DO743" s="303" t="s">
        <v>232</v>
      </c>
    </row>
    <row r="744" spans="119:119" x14ac:dyDescent="0.2">
      <c r="DO744" s="303" t="s">
        <v>232</v>
      </c>
    </row>
    <row r="745" spans="119:119" x14ac:dyDescent="0.2">
      <c r="DO745" s="303" t="s">
        <v>232</v>
      </c>
    </row>
    <row r="746" spans="119:119" x14ac:dyDescent="0.2">
      <c r="DO746" s="303" t="s">
        <v>232</v>
      </c>
    </row>
    <row r="747" spans="119:119" x14ac:dyDescent="0.2">
      <c r="DO747" s="303" t="s">
        <v>232</v>
      </c>
    </row>
    <row r="748" spans="119:119" x14ac:dyDescent="0.2">
      <c r="DO748" s="303" t="s">
        <v>232</v>
      </c>
    </row>
    <row r="749" spans="119:119" x14ac:dyDescent="0.2">
      <c r="DO749" s="303" t="s">
        <v>232</v>
      </c>
    </row>
    <row r="750" spans="119:119" x14ac:dyDescent="0.2">
      <c r="DO750" s="303" t="s">
        <v>232</v>
      </c>
    </row>
    <row r="751" spans="119:119" x14ac:dyDescent="0.2">
      <c r="DO751" s="303" t="s">
        <v>232</v>
      </c>
    </row>
    <row r="752" spans="119:119" x14ac:dyDescent="0.2">
      <c r="DO752" s="303" t="s">
        <v>232</v>
      </c>
    </row>
    <row r="753" spans="119:119" x14ac:dyDescent="0.2">
      <c r="DO753" s="303" t="s">
        <v>232</v>
      </c>
    </row>
    <row r="754" spans="119:119" x14ac:dyDescent="0.2">
      <c r="DO754" s="303" t="s">
        <v>232</v>
      </c>
    </row>
    <row r="755" spans="119:119" x14ac:dyDescent="0.2">
      <c r="DO755" s="303" t="s">
        <v>232</v>
      </c>
    </row>
    <row r="756" spans="119:119" x14ac:dyDescent="0.2">
      <c r="DO756" s="303" t="s">
        <v>232</v>
      </c>
    </row>
    <row r="757" spans="119:119" x14ac:dyDescent="0.2">
      <c r="DO757" s="303" t="s">
        <v>232</v>
      </c>
    </row>
    <row r="758" spans="119:119" x14ac:dyDescent="0.2">
      <c r="DO758" s="303" t="s">
        <v>232</v>
      </c>
    </row>
    <row r="759" spans="119:119" x14ac:dyDescent="0.2">
      <c r="DO759" s="303" t="s">
        <v>232</v>
      </c>
    </row>
    <row r="760" spans="119:119" x14ac:dyDescent="0.2">
      <c r="DO760" s="303" t="s">
        <v>232</v>
      </c>
    </row>
    <row r="761" spans="119:119" x14ac:dyDescent="0.2">
      <c r="DO761" s="303" t="s">
        <v>232</v>
      </c>
    </row>
    <row r="762" spans="119:119" x14ac:dyDescent="0.2">
      <c r="DO762" s="303" t="s">
        <v>232</v>
      </c>
    </row>
    <row r="763" spans="119:119" x14ac:dyDescent="0.2">
      <c r="DO763" s="303" t="s">
        <v>232</v>
      </c>
    </row>
    <row r="764" spans="119:119" x14ac:dyDescent="0.2">
      <c r="DO764" s="303" t="s">
        <v>232</v>
      </c>
    </row>
    <row r="765" spans="119:119" x14ac:dyDescent="0.2">
      <c r="DO765" s="303" t="s">
        <v>232</v>
      </c>
    </row>
    <row r="766" spans="119:119" x14ac:dyDescent="0.2">
      <c r="DO766" s="303" t="s">
        <v>232</v>
      </c>
    </row>
    <row r="767" spans="119:119" x14ac:dyDescent="0.2">
      <c r="DO767" s="303" t="s">
        <v>232</v>
      </c>
    </row>
    <row r="768" spans="119:119" x14ac:dyDescent="0.2">
      <c r="DO768" s="303" t="s">
        <v>232</v>
      </c>
    </row>
    <row r="769" spans="119:119" x14ac:dyDescent="0.2">
      <c r="DO769" s="303" t="s">
        <v>232</v>
      </c>
    </row>
    <row r="770" spans="119:119" x14ac:dyDescent="0.2">
      <c r="DO770" s="303" t="s">
        <v>232</v>
      </c>
    </row>
    <row r="771" spans="119:119" x14ac:dyDescent="0.2">
      <c r="DO771" s="303" t="s">
        <v>232</v>
      </c>
    </row>
    <row r="772" spans="119:119" x14ac:dyDescent="0.2">
      <c r="DO772" s="303" t="s">
        <v>232</v>
      </c>
    </row>
    <row r="773" spans="119:119" x14ac:dyDescent="0.2">
      <c r="DO773" s="303" t="s">
        <v>232</v>
      </c>
    </row>
    <row r="774" spans="119:119" x14ac:dyDescent="0.2">
      <c r="DO774" s="303" t="s">
        <v>232</v>
      </c>
    </row>
    <row r="775" spans="119:119" x14ac:dyDescent="0.2">
      <c r="DO775" s="303" t="s">
        <v>232</v>
      </c>
    </row>
    <row r="776" spans="119:119" x14ac:dyDescent="0.2">
      <c r="DO776" s="303" t="s">
        <v>232</v>
      </c>
    </row>
    <row r="777" spans="119:119" x14ac:dyDescent="0.2">
      <c r="DO777" s="303" t="s">
        <v>232</v>
      </c>
    </row>
    <row r="778" spans="119:119" x14ac:dyDescent="0.2">
      <c r="DO778" s="303" t="s">
        <v>232</v>
      </c>
    </row>
    <row r="779" spans="119:119" x14ac:dyDescent="0.2">
      <c r="DO779" s="303" t="s">
        <v>232</v>
      </c>
    </row>
    <row r="780" spans="119:119" x14ac:dyDescent="0.2">
      <c r="DO780" s="303" t="s">
        <v>232</v>
      </c>
    </row>
    <row r="781" spans="119:119" x14ac:dyDescent="0.2">
      <c r="DO781" s="303" t="s">
        <v>232</v>
      </c>
    </row>
    <row r="782" spans="119:119" x14ac:dyDescent="0.2">
      <c r="DO782" s="303" t="s">
        <v>232</v>
      </c>
    </row>
    <row r="783" spans="119:119" x14ac:dyDescent="0.2">
      <c r="DO783" s="303" t="s">
        <v>232</v>
      </c>
    </row>
    <row r="784" spans="119:119" x14ac:dyDescent="0.2">
      <c r="DO784" s="303" t="s">
        <v>232</v>
      </c>
    </row>
    <row r="785" spans="119:119" x14ac:dyDescent="0.2">
      <c r="DO785" s="303" t="s">
        <v>232</v>
      </c>
    </row>
    <row r="786" spans="119:119" x14ac:dyDescent="0.2">
      <c r="DO786" s="303" t="s">
        <v>232</v>
      </c>
    </row>
    <row r="787" spans="119:119" x14ac:dyDescent="0.2">
      <c r="DO787" s="303" t="s">
        <v>232</v>
      </c>
    </row>
    <row r="788" spans="119:119" x14ac:dyDescent="0.2">
      <c r="DO788" s="303" t="s">
        <v>232</v>
      </c>
    </row>
    <row r="789" spans="119:119" x14ac:dyDescent="0.2">
      <c r="DO789" s="303" t="s">
        <v>232</v>
      </c>
    </row>
    <row r="790" spans="119:119" x14ac:dyDescent="0.2">
      <c r="DO790" s="303" t="s">
        <v>232</v>
      </c>
    </row>
    <row r="791" spans="119:119" x14ac:dyDescent="0.2">
      <c r="DO791" s="303" t="s">
        <v>232</v>
      </c>
    </row>
    <row r="792" spans="119:119" x14ac:dyDescent="0.2">
      <c r="DO792" s="303" t="s">
        <v>232</v>
      </c>
    </row>
    <row r="793" spans="119:119" x14ac:dyDescent="0.2">
      <c r="DO793" s="303" t="s">
        <v>232</v>
      </c>
    </row>
    <row r="794" spans="119:119" x14ac:dyDescent="0.2">
      <c r="DO794" s="303" t="s">
        <v>232</v>
      </c>
    </row>
    <row r="795" spans="119:119" x14ac:dyDescent="0.2">
      <c r="DO795" s="303" t="s">
        <v>232</v>
      </c>
    </row>
    <row r="796" spans="119:119" x14ac:dyDescent="0.2">
      <c r="DO796" s="303" t="s">
        <v>232</v>
      </c>
    </row>
    <row r="797" spans="119:119" x14ac:dyDescent="0.2">
      <c r="DO797" s="303" t="s">
        <v>232</v>
      </c>
    </row>
    <row r="798" spans="119:119" x14ac:dyDescent="0.2">
      <c r="DO798" s="303" t="s">
        <v>232</v>
      </c>
    </row>
    <row r="799" spans="119:119" x14ac:dyDescent="0.2">
      <c r="DO799" s="303" t="s">
        <v>232</v>
      </c>
    </row>
    <row r="800" spans="119:119" x14ac:dyDescent="0.2">
      <c r="DO800" s="303" t="s">
        <v>232</v>
      </c>
    </row>
    <row r="801" spans="119:119" x14ac:dyDescent="0.2">
      <c r="DO801" s="303" t="s">
        <v>232</v>
      </c>
    </row>
    <row r="802" spans="119:119" x14ac:dyDescent="0.2">
      <c r="DO802" s="303" t="s">
        <v>232</v>
      </c>
    </row>
    <row r="803" spans="119:119" x14ac:dyDescent="0.2">
      <c r="DO803" s="303" t="s">
        <v>232</v>
      </c>
    </row>
    <row r="804" spans="119:119" x14ac:dyDescent="0.2">
      <c r="DO804" s="303" t="s">
        <v>232</v>
      </c>
    </row>
    <row r="805" spans="119:119" x14ac:dyDescent="0.2">
      <c r="DO805" s="303" t="s">
        <v>232</v>
      </c>
    </row>
    <row r="806" spans="119:119" x14ac:dyDescent="0.2">
      <c r="DO806" s="303" t="s">
        <v>232</v>
      </c>
    </row>
    <row r="807" spans="119:119" x14ac:dyDescent="0.2">
      <c r="DO807" s="303" t="s">
        <v>232</v>
      </c>
    </row>
    <row r="808" spans="119:119" x14ac:dyDescent="0.2">
      <c r="DO808" s="303" t="s">
        <v>232</v>
      </c>
    </row>
    <row r="809" spans="119:119" x14ac:dyDescent="0.2">
      <c r="DO809" s="303" t="s">
        <v>232</v>
      </c>
    </row>
    <row r="810" spans="119:119" x14ac:dyDescent="0.2">
      <c r="DO810" s="303" t="s">
        <v>232</v>
      </c>
    </row>
    <row r="811" spans="119:119" x14ac:dyDescent="0.2">
      <c r="DO811" s="303" t="s">
        <v>232</v>
      </c>
    </row>
    <row r="812" spans="119:119" x14ac:dyDescent="0.2">
      <c r="DO812" s="303" t="s">
        <v>232</v>
      </c>
    </row>
    <row r="813" spans="119:119" x14ac:dyDescent="0.2">
      <c r="DO813" s="303" t="s">
        <v>232</v>
      </c>
    </row>
    <row r="814" spans="119:119" x14ac:dyDescent="0.2">
      <c r="DO814" s="303" t="s">
        <v>232</v>
      </c>
    </row>
    <row r="815" spans="119:119" x14ac:dyDescent="0.2">
      <c r="DO815" s="303" t="s">
        <v>232</v>
      </c>
    </row>
    <row r="816" spans="119:119" x14ac:dyDescent="0.2">
      <c r="DO816" s="303" t="s">
        <v>232</v>
      </c>
    </row>
    <row r="817" spans="119:119" x14ac:dyDescent="0.2">
      <c r="DO817" s="303" t="s">
        <v>232</v>
      </c>
    </row>
    <row r="818" spans="119:119" x14ac:dyDescent="0.2">
      <c r="DO818" s="303" t="s">
        <v>232</v>
      </c>
    </row>
    <row r="819" spans="119:119" x14ac:dyDescent="0.2">
      <c r="DO819" s="303" t="s">
        <v>232</v>
      </c>
    </row>
    <row r="820" spans="119:119" x14ac:dyDescent="0.2">
      <c r="DO820" s="303" t="s">
        <v>232</v>
      </c>
    </row>
    <row r="821" spans="119:119" x14ac:dyDescent="0.2">
      <c r="DO821" s="303" t="s">
        <v>232</v>
      </c>
    </row>
    <row r="822" spans="119:119" x14ac:dyDescent="0.2">
      <c r="DO822" s="303" t="s">
        <v>232</v>
      </c>
    </row>
    <row r="823" spans="119:119" x14ac:dyDescent="0.2">
      <c r="DO823" s="303" t="s">
        <v>232</v>
      </c>
    </row>
    <row r="824" spans="119:119" x14ac:dyDescent="0.2">
      <c r="DO824" s="303" t="s">
        <v>232</v>
      </c>
    </row>
    <row r="825" spans="119:119" x14ac:dyDescent="0.2">
      <c r="DO825" s="303" t="s">
        <v>232</v>
      </c>
    </row>
    <row r="826" spans="119:119" x14ac:dyDescent="0.2">
      <c r="DO826" s="303" t="s">
        <v>232</v>
      </c>
    </row>
    <row r="827" spans="119:119" x14ac:dyDescent="0.2">
      <c r="DO827" s="303" t="s">
        <v>232</v>
      </c>
    </row>
    <row r="828" spans="119:119" x14ac:dyDescent="0.2">
      <c r="DO828" s="303" t="s">
        <v>232</v>
      </c>
    </row>
    <row r="829" spans="119:119" x14ac:dyDescent="0.2">
      <c r="DO829" s="303" t="s">
        <v>232</v>
      </c>
    </row>
    <row r="830" spans="119:119" x14ac:dyDescent="0.2">
      <c r="DO830" s="303" t="s">
        <v>232</v>
      </c>
    </row>
    <row r="831" spans="119:119" x14ac:dyDescent="0.2">
      <c r="DO831" s="303" t="s">
        <v>232</v>
      </c>
    </row>
    <row r="832" spans="119:119" x14ac:dyDescent="0.2">
      <c r="DO832" s="303" t="s">
        <v>232</v>
      </c>
    </row>
    <row r="833" spans="119:119" x14ac:dyDescent="0.2">
      <c r="DO833" s="303" t="s">
        <v>232</v>
      </c>
    </row>
    <row r="834" spans="119:119" x14ac:dyDescent="0.2">
      <c r="DO834" s="303" t="s">
        <v>232</v>
      </c>
    </row>
    <row r="835" spans="119:119" x14ac:dyDescent="0.2">
      <c r="DO835" s="303" t="s">
        <v>232</v>
      </c>
    </row>
    <row r="836" spans="119:119" x14ac:dyDescent="0.2">
      <c r="DO836" s="303" t="s">
        <v>232</v>
      </c>
    </row>
    <row r="837" spans="119:119" x14ac:dyDescent="0.2">
      <c r="DO837" s="303" t="s">
        <v>232</v>
      </c>
    </row>
    <row r="838" spans="119:119" x14ac:dyDescent="0.2">
      <c r="DO838" s="303" t="s">
        <v>232</v>
      </c>
    </row>
    <row r="839" spans="119:119" x14ac:dyDescent="0.2">
      <c r="DO839" s="303" t="s">
        <v>232</v>
      </c>
    </row>
    <row r="840" spans="119:119" x14ac:dyDescent="0.2">
      <c r="DO840" s="303" t="s">
        <v>232</v>
      </c>
    </row>
    <row r="841" spans="119:119" x14ac:dyDescent="0.2">
      <c r="DO841" s="303" t="s">
        <v>232</v>
      </c>
    </row>
    <row r="842" spans="119:119" x14ac:dyDescent="0.2">
      <c r="DO842" s="303" t="s">
        <v>232</v>
      </c>
    </row>
    <row r="843" spans="119:119" x14ac:dyDescent="0.2">
      <c r="DO843" s="303" t="s">
        <v>232</v>
      </c>
    </row>
    <row r="844" spans="119:119" x14ac:dyDescent="0.2">
      <c r="DO844" s="303" t="s">
        <v>232</v>
      </c>
    </row>
    <row r="845" spans="119:119" x14ac:dyDescent="0.2">
      <c r="DO845" s="303" t="s">
        <v>232</v>
      </c>
    </row>
    <row r="846" spans="119:119" x14ac:dyDescent="0.2">
      <c r="DO846" s="303" t="s">
        <v>232</v>
      </c>
    </row>
    <row r="847" spans="119:119" x14ac:dyDescent="0.2">
      <c r="DO847" s="303" t="s">
        <v>232</v>
      </c>
    </row>
    <row r="848" spans="119:119" x14ac:dyDescent="0.2">
      <c r="DO848" s="303" t="s">
        <v>232</v>
      </c>
    </row>
    <row r="849" spans="119:119" x14ac:dyDescent="0.2">
      <c r="DO849" s="303" t="s">
        <v>232</v>
      </c>
    </row>
    <row r="850" spans="119:119" x14ac:dyDescent="0.2">
      <c r="DO850" s="303" t="s">
        <v>232</v>
      </c>
    </row>
    <row r="851" spans="119:119" x14ac:dyDescent="0.2">
      <c r="DO851" s="303" t="s">
        <v>232</v>
      </c>
    </row>
    <row r="852" spans="119:119" x14ac:dyDescent="0.2">
      <c r="DO852" s="303" t="s">
        <v>232</v>
      </c>
    </row>
    <row r="853" spans="119:119" x14ac:dyDescent="0.2">
      <c r="DO853" s="303" t="s">
        <v>232</v>
      </c>
    </row>
    <row r="854" spans="119:119" x14ac:dyDescent="0.2">
      <c r="DO854" s="303" t="s">
        <v>232</v>
      </c>
    </row>
    <row r="855" spans="119:119" x14ac:dyDescent="0.2">
      <c r="DO855" s="303" t="s">
        <v>232</v>
      </c>
    </row>
    <row r="856" spans="119:119" x14ac:dyDescent="0.2">
      <c r="DO856" s="303" t="s">
        <v>232</v>
      </c>
    </row>
    <row r="857" spans="119:119" x14ac:dyDescent="0.2">
      <c r="DO857" s="303" t="s">
        <v>232</v>
      </c>
    </row>
    <row r="858" spans="119:119" x14ac:dyDescent="0.2">
      <c r="DO858" s="303" t="s">
        <v>232</v>
      </c>
    </row>
    <row r="859" spans="119:119" x14ac:dyDescent="0.2">
      <c r="DO859" s="303" t="s">
        <v>232</v>
      </c>
    </row>
    <row r="860" spans="119:119" x14ac:dyDescent="0.2">
      <c r="DO860" s="303" t="s">
        <v>232</v>
      </c>
    </row>
    <row r="861" spans="119:119" x14ac:dyDescent="0.2">
      <c r="DO861" s="303" t="s">
        <v>232</v>
      </c>
    </row>
    <row r="862" spans="119:119" x14ac:dyDescent="0.2">
      <c r="DO862" s="303" t="s">
        <v>232</v>
      </c>
    </row>
    <row r="863" spans="119:119" x14ac:dyDescent="0.2">
      <c r="DO863" s="303" t="s">
        <v>232</v>
      </c>
    </row>
    <row r="864" spans="119:119" x14ac:dyDescent="0.2">
      <c r="DO864" s="303" t="s">
        <v>232</v>
      </c>
    </row>
    <row r="865" spans="119:119" x14ac:dyDescent="0.2">
      <c r="DO865" s="303" t="s">
        <v>232</v>
      </c>
    </row>
    <row r="866" spans="119:119" x14ac:dyDescent="0.2">
      <c r="DO866" s="303" t="s">
        <v>232</v>
      </c>
    </row>
    <row r="867" spans="119:119" x14ac:dyDescent="0.2">
      <c r="DO867" s="303" t="s">
        <v>232</v>
      </c>
    </row>
    <row r="868" spans="119:119" x14ac:dyDescent="0.2">
      <c r="DO868" s="303" t="s">
        <v>232</v>
      </c>
    </row>
    <row r="869" spans="119:119" x14ac:dyDescent="0.2">
      <c r="DO869" s="303" t="s">
        <v>232</v>
      </c>
    </row>
    <row r="870" spans="119:119" x14ac:dyDescent="0.2">
      <c r="DO870" s="303" t="s">
        <v>232</v>
      </c>
    </row>
    <row r="871" spans="119:119" x14ac:dyDescent="0.2">
      <c r="DO871" s="303" t="s">
        <v>232</v>
      </c>
    </row>
    <row r="872" spans="119:119" x14ac:dyDescent="0.2">
      <c r="DO872" s="303" t="s">
        <v>232</v>
      </c>
    </row>
    <row r="873" spans="119:119" x14ac:dyDescent="0.2">
      <c r="DO873" s="303" t="s">
        <v>232</v>
      </c>
    </row>
    <row r="874" spans="119:119" x14ac:dyDescent="0.2">
      <c r="DO874" s="303" t="s">
        <v>232</v>
      </c>
    </row>
    <row r="875" spans="119:119" x14ac:dyDescent="0.2">
      <c r="DO875" s="303" t="s">
        <v>232</v>
      </c>
    </row>
    <row r="876" spans="119:119" x14ac:dyDescent="0.2">
      <c r="DO876" s="303" t="s">
        <v>232</v>
      </c>
    </row>
    <row r="877" spans="119:119" x14ac:dyDescent="0.2">
      <c r="DO877" s="303" t="s">
        <v>232</v>
      </c>
    </row>
    <row r="878" spans="119:119" x14ac:dyDescent="0.2">
      <c r="DO878" s="303" t="s">
        <v>232</v>
      </c>
    </row>
    <row r="879" spans="119:119" x14ac:dyDescent="0.2">
      <c r="DO879" s="303" t="s">
        <v>232</v>
      </c>
    </row>
    <row r="880" spans="119:119" x14ac:dyDescent="0.2">
      <c r="DO880" s="303" t="s">
        <v>232</v>
      </c>
    </row>
    <row r="881" spans="119:119" x14ac:dyDescent="0.2">
      <c r="DO881" s="303" t="s">
        <v>232</v>
      </c>
    </row>
    <row r="882" spans="119:119" x14ac:dyDescent="0.2">
      <c r="DO882" s="303" t="s">
        <v>232</v>
      </c>
    </row>
    <row r="883" spans="119:119" x14ac:dyDescent="0.2">
      <c r="DO883" s="303" t="s">
        <v>232</v>
      </c>
    </row>
    <row r="884" spans="119:119" x14ac:dyDescent="0.2">
      <c r="DO884" s="303" t="s">
        <v>232</v>
      </c>
    </row>
    <row r="885" spans="119:119" x14ac:dyDescent="0.2">
      <c r="DO885" s="303" t="s">
        <v>232</v>
      </c>
    </row>
    <row r="886" spans="119:119" x14ac:dyDescent="0.2">
      <c r="DO886" s="303" t="s">
        <v>232</v>
      </c>
    </row>
    <row r="887" spans="119:119" x14ac:dyDescent="0.2">
      <c r="DO887" s="303" t="s">
        <v>232</v>
      </c>
    </row>
    <row r="888" spans="119:119" x14ac:dyDescent="0.2">
      <c r="DO888" s="303" t="s">
        <v>232</v>
      </c>
    </row>
    <row r="889" spans="119:119" x14ac:dyDescent="0.2">
      <c r="DO889" s="303" t="s">
        <v>232</v>
      </c>
    </row>
    <row r="890" spans="119:119" x14ac:dyDescent="0.2">
      <c r="DO890" s="303" t="s">
        <v>232</v>
      </c>
    </row>
    <row r="891" spans="119:119" x14ac:dyDescent="0.2">
      <c r="DO891" s="303" t="s">
        <v>232</v>
      </c>
    </row>
    <row r="892" spans="119:119" x14ac:dyDescent="0.2">
      <c r="DO892" s="303" t="s">
        <v>232</v>
      </c>
    </row>
    <row r="893" spans="119:119" x14ac:dyDescent="0.2">
      <c r="DO893" s="303" t="s">
        <v>232</v>
      </c>
    </row>
    <row r="894" spans="119:119" x14ac:dyDescent="0.2">
      <c r="DO894" s="303" t="s">
        <v>232</v>
      </c>
    </row>
    <row r="895" spans="119:119" x14ac:dyDescent="0.2">
      <c r="DO895" s="303" t="s">
        <v>232</v>
      </c>
    </row>
    <row r="896" spans="119:119" x14ac:dyDescent="0.2">
      <c r="DO896" s="303" t="s">
        <v>232</v>
      </c>
    </row>
    <row r="897" spans="119:119" x14ac:dyDescent="0.2">
      <c r="DO897" s="303" t="s">
        <v>232</v>
      </c>
    </row>
    <row r="898" spans="119:119" x14ac:dyDescent="0.2">
      <c r="DO898" s="303" t="s">
        <v>232</v>
      </c>
    </row>
    <row r="899" spans="119:119" x14ac:dyDescent="0.2">
      <c r="DO899" s="303" t="s">
        <v>232</v>
      </c>
    </row>
    <row r="900" spans="119:119" x14ac:dyDescent="0.2">
      <c r="DO900" s="303" t="s">
        <v>232</v>
      </c>
    </row>
    <row r="901" spans="119:119" x14ac:dyDescent="0.2">
      <c r="DO901" s="303" t="s">
        <v>232</v>
      </c>
    </row>
    <row r="902" spans="119:119" x14ac:dyDescent="0.2">
      <c r="DO902" s="303" t="s">
        <v>232</v>
      </c>
    </row>
    <row r="903" spans="119:119" x14ac:dyDescent="0.2">
      <c r="DO903" s="303" t="s">
        <v>232</v>
      </c>
    </row>
    <row r="904" spans="119:119" x14ac:dyDescent="0.2">
      <c r="DO904" s="303" t="s">
        <v>232</v>
      </c>
    </row>
    <row r="905" spans="119:119" x14ac:dyDescent="0.2">
      <c r="DO905" s="303" t="s">
        <v>232</v>
      </c>
    </row>
    <row r="906" spans="119:119" x14ac:dyDescent="0.2">
      <c r="DO906" s="303" t="s">
        <v>232</v>
      </c>
    </row>
    <row r="907" spans="119:119" x14ac:dyDescent="0.2">
      <c r="DO907" s="303" t="s">
        <v>232</v>
      </c>
    </row>
    <row r="908" spans="119:119" x14ac:dyDescent="0.2">
      <c r="DO908" s="303" t="s">
        <v>232</v>
      </c>
    </row>
    <row r="909" spans="119:119" x14ac:dyDescent="0.2">
      <c r="DO909" s="303" t="s">
        <v>232</v>
      </c>
    </row>
    <row r="910" spans="119:119" x14ac:dyDescent="0.2">
      <c r="DO910" s="303" t="s">
        <v>232</v>
      </c>
    </row>
    <row r="911" spans="119:119" x14ac:dyDescent="0.2">
      <c r="DO911" s="303" t="s">
        <v>232</v>
      </c>
    </row>
    <row r="912" spans="119:119" x14ac:dyDescent="0.2">
      <c r="DO912" s="303" t="s">
        <v>232</v>
      </c>
    </row>
    <row r="913" spans="119:119" x14ac:dyDescent="0.2">
      <c r="DO913" s="303" t="s">
        <v>232</v>
      </c>
    </row>
    <row r="914" spans="119:119" x14ac:dyDescent="0.2">
      <c r="DO914" s="303" t="s">
        <v>232</v>
      </c>
    </row>
    <row r="915" spans="119:119" x14ac:dyDescent="0.2">
      <c r="DO915" s="303" t="s">
        <v>232</v>
      </c>
    </row>
    <row r="916" spans="119:119" x14ac:dyDescent="0.2">
      <c r="DO916" s="303" t="s">
        <v>232</v>
      </c>
    </row>
    <row r="917" spans="119:119" x14ac:dyDescent="0.2">
      <c r="DO917" s="303" t="s">
        <v>232</v>
      </c>
    </row>
    <row r="918" spans="119:119" x14ac:dyDescent="0.2">
      <c r="DO918" s="303" t="s">
        <v>232</v>
      </c>
    </row>
    <row r="919" spans="119:119" x14ac:dyDescent="0.2">
      <c r="DO919" s="303" t="s">
        <v>232</v>
      </c>
    </row>
    <row r="920" spans="119:119" x14ac:dyDescent="0.2">
      <c r="DO920" s="303" t="s">
        <v>232</v>
      </c>
    </row>
    <row r="921" spans="119:119" x14ac:dyDescent="0.2">
      <c r="DO921" s="303" t="s">
        <v>232</v>
      </c>
    </row>
    <row r="922" spans="119:119" x14ac:dyDescent="0.2">
      <c r="DO922" s="303" t="s">
        <v>232</v>
      </c>
    </row>
    <row r="923" spans="119:119" x14ac:dyDescent="0.2">
      <c r="DO923" s="303" t="s">
        <v>232</v>
      </c>
    </row>
    <row r="924" spans="119:119" x14ac:dyDescent="0.2">
      <c r="DO924" s="303" t="s">
        <v>232</v>
      </c>
    </row>
    <row r="925" spans="119:119" x14ac:dyDescent="0.2">
      <c r="DO925" s="303" t="s">
        <v>232</v>
      </c>
    </row>
    <row r="926" spans="119:119" x14ac:dyDescent="0.2">
      <c r="DO926" s="303" t="s">
        <v>232</v>
      </c>
    </row>
    <row r="927" spans="119:119" x14ac:dyDescent="0.2">
      <c r="DO927" s="303" t="s">
        <v>232</v>
      </c>
    </row>
    <row r="928" spans="119:119" x14ac:dyDescent="0.2">
      <c r="DO928" s="303" t="s">
        <v>232</v>
      </c>
    </row>
    <row r="929" spans="119:119" x14ac:dyDescent="0.2">
      <c r="DO929" s="303" t="s">
        <v>232</v>
      </c>
    </row>
    <row r="930" spans="119:119" x14ac:dyDescent="0.2">
      <c r="DO930" s="303" t="s">
        <v>232</v>
      </c>
    </row>
    <row r="931" spans="119:119" x14ac:dyDescent="0.2">
      <c r="DO931" s="303" t="s">
        <v>232</v>
      </c>
    </row>
    <row r="932" spans="119:119" x14ac:dyDescent="0.2">
      <c r="DO932" s="303" t="s">
        <v>232</v>
      </c>
    </row>
    <row r="933" spans="119:119" x14ac:dyDescent="0.2">
      <c r="DO933" s="303" t="s">
        <v>232</v>
      </c>
    </row>
    <row r="934" spans="119:119" x14ac:dyDescent="0.2">
      <c r="DO934" s="303" t="s">
        <v>232</v>
      </c>
    </row>
    <row r="935" spans="119:119" x14ac:dyDescent="0.2">
      <c r="DO935" s="303" t="s">
        <v>232</v>
      </c>
    </row>
    <row r="936" spans="119:119" x14ac:dyDescent="0.2">
      <c r="DO936" s="303" t="s">
        <v>232</v>
      </c>
    </row>
    <row r="937" spans="119:119" x14ac:dyDescent="0.2">
      <c r="DO937" s="303" t="s">
        <v>232</v>
      </c>
    </row>
    <row r="938" spans="119:119" x14ac:dyDescent="0.2">
      <c r="DO938" s="303" t="s">
        <v>232</v>
      </c>
    </row>
    <row r="939" spans="119:119" x14ac:dyDescent="0.2">
      <c r="DO939" s="303" t="s">
        <v>232</v>
      </c>
    </row>
    <row r="940" spans="119:119" x14ac:dyDescent="0.2">
      <c r="DO940" s="303" t="s">
        <v>232</v>
      </c>
    </row>
    <row r="941" spans="119:119" x14ac:dyDescent="0.2">
      <c r="DO941" s="303" t="s">
        <v>232</v>
      </c>
    </row>
    <row r="942" spans="119:119" x14ac:dyDescent="0.2">
      <c r="DO942" s="303" t="s">
        <v>232</v>
      </c>
    </row>
    <row r="943" spans="119:119" x14ac:dyDescent="0.2">
      <c r="DO943" s="303" t="s">
        <v>232</v>
      </c>
    </row>
    <row r="944" spans="119:119" x14ac:dyDescent="0.2">
      <c r="DO944" s="303" t="s">
        <v>232</v>
      </c>
    </row>
    <row r="945" spans="119:119" x14ac:dyDescent="0.2">
      <c r="DO945" s="303" t="s">
        <v>232</v>
      </c>
    </row>
    <row r="946" spans="119:119" x14ac:dyDescent="0.2">
      <c r="DO946" s="303" t="s">
        <v>232</v>
      </c>
    </row>
    <row r="947" spans="119:119" x14ac:dyDescent="0.2">
      <c r="DO947" s="303" t="s">
        <v>232</v>
      </c>
    </row>
    <row r="948" spans="119:119" x14ac:dyDescent="0.2">
      <c r="DO948" s="303" t="s">
        <v>232</v>
      </c>
    </row>
    <row r="949" spans="119:119" x14ac:dyDescent="0.2">
      <c r="DO949" s="303" t="s">
        <v>232</v>
      </c>
    </row>
    <row r="950" spans="119:119" x14ac:dyDescent="0.2">
      <c r="DO950" s="303" t="s">
        <v>232</v>
      </c>
    </row>
    <row r="951" spans="119:119" x14ac:dyDescent="0.2">
      <c r="DO951" s="303" t="s">
        <v>232</v>
      </c>
    </row>
    <row r="952" spans="119:119" x14ac:dyDescent="0.2">
      <c r="DO952" s="303" t="s">
        <v>232</v>
      </c>
    </row>
    <row r="953" spans="119:119" x14ac:dyDescent="0.2">
      <c r="DO953" s="303" t="s">
        <v>232</v>
      </c>
    </row>
    <row r="954" spans="119:119" x14ac:dyDescent="0.2">
      <c r="DO954" s="303" t="s">
        <v>232</v>
      </c>
    </row>
    <row r="955" spans="119:119" x14ac:dyDescent="0.2">
      <c r="DO955" s="303" t="s">
        <v>232</v>
      </c>
    </row>
    <row r="956" spans="119:119" x14ac:dyDescent="0.2">
      <c r="DO956" s="303" t="s">
        <v>232</v>
      </c>
    </row>
    <row r="957" spans="119:119" x14ac:dyDescent="0.2">
      <c r="DO957" s="303" t="s">
        <v>232</v>
      </c>
    </row>
    <row r="958" spans="119:119" x14ac:dyDescent="0.2">
      <c r="DO958" s="303" t="s">
        <v>232</v>
      </c>
    </row>
    <row r="959" spans="119:119" x14ac:dyDescent="0.2">
      <c r="DO959" s="303" t="s">
        <v>232</v>
      </c>
    </row>
    <row r="960" spans="119:119" x14ac:dyDescent="0.2">
      <c r="DO960" s="303" t="s">
        <v>232</v>
      </c>
    </row>
    <row r="961" spans="119:119" x14ac:dyDescent="0.2">
      <c r="DO961" s="303" t="s">
        <v>232</v>
      </c>
    </row>
    <row r="962" spans="119:119" x14ac:dyDescent="0.2">
      <c r="DO962" s="303" t="s">
        <v>232</v>
      </c>
    </row>
    <row r="963" spans="119:119" x14ac:dyDescent="0.2">
      <c r="DO963" s="303" t="s">
        <v>232</v>
      </c>
    </row>
    <row r="964" spans="119:119" x14ac:dyDescent="0.2">
      <c r="DO964" s="303" t="s">
        <v>232</v>
      </c>
    </row>
    <row r="965" spans="119:119" x14ac:dyDescent="0.2">
      <c r="DO965" s="303" t="s">
        <v>232</v>
      </c>
    </row>
    <row r="966" spans="119:119" x14ac:dyDescent="0.2">
      <c r="DO966" s="303" t="s">
        <v>232</v>
      </c>
    </row>
    <row r="967" spans="119:119" x14ac:dyDescent="0.2">
      <c r="DO967" s="303" t="s">
        <v>232</v>
      </c>
    </row>
    <row r="968" spans="119:119" x14ac:dyDescent="0.2">
      <c r="DO968" s="303" t="s">
        <v>232</v>
      </c>
    </row>
    <row r="969" spans="119:119" x14ac:dyDescent="0.2">
      <c r="DO969" s="303" t="s">
        <v>232</v>
      </c>
    </row>
    <row r="970" spans="119:119" x14ac:dyDescent="0.2">
      <c r="DO970" s="303" t="s">
        <v>232</v>
      </c>
    </row>
    <row r="971" spans="119:119" x14ac:dyDescent="0.2">
      <c r="DO971" s="303" t="s">
        <v>232</v>
      </c>
    </row>
    <row r="972" spans="119:119" x14ac:dyDescent="0.2">
      <c r="DO972" s="303" t="s">
        <v>232</v>
      </c>
    </row>
    <row r="973" spans="119:119" x14ac:dyDescent="0.2">
      <c r="DO973" s="303" t="s">
        <v>232</v>
      </c>
    </row>
    <row r="974" spans="119:119" x14ac:dyDescent="0.2">
      <c r="DO974" s="303" t="s">
        <v>232</v>
      </c>
    </row>
    <row r="975" spans="119:119" x14ac:dyDescent="0.2">
      <c r="DO975" s="303" t="s">
        <v>232</v>
      </c>
    </row>
    <row r="976" spans="119:119" x14ac:dyDescent="0.2">
      <c r="DO976" s="303" t="s">
        <v>232</v>
      </c>
    </row>
    <row r="977" spans="119:119" x14ac:dyDescent="0.2">
      <c r="DO977" s="303" t="s">
        <v>232</v>
      </c>
    </row>
    <row r="978" spans="119:119" x14ac:dyDescent="0.2">
      <c r="DO978" s="303" t="s">
        <v>232</v>
      </c>
    </row>
    <row r="979" spans="119:119" x14ac:dyDescent="0.2">
      <c r="DO979" s="303" t="s">
        <v>232</v>
      </c>
    </row>
    <row r="980" spans="119:119" x14ac:dyDescent="0.2">
      <c r="DO980" s="303" t="s">
        <v>232</v>
      </c>
    </row>
    <row r="981" spans="119:119" x14ac:dyDescent="0.2">
      <c r="DO981" s="303" t="s">
        <v>232</v>
      </c>
    </row>
    <row r="982" spans="119:119" x14ac:dyDescent="0.2">
      <c r="DO982" s="303" t="s">
        <v>232</v>
      </c>
    </row>
    <row r="983" spans="119:119" x14ac:dyDescent="0.2">
      <c r="DO983" s="303" t="s">
        <v>232</v>
      </c>
    </row>
    <row r="984" spans="119:119" x14ac:dyDescent="0.2">
      <c r="DO984" s="303" t="s">
        <v>232</v>
      </c>
    </row>
    <row r="985" spans="119:119" x14ac:dyDescent="0.2">
      <c r="DO985" s="303" t="s">
        <v>232</v>
      </c>
    </row>
    <row r="986" spans="119:119" x14ac:dyDescent="0.2">
      <c r="DO986" s="303" t="s">
        <v>232</v>
      </c>
    </row>
    <row r="987" spans="119:119" x14ac:dyDescent="0.2">
      <c r="DO987" s="303" t="s">
        <v>232</v>
      </c>
    </row>
    <row r="988" spans="119:119" x14ac:dyDescent="0.2">
      <c r="DO988" s="303" t="s">
        <v>232</v>
      </c>
    </row>
    <row r="989" spans="119:119" x14ac:dyDescent="0.2">
      <c r="DO989" s="303" t="s">
        <v>232</v>
      </c>
    </row>
    <row r="990" spans="119:119" x14ac:dyDescent="0.2">
      <c r="DO990" s="303" t="s">
        <v>232</v>
      </c>
    </row>
    <row r="991" spans="119:119" x14ac:dyDescent="0.2">
      <c r="DO991" s="303" t="s">
        <v>232</v>
      </c>
    </row>
    <row r="992" spans="119:119" x14ac:dyDescent="0.2">
      <c r="DO992" s="303" t="s">
        <v>232</v>
      </c>
    </row>
    <row r="993" spans="119:119" x14ac:dyDescent="0.2">
      <c r="DO993" s="303" t="s">
        <v>232</v>
      </c>
    </row>
    <row r="994" spans="119:119" x14ac:dyDescent="0.2">
      <c r="DO994" s="303" t="s">
        <v>232</v>
      </c>
    </row>
    <row r="995" spans="119:119" x14ac:dyDescent="0.2">
      <c r="DO995" s="303" t="s">
        <v>232</v>
      </c>
    </row>
    <row r="996" spans="119:119" x14ac:dyDescent="0.2">
      <c r="DO996" s="303" t="s">
        <v>232</v>
      </c>
    </row>
    <row r="997" spans="119:119" x14ac:dyDescent="0.2">
      <c r="DO997" s="303" t="s">
        <v>232</v>
      </c>
    </row>
    <row r="998" spans="119:119" x14ac:dyDescent="0.2">
      <c r="DO998" s="303" t="s">
        <v>232</v>
      </c>
    </row>
    <row r="999" spans="119:119" x14ac:dyDescent="0.2">
      <c r="DO999" s="303" t="s">
        <v>232</v>
      </c>
    </row>
    <row r="1000" spans="119:119" x14ac:dyDescent="0.2">
      <c r="DO1000" s="303" t="s">
        <v>232</v>
      </c>
    </row>
    <row r="1001" spans="119:119" x14ac:dyDescent="0.2">
      <c r="DO1001" s="303" t="s">
        <v>232</v>
      </c>
    </row>
    <row r="1002" spans="119:119" x14ac:dyDescent="0.2">
      <c r="DO1002" s="303" t="s">
        <v>232</v>
      </c>
    </row>
    <row r="1003" spans="119:119" x14ac:dyDescent="0.2">
      <c r="DO1003" s="303" t="s">
        <v>232</v>
      </c>
    </row>
    <row r="1004" spans="119:119" x14ac:dyDescent="0.2">
      <c r="DO1004" s="303" t="s">
        <v>232</v>
      </c>
    </row>
    <row r="1005" spans="119:119" x14ac:dyDescent="0.2">
      <c r="DO1005" s="303" t="s">
        <v>232</v>
      </c>
    </row>
    <row r="1006" spans="119:119" x14ac:dyDescent="0.2">
      <c r="DO1006" s="303" t="s">
        <v>232</v>
      </c>
    </row>
    <row r="1007" spans="119:119" x14ac:dyDescent="0.2">
      <c r="DO1007" s="303" t="s">
        <v>232</v>
      </c>
    </row>
    <row r="1008" spans="119:119" x14ac:dyDescent="0.2">
      <c r="DO1008" s="303" t="s">
        <v>232</v>
      </c>
    </row>
    <row r="1009" spans="119:119" x14ac:dyDescent="0.2">
      <c r="DO1009" s="303" t="s">
        <v>232</v>
      </c>
    </row>
    <row r="1010" spans="119:119" x14ac:dyDescent="0.2">
      <c r="DO1010" s="303" t="s">
        <v>232</v>
      </c>
    </row>
    <row r="1011" spans="119:119" x14ac:dyDescent="0.2">
      <c r="DO1011" s="303" t="s">
        <v>232</v>
      </c>
    </row>
    <row r="1012" spans="119:119" x14ac:dyDescent="0.2">
      <c r="DO1012" s="303" t="s">
        <v>232</v>
      </c>
    </row>
    <row r="1013" spans="119:119" x14ac:dyDescent="0.2">
      <c r="DO1013" s="303" t="s">
        <v>232</v>
      </c>
    </row>
    <row r="1014" spans="119:119" x14ac:dyDescent="0.2">
      <c r="DO1014" s="303" t="s">
        <v>232</v>
      </c>
    </row>
    <row r="1015" spans="119:119" x14ac:dyDescent="0.2">
      <c r="DO1015" s="303" t="s">
        <v>232</v>
      </c>
    </row>
    <row r="1016" spans="119:119" x14ac:dyDescent="0.2">
      <c r="DO1016" s="303" t="s">
        <v>232</v>
      </c>
    </row>
    <row r="1017" spans="119:119" x14ac:dyDescent="0.2">
      <c r="DO1017" s="303" t="s">
        <v>232</v>
      </c>
    </row>
    <row r="1018" spans="119:119" x14ac:dyDescent="0.2">
      <c r="DO1018" s="303" t="s">
        <v>232</v>
      </c>
    </row>
    <row r="1019" spans="119:119" x14ac:dyDescent="0.2">
      <c r="DO1019" s="303" t="s">
        <v>232</v>
      </c>
    </row>
    <row r="1020" spans="119:119" x14ac:dyDescent="0.2">
      <c r="DO1020" s="303" t="s">
        <v>232</v>
      </c>
    </row>
    <row r="1021" spans="119:119" x14ac:dyDescent="0.2">
      <c r="DO1021" s="303" t="s">
        <v>232</v>
      </c>
    </row>
    <row r="1022" spans="119:119" x14ac:dyDescent="0.2">
      <c r="DO1022" s="303" t="s">
        <v>232</v>
      </c>
    </row>
    <row r="1023" spans="119:119" x14ac:dyDescent="0.2">
      <c r="DO1023" s="303" t="s">
        <v>232</v>
      </c>
    </row>
    <row r="1024" spans="119:119" x14ac:dyDescent="0.2">
      <c r="DO1024" s="303" t="s">
        <v>232</v>
      </c>
    </row>
    <row r="1025" spans="119:119" x14ac:dyDescent="0.2">
      <c r="DO1025" s="303" t="s">
        <v>232</v>
      </c>
    </row>
    <row r="1026" spans="119:119" x14ac:dyDescent="0.2">
      <c r="DO1026" s="303" t="s">
        <v>232</v>
      </c>
    </row>
    <row r="1027" spans="119:119" x14ac:dyDescent="0.2">
      <c r="DO1027" s="303" t="s">
        <v>232</v>
      </c>
    </row>
    <row r="1028" spans="119:119" x14ac:dyDescent="0.2">
      <c r="DO1028" s="303" t="s">
        <v>232</v>
      </c>
    </row>
    <row r="1029" spans="119:119" x14ac:dyDescent="0.2">
      <c r="DO1029" s="303" t="s">
        <v>232</v>
      </c>
    </row>
    <row r="1030" spans="119:119" x14ac:dyDescent="0.2">
      <c r="DO1030" s="303" t="s">
        <v>232</v>
      </c>
    </row>
    <row r="1031" spans="119:119" x14ac:dyDescent="0.2">
      <c r="DO1031" s="303" t="s">
        <v>232</v>
      </c>
    </row>
    <row r="1032" spans="119:119" x14ac:dyDescent="0.2">
      <c r="DO1032" s="303" t="s">
        <v>232</v>
      </c>
    </row>
    <row r="1033" spans="119:119" x14ac:dyDescent="0.2">
      <c r="DO1033" s="303" t="s">
        <v>232</v>
      </c>
    </row>
    <row r="1034" spans="119:119" x14ac:dyDescent="0.2">
      <c r="DO1034" s="303" t="s">
        <v>232</v>
      </c>
    </row>
    <row r="1035" spans="119:119" x14ac:dyDescent="0.2">
      <c r="DO1035" s="303" t="s">
        <v>232</v>
      </c>
    </row>
    <row r="1036" spans="119:119" x14ac:dyDescent="0.2">
      <c r="DO1036" s="303" t="s">
        <v>232</v>
      </c>
    </row>
    <row r="1037" spans="119:119" x14ac:dyDescent="0.2">
      <c r="DO1037" s="303" t="s">
        <v>232</v>
      </c>
    </row>
    <row r="1038" spans="119:119" x14ac:dyDescent="0.2">
      <c r="DO1038" s="303" t="s">
        <v>232</v>
      </c>
    </row>
    <row r="1039" spans="119:119" x14ac:dyDescent="0.2">
      <c r="DO1039" s="303" t="s">
        <v>232</v>
      </c>
    </row>
    <row r="1040" spans="119:119" x14ac:dyDescent="0.2">
      <c r="DO1040" s="303" t="s">
        <v>232</v>
      </c>
    </row>
    <row r="1041" spans="119:119" x14ac:dyDescent="0.2">
      <c r="DO1041" s="303" t="s">
        <v>232</v>
      </c>
    </row>
    <row r="1042" spans="119:119" x14ac:dyDescent="0.2">
      <c r="DO1042" s="303" t="s">
        <v>232</v>
      </c>
    </row>
    <row r="1043" spans="119:119" x14ac:dyDescent="0.2">
      <c r="DO1043" s="303" t="s">
        <v>232</v>
      </c>
    </row>
    <row r="1044" spans="119:119" x14ac:dyDescent="0.2">
      <c r="DO1044" s="303" t="s">
        <v>232</v>
      </c>
    </row>
    <row r="1045" spans="119:119" x14ac:dyDescent="0.2">
      <c r="DO1045" s="303" t="s">
        <v>232</v>
      </c>
    </row>
    <row r="1046" spans="119:119" x14ac:dyDescent="0.2">
      <c r="DO1046" s="303" t="s">
        <v>232</v>
      </c>
    </row>
    <row r="1047" spans="119:119" x14ac:dyDescent="0.2">
      <c r="DO1047" s="303" t="s">
        <v>232</v>
      </c>
    </row>
    <row r="1048" spans="119:119" x14ac:dyDescent="0.2">
      <c r="DO1048" s="303" t="s">
        <v>232</v>
      </c>
    </row>
    <row r="1049" spans="119:119" x14ac:dyDescent="0.2">
      <c r="DO1049" s="303" t="s">
        <v>232</v>
      </c>
    </row>
    <row r="1050" spans="119:119" x14ac:dyDescent="0.2">
      <c r="DO1050" s="303" t="s">
        <v>232</v>
      </c>
    </row>
    <row r="1051" spans="119:119" x14ac:dyDescent="0.2">
      <c r="DO1051" s="303" t="s">
        <v>232</v>
      </c>
    </row>
    <row r="1052" spans="119:119" x14ac:dyDescent="0.2">
      <c r="DO1052" s="303" t="s">
        <v>232</v>
      </c>
    </row>
    <row r="1053" spans="119:119" x14ac:dyDescent="0.2">
      <c r="DO1053" s="303" t="s">
        <v>232</v>
      </c>
    </row>
    <row r="1054" spans="119:119" x14ac:dyDescent="0.2">
      <c r="DO1054" s="303" t="s">
        <v>232</v>
      </c>
    </row>
    <row r="1055" spans="119:119" x14ac:dyDescent="0.2">
      <c r="DO1055" s="303" t="s">
        <v>232</v>
      </c>
    </row>
    <row r="1056" spans="119:119" x14ac:dyDescent="0.2">
      <c r="DO1056" s="303" t="s">
        <v>232</v>
      </c>
    </row>
    <row r="1057" spans="119:119" x14ac:dyDescent="0.2">
      <c r="DO1057" s="303" t="s">
        <v>232</v>
      </c>
    </row>
    <row r="1058" spans="119:119" x14ac:dyDescent="0.2">
      <c r="DO1058" s="303" t="s">
        <v>232</v>
      </c>
    </row>
    <row r="1059" spans="119:119" x14ac:dyDescent="0.2">
      <c r="DO1059" s="303" t="s">
        <v>232</v>
      </c>
    </row>
    <row r="1060" spans="119:119" x14ac:dyDescent="0.2">
      <c r="DO1060" s="303" t="s">
        <v>232</v>
      </c>
    </row>
    <row r="1061" spans="119:119" x14ac:dyDescent="0.2">
      <c r="DO1061" s="303" t="s">
        <v>232</v>
      </c>
    </row>
    <row r="1062" spans="119:119" x14ac:dyDescent="0.2">
      <c r="DO1062" s="303" t="s">
        <v>232</v>
      </c>
    </row>
    <row r="1063" spans="119:119" x14ac:dyDescent="0.2">
      <c r="DO1063" s="303" t="s">
        <v>232</v>
      </c>
    </row>
    <row r="1064" spans="119:119" x14ac:dyDescent="0.2">
      <c r="DO1064" s="303" t="s">
        <v>232</v>
      </c>
    </row>
    <row r="1065" spans="119:119" x14ac:dyDescent="0.2">
      <c r="DO1065" s="303" t="s">
        <v>232</v>
      </c>
    </row>
    <row r="1066" spans="119:119" x14ac:dyDescent="0.2">
      <c r="DO1066" s="303" t="s">
        <v>232</v>
      </c>
    </row>
    <row r="1067" spans="119:119" x14ac:dyDescent="0.2">
      <c r="DO1067" s="303" t="s">
        <v>232</v>
      </c>
    </row>
    <row r="1068" spans="119:119" x14ac:dyDescent="0.2">
      <c r="DO1068" s="303" t="s">
        <v>232</v>
      </c>
    </row>
    <row r="1069" spans="119:119" x14ac:dyDescent="0.2">
      <c r="DO1069" s="303" t="s">
        <v>232</v>
      </c>
    </row>
    <row r="1070" spans="119:119" x14ac:dyDescent="0.2">
      <c r="DO1070" s="303" t="s">
        <v>232</v>
      </c>
    </row>
    <row r="1071" spans="119:119" x14ac:dyDescent="0.2">
      <c r="DO1071" s="303" t="s">
        <v>232</v>
      </c>
    </row>
    <row r="1072" spans="119:119" x14ac:dyDescent="0.2">
      <c r="DO1072" s="303" t="s">
        <v>232</v>
      </c>
    </row>
    <row r="1073" spans="119:119" x14ac:dyDescent="0.2">
      <c r="DO1073" s="303" t="s">
        <v>232</v>
      </c>
    </row>
    <row r="1074" spans="119:119" x14ac:dyDescent="0.2">
      <c r="DO1074" s="303" t="s">
        <v>232</v>
      </c>
    </row>
    <row r="1075" spans="119:119" x14ac:dyDescent="0.2">
      <c r="DO1075" s="303" t="s">
        <v>232</v>
      </c>
    </row>
    <row r="1076" spans="119:119" x14ac:dyDescent="0.2">
      <c r="DO1076" s="303" t="s">
        <v>232</v>
      </c>
    </row>
    <row r="1077" spans="119:119" x14ac:dyDescent="0.2">
      <c r="DO1077" s="303" t="s">
        <v>232</v>
      </c>
    </row>
    <row r="1078" spans="119:119" x14ac:dyDescent="0.2">
      <c r="DO1078" s="303" t="s">
        <v>232</v>
      </c>
    </row>
    <row r="1079" spans="119:119" x14ac:dyDescent="0.2">
      <c r="DO1079" s="303" t="s">
        <v>232</v>
      </c>
    </row>
    <row r="1080" spans="119:119" x14ac:dyDescent="0.2">
      <c r="DO1080" s="303" t="s">
        <v>232</v>
      </c>
    </row>
    <row r="1081" spans="119:119" x14ac:dyDescent="0.2">
      <c r="DO1081" s="303" t="s">
        <v>232</v>
      </c>
    </row>
    <row r="1082" spans="119:119" x14ac:dyDescent="0.2">
      <c r="DO1082" s="303" t="s">
        <v>232</v>
      </c>
    </row>
    <row r="1083" spans="119:119" x14ac:dyDescent="0.2">
      <c r="DO1083" s="303" t="s">
        <v>232</v>
      </c>
    </row>
    <row r="1084" spans="119:119" x14ac:dyDescent="0.2">
      <c r="DO1084" s="303" t="s">
        <v>232</v>
      </c>
    </row>
    <row r="1085" spans="119:119" x14ac:dyDescent="0.2">
      <c r="DO1085" s="303" t="s">
        <v>232</v>
      </c>
    </row>
    <row r="1086" spans="119:119" x14ac:dyDescent="0.2">
      <c r="DO1086" s="303" t="s">
        <v>232</v>
      </c>
    </row>
    <row r="1087" spans="119:119" x14ac:dyDescent="0.2">
      <c r="DO1087" s="303" t="s">
        <v>232</v>
      </c>
    </row>
    <row r="1088" spans="119:119" x14ac:dyDescent="0.2">
      <c r="DO1088" s="303" t="s">
        <v>232</v>
      </c>
    </row>
    <row r="1089" spans="119:119" x14ac:dyDescent="0.2">
      <c r="DO1089" s="303" t="s">
        <v>232</v>
      </c>
    </row>
    <row r="1090" spans="119:119" x14ac:dyDescent="0.2">
      <c r="DO1090" s="303" t="s">
        <v>232</v>
      </c>
    </row>
    <row r="1091" spans="119:119" x14ac:dyDescent="0.2">
      <c r="DO1091" s="303" t="s">
        <v>232</v>
      </c>
    </row>
    <row r="1092" spans="119:119" x14ac:dyDescent="0.2">
      <c r="DO1092" s="303" t="s">
        <v>232</v>
      </c>
    </row>
    <row r="1093" spans="119:119" x14ac:dyDescent="0.2">
      <c r="DO1093" s="303" t="s">
        <v>232</v>
      </c>
    </row>
    <row r="1094" spans="119:119" x14ac:dyDescent="0.2">
      <c r="DO1094" s="303" t="s">
        <v>232</v>
      </c>
    </row>
    <row r="1095" spans="119:119" x14ac:dyDescent="0.2">
      <c r="DO1095" s="303" t="s">
        <v>232</v>
      </c>
    </row>
    <row r="1096" spans="119:119" x14ac:dyDescent="0.2">
      <c r="DO1096" s="303" t="s">
        <v>232</v>
      </c>
    </row>
    <row r="1097" spans="119:119" x14ac:dyDescent="0.2">
      <c r="DO1097" s="303" t="s">
        <v>232</v>
      </c>
    </row>
    <row r="1098" spans="119:119" x14ac:dyDescent="0.2">
      <c r="DO1098" s="303" t="s">
        <v>232</v>
      </c>
    </row>
    <row r="1099" spans="119:119" x14ac:dyDescent="0.2">
      <c r="DO1099" s="303" t="s">
        <v>232</v>
      </c>
    </row>
    <row r="1100" spans="119:119" x14ac:dyDescent="0.2">
      <c r="DO1100" s="303" t="s">
        <v>232</v>
      </c>
    </row>
    <row r="1101" spans="119:119" x14ac:dyDescent="0.2">
      <c r="DO1101" s="303" t="s">
        <v>232</v>
      </c>
    </row>
    <row r="1102" spans="119:119" x14ac:dyDescent="0.2">
      <c r="DO1102" s="303" t="s">
        <v>232</v>
      </c>
    </row>
    <row r="1103" spans="119:119" x14ac:dyDescent="0.2">
      <c r="DO1103" s="303" t="s">
        <v>232</v>
      </c>
    </row>
    <row r="1104" spans="119:119" x14ac:dyDescent="0.2">
      <c r="DO1104" s="303" t="s">
        <v>232</v>
      </c>
    </row>
    <row r="1105" spans="119:119" x14ac:dyDescent="0.2">
      <c r="DO1105" s="303" t="s">
        <v>232</v>
      </c>
    </row>
    <row r="1106" spans="119:119" x14ac:dyDescent="0.2">
      <c r="DO1106" s="303" t="s">
        <v>232</v>
      </c>
    </row>
    <row r="1107" spans="119:119" x14ac:dyDescent="0.2">
      <c r="DO1107" s="303" t="s">
        <v>232</v>
      </c>
    </row>
    <row r="1108" spans="119:119" x14ac:dyDescent="0.2">
      <c r="DO1108" s="303" t="s">
        <v>232</v>
      </c>
    </row>
    <row r="1109" spans="119:119" x14ac:dyDescent="0.2">
      <c r="DO1109" s="303" t="s">
        <v>232</v>
      </c>
    </row>
    <row r="1110" spans="119:119" x14ac:dyDescent="0.2">
      <c r="DO1110" s="303" t="s">
        <v>232</v>
      </c>
    </row>
    <row r="1111" spans="119:119" x14ac:dyDescent="0.2">
      <c r="DO1111" s="303" t="s">
        <v>232</v>
      </c>
    </row>
    <row r="1112" spans="119:119" x14ac:dyDescent="0.2">
      <c r="DO1112" s="303" t="s">
        <v>232</v>
      </c>
    </row>
    <row r="1113" spans="119:119" x14ac:dyDescent="0.2">
      <c r="DO1113" s="303" t="s">
        <v>232</v>
      </c>
    </row>
    <row r="1114" spans="119:119" x14ac:dyDescent="0.2">
      <c r="DO1114" s="303" t="s">
        <v>232</v>
      </c>
    </row>
    <row r="1115" spans="119:119" x14ac:dyDescent="0.2">
      <c r="DO1115" s="303" t="s">
        <v>232</v>
      </c>
    </row>
    <row r="1116" spans="119:119" x14ac:dyDescent="0.2">
      <c r="DO1116" s="303" t="s">
        <v>232</v>
      </c>
    </row>
    <row r="1117" spans="119:119" x14ac:dyDescent="0.2">
      <c r="DO1117" s="303" t="s">
        <v>232</v>
      </c>
    </row>
    <row r="1118" spans="119:119" x14ac:dyDescent="0.2">
      <c r="DO1118" s="303" t="s">
        <v>232</v>
      </c>
    </row>
    <row r="1119" spans="119:119" x14ac:dyDescent="0.2">
      <c r="DO1119" s="303" t="s">
        <v>232</v>
      </c>
    </row>
    <row r="1120" spans="119:119" x14ac:dyDescent="0.2">
      <c r="DO1120" s="303" t="s">
        <v>232</v>
      </c>
    </row>
    <row r="1121" spans="119:119" x14ac:dyDescent="0.2">
      <c r="DO1121" s="303" t="s">
        <v>232</v>
      </c>
    </row>
    <row r="1122" spans="119:119" x14ac:dyDescent="0.2">
      <c r="DO1122" s="303" t="s">
        <v>232</v>
      </c>
    </row>
    <row r="1123" spans="119:119" x14ac:dyDescent="0.2">
      <c r="DO1123" s="303" t="s">
        <v>232</v>
      </c>
    </row>
    <row r="1124" spans="119:119" x14ac:dyDescent="0.2">
      <c r="DO1124" s="303" t="s">
        <v>232</v>
      </c>
    </row>
    <row r="1125" spans="119:119" x14ac:dyDescent="0.2">
      <c r="DO1125" s="303" t="s">
        <v>232</v>
      </c>
    </row>
    <row r="1126" spans="119:119" x14ac:dyDescent="0.2">
      <c r="DO1126" s="303" t="s">
        <v>232</v>
      </c>
    </row>
    <row r="1127" spans="119:119" x14ac:dyDescent="0.2">
      <c r="DO1127" s="303" t="s">
        <v>232</v>
      </c>
    </row>
    <row r="1128" spans="119:119" x14ac:dyDescent="0.2">
      <c r="DO1128" s="303" t="s">
        <v>232</v>
      </c>
    </row>
    <row r="1129" spans="119:119" x14ac:dyDescent="0.2">
      <c r="DO1129" s="303" t="s">
        <v>232</v>
      </c>
    </row>
    <row r="1130" spans="119:119" x14ac:dyDescent="0.2">
      <c r="DO1130" s="303" t="s">
        <v>232</v>
      </c>
    </row>
    <row r="1131" spans="119:119" x14ac:dyDescent="0.2">
      <c r="DO1131" s="303" t="s">
        <v>232</v>
      </c>
    </row>
    <row r="1132" spans="119:119" x14ac:dyDescent="0.2">
      <c r="DO1132" s="303" t="s">
        <v>232</v>
      </c>
    </row>
    <row r="1133" spans="119:119" x14ac:dyDescent="0.2">
      <c r="DO1133" s="303" t="s">
        <v>232</v>
      </c>
    </row>
    <row r="1134" spans="119:119" x14ac:dyDescent="0.2">
      <c r="DO1134" s="303" t="s">
        <v>232</v>
      </c>
    </row>
    <row r="1135" spans="119:119" x14ac:dyDescent="0.2">
      <c r="DO1135" s="303" t="s">
        <v>232</v>
      </c>
    </row>
    <row r="1136" spans="119:119" x14ac:dyDescent="0.2">
      <c r="DO1136" s="303" t="s">
        <v>232</v>
      </c>
    </row>
    <row r="1137" spans="119:119" x14ac:dyDescent="0.2">
      <c r="DO1137" s="303" t="s">
        <v>232</v>
      </c>
    </row>
    <row r="1138" spans="119:119" x14ac:dyDescent="0.2">
      <c r="DO1138" s="303" t="s">
        <v>232</v>
      </c>
    </row>
    <row r="1139" spans="119:119" x14ac:dyDescent="0.2">
      <c r="DO1139" s="303" t="s">
        <v>232</v>
      </c>
    </row>
    <row r="1140" spans="119:119" x14ac:dyDescent="0.2">
      <c r="DO1140" s="303" t="s">
        <v>232</v>
      </c>
    </row>
    <row r="1141" spans="119:119" x14ac:dyDescent="0.2">
      <c r="DO1141" s="303" t="s">
        <v>232</v>
      </c>
    </row>
    <row r="1142" spans="119:119" x14ac:dyDescent="0.2">
      <c r="DO1142" s="303" t="s">
        <v>232</v>
      </c>
    </row>
    <row r="1143" spans="119:119" x14ac:dyDescent="0.2">
      <c r="DO1143" s="303" t="s">
        <v>232</v>
      </c>
    </row>
    <row r="1144" spans="119:119" x14ac:dyDescent="0.2">
      <c r="DO1144" s="303" t="s">
        <v>232</v>
      </c>
    </row>
    <row r="1145" spans="119:119" x14ac:dyDescent="0.2">
      <c r="DO1145" s="303" t="s">
        <v>232</v>
      </c>
    </row>
    <row r="1146" spans="119:119" x14ac:dyDescent="0.2">
      <c r="DO1146" s="303" t="s">
        <v>232</v>
      </c>
    </row>
    <row r="1147" spans="119:119" x14ac:dyDescent="0.2">
      <c r="DO1147" s="303" t="s">
        <v>232</v>
      </c>
    </row>
    <row r="1148" spans="119:119" x14ac:dyDescent="0.2">
      <c r="DO1148" s="303" t="s">
        <v>232</v>
      </c>
    </row>
    <row r="1149" spans="119:119" x14ac:dyDescent="0.2">
      <c r="DO1149" s="303" t="s">
        <v>232</v>
      </c>
    </row>
    <row r="1150" spans="119:119" x14ac:dyDescent="0.2">
      <c r="DO1150" s="303" t="s">
        <v>232</v>
      </c>
    </row>
    <row r="1151" spans="119:119" x14ac:dyDescent="0.2">
      <c r="DO1151" s="303" t="s">
        <v>232</v>
      </c>
    </row>
    <row r="1152" spans="119:119" x14ac:dyDescent="0.2">
      <c r="DO1152" s="303" t="s">
        <v>232</v>
      </c>
    </row>
    <row r="1153" spans="119:119" x14ac:dyDescent="0.2">
      <c r="DO1153" s="303" t="s">
        <v>232</v>
      </c>
    </row>
    <row r="1154" spans="119:119" x14ac:dyDescent="0.2">
      <c r="DO1154" s="303" t="s">
        <v>232</v>
      </c>
    </row>
    <row r="1155" spans="119:119" x14ac:dyDescent="0.2">
      <c r="DO1155" s="303" t="s">
        <v>232</v>
      </c>
    </row>
    <row r="1156" spans="119:119" x14ac:dyDescent="0.2">
      <c r="DO1156" s="303" t="s">
        <v>232</v>
      </c>
    </row>
    <row r="1157" spans="119:119" x14ac:dyDescent="0.2">
      <c r="DO1157" s="303" t="s">
        <v>232</v>
      </c>
    </row>
    <row r="1158" spans="119:119" x14ac:dyDescent="0.2">
      <c r="DO1158" s="303" t="s">
        <v>232</v>
      </c>
    </row>
    <row r="1159" spans="119:119" x14ac:dyDescent="0.2">
      <c r="DO1159" s="303" t="s">
        <v>232</v>
      </c>
    </row>
    <row r="1160" spans="119:119" x14ac:dyDescent="0.2">
      <c r="DO1160" s="303" t="s">
        <v>232</v>
      </c>
    </row>
    <row r="1161" spans="119:119" x14ac:dyDescent="0.2">
      <c r="DO1161" s="303" t="s">
        <v>232</v>
      </c>
    </row>
    <row r="1162" spans="119:119" x14ac:dyDescent="0.2">
      <c r="DO1162" s="303" t="s">
        <v>232</v>
      </c>
    </row>
    <row r="1163" spans="119:119" x14ac:dyDescent="0.2">
      <c r="DO1163" s="303" t="s">
        <v>232</v>
      </c>
    </row>
    <row r="1164" spans="119:119" x14ac:dyDescent="0.2">
      <c r="DO1164" s="303" t="s">
        <v>232</v>
      </c>
    </row>
    <row r="1165" spans="119:119" x14ac:dyDescent="0.2">
      <c r="DO1165" s="303" t="s">
        <v>232</v>
      </c>
    </row>
    <row r="1166" spans="119:119" x14ac:dyDescent="0.2">
      <c r="DO1166" s="303" t="s">
        <v>232</v>
      </c>
    </row>
    <row r="1167" spans="119:119" x14ac:dyDescent="0.2">
      <c r="DO1167" s="303" t="s">
        <v>232</v>
      </c>
    </row>
    <row r="1168" spans="119:119" x14ac:dyDescent="0.2">
      <c r="DO1168" s="303" t="s">
        <v>232</v>
      </c>
    </row>
    <row r="1169" spans="119:119" x14ac:dyDescent="0.2">
      <c r="DO1169" s="303" t="s">
        <v>232</v>
      </c>
    </row>
    <row r="1170" spans="119:119" x14ac:dyDescent="0.2">
      <c r="DO1170" s="303" t="s">
        <v>232</v>
      </c>
    </row>
    <row r="1171" spans="119:119" x14ac:dyDescent="0.2">
      <c r="DO1171" s="303" t="s">
        <v>232</v>
      </c>
    </row>
    <row r="1172" spans="119:119" x14ac:dyDescent="0.2">
      <c r="DO1172" s="303" t="s">
        <v>232</v>
      </c>
    </row>
    <row r="1173" spans="119:119" x14ac:dyDescent="0.2">
      <c r="DO1173" s="303" t="s">
        <v>232</v>
      </c>
    </row>
    <row r="1174" spans="119:119" x14ac:dyDescent="0.2">
      <c r="DO1174" s="303" t="s">
        <v>232</v>
      </c>
    </row>
    <row r="1175" spans="119:119" x14ac:dyDescent="0.2">
      <c r="DO1175" s="303" t="s">
        <v>232</v>
      </c>
    </row>
    <row r="1176" spans="119:119" x14ac:dyDescent="0.2">
      <c r="DO1176" s="303" t="s">
        <v>232</v>
      </c>
    </row>
    <row r="1177" spans="119:119" x14ac:dyDescent="0.2">
      <c r="DO1177" s="303" t="s">
        <v>232</v>
      </c>
    </row>
    <row r="1178" spans="119:119" x14ac:dyDescent="0.2">
      <c r="DO1178" s="303" t="s">
        <v>232</v>
      </c>
    </row>
    <row r="1179" spans="119:119" x14ac:dyDescent="0.2">
      <c r="DO1179" s="303" t="s">
        <v>232</v>
      </c>
    </row>
    <row r="1180" spans="119:119" x14ac:dyDescent="0.2">
      <c r="DO1180" s="303" t="s">
        <v>232</v>
      </c>
    </row>
    <row r="1181" spans="119:119" x14ac:dyDescent="0.2">
      <c r="DO1181" s="303" t="s">
        <v>232</v>
      </c>
    </row>
    <row r="1182" spans="119:119" x14ac:dyDescent="0.2">
      <c r="DO1182" s="303" t="s">
        <v>232</v>
      </c>
    </row>
    <row r="1183" spans="119:119" x14ac:dyDescent="0.2">
      <c r="DO1183" s="303" t="s">
        <v>232</v>
      </c>
    </row>
    <row r="1184" spans="119:119" x14ac:dyDescent="0.2">
      <c r="DO1184" s="303" t="s">
        <v>232</v>
      </c>
    </row>
    <row r="1185" spans="119:119" x14ac:dyDescent="0.2">
      <c r="DO1185" s="303" t="s">
        <v>232</v>
      </c>
    </row>
    <row r="1186" spans="119:119" x14ac:dyDescent="0.2">
      <c r="DO1186" s="303" t="s">
        <v>232</v>
      </c>
    </row>
    <row r="1187" spans="119:119" x14ac:dyDescent="0.2">
      <c r="DO1187" s="303" t="s">
        <v>232</v>
      </c>
    </row>
    <row r="1188" spans="119:119" x14ac:dyDescent="0.2">
      <c r="DO1188" s="303" t="s">
        <v>232</v>
      </c>
    </row>
    <row r="1189" spans="119:119" x14ac:dyDescent="0.2">
      <c r="DO1189" s="303" t="s">
        <v>232</v>
      </c>
    </row>
    <row r="1190" spans="119:119" x14ac:dyDescent="0.2">
      <c r="DO1190" s="303" t="s">
        <v>232</v>
      </c>
    </row>
    <row r="1191" spans="119:119" x14ac:dyDescent="0.2">
      <c r="DO1191" s="303" t="s">
        <v>232</v>
      </c>
    </row>
    <row r="1192" spans="119:119" x14ac:dyDescent="0.2">
      <c r="DO1192" s="303" t="s">
        <v>232</v>
      </c>
    </row>
    <row r="1193" spans="119:119" x14ac:dyDescent="0.2">
      <c r="DO1193" s="303" t="s">
        <v>232</v>
      </c>
    </row>
    <row r="1194" spans="119:119" x14ac:dyDescent="0.2">
      <c r="DO1194" s="303" t="s">
        <v>232</v>
      </c>
    </row>
    <row r="1195" spans="119:119" x14ac:dyDescent="0.2">
      <c r="DO1195" s="303" t="s">
        <v>232</v>
      </c>
    </row>
    <row r="1196" spans="119:119" x14ac:dyDescent="0.2">
      <c r="DO1196" s="303" t="s">
        <v>232</v>
      </c>
    </row>
    <row r="1197" spans="119:119" x14ac:dyDescent="0.2">
      <c r="DO1197" s="303" t="s">
        <v>232</v>
      </c>
    </row>
    <row r="1198" spans="119:119" x14ac:dyDescent="0.2">
      <c r="DO1198" s="303" t="s">
        <v>232</v>
      </c>
    </row>
    <row r="1199" spans="119:119" x14ac:dyDescent="0.2">
      <c r="DO1199" s="303" t="s">
        <v>232</v>
      </c>
    </row>
    <row r="1200" spans="119:119" x14ac:dyDescent="0.2">
      <c r="DO1200" s="303" t="s">
        <v>232</v>
      </c>
    </row>
    <row r="1201" spans="119:119" x14ac:dyDescent="0.2">
      <c r="DO1201" s="303" t="s">
        <v>232</v>
      </c>
    </row>
    <row r="1202" spans="119:119" x14ac:dyDescent="0.2">
      <c r="DO1202" s="303" t="s">
        <v>232</v>
      </c>
    </row>
    <row r="1203" spans="119:119" x14ac:dyDescent="0.2">
      <c r="DO1203" s="303" t="s">
        <v>232</v>
      </c>
    </row>
    <row r="1204" spans="119:119" x14ac:dyDescent="0.2">
      <c r="DO1204" s="303" t="s">
        <v>232</v>
      </c>
    </row>
    <row r="1205" spans="119:119" x14ac:dyDescent="0.2">
      <c r="DO1205" s="303" t="s">
        <v>232</v>
      </c>
    </row>
    <row r="1206" spans="119:119" x14ac:dyDescent="0.2">
      <c r="DO1206" s="303" t="s">
        <v>232</v>
      </c>
    </row>
    <row r="1207" spans="119:119" x14ac:dyDescent="0.2">
      <c r="DO1207" s="303" t="s">
        <v>232</v>
      </c>
    </row>
    <row r="1208" spans="119:119" x14ac:dyDescent="0.2">
      <c r="DO1208" s="303" t="s">
        <v>232</v>
      </c>
    </row>
    <row r="1209" spans="119:119" x14ac:dyDescent="0.2">
      <c r="DO1209" s="303" t="s">
        <v>232</v>
      </c>
    </row>
    <row r="1210" spans="119:119" x14ac:dyDescent="0.2">
      <c r="DO1210" s="303" t="s">
        <v>232</v>
      </c>
    </row>
    <row r="1211" spans="119:119" x14ac:dyDescent="0.2">
      <c r="DO1211" s="303" t="s">
        <v>232</v>
      </c>
    </row>
    <row r="1212" spans="119:119" x14ac:dyDescent="0.2">
      <c r="DO1212" s="303" t="s">
        <v>232</v>
      </c>
    </row>
    <row r="1213" spans="119:119" x14ac:dyDescent="0.2">
      <c r="DO1213" s="303" t="s">
        <v>232</v>
      </c>
    </row>
    <row r="1214" spans="119:119" x14ac:dyDescent="0.2">
      <c r="DO1214" s="303" t="s">
        <v>232</v>
      </c>
    </row>
    <row r="1215" spans="119:119" x14ac:dyDescent="0.2">
      <c r="DO1215" s="303" t="s">
        <v>232</v>
      </c>
    </row>
    <row r="1216" spans="119:119" x14ac:dyDescent="0.2">
      <c r="DO1216" s="303" t="s">
        <v>232</v>
      </c>
    </row>
    <row r="1217" spans="119:119" x14ac:dyDescent="0.2">
      <c r="DO1217" s="303" t="s">
        <v>232</v>
      </c>
    </row>
    <row r="1218" spans="119:119" x14ac:dyDescent="0.2">
      <c r="DO1218" s="303" t="s">
        <v>232</v>
      </c>
    </row>
    <row r="1219" spans="119:119" x14ac:dyDescent="0.2">
      <c r="DO1219" s="303" t="s">
        <v>232</v>
      </c>
    </row>
    <row r="1220" spans="119:119" x14ac:dyDescent="0.2">
      <c r="DO1220" s="303" t="s">
        <v>232</v>
      </c>
    </row>
    <row r="1221" spans="119:119" x14ac:dyDescent="0.2">
      <c r="DO1221" s="303" t="s">
        <v>232</v>
      </c>
    </row>
    <row r="1222" spans="119:119" x14ac:dyDescent="0.2">
      <c r="DO1222" s="303" t="s">
        <v>232</v>
      </c>
    </row>
    <row r="1223" spans="119:119" x14ac:dyDescent="0.2">
      <c r="DO1223" s="303" t="s">
        <v>232</v>
      </c>
    </row>
    <row r="1224" spans="119:119" x14ac:dyDescent="0.2">
      <c r="DO1224" s="303" t="s">
        <v>232</v>
      </c>
    </row>
    <row r="1225" spans="119:119" x14ac:dyDescent="0.2">
      <c r="DO1225" s="303" t="s">
        <v>232</v>
      </c>
    </row>
    <row r="1226" spans="119:119" x14ac:dyDescent="0.2">
      <c r="DO1226" s="303" t="s">
        <v>232</v>
      </c>
    </row>
    <row r="1227" spans="119:119" x14ac:dyDescent="0.2">
      <c r="DO1227" s="303" t="s">
        <v>232</v>
      </c>
    </row>
    <row r="1228" spans="119:119" x14ac:dyDescent="0.2">
      <c r="DO1228" s="303" t="s">
        <v>232</v>
      </c>
    </row>
    <row r="1229" spans="119:119" x14ac:dyDescent="0.2">
      <c r="DO1229" s="303" t="s">
        <v>232</v>
      </c>
    </row>
    <row r="1230" spans="119:119" x14ac:dyDescent="0.2">
      <c r="DO1230" s="303" t="s">
        <v>232</v>
      </c>
    </row>
    <row r="1231" spans="119:119" x14ac:dyDescent="0.2">
      <c r="DO1231" s="303" t="s">
        <v>232</v>
      </c>
    </row>
    <row r="1232" spans="119:119" x14ac:dyDescent="0.2">
      <c r="DO1232" s="303" t="s">
        <v>232</v>
      </c>
    </row>
    <row r="1233" spans="119:119" x14ac:dyDescent="0.2">
      <c r="DO1233" s="303" t="s">
        <v>232</v>
      </c>
    </row>
    <row r="1234" spans="119:119" x14ac:dyDescent="0.2">
      <c r="DO1234" s="303" t="s">
        <v>232</v>
      </c>
    </row>
    <row r="1235" spans="119:119" x14ac:dyDescent="0.2">
      <c r="DO1235" s="303" t="s">
        <v>232</v>
      </c>
    </row>
    <row r="1236" spans="119:119" x14ac:dyDescent="0.2">
      <c r="DO1236" s="303" t="s">
        <v>232</v>
      </c>
    </row>
    <row r="1237" spans="119:119" x14ac:dyDescent="0.2">
      <c r="DO1237" s="303" t="s">
        <v>232</v>
      </c>
    </row>
    <row r="1238" spans="119:119" x14ac:dyDescent="0.2">
      <c r="DO1238" s="303" t="s">
        <v>232</v>
      </c>
    </row>
    <row r="1239" spans="119:119" x14ac:dyDescent="0.2">
      <c r="DO1239" s="303" t="s">
        <v>232</v>
      </c>
    </row>
    <row r="1240" spans="119:119" x14ac:dyDescent="0.2">
      <c r="DO1240" s="303" t="s">
        <v>232</v>
      </c>
    </row>
    <row r="1241" spans="119:119" x14ac:dyDescent="0.2">
      <c r="DO1241" s="303" t="s">
        <v>232</v>
      </c>
    </row>
    <row r="1242" spans="119:119" x14ac:dyDescent="0.2">
      <c r="DO1242" s="303" t="s">
        <v>232</v>
      </c>
    </row>
    <row r="1243" spans="119:119" x14ac:dyDescent="0.2">
      <c r="DO1243" s="303" t="s">
        <v>232</v>
      </c>
    </row>
    <row r="1244" spans="119:119" x14ac:dyDescent="0.2">
      <c r="DO1244" s="303" t="s">
        <v>232</v>
      </c>
    </row>
    <row r="1245" spans="119:119" x14ac:dyDescent="0.2">
      <c r="DO1245" s="303" t="s">
        <v>232</v>
      </c>
    </row>
    <row r="1246" spans="119:119" x14ac:dyDescent="0.2">
      <c r="DO1246" s="303" t="s">
        <v>232</v>
      </c>
    </row>
    <row r="1247" spans="119:119" x14ac:dyDescent="0.2">
      <c r="DO1247" s="303" t="s">
        <v>232</v>
      </c>
    </row>
    <row r="1248" spans="119:119" x14ac:dyDescent="0.2">
      <c r="DO1248" s="303" t="s">
        <v>232</v>
      </c>
    </row>
    <row r="1249" spans="119:119" x14ac:dyDescent="0.2">
      <c r="DO1249" s="303" t="s">
        <v>232</v>
      </c>
    </row>
    <row r="1250" spans="119:119" x14ac:dyDescent="0.2">
      <c r="DO1250" s="303" t="s">
        <v>232</v>
      </c>
    </row>
    <row r="1251" spans="119:119" x14ac:dyDescent="0.2">
      <c r="DO1251" s="303" t="s">
        <v>232</v>
      </c>
    </row>
    <row r="1252" spans="119:119" x14ac:dyDescent="0.2">
      <c r="DO1252" s="303" t="s">
        <v>232</v>
      </c>
    </row>
    <row r="1253" spans="119:119" x14ac:dyDescent="0.2">
      <c r="DO1253" s="303" t="s">
        <v>232</v>
      </c>
    </row>
    <row r="1254" spans="119:119" x14ac:dyDescent="0.2">
      <c r="DO1254" s="303" t="s">
        <v>232</v>
      </c>
    </row>
    <row r="1255" spans="119:119" x14ac:dyDescent="0.2">
      <c r="DO1255" s="303" t="s">
        <v>232</v>
      </c>
    </row>
    <row r="1256" spans="119:119" x14ac:dyDescent="0.2">
      <c r="DO1256" s="303" t="s">
        <v>232</v>
      </c>
    </row>
    <row r="1257" spans="119:119" x14ac:dyDescent="0.2">
      <c r="DO1257" s="303" t="s">
        <v>232</v>
      </c>
    </row>
    <row r="1258" spans="119:119" x14ac:dyDescent="0.2">
      <c r="DO1258" s="303" t="s">
        <v>232</v>
      </c>
    </row>
    <row r="1259" spans="119:119" x14ac:dyDescent="0.2">
      <c r="DO1259" s="303" t="s">
        <v>232</v>
      </c>
    </row>
    <row r="1260" spans="119:119" x14ac:dyDescent="0.2">
      <c r="DO1260" s="303" t="s">
        <v>232</v>
      </c>
    </row>
    <row r="1261" spans="119:119" x14ac:dyDescent="0.2">
      <c r="DO1261" s="303" t="s">
        <v>232</v>
      </c>
    </row>
    <row r="1262" spans="119:119" x14ac:dyDescent="0.2">
      <c r="DO1262" s="303" t="s">
        <v>232</v>
      </c>
    </row>
    <row r="1263" spans="119:119" x14ac:dyDescent="0.2">
      <c r="DO1263" s="303" t="s">
        <v>232</v>
      </c>
    </row>
    <row r="1264" spans="119:119" x14ac:dyDescent="0.2">
      <c r="DO1264" s="303" t="s">
        <v>232</v>
      </c>
    </row>
    <row r="1265" spans="119:119" x14ac:dyDescent="0.2">
      <c r="DO1265" s="303" t="s">
        <v>232</v>
      </c>
    </row>
    <row r="1266" spans="119:119" x14ac:dyDescent="0.2">
      <c r="DO1266" s="303" t="s">
        <v>232</v>
      </c>
    </row>
    <row r="1267" spans="119:119" x14ac:dyDescent="0.2">
      <c r="DO1267" s="303" t="s">
        <v>232</v>
      </c>
    </row>
    <row r="1268" spans="119:119" x14ac:dyDescent="0.2">
      <c r="DO1268" s="303" t="s">
        <v>232</v>
      </c>
    </row>
    <row r="1269" spans="119:119" x14ac:dyDescent="0.2">
      <c r="DO1269" s="303" t="s">
        <v>232</v>
      </c>
    </row>
    <row r="1270" spans="119:119" x14ac:dyDescent="0.2">
      <c r="DO1270" s="303" t="s">
        <v>232</v>
      </c>
    </row>
    <row r="1271" spans="119:119" x14ac:dyDescent="0.2">
      <c r="DO1271" s="303" t="s">
        <v>232</v>
      </c>
    </row>
    <row r="1272" spans="119:119" x14ac:dyDescent="0.2">
      <c r="DO1272" s="303" t="s">
        <v>232</v>
      </c>
    </row>
    <row r="1273" spans="119:119" x14ac:dyDescent="0.2">
      <c r="DO1273" s="303" t="s">
        <v>232</v>
      </c>
    </row>
    <row r="1274" spans="119:119" x14ac:dyDescent="0.2">
      <c r="DO1274" s="303" t="s">
        <v>232</v>
      </c>
    </row>
    <row r="1275" spans="119:119" x14ac:dyDescent="0.2">
      <c r="DO1275" s="303" t="s">
        <v>232</v>
      </c>
    </row>
    <row r="1276" spans="119:119" x14ac:dyDescent="0.2">
      <c r="DO1276" s="303" t="s">
        <v>232</v>
      </c>
    </row>
    <row r="1277" spans="119:119" x14ac:dyDescent="0.2">
      <c r="DO1277" s="303" t="s">
        <v>232</v>
      </c>
    </row>
    <row r="1278" spans="119:119" x14ac:dyDescent="0.2">
      <c r="DO1278" s="303" t="s">
        <v>232</v>
      </c>
    </row>
    <row r="1279" spans="119:119" x14ac:dyDescent="0.2">
      <c r="DO1279" s="303" t="s">
        <v>232</v>
      </c>
    </row>
    <row r="1280" spans="119:119" x14ac:dyDescent="0.2">
      <c r="DO1280" s="303" t="s">
        <v>232</v>
      </c>
    </row>
    <row r="1281" spans="119:119" x14ac:dyDescent="0.2">
      <c r="DO1281" s="303" t="s">
        <v>232</v>
      </c>
    </row>
    <row r="1282" spans="119:119" x14ac:dyDescent="0.2">
      <c r="DO1282" s="303" t="s">
        <v>232</v>
      </c>
    </row>
    <row r="1283" spans="119:119" x14ac:dyDescent="0.2">
      <c r="DO1283" s="303" t="s">
        <v>232</v>
      </c>
    </row>
    <row r="1284" spans="119:119" x14ac:dyDescent="0.2">
      <c r="DO1284" s="303" t="s">
        <v>232</v>
      </c>
    </row>
    <row r="1285" spans="119:119" x14ac:dyDescent="0.2">
      <c r="DO1285" s="303" t="s">
        <v>232</v>
      </c>
    </row>
    <row r="1286" spans="119:119" x14ac:dyDescent="0.2">
      <c r="DO1286" s="303" t="s">
        <v>232</v>
      </c>
    </row>
    <row r="1287" spans="119:119" x14ac:dyDescent="0.2">
      <c r="DO1287" s="303" t="s">
        <v>232</v>
      </c>
    </row>
    <row r="1288" spans="119:119" x14ac:dyDescent="0.2">
      <c r="DO1288" s="303" t="s">
        <v>232</v>
      </c>
    </row>
    <row r="1289" spans="119:119" x14ac:dyDescent="0.2">
      <c r="DO1289" s="303" t="s">
        <v>232</v>
      </c>
    </row>
    <row r="1290" spans="119:119" x14ac:dyDescent="0.2">
      <c r="DO1290" s="303" t="s">
        <v>232</v>
      </c>
    </row>
    <row r="1291" spans="119:119" x14ac:dyDescent="0.2">
      <c r="DO1291" s="303" t="s">
        <v>232</v>
      </c>
    </row>
    <row r="1292" spans="119:119" x14ac:dyDescent="0.2">
      <c r="DO1292" s="303" t="s">
        <v>232</v>
      </c>
    </row>
    <row r="1293" spans="119:119" x14ac:dyDescent="0.2">
      <c r="DO1293" s="303" t="s">
        <v>232</v>
      </c>
    </row>
    <row r="1294" spans="119:119" x14ac:dyDescent="0.2">
      <c r="DO1294" s="303" t="s">
        <v>232</v>
      </c>
    </row>
    <row r="1295" spans="119:119" x14ac:dyDescent="0.2">
      <c r="DO1295" s="303" t="s">
        <v>232</v>
      </c>
    </row>
    <row r="1296" spans="119:119" x14ac:dyDescent="0.2">
      <c r="DO1296" s="303" t="s">
        <v>232</v>
      </c>
    </row>
    <row r="1297" spans="119:119" x14ac:dyDescent="0.2">
      <c r="DO1297" s="303" t="s">
        <v>232</v>
      </c>
    </row>
    <row r="1298" spans="119:119" x14ac:dyDescent="0.2">
      <c r="DO1298" s="303" t="s">
        <v>232</v>
      </c>
    </row>
    <row r="1299" spans="119:119" x14ac:dyDescent="0.2">
      <c r="DO1299" s="303" t="s">
        <v>232</v>
      </c>
    </row>
    <row r="1300" spans="119:119" x14ac:dyDescent="0.2">
      <c r="DO1300" s="303" t="s">
        <v>232</v>
      </c>
    </row>
    <row r="1301" spans="119:119" x14ac:dyDescent="0.2">
      <c r="DO1301" s="303" t="s">
        <v>232</v>
      </c>
    </row>
    <row r="1302" spans="119:119" x14ac:dyDescent="0.2">
      <c r="DO1302" s="303" t="s">
        <v>232</v>
      </c>
    </row>
    <row r="1303" spans="119:119" x14ac:dyDescent="0.2">
      <c r="DO1303" s="303" t="s">
        <v>232</v>
      </c>
    </row>
    <row r="1304" spans="119:119" x14ac:dyDescent="0.2">
      <c r="DO1304" s="303" t="s">
        <v>232</v>
      </c>
    </row>
    <row r="1305" spans="119:119" x14ac:dyDescent="0.2">
      <c r="DO1305" s="303" t="s">
        <v>232</v>
      </c>
    </row>
    <row r="1306" spans="119:119" x14ac:dyDescent="0.2">
      <c r="DO1306" s="303" t="s">
        <v>232</v>
      </c>
    </row>
    <row r="1307" spans="119:119" x14ac:dyDescent="0.2">
      <c r="DO1307" s="303" t="s">
        <v>232</v>
      </c>
    </row>
    <row r="1308" spans="119:119" x14ac:dyDescent="0.2">
      <c r="DO1308" s="303" t="s">
        <v>232</v>
      </c>
    </row>
    <row r="1309" spans="119:119" x14ac:dyDescent="0.2">
      <c r="DO1309" s="303" t="s">
        <v>232</v>
      </c>
    </row>
    <row r="1310" spans="119:119" x14ac:dyDescent="0.2">
      <c r="DO1310" s="303" t="s">
        <v>232</v>
      </c>
    </row>
    <row r="1311" spans="119:119" x14ac:dyDescent="0.2">
      <c r="DO1311" s="303" t="s">
        <v>232</v>
      </c>
    </row>
    <row r="1312" spans="119:119" x14ac:dyDescent="0.2">
      <c r="DO1312" s="303" t="s">
        <v>232</v>
      </c>
    </row>
    <row r="1313" spans="119:119" x14ac:dyDescent="0.2">
      <c r="DO1313" s="303" t="s">
        <v>232</v>
      </c>
    </row>
    <row r="1314" spans="119:119" x14ac:dyDescent="0.2">
      <c r="DO1314" s="303" t="s">
        <v>232</v>
      </c>
    </row>
    <row r="1315" spans="119:119" x14ac:dyDescent="0.2">
      <c r="DO1315" s="303" t="s">
        <v>232</v>
      </c>
    </row>
    <row r="1316" spans="119:119" x14ac:dyDescent="0.2">
      <c r="DO1316" s="303" t="s">
        <v>232</v>
      </c>
    </row>
    <row r="1317" spans="119:119" x14ac:dyDescent="0.2">
      <c r="DO1317" s="303" t="s">
        <v>232</v>
      </c>
    </row>
    <row r="1318" spans="119:119" x14ac:dyDescent="0.2">
      <c r="DO1318" s="303" t="s">
        <v>232</v>
      </c>
    </row>
    <row r="1319" spans="119:119" x14ac:dyDescent="0.2">
      <c r="DO1319" s="303" t="s">
        <v>232</v>
      </c>
    </row>
    <row r="1320" spans="119:119" x14ac:dyDescent="0.2">
      <c r="DO1320" s="303" t="s">
        <v>232</v>
      </c>
    </row>
    <row r="1321" spans="119:119" x14ac:dyDescent="0.2">
      <c r="DO1321" s="303" t="s">
        <v>232</v>
      </c>
    </row>
    <row r="1322" spans="119:119" x14ac:dyDescent="0.2">
      <c r="DO1322" s="303" t="s">
        <v>232</v>
      </c>
    </row>
    <row r="1323" spans="119:119" x14ac:dyDescent="0.2">
      <c r="DO1323" s="303" t="s">
        <v>232</v>
      </c>
    </row>
    <row r="1324" spans="119:119" x14ac:dyDescent="0.2">
      <c r="DO1324" s="303" t="s">
        <v>232</v>
      </c>
    </row>
    <row r="1325" spans="119:119" x14ac:dyDescent="0.2">
      <c r="DO1325" s="303" t="s">
        <v>232</v>
      </c>
    </row>
    <row r="1326" spans="119:119" x14ac:dyDescent="0.2">
      <c r="DO1326" s="303" t="s">
        <v>232</v>
      </c>
    </row>
    <row r="1327" spans="119:119" x14ac:dyDescent="0.2">
      <c r="DO1327" s="303" t="s">
        <v>232</v>
      </c>
    </row>
    <row r="1328" spans="119:119" x14ac:dyDescent="0.2">
      <c r="DO1328" s="303" t="s">
        <v>232</v>
      </c>
    </row>
    <row r="1329" spans="119:119" x14ac:dyDescent="0.2">
      <c r="DO1329" s="303" t="s">
        <v>232</v>
      </c>
    </row>
    <row r="1330" spans="119:119" x14ac:dyDescent="0.2">
      <c r="DO1330" s="303" t="s">
        <v>232</v>
      </c>
    </row>
    <row r="1331" spans="119:119" x14ac:dyDescent="0.2">
      <c r="DO1331" s="303" t="s">
        <v>232</v>
      </c>
    </row>
    <row r="1332" spans="119:119" x14ac:dyDescent="0.2">
      <c r="DO1332" s="303" t="s">
        <v>232</v>
      </c>
    </row>
    <row r="1333" spans="119:119" x14ac:dyDescent="0.2">
      <c r="DO1333" s="303" t="s">
        <v>232</v>
      </c>
    </row>
    <row r="1334" spans="119:119" x14ac:dyDescent="0.2">
      <c r="DO1334" s="303" t="s">
        <v>232</v>
      </c>
    </row>
    <row r="1335" spans="119:119" x14ac:dyDescent="0.2">
      <c r="DO1335" s="303" t="s">
        <v>232</v>
      </c>
    </row>
    <row r="1336" spans="119:119" x14ac:dyDescent="0.2">
      <c r="DO1336" s="303" t="s">
        <v>232</v>
      </c>
    </row>
    <row r="1337" spans="119:119" x14ac:dyDescent="0.2">
      <c r="DO1337" s="303" t="s">
        <v>232</v>
      </c>
    </row>
    <row r="1338" spans="119:119" x14ac:dyDescent="0.2">
      <c r="DO1338" s="303" t="s">
        <v>232</v>
      </c>
    </row>
    <row r="1339" spans="119:119" x14ac:dyDescent="0.2">
      <c r="DO1339" s="303" t="s">
        <v>232</v>
      </c>
    </row>
    <row r="1340" spans="119:119" x14ac:dyDescent="0.2">
      <c r="DO1340" s="303" t="s">
        <v>232</v>
      </c>
    </row>
    <row r="1341" spans="119:119" x14ac:dyDescent="0.2">
      <c r="DO1341" s="303" t="s">
        <v>232</v>
      </c>
    </row>
    <row r="1342" spans="119:119" x14ac:dyDescent="0.2">
      <c r="DO1342" s="303" t="s">
        <v>232</v>
      </c>
    </row>
    <row r="1343" spans="119:119" x14ac:dyDescent="0.2">
      <c r="DO1343" s="303" t="s">
        <v>232</v>
      </c>
    </row>
    <row r="1344" spans="119:119" x14ac:dyDescent="0.2">
      <c r="DO1344" s="303" t="s">
        <v>232</v>
      </c>
    </row>
    <row r="1345" spans="119:119" x14ac:dyDescent="0.2">
      <c r="DO1345" s="303" t="s">
        <v>232</v>
      </c>
    </row>
    <row r="1346" spans="119:119" x14ac:dyDescent="0.2">
      <c r="DO1346" s="303" t="s">
        <v>232</v>
      </c>
    </row>
    <row r="1347" spans="119:119" x14ac:dyDescent="0.2">
      <c r="DO1347" s="303" t="s">
        <v>232</v>
      </c>
    </row>
    <row r="1348" spans="119:119" x14ac:dyDescent="0.2">
      <c r="DO1348" s="303" t="s">
        <v>232</v>
      </c>
    </row>
    <row r="1349" spans="119:119" x14ac:dyDescent="0.2">
      <c r="DO1349" s="303" t="s">
        <v>232</v>
      </c>
    </row>
    <row r="1350" spans="119:119" x14ac:dyDescent="0.2">
      <c r="DO1350" s="303" t="s">
        <v>232</v>
      </c>
    </row>
    <row r="1351" spans="119:119" x14ac:dyDescent="0.2">
      <c r="DO1351" s="303" t="s">
        <v>232</v>
      </c>
    </row>
    <row r="1352" spans="119:119" x14ac:dyDescent="0.2">
      <c r="DO1352" s="303" t="s">
        <v>232</v>
      </c>
    </row>
    <row r="1353" spans="119:119" x14ac:dyDescent="0.2">
      <c r="DO1353" s="303" t="s">
        <v>232</v>
      </c>
    </row>
    <row r="1354" spans="119:119" x14ac:dyDescent="0.2">
      <c r="DO1354" s="303" t="s">
        <v>232</v>
      </c>
    </row>
    <row r="1355" spans="119:119" x14ac:dyDescent="0.2">
      <c r="DO1355" s="303" t="s">
        <v>232</v>
      </c>
    </row>
    <row r="1356" spans="119:119" x14ac:dyDescent="0.2">
      <c r="DO1356" s="303" t="s">
        <v>232</v>
      </c>
    </row>
    <row r="1357" spans="119:119" x14ac:dyDescent="0.2">
      <c r="DO1357" s="303" t="s">
        <v>232</v>
      </c>
    </row>
    <row r="1358" spans="119:119" x14ac:dyDescent="0.2">
      <c r="DO1358" s="303" t="s">
        <v>232</v>
      </c>
    </row>
    <row r="1359" spans="119:119" x14ac:dyDescent="0.2">
      <c r="DO1359" s="303" t="s">
        <v>232</v>
      </c>
    </row>
    <row r="1360" spans="119:119" x14ac:dyDescent="0.2">
      <c r="DO1360" s="303" t="s">
        <v>232</v>
      </c>
    </row>
    <row r="1361" spans="119:119" x14ac:dyDescent="0.2">
      <c r="DO1361" s="303" t="s">
        <v>232</v>
      </c>
    </row>
    <row r="1362" spans="119:119" x14ac:dyDescent="0.2">
      <c r="DO1362" s="303" t="s">
        <v>232</v>
      </c>
    </row>
    <row r="1363" spans="119:119" x14ac:dyDescent="0.2">
      <c r="DO1363" s="303" t="s">
        <v>232</v>
      </c>
    </row>
    <row r="1364" spans="119:119" x14ac:dyDescent="0.2">
      <c r="DO1364" s="303" t="s">
        <v>232</v>
      </c>
    </row>
    <row r="1365" spans="119:119" x14ac:dyDescent="0.2">
      <c r="DO1365" s="303" t="s">
        <v>232</v>
      </c>
    </row>
    <row r="1366" spans="119:119" x14ac:dyDescent="0.2">
      <c r="DO1366" s="303" t="s">
        <v>232</v>
      </c>
    </row>
    <row r="1367" spans="119:119" x14ac:dyDescent="0.2">
      <c r="DO1367" s="303" t="s">
        <v>232</v>
      </c>
    </row>
    <row r="1368" spans="119:119" x14ac:dyDescent="0.2">
      <c r="DO1368" s="303" t="s">
        <v>232</v>
      </c>
    </row>
    <row r="1369" spans="119:119" x14ac:dyDescent="0.2">
      <c r="DO1369" s="303" t="s">
        <v>232</v>
      </c>
    </row>
    <row r="1370" spans="119:119" x14ac:dyDescent="0.2">
      <c r="DO1370" s="303" t="s">
        <v>232</v>
      </c>
    </row>
    <row r="1371" spans="119:119" x14ac:dyDescent="0.2">
      <c r="DO1371" s="303" t="s">
        <v>232</v>
      </c>
    </row>
    <row r="1372" spans="119:119" x14ac:dyDescent="0.2">
      <c r="DO1372" s="303" t="s">
        <v>232</v>
      </c>
    </row>
    <row r="1373" spans="119:119" x14ac:dyDescent="0.2">
      <c r="DO1373" s="303" t="s">
        <v>232</v>
      </c>
    </row>
    <row r="1374" spans="119:119" x14ac:dyDescent="0.2">
      <c r="DO1374" s="303" t="s">
        <v>232</v>
      </c>
    </row>
    <row r="1375" spans="119:119" x14ac:dyDescent="0.2">
      <c r="DO1375" s="303" t="s">
        <v>232</v>
      </c>
    </row>
    <row r="1376" spans="119:119" x14ac:dyDescent="0.2">
      <c r="DO1376" s="303" t="s">
        <v>232</v>
      </c>
    </row>
    <row r="1377" spans="119:119" x14ac:dyDescent="0.2">
      <c r="DO1377" s="303" t="s">
        <v>232</v>
      </c>
    </row>
    <row r="1378" spans="119:119" x14ac:dyDescent="0.2">
      <c r="DO1378" s="303" t="s">
        <v>232</v>
      </c>
    </row>
    <row r="1379" spans="119:119" x14ac:dyDescent="0.2">
      <c r="DO1379" s="303" t="s">
        <v>232</v>
      </c>
    </row>
    <row r="1380" spans="119:119" x14ac:dyDescent="0.2">
      <c r="DO1380" s="303" t="s">
        <v>232</v>
      </c>
    </row>
    <row r="1381" spans="119:119" x14ac:dyDescent="0.2">
      <c r="DO1381" s="303" t="s">
        <v>232</v>
      </c>
    </row>
    <row r="1382" spans="119:119" x14ac:dyDescent="0.2">
      <c r="DO1382" s="303" t="s">
        <v>232</v>
      </c>
    </row>
    <row r="1383" spans="119:119" x14ac:dyDescent="0.2">
      <c r="DO1383" s="303" t="s">
        <v>232</v>
      </c>
    </row>
    <row r="1384" spans="119:119" x14ac:dyDescent="0.2">
      <c r="DO1384" s="303" t="s">
        <v>232</v>
      </c>
    </row>
    <row r="1385" spans="119:119" x14ac:dyDescent="0.2">
      <c r="DO1385" s="303" t="s">
        <v>232</v>
      </c>
    </row>
    <row r="1386" spans="119:119" x14ac:dyDescent="0.2">
      <c r="DO1386" s="303" t="s">
        <v>232</v>
      </c>
    </row>
    <row r="1387" spans="119:119" x14ac:dyDescent="0.2">
      <c r="DO1387" s="303" t="s">
        <v>232</v>
      </c>
    </row>
    <row r="1388" spans="119:119" x14ac:dyDescent="0.2">
      <c r="DO1388" s="303" t="s">
        <v>232</v>
      </c>
    </row>
    <row r="1389" spans="119:119" x14ac:dyDescent="0.2">
      <c r="DO1389" s="303" t="s">
        <v>232</v>
      </c>
    </row>
    <row r="1390" spans="119:119" x14ac:dyDescent="0.2">
      <c r="DO1390" s="303" t="s">
        <v>232</v>
      </c>
    </row>
    <row r="1391" spans="119:119" x14ac:dyDescent="0.2">
      <c r="DO1391" s="303" t="s">
        <v>232</v>
      </c>
    </row>
    <row r="1392" spans="119:119" x14ac:dyDescent="0.2">
      <c r="DO1392" s="303" t="s">
        <v>232</v>
      </c>
    </row>
    <row r="1393" spans="119:119" x14ac:dyDescent="0.2">
      <c r="DO1393" s="303" t="s">
        <v>232</v>
      </c>
    </row>
    <row r="1394" spans="119:119" x14ac:dyDescent="0.2">
      <c r="DO1394" s="303" t="s">
        <v>232</v>
      </c>
    </row>
    <row r="1395" spans="119:119" x14ac:dyDescent="0.2">
      <c r="DO1395" s="303" t="s">
        <v>232</v>
      </c>
    </row>
    <row r="1396" spans="119:119" x14ac:dyDescent="0.2">
      <c r="DO1396" s="303" t="s">
        <v>232</v>
      </c>
    </row>
    <row r="1397" spans="119:119" x14ac:dyDescent="0.2">
      <c r="DO1397" s="303" t="s">
        <v>232</v>
      </c>
    </row>
    <row r="1398" spans="119:119" x14ac:dyDescent="0.2">
      <c r="DO1398" s="303" t="s">
        <v>232</v>
      </c>
    </row>
    <row r="1399" spans="119:119" x14ac:dyDescent="0.2">
      <c r="DO1399" s="303" t="s">
        <v>232</v>
      </c>
    </row>
    <row r="1400" spans="119:119" x14ac:dyDescent="0.2">
      <c r="DO1400" s="303" t="s">
        <v>232</v>
      </c>
    </row>
    <row r="1401" spans="119:119" x14ac:dyDescent="0.2">
      <c r="DO1401" s="303" t="s">
        <v>232</v>
      </c>
    </row>
    <row r="1402" spans="119:119" x14ac:dyDescent="0.2">
      <c r="DO1402" s="303" t="s">
        <v>232</v>
      </c>
    </row>
    <row r="1403" spans="119:119" x14ac:dyDescent="0.2">
      <c r="DO1403" s="303" t="s">
        <v>232</v>
      </c>
    </row>
    <row r="1404" spans="119:119" x14ac:dyDescent="0.2">
      <c r="DO1404" s="303" t="s">
        <v>232</v>
      </c>
    </row>
    <row r="1405" spans="119:119" x14ac:dyDescent="0.2">
      <c r="DO1405" s="303" t="s">
        <v>232</v>
      </c>
    </row>
    <row r="1406" spans="119:119" x14ac:dyDescent="0.2">
      <c r="DO1406" s="303" t="s">
        <v>232</v>
      </c>
    </row>
    <row r="1407" spans="119:119" x14ac:dyDescent="0.2">
      <c r="DO1407" s="303" t="s">
        <v>232</v>
      </c>
    </row>
    <row r="1408" spans="119:119" x14ac:dyDescent="0.2">
      <c r="DO1408" s="303" t="s">
        <v>232</v>
      </c>
    </row>
    <row r="1409" spans="119:119" x14ac:dyDescent="0.2">
      <c r="DO1409" s="303" t="s">
        <v>232</v>
      </c>
    </row>
    <row r="1410" spans="119:119" x14ac:dyDescent="0.2">
      <c r="DO1410" s="303" t="s">
        <v>232</v>
      </c>
    </row>
    <row r="1411" spans="119:119" x14ac:dyDescent="0.2">
      <c r="DO1411" s="303" t="s">
        <v>232</v>
      </c>
    </row>
    <row r="1412" spans="119:119" x14ac:dyDescent="0.2">
      <c r="DO1412" s="303" t="s">
        <v>232</v>
      </c>
    </row>
    <row r="1413" spans="119:119" x14ac:dyDescent="0.2">
      <c r="DO1413" s="303" t="s">
        <v>232</v>
      </c>
    </row>
    <row r="1414" spans="119:119" x14ac:dyDescent="0.2">
      <c r="DO1414" s="303" t="s">
        <v>232</v>
      </c>
    </row>
    <row r="1415" spans="119:119" x14ac:dyDescent="0.2">
      <c r="DO1415" s="303" t="s">
        <v>232</v>
      </c>
    </row>
    <row r="1416" spans="119:119" x14ac:dyDescent="0.2">
      <c r="DO1416" s="303" t="s">
        <v>232</v>
      </c>
    </row>
    <row r="1417" spans="119:119" x14ac:dyDescent="0.2">
      <c r="DO1417" s="303" t="s">
        <v>232</v>
      </c>
    </row>
    <row r="1418" spans="119:119" x14ac:dyDescent="0.2">
      <c r="DO1418" s="303" t="s">
        <v>232</v>
      </c>
    </row>
    <row r="1419" spans="119:119" x14ac:dyDescent="0.2">
      <c r="DO1419" s="303" t="s">
        <v>232</v>
      </c>
    </row>
    <row r="1420" spans="119:119" x14ac:dyDescent="0.2">
      <c r="DO1420" s="303" t="s">
        <v>232</v>
      </c>
    </row>
    <row r="1421" spans="119:119" x14ac:dyDescent="0.2">
      <c r="DO1421" s="303" t="s">
        <v>232</v>
      </c>
    </row>
    <row r="1422" spans="119:119" x14ac:dyDescent="0.2">
      <c r="DO1422" s="303" t="s">
        <v>232</v>
      </c>
    </row>
    <row r="1423" spans="119:119" x14ac:dyDescent="0.2">
      <c r="DO1423" s="303" t="s">
        <v>232</v>
      </c>
    </row>
    <row r="1424" spans="119:119" x14ac:dyDescent="0.2">
      <c r="DO1424" s="303" t="s">
        <v>232</v>
      </c>
    </row>
    <row r="1425" spans="119:119" x14ac:dyDescent="0.2">
      <c r="DO1425" s="303" t="s">
        <v>232</v>
      </c>
    </row>
    <row r="1426" spans="119:119" x14ac:dyDescent="0.2">
      <c r="DO1426" s="303" t="s">
        <v>232</v>
      </c>
    </row>
    <row r="1427" spans="119:119" x14ac:dyDescent="0.2">
      <c r="DO1427" s="303" t="s">
        <v>232</v>
      </c>
    </row>
    <row r="1428" spans="119:119" x14ac:dyDescent="0.2">
      <c r="DO1428" s="303" t="s">
        <v>232</v>
      </c>
    </row>
    <row r="1429" spans="119:119" x14ac:dyDescent="0.2">
      <c r="DO1429" s="303" t="s">
        <v>232</v>
      </c>
    </row>
    <row r="1430" spans="119:119" x14ac:dyDescent="0.2">
      <c r="DO1430" s="303" t="s">
        <v>232</v>
      </c>
    </row>
    <row r="1431" spans="119:119" x14ac:dyDescent="0.2">
      <c r="DO1431" s="303" t="s">
        <v>232</v>
      </c>
    </row>
    <row r="1432" spans="119:119" x14ac:dyDescent="0.2">
      <c r="DO1432" s="303" t="s">
        <v>232</v>
      </c>
    </row>
    <row r="1433" spans="119:119" x14ac:dyDescent="0.2">
      <c r="DO1433" s="303" t="s">
        <v>232</v>
      </c>
    </row>
    <row r="1434" spans="119:119" x14ac:dyDescent="0.2">
      <c r="DO1434" s="303" t="s">
        <v>232</v>
      </c>
    </row>
    <row r="1435" spans="119:119" x14ac:dyDescent="0.2">
      <c r="DO1435" s="303" t="s">
        <v>232</v>
      </c>
    </row>
    <row r="1436" spans="119:119" x14ac:dyDescent="0.2">
      <c r="DO1436" s="303" t="s">
        <v>232</v>
      </c>
    </row>
    <row r="1437" spans="119:119" x14ac:dyDescent="0.2">
      <c r="DO1437" s="303" t="s">
        <v>232</v>
      </c>
    </row>
    <row r="1438" spans="119:119" x14ac:dyDescent="0.2">
      <c r="DO1438" s="303" t="s">
        <v>232</v>
      </c>
    </row>
    <row r="1439" spans="119:119" x14ac:dyDescent="0.2">
      <c r="DO1439" s="303" t="s">
        <v>232</v>
      </c>
    </row>
    <row r="1440" spans="119:119" x14ac:dyDescent="0.2">
      <c r="DO1440" s="303" t="s">
        <v>232</v>
      </c>
    </row>
    <row r="1441" spans="119:119" x14ac:dyDescent="0.2">
      <c r="DO1441" s="303" t="s">
        <v>232</v>
      </c>
    </row>
    <row r="1442" spans="119:119" x14ac:dyDescent="0.2">
      <c r="DO1442" s="303" t="s">
        <v>232</v>
      </c>
    </row>
    <row r="1443" spans="119:119" x14ac:dyDescent="0.2">
      <c r="DO1443" s="303" t="s">
        <v>232</v>
      </c>
    </row>
    <row r="1444" spans="119:119" x14ac:dyDescent="0.2">
      <c r="DO1444" s="303" t="s">
        <v>232</v>
      </c>
    </row>
    <row r="1445" spans="119:119" x14ac:dyDescent="0.2">
      <c r="DO1445" s="303" t="s">
        <v>232</v>
      </c>
    </row>
    <row r="1446" spans="119:119" x14ac:dyDescent="0.2">
      <c r="DO1446" s="303" t="s">
        <v>232</v>
      </c>
    </row>
    <row r="1447" spans="119:119" x14ac:dyDescent="0.2">
      <c r="DO1447" s="303" t="s">
        <v>232</v>
      </c>
    </row>
    <row r="1448" spans="119:119" x14ac:dyDescent="0.2">
      <c r="DO1448" s="303" t="s">
        <v>232</v>
      </c>
    </row>
    <row r="1449" spans="119:119" x14ac:dyDescent="0.2">
      <c r="DO1449" s="303" t="s">
        <v>232</v>
      </c>
    </row>
    <row r="1450" spans="119:119" x14ac:dyDescent="0.2">
      <c r="DO1450" s="303" t="s">
        <v>232</v>
      </c>
    </row>
    <row r="1451" spans="119:119" x14ac:dyDescent="0.2">
      <c r="DO1451" s="303" t="s">
        <v>232</v>
      </c>
    </row>
    <row r="1452" spans="119:119" x14ac:dyDescent="0.2">
      <c r="DO1452" s="303" t="s">
        <v>232</v>
      </c>
    </row>
    <row r="1453" spans="119:119" x14ac:dyDescent="0.2">
      <c r="DO1453" s="303" t="s">
        <v>232</v>
      </c>
    </row>
    <row r="1454" spans="119:119" x14ac:dyDescent="0.2">
      <c r="DO1454" s="303" t="s">
        <v>232</v>
      </c>
    </row>
    <row r="1455" spans="119:119" x14ac:dyDescent="0.2">
      <c r="DO1455" s="303" t="s">
        <v>232</v>
      </c>
    </row>
    <row r="1456" spans="119:119" x14ac:dyDescent="0.2">
      <c r="DO1456" s="303" t="s">
        <v>232</v>
      </c>
    </row>
    <row r="1457" spans="119:119" x14ac:dyDescent="0.2">
      <c r="DO1457" s="303" t="s">
        <v>232</v>
      </c>
    </row>
    <row r="1458" spans="119:119" x14ac:dyDescent="0.2">
      <c r="DO1458" s="303" t="s">
        <v>232</v>
      </c>
    </row>
    <row r="1459" spans="119:119" x14ac:dyDescent="0.2">
      <c r="DO1459" s="303" t="s">
        <v>232</v>
      </c>
    </row>
    <row r="1460" spans="119:119" x14ac:dyDescent="0.2">
      <c r="DO1460" s="303" t="s">
        <v>232</v>
      </c>
    </row>
    <row r="1461" spans="119:119" x14ac:dyDescent="0.2">
      <c r="DO1461" s="303" t="s">
        <v>232</v>
      </c>
    </row>
    <row r="1462" spans="119:119" x14ac:dyDescent="0.2">
      <c r="DO1462" s="303" t="s">
        <v>232</v>
      </c>
    </row>
    <row r="1463" spans="119:119" x14ac:dyDescent="0.2">
      <c r="DO1463" s="303" t="s">
        <v>232</v>
      </c>
    </row>
    <row r="1464" spans="119:119" x14ac:dyDescent="0.2">
      <c r="DO1464" s="303" t="s">
        <v>232</v>
      </c>
    </row>
    <row r="1465" spans="119:119" x14ac:dyDescent="0.2">
      <c r="DO1465" s="303" t="s">
        <v>232</v>
      </c>
    </row>
    <row r="1466" spans="119:119" x14ac:dyDescent="0.2">
      <c r="DO1466" s="303" t="s">
        <v>232</v>
      </c>
    </row>
    <row r="1467" spans="119:119" x14ac:dyDescent="0.2">
      <c r="DO1467" s="303" t="s">
        <v>232</v>
      </c>
    </row>
    <row r="1468" spans="119:119" x14ac:dyDescent="0.2">
      <c r="DO1468" s="303" t="s">
        <v>232</v>
      </c>
    </row>
    <row r="1469" spans="119:119" x14ac:dyDescent="0.2">
      <c r="DO1469" s="303" t="s">
        <v>232</v>
      </c>
    </row>
    <row r="1470" spans="119:119" x14ac:dyDescent="0.2">
      <c r="DO1470" s="303" t="s">
        <v>232</v>
      </c>
    </row>
    <row r="1471" spans="119:119" x14ac:dyDescent="0.2">
      <c r="DO1471" s="303" t="s">
        <v>232</v>
      </c>
    </row>
    <row r="1472" spans="119:119" x14ac:dyDescent="0.2">
      <c r="DO1472" s="303" t="s">
        <v>232</v>
      </c>
    </row>
    <row r="1473" spans="119:119" x14ac:dyDescent="0.2">
      <c r="DO1473" s="303" t="s">
        <v>232</v>
      </c>
    </row>
    <row r="1474" spans="119:119" x14ac:dyDescent="0.2">
      <c r="DO1474" s="303" t="s">
        <v>232</v>
      </c>
    </row>
    <row r="1475" spans="119:119" x14ac:dyDescent="0.2">
      <c r="DO1475" s="303" t="s">
        <v>232</v>
      </c>
    </row>
    <row r="1476" spans="119:119" x14ac:dyDescent="0.2">
      <c r="DO1476" s="303" t="s">
        <v>232</v>
      </c>
    </row>
    <row r="1477" spans="119:119" x14ac:dyDescent="0.2">
      <c r="DO1477" s="303" t="s">
        <v>232</v>
      </c>
    </row>
    <row r="1478" spans="119:119" x14ac:dyDescent="0.2">
      <c r="DO1478" s="303" t="s">
        <v>232</v>
      </c>
    </row>
    <row r="1479" spans="119:119" x14ac:dyDescent="0.2">
      <c r="DO1479" s="303" t="s">
        <v>232</v>
      </c>
    </row>
    <row r="1480" spans="119:119" x14ac:dyDescent="0.2">
      <c r="DO1480" s="303" t="s">
        <v>232</v>
      </c>
    </row>
    <row r="1481" spans="119:119" x14ac:dyDescent="0.2">
      <c r="DO1481" s="303" t="s">
        <v>232</v>
      </c>
    </row>
    <row r="1482" spans="119:119" x14ac:dyDescent="0.2">
      <c r="DO1482" s="303" t="s">
        <v>232</v>
      </c>
    </row>
    <row r="1483" spans="119:119" x14ac:dyDescent="0.2">
      <c r="DO1483" s="303" t="s">
        <v>232</v>
      </c>
    </row>
    <row r="1484" spans="119:119" x14ac:dyDescent="0.2">
      <c r="DO1484" s="303" t="s">
        <v>232</v>
      </c>
    </row>
    <row r="1485" spans="119:119" x14ac:dyDescent="0.2">
      <c r="DO1485" s="303" t="s">
        <v>232</v>
      </c>
    </row>
    <row r="1486" spans="119:119" x14ac:dyDescent="0.2">
      <c r="DO1486" s="303" t="s">
        <v>232</v>
      </c>
    </row>
    <row r="1487" spans="119:119" x14ac:dyDescent="0.2">
      <c r="DO1487" s="303" t="s">
        <v>232</v>
      </c>
    </row>
    <row r="1488" spans="119:119" x14ac:dyDescent="0.2">
      <c r="DO1488" s="303" t="s">
        <v>232</v>
      </c>
    </row>
    <row r="1489" spans="119:119" x14ac:dyDescent="0.2">
      <c r="DO1489" s="303" t="s">
        <v>232</v>
      </c>
    </row>
    <row r="1490" spans="119:119" x14ac:dyDescent="0.2">
      <c r="DO1490" s="303" t="s">
        <v>232</v>
      </c>
    </row>
    <row r="1491" spans="119:119" x14ac:dyDescent="0.2">
      <c r="DO1491" s="303" t="s">
        <v>232</v>
      </c>
    </row>
    <row r="1492" spans="119:119" x14ac:dyDescent="0.2">
      <c r="DO1492" s="303" t="s">
        <v>232</v>
      </c>
    </row>
    <row r="1493" spans="119:119" x14ac:dyDescent="0.2">
      <c r="DO1493" s="303" t="s">
        <v>232</v>
      </c>
    </row>
    <row r="1494" spans="119:119" x14ac:dyDescent="0.2">
      <c r="DO1494" s="303" t="s">
        <v>232</v>
      </c>
    </row>
    <row r="1495" spans="119:119" x14ac:dyDescent="0.2">
      <c r="DO1495" s="303" t="s">
        <v>232</v>
      </c>
    </row>
    <row r="1496" spans="119:119" x14ac:dyDescent="0.2">
      <c r="DO1496" s="303" t="s">
        <v>232</v>
      </c>
    </row>
    <row r="1497" spans="119:119" x14ac:dyDescent="0.2">
      <c r="DO1497" s="303" t="s">
        <v>232</v>
      </c>
    </row>
    <row r="1498" spans="119:119" x14ac:dyDescent="0.2">
      <c r="DO1498" s="303" t="s">
        <v>232</v>
      </c>
    </row>
    <row r="1499" spans="119:119" x14ac:dyDescent="0.2">
      <c r="DO1499" s="303" t="s">
        <v>232</v>
      </c>
    </row>
    <row r="1500" spans="119:119" x14ac:dyDescent="0.2">
      <c r="DO1500" s="303" t="s">
        <v>232</v>
      </c>
    </row>
    <row r="1501" spans="119:119" x14ac:dyDescent="0.2">
      <c r="DO1501" s="303" t="s">
        <v>232</v>
      </c>
    </row>
    <row r="1502" spans="119:119" x14ac:dyDescent="0.2">
      <c r="DO1502" s="303" t="s">
        <v>232</v>
      </c>
    </row>
    <row r="1503" spans="119:119" x14ac:dyDescent="0.2">
      <c r="DO1503" s="303" t="s">
        <v>232</v>
      </c>
    </row>
    <row r="1504" spans="119:119" x14ac:dyDescent="0.2">
      <c r="DO1504" s="303" t="s">
        <v>232</v>
      </c>
    </row>
    <row r="1505" spans="119:119" x14ac:dyDescent="0.2">
      <c r="DO1505" s="303" t="s">
        <v>232</v>
      </c>
    </row>
    <row r="1506" spans="119:119" x14ac:dyDescent="0.2">
      <c r="DO1506" s="303" t="s">
        <v>232</v>
      </c>
    </row>
    <row r="1507" spans="119:119" x14ac:dyDescent="0.2">
      <c r="DO1507" s="303" t="s">
        <v>232</v>
      </c>
    </row>
    <row r="1508" spans="119:119" x14ac:dyDescent="0.2">
      <c r="DO1508" s="303" t="s">
        <v>232</v>
      </c>
    </row>
    <row r="1509" spans="119:119" x14ac:dyDescent="0.2">
      <c r="DO1509" s="303" t="s">
        <v>232</v>
      </c>
    </row>
    <row r="1510" spans="119:119" x14ac:dyDescent="0.2">
      <c r="DO1510" s="303" t="s">
        <v>232</v>
      </c>
    </row>
    <row r="1511" spans="119:119" x14ac:dyDescent="0.2">
      <c r="DO1511" s="303" t="s">
        <v>232</v>
      </c>
    </row>
    <row r="1512" spans="119:119" x14ac:dyDescent="0.2">
      <c r="DO1512" s="303" t="s">
        <v>232</v>
      </c>
    </row>
    <row r="1513" spans="119:119" x14ac:dyDescent="0.2">
      <c r="DO1513" s="303" t="s">
        <v>232</v>
      </c>
    </row>
    <row r="1514" spans="119:119" x14ac:dyDescent="0.2">
      <c r="DO1514" s="303" t="s">
        <v>232</v>
      </c>
    </row>
    <row r="1515" spans="119:119" x14ac:dyDescent="0.2">
      <c r="DO1515" s="303" t="s">
        <v>232</v>
      </c>
    </row>
    <row r="1516" spans="119:119" x14ac:dyDescent="0.2">
      <c r="DO1516" s="303" t="s">
        <v>232</v>
      </c>
    </row>
    <row r="1517" spans="119:119" x14ac:dyDescent="0.2">
      <c r="DO1517" s="303" t="s">
        <v>232</v>
      </c>
    </row>
    <row r="1518" spans="119:119" x14ac:dyDescent="0.2">
      <c r="DO1518" s="303" t="s">
        <v>232</v>
      </c>
    </row>
    <row r="1519" spans="119:119" x14ac:dyDescent="0.2">
      <c r="DO1519" s="303" t="s">
        <v>232</v>
      </c>
    </row>
    <row r="1520" spans="119:119" x14ac:dyDescent="0.2">
      <c r="DO1520" s="303" t="s">
        <v>232</v>
      </c>
    </row>
    <row r="1521" spans="119:119" x14ac:dyDescent="0.2">
      <c r="DO1521" s="303" t="s">
        <v>232</v>
      </c>
    </row>
    <row r="1522" spans="119:119" x14ac:dyDescent="0.2">
      <c r="DO1522" s="303" t="s">
        <v>232</v>
      </c>
    </row>
    <row r="1523" spans="119:119" x14ac:dyDescent="0.2">
      <c r="DO1523" s="303" t="s">
        <v>232</v>
      </c>
    </row>
    <row r="1524" spans="119:119" x14ac:dyDescent="0.2">
      <c r="DO1524" s="303" t="s">
        <v>232</v>
      </c>
    </row>
    <row r="1525" spans="119:119" x14ac:dyDescent="0.2">
      <c r="DO1525" s="303" t="s">
        <v>232</v>
      </c>
    </row>
    <row r="1526" spans="119:119" x14ac:dyDescent="0.2">
      <c r="DO1526" s="303" t="s">
        <v>232</v>
      </c>
    </row>
    <row r="1527" spans="119:119" x14ac:dyDescent="0.2">
      <c r="DO1527" s="303" t="s">
        <v>232</v>
      </c>
    </row>
    <row r="1528" spans="119:119" x14ac:dyDescent="0.2">
      <c r="DO1528" s="303" t="s">
        <v>232</v>
      </c>
    </row>
    <row r="1529" spans="119:119" x14ac:dyDescent="0.2">
      <c r="DO1529" s="303" t="s">
        <v>232</v>
      </c>
    </row>
    <row r="1530" spans="119:119" x14ac:dyDescent="0.2">
      <c r="DO1530" s="303" t="s">
        <v>232</v>
      </c>
    </row>
    <row r="1531" spans="119:119" x14ac:dyDescent="0.2">
      <c r="DO1531" s="303" t="s">
        <v>232</v>
      </c>
    </row>
    <row r="1532" spans="119:119" x14ac:dyDescent="0.2">
      <c r="DO1532" s="303" t="s">
        <v>232</v>
      </c>
    </row>
    <row r="1533" spans="119:119" x14ac:dyDescent="0.2">
      <c r="DO1533" s="303" t="s">
        <v>232</v>
      </c>
    </row>
    <row r="1534" spans="119:119" x14ac:dyDescent="0.2">
      <c r="DO1534" s="303" t="s">
        <v>232</v>
      </c>
    </row>
    <row r="1535" spans="119:119" x14ac:dyDescent="0.2">
      <c r="DO1535" s="303" t="s">
        <v>232</v>
      </c>
    </row>
    <row r="1536" spans="119:119" x14ac:dyDescent="0.2">
      <c r="DO1536" s="303" t="s">
        <v>232</v>
      </c>
    </row>
    <row r="1537" spans="119:119" x14ac:dyDescent="0.2">
      <c r="DO1537" s="303" t="s">
        <v>232</v>
      </c>
    </row>
    <row r="1538" spans="119:119" x14ac:dyDescent="0.2">
      <c r="DO1538" s="303" t="s">
        <v>232</v>
      </c>
    </row>
    <row r="1539" spans="119:119" x14ac:dyDescent="0.2">
      <c r="DO1539" s="303" t="s">
        <v>232</v>
      </c>
    </row>
    <row r="1540" spans="119:119" x14ac:dyDescent="0.2">
      <c r="DO1540" s="303" t="s">
        <v>232</v>
      </c>
    </row>
    <row r="1541" spans="119:119" x14ac:dyDescent="0.2">
      <c r="DO1541" s="303" t="s">
        <v>232</v>
      </c>
    </row>
    <row r="1542" spans="119:119" x14ac:dyDescent="0.2">
      <c r="DO1542" s="303" t="s">
        <v>232</v>
      </c>
    </row>
    <row r="1543" spans="119:119" x14ac:dyDescent="0.2">
      <c r="DO1543" s="303" t="s">
        <v>232</v>
      </c>
    </row>
    <row r="1544" spans="119:119" x14ac:dyDescent="0.2">
      <c r="DO1544" s="303" t="s">
        <v>232</v>
      </c>
    </row>
    <row r="1545" spans="119:119" x14ac:dyDescent="0.2">
      <c r="DO1545" s="303" t="s">
        <v>232</v>
      </c>
    </row>
    <row r="1546" spans="119:119" x14ac:dyDescent="0.2">
      <c r="DO1546" s="303" t="s">
        <v>232</v>
      </c>
    </row>
    <row r="1547" spans="119:119" x14ac:dyDescent="0.2">
      <c r="DO1547" s="303" t="s">
        <v>232</v>
      </c>
    </row>
    <row r="1548" spans="119:119" x14ac:dyDescent="0.2">
      <c r="DO1548" s="303" t="s">
        <v>232</v>
      </c>
    </row>
    <row r="1549" spans="119:119" x14ac:dyDescent="0.2">
      <c r="DO1549" s="303" t="s">
        <v>232</v>
      </c>
    </row>
    <row r="1550" spans="119:119" x14ac:dyDescent="0.2">
      <c r="DO1550" s="303" t="s">
        <v>232</v>
      </c>
    </row>
    <row r="1551" spans="119:119" x14ac:dyDescent="0.2">
      <c r="DO1551" s="303" t="s">
        <v>232</v>
      </c>
    </row>
    <row r="1552" spans="119:119" x14ac:dyDescent="0.2">
      <c r="DO1552" s="303" t="s">
        <v>232</v>
      </c>
    </row>
    <row r="1553" spans="119:119" x14ac:dyDescent="0.2">
      <c r="DO1553" s="303" t="s">
        <v>232</v>
      </c>
    </row>
    <row r="1554" spans="119:119" x14ac:dyDescent="0.2">
      <c r="DO1554" s="303" t="s">
        <v>232</v>
      </c>
    </row>
    <row r="1555" spans="119:119" x14ac:dyDescent="0.2">
      <c r="DO1555" s="303" t="s">
        <v>232</v>
      </c>
    </row>
    <row r="1556" spans="119:119" x14ac:dyDescent="0.2">
      <c r="DO1556" s="303" t="s">
        <v>232</v>
      </c>
    </row>
    <row r="1557" spans="119:119" x14ac:dyDescent="0.2">
      <c r="DO1557" s="303" t="s">
        <v>232</v>
      </c>
    </row>
    <row r="1558" spans="119:119" x14ac:dyDescent="0.2">
      <c r="DO1558" s="303" t="s">
        <v>232</v>
      </c>
    </row>
    <row r="1559" spans="119:119" x14ac:dyDescent="0.2">
      <c r="DO1559" s="303" t="s">
        <v>232</v>
      </c>
    </row>
    <row r="1560" spans="119:119" x14ac:dyDescent="0.2">
      <c r="DO1560" s="303" t="s">
        <v>232</v>
      </c>
    </row>
    <row r="1561" spans="119:119" x14ac:dyDescent="0.2">
      <c r="DO1561" s="303" t="s">
        <v>232</v>
      </c>
    </row>
    <row r="1562" spans="119:119" x14ac:dyDescent="0.2">
      <c r="DO1562" s="303" t="s">
        <v>232</v>
      </c>
    </row>
    <row r="1563" spans="119:119" x14ac:dyDescent="0.2">
      <c r="DO1563" s="303" t="s">
        <v>232</v>
      </c>
    </row>
    <row r="1564" spans="119:119" x14ac:dyDescent="0.2">
      <c r="DO1564" s="303" t="s">
        <v>232</v>
      </c>
    </row>
    <row r="1565" spans="119:119" x14ac:dyDescent="0.2">
      <c r="DO1565" s="303" t="s">
        <v>232</v>
      </c>
    </row>
    <row r="1566" spans="119:119" x14ac:dyDescent="0.2">
      <c r="DO1566" s="303" t="s">
        <v>232</v>
      </c>
    </row>
    <row r="1567" spans="119:119" x14ac:dyDescent="0.2">
      <c r="DO1567" s="303" t="s">
        <v>232</v>
      </c>
    </row>
    <row r="1568" spans="119:119" x14ac:dyDescent="0.2">
      <c r="DO1568" s="303" t="s">
        <v>232</v>
      </c>
    </row>
    <row r="1569" spans="119:119" x14ac:dyDescent="0.2">
      <c r="DO1569" s="303" t="s">
        <v>232</v>
      </c>
    </row>
    <row r="1570" spans="119:119" x14ac:dyDescent="0.2">
      <c r="DO1570" s="303" t="s">
        <v>232</v>
      </c>
    </row>
    <row r="1571" spans="119:119" x14ac:dyDescent="0.2">
      <c r="DO1571" s="303" t="s">
        <v>232</v>
      </c>
    </row>
    <row r="1572" spans="119:119" x14ac:dyDescent="0.2">
      <c r="DO1572" s="303" t="s">
        <v>232</v>
      </c>
    </row>
    <row r="1573" spans="119:119" x14ac:dyDescent="0.2">
      <c r="DO1573" s="303" t="s">
        <v>232</v>
      </c>
    </row>
    <row r="1574" spans="119:119" x14ac:dyDescent="0.2">
      <c r="DO1574" s="303" t="s">
        <v>232</v>
      </c>
    </row>
    <row r="1575" spans="119:119" x14ac:dyDescent="0.2">
      <c r="DO1575" s="303" t="s">
        <v>232</v>
      </c>
    </row>
    <row r="1576" spans="119:119" x14ac:dyDescent="0.2">
      <c r="DO1576" s="303" t="s">
        <v>232</v>
      </c>
    </row>
    <row r="1577" spans="119:119" x14ac:dyDescent="0.2">
      <c r="DO1577" s="303" t="s">
        <v>232</v>
      </c>
    </row>
    <row r="1578" spans="119:119" x14ac:dyDescent="0.2">
      <c r="DO1578" s="303" t="s">
        <v>232</v>
      </c>
    </row>
    <row r="1579" spans="119:119" x14ac:dyDescent="0.2">
      <c r="DO1579" s="303" t="s">
        <v>232</v>
      </c>
    </row>
    <row r="1580" spans="119:119" x14ac:dyDescent="0.2">
      <c r="DO1580" s="303" t="s">
        <v>232</v>
      </c>
    </row>
    <row r="1581" spans="119:119" x14ac:dyDescent="0.2">
      <c r="DO1581" s="303" t="s">
        <v>232</v>
      </c>
    </row>
    <row r="1582" spans="119:119" x14ac:dyDescent="0.2">
      <c r="DO1582" s="303" t="s">
        <v>232</v>
      </c>
    </row>
    <row r="1583" spans="119:119" x14ac:dyDescent="0.2">
      <c r="DO1583" s="303" t="s">
        <v>232</v>
      </c>
    </row>
    <row r="1584" spans="119:119" x14ac:dyDescent="0.2">
      <c r="DO1584" s="303" t="s">
        <v>232</v>
      </c>
    </row>
    <row r="1585" spans="119:119" x14ac:dyDescent="0.2">
      <c r="DO1585" s="303" t="s">
        <v>232</v>
      </c>
    </row>
    <row r="1586" spans="119:119" x14ac:dyDescent="0.2">
      <c r="DO1586" s="303" t="s">
        <v>232</v>
      </c>
    </row>
    <row r="1587" spans="119:119" x14ac:dyDescent="0.2">
      <c r="DO1587" s="303" t="s">
        <v>232</v>
      </c>
    </row>
    <row r="1588" spans="119:119" x14ac:dyDescent="0.2">
      <c r="DO1588" s="303" t="s">
        <v>232</v>
      </c>
    </row>
    <row r="1589" spans="119:119" x14ac:dyDescent="0.2">
      <c r="DO1589" s="303" t="s">
        <v>232</v>
      </c>
    </row>
    <row r="1590" spans="119:119" x14ac:dyDescent="0.2">
      <c r="DO1590" s="303" t="s">
        <v>232</v>
      </c>
    </row>
    <row r="1591" spans="119:119" x14ac:dyDescent="0.2">
      <c r="DO1591" s="303" t="s">
        <v>232</v>
      </c>
    </row>
    <row r="1592" spans="119:119" x14ac:dyDescent="0.2">
      <c r="DO1592" s="303" t="s">
        <v>232</v>
      </c>
    </row>
    <row r="1593" spans="119:119" x14ac:dyDescent="0.2">
      <c r="DO1593" s="303" t="s">
        <v>232</v>
      </c>
    </row>
    <row r="1594" spans="119:119" x14ac:dyDescent="0.2">
      <c r="DO1594" s="303" t="s">
        <v>232</v>
      </c>
    </row>
    <row r="1595" spans="119:119" x14ac:dyDescent="0.2">
      <c r="DO1595" s="303" t="s">
        <v>232</v>
      </c>
    </row>
    <row r="1596" spans="119:119" x14ac:dyDescent="0.2">
      <c r="DO1596" s="303" t="s">
        <v>232</v>
      </c>
    </row>
    <row r="1597" spans="119:119" x14ac:dyDescent="0.2">
      <c r="DO1597" s="303" t="s">
        <v>232</v>
      </c>
    </row>
    <row r="1598" spans="119:119" x14ac:dyDescent="0.2">
      <c r="DO1598" s="303" t="s">
        <v>232</v>
      </c>
    </row>
    <row r="1599" spans="119:119" x14ac:dyDescent="0.2">
      <c r="DO1599" s="303" t="s">
        <v>232</v>
      </c>
    </row>
    <row r="1600" spans="119:119" x14ac:dyDescent="0.2">
      <c r="DO1600" s="303" t="s">
        <v>232</v>
      </c>
    </row>
    <row r="1601" spans="119:119" x14ac:dyDescent="0.2">
      <c r="DO1601" s="303" t="s">
        <v>232</v>
      </c>
    </row>
    <row r="1602" spans="119:119" x14ac:dyDescent="0.2">
      <c r="DO1602" s="303" t="s">
        <v>232</v>
      </c>
    </row>
    <row r="1603" spans="119:119" x14ac:dyDescent="0.2">
      <c r="DO1603" s="303" t="s">
        <v>232</v>
      </c>
    </row>
    <row r="1604" spans="119:119" x14ac:dyDescent="0.2">
      <c r="DO1604" s="303" t="s">
        <v>232</v>
      </c>
    </row>
    <row r="1605" spans="119:119" x14ac:dyDescent="0.2">
      <c r="DO1605" s="303" t="s">
        <v>232</v>
      </c>
    </row>
    <row r="1606" spans="119:119" x14ac:dyDescent="0.2">
      <c r="DO1606" s="303" t="s">
        <v>232</v>
      </c>
    </row>
    <row r="1607" spans="119:119" x14ac:dyDescent="0.2">
      <c r="DO1607" s="303" t="s">
        <v>232</v>
      </c>
    </row>
    <row r="1608" spans="119:119" x14ac:dyDescent="0.2">
      <c r="DO1608" s="303" t="s">
        <v>232</v>
      </c>
    </row>
    <row r="1609" spans="119:119" x14ac:dyDescent="0.2">
      <c r="DO1609" s="303" t="s">
        <v>232</v>
      </c>
    </row>
    <row r="1610" spans="119:119" x14ac:dyDescent="0.2">
      <c r="DO1610" s="303" t="s">
        <v>232</v>
      </c>
    </row>
    <row r="1611" spans="119:119" x14ac:dyDescent="0.2">
      <c r="DO1611" s="303" t="s">
        <v>232</v>
      </c>
    </row>
    <row r="1612" spans="119:119" x14ac:dyDescent="0.2">
      <c r="DO1612" s="303" t="s">
        <v>232</v>
      </c>
    </row>
    <row r="1613" spans="119:119" x14ac:dyDescent="0.2">
      <c r="DO1613" s="303" t="s">
        <v>232</v>
      </c>
    </row>
    <row r="1614" spans="119:119" x14ac:dyDescent="0.2">
      <c r="DO1614" s="303" t="s">
        <v>232</v>
      </c>
    </row>
    <row r="1615" spans="119:119" x14ac:dyDescent="0.2">
      <c r="DO1615" s="303" t="s">
        <v>232</v>
      </c>
    </row>
    <row r="1616" spans="119:119" x14ac:dyDescent="0.2">
      <c r="DO1616" s="303" t="s">
        <v>232</v>
      </c>
    </row>
    <row r="1617" spans="119:119" x14ac:dyDescent="0.2">
      <c r="DO1617" s="303" t="s">
        <v>232</v>
      </c>
    </row>
    <row r="1618" spans="119:119" x14ac:dyDescent="0.2">
      <c r="DO1618" s="303" t="s">
        <v>232</v>
      </c>
    </row>
    <row r="1619" spans="119:119" x14ac:dyDescent="0.2">
      <c r="DO1619" s="303" t="s">
        <v>232</v>
      </c>
    </row>
    <row r="1620" spans="119:119" x14ac:dyDescent="0.2">
      <c r="DO1620" s="303" t="s">
        <v>232</v>
      </c>
    </row>
    <row r="1621" spans="119:119" x14ac:dyDescent="0.2">
      <c r="DO1621" s="303" t="s">
        <v>232</v>
      </c>
    </row>
    <row r="1622" spans="119:119" x14ac:dyDescent="0.2">
      <c r="DO1622" s="303" t="s">
        <v>232</v>
      </c>
    </row>
    <row r="1623" spans="119:119" x14ac:dyDescent="0.2">
      <c r="DO1623" s="303" t="s">
        <v>232</v>
      </c>
    </row>
    <row r="1624" spans="119:119" x14ac:dyDescent="0.2">
      <c r="DO1624" s="303" t="s">
        <v>232</v>
      </c>
    </row>
    <row r="1625" spans="119:119" x14ac:dyDescent="0.2">
      <c r="DO1625" s="303" t="s">
        <v>232</v>
      </c>
    </row>
    <row r="1626" spans="119:119" x14ac:dyDescent="0.2">
      <c r="DO1626" s="303" t="s">
        <v>232</v>
      </c>
    </row>
    <row r="1627" spans="119:119" x14ac:dyDescent="0.2">
      <c r="DO1627" s="303" t="s">
        <v>232</v>
      </c>
    </row>
    <row r="1628" spans="119:119" x14ac:dyDescent="0.2">
      <c r="DO1628" s="303" t="s">
        <v>232</v>
      </c>
    </row>
    <row r="1629" spans="119:119" x14ac:dyDescent="0.2">
      <c r="DO1629" s="303" t="s">
        <v>232</v>
      </c>
    </row>
    <row r="1630" spans="119:119" x14ac:dyDescent="0.2">
      <c r="DO1630" s="303" t="s">
        <v>232</v>
      </c>
    </row>
    <row r="1631" spans="119:119" x14ac:dyDescent="0.2">
      <c r="DO1631" s="303" t="s">
        <v>232</v>
      </c>
    </row>
    <row r="1632" spans="119:119" x14ac:dyDescent="0.2">
      <c r="DO1632" s="303" t="s">
        <v>232</v>
      </c>
    </row>
    <row r="1633" spans="119:119" x14ac:dyDescent="0.2">
      <c r="DO1633" s="303" t="s">
        <v>232</v>
      </c>
    </row>
    <row r="1634" spans="119:119" x14ac:dyDescent="0.2">
      <c r="DO1634" s="303" t="s">
        <v>232</v>
      </c>
    </row>
    <row r="1635" spans="119:119" x14ac:dyDescent="0.2">
      <c r="DO1635" s="303" t="s">
        <v>232</v>
      </c>
    </row>
    <row r="1636" spans="119:119" x14ac:dyDescent="0.2">
      <c r="DO1636" s="303" t="s">
        <v>232</v>
      </c>
    </row>
    <row r="1637" spans="119:119" x14ac:dyDescent="0.2">
      <c r="DO1637" s="303" t="s">
        <v>232</v>
      </c>
    </row>
    <row r="1638" spans="119:119" x14ac:dyDescent="0.2">
      <c r="DO1638" s="303" t="s">
        <v>232</v>
      </c>
    </row>
    <row r="1639" spans="119:119" x14ac:dyDescent="0.2">
      <c r="DO1639" s="303" t="s">
        <v>232</v>
      </c>
    </row>
    <row r="1640" spans="119:119" x14ac:dyDescent="0.2">
      <c r="DO1640" s="303" t="s">
        <v>232</v>
      </c>
    </row>
    <row r="1641" spans="119:119" x14ac:dyDescent="0.2">
      <c r="DO1641" s="303" t="s">
        <v>232</v>
      </c>
    </row>
    <row r="1642" spans="119:119" x14ac:dyDescent="0.2">
      <c r="DO1642" s="303" t="s">
        <v>232</v>
      </c>
    </row>
    <row r="1643" spans="119:119" x14ac:dyDescent="0.2">
      <c r="DO1643" s="303" t="s">
        <v>232</v>
      </c>
    </row>
    <row r="1644" spans="119:119" x14ac:dyDescent="0.2">
      <c r="DO1644" s="303" t="s">
        <v>232</v>
      </c>
    </row>
    <row r="1645" spans="119:119" x14ac:dyDescent="0.2">
      <c r="DO1645" s="303" t="s">
        <v>232</v>
      </c>
    </row>
    <row r="1646" spans="119:119" x14ac:dyDescent="0.2">
      <c r="DO1646" s="303" t="s">
        <v>232</v>
      </c>
    </row>
    <row r="1647" spans="119:119" x14ac:dyDescent="0.2">
      <c r="DO1647" s="303" t="s">
        <v>232</v>
      </c>
    </row>
    <row r="1648" spans="119:119" x14ac:dyDescent="0.2">
      <c r="DO1648" s="303" t="s">
        <v>232</v>
      </c>
    </row>
    <row r="1649" spans="119:119" x14ac:dyDescent="0.2">
      <c r="DO1649" s="303" t="s">
        <v>232</v>
      </c>
    </row>
    <row r="1650" spans="119:119" x14ac:dyDescent="0.2">
      <c r="DO1650" s="303" t="s">
        <v>232</v>
      </c>
    </row>
    <row r="1651" spans="119:119" x14ac:dyDescent="0.2">
      <c r="DO1651" s="303" t="s">
        <v>232</v>
      </c>
    </row>
    <row r="1652" spans="119:119" x14ac:dyDescent="0.2">
      <c r="DO1652" s="303" t="s">
        <v>232</v>
      </c>
    </row>
    <row r="1653" spans="119:119" x14ac:dyDescent="0.2">
      <c r="DO1653" s="303" t="s">
        <v>232</v>
      </c>
    </row>
    <row r="1654" spans="119:119" x14ac:dyDescent="0.2">
      <c r="DO1654" s="303" t="s">
        <v>232</v>
      </c>
    </row>
    <row r="1655" spans="119:119" x14ac:dyDescent="0.2">
      <c r="DO1655" s="303" t="s">
        <v>232</v>
      </c>
    </row>
    <row r="1656" spans="119:119" x14ac:dyDescent="0.2">
      <c r="DO1656" s="303" t="s">
        <v>232</v>
      </c>
    </row>
    <row r="1657" spans="119:119" x14ac:dyDescent="0.2">
      <c r="DO1657" s="303" t="s">
        <v>232</v>
      </c>
    </row>
    <row r="1658" spans="119:119" x14ac:dyDescent="0.2">
      <c r="DO1658" s="303" t="s">
        <v>232</v>
      </c>
    </row>
    <row r="1659" spans="119:119" x14ac:dyDescent="0.2">
      <c r="DO1659" s="303" t="s">
        <v>232</v>
      </c>
    </row>
    <row r="1660" spans="119:119" x14ac:dyDescent="0.2">
      <c r="DO1660" s="303" t="s">
        <v>232</v>
      </c>
    </row>
    <row r="1661" spans="119:119" x14ac:dyDescent="0.2">
      <c r="DO1661" s="303" t="s">
        <v>232</v>
      </c>
    </row>
    <row r="1662" spans="119:119" x14ac:dyDescent="0.2">
      <c r="DO1662" s="303" t="s">
        <v>232</v>
      </c>
    </row>
    <row r="1663" spans="119:119" x14ac:dyDescent="0.2">
      <c r="DO1663" s="303" t="s">
        <v>232</v>
      </c>
    </row>
    <row r="1664" spans="119:119" x14ac:dyDescent="0.2">
      <c r="DO1664" s="303" t="s">
        <v>232</v>
      </c>
    </row>
    <row r="1665" spans="119:119" x14ac:dyDescent="0.2">
      <c r="DO1665" s="303" t="s">
        <v>232</v>
      </c>
    </row>
    <row r="1666" spans="119:119" x14ac:dyDescent="0.2">
      <c r="DO1666" s="303" t="s">
        <v>232</v>
      </c>
    </row>
    <row r="1667" spans="119:119" x14ac:dyDescent="0.2">
      <c r="DO1667" s="303" t="s">
        <v>232</v>
      </c>
    </row>
    <row r="1668" spans="119:119" x14ac:dyDescent="0.2">
      <c r="DO1668" s="303" t="s">
        <v>232</v>
      </c>
    </row>
    <row r="1669" spans="119:119" x14ac:dyDescent="0.2">
      <c r="DO1669" s="303" t="s">
        <v>232</v>
      </c>
    </row>
    <row r="1670" spans="119:119" x14ac:dyDescent="0.2">
      <c r="DO1670" s="303" t="s">
        <v>232</v>
      </c>
    </row>
    <row r="1671" spans="119:119" x14ac:dyDescent="0.2">
      <c r="DO1671" s="303" t="s">
        <v>232</v>
      </c>
    </row>
    <row r="1672" spans="119:119" x14ac:dyDescent="0.2">
      <c r="DO1672" s="303" t="s">
        <v>232</v>
      </c>
    </row>
    <row r="1673" spans="119:119" x14ac:dyDescent="0.2">
      <c r="DO1673" s="303" t="s">
        <v>232</v>
      </c>
    </row>
    <row r="1674" spans="119:119" x14ac:dyDescent="0.2">
      <c r="DO1674" s="303" t="s">
        <v>232</v>
      </c>
    </row>
    <row r="1675" spans="119:119" x14ac:dyDescent="0.2">
      <c r="DO1675" s="303" t="s">
        <v>232</v>
      </c>
    </row>
    <row r="1676" spans="119:119" x14ac:dyDescent="0.2">
      <c r="DO1676" s="303" t="s">
        <v>232</v>
      </c>
    </row>
    <row r="1677" spans="119:119" x14ac:dyDescent="0.2">
      <c r="DO1677" s="303" t="s">
        <v>232</v>
      </c>
    </row>
    <row r="1678" spans="119:119" x14ac:dyDescent="0.2">
      <c r="DO1678" s="303" t="s">
        <v>232</v>
      </c>
    </row>
    <row r="1679" spans="119:119" x14ac:dyDescent="0.2">
      <c r="DO1679" s="303" t="s">
        <v>232</v>
      </c>
    </row>
    <row r="1680" spans="119:119" x14ac:dyDescent="0.2">
      <c r="DO1680" s="303" t="s">
        <v>232</v>
      </c>
    </row>
    <row r="1681" spans="119:119" x14ac:dyDescent="0.2">
      <c r="DO1681" s="303" t="s">
        <v>232</v>
      </c>
    </row>
    <row r="1682" spans="119:119" x14ac:dyDescent="0.2">
      <c r="DO1682" s="303" t="s">
        <v>232</v>
      </c>
    </row>
    <row r="1683" spans="119:119" x14ac:dyDescent="0.2">
      <c r="DO1683" s="303" t="s">
        <v>232</v>
      </c>
    </row>
    <row r="1684" spans="119:119" x14ac:dyDescent="0.2">
      <c r="DO1684" s="303" t="s">
        <v>232</v>
      </c>
    </row>
    <row r="1685" spans="119:119" x14ac:dyDescent="0.2">
      <c r="DO1685" s="303" t="s">
        <v>232</v>
      </c>
    </row>
    <row r="1686" spans="119:119" x14ac:dyDescent="0.2">
      <c r="DO1686" s="303" t="s">
        <v>232</v>
      </c>
    </row>
    <row r="1687" spans="119:119" x14ac:dyDescent="0.2">
      <c r="DO1687" s="303" t="s">
        <v>232</v>
      </c>
    </row>
    <row r="1688" spans="119:119" x14ac:dyDescent="0.2">
      <c r="DO1688" s="303" t="s">
        <v>232</v>
      </c>
    </row>
    <row r="1689" spans="119:119" x14ac:dyDescent="0.2">
      <c r="DO1689" s="303" t="s">
        <v>232</v>
      </c>
    </row>
    <row r="1690" spans="119:119" x14ac:dyDescent="0.2">
      <c r="DO1690" s="303" t="s">
        <v>232</v>
      </c>
    </row>
    <row r="1691" spans="119:119" x14ac:dyDescent="0.2">
      <c r="DO1691" s="303" t="s">
        <v>232</v>
      </c>
    </row>
    <row r="1692" spans="119:119" x14ac:dyDescent="0.2">
      <c r="DO1692" s="303" t="s">
        <v>232</v>
      </c>
    </row>
    <row r="1693" spans="119:119" x14ac:dyDescent="0.2">
      <c r="DO1693" s="303" t="s">
        <v>232</v>
      </c>
    </row>
    <row r="1694" spans="119:119" x14ac:dyDescent="0.2">
      <c r="DO1694" s="303" t="s">
        <v>232</v>
      </c>
    </row>
    <row r="1695" spans="119:119" x14ac:dyDescent="0.2">
      <c r="DO1695" s="303" t="s">
        <v>232</v>
      </c>
    </row>
    <row r="1696" spans="119:119" x14ac:dyDescent="0.2">
      <c r="DO1696" s="303" t="s">
        <v>232</v>
      </c>
    </row>
    <row r="1697" spans="119:119" x14ac:dyDescent="0.2">
      <c r="DO1697" s="303" t="s">
        <v>232</v>
      </c>
    </row>
    <row r="1698" spans="119:119" x14ac:dyDescent="0.2">
      <c r="DO1698" s="303" t="s">
        <v>232</v>
      </c>
    </row>
    <row r="1699" spans="119:119" x14ac:dyDescent="0.2">
      <c r="DO1699" s="303" t="s">
        <v>232</v>
      </c>
    </row>
    <row r="1700" spans="119:119" x14ac:dyDescent="0.2">
      <c r="DO1700" s="303" t="s">
        <v>232</v>
      </c>
    </row>
    <row r="1701" spans="119:119" x14ac:dyDescent="0.2">
      <c r="DO1701" s="303" t="s">
        <v>232</v>
      </c>
    </row>
    <row r="1702" spans="119:119" x14ac:dyDescent="0.2">
      <c r="DO1702" s="303" t="s">
        <v>232</v>
      </c>
    </row>
    <row r="1703" spans="119:119" x14ac:dyDescent="0.2">
      <c r="DO1703" s="303" t="s">
        <v>232</v>
      </c>
    </row>
    <row r="1704" spans="119:119" x14ac:dyDescent="0.2">
      <c r="DO1704" s="303" t="s">
        <v>232</v>
      </c>
    </row>
    <row r="1705" spans="119:119" x14ac:dyDescent="0.2">
      <c r="DO1705" s="303" t="s">
        <v>232</v>
      </c>
    </row>
    <row r="1706" spans="119:119" x14ac:dyDescent="0.2">
      <c r="DO1706" s="303" t="s">
        <v>232</v>
      </c>
    </row>
    <row r="1707" spans="119:119" x14ac:dyDescent="0.2">
      <c r="DO1707" s="303" t="s">
        <v>232</v>
      </c>
    </row>
    <row r="1708" spans="119:119" x14ac:dyDescent="0.2">
      <c r="DO1708" s="303" t="s">
        <v>232</v>
      </c>
    </row>
    <row r="1709" spans="119:119" x14ac:dyDescent="0.2">
      <c r="DO1709" s="303" t="s">
        <v>232</v>
      </c>
    </row>
    <row r="1710" spans="119:119" x14ac:dyDescent="0.2">
      <c r="DO1710" s="303" t="s">
        <v>232</v>
      </c>
    </row>
    <row r="1711" spans="119:119" x14ac:dyDescent="0.2">
      <c r="DO1711" s="303" t="s">
        <v>232</v>
      </c>
    </row>
    <row r="1712" spans="119:119" x14ac:dyDescent="0.2">
      <c r="DO1712" s="303" t="s">
        <v>232</v>
      </c>
    </row>
    <row r="1713" spans="119:119" x14ac:dyDescent="0.2">
      <c r="DO1713" s="303" t="s">
        <v>232</v>
      </c>
    </row>
    <row r="1714" spans="119:119" x14ac:dyDescent="0.2">
      <c r="DO1714" s="303" t="s">
        <v>232</v>
      </c>
    </row>
    <row r="1715" spans="119:119" x14ac:dyDescent="0.2">
      <c r="DO1715" s="303" t="s">
        <v>232</v>
      </c>
    </row>
    <row r="1716" spans="119:119" x14ac:dyDescent="0.2">
      <c r="DO1716" s="303" t="s">
        <v>232</v>
      </c>
    </row>
    <row r="1717" spans="119:119" x14ac:dyDescent="0.2">
      <c r="DO1717" s="303" t="s">
        <v>232</v>
      </c>
    </row>
    <row r="1718" spans="119:119" x14ac:dyDescent="0.2">
      <c r="DO1718" s="303" t="s">
        <v>232</v>
      </c>
    </row>
    <row r="1719" spans="119:119" x14ac:dyDescent="0.2">
      <c r="DO1719" s="303" t="s">
        <v>232</v>
      </c>
    </row>
    <row r="1720" spans="119:119" x14ac:dyDescent="0.2">
      <c r="DO1720" s="303" t="s">
        <v>232</v>
      </c>
    </row>
    <row r="1721" spans="119:119" x14ac:dyDescent="0.2">
      <c r="DO1721" s="303" t="s">
        <v>232</v>
      </c>
    </row>
    <row r="1722" spans="119:119" x14ac:dyDescent="0.2">
      <c r="DO1722" s="303" t="s">
        <v>232</v>
      </c>
    </row>
    <row r="1723" spans="119:119" x14ac:dyDescent="0.2">
      <c r="DO1723" s="303" t="s">
        <v>232</v>
      </c>
    </row>
    <row r="1724" spans="119:119" x14ac:dyDescent="0.2">
      <c r="DO1724" s="303" t="s">
        <v>232</v>
      </c>
    </row>
    <row r="1725" spans="119:119" x14ac:dyDescent="0.2">
      <c r="DO1725" s="303" t="s">
        <v>232</v>
      </c>
    </row>
    <row r="1726" spans="119:119" x14ac:dyDescent="0.2">
      <c r="DO1726" s="303" t="s">
        <v>232</v>
      </c>
    </row>
    <row r="1727" spans="119:119" x14ac:dyDescent="0.2">
      <c r="DO1727" s="303" t="s">
        <v>232</v>
      </c>
    </row>
    <row r="1728" spans="119:119" x14ac:dyDescent="0.2">
      <c r="DO1728" s="303" t="s">
        <v>232</v>
      </c>
    </row>
    <row r="1729" spans="119:119" x14ac:dyDescent="0.2">
      <c r="DO1729" s="303" t="s">
        <v>232</v>
      </c>
    </row>
    <row r="1730" spans="119:119" x14ac:dyDescent="0.2">
      <c r="DO1730" s="303" t="s">
        <v>232</v>
      </c>
    </row>
    <row r="1731" spans="119:119" x14ac:dyDescent="0.2">
      <c r="DO1731" s="303" t="s">
        <v>232</v>
      </c>
    </row>
    <row r="1732" spans="119:119" x14ac:dyDescent="0.2">
      <c r="DO1732" s="303" t="s">
        <v>232</v>
      </c>
    </row>
    <row r="1733" spans="119:119" x14ac:dyDescent="0.2">
      <c r="DO1733" s="303" t="s">
        <v>232</v>
      </c>
    </row>
    <row r="1734" spans="119:119" x14ac:dyDescent="0.2">
      <c r="DO1734" s="303" t="s">
        <v>232</v>
      </c>
    </row>
    <row r="1735" spans="119:119" x14ac:dyDescent="0.2">
      <c r="DO1735" s="303" t="s">
        <v>232</v>
      </c>
    </row>
    <row r="1736" spans="119:119" x14ac:dyDescent="0.2">
      <c r="DO1736" s="303" t="s">
        <v>232</v>
      </c>
    </row>
    <row r="1737" spans="119:119" x14ac:dyDescent="0.2">
      <c r="DO1737" s="303" t="s">
        <v>232</v>
      </c>
    </row>
    <row r="1738" spans="119:119" x14ac:dyDescent="0.2">
      <c r="DO1738" s="303" t="s">
        <v>232</v>
      </c>
    </row>
    <row r="1739" spans="119:119" x14ac:dyDescent="0.2">
      <c r="DO1739" s="303" t="s">
        <v>232</v>
      </c>
    </row>
    <row r="1740" spans="119:119" x14ac:dyDescent="0.2">
      <c r="DO1740" s="303" t="s">
        <v>232</v>
      </c>
    </row>
    <row r="1741" spans="119:119" x14ac:dyDescent="0.2">
      <c r="DO1741" s="303" t="s">
        <v>232</v>
      </c>
    </row>
    <row r="1742" spans="119:119" x14ac:dyDescent="0.2">
      <c r="DO1742" s="303" t="s">
        <v>232</v>
      </c>
    </row>
    <row r="1743" spans="119:119" x14ac:dyDescent="0.2">
      <c r="DO1743" s="303" t="s">
        <v>232</v>
      </c>
    </row>
    <row r="1744" spans="119:119" x14ac:dyDescent="0.2">
      <c r="DO1744" s="303" t="s">
        <v>232</v>
      </c>
    </row>
    <row r="1745" spans="119:119" x14ac:dyDescent="0.2">
      <c r="DO1745" s="303" t="s">
        <v>232</v>
      </c>
    </row>
    <row r="1746" spans="119:119" x14ac:dyDescent="0.2">
      <c r="DO1746" s="303" t="s">
        <v>232</v>
      </c>
    </row>
    <row r="1747" spans="119:119" x14ac:dyDescent="0.2">
      <c r="DO1747" s="303" t="s">
        <v>232</v>
      </c>
    </row>
    <row r="1748" spans="119:119" x14ac:dyDescent="0.2">
      <c r="DO1748" s="303" t="s">
        <v>232</v>
      </c>
    </row>
    <row r="1749" spans="119:119" x14ac:dyDescent="0.2">
      <c r="DO1749" s="303" t="s">
        <v>232</v>
      </c>
    </row>
    <row r="1750" spans="119:119" x14ac:dyDescent="0.2">
      <c r="DO1750" s="303" t="s">
        <v>232</v>
      </c>
    </row>
    <row r="1751" spans="119:119" x14ac:dyDescent="0.2">
      <c r="DO1751" s="303" t="s">
        <v>232</v>
      </c>
    </row>
    <row r="1752" spans="119:119" x14ac:dyDescent="0.2">
      <c r="DO1752" s="303" t="s">
        <v>232</v>
      </c>
    </row>
    <row r="1753" spans="119:119" x14ac:dyDescent="0.2">
      <c r="DO1753" s="303" t="s">
        <v>232</v>
      </c>
    </row>
    <row r="1754" spans="119:119" x14ac:dyDescent="0.2">
      <c r="DO1754" s="303" t="s">
        <v>232</v>
      </c>
    </row>
    <row r="1755" spans="119:119" x14ac:dyDescent="0.2">
      <c r="DO1755" s="303" t="s">
        <v>232</v>
      </c>
    </row>
    <row r="1756" spans="119:119" x14ac:dyDescent="0.2">
      <c r="DO1756" s="303" t="s">
        <v>232</v>
      </c>
    </row>
    <row r="1757" spans="119:119" x14ac:dyDescent="0.2">
      <c r="DO1757" s="303" t="s">
        <v>232</v>
      </c>
    </row>
    <row r="1758" spans="119:119" x14ac:dyDescent="0.2">
      <c r="DO1758" s="303" t="s">
        <v>232</v>
      </c>
    </row>
    <row r="1759" spans="119:119" x14ac:dyDescent="0.2">
      <c r="DO1759" s="303" t="s">
        <v>232</v>
      </c>
    </row>
    <row r="1760" spans="119:119" x14ac:dyDescent="0.2">
      <c r="DO1760" s="303" t="s">
        <v>232</v>
      </c>
    </row>
    <row r="1761" spans="119:119" x14ac:dyDescent="0.2">
      <c r="DO1761" s="303" t="s">
        <v>232</v>
      </c>
    </row>
    <row r="1762" spans="119:119" x14ac:dyDescent="0.2">
      <c r="DO1762" s="303" t="s">
        <v>232</v>
      </c>
    </row>
    <row r="1763" spans="119:119" x14ac:dyDescent="0.2">
      <c r="DO1763" s="303" t="s">
        <v>232</v>
      </c>
    </row>
    <row r="1764" spans="119:119" x14ac:dyDescent="0.2">
      <c r="DO1764" s="303" t="s">
        <v>232</v>
      </c>
    </row>
    <row r="1765" spans="119:119" x14ac:dyDescent="0.2">
      <c r="DO1765" s="303" t="s">
        <v>232</v>
      </c>
    </row>
    <row r="1766" spans="119:119" x14ac:dyDescent="0.2">
      <c r="DO1766" s="303" t="s">
        <v>232</v>
      </c>
    </row>
    <row r="1767" spans="119:119" x14ac:dyDescent="0.2">
      <c r="DO1767" s="303" t="s">
        <v>232</v>
      </c>
    </row>
    <row r="1768" spans="119:119" x14ac:dyDescent="0.2">
      <c r="DO1768" s="303" t="s">
        <v>232</v>
      </c>
    </row>
    <row r="1769" spans="119:119" x14ac:dyDescent="0.2">
      <c r="DO1769" s="303" t="s">
        <v>232</v>
      </c>
    </row>
    <row r="1770" spans="119:119" x14ac:dyDescent="0.2">
      <c r="DO1770" s="303" t="s">
        <v>232</v>
      </c>
    </row>
    <row r="1771" spans="119:119" x14ac:dyDescent="0.2">
      <c r="DO1771" s="303" t="s">
        <v>232</v>
      </c>
    </row>
    <row r="1772" spans="119:119" x14ac:dyDescent="0.2">
      <c r="DO1772" s="303" t="s">
        <v>232</v>
      </c>
    </row>
    <row r="1773" spans="119:119" x14ac:dyDescent="0.2">
      <c r="DO1773" s="303" t="s">
        <v>232</v>
      </c>
    </row>
    <row r="1774" spans="119:119" x14ac:dyDescent="0.2">
      <c r="DO1774" s="303" t="s">
        <v>232</v>
      </c>
    </row>
    <row r="1775" spans="119:119" x14ac:dyDescent="0.2">
      <c r="DO1775" s="303" t="s">
        <v>232</v>
      </c>
    </row>
    <row r="1776" spans="119:119" x14ac:dyDescent="0.2">
      <c r="DO1776" s="303" t="s">
        <v>232</v>
      </c>
    </row>
    <row r="1777" spans="119:119" x14ac:dyDescent="0.2">
      <c r="DO1777" s="303" t="s">
        <v>232</v>
      </c>
    </row>
    <row r="1778" spans="119:119" x14ac:dyDescent="0.2">
      <c r="DO1778" s="303" t="s">
        <v>232</v>
      </c>
    </row>
    <row r="1779" spans="119:119" x14ac:dyDescent="0.2">
      <c r="DO1779" s="303" t="s">
        <v>232</v>
      </c>
    </row>
    <row r="1780" spans="119:119" x14ac:dyDescent="0.2">
      <c r="DO1780" s="303" t="s">
        <v>232</v>
      </c>
    </row>
    <row r="1781" spans="119:119" x14ac:dyDescent="0.2">
      <c r="DO1781" s="303" t="s">
        <v>232</v>
      </c>
    </row>
    <row r="1782" spans="119:119" x14ac:dyDescent="0.2">
      <c r="DO1782" s="303" t="s">
        <v>232</v>
      </c>
    </row>
    <row r="1783" spans="119:119" x14ac:dyDescent="0.2">
      <c r="DO1783" s="303" t="s">
        <v>232</v>
      </c>
    </row>
    <row r="1784" spans="119:119" x14ac:dyDescent="0.2">
      <c r="DO1784" s="303" t="s">
        <v>232</v>
      </c>
    </row>
    <row r="1785" spans="119:119" x14ac:dyDescent="0.2">
      <c r="DO1785" s="303" t="s">
        <v>232</v>
      </c>
    </row>
    <row r="1786" spans="119:119" x14ac:dyDescent="0.2">
      <c r="DO1786" s="303" t="s">
        <v>232</v>
      </c>
    </row>
    <row r="1787" spans="119:119" x14ac:dyDescent="0.2">
      <c r="DO1787" s="303" t="s">
        <v>232</v>
      </c>
    </row>
    <row r="1788" spans="119:119" x14ac:dyDescent="0.2">
      <c r="DO1788" s="303" t="s">
        <v>232</v>
      </c>
    </row>
    <row r="1789" spans="119:119" x14ac:dyDescent="0.2">
      <c r="DO1789" s="303" t="s">
        <v>232</v>
      </c>
    </row>
    <row r="1790" spans="119:119" x14ac:dyDescent="0.2">
      <c r="DO1790" s="303" t="s">
        <v>232</v>
      </c>
    </row>
    <row r="1791" spans="119:119" x14ac:dyDescent="0.2">
      <c r="DO1791" s="303" t="s">
        <v>232</v>
      </c>
    </row>
    <row r="1792" spans="119:119" x14ac:dyDescent="0.2">
      <c r="DO1792" s="303" t="s">
        <v>232</v>
      </c>
    </row>
    <row r="1793" spans="119:119" x14ac:dyDescent="0.2">
      <c r="DO1793" s="303" t="s">
        <v>232</v>
      </c>
    </row>
    <row r="1794" spans="119:119" x14ac:dyDescent="0.2">
      <c r="DO1794" s="303" t="s">
        <v>232</v>
      </c>
    </row>
    <row r="1795" spans="119:119" x14ac:dyDescent="0.2">
      <c r="DO1795" s="303" t="s">
        <v>232</v>
      </c>
    </row>
    <row r="1796" spans="119:119" x14ac:dyDescent="0.2">
      <c r="DO1796" s="303" t="s">
        <v>232</v>
      </c>
    </row>
    <row r="1797" spans="119:119" x14ac:dyDescent="0.2">
      <c r="DO1797" s="303" t="s">
        <v>232</v>
      </c>
    </row>
    <row r="1798" spans="119:119" x14ac:dyDescent="0.2">
      <c r="DO1798" s="303" t="s">
        <v>232</v>
      </c>
    </row>
    <row r="1799" spans="119:119" x14ac:dyDescent="0.2">
      <c r="DO1799" s="303" t="s">
        <v>232</v>
      </c>
    </row>
    <row r="1800" spans="119:119" x14ac:dyDescent="0.2">
      <c r="DO1800" s="303" t="s">
        <v>232</v>
      </c>
    </row>
    <row r="1801" spans="119:119" x14ac:dyDescent="0.2">
      <c r="DO1801" s="303" t="s">
        <v>232</v>
      </c>
    </row>
    <row r="1802" spans="119:119" x14ac:dyDescent="0.2">
      <c r="DO1802" s="303" t="s">
        <v>232</v>
      </c>
    </row>
    <row r="1803" spans="119:119" x14ac:dyDescent="0.2">
      <c r="DO1803" s="303" t="s">
        <v>232</v>
      </c>
    </row>
    <row r="1804" spans="119:119" x14ac:dyDescent="0.2">
      <c r="DO1804" s="303" t="s">
        <v>232</v>
      </c>
    </row>
    <row r="1805" spans="119:119" x14ac:dyDescent="0.2">
      <c r="DO1805" s="303" t="s">
        <v>232</v>
      </c>
    </row>
    <row r="1806" spans="119:119" x14ac:dyDescent="0.2">
      <c r="DO1806" s="303" t="s">
        <v>232</v>
      </c>
    </row>
    <row r="1807" spans="119:119" x14ac:dyDescent="0.2">
      <c r="DO1807" s="303" t="s">
        <v>232</v>
      </c>
    </row>
    <row r="1808" spans="119:119" x14ac:dyDescent="0.2">
      <c r="DO1808" s="303" t="s">
        <v>232</v>
      </c>
    </row>
    <row r="1809" spans="119:119" x14ac:dyDescent="0.2">
      <c r="DO1809" s="303" t="s">
        <v>232</v>
      </c>
    </row>
    <row r="1810" spans="119:119" x14ac:dyDescent="0.2">
      <c r="DO1810" s="303" t="s">
        <v>232</v>
      </c>
    </row>
    <row r="1811" spans="119:119" x14ac:dyDescent="0.2">
      <c r="DO1811" s="303" t="s">
        <v>232</v>
      </c>
    </row>
    <row r="1812" spans="119:119" x14ac:dyDescent="0.2">
      <c r="DO1812" s="303" t="s">
        <v>232</v>
      </c>
    </row>
    <row r="1813" spans="119:119" x14ac:dyDescent="0.2">
      <c r="DO1813" s="303" t="s">
        <v>232</v>
      </c>
    </row>
    <row r="1814" spans="119:119" x14ac:dyDescent="0.2">
      <c r="DO1814" s="303" t="s">
        <v>232</v>
      </c>
    </row>
    <row r="1815" spans="119:119" x14ac:dyDescent="0.2">
      <c r="DO1815" s="303" t="s">
        <v>232</v>
      </c>
    </row>
    <row r="1816" spans="119:119" x14ac:dyDescent="0.2">
      <c r="DO1816" s="303" t="s">
        <v>232</v>
      </c>
    </row>
    <row r="1817" spans="119:119" x14ac:dyDescent="0.2">
      <c r="DO1817" s="303" t="s">
        <v>232</v>
      </c>
    </row>
    <row r="1818" spans="119:119" x14ac:dyDescent="0.2">
      <c r="DO1818" s="303" t="s">
        <v>232</v>
      </c>
    </row>
    <row r="1819" spans="119:119" x14ac:dyDescent="0.2">
      <c r="DO1819" s="303" t="s">
        <v>232</v>
      </c>
    </row>
    <row r="1820" spans="119:119" x14ac:dyDescent="0.2">
      <c r="DO1820" s="303" t="s">
        <v>232</v>
      </c>
    </row>
    <row r="1821" spans="119:119" x14ac:dyDescent="0.2">
      <c r="DO1821" s="303" t="s">
        <v>232</v>
      </c>
    </row>
    <row r="1822" spans="119:119" x14ac:dyDescent="0.2">
      <c r="DO1822" s="303" t="s">
        <v>232</v>
      </c>
    </row>
    <row r="1823" spans="119:119" x14ac:dyDescent="0.2">
      <c r="DO1823" s="303" t="s">
        <v>232</v>
      </c>
    </row>
    <row r="1824" spans="119:119" x14ac:dyDescent="0.2">
      <c r="DO1824" s="303" t="s">
        <v>232</v>
      </c>
    </row>
    <row r="1825" spans="119:119" x14ac:dyDescent="0.2">
      <c r="DO1825" s="303" t="s">
        <v>232</v>
      </c>
    </row>
    <row r="1826" spans="119:119" x14ac:dyDescent="0.2">
      <c r="DO1826" s="303" t="s">
        <v>232</v>
      </c>
    </row>
    <row r="1827" spans="119:119" x14ac:dyDescent="0.2">
      <c r="DO1827" s="303" t="s">
        <v>232</v>
      </c>
    </row>
    <row r="1828" spans="119:119" x14ac:dyDescent="0.2">
      <c r="DO1828" s="303" t="s">
        <v>232</v>
      </c>
    </row>
    <row r="1829" spans="119:119" x14ac:dyDescent="0.2">
      <c r="DO1829" s="303" t="s">
        <v>232</v>
      </c>
    </row>
    <row r="1830" spans="119:119" x14ac:dyDescent="0.2">
      <c r="DO1830" s="303" t="s">
        <v>232</v>
      </c>
    </row>
    <row r="1831" spans="119:119" x14ac:dyDescent="0.2">
      <c r="DO1831" s="303" t="s">
        <v>232</v>
      </c>
    </row>
    <row r="1832" spans="119:119" x14ac:dyDescent="0.2">
      <c r="DO1832" s="303" t="s">
        <v>232</v>
      </c>
    </row>
    <row r="1833" spans="119:119" x14ac:dyDescent="0.2">
      <c r="DO1833" s="303" t="s">
        <v>232</v>
      </c>
    </row>
    <row r="1834" spans="119:119" x14ac:dyDescent="0.2">
      <c r="DO1834" s="303" t="s">
        <v>232</v>
      </c>
    </row>
    <row r="1835" spans="119:119" x14ac:dyDescent="0.2">
      <c r="DO1835" s="303" t="s">
        <v>232</v>
      </c>
    </row>
    <row r="1836" spans="119:119" x14ac:dyDescent="0.2">
      <c r="DO1836" s="303" t="s">
        <v>232</v>
      </c>
    </row>
    <row r="1837" spans="119:119" x14ac:dyDescent="0.2">
      <c r="DO1837" s="303" t="s">
        <v>232</v>
      </c>
    </row>
    <row r="1838" spans="119:119" x14ac:dyDescent="0.2">
      <c r="DO1838" s="303" t="s">
        <v>232</v>
      </c>
    </row>
    <row r="1839" spans="119:119" x14ac:dyDescent="0.2">
      <c r="DO1839" s="303" t="s">
        <v>232</v>
      </c>
    </row>
    <row r="1840" spans="119:119" x14ac:dyDescent="0.2">
      <c r="DO1840" s="303" t="s">
        <v>232</v>
      </c>
    </row>
    <row r="1841" spans="119:119" x14ac:dyDescent="0.2">
      <c r="DO1841" s="303" t="s">
        <v>232</v>
      </c>
    </row>
    <row r="1842" spans="119:119" x14ac:dyDescent="0.2">
      <c r="DO1842" s="303" t="s">
        <v>232</v>
      </c>
    </row>
    <row r="1843" spans="119:119" x14ac:dyDescent="0.2">
      <c r="DO1843" s="303" t="s">
        <v>232</v>
      </c>
    </row>
    <row r="1844" spans="119:119" x14ac:dyDescent="0.2">
      <c r="DO1844" s="303" t="s">
        <v>232</v>
      </c>
    </row>
    <row r="1845" spans="119:119" x14ac:dyDescent="0.2">
      <c r="DO1845" s="303" t="s">
        <v>232</v>
      </c>
    </row>
    <row r="1846" spans="119:119" x14ac:dyDescent="0.2">
      <c r="DO1846" s="303" t="s">
        <v>232</v>
      </c>
    </row>
    <row r="1847" spans="119:119" x14ac:dyDescent="0.2">
      <c r="DO1847" s="303" t="s">
        <v>232</v>
      </c>
    </row>
    <row r="1848" spans="119:119" x14ac:dyDescent="0.2">
      <c r="DO1848" s="303" t="s">
        <v>232</v>
      </c>
    </row>
    <row r="1849" spans="119:119" x14ac:dyDescent="0.2">
      <c r="DO1849" s="303" t="s">
        <v>232</v>
      </c>
    </row>
    <row r="1850" spans="119:119" x14ac:dyDescent="0.2">
      <c r="DO1850" s="303" t="s">
        <v>232</v>
      </c>
    </row>
    <row r="1851" spans="119:119" x14ac:dyDescent="0.2">
      <c r="DO1851" s="303" t="s">
        <v>232</v>
      </c>
    </row>
    <row r="1852" spans="119:119" x14ac:dyDescent="0.2">
      <c r="DO1852" s="303" t="s">
        <v>232</v>
      </c>
    </row>
    <row r="1853" spans="119:119" x14ac:dyDescent="0.2">
      <c r="DO1853" s="303" t="s">
        <v>232</v>
      </c>
    </row>
    <row r="1854" spans="119:119" x14ac:dyDescent="0.2">
      <c r="DO1854" s="303" t="s">
        <v>232</v>
      </c>
    </row>
    <row r="1855" spans="119:119" x14ac:dyDescent="0.2">
      <c r="DO1855" s="303" t="s">
        <v>232</v>
      </c>
    </row>
    <row r="1856" spans="119:119" x14ac:dyDescent="0.2">
      <c r="DO1856" s="303" t="s">
        <v>232</v>
      </c>
    </row>
    <row r="1857" spans="119:119" x14ac:dyDescent="0.2">
      <c r="DO1857" s="303" t="s">
        <v>232</v>
      </c>
    </row>
    <row r="1858" spans="119:119" x14ac:dyDescent="0.2">
      <c r="DO1858" s="303" t="s">
        <v>232</v>
      </c>
    </row>
    <row r="1859" spans="119:119" x14ac:dyDescent="0.2">
      <c r="DO1859" s="303" t="s">
        <v>232</v>
      </c>
    </row>
    <row r="1860" spans="119:119" x14ac:dyDescent="0.2">
      <c r="DO1860" s="303" t="s">
        <v>232</v>
      </c>
    </row>
    <row r="1861" spans="119:119" x14ac:dyDescent="0.2">
      <c r="DO1861" s="303" t="s">
        <v>232</v>
      </c>
    </row>
    <row r="1862" spans="119:119" x14ac:dyDescent="0.2">
      <c r="DO1862" s="303" t="s">
        <v>232</v>
      </c>
    </row>
    <row r="1863" spans="119:119" x14ac:dyDescent="0.2">
      <c r="DO1863" s="303" t="s">
        <v>232</v>
      </c>
    </row>
    <row r="1864" spans="119:119" x14ac:dyDescent="0.2">
      <c r="DO1864" s="303" t="s">
        <v>232</v>
      </c>
    </row>
    <row r="1865" spans="119:119" x14ac:dyDescent="0.2">
      <c r="DO1865" s="303" t="s">
        <v>232</v>
      </c>
    </row>
    <row r="1866" spans="119:119" x14ac:dyDescent="0.2">
      <c r="DO1866" s="303" t="s">
        <v>232</v>
      </c>
    </row>
    <row r="1867" spans="119:119" x14ac:dyDescent="0.2">
      <c r="DO1867" s="303" t="s">
        <v>232</v>
      </c>
    </row>
    <row r="1868" spans="119:119" x14ac:dyDescent="0.2">
      <c r="DO1868" s="303" t="s">
        <v>232</v>
      </c>
    </row>
    <row r="1869" spans="119:119" x14ac:dyDescent="0.2">
      <c r="DO1869" s="303" t="s">
        <v>232</v>
      </c>
    </row>
    <row r="1870" spans="119:119" x14ac:dyDescent="0.2">
      <c r="DO1870" s="303" t="s">
        <v>232</v>
      </c>
    </row>
    <row r="1871" spans="119:119" x14ac:dyDescent="0.2">
      <c r="DO1871" s="303" t="s">
        <v>232</v>
      </c>
    </row>
    <row r="1872" spans="119:119" x14ac:dyDescent="0.2">
      <c r="DO1872" s="303" t="s">
        <v>232</v>
      </c>
    </row>
    <row r="1873" spans="119:119" x14ac:dyDescent="0.2">
      <c r="DO1873" s="303" t="s">
        <v>232</v>
      </c>
    </row>
    <row r="1874" spans="119:119" x14ac:dyDescent="0.2">
      <c r="DO1874" s="303" t="s">
        <v>232</v>
      </c>
    </row>
    <row r="1875" spans="119:119" x14ac:dyDescent="0.2">
      <c r="DO1875" s="303" t="s">
        <v>232</v>
      </c>
    </row>
    <row r="1876" spans="119:119" x14ac:dyDescent="0.2">
      <c r="DO1876" s="303" t="s">
        <v>232</v>
      </c>
    </row>
    <row r="1877" spans="119:119" x14ac:dyDescent="0.2">
      <c r="DO1877" s="303" t="s">
        <v>232</v>
      </c>
    </row>
    <row r="1878" spans="119:119" x14ac:dyDescent="0.2">
      <c r="DO1878" s="303" t="s">
        <v>232</v>
      </c>
    </row>
    <row r="1879" spans="119:119" x14ac:dyDescent="0.2">
      <c r="DO1879" s="303" t="s">
        <v>232</v>
      </c>
    </row>
    <row r="1880" spans="119:119" x14ac:dyDescent="0.2">
      <c r="DO1880" s="303" t="s">
        <v>232</v>
      </c>
    </row>
    <row r="1881" spans="119:119" x14ac:dyDescent="0.2">
      <c r="DO1881" s="303" t="s">
        <v>232</v>
      </c>
    </row>
    <row r="1882" spans="119:119" x14ac:dyDescent="0.2">
      <c r="DO1882" s="303" t="s">
        <v>232</v>
      </c>
    </row>
    <row r="1883" spans="119:119" x14ac:dyDescent="0.2">
      <c r="DO1883" s="303" t="s">
        <v>232</v>
      </c>
    </row>
    <row r="1884" spans="119:119" x14ac:dyDescent="0.2">
      <c r="DO1884" s="303" t="s">
        <v>232</v>
      </c>
    </row>
    <row r="1885" spans="119:119" x14ac:dyDescent="0.2">
      <c r="DO1885" s="303" t="s">
        <v>232</v>
      </c>
    </row>
    <row r="1886" spans="119:119" x14ac:dyDescent="0.2">
      <c r="DO1886" s="303" t="s">
        <v>232</v>
      </c>
    </row>
    <row r="1887" spans="119:119" x14ac:dyDescent="0.2">
      <c r="DO1887" s="303" t="s">
        <v>232</v>
      </c>
    </row>
    <row r="1888" spans="119:119" x14ac:dyDescent="0.2">
      <c r="DO1888" s="303" t="s">
        <v>232</v>
      </c>
    </row>
    <row r="1889" spans="119:119" x14ac:dyDescent="0.2">
      <c r="DO1889" s="303" t="s">
        <v>232</v>
      </c>
    </row>
    <row r="1890" spans="119:119" x14ac:dyDescent="0.2">
      <c r="DO1890" s="303" t="s">
        <v>232</v>
      </c>
    </row>
    <row r="1891" spans="119:119" x14ac:dyDescent="0.2">
      <c r="DO1891" s="303" t="s">
        <v>232</v>
      </c>
    </row>
    <row r="1892" spans="119:119" x14ac:dyDescent="0.2">
      <c r="DO1892" s="303" t="s">
        <v>232</v>
      </c>
    </row>
    <row r="1893" spans="119:119" x14ac:dyDescent="0.2">
      <c r="DO1893" s="303" t="s">
        <v>232</v>
      </c>
    </row>
    <row r="1894" spans="119:119" x14ac:dyDescent="0.2">
      <c r="DO1894" s="303" t="s">
        <v>232</v>
      </c>
    </row>
    <row r="1895" spans="119:119" x14ac:dyDescent="0.2">
      <c r="DO1895" s="303" t="s">
        <v>232</v>
      </c>
    </row>
    <row r="1896" spans="119:119" x14ac:dyDescent="0.2">
      <c r="DO1896" s="303" t="s">
        <v>232</v>
      </c>
    </row>
    <row r="1897" spans="119:119" x14ac:dyDescent="0.2">
      <c r="DO1897" s="303" t="s">
        <v>232</v>
      </c>
    </row>
    <row r="1898" spans="119:119" x14ac:dyDescent="0.2">
      <c r="DO1898" s="303" t="s">
        <v>232</v>
      </c>
    </row>
    <row r="1899" spans="119:119" x14ac:dyDescent="0.2">
      <c r="DO1899" s="303" t="s">
        <v>232</v>
      </c>
    </row>
    <row r="1900" spans="119:119" x14ac:dyDescent="0.2">
      <c r="DO1900" s="303" t="s">
        <v>232</v>
      </c>
    </row>
    <row r="1901" spans="119:119" x14ac:dyDescent="0.2">
      <c r="DO1901" s="303" t="s">
        <v>232</v>
      </c>
    </row>
    <row r="1902" spans="119:119" x14ac:dyDescent="0.2">
      <c r="DO1902" s="303" t="s">
        <v>232</v>
      </c>
    </row>
    <row r="1903" spans="119:119" x14ac:dyDescent="0.2">
      <c r="DO1903" s="303" t="s">
        <v>232</v>
      </c>
    </row>
    <row r="1904" spans="119:119" x14ac:dyDescent="0.2">
      <c r="DO1904" s="303" t="s">
        <v>232</v>
      </c>
    </row>
    <row r="1905" spans="119:119" x14ac:dyDescent="0.2">
      <c r="DO1905" s="303" t="s">
        <v>232</v>
      </c>
    </row>
    <row r="1906" spans="119:119" x14ac:dyDescent="0.2">
      <c r="DO1906" s="303" t="s">
        <v>232</v>
      </c>
    </row>
    <row r="1907" spans="119:119" x14ac:dyDescent="0.2">
      <c r="DO1907" s="303" t="s">
        <v>232</v>
      </c>
    </row>
    <row r="1908" spans="119:119" x14ac:dyDescent="0.2">
      <c r="DO1908" s="303" t="s">
        <v>232</v>
      </c>
    </row>
    <row r="1909" spans="119:119" x14ac:dyDescent="0.2">
      <c r="DO1909" s="303" t="s">
        <v>232</v>
      </c>
    </row>
    <row r="1910" spans="119:119" x14ac:dyDescent="0.2">
      <c r="DO1910" s="303" t="s">
        <v>232</v>
      </c>
    </row>
    <row r="1911" spans="119:119" x14ac:dyDescent="0.2">
      <c r="DO1911" s="303" t="s">
        <v>232</v>
      </c>
    </row>
    <row r="1912" spans="119:119" x14ac:dyDescent="0.2">
      <c r="DO1912" s="303" t="s">
        <v>232</v>
      </c>
    </row>
    <row r="1913" spans="119:119" x14ac:dyDescent="0.2">
      <c r="DO1913" s="303" t="s">
        <v>232</v>
      </c>
    </row>
    <row r="1914" spans="119:119" x14ac:dyDescent="0.2">
      <c r="DO1914" s="303" t="s">
        <v>232</v>
      </c>
    </row>
    <row r="1915" spans="119:119" x14ac:dyDescent="0.2">
      <c r="DO1915" s="303" t="s">
        <v>232</v>
      </c>
    </row>
    <row r="1916" spans="119:119" x14ac:dyDescent="0.2">
      <c r="DO1916" s="303" t="s">
        <v>232</v>
      </c>
    </row>
    <row r="1917" spans="119:119" x14ac:dyDescent="0.2">
      <c r="DO1917" s="303" t="s">
        <v>232</v>
      </c>
    </row>
    <row r="1918" spans="119:119" x14ac:dyDescent="0.2">
      <c r="DO1918" s="303" t="s">
        <v>232</v>
      </c>
    </row>
    <row r="1919" spans="119:119" x14ac:dyDescent="0.2">
      <c r="DO1919" s="303" t="s">
        <v>232</v>
      </c>
    </row>
    <row r="1920" spans="119:119" x14ac:dyDescent="0.2">
      <c r="DO1920" s="303" t="s">
        <v>232</v>
      </c>
    </row>
    <row r="1921" spans="119:119" x14ac:dyDescent="0.2">
      <c r="DO1921" s="303" t="s">
        <v>232</v>
      </c>
    </row>
    <row r="1922" spans="119:119" x14ac:dyDescent="0.2">
      <c r="DO1922" s="303" t="s">
        <v>232</v>
      </c>
    </row>
    <row r="1923" spans="119:119" x14ac:dyDescent="0.2">
      <c r="DO1923" s="303" t="s">
        <v>232</v>
      </c>
    </row>
    <row r="1924" spans="119:119" x14ac:dyDescent="0.2">
      <c r="DO1924" s="303" t="s">
        <v>232</v>
      </c>
    </row>
    <row r="1925" spans="119:119" x14ac:dyDescent="0.2">
      <c r="DO1925" s="303" t="s">
        <v>232</v>
      </c>
    </row>
    <row r="1926" spans="119:119" x14ac:dyDescent="0.2">
      <c r="DO1926" s="303" t="s">
        <v>232</v>
      </c>
    </row>
    <row r="1927" spans="119:119" x14ac:dyDescent="0.2">
      <c r="DO1927" s="303" t="s">
        <v>232</v>
      </c>
    </row>
    <row r="1928" spans="119:119" x14ac:dyDescent="0.2">
      <c r="DO1928" s="303" t="s">
        <v>232</v>
      </c>
    </row>
    <row r="1929" spans="119:119" x14ac:dyDescent="0.2">
      <c r="DO1929" s="303" t="s">
        <v>232</v>
      </c>
    </row>
    <row r="1930" spans="119:119" x14ac:dyDescent="0.2">
      <c r="DO1930" s="303" t="s">
        <v>232</v>
      </c>
    </row>
    <row r="1931" spans="119:119" x14ac:dyDescent="0.2">
      <c r="DO1931" s="303" t="s">
        <v>232</v>
      </c>
    </row>
    <row r="1932" spans="119:119" x14ac:dyDescent="0.2">
      <c r="DO1932" s="303" t="s">
        <v>232</v>
      </c>
    </row>
    <row r="1933" spans="119:119" x14ac:dyDescent="0.2">
      <c r="DO1933" s="303" t="s">
        <v>232</v>
      </c>
    </row>
    <row r="1934" spans="119:119" x14ac:dyDescent="0.2">
      <c r="DO1934" s="303" t="s">
        <v>232</v>
      </c>
    </row>
    <row r="1935" spans="119:119" x14ac:dyDescent="0.2">
      <c r="DO1935" s="303" t="s">
        <v>232</v>
      </c>
    </row>
    <row r="1936" spans="119:119" x14ac:dyDescent="0.2">
      <c r="DO1936" s="303" t="s">
        <v>232</v>
      </c>
    </row>
    <row r="1937" spans="119:119" x14ac:dyDescent="0.2">
      <c r="DO1937" s="303" t="s">
        <v>232</v>
      </c>
    </row>
    <row r="1938" spans="119:119" x14ac:dyDescent="0.2">
      <c r="DO1938" s="303" t="s">
        <v>232</v>
      </c>
    </row>
    <row r="1939" spans="119:119" x14ac:dyDescent="0.2">
      <c r="DO1939" s="303" t="s">
        <v>232</v>
      </c>
    </row>
    <row r="1940" spans="119:119" x14ac:dyDescent="0.2">
      <c r="DO1940" s="303" t="s">
        <v>232</v>
      </c>
    </row>
    <row r="1941" spans="119:119" x14ac:dyDescent="0.2">
      <c r="DO1941" s="303" t="s">
        <v>232</v>
      </c>
    </row>
    <row r="1942" spans="119:119" x14ac:dyDescent="0.2">
      <c r="DO1942" s="303" t="s">
        <v>232</v>
      </c>
    </row>
    <row r="1943" spans="119:119" x14ac:dyDescent="0.2">
      <c r="DO1943" s="303" t="s">
        <v>232</v>
      </c>
    </row>
    <row r="1944" spans="119:119" x14ac:dyDescent="0.2">
      <c r="DO1944" s="303" t="s">
        <v>232</v>
      </c>
    </row>
    <row r="1945" spans="119:119" x14ac:dyDescent="0.2">
      <c r="DO1945" s="303" t="s">
        <v>232</v>
      </c>
    </row>
    <row r="1946" spans="119:119" x14ac:dyDescent="0.2">
      <c r="DO1946" s="303" t="s">
        <v>232</v>
      </c>
    </row>
    <row r="1947" spans="119:119" x14ac:dyDescent="0.2">
      <c r="DO1947" s="303" t="s">
        <v>232</v>
      </c>
    </row>
    <row r="1948" spans="119:119" x14ac:dyDescent="0.2">
      <c r="DO1948" s="303" t="s">
        <v>232</v>
      </c>
    </row>
    <row r="1949" spans="119:119" x14ac:dyDescent="0.2">
      <c r="DO1949" s="303" t="s">
        <v>232</v>
      </c>
    </row>
    <row r="1950" spans="119:119" x14ac:dyDescent="0.2">
      <c r="DO1950" s="303" t="s">
        <v>232</v>
      </c>
    </row>
    <row r="1951" spans="119:119" x14ac:dyDescent="0.2">
      <c r="DO1951" s="303" t="s">
        <v>232</v>
      </c>
    </row>
    <row r="1952" spans="119:119" x14ac:dyDescent="0.2">
      <c r="DO1952" s="303" t="s">
        <v>232</v>
      </c>
    </row>
    <row r="1953" spans="119:119" x14ac:dyDescent="0.2">
      <c r="DO1953" s="303" t="s">
        <v>232</v>
      </c>
    </row>
    <row r="1954" spans="119:119" x14ac:dyDescent="0.2">
      <c r="DO1954" s="303" t="s">
        <v>232</v>
      </c>
    </row>
    <row r="1955" spans="119:119" x14ac:dyDescent="0.2">
      <c r="DO1955" s="303" t="s">
        <v>232</v>
      </c>
    </row>
    <row r="1956" spans="119:119" x14ac:dyDescent="0.2">
      <c r="DO1956" s="303" t="s">
        <v>232</v>
      </c>
    </row>
    <row r="1957" spans="119:119" x14ac:dyDescent="0.2">
      <c r="DO1957" s="303" t="s">
        <v>232</v>
      </c>
    </row>
    <row r="1958" spans="119:119" x14ac:dyDescent="0.2">
      <c r="DO1958" s="303" t="s">
        <v>232</v>
      </c>
    </row>
    <row r="1959" spans="119:119" x14ac:dyDescent="0.2">
      <c r="DO1959" s="303" t="s">
        <v>232</v>
      </c>
    </row>
    <row r="1960" spans="119:119" x14ac:dyDescent="0.2">
      <c r="DO1960" s="303" t="s">
        <v>232</v>
      </c>
    </row>
    <row r="1961" spans="119:119" x14ac:dyDescent="0.2">
      <c r="DO1961" s="303" t="s">
        <v>232</v>
      </c>
    </row>
    <row r="1962" spans="119:119" x14ac:dyDescent="0.2">
      <c r="DO1962" s="303" t="s">
        <v>232</v>
      </c>
    </row>
    <row r="1963" spans="119:119" x14ac:dyDescent="0.2">
      <c r="DO1963" s="303" t="s">
        <v>232</v>
      </c>
    </row>
    <row r="1964" spans="119:119" x14ac:dyDescent="0.2">
      <c r="DO1964" s="303" t="s">
        <v>232</v>
      </c>
    </row>
    <row r="1965" spans="119:119" x14ac:dyDescent="0.2">
      <c r="DO1965" s="303" t="s">
        <v>232</v>
      </c>
    </row>
    <row r="1966" spans="119:119" x14ac:dyDescent="0.2">
      <c r="DO1966" s="303" t="s">
        <v>232</v>
      </c>
    </row>
    <row r="1967" spans="119:119" x14ac:dyDescent="0.2">
      <c r="DO1967" s="303" t="s">
        <v>232</v>
      </c>
    </row>
    <row r="1968" spans="119:119" x14ac:dyDescent="0.2">
      <c r="DO1968" s="303" t="s">
        <v>232</v>
      </c>
    </row>
    <row r="1969" spans="119:119" x14ac:dyDescent="0.2">
      <c r="DO1969" s="303" t="s">
        <v>232</v>
      </c>
    </row>
    <row r="1970" spans="119:119" x14ac:dyDescent="0.2">
      <c r="DO1970" s="303" t="s">
        <v>232</v>
      </c>
    </row>
    <row r="1971" spans="119:119" x14ac:dyDescent="0.2">
      <c r="DO1971" s="303" t="s">
        <v>232</v>
      </c>
    </row>
    <row r="1972" spans="119:119" x14ac:dyDescent="0.2">
      <c r="DO1972" s="303" t="s">
        <v>232</v>
      </c>
    </row>
    <row r="1973" spans="119:119" x14ac:dyDescent="0.2">
      <c r="DO1973" s="303" t="s">
        <v>232</v>
      </c>
    </row>
    <row r="1974" spans="119:119" x14ac:dyDescent="0.2">
      <c r="DO1974" s="303" t="s">
        <v>232</v>
      </c>
    </row>
    <row r="1975" spans="119:119" x14ac:dyDescent="0.2">
      <c r="DO1975" s="303" t="s">
        <v>232</v>
      </c>
    </row>
    <row r="1976" spans="119:119" x14ac:dyDescent="0.2">
      <c r="DO1976" s="303" t="s">
        <v>232</v>
      </c>
    </row>
    <row r="1977" spans="119:119" x14ac:dyDescent="0.2">
      <c r="DO1977" s="303" t="s">
        <v>232</v>
      </c>
    </row>
    <row r="1978" spans="119:119" x14ac:dyDescent="0.2">
      <c r="DO1978" s="303" t="s">
        <v>232</v>
      </c>
    </row>
    <row r="1979" spans="119:119" x14ac:dyDescent="0.2">
      <c r="DO1979" s="303" t="s">
        <v>232</v>
      </c>
    </row>
    <row r="1980" spans="119:119" x14ac:dyDescent="0.2">
      <c r="DO1980" s="303" t="s">
        <v>232</v>
      </c>
    </row>
    <row r="1981" spans="119:119" x14ac:dyDescent="0.2">
      <c r="DO1981" s="303" t="s">
        <v>232</v>
      </c>
    </row>
    <row r="1982" spans="119:119" x14ac:dyDescent="0.2">
      <c r="DO1982" s="303" t="s">
        <v>232</v>
      </c>
    </row>
    <row r="1983" spans="119:119" x14ac:dyDescent="0.2">
      <c r="DO1983" s="303" t="s">
        <v>232</v>
      </c>
    </row>
    <row r="1984" spans="119:119" x14ac:dyDescent="0.2">
      <c r="DO1984" s="303" t="s">
        <v>232</v>
      </c>
    </row>
    <row r="1985" spans="119:119" x14ac:dyDescent="0.2">
      <c r="DO1985" s="303" t="s">
        <v>232</v>
      </c>
    </row>
    <row r="1986" spans="119:119" x14ac:dyDescent="0.2">
      <c r="DO1986" s="303" t="s">
        <v>232</v>
      </c>
    </row>
    <row r="1987" spans="119:119" x14ac:dyDescent="0.2">
      <c r="DO1987" s="303" t="s">
        <v>232</v>
      </c>
    </row>
    <row r="1988" spans="119:119" x14ac:dyDescent="0.2">
      <c r="DO1988" s="303" t="s">
        <v>232</v>
      </c>
    </row>
    <row r="1989" spans="119:119" x14ac:dyDescent="0.2">
      <c r="DO1989" s="303" t="s">
        <v>232</v>
      </c>
    </row>
    <row r="1990" spans="119:119" x14ac:dyDescent="0.2">
      <c r="DO1990" s="303" t="s">
        <v>232</v>
      </c>
    </row>
    <row r="1991" spans="119:119" x14ac:dyDescent="0.2">
      <c r="DO1991" s="303" t="s">
        <v>232</v>
      </c>
    </row>
    <row r="1992" spans="119:119" x14ac:dyDescent="0.2">
      <c r="DO1992" s="303" t="s">
        <v>232</v>
      </c>
    </row>
    <row r="1993" spans="119:119" x14ac:dyDescent="0.2">
      <c r="DO1993" s="303" t="s">
        <v>232</v>
      </c>
    </row>
    <row r="1994" spans="119:119" x14ac:dyDescent="0.2">
      <c r="DO1994" s="303" t="s">
        <v>232</v>
      </c>
    </row>
    <row r="1995" spans="119:119" x14ac:dyDescent="0.2">
      <c r="DO1995" s="303" t="s">
        <v>232</v>
      </c>
    </row>
    <row r="1996" spans="119:119" x14ac:dyDescent="0.2">
      <c r="DO1996" s="303" t="s">
        <v>232</v>
      </c>
    </row>
    <row r="1997" spans="119:119" x14ac:dyDescent="0.2">
      <c r="DO1997" s="303" t="s">
        <v>232</v>
      </c>
    </row>
    <row r="1998" spans="119:119" x14ac:dyDescent="0.2">
      <c r="DO1998" s="303" t="s">
        <v>232</v>
      </c>
    </row>
    <row r="1999" spans="119:119" x14ac:dyDescent="0.2">
      <c r="DO1999" s="303" t="s">
        <v>232</v>
      </c>
    </row>
    <row r="2000" spans="119:119" x14ac:dyDescent="0.2">
      <c r="DO2000" s="303" t="s">
        <v>232</v>
      </c>
    </row>
    <row r="2001" spans="119:119" x14ac:dyDescent="0.2">
      <c r="DO2001" s="303" t="s">
        <v>232</v>
      </c>
    </row>
    <row r="2002" spans="119:119" x14ac:dyDescent="0.2">
      <c r="DO2002" s="303" t="s">
        <v>232</v>
      </c>
    </row>
    <row r="2003" spans="119:119" x14ac:dyDescent="0.2">
      <c r="DO2003" s="303" t="s">
        <v>232</v>
      </c>
    </row>
    <row r="2004" spans="119:119" x14ac:dyDescent="0.2">
      <c r="DO2004" s="303" t="s">
        <v>232</v>
      </c>
    </row>
    <row r="2005" spans="119:119" x14ac:dyDescent="0.2">
      <c r="DO2005" s="303" t="s">
        <v>232</v>
      </c>
    </row>
    <row r="2006" spans="119:119" x14ac:dyDescent="0.2">
      <c r="DO2006" s="303" t="s">
        <v>232</v>
      </c>
    </row>
    <row r="2007" spans="119:119" x14ac:dyDescent="0.2">
      <c r="DO2007" s="303" t="s">
        <v>232</v>
      </c>
    </row>
    <row r="2008" spans="119:119" x14ac:dyDescent="0.2">
      <c r="DO2008" s="303" t="s">
        <v>232</v>
      </c>
    </row>
    <row r="2009" spans="119:119" x14ac:dyDescent="0.2">
      <c r="DO2009" s="303" t="s">
        <v>232</v>
      </c>
    </row>
    <row r="2010" spans="119:119" x14ac:dyDescent="0.2">
      <c r="DO2010" s="303" t="s">
        <v>232</v>
      </c>
    </row>
    <row r="2011" spans="119:119" x14ac:dyDescent="0.2">
      <c r="DO2011" s="303" t="s">
        <v>232</v>
      </c>
    </row>
    <row r="2012" spans="119:119" x14ac:dyDescent="0.2">
      <c r="DO2012" s="303" t="s">
        <v>232</v>
      </c>
    </row>
    <row r="2013" spans="119:119" x14ac:dyDescent="0.2">
      <c r="DO2013" s="303" t="s">
        <v>232</v>
      </c>
    </row>
    <row r="2014" spans="119:119" x14ac:dyDescent="0.2">
      <c r="DO2014" s="303" t="s">
        <v>232</v>
      </c>
    </row>
    <row r="2015" spans="119:119" x14ac:dyDescent="0.2">
      <c r="DO2015" s="303" t="s">
        <v>232</v>
      </c>
    </row>
    <row r="2016" spans="119:119" x14ac:dyDescent="0.2">
      <c r="DO2016" s="303" t="s">
        <v>232</v>
      </c>
    </row>
    <row r="2017" spans="119:119" x14ac:dyDescent="0.2">
      <c r="DO2017" s="303" t="s">
        <v>232</v>
      </c>
    </row>
    <row r="2018" spans="119:119" x14ac:dyDescent="0.2">
      <c r="DO2018" s="303" t="s">
        <v>232</v>
      </c>
    </row>
    <row r="2019" spans="119:119" x14ac:dyDescent="0.2">
      <c r="DO2019" s="303" t="s">
        <v>232</v>
      </c>
    </row>
    <row r="2020" spans="119:119" x14ac:dyDescent="0.2">
      <c r="DO2020" s="303" t="s">
        <v>232</v>
      </c>
    </row>
    <row r="2021" spans="119:119" x14ac:dyDescent="0.2">
      <c r="DO2021" s="303" t="s">
        <v>232</v>
      </c>
    </row>
    <row r="2022" spans="119:119" x14ac:dyDescent="0.2">
      <c r="DO2022" s="303" t="s">
        <v>232</v>
      </c>
    </row>
    <row r="2023" spans="119:119" x14ac:dyDescent="0.2">
      <c r="DO2023" s="303" t="s">
        <v>232</v>
      </c>
    </row>
    <row r="2024" spans="119:119" x14ac:dyDescent="0.2">
      <c r="DO2024" s="303" t="s">
        <v>232</v>
      </c>
    </row>
    <row r="2025" spans="119:119" x14ac:dyDescent="0.2">
      <c r="DO2025" s="303" t="s">
        <v>232</v>
      </c>
    </row>
    <row r="2026" spans="119:119" x14ac:dyDescent="0.2">
      <c r="DO2026" s="303" t="s">
        <v>232</v>
      </c>
    </row>
    <row r="2027" spans="119:119" x14ac:dyDescent="0.2">
      <c r="DO2027" s="303" t="s">
        <v>232</v>
      </c>
    </row>
    <row r="2028" spans="119:119" x14ac:dyDescent="0.2">
      <c r="DO2028" s="303" t="s">
        <v>232</v>
      </c>
    </row>
    <row r="2029" spans="119:119" x14ac:dyDescent="0.2">
      <c r="DO2029" s="303" t="s">
        <v>232</v>
      </c>
    </row>
    <row r="2030" spans="119:119" x14ac:dyDescent="0.2">
      <c r="DO2030" s="303" t="s">
        <v>232</v>
      </c>
    </row>
    <row r="2031" spans="119:119" x14ac:dyDescent="0.2">
      <c r="DO2031" s="303" t="s">
        <v>232</v>
      </c>
    </row>
    <row r="2032" spans="119:119" x14ac:dyDescent="0.2">
      <c r="DO2032" s="303" t="s">
        <v>232</v>
      </c>
    </row>
    <row r="2033" spans="119:119" x14ac:dyDescent="0.2">
      <c r="DO2033" s="303" t="s">
        <v>232</v>
      </c>
    </row>
    <row r="2034" spans="119:119" x14ac:dyDescent="0.2">
      <c r="DO2034" s="303" t="s">
        <v>232</v>
      </c>
    </row>
    <row r="2035" spans="119:119" x14ac:dyDescent="0.2">
      <c r="DO2035" s="303" t="s">
        <v>232</v>
      </c>
    </row>
    <row r="2036" spans="119:119" x14ac:dyDescent="0.2">
      <c r="DO2036" s="303" t="s">
        <v>232</v>
      </c>
    </row>
    <row r="2037" spans="119:119" x14ac:dyDescent="0.2">
      <c r="DO2037" s="303" t="s">
        <v>232</v>
      </c>
    </row>
    <row r="2038" spans="119:119" x14ac:dyDescent="0.2">
      <c r="DO2038" s="303" t="s">
        <v>232</v>
      </c>
    </row>
    <row r="2039" spans="119:119" x14ac:dyDescent="0.2">
      <c r="DO2039" s="303" t="s">
        <v>232</v>
      </c>
    </row>
    <row r="2040" spans="119:119" x14ac:dyDescent="0.2">
      <c r="DO2040" s="303" t="s">
        <v>232</v>
      </c>
    </row>
    <row r="2041" spans="119:119" x14ac:dyDescent="0.2">
      <c r="DO2041" s="303" t="s">
        <v>232</v>
      </c>
    </row>
    <row r="2042" spans="119:119" x14ac:dyDescent="0.2">
      <c r="DO2042" s="303" t="s">
        <v>232</v>
      </c>
    </row>
    <row r="2043" spans="119:119" x14ac:dyDescent="0.2">
      <c r="DO2043" s="303" t="s">
        <v>232</v>
      </c>
    </row>
    <row r="2044" spans="119:119" x14ac:dyDescent="0.2">
      <c r="DO2044" s="303" t="s">
        <v>232</v>
      </c>
    </row>
    <row r="2045" spans="119:119" x14ac:dyDescent="0.2">
      <c r="DO2045" s="303" t="s">
        <v>232</v>
      </c>
    </row>
    <row r="2046" spans="119:119" x14ac:dyDescent="0.2">
      <c r="DO2046" s="303" t="s">
        <v>232</v>
      </c>
    </row>
    <row r="2047" spans="119:119" x14ac:dyDescent="0.2">
      <c r="DO2047" s="303" t="s">
        <v>232</v>
      </c>
    </row>
    <row r="2048" spans="119:119" x14ac:dyDescent="0.2">
      <c r="DO2048" s="303" t="s">
        <v>232</v>
      </c>
    </row>
    <row r="2049" spans="119:119" x14ac:dyDescent="0.2">
      <c r="DO2049" s="303" t="s">
        <v>232</v>
      </c>
    </row>
    <row r="2050" spans="119:119" x14ac:dyDescent="0.2">
      <c r="DO2050" s="303" t="s">
        <v>232</v>
      </c>
    </row>
    <row r="2051" spans="119:119" x14ac:dyDescent="0.2">
      <c r="DO2051" s="303" t="s">
        <v>232</v>
      </c>
    </row>
    <row r="2052" spans="119:119" x14ac:dyDescent="0.2">
      <c r="DO2052" s="303" t="s">
        <v>232</v>
      </c>
    </row>
    <row r="2053" spans="119:119" x14ac:dyDescent="0.2">
      <c r="DO2053" s="303" t="s">
        <v>232</v>
      </c>
    </row>
    <row r="2054" spans="119:119" x14ac:dyDescent="0.2">
      <c r="DO2054" s="303" t="s">
        <v>232</v>
      </c>
    </row>
    <row r="2055" spans="119:119" x14ac:dyDescent="0.2">
      <c r="DO2055" s="303" t="s">
        <v>232</v>
      </c>
    </row>
    <row r="2056" spans="119:119" x14ac:dyDescent="0.2">
      <c r="DO2056" s="303" t="s">
        <v>232</v>
      </c>
    </row>
    <row r="2057" spans="119:119" x14ac:dyDescent="0.2">
      <c r="DO2057" s="303" t="s">
        <v>232</v>
      </c>
    </row>
    <row r="2058" spans="119:119" x14ac:dyDescent="0.2">
      <c r="DO2058" s="303" t="s">
        <v>232</v>
      </c>
    </row>
    <row r="2059" spans="119:119" x14ac:dyDescent="0.2">
      <c r="DO2059" s="303" t="s">
        <v>232</v>
      </c>
    </row>
    <row r="2060" spans="119:119" x14ac:dyDescent="0.2">
      <c r="DO2060" s="303" t="s">
        <v>232</v>
      </c>
    </row>
    <row r="2061" spans="119:119" x14ac:dyDescent="0.2">
      <c r="DO2061" s="303" t="s">
        <v>232</v>
      </c>
    </row>
    <row r="2062" spans="119:119" x14ac:dyDescent="0.2">
      <c r="DO2062" s="303" t="s">
        <v>232</v>
      </c>
    </row>
    <row r="2063" spans="119:119" x14ac:dyDescent="0.2">
      <c r="DO2063" s="303" t="s">
        <v>232</v>
      </c>
    </row>
    <row r="2064" spans="119:119" x14ac:dyDescent="0.2">
      <c r="DO2064" s="303" t="s">
        <v>232</v>
      </c>
    </row>
    <row r="2065" spans="119:119" x14ac:dyDescent="0.2">
      <c r="DO2065" s="303" t="s">
        <v>232</v>
      </c>
    </row>
    <row r="2066" spans="119:119" x14ac:dyDescent="0.2">
      <c r="DO2066" s="303" t="s">
        <v>232</v>
      </c>
    </row>
    <row r="2067" spans="119:119" x14ac:dyDescent="0.2">
      <c r="DO2067" s="303" t="s">
        <v>232</v>
      </c>
    </row>
    <row r="2068" spans="119:119" x14ac:dyDescent="0.2">
      <c r="DO2068" s="303" t="s">
        <v>232</v>
      </c>
    </row>
    <row r="2069" spans="119:119" x14ac:dyDescent="0.2">
      <c r="DO2069" s="303" t="s">
        <v>232</v>
      </c>
    </row>
    <row r="2070" spans="119:119" x14ac:dyDescent="0.2">
      <c r="DO2070" s="303" t="s">
        <v>232</v>
      </c>
    </row>
    <row r="2071" spans="119:119" x14ac:dyDescent="0.2">
      <c r="DO2071" s="303" t="s">
        <v>232</v>
      </c>
    </row>
    <row r="2072" spans="119:119" x14ac:dyDescent="0.2">
      <c r="DO2072" s="303" t="s">
        <v>232</v>
      </c>
    </row>
    <row r="2073" spans="119:119" x14ac:dyDescent="0.2">
      <c r="DO2073" s="303" t="s">
        <v>232</v>
      </c>
    </row>
    <row r="2074" spans="119:119" x14ac:dyDescent="0.2">
      <c r="DO2074" s="303" t="s">
        <v>232</v>
      </c>
    </row>
    <row r="2075" spans="119:119" x14ac:dyDescent="0.2">
      <c r="DO2075" s="303" t="s">
        <v>232</v>
      </c>
    </row>
    <row r="2076" spans="119:119" x14ac:dyDescent="0.2">
      <c r="DO2076" s="303" t="s">
        <v>232</v>
      </c>
    </row>
    <row r="2077" spans="119:119" x14ac:dyDescent="0.2">
      <c r="DO2077" s="303" t="s">
        <v>232</v>
      </c>
    </row>
    <row r="2078" spans="119:119" x14ac:dyDescent="0.2">
      <c r="DO2078" s="303" t="s">
        <v>232</v>
      </c>
    </row>
    <row r="2079" spans="119:119" x14ac:dyDescent="0.2">
      <c r="DO2079" s="303" t="s">
        <v>232</v>
      </c>
    </row>
    <row r="2080" spans="119:119" x14ac:dyDescent="0.2">
      <c r="DO2080" s="303" t="s">
        <v>232</v>
      </c>
    </row>
    <row r="2081" spans="119:119" x14ac:dyDescent="0.2">
      <c r="DO2081" s="303" t="s">
        <v>232</v>
      </c>
    </row>
    <row r="2082" spans="119:119" x14ac:dyDescent="0.2">
      <c r="DO2082" s="303" t="s">
        <v>232</v>
      </c>
    </row>
    <row r="2083" spans="119:119" x14ac:dyDescent="0.2">
      <c r="DO2083" s="303" t="s">
        <v>232</v>
      </c>
    </row>
    <row r="2084" spans="119:119" x14ac:dyDescent="0.2">
      <c r="DO2084" s="303" t="s">
        <v>232</v>
      </c>
    </row>
    <row r="2085" spans="119:119" x14ac:dyDescent="0.2">
      <c r="DO2085" s="303" t="s">
        <v>232</v>
      </c>
    </row>
    <row r="2086" spans="119:119" x14ac:dyDescent="0.2">
      <c r="DO2086" s="303" t="s">
        <v>232</v>
      </c>
    </row>
    <row r="2087" spans="119:119" x14ac:dyDescent="0.2">
      <c r="DO2087" s="303" t="s">
        <v>232</v>
      </c>
    </row>
    <row r="2088" spans="119:119" x14ac:dyDescent="0.2">
      <c r="DO2088" s="303" t="s">
        <v>232</v>
      </c>
    </row>
    <row r="2089" spans="119:119" x14ac:dyDescent="0.2">
      <c r="DO2089" s="303" t="s">
        <v>232</v>
      </c>
    </row>
    <row r="2090" spans="119:119" x14ac:dyDescent="0.2">
      <c r="DO2090" s="303" t="s">
        <v>232</v>
      </c>
    </row>
    <row r="2091" spans="119:119" x14ac:dyDescent="0.2">
      <c r="DO2091" s="303" t="s">
        <v>232</v>
      </c>
    </row>
    <row r="2092" spans="119:119" x14ac:dyDescent="0.2">
      <c r="DO2092" s="303" t="s">
        <v>232</v>
      </c>
    </row>
    <row r="2093" spans="119:119" x14ac:dyDescent="0.2">
      <c r="DO2093" s="303" t="s">
        <v>232</v>
      </c>
    </row>
    <row r="2094" spans="119:119" x14ac:dyDescent="0.2">
      <c r="DO2094" s="303" t="s">
        <v>232</v>
      </c>
    </row>
    <row r="2095" spans="119:119" x14ac:dyDescent="0.2">
      <c r="DO2095" s="303" t="s">
        <v>232</v>
      </c>
    </row>
    <row r="2096" spans="119:119" x14ac:dyDescent="0.2">
      <c r="DO2096" s="303" t="s">
        <v>232</v>
      </c>
    </row>
    <row r="2097" spans="119:119" x14ac:dyDescent="0.2">
      <c r="DO2097" s="303" t="s">
        <v>232</v>
      </c>
    </row>
    <row r="2098" spans="119:119" x14ac:dyDescent="0.2">
      <c r="DO2098" s="303" t="s">
        <v>232</v>
      </c>
    </row>
    <row r="2099" spans="119:119" x14ac:dyDescent="0.2">
      <c r="DO2099" s="303" t="s">
        <v>232</v>
      </c>
    </row>
    <row r="2100" spans="119:119" x14ac:dyDescent="0.2">
      <c r="DO2100" s="303" t="s">
        <v>232</v>
      </c>
    </row>
    <row r="2101" spans="119:119" x14ac:dyDescent="0.2">
      <c r="DO2101" s="303" t="s">
        <v>232</v>
      </c>
    </row>
    <row r="2102" spans="119:119" x14ac:dyDescent="0.2">
      <c r="DO2102" s="303" t="s">
        <v>232</v>
      </c>
    </row>
    <row r="2103" spans="119:119" x14ac:dyDescent="0.2">
      <c r="DO2103" s="303" t="s">
        <v>232</v>
      </c>
    </row>
    <row r="2104" spans="119:119" x14ac:dyDescent="0.2">
      <c r="DO2104" s="303" t="s">
        <v>232</v>
      </c>
    </row>
    <row r="2105" spans="119:119" x14ac:dyDescent="0.2">
      <c r="DO2105" s="303" t="s">
        <v>232</v>
      </c>
    </row>
    <row r="2106" spans="119:119" x14ac:dyDescent="0.2">
      <c r="DO2106" s="303" t="s">
        <v>232</v>
      </c>
    </row>
    <row r="2107" spans="119:119" x14ac:dyDescent="0.2">
      <c r="DO2107" s="303" t="s">
        <v>232</v>
      </c>
    </row>
    <row r="2108" spans="119:119" x14ac:dyDescent="0.2">
      <c r="DO2108" s="303" t="s">
        <v>232</v>
      </c>
    </row>
    <row r="2109" spans="119:119" x14ac:dyDescent="0.2">
      <c r="DO2109" s="303" t="s">
        <v>232</v>
      </c>
    </row>
    <row r="2110" spans="119:119" x14ac:dyDescent="0.2">
      <c r="DO2110" s="303" t="s">
        <v>232</v>
      </c>
    </row>
    <row r="2111" spans="119:119" x14ac:dyDescent="0.2">
      <c r="DO2111" s="303" t="s">
        <v>232</v>
      </c>
    </row>
    <row r="2112" spans="119:119" x14ac:dyDescent="0.2">
      <c r="DO2112" s="303" t="s">
        <v>232</v>
      </c>
    </row>
    <row r="2113" spans="119:119" x14ac:dyDescent="0.2">
      <c r="DO2113" s="303" t="s">
        <v>232</v>
      </c>
    </row>
    <row r="2114" spans="119:119" x14ac:dyDescent="0.2">
      <c r="DO2114" s="303" t="s">
        <v>232</v>
      </c>
    </row>
    <row r="2115" spans="119:119" x14ac:dyDescent="0.2">
      <c r="DO2115" s="303" t="s">
        <v>232</v>
      </c>
    </row>
    <row r="2116" spans="119:119" x14ac:dyDescent="0.2">
      <c r="DO2116" s="303" t="s">
        <v>232</v>
      </c>
    </row>
    <row r="2117" spans="119:119" x14ac:dyDescent="0.2">
      <c r="DO2117" s="303" t="s">
        <v>232</v>
      </c>
    </row>
    <row r="2118" spans="119:119" x14ac:dyDescent="0.2">
      <c r="DO2118" s="303" t="s">
        <v>232</v>
      </c>
    </row>
    <row r="2119" spans="119:119" x14ac:dyDescent="0.2">
      <c r="DO2119" s="303" t="s">
        <v>232</v>
      </c>
    </row>
    <row r="2120" spans="119:119" x14ac:dyDescent="0.2">
      <c r="DO2120" s="303" t="s">
        <v>232</v>
      </c>
    </row>
    <row r="2121" spans="119:119" x14ac:dyDescent="0.2">
      <c r="DO2121" s="303" t="s">
        <v>232</v>
      </c>
    </row>
    <row r="2122" spans="119:119" x14ac:dyDescent="0.2">
      <c r="DO2122" s="303" t="s">
        <v>232</v>
      </c>
    </row>
    <row r="2123" spans="119:119" x14ac:dyDescent="0.2">
      <c r="DO2123" s="303" t="s">
        <v>232</v>
      </c>
    </row>
    <row r="2124" spans="119:119" x14ac:dyDescent="0.2">
      <c r="DO2124" s="303" t="s">
        <v>232</v>
      </c>
    </row>
    <row r="2125" spans="119:119" x14ac:dyDescent="0.2">
      <c r="DO2125" s="303" t="s">
        <v>232</v>
      </c>
    </row>
    <row r="2126" spans="119:119" x14ac:dyDescent="0.2">
      <c r="DO2126" s="303" t="s">
        <v>232</v>
      </c>
    </row>
    <row r="2127" spans="119:119" x14ac:dyDescent="0.2">
      <c r="DO2127" s="303" t="s">
        <v>232</v>
      </c>
    </row>
    <row r="2128" spans="119:119" x14ac:dyDescent="0.2">
      <c r="DO2128" s="303" t="s">
        <v>232</v>
      </c>
    </row>
    <row r="2129" spans="119:119" x14ac:dyDescent="0.2">
      <c r="DO2129" s="303" t="s">
        <v>232</v>
      </c>
    </row>
    <row r="2130" spans="119:119" x14ac:dyDescent="0.2">
      <c r="DO2130" s="303" t="s">
        <v>232</v>
      </c>
    </row>
    <row r="2131" spans="119:119" x14ac:dyDescent="0.2">
      <c r="DO2131" s="303" t="s">
        <v>232</v>
      </c>
    </row>
    <row r="2132" spans="119:119" x14ac:dyDescent="0.2">
      <c r="DO2132" s="303" t="s">
        <v>232</v>
      </c>
    </row>
    <row r="2133" spans="119:119" x14ac:dyDescent="0.2">
      <c r="DO2133" s="303" t="s">
        <v>232</v>
      </c>
    </row>
    <row r="2134" spans="119:119" x14ac:dyDescent="0.2">
      <c r="DO2134" s="303" t="s">
        <v>232</v>
      </c>
    </row>
    <row r="2135" spans="119:119" x14ac:dyDescent="0.2">
      <c r="DO2135" s="303" t="s">
        <v>232</v>
      </c>
    </row>
    <row r="2136" spans="119:119" x14ac:dyDescent="0.2">
      <c r="DO2136" s="303" t="s">
        <v>232</v>
      </c>
    </row>
    <row r="2137" spans="119:119" x14ac:dyDescent="0.2">
      <c r="DO2137" s="303" t="s">
        <v>232</v>
      </c>
    </row>
    <row r="2138" spans="119:119" x14ac:dyDescent="0.2">
      <c r="DO2138" s="303" t="s">
        <v>232</v>
      </c>
    </row>
    <row r="2139" spans="119:119" x14ac:dyDescent="0.2">
      <c r="DO2139" s="303" t="s">
        <v>232</v>
      </c>
    </row>
    <row r="2140" spans="119:119" x14ac:dyDescent="0.2">
      <c r="DO2140" s="303" t="s">
        <v>232</v>
      </c>
    </row>
    <row r="2141" spans="119:119" x14ac:dyDescent="0.2">
      <c r="DO2141" s="303" t="s">
        <v>232</v>
      </c>
    </row>
    <row r="2142" spans="119:119" x14ac:dyDescent="0.2">
      <c r="DO2142" s="303" t="s">
        <v>232</v>
      </c>
    </row>
    <row r="2143" spans="119:119" x14ac:dyDescent="0.2">
      <c r="DO2143" s="303" t="s">
        <v>232</v>
      </c>
    </row>
    <row r="2144" spans="119:119" x14ac:dyDescent="0.2">
      <c r="DO2144" s="303" t="s">
        <v>232</v>
      </c>
    </row>
    <row r="2145" spans="119:119" x14ac:dyDescent="0.2">
      <c r="DO2145" s="303" t="s">
        <v>232</v>
      </c>
    </row>
    <row r="2146" spans="119:119" x14ac:dyDescent="0.2">
      <c r="DO2146" s="303" t="s">
        <v>232</v>
      </c>
    </row>
    <row r="2147" spans="119:119" x14ac:dyDescent="0.2">
      <c r="DO2147" s="303" t="s">
        <v>232</v>
      </c>
    </row>
    <row r="2148" spans="119:119" x14ac:dyDescent="0.2">
      <c r="DO2148" s="303" t="s">
        <v>232</v>
      </c>
    </row>
    <row r="2149" spans="119:119" x14ac:dyDescent="0.2">
      <c r="DO2149" s="303" t="s">
        <v>232</v>
      </c>
    </row>
    <row r="2150" spans="119:119" x14ac:dyDescent="0.2">
      <c r="DO2150" s="303" t="s">
        <v>232</v>
      </c>
    </row>
    <row r="2151" spans="119:119" x14ac:dyDescent="0.2">
      <c r="DO2151" s="303" t="s">
        <v>232</v>
      </c>
    </row>
    <row r="2152" spans="119:119" x14ac:dyDescent="0.2">
      <c r="DO2152" s="303" t="s">
        <v>232</v>
      </c>
    </row>
    <row r="2153" spans="119:119" x14ac:dyDescent="0.2">
      <c r="DO2153" s="303" t="s">
        <v>232</v>
      </c>
    </row>
    <row r="2154" spans="119:119" x14ac:dyDescent="0.2">
      <c r="DO2154" s="303" t="s">
        <v>232</v>
      </c>
    </row>
    <row r="2155" spans="119:119" x14ac:dyDescent="0.2">
      <c r="DO2155" s="303" t="s">
        <v>232</v>
      </c>
    </row>
    <row r="2156" spans="119:119" x14ac:dyDescent="0.2">
      <c r="DO2156" s="303" t="s">
        <v>232</v>
      </c>
    </row>
    <row r="2157" spans="119:119" x14ac:dyDescent="0.2">
      <c r="DO2157" s="303" t="s">
        <v>232</v>
      </c>
    </row>
    <row r="2158" spans="119:119" x14ac:dyDescent="0.2">
      <c r="DO2158" s="303" t="s">
        <v>232</v>
      </c>
    </row>
    <row r="2159" spans="119:119" x14ac:dyDescent="0.2">
      <c r="DO2159" s="303" t="s">
        <v>232</v>
      </c>
    </row>
    <row r="2160" spans="119:119" x14ac:dyDescent="0.2">
      <c r="DO2160" s="303" t="s">
        <v>232</v>
      </c>
    </row>
    <row r="2161" spans="119:119" x14ac:dyDescent="0.2">
      <c r="DO2161" s="303" t="s">
        <v>232</v>
      </c>
    </row>
    <row r="2162" spans="119:119" x14ac:dyDescent="0.2">
      <c r="DO2162" s="303" t="s">
        <v>232</v>
      </c>
    </row>
    <row r="2163" spans="119:119" x14ac:dyDescent="0.2">
      <c r="DO2163" s="303" t="s">
        <v>232</v>
      </c>
    </row>
    <row r="2164" spans="119:119" x14ac:dyDescent="0.2">
      <c r="DO2164" s="303" t="s">
        <v>232</v>
      </c>
    </row>
    <row r="2165" spans="119:119" x14ac:dyDescent="0.2">
      <c r="DO2165" s="303" t="s">
        <v>232</v>
      </c>
    </row>
    <row r="2166" spans="119:119" x14ac:dyDescent="0.2">
      <c r="DO2166" s="303" t="s">
        <v>232</v>
      </c>
    </row>
    <row r="2167" spans="119:119" x14ac:dyDescent="0.2">
      <c r="DO2167" s="303" t="s">
        <v>232</v>
      </c>
    </row>
    <row r="2168" spans="119:119" x14ac:dyDescent="0.2">
      <c r="DO2168" s="303" t="s">
        <v>232</v>
      </c>
    </row>
    <row r="2169" spans="119:119" x14ac:dyDescent="0.2">
      <c r="DO2169" s="303" t="s">
        <v>232</v>
      </c>
    </row>
    <row r="2170" spans="119:119" x14ac:dyDescent="0.2">
      <c r="DO2170" s="303" t="s">
        <v>232</v>
      </c>
    </row>
    <row r="2171" spans="119:119" x14ac:dyDescent="0.2">
      <c r="DO2171" s="303" t="s">
        <v>232</v>
      </c>
    </row>
    <row r="2172" spans="119:119" x14ac:dyDescent="0.2">
      <c r="DO2172" s="303" t="s">
        <v>232</v>
      </c>
    </row>
    <row r="2173" spans="119:119" x14ac:dyDescent="0.2">
      <c r="DO2173" s="303" t="s">
        <v>232</v>
      </c>
    </row>
    <row r="2174" spans="119:119" x14ac:dyDescent="0.2">
      <c r="DO2174" s="303" t="s">
        <v>232</v>
      </c>
    </row>
    <row r="2175" spans="119:119" x14ac:dyDescent="0.2">
      <c r="DO2175" s="303" t="s">
        <v>232</v>
      </c>
    </row>
    <row r="2176" spans="119:119" x14ac:dyDescent="0.2">
      <c r="DO2176" s="303" t="s">
        <v>232</v>
      </c>
    </row>
    <row r="2177" spans="119:119" x14ac:dyDescent="0.2">
      <c r="DO2177" s="303" t="s">
        <v>232</v>
      </c>
    </row>
    <row r="2178" spans="119:119" x14ac:dyDescent="0.2">
      <c r="DO2178" s="303" t="s">
        <v>232</v>
      </c>
    </row>
    <row r="2179" spans="119:119" x14ac:dyDescent="0.2">
      <c r="DO2179" s="303" t="s">
        <v>232</v>
      </c>
    </row>
    <row r="2180" spans="119:119" x14ac:dyDescent="0.2">
      <c r="DO2180" s="303" t="s">
        <v>232</v>
      </c>
    </row>
    <row r="2181" spans="119:119" x14ac:dyDescent="0.2">
      <c r="DO2181" s="303" t="s">
        <v>232</v>
      </c>
    </row>
    <row r="2182" spans="119:119" x14ac:dyDescent="0.2">
      <c r="DO2182" s="303" t="s">
        <v>232</v>
      </c>
    </row>
    <row r="2183" spans="119:119" x14ac:dyDescent="0.2">
      <c r="DO2183" s="303" t="s">
        <v>232</v>
      </c>
    </row>
    <row r="2184" spans="119:119" x14ac:dyDescent="0.2">
      <c r="DO2184" s="303" t="s">
        <v>232</v>
      </c>
    </row>
    <row r="2185" spans="119:119" x14ac:dyDescent="0.2">
      <c r="DO2185" s="303" t="s">
        <v>232</v>
      </c>
    </row>
    <row r="2186" spans="119:119" x14ac:dyDescent="0.2">
      <c r="DO2186" s="303" t="s">
        <v>232</v>
      </c>
    </row>
    <row r="2187" spans="119:119" x14ac:dyDescent="0.2">
      <c r="DO2187" s="303" t="s">
        <v>232</v>
      </c>
    </row>
    <row r="2188" spans="119:119" x14ac:dyDescent="0.2">
      <c r="DO2188" s="303" t="s">
        <v>232</v>
      </c>
    </row>
    <row r="2189" spans="119:119" x14ac:dyDescent="0.2">
      <c r="DO2189" s="303" t="s">
        <v>232</v>
      </c>
    </row>
    <row r="2190" spans="119:119" x14ac:dyDescent="0.2">
      <c r="DO2190" s="303" t="s">
        <v>232</v>
      </c>
    </row>
    <row r="2191" spans="119:119" x14ac:dyDescent="0.2">
      <c r="DO2191" s="303" t="s">
        <v>232</v>
      </c>
    </row>
    <row r="2192" spans="119:119" x14ac:dyDescent="0.2">
      <c r="DO2192" s="303" t="s">
        <v>232</v>
      </c>
    </row>
    <row r="2193" spans="119:119" x14ac:dyDescent="0.2">
      <c r="DO2193" s="303" t="s">
        <v>232</v>
      </c>
    </row>
    <row r="2194" spans="119:119" x14ac:dyDescent="0.2">
      <c r="DO2194" s="303" t="s">
        <v>232</v>
      </c>
    </row>
    <row r="2195" spans="119:119" x14ac:dyDescent="0.2">
      <c r="DO2195" s="303" t="s">
        <v>232</v>
      </c>
    </row>
    <row r="2196" spans="119:119" x14ac:dyDescent="0.2">
      <c r="DO2196" s="303" t="s">
        <v>232</v>
      </c>
    </row>
    <row r="2197" spans="119:119" x14ac:dyDescent="0.2">
      <c r="DO2197" s="303" t="s">
        <v>232</v>
      </c>
    </row>
    <row r="2198" spans="119:119" x14ac:dyDescent="0.2">
      <c r="DO2198" s="303" t="s">
        <v>232</v>
      </c>
    </row>
    <row r="2199" spans="119:119" x14ac:dyDescent="0.2">
      <c r="DO2199" s="303" t="s">
        <v>232</v>
      </c>
    </row>
    <row r="2200" spans="119:119" x14ac:dyDescent="0.2">
      <c r="DO2200" s="303" t="s">
        <v>232</v>
      </c>
    </row>
    <row r="2201" spans="119:119" x14ac:dyDescent="0.2">
      <c r="DO2201" s="303" t="s">
        <v>232</v>
      </c>
    </row>
    <row r="2202" spans="119:119" x14ac:dyDescent="0.2">
      <c r="DO2202" s="303" t="s">
        <v>232</v>
      </c>
    </row>
    <row r="2203" spans="119:119" x14ac:dyDescent="0.2">
      <c r="DO2203" s="303" t="s">
        <v>232</v>
      </c>
    </row>
    <row r="2204" spans="119:119" x14ac:dyDescent="0.2">
      <c r="DO2204" s="303" t="s">
        <v>232</v>
      </c>
    </row>
    <row r="2205" spans="119:119" x14ac:dyDescent="0.2">
      <c r="DO2205" s="303" t="s">
        <v>232</v>
      </c>
    </row>
    <row r="2206" spans="119:119" x14ac:dyDescent="0.2">
      <c r="DO2206" s="303" t="s">
        <v>232</v>
      </c>
    </row>
    <row r="2207" spans="119:119" x14ac:dyDescent="0.2">
      <c r="DO2207" s="303" t="s">
        <v>232</v>
      </c>
    </row>
    <row r="2208" spans="119:119" x14ac:dyDescent="0.2">
      <c r="DO2208" s="303" t="s">
        <v>232</v>
      </c>
    </row>
    <row r="2209" spans="119:119" x14ac:dyDescent="0.2">
      <c r="DO2209" s="303" t="s">
        <v>232</v>
      </c>
    </row>
    <row r="2210" spans="119:119" x14ac:dyDescent="0.2">
      <c r="DO2210" s="303" t="s">
        <v>232</v>
      </c>
    </row>
    <row r="2211" spans="119:119" x14ac:dyDescent="0.2">
      <c r="DO2211" s="303" t="s">
        <v>232</v>
      </c>
    </row>
    <row r="2212" spans="119:119" x14ac:dyDescent="0.2">
      <c r="DO2212" s="303" t="s">
        <v>232</v>
      </c>
    </row>
    <row r="2213" spans="119:119" x14ac:dyDescent="0.2">
      <c r="DO2213" s="303" t="s">
        <v>232</v>
      </c>
    </row>
    <row r="2214" spans="119:119" x14ac:dyDescent="0.2">
      <c r="DO2214" s="303" t="s">
        <v>232</v>
      </c>
    </row>
    <row r="2215" spans="119:119" x14ac:dyDescent="0.2">
      <c r="DO2215" s="303" t="s">
        <v>232</v>
      </c>
    </row>
    <row r="2216" spans="119:119" x14ac:dyDescent="0.2">
      <c r="DO2216" s="303" t="s">
        <v>232</v>
      </c>
    </row>
    <row r="2217" spans="119:119" x14ac:dyDescent="0.2">
      <c r="DO2217" s="303" t="s">
        <v>232</v>
      </c>
    </row>
    <row r="2218" spans="119:119" x14ac:dyDescent="0.2">
      <c r="DO2218" s="303" t="s">
        <v>232</v>
      </c>
    </row>
    <row r="2219" spans="119:119" x14ac:dyDescent="0.2">
      <c r="DO2219" s="303" t="s">
        <v>232</v>
      </c>
    </row>
    <row r="2220" spans="119:119" x14ac:dyDescent="0.2">
      <c r="DO2220" s="303" t="s">
        <v>232</v>
      </c>
    </row>
    <row r="2221" spans="119:119" x14ac:dyDescent="0.2">
      <c r="DO2221" s="303" t="s">
        <v>232</v>
      </c>
    </row>
    <row r="2222" spans="119:119" x14ac:dyDescent="0.2">
      <c r="DO2222" s="303" t="s">
        <v>232</v>
      </c>
    </row>
    <row r="2223" spans="119:119" x14ac:dyDescent="0.2">
      <c r="DO2223" s="303" t="s">
        <v>232</v>
      </c>
    </row>
    <row r="2224" spans="119:119" x14ac:dyDescent="0.2">
      <c r="DO2224" s="303" t="s">
        <v>232</v>
      </c>
    </row>
    <row r="2225" spans="119:119" x14ac:dyDescent="0.2">
      <c r="DO2225" s="303" t="s">
        <v>232</v>
      </c>
    </row>
    <row r="2226" spans="119:119" x14ac:dyDescent="0.2">
      <c r="DO2226" s="303" t="s">
        <v>232</v>
      </c>
    </row>
    <row r="2227" spans="119:119" x14ac:dyDescent="0.2">
      <c r="DO2227" s="303" t="s">
        <v>232</v>
      </c>
    </row>
    <row r="2228" spans="119:119" x14ac:dyDescent="0.2">
      <c r="DO2228" s="303" t="s">
        <v>232</v>
      </c>
    </row>
    <row r="2229" spans="119:119" x14ac:dyDescent="0.2">
      <c r="DO2229" s="303" t="s">
        <v>232</v>
      </c>
    </row>
    <row r="2230" spans="119:119" x14ac:dyDescent="0.2">
      <c r="DO2230" s="303" t="s">
        <v>232</v>
      </c>
    </row>
    <row r="2231" spans="119:119" x14ac:dyDescent="0.2">
      <c r="DO2231" s="303" t="s">
        <v>232</v>
      </c>
    </row>
    <row r="2232" spans="119:119" x14ac:dyDescent="0.2">
      <c r="DO2232" s="303" t="s">
        <v>232</v>
      </c>
    </row>
    <row r="2233" spans="119:119" x14ac:dyDescent="0.2">
      <c r="DO2233" s="303" t="s">
        <v>232</v>
      </c>
    </row>
    <row r="2234" spans="119:119" x14ac:dyDescent="0.2">
      <c r="DO2234" s="303" t="s">
        <v>232</v>
      </c>
    </row>
    <row r="2235" spans="119:119" x14ac:dyDescent="0.2">
      <c r="DO2235" s="303" t="s">
        <v>232</v>
      </c>
    </row>
    <row r="2236" spans="119:119" x14ac:dyDescent="0.2">
      <c r="DO2236" s="303" t="s">
        <v>232</v>
      </c>
    </row>
    <row r="2237" spans="119:119" x14ac:dyDescent="0.2">
      <c r="DO2237" s="303" t="s">
        <v>232</v>
      </c>
    </row>
    <row r="2238" spans="119:119" x14ac:dyDescent="0.2">
      <c r="DO2238" s="303" t="s">
        <v>232</v>
      </c>
    </row>
    <row r="2239" spans="119:119" x14ac:dyDescent="0.2">
      <c r="DO2239" s="303" t="s">
        <v>232</v>
      </c>
    </row>
    <row r="2240" spans="119:119" x14ac:dyDescent="0.2">
      <c r="DO2240" s="303" t="s">
        <v>232</v>
      </c>
    </row>
    <row r="2241" spans="119:119" x14ac:dyDescent="0.2">
      <c r="DO2241" s="303" t="s">
        <v>232</v>
      </c>
    </row>
    <row r="2242" spans="119:119" x14ac:dyDescent="0.2">
      <c r="DO2242" s="303" t="s">
        <v>232</v>
      </c>
    </row>
    <row r="2243" spans="119:119" x14ac:dyDescent="0.2">
      <c r="DO2243" s="303" t="s">
        <v>232</v>
      </c>
    </row>
    <row r="2244" spans="119:119" x14ac:dyDescent="0.2">
      <c r="DO2244" s="303" t="s">
        <v>232</v>
      </c>
    </row>
    <row r="2245" spans="119:119" x14ac:dyDescent="0.2">
      <c r="DO2245" s="303" t="s">
        <v>232</v>
      </c>
    </row>
    <row r="2246" spans="119:119" x14ac:dyDescent="0.2">
      <c r="DO2246" s="303" t="s">
        <v>232</v>
      </c>
    </row>
    <row r="2247" spans="119:119" x14ac:dyDescent="0.2">
      <c r="DO2247" s="303" t="s">
        <v>232</v>
      </c>
    </row>
    <row r="2248" spans="119:119" x14ac:dyDescent="0.2">
      <c r="DO2248" s="303" t="s">
        <v>232</v>
      </c>
    </row>
    <row r="2249" spans="119:119" x14ac:dyDescent="0.2">
      <c r="DO2249" s="303" t="s">
        <v>232</v>
      </c>
    </row>
    <row r="2250" spans="119:119" x14ac:dyDescent="0.2">
      <c r="DO2250" s="303" t="s">
        <v>232</v>
      </c>
    </row>
    <row r="2251" spans="119:119" x14ac:dyDescent="0.2">
      <c r="DO2251" s="303" t="s">
        <v>232</v>
      </c>
    </row>
    <row r="2252" spans="119:119" x14ac:dyDescent="0.2">
      <c r="DO2252" s="303" t="s">
        <v>232</v>
      </c>
    </row>
    <row r="2253" spans="119:119" x14ac:dyDescent="0.2">
      <c r="DO2253" s="303" t="s">
        <v>232</v>
      </c>
    </row>
    <row r="2254" spans="119:119" x14ac:dyDescent="0.2">
      <c r="DO2254" s="303" t="s">
        <v>232</v>
      </c>
    </row>
    <row r="2255" spans="119:119" x14ac:dyDescent="0.2">
      <c r="DO2255" s="303" t="s">
        <v>232</v>
      </c>
    </row>
    <row r="2256" spans="119:119" x14ac:dyDescent="0.2">
      <c r="DO2256" s="303" t="s">
        <v>232</v>
      </c>
    </row>
    <row r="2257" spans="119:119" x14ac:dyDescent="0.2">
      <c r="DO2257" s="303" t="s">
        <v>232</v>
      </c>
    </row>
    <row r="2258" spans="119:119" x14ac:dyDescent="0.2">
      <c r="DO2258" s="303" t="s">
        <v>232</v>
      </c>
    </row>
    <row r="2259" spans="119:119" x14ac:dyDescent="0.2">
      <c r="DO2259" s="303" t="s">
        <v>232</v>
      </c>
    </row>
    <row r="2260" spans="119:119" x14ac:dyDescent="0.2">
      <c r="DO2260" s="303" t="s">
        <v>232</v>
      </c>
    </row>
    <row r="2261" spans="119:119" x14ac:dyDescent="0.2">
      <c r="DO2261" s="303" t="s">
        <v>232</v>
      </c>
    </row>
    <row r="2262" spans="119:119" x14ac:dyDescent="0.2">
      <c r="DO2262" s="303" t="s">
        <v>232</v>
      </c>
    </row>
    <row r="2263" spans="119:119" x14ac:dyDescent="0.2">
      <c r="DO2263" s="303" t="s">
        <v>232</v>
      </c>
    </row>
    <row r="2264" spans="119:119" x14ac:dyDescent="0.2">
      <c r="DO2264" s="303" t="s">
        <v>232</v>
      </c>
    </row>
    <row r="2265" spans="119:119" x14ac:dyDescent="0.2">
      <c r="DO2265" s="303" t="s">
        <v>232</v>
      </c>
    </row>
    <row r="2266" spans="119:119" x14ac:dyDescent="0.2">
      <c r="DO2266" s="303" t="s">
        <v>232</v>
      </c>
    </row>
    <row r="2267" spans="119:119" x14ac:dyDescent="0.2">
      <c r="DO2267" s="303" t="s">
        <v>232</v>
      </c>
    </row>
    <row r="2268" spans="119:119" x14ac:dyDescent="0.2">
      <c r="DO2268" s="303" t="s">
        <v>232</v>
      </c>
    </row>
    <row r="2269" spans="119:119" x14ac:dyDescent="0.2">
      <c r="DO2269" s="303" t="s">
        <v>232</v>
      </c>
    </row>
    <row r="2270" spans="119:119" x14ac:dyDescent="0.2">
      <c r="DO2270" s="303" t="s">
        <v>232</v>
      </c>
    </row>
    <row r="2271" spans="119:119" x14ac:dyDescent="0.2">
      <c r="DO2271" s="303" t="s">
        <v>232</v>
      </c>
    </row>
    <row r="2272" spans="119:119" x14ac:dyDescent="0.2">
      <c r="DO2272" s="303" t="s">
        <v>232</v>
      </c>
    </row>
    <row r="2273" spans="119:119" x14ac:dyDescent="0.2">
      <c r="DO2273" s="303" t="s">
        <v>232</v>
      </c>
    </row>
    <row r="2274" spans="119:119" x14ac:dyDescent="0.2">
      <c r="DO2274" s="303" t="s">
        <v>232</v>
      </c>
    </row>
    <row r="2275" spans="119:119" x14ac:dyDescent="0.2">
      <c r="DO2275" s="303" t="s">
        <v>232</v>
      </c>
    </row>
    <row r="2276" spans="119:119" x14ac:dyDescent="0.2">
      <c r="DO2276" s="303" t="s">
        <v>232</v>
      </c>
    </row>
    <row r="2277" spans="119:119" x14ac:dyDescent="0.2">
      <c r="DO2277" s="303" t="s">
        <v>232</v>
      </c>
    </row>
    <row r="2278" spans="119:119" x14ac:dyDescent="0.2">
      <c r="DO2278" s="303" t="s">
        <v>232</v>
      </c>
    </row>
    <row r="2279" spans="119:119" x14ac:dyDescent="0.2">
      <c r="DO2279" s="303" t="s">
        <v>232</v>
      </c>
    </row>
    <row r="2280" spans="119:119" x14ac:dyDescent="0.2">
      <c r="DO2280" s="303" t="s">
        <v>232</v>
      </c>
    </row>
    <row r="2281" spans="119:119" x14ac:dyDescent="0.2">
      <c r="DO2281" s="303" t="s">
        <v>232</v>
      </c>
    </row>
    <row r="2282" spans="119:119" x14ac:dyDescent="0.2">
      <c r="DO2282" s="303" t="s">
        <v>232</v>
      </c>
    </row>
    <row r="2283" spans="119:119" x14ac:dyDescent="0.2">
      <c r="DO2283" s="303" t="s">
        <v>232</v>
      </c>
    </row>
    <row r="2284" spans="119:119" x14ac:dyDescent="0.2">
      <c r="DO2284" s="303" t="s">
        <v>232</v>
      </c>
    </row>
    <row r="2285" spans="119:119" x14ac:dyDescent="0.2">
      <c r="DO2285" s="303" t="s">
        <v>232</v>
      </c>
    </row>
    <row r="2286" spans="119:119" x14ac:dyDescent="0.2">
      <c r="DO2286" s="303" t="s">
        <v>232</v>
      </c>
    </row>
    <row r="2287" spans="119:119" x14ac:dyDescent="0.2">
      <c r="DO2287" s="303" t="s">
        <v>232</v>
      </c>
    </row>
    <row r="2288" spans="119:119" x14ac:dyDescent="0.2">
      <c r="DO2288" s="303" t="s">
        <v>232</v>
      </c>
    </row>
    <row r="2289" spans="119:119" x14ac:dyDescent="0.2">
      <c r="DO2289" s="303" t="s">
        <v>232</v>
      </c>
    </row>
    <row r="2290" spans="119:119" x14ac:dyDescent="0.2">
      <c r="DO2290" s="303" t="s">
        <v>232</v>
      </c>
    </row>
    <row r="2291" spans="119:119" x14ac:dyDescent="0.2">
      <c r="DO2291" s="303" t="s">
        <v>232</v>
      </c>
    </row>
    <row r="2292" spans="119:119" x14ac:dyDescent="0.2">
      <c r="DO2292" s="303" t="s">
        <v>232</v>
      </c>
    </row>
    <row r="2293" spans="119:119" x14ac:dyDescent="0.2">
      <c r="DO2293" s="303" t="s">
        <v>232</v>
      </c>
    </row>
    <row r="2294" spans="119:119" x14ac:dyDescent="0.2">
      <c r="DO2294" s="303" t="s">
        <v>232</v>
      </c>
    </row>
    <row r="2295" spans="119:119" x14ac:dyDescent="0.2">
      <c r="DO2295" s="303" t="s">
        <v>232</v>
      </c>
    </row>
    <row r="2296" spans="119:119" x14ac:dyDescent="0.2">
      <c r="DO2296" s="303" t="s">
        <v>232</v>
      </c>
    </row>
    <row r="2297" spans="119:119" x14ac:dyDescent="0.2">
      <c r="DO2297" s="303" t="s">
        <v>232</v>
      </c>
    </row>
    <row r="2298" spans="119:119" x14ac:dyDescent="0.2">
      <c r="DO2298" s="303" t="s">
        <v>232</v>
      </c>
    </row>
    <row r="2299" spans="119:119" x14ac:dyDescent="0.2">
      <c r="DO2299" s="303" t="s">
        <v>232</v>
      </c>
    </row>
    <row r="2300" spans="119:119" x14ac:dyDescent="0.2">
      <c r="DO2300" s="303" t="s">
        <v>232</v>
      </c>
    </row>
    <row r="2301" spans="119:119" x14ac:dyDescent="0.2">
      <c r="DO2301" s="303" t="s">
        <v>232</v>
      </c>
    </row>
    <row r="2302" spans="119:119" x14ac:dyDescent="0.2">
      <c r="DO2302" s="303" t="s">
        <v>232</v>
      </c>
    </row>
    <row r="2303" spans="119:119" x14ac:dyDescent="0.2">
      <c r="DO2303" s="303" t="s">
        <v>232</v>
      </c>
    </row>
    <row r="2304" spans="119:119" x14ac:dyDescent="0.2">
      <c r="DO2304" s="303" t="s">
        <v>232</v>
      </c>
    </row>
    <row r="2305" spans="119:119" x14ac:dyDescent="0.2">
      <c r="DO2305" s="303" t="s">
        <v>232</v>
      </c>
    </row>
    <row r="2306" spans="119:119" x14ac:dyDescent="0.2">
      <c r="DO2306" s="303" t="s">
        <v>232</v>
      </c>
    </row>
    <row r="2307" spans="119:119" x14ac:dyDescent="0.2">
      <c r="DO2307" s="303" t="s">
        <v>232</v>
      </c>
    </row>
    <row r="2308" spans="119:119" x14ac:dyDescent="0.2">
      <c r="DO2308" s="303" t="s">
        <v>232</v>
      </c>
    </row>
    <row r="2309" spans="119:119" x14ac:dyDescent="0.2">
      <c r="DO2309" s="303" t="s">
        <v>232</v>
      </c>
    </row>
    <row r="2310" spans="119:119" x14ac:dyDescent="0.2">
      <c r="DO2310" s="303" t="s">
        <v>232</v>
      </c>
    </row>
    <row r="2311" spans="119:119" x14ac:dyDescent="0.2">
      <c r="DO2311" s="303" t="s">
        <v>232</v>
      </c>
    </row>
    <row r="2312" spans="119:119" x14ac:dyDescent="0.2">
      <c r="DO2312" s="303" t="s">
        <v>232</v>
      </c>
    </row>
    <row r="2313" spans="119:119" x14ac:dyDescent="0.2">
      <c r="DO2313" s="303" t="s">
        <v>232</v>
      </c>
    </row>
    <row r="2314" spans="119:119" x14ac:dyDescent="0.2">
      <c r="DO2314" s="303" t="s">
        <v>232</v>
      </c>
    </row>
    <row r="2315" spans="119:119" x14ac:dyDescent="0.2">
      <c r="DO2315" s="303" t="s">
        <v>232</v>
      </c>
    </row>
    <row r="2316" spans="119:119" x14ac:dyDescent="0.2">
      <c r="DO2316" s="303" t="s">
        <v>232</v>
      </c>
    </row>
    <row r="2317" spans="119:119" x14ac:dyDescent="0.2">
      <c r="DO2317" s="303" t="s">
        <v>232</v>
      </c>
    </row>
    <row r="2318" spans="119:119" x14ac:dyDescent="0.2">
      <c r="DO2318" s="303" t="s">
        <v>232</v>
      </c>
    </row>
    <row r="2319" spans="119:119" x14ac:dyDescent="0.2">
      <c r="DO2319" s="303" t="s">
        <v>232</v>
      </c>
    </row>
    <row r="2320" spans="119:119" x14ac:dyDescent="0.2">
      <c r="DO2320" s="303" t="s">
        <v>232</v>
      </c>
    </row>
    <row r="2321" spans="119:119" x14ac:dyDescent="0.2">
      <c r="DO2321" s="303" t="s">
        <v>232</v>
      </c>
    </row>
    <row r="2322" spans="119:119" x14ac:dyDescent="0.2">
      <c r="DO2322" s="303" t="s">
        <v>232</v>
      </c>
    </row>
    <row r="2323" spans="119:119" x14ac:dyDescent="0.2">
      <c r="DO2323" s="303" t="s">
        <v>232</v>
      </c>
    </row>
    <row r="2324" spans="119:119" x14ac:dyDescent="0.2">
      <c r="DO2324" s="303" t="s">
        <v>232</v>
      </c>
    </row>
    <row r="2325" spans="119:119" x14ac:dyDescent="0.2">
      <c r="DO2325" s="303" t="s">
        <v>232</v>
      </c>
    </row>
    <row r="2326" spans="119:119" x14ac:dyDescent="0.2">
      <c r="DO2326" s="303" t="s">
        <v>232</v>
      </c>
    </row>
    <row r="2327" spans="119:119" x14ac:dyDescent="0.2">
      <c r="DO2327" s="303" t="s">
        <v>232</v>
      </c>
    </row>
    <row r="2328" spans="119:119" x14ac:dyDescent="0.2">
      <c r="DO2328" s="303" t="s">
        <v>232</v>
      </c>
    </row>
    <row r="2329" spans="119:119" x14ac:dyDescent="0.2">
      <c r="DO2329" s="303" t="s">
        <v>232</v>
      </c>
    </row>
    <row r="2330" spans="119:119" x14ac:dyDescent="0.2">
      <c r="DO2330" s="303" t="s">
        <v>232</v>
      </c>
    </row>
    <row r="2331" spans="119:119" x14ac:dyDescent="0.2">
      <c r="DO2331" s="303" t="s">
        <v>232</v>
      </c>
    </row>
    <row r="2332" spans="119:119" x14ac:dyDescent="0.2">
      <c r="DO2332" s="303" t="s">
        <v>232</v>
      </c>
    </row>
    <row r="2333" spans="119:119" x14ac:dyDescent="0.2">
      <c r="DO2333" s="303" t="s">
        <v>232</v>
      </c>
    </row>
    <row r="2334" spans="119:119" x14ac:dyDescent="0.2">
      <c r="DO2334" s="303" t="s">
        <v>232</v>
      </c>
    </row>
    <row r="2335" spans="119:119" x14ac:dyDescent="0.2">
      <c r="DO2335" s="303" t="s">
        <v>232</v>
      </c>
    </row>
    <row r="2336" spans="119:119" x14ac:dyDescent="0.2">
      <c r="DO2336" s="303" t="s">
        <v>232</v>
      </c>
    </row>
    <row r="2337" spans="119:119" x14ac:dyDescent="0.2">
      <c r="DO2337" s="303" t="s">
        <v>232</v>
      </c>
    </row>
    <row r="2338" spans="119:119" x14ac:dyDescent="0.2">
      <c r="DO2338" s="303" t="s">
        <v>232</v>
      </c>
    </row>
    <row r="2339" spans="119:119" x14ac:dyDescent="0.2">
      <c r="DO2339" s="303" t="s">
        <v>232</v>
      </c>
    </row>
    <row r="2340" spans="119:119" x14ac:dyDescent="0.2">
      <c r="DO2340" s="303" t="s">
        <v>232</v>
      </c>
    </row>
    <row r="2341" spans="119:119" x14ac:dyDescent="0.2">
      <c r="DO2341" s="303" t="s">
        <v>232</v>
      </c>
    </row>
    <row r="2342" spans="119:119" x14ac:dyDescent="0.2">
      <c r="DO2342" s="303" t="s">
        <v>232</v>
      </c>
    </row>
    <row r="2343" spans="119:119" x14ac:dyDescent="0.2">
      <c r="DO2343" s="303" t="s">
        <v>232</v>
      </c>
    </row>
    <row r="2344" spans="119:119" x14ac:dyDescent="0.2">
      <c r="DO2344" s="303" t="s">
        <v>232</v>
      </c>
    </row>
    <row r="2345" spans="119:119" x14ac:dyDescent="0.2">
      <c r="DO2345" s="303" t="s">
        <v>232</v>
      </c>
    </row>
    <row r="2346" spans="119:119" x14ac:dyDescent="0.2">
      <c r="DO2346" s="303" t="s">
        <v>232</v>
      </c>
    </row>
    <row r="2347" spans="119:119" x14ac:dyDescent="0.2">
      <c r="DO2347" s="303" t="s">
        <v>232</v>
      </c>
    </row>
    <row r="2348" spans="119:119" x14ac:dyDescent="0.2">
      <c r="DO2348" s="303" t="s">
        <v>232</v>
      </c>
    </row>
    <row r="2349" spans="119:119" x14ac:dyDescent="0.2">
      <c r="DO2349" s="303" t="s">
        <v>232</v>
      </c>
    </row>
    <row r="2350" spans="119:119" x14ac:dyDescent="0.2">
      <c r="DO2350" s="303" t="s">
        <v>232</v>
      </c>
    </row>
    <row r="2351" spans="119:119" x14ac:dyDescent="0.2">
      <c r="DO2351" s="303" t="s">
        <v>232</v>
      </c>
    </row>
    <row r="2352" spans="119:119" x14ac:dyDescent="0.2">
      <c r="DO2352" s="303" t="s">
        <v>232</v>
      </c>
    </row>
    <row r="2353" spans="119:119" x14ac:dyDescent="0.2">
      <c r="DO2353" s="303" t="s">
        <v>232</v>
      </c>
    </row>
    <row r="2354" spans="119:119" x14ac:dyDescent="0.2">
      <c r="DO2354" s="303" t="s">
        <v>232</v>
      </c>
    </row>
    <row r="2355" spans="119:119" x14ac:dyDescent="0.2">
      <c r="DO2355" s="303" t="s">
        <v>232</v>
      </c>
    </row>
    <row r="2356" spans="119:119" x14ac:dyDescent="0.2">
      <c r="DO2356" s="303" t="s">
        <v>232</v>
      </c>
    </row>
    <row r="2357" spans="119:119" x14ac:dyDescent="0.2">
      <c r="DO2357" s="303" t="s">
        <v>232</v>
      </c>
    </row>
    <row r="2358" spans="119:119" x14ac:dyDescent="0.2">
      <c r="DO2358" s="303" t="s">
        <v>232</v>
      </c>
    </row>
    <row r="2359" spans="119:119" x14ac:dyDescent="0.2">
      <c r="DO2359" s="303" t="s">
        <v>232</v>
      </c>
    </row>
    <row r="2360" spans="119:119" x14ac:dyDescent="0.2">
      <c r="DO2360" s="303" t="s">
        <v>232</v>
      </c>
    </row>
    <row r="2361" spans="119:119" x14ac:dyDescent="0.2">
      <c r="DO2361" s="303" t="s">
        <v>232</v>
      </c>
    </row>
    <row r="2362" spans="119:119" x14ac:dyDescent="0.2">
      <c r="DO2362" s="303" t="s">
        <v>232</v>
      </c>
    </row>
    <row r="2363" spans="119:119" x14ac:dyDescent="0.2">
      <c r="DO2363" s="303" t="s">
        <v>232</v>
      </c>
    </row>
    <row r="2364" spans="119:119" x14ac:dyDescent="0.2">
      <c r="DO2364" s="303" t="s">
        <v>232</v>
      </c>
    </row>
    <row r="2365" spans="119:119" x14ac:dyDescent="0.2">
      <c r="DO2365" s="303" t="s">
        <v>232</v>
      </c>
    </row>
    <row r="2366" spans="119:119" x14ac:dyDescent="0.2">
      <c r="DO2366" s="303" t="s">
        <v>232</v>
      </c>
    </row>
    <row r="2367" spans="119:119" x14ac:dyDescent="0.2">
      <c r="DO2367" s="303" t="s">
        <v>232</v>
      </c>
    </row>
    <row r="2368" spans="119:119" x14ac:dyDescent="0.2">
      <c r="DO2368" s="303" t="s">
        <v>232</v>
      </c>
    </row>
    <row r="2369" spans="119:119" x14ac:dyDescent="0.2">
      <c r="DO2369" s="303" t="s">
        <v>232</v>
      </c>
    </row>
    <row r="2370" spans="119:119" x14ac:dyDescent="0.2">
      <c r="DO2370" s="303" t="s">
        <v>232</v>
      </c>
    </row>
    <row r="2371" spans="119:119" x14ac:dyDescent="0.2">
      <c r="DO2371" s="303" t="s">
        <v>232</v>
      </c>
    </row>
    <row r="2372" spans="119:119" x14ac:dyDescent="0.2">
      <c r="DO2372" s="303" t="s">
        <v>232</v>
      </c>
    </row>
    <row r="2373" spans="119:119" x14ac:dyDescent="0.2">
      <c r="DO2373" s="303" t="s">
        <v>232</v>
      </c>
    </row>
    <row r="2374" spans="119:119" x14ac:dyDescent="0.2">
      <c r="DO2374" s="303" t="s">
        <v>232</v>
      </c>
    </row>
    <row r="2375" spans="119:119" x14ac:dyDescent="0.2">
      <c r="DO2375" s="303" t="s">
        <v>232</v>
      </c>
    </row>
    <row r="2376" spans="119:119" x14ac:dyDescent="0.2">
      <c r="DO2376" s="303" t="s">
        <v>232</v>
      </c>
    </row>
    <row r="2377" spans="119:119" x14ac:dyDescent="0.2">
      <c r="DO2377" s="303" t="s">
        <v>232</v>
      </c>
    </row>
    <row r="2378" spans="119:119" x14ac:dyDescent="0.2">
      <c r="DO2378" s="303" t="s">
        <v>232</v>
      </c>
    </row>
    <row r="2379" spans="119:119" x14ac:dyDescent="0.2">
      <c r="DO2379" s="303" t="s">
        <v>232</v>
      </c>
    </row>
    <row r="2380" spans="119:119" x14ac:dyDescent="0.2">
      <c r="DO2380" s="303" t="s">
        <v>232</v>
      </c>
    </row>
    <row r="2381" spans="119:119" x14ac:dyDescent="0.2">
      <c r="DO2381" s="303" t="s">
        <v>232</v>
      </c>
    </row>
    <row r="2382" spans="119:119" x14ac:dyDescent="0.2">
      <c r="DO2382" s="303" t="s">
        <v>232</v>
      </c>
    </row>
    <row r="2383" spans="119:119" x14ac:dyDescent="0.2">
      <c r="DO2383" s="303" t="s">
        <v>232</v>
      </c>
    </row>
    <row r="2384" spans="119:119" x14ac:dyDescent="0.2">
      <c r="DO2384" s="303" t="s">
        <v>232</v>
      </c>
    </row>
    <row r="2385" spans="119:119" x14ac:dyDescent="0.2">
      <c r="DO2385" s="303" t="s">
        <v>232</v>
      </c>
    </row>
    <row r="2386" spans="119:119" x14ac:dyDescent="0.2">
      <c r="DO2386" s="303" t="s">
        <v>232</v>
      </c>
    </row>
    <row r="2387" spans="119:119" x14ac:dyDescent="0.2">
      <c r="DO2387" s="303" t="s">
        <v>232</v>
      </c>
    </row>
    <row r="2388" spans="119:119" x14ac:dyDescent="0.2">
      <c r="DO2388" s="303" t="s">
        <v>232</v>
      </c>
    </row>
    <row r="2389" spans="119:119" x14ac:dyDescent="0.2">
      <c r="DO2389" s="303" t="s">
        <v>232</v>
      </c>
    </row>
    <row r="2390" spans="119:119" x14ac:dyDescent="0.2">
      <c r="DO2390" s="303" t="s">
        <v>232</v>
      </c>
    </row>
    <row r="2391" spans="119:119" x14ac:dyDescent="0.2">
      <c r="DO2391" s="303" t="s">
        <v>232</v>
      </c>
    </row>
    <row r="2392" spans="119:119" x14ac:dyDescent="0.2">
      <c r="DO2392" s="303" t="s">
        <v>232</v>
      </c>
    </row>
    <row r="2393" spans="119:119" x14ac:dyDescent="0.2">
      <c r="DO2393" s="303" t="s">
        <v>232</v>
      </c>
    </row>
    <row r="2394" spans="119:119" x14ac:dyDescent="0.2">
      <c r="DO2394" s="303" t="s">
        <v>232</v>
      </c>
    </row>
    <row r="2395" spans="119:119" x14ac:dyDescent="0.2">
      <c r="DO2395" s="303" t="s">
        <v>232</v>
      </c>
    </row>
    <row r="2396" spans="119:119" x14ac:dyDescent="0.2">
      <c r="DO2396" s="303" t="s">
        <v>232</v>
      </c>
    </row>
    <row r="2397" spans="119:119" x14ac:dyDescent="0.2">
      <c r="DO2397" s="303" t="s">
        <v>232</v>
      </c>
    </row>
    <row r="2398" spans="119:119" x14ac:dyDescent="0.2">
      <c r="DO2398" s="303" t="s">
        <v>232</v>
      </c>
    </row>
    <row r="2399" spans="119:119" x14ac:dyDescent="0.2">
      <c r="DO2399" s="303" t="s">
        <v>232</v>
      </c>
    </row>
    <row r="2400" spans="119:119" x14ac:dyDescent="0.2">
      <c r="DO2400" s="303" t="s">
        <v>232</v>
      </c>
    </row>
    <row r="2401" spans="119:119" x14ac:dyDescent="0.2">
      <c r="DO2401" s="303" t="s">
        <v>232</v>
      </c>
    </row>
    <row r="2402" spans="119:119" x14ac:dyDescent="0.2">
      <c r="DO2402" s="303" t="s">
        <v>232</v>
      </c>
    </row>
    <row r="2403" spans="119:119" x14ac:dyDescent="0.2">
      <c r="DO2403" s="303" t="s">
        <v>232</v>
      </c>
    </row>
    <row r="2404" spans="119:119" x14ac:dyDescent="0.2">
      <c r="DO2404" s="303" t="s">
        <v>232</v>
      </c>
    </row>
    <row r="2405" spans="119:119" x14ac:dyDescent="0.2">
      <c r="DO2405" s="303" t="s">
        <v>232</v>
      </c>
    </row>
    <row r="2406" spans="119:119" x14ac:dyDescent="0.2">
      <c r="DO2406" s="303" t="s">
        <v>232</v>
      </c>
    </row>
    <row r="2407" spans="119:119" x14ac:dyDescent="0.2">
      <c r="DO2407" s="303" t="s">
        <v>232</v>
      </c>
    </row>
    <row r="2408" spans="119:119" x14ac:dyDescent="0.2">
      <c r="DO2408" s="303" t="s">
        <v>232</v>
      </c>
    </row>
    <row r="2409" spans="119:119" x14ac:dyDescent="0.2">
      <c r="DO2409" s="303" t="s">
        <v>232</v>
      </c>
    </row>
    <row r="2410" spans="119:119" x14ac:dyDescent="0.2">
      <c r="DO2410" s="303" t="s">
        <v>232</v>
      </c>
    </row>
    <row r="2411" spans="119:119" x14ac:dyDescent="0.2">
      <c r="DO2411" s="303" t="s">
        <v>232</v>
      </c>
    </row>
    <row r="2412" spans="119:119" x14ac:dyDescent="0.2">
      <c r="DO2412" s="303" t="s">
        <v>232</v>
      </c>
    </row>
    <row r="2413" spans="119:119" x14ac:dyDescent="0.2">
      <c r="DO2413" s="303" t="s">
        <v>232</v>
      </c>
    </row>
    <row r="2414" spans="119:119" x14ac:dyDescent="0.2">
      <c r="DO2414" s="303" t="s">
        <v>232</v>
      </c>
    </row>
    <row r="2415" spans="119:119" x14ac:dyDescent="0.2">
      <c r="DO2415" s="303" t="s">
        <v>232</v>
      </c>
    </row>
    <row r="2416" spans="119:119" x14ac:dyDescent="0.2">
      <c r="DO2416" s="303" t="s">
        <v>232</v>
      </c>
    </row>
    <row r="2417" spans="119:119" x14ac:dyDescent="0.2">
      <c r="DO2417" s="303" t="s">
        <v>232</v>
      </c>
    </row>
    <row r="2418" spans="119:119" x14ac:dyDescent="0.2">
      <c r="DO2418" s="303" t="s">
        <v>232</v>
      </c>
    </row>
    <row r="2419" spans="119:119" x14ac:dyDescent="0.2">
      <c r="DO2419" s="303" t="s">
        <v>232</v>
      </c>
    </row>
    <row r="2420" spans="119:119" x14ac:dyDescent="0.2">
      <c r="DO2420" s="303" t="s">
        <v>232</v>
      </c>
    </row>
    <row r="2421" spans="119:119" x14ac:dyDescent="0.2">
      <c r="DO2421" s="303" t="s">
        <v>232</v>
      </c>
    </row>
    <row r="2422" spans="119:119" x14ac:dyDescent="0.2">
      <c r="DO2422" s="303" t="s">
        <v>232</v>
      </c>
    </row>
    <row r="2423" spans="119:119" x14ac:dyDescent="0.2">
      <c r="DO2423" s="303" t="s">
        <v>232</v>
      </c>
    </row>
    <row r="2424" spans="119:119" x14ac:dyDescent="0.2">
      <c r="DO2424" s="303" t="s">
        <v>232</v>
      </c>
    </row>
    <row r="2425" spans="119:119" x14ac:dyDescent="0.2">
      <c r="DO2425" s="303" t="s">
        <v>232</v>
      </c>
    </row>
    <row r="2426" spans="119:119" x14ac:dyDescent="0.2">
      <c r="DO2426" s="303" t="s">
        <v>232</v>
      </c>
    </row>
    <row r="2427" spans="119:119" x14ac:dyDescent="0.2">
      <c r="DO2427" s="303" t="s">
        <v>232</v>
      </c>
    </row>
    <row r="2428" spans="119:119" x14ac:dyDescent="0.2">
      <c r="DO2428" s="303" t="s">
        <v>232</v>
      </c>
    </row>
    <row r="2429" spans="119:119" x14ac:dyDescent="0.2">
      <c r="DO2429" s="303" t="s">
        <v>232</v>
      </c>
    </row>
    <row r="2430" spans="119:119" x14ac:dyDescent="0.2">
      <c r="DO2430" s="303" t="s">
        <v>232</v>
      </c>
    </row>
    <row r="2431" spans="119:119" x14ac:dyDescent="0.2">
      <c r="DO2431" s="303" t="s">
        <v>232</v>
      </c>
    </row>
    <row r="2432" spans="119:119" x14ac:dyDescent="0.2">
      <c r="DO2432" s="303" t="s">
        <v>232</v>
      </c>
    </row>
    <row r="2433" spans="119:119" x14ac:dyDescent="0.2">
      <c r="DO2433" s="303" t="s">
        <v>232</v>
      </c>
    </row>
    <row r="2434" spans="119:119" x14ac:dyDescent="0.2">
      <c r="DO2434" s="303" t="s">
        <v>232</v>
      </c>
    </row>
    <row r="2435" spans="119:119" x14ac:dyDescent="0.2">
      <c r="DO2435" s="303" t="s">
        <v>232</v>
      </c>
    </row>
    <row r="2436" spans="119:119" x14ac:dyDescent="0.2">
      <c r="DO2436" s="303" t="s">
        <v>232</v>
      </c>
    </row>
    <row r="2437" spans="119:119" x14ac:dyDescent="0.2">
      <c r="DO2437" s="303" t="s">
        <v>232</v>
      </c>
    </row>
    <row r="2438" spans="119:119" x14ac:dyDescent="0.2">
      <c r="DO2438" s="303" t="s">
        <v>232</v>
      </c>
    </row>
    <row r="2439" spans="119:119" x14ac:dyDescent="0.2">
      <c r="DO2439" s="303" t="s">
        <v>232</v>
      </c>
    </row>
    <row r="2440" spans="119:119" x14ac:dyDescent="0.2">
      <c r="DO2440" s="303" t="s">
        <v>232</v>
      </c>
    </row>
    <row r="2441" spans="119:119" x14ac:dyDescent="0.2">
      <c r="DO2441" s="303" t="s">
        <v>232</v>
      </c>
    </row>
    <row r="2442" spans="119:119" x14ac:dyDescent="0.2">
      <c r="DO2442" s="303" t="s">
        <v>232</v>
      </c>
    </row>
    <row r="2443" spans="119:119" x14ac:dyDescent="0.2">
      <c r="DO2443" s="303" t="s">
        <v>232</v>
      </c>
    </row>
    <row r="2444" spans="119:119" x14ac:dyDescent="0.2">
      <c r="DO2444" s="303" t="s">
        <v>232</v>
      </c>
    </row>
    <row r="2445" spans="119:119" x14ac:dyDescent="0.2">
      <c r="DO2445" s="303" t="s">
        <v>232</v>
      </c>
    </row>
    <row r="2446" spans="119:119" x14ac:dyDescent="0.2">
      <c r="DO2446" s="303" t="s">
        <v>232</v>
      </c>
    </row>
    <row r="2447" spans="119:119" x14ac:dyDescent="0.2">
      <c r="DO2447" s="303" t="s">
        <v>232</v>
      </c>
    </row>
    <row r="2448" spans="119:119" x14ac:dyDescent="0.2">
      <c r="DO2448" s="303" t="s">
        <v>232</v>
      </c>
    </row>
    <row r="2449" spans="119:119" x14ac:dyDescent="0.2">
      <c r="DO2449" s="303" t="s">
        <v>232</v>
      </c>
    </row>
    <row r="2450" spans="119:119" x14ac:dyDescent="0.2">
      <c r="DO2450" s="303" t="s">
        <v>232</v>
      </c>
    </row>
    <row r="2451" spans="119:119" x14ac:dyDescent="0.2">
      <c r="DO2451" s="303" t="s">
        <v>232</v>
      </c>
    </row>
    <row r="2452" spans="119:119" x14ac:dyDescent="0.2">
      <c r="DO2452" s="303" t="s">
        <v>232</v>
      </c>
    </row>
    <row r="2453" spans="119:119" x14ac:dyDescent="0.2">
      <c r="DO2453" s="303" t="s">
        <v>232</v>
      </c>
    </row>
    <row r="2454" spans="119:119" x14ac:dyDescent="0.2">
      <c r="DO2454" s="303" t="s">
        <v>232</v>
      </c>
    </row>
    <row r="2455" spans="119:119" x14ac:dyDescent="0.2">
      <c r="DO2455" s="303" t="s">
        <v>232</v>
      </c>
    </row>
    <row r="2456" spans="119:119" x14ac:dyDescent="0.2">
      <c r="DO2456" s="303" t="s">
        <v>232</v>
      </c>
    </row>
    <row r="2457" spans="119:119" x14ac:dyDescent="0.2">
      <c r="DO2457" s="303" t="s">
        <v>232</v>
      </c>
    </row>
    <row r="2458" spans="119:119" x14ac:dyDescent="0.2">
      <c r="DO2458" s="303" t="s">
        <v>232</v>
      </c>
    </row>
    <row r="2459" spans="119:119" x14ac:dyDescent="0.2">
      <c r="DO2459" s="303" t="s">
        <v>232</v>
      </c>
    </row>
    <row r="2460" spans="119:119" x14ac:dyDescent="0.2">
      <c r="DO2460" s="303" t="s">
        <v>232</v>
      </c>
    </row>
    <row r="2461" spans="119:119" x14ac:dyDescent="0.2">
      <c r="DO2461" s="303" t="s">
        <v>232</v>
      </c>
    </row>
    <row r="2462" spans="119:119" x14ac:dyDescent="0.2">
      <c r="DO2462" s="303" t="s">
        <v>232</v>
      </c>
    </row>
    <row r="2463" spans="119:119" x14ac:dyDescent="0.2">
      <c r="DO2463" s="303" t="s">
        <v>232</v>
      </c>
    </row>
    <row r="2464" spans="119:119" x14ac:dyDescent="0.2">
      <c r="DO2464" s="303" t="s">
        <v>232</v>
      </c>
    </row>
    <row r="2465" spans="119:119" x14ac:dyDescent="0.2">
      <c r="DO2465" s="303" t="s">
        <v>232</v>
      </c>
    </row>
    <row r="2466" spans="119:119" x14ac:dyDescent="0.2">
      <c r="DO2466" s="303" t="s">
        <v>232</v>
      </c>
    </row>
    <row r="2467" spans="119:119" x14ac:dyDescent="0.2">
      <c r="DO2467" s="303" t="s">
        <v>232</v>
      </c>
    </row>
    <row r="2468" spans="119:119" x14ac:dyDescent="0.2">
      <c r="DO2468" s="303" t="s">
        <v>232</v>
      </c>
    </row>
    <row r="2469" spans="119:119" x14ac:dyDescent="0.2">
      <c r="DO2469" s="303" t="s">
        <v>232</v>
      </c>
    </row>
    <row r="2470" spans="119:119" x14ac:dyDescent="0.2">
      <c r="DO2470" s="303" t="s">
        <v>232</v>
      </c>
    </row>
    <row r="2471" spans="119:119" x14ac:dyDescent="0.2">
      <c r="DO2471" s="303" t="s">
        <v>232</v>
      </c>
    </row>
    <row r="2472" spans="119:119" x14ac:dyDescent="0.2">
      <c r="DO2472" s="303" t="s">
        <v>232</v>
      </c>
    </row>
    <row r="2473" spans="119:119" x14ac:dyDescent="0.2">
      <c r="DO2473" s="303" t="s">
        <v>232</v>
      </c>
    </row>
    <row r="2474" spans="119:119" x14ac:dyDescent="0.2">
      <c r="DO2474" s="303" t="s">
        <v>232</v>
      </c>
    </row>
    <row r="2475" spans="119:119" x14ac:dyDescent="0.2">
      <c r="DO2475" s="303" t="s">
        <v>232</v>
      </c>
    </row>
    <row r="2476" spans="119:119" x14ac:dyDescent="0.2">
      <c r="DO2476" s="303" t="s">
        <v>232</v>
      </c>
    </row>
    <row r="2477" spans="119:119" x14ac:dyDescent="0.2">
      <c r="DO2477" s="303" t="s">
        <v>232</v>
      </c>
    </row>
    <row r="2478" spans="119:119" x14ac:dyDescent="0.2">
      <c r="DO2478" s="303" t="s">
        <v>232</v>
      </c>
    </row>
    <row r="2479" spans="119:119" x14ac:dyDescent="0.2">
      <c r="DO2479" s="303" t="s">
        <v>232</v>
      </c>
    </row>
    <row r="2480" spans="119:119" x14ac:dyDescent="0.2">
      <c r="DO2480" s="303" t="s">
        <v>232</v>
      </c>
    </row>
    <row r="2481" spans="119:119" x14ac:dyDescent="0.2">
      <c r="DO2481" s="303" t="s">
        <v>232</v>
      </c>
    </row>
    <row r="2482" spans="119:119" x14ac:dyDescent="0.2">
      <c r="DO2482" s="303" t="s">
        <v>232</v>
      </c>
    </row>
    <row r="2483" spans="119:119" x14ac:dyDescent="0.2">
      <c r="DO2483" s="303" t="s">
        <v>232</v>
      </c>
    </row>
    <row r="2484" spans="119:119" x14ac:dyDescent="0.2">
      <c r="DO2484" s="303" t="s">
        <v>232</v>
      </c>
    </row>
    <row r="2485" spans="119:119" x14ac:dyDescent="0.2">
      <c r="DO2485" s="303" t="s">
        <v>232</v>
      </c>
    </row>
    <row r="2486" spans="119:119" x14ac:dyDescent="0.2">
      <c r="DO2486" s="303" t="s">
        <v>232</v>
      </c>
    </row>
    <row r="2487" spans="119:119" x14ac:dyDescent="0.2">
      <c r="DO2487" s="303" t="s">
        <v>232</v>
      </c>
    </row>
    <row r="2488" spans="119:119" x14ac:dyDescent="0.2">
      <c r="DO2488" s="303" t="s">
        <v>232</v>
      </c>
    </row>
    <row r="2489" spans="119:119" x14ac:dyDescent="0.2">
      <c r="DO2489" s="303" t="s">
        <v>232</v>
      </c>
    </row>
    <row r="2490" spans="119:119" x14ac:dyDescent="0.2">
      <c r="DO2490" s="303" t="s">
        <v>232</v>
      </c>
    </row>
    <row r="2491" spans="119:119" x14ac:dyDescent="0.2">
      <c r="DO2491" s="303" t="s">
        <v>232</v>
      </c>
    </row>
    <row r="2492" spans="119:119" x14ac:dyDescent="0.2">
      <c r="DO2492" s="303" t="s">
        <v>232</v>
      </c>
    </row>
    <row r="2493" spans="119:119" x14ac:dyDescent="0.2">
      <c r="DO2493" s="303" t="s">
        <v>232</v>
      </c>
    </row>
    <row r="2494" spans="119:119" x14ac:dyDescent="0.2">
      <c r="DO2494" s="303" t="s">
        <v>232</v>
      </c>
    </row>
    <row r="2495" spans="119:119" x14ac:dyDescent="0.2">
      <c r="DO2495" s="303" t="s">
        <v>232</v>
      </c>
    </row>
    <row r="2496" spans="119:119" x14ac:dyDescent="0.2">
      <c r="DO2496" s="303" t="s">
        <v>232</v>
      </c>
    </row>
    <row r="2497" spans="119:119" x14ac:dyDescent="0.2">
      <c r="DO2497" s="303" t="s">
        <v>232</v>
      </c>
    </row>
    <row r="2498" spans="119:119" x14ac:dyDescent="0.2">
      <c r="DO2498" s="303" t="s">
        <v>232</v>
      </c>
    </row>
    <row r="2499" spans="119:119" x14ac:dyDescent="0.2">
      <c r="DO2499" s="303" t="s">
        <v>232</v>
      </c>
    </row>
    <row r="2500" spans="119:119" x14ac:dyDescent="0.2">
      <c r="DO2500" s="303" t="s">
        <v>232</v>
      </c>
    </row>
    <row r="2501" spans="119:119" x14ac:dyDescent="0.2">
      <c r="DO2501" s="303" t="s">
        <v>232</v>
      </c>
    </row>
    <row r="2502" spans="119:119" x14ac:dyDescent="0.2">
      <c r="DO2502" s="303" t="s">
        <v>232</v>
      </c>
    </row>
    <row r="2503" spans="119:119" x14ac:dyDescent="0.2">
      <c r="DO2503" s="303" t="s">
        <v>232</v>
      </c>
    </row>
    <row r="2504" spans="119:119" x14ac:dyDescent="0.2">
      <c r="DO2504" s="303" t="s">
        <v>232</v>
      </c>
    </row>
    <row r="2505" spans="119:119" x14ac:dyDescent="0.2">
      <c r="DO2505" s="303" t="s">
        <v>232</v>
      </c>
    </row>
    <row r="2506" spans="119:119" x14ac:dyDescent="0.2">
      <c r="DO2506" s="303" t="s">
        <v>232</v>
      </c>
    </row>
    <row r="2507" spans="119:119" x14ac:dyDescent="0.2">
      <c r="DO2507" s="303" t="s">
        <v>232</v>
      </c>
    </row>
    <row r="2508" spans="119:119" x14ac:dyDescent="0.2">
      <c r="DO2508" s="303" t="s">
        <v>232</v>
      </c>
    </row>
    <row r="2509" spans="119:119" x14ac:dyDescent="0.2">
      <c r="DO2509" s="303" t="s">
        <v>232</v>
      </c>
    </row>
    <row r="2510" spans="119:119" x14ac:dyDescent="0.2">
      <c r="DO2510" s="303" t="s">
        <v>232</v>
      </c>
    </row>
    <row r="2511" spans="119:119" x14ac:dyDescent="0.2">
      <c r="DO2511" s="303" t="s">
        <v>232</v>
      </c>
    </row>
    <row r="2512" spans="119:119" x14ac:dyDescent="0.2">
      <c r="DO2512" s="303" t="s">
        <v>232</v>
      </c>
    </row>
    <row r="2513" spans="119:119" x14ac:dyDescent="0.2">
      <c r="DO2513" s="303" t="s">
        <v>232</v>
      </c>
    </row>
    <row r="2514" spans="119:119" x14ac:dyDescent="0.2">
      <c r="DO2514" s="303" t="s">
        <v>232</v>
      </c>
    </row>
    <row r="2515" spans="119:119" x14ac:dyDescent="0.2">
      <c r="DO2515" s="303" t="s">
        <v>232</v>
      </c>
    </row>
    <row r="2516" spans="119:119" x14ac:dyDescent="0.2">
      <c r="DO2516" s="303" t="s">
        <v>232</v>
      </c>
    </row>
    <row r="2517" spans="119:119" x14ac:dyDescent="0.2">
      <c r="DO2517" s="303" t="s">
        <v>232</v>
      </c>
    </row>
    <row r="2518" spans="119:119" x14ac:dyDescent="0.2">
      <c r="DO2518" s="303" t="s">
        <v>232</v>
      </c>
    </row>
    <row r="2519" spans="119:119" x14ac:dyDescent="0.2">
      <c r="DO2519" s="303" t="s">
        <v>232</v>
      </c>
    </row>
    <row r="2520" spans="119:119" x14ac:dyDescent="0.2">
      <c r="DO2520" s="303" t="s">
        <v>232</v>
      </c>
    </row>
    <row r="2521" spans="119:119" x14ac:dyDescent="0.2">
      <c r="DO2521" s="303" t="s">
        <v>232</v>
      </c>
    </row>
    <row r="2522" spans="119:119" x14ac:dyDescent="0.2">
      <c r="DO2522" s="303" t="s">
        <v>232</v>
      </c>
    </row>
    <row r="2523" spans="119:119" x14ac:dyDescent="0.2">
      <c r="DO2523" s="303" t="s">
        <v>232</v>
      </c>
    </row>
    <row r="2524" spans="119:119" x14ac:dyDescent="0.2">
      <c r="DO2524" s="303" t="s">
        <v>232</v>
      </c>
    </row>
    <row r="2525" spans="119:119" x14ac:dyDescent="0.2">
      <c r="DO2525" s="303" t="s">
        <v>232</v>
      </c>
    </row>
    <row r="2526" spans="119:119" x14ac:dyDescent="0.2">
      <c r="DO2526" s="303" t="s">
        <v>232</v>
      </c>
    </row>
    <row r="2527" spans="119:119" x14ac:dyDescent="0.2">
      <c r="DO2527" s="303" t="s">
        <v>232</v>
      </c>
    </row>
    <row r="2528" spans="119:119" x14ac:dyDescent="0.2">
      <c r="DO2528" s="303" t="s">
        <v>232</v>
      </c>
    </row>
    <row r="2529" spans="119:119" x14ac:dyDescent="0.2">
      <c r="DO2529" s="303" t="s">
        <v>232</v>
      </c>
    </row>
    <row r="2530" spans="119:119" x14ac:dyDescent="0.2">
      <c r="DO2530" s="303" t="s">
        <v>232</v>
      </c>
    </row>
    <row r="2531" spans="119:119" x14ac:dyDescent="0.2">
      <c r="DO2531" s="303" t="s">
        <v>232</v>
      </c>
    </row>
    <row r="2532" spans="119:119" x14ac:dyDescent="0.2">
      <c r="DO2532" s="303" t="s">
        <v>232</v>
      </c>
    </row>
    <row r="2533" spans="119:119" x14ac:dyDescent="0.2">
      <c r="DO2533" s="303" t="s">
        <v>232</v>
      </c>
    </row>
    <row r="2534" spans="119:119" x14ac:dyDescent="0.2">
      <c r="DO2534" s="303" t="s">
        <v>232</v>
      </c>
    </row>
    <row r="2535" spans="119:119" x14ac:dyDescent="0.2">
      <c r="DO2535" s="303" t="s">
        <v>232</v>
      </c>
    </row>
    <row r="2536" spans="119:119" x14ac:dyDescent="0.2">
      <c r="DO2536" s="303" t="s">
        <v>232</v>
      </c>
    </row>
    <row r="2537" spans="119:119" x14ac:dyDescent="0.2">
      <c r="DO2537" s="303" t="s">
        <v>232</v>
      </c>
    </row>
    <row r="2538" spans="119:119" x14ac:dyDescent="0.2">
      <c r="DO2538" s="303" t="s">
        <v>232</v>
      </c>
    </row>
    <row r="2539" spans="119:119" x14ac:dyDescent="0.2">
      <c r="DO2539" s="303" t="s">
        <v>232</v>
      </c>
    </row>
    <row r="2540" spans="119:119" x14ac:dyDescent="0.2">
      <c r="DO2540" s="303" t="s">
        <v>232</v>
      </c>
    </row>
    <row r="2541" spans="119:119" x14ac:dyDescent="0.2">
      <c r="DO2541" s="303" t="s">
        <v>232</v>
      </c>
    </row>
    <row r="2542" spans="119:119" x14ac:dyDescent="0.2">
      <c r="DO2542" s="303" t="s">
        <v>232</v>
      </c>
    </row>
    <row r="2543" spans="119:119" x14ac:dyDescent="0.2">
      <c r="DO2543" s="303" t="s">
        <v>232</v>
      </c>
    </row>
    <row r="2544" spans="119:119" x14ac:dyDescent="0.2">
      <c r="DO2544" s="303" t="s">
        <v>232</v>
      </c>
    </row>
    <row r="2545" spans="119:119" x14ac:dyDescent="0.2">
      <c r="DO2545" s="303" t="s">
        <v>232</v>
      </c>
    </row>
    <row r="2546" spans="119:119" x14ac:dyDescent="0.2">
      <c r="DO2546" s="303" t="s">
        <v>232</v>
      </c>
    </row>
    <row r="2547" spans="119:119" x14ac:dyDescent="0.2">
      <c r="DO2547" s="303" t="s">
        <v>232</v>
      </c>
    </row>
    <row r="2548" spans="119:119" x14ac:dyDescent="0.2">
      <c r="DO2548" s="303" t="s">
        <v>232</v>
      </c>
    </row>
    <row r="2549" spans="119:119" x14ac:dyDescent="0.2">
      <c r="DO2549" s="303" t="s">
        <v>232</v>
      </c>
    </row>
    <row r="2550" spans="119:119" x14ac:dyDescent="0.2">
      <c r="DO2550" s="303" t="s">
        <v>232</v>
      </c>
    </row>
    <row r="2551" spans="119:119" x14ac:dyDescent="0.2">
      <c r="DO2551" s="303" t="s">
        <v>232</v>
      </c>
    </row>
    <row r="2552" spans="119:119" x14ac:dyDescent="0.2">
      <c r="DO2552" s="303" t="s">
        <v>232</v>
      </c>
    </row>
    <row r="2553" spans="119:119" x14ac:dyDescent="0.2">
      <c r="DO2553" s="303" t="s">
        <v>232</v>
      </c>
    </row>
    <row r="2554" spans="119:119" x14ac:dyDescent="0.2">
      <c r="DO2554" s="303" t="s">
        <v>232</v>
      </c>
    </row>
    <row r="2555" spans="119:119" x14ac:dyDescent="0.2">
      <c r="DO2555" s="303" t="s">
        <v>232</v>
      </c>
    </row>
    <row r="2556" spans="119:119" x14ac:dyDescent="0.2">
      <c r="DO2556" s="303" t="s">
        <v>232</v>
      </c>
    </row>
    <row r="2557" spans="119:119" x14ac:dyDescent="0.2">
      <c r="DO2557" s="303" t="s">
        <v>232</v>
      </c>
    </row>
    <row r="2558" spans="119:119" x14ac:dyDescent="0.2">
      <c r="DO2558" s="303" t="s">
        <v>232</v>
      </c>
    </row>
    <row r="2559" spans="119:119" x14ac:dyDescent="0.2">
      <c r="DO2559" s="303" t="s">
        <v>232</v>
      </c>
    </row>
    <row r="2560" spans="119:119" x14ac:dyDescent="0.2">
      <c r="DO2560" s="303" t="s">
        <v>232</v>
      </c>
    </row>
    <row r="2561" spans="119:119" x14ac:dyDescent="0.2">
      <c r="DO2561" s="303" t="s">
        <v>232</v>
      </c>
    </row>
    <row r="2562" spans="119:119" x14ac:dyDescent="0.2">
      <c r="DO2562" s="303" t="s">
        <v>232</v>
      </c>
    </row>
    <row r="2563" spans="119:119" x14ac:dyDescent="0.2">
      <c r="DO2563" s="303" t="s">
        <v>232</v>
      </c>
    </row>
    <row r="2564" spans="119:119" x14ac:dyDescent="0.2">
      <c r="DO2564" s="303" t="s">
        <v>232</v>
      </c>
    </row>
    <row r="2565" spans="119:119" x14ac:dyDescent="0.2">
      <c r="DO2565" s="303" t="s">
        <v>232</v>
      </c>
    </row>
    <row r="2566" spans="119:119" x14ac:dyDescent="0.2">
      <c r="DO2566" s="303" t="s">
        <v>232</v>
      </c>
    </row>
    <row r="2567" spans="119:119" x14ac:dyDescent="0.2">
      <c r="DO2567" s="303" t="s">
        <v>232</v>
      </c>
    </row>
    <row r="2568" spans="119:119" x14ac:dyDescent="0.2">
      <c r="DO2568" s="303" t="s">
        <v>232</v>
      </c>
    </row>
    <row r="2569" spans="119:119" x14ac:dyDescent="0.2">
      <c r="DO2569" s="303" t="s">
        <v>232</v>
      </c>
    </row>
    <row r="2570" spans="119:119" x14ac:dyDescent="0.2">
      <c r="DO2570" s="303" t="s">
        <v>232</v>
      </c>
    </row>
    <row r="2571" spans="119:119" x14ac:dyDescent="0.2">
      <c r="DO2571" s="303" t="s">
        <v>232</v>
      </c>
    </row>
    <row r="2572" spans="119:119" x14ac:dyDescent="0.2">
      <c r="DO2572" s="303" t="s">
        <v>232</v>
      </c>
    </row>
    <row r="2573" spans="119:119" x14ac:dyDescent="0.2">
      <c r="DO2573" s="303" t="s">
        <v>232</v>
      </c>
    </row>
    <row r="2574" spans="119:119" x14ac:dyDescent="0.2">
      <c r="DO2574" s="303" t="s">
        <v>232</v>
      </c>
    </row>
    <row r="2575" spans="119:119" x14ac:dyDescent="0.2">
      <c r="DO2575" s="303" t="s">
        <v>232</v>
      </c>
    </row>
    <row r="2576" spans="119:119" x14ac:dyDescent="0.2">
      <c r="DO2576" s="303" t="s">
        <v>232</v>
      </c>
    </row>
    <row r="2577" spans="119:119" x14ac:dyDescent="0.2">
      <c r="DO2577" s="303" t="s">
        <v>232</v>
      </c>
    </row>
    <row r="2578" spans="119:119" x14ac:dyDescent="0.2">
      <c r="DO2578" s="303" t="s">
        <v>232</v>
      </c>
    </row>
    <row r="2579" spans="119:119" x14ac:dyDescent="0.2">
      <c r="DO2579" s="303" t="s">
        <v>232</v>
      </c>
    </row>
    <row r="2580" spans="119:119" x14ac:dyDescent="0.2">
      <c r="DO2580" s="303" t="s">
        <v>232</v>
      </c>
    </row>
    <row r="2581" spans="119:119" x14ac:dyDescent="0.2">
      <c r="DO2581" s="303" t="s">
        <v>232</v>
      </c>
    </row>
    <row r="2582" spans="119:119" x14ac:dyDescent="0.2">
      <c r="DO2582" s="303" t="s">
        <v>232</v>
      </c>
    </row>
    <row r="2583" spans="119:119" x14ac:dyDescent="0.2">
      <c r="DO2583" s="303" t="s">
        <v>232</v>
      </c>
    </row>
    <row r="2584" spans="119:119" x14ac:dyDescent="0.2">
      <c r="DO2584" s="303" t="s">
        <v>232</v>
      </c>
    </row>
    <row r="2585" spans="119:119" x14ac:dyDescent="0.2">
      <c r="DO2585" s="303" t="s">
        <v>232</v>
      </c>
    </row>
    <row r="2586" spans="119:119" x14ac:dyDescent="0.2">
      <c r="DO2586" s="303" t="s">
        <v>232</v>
      </c>
    </row>
    <row r="2587" spans="119:119" x14ac:dyDescent="0.2">
      <c r="DO2587" s="303" t="s">
        <v>232</v>
      </c>
    </row>
    <row r="2588" spans="119:119" x14ac:dyDescent="0.2">
      <c r="DO2588" s="303" t="s">
        <v>232</v>
      </c>
    </row>
    <row r="2589" spans="119:119" x14ac:dyDescent="0.2">
      <c r="DO2589" s="303" t="s">
        <v>232</v>
      </c>
    </row>
    <row r="2590" spans="119:119" x14ac:dyDescent="0.2">
      <c r="DO2590" s="303" t="s">
        <v>232</v>
      </c>
    </row>
    <row r="2591" spans="119:119" x14ac:dyDescent="0.2">
      <c r="DO2591" s="303" t="s">
        <v>232</v>
      </c>
    </row>
    <row r="2592" spans="119:119" x14ac:dyDescent="0.2">
      <c r="DO2592" s="303" t="s">
        <v>232</v>
      </c>
    </row>
    <row r="2593" spans="119:119" x14ac:dyDescent="0.2">
      <c r="DO2593" s="303" t="s">
        <v>232</v>
      </c>
    </row>
    <row r="2594" spans="119:119" x14ac:dyDescent="0.2">
      <c r="DO2594" s="303" t="s">
        <v>232</v>
      </c>
    </row>
    <row r="2595" spans="119:119" x14ac:dyDescent="0.2">
      <c r="DO2595" s="303" t="s">
        <v>232</v>
      </c>
    </row>
    <row r="2596" spans="119:119" x14ac:dyDescent="0.2">
      <c r="DO2596" s="303" t="s">
        <v>232</v>
      </c>
    </row>
    <row r="2597" spans="119:119" x14ac:dyDescent="0.2">
      <c r="DO2597" s="303" t="s">
        <v>232</v>
      </c>
    </row>
    <row r="2598" spans="119:119" x14ac:dyDescent="0.2">
      <c r="DO2598" s="303" t="s">
        <v>232</v>
      </c>
    </row>
    <row r="2599" spans="119:119" x14ac:dyDescent="0.2">
      <c r="DO2599" s="303" t="s">
        <v>232</v>
      </c>
    </row>
    <row r="2600" spans="119:119" x14ac:dyDescent="0.2">
      <c r="DO2600" s="303" t="s">
        <v>232</v>
      </c>
    </row>
    <row r="2601" spans="119:119" x14ac:dyDescent="0.2">
      <c r="DO2601" s="303" t="s">
        <v>232</v>
      </c>
    </row>
    <row r="2602" spans="119:119" x14ac:dyDescent="0.2">
      <c r="DO2602" s="303" t="s">
        <v>232</v>
      </c>
    </row>
    <row r="2603" spans="119:119" x14ac:dyDescent="0.2">
      <c r="DO2603" s="303" t="s">
        <v>232</v>
      </c>
    </row>
    <row r="2604" spans="119:119" x14ac:dyDescent="0.2">
      <c r="DO2604" s="303" t="s">
        <v>232</v>
      </c>
    </row>
    <row r="2605" spans="119:119" x14ac:dyDescent="0.2">
      <c r="DO2605" s="303" t="s">
        <v>232</v>
      </c>
    </row>
    <row r="2606" spans="119:119" x14ac:dyDescent="0.2">
      <c r="DO2606" s="303" t="s">
        <v>232</v>
      </c>
    </row>
    <row r="2607" spans="119:119" x14ac:dyDescent="0.2">
      <c r="DO2607" s="303" t="s">
        <v>232</v>
      </c>
    </row>
    <row r="2608" spans="119:119" x14ac:dyDescent="0.2">
      <c r="DO2608" s="303" t="s">
        <v>232</v>
      </c>
    </row>
    <row r="2609" spans="119:119" x14ac:dyDescent="0.2">
      <c r="DO2609" s="303" t="s">
        <v>232</v>
      </c>
    </row>
    <row r="2610" spans="119:119" x14ac:dyDescent="0.2">
      <c r="DO2610" s="303" t="s">
        <v>232</v>
      </c>
    </row>
    <row r="2611" spans="119:119" x14ac:dyDescent="0.2">
      <c r="DO2611" s="303" t="s">
        <v>232</v>
      </c>
    </row>
    <row r="2612" spans="119:119" x14ac:dyDescent="0.2">
      <c r="DO2612" s="303" t="s">
        <v>232</v>
      </c>
    </row>
    <row r="2613" spans="119:119" x14ac:dyDescent="0.2">
      <c r="DO2613" s="303" t="s">
        <v>232</v>
      </c>
    </row>
    <row r="2614" spans="119:119" x14ac:dyDescent="0.2">
      <c r="DO2614" s="303" t="s">
        <v>232</v>
      </c>
    </row>
    <row r="2615" spans="119:119" x14ac:dyDescent="0.2">
      <c r="DO2615" s="303" t="s">
        <v>232</v>
      </c>
    </row>
    <row r="2616" spans="119:119" x14ac:dyDescent="0.2">
      <c r="DO2616" s="303" t="s">
        <v>232</v>
      </c>
    </row>
    <row r="2617" spans="119:119" x14ac:dyDescent="0.2">
      <c r="DO2617" s="303" t="s">
        <v>232</v>
      </c>
    </row>
    <row r="2618" spans="119:119" x14ac:dyDescent="0.2">
      <c r="DO2618" s="303" t="s">
        <v>232</v>
      </c>
    </row>
    <row r="2619" spans="119:119" x14ac:dyDescent="0.2">
      <c r="DO2619" s="303" t="s">
        <v>232</v>
      </c>
    </row>
    <row r="2620" spans="119:119" x14ac:dyDescent="0.2">
      <c r="DO2620" s="303" t="s">
        <v>232</v>
      </c>
    </row>
    <row r="2621" spans="119:119" x14ac:dyDescent="0.2">
      <c r="DO2621" s="303" t="s">
        <v>232</v>
      </c>
    </row>
    <row r="2622" spans="119:119" x14ac:dyDescent="0.2">
      <c r="DO2622" s="303" t="s">
        <v>232</v>
      </c>
    </row>
    <row r="2623" spans="119:119" x14ac:dyDescent="0.2">
      <c r="DO2623" s="303" t="s">
        <v>232</v>
      </c>
    </row>
    <row r="2624" spans="119:119" x14ac:dyDescent="0.2">
      <c r="DO2624" s="303" t="s">
        <v>232</v>
      </c>
    </row>
    <row r="2625" spans="119:119" x14ac:dyDescent="0.2">
      <c r="DO2625" s="303" t="s">
        <v>232</v>
      </c>
    </row>
    <row r="2626" spans="119:119" x14ac:dyDescent="0.2">
      <c r="DO2626" s="303" t="s">
        <v>232</v>
      </c>
    </row>
    <row r="2627" spans="119:119" x14ac:dyDescent="0.2">
      <c r="DO2627" s="303" t="s">
        <v>232</v>
      </c>
    </row>
    <row r="2628" spans="119:119" x14ac:dyDescent="0.2">
      <c r="DO2628" s="303" t="s">
        <v>232</v>
      </c>
    </row>
    <row r="2629" spans="119:119" x14ac:dyDescent="0.2">
      <c r="DO2629" s="303" t="s">
        <v>232</v>
      </c>
    </row>
    <row r="2630" spans="119:119" x14ac:dyDescent="0.2">
      <c r="DO2630" s="303" t="s">
        <v>232</v>
      </c>
    </row>
    <row r="2631" spans="119:119" x14ac:dyDescent="0.2">
      <c r="DO2631" s="303" t="s">
        <v>232</v>
      </c>
    </row>
    <row r="2632" spans="119:119" x14ac:dyDescent="0.2">
      <c r="DO2632" s="303" t="s">
        <v>232</v>
      </c>
    </row>
    <row r="2633" spans="119:119" x14ac:dyDescent="0.2">
      <c r="DO2633" s="303" t="s">
        <v>232</v>
      </c>
    </row>
    <row r="2634" spans="119:119" x14ac:dyDescent="0.2">
      <c r="DO2634" s="303" t="s">
        <v>232</v>
      </c>
    </row>
    <row r="2635" spans="119:119" x14ac:dyDescent="0.2">
      <c r="DO2635" s="303" t="s">
        <v>232</v>
      </c>
    </row>
    <row r="2636" spans="119:119" x14ac:dyDescent="0.2">
      <c r="DO2636" s="303" t="s">
        <v>232</v>
      </c>
    </row>
    <row r="2637" spans="119:119" x14ac:dyDescent="0.2">
      <c r="DO2637" s="303" t="s">
        <v>232</v>
      </c>
    </row>
    <row r="2638" spans="119:119" x14ac:dyDescent="0.2">
      <c r="DO2638" s="303" t="s">
        <v>232</v>
      </c>
    </row>
    <row r="2639" spans="119:119" x14ac:dyDescent="0.2">
      <c r="DO2639" s="303" t="s">
        <v>232</v>
      </c>
    </row>
    <row r="2640" spans="119:119" x14ac:dyDescent="0.2">
      <c r="DO2640" s="303" t="s">
        <v>232</v>
      </c>
    </row>
    <row r="2641" spans="119:119" x14ac:dyDescent="0.2">
      <c r="DO2641" s="303" t="s">
        <v>232</v>
      </c>
    </row>
    <row r="2642" spans="119:119" x14ac:dyDescent="0.2">
      <c r="DO2642" s="303" t="s">
        <v>232</v>
      </c>
    </row>
    <row r="2643" spans="119:119" x14ac:dyDescent="0.2">
      <c r="DO2643" s="303" t="s">
        <v>232</v>
      </c>
    </row>
    <row r="2644" spans="119:119" x14ac:dyDescent="0.2">
      <c r="DO2644" s="303" t="s">
        <v>232</v>
      </c>
    </row>
    <row r="2645" spans="119:119" x14ac:dyDescent="0.2">
      <c r="DO2645" s="303" t="s">
        <v>232</v>
      </c>
    </row>
    <row r="2646" spans="119:119" x14ac:dyDescent="0.2">
      <c r="DO2646" s="303" t="s">
        <v>232</v>
      </c>
    </row>
    <row r="2647" spans="119:119" x14ac:dyDescent="0.2">
      <c r="DO2647" s="303" t="s">
        <v>232</v>
      </c>
    </row>
    <row r="2648" spans="119:119" x14ac:dyDescent="0.2">
      <c r="DO2648" s="303" t="s">
        <v>232</v>
      </c>
    </row>
    <row r="2649" spans="119:119" x14ac:dyDescent="0.2">
      <c r="DO2649" s="303" t="s">
        <v>232</v>
      </c>
    </row>
    <row r="2650" spans="119:119" x14ac:dyDescent="0.2">
      <c r="DO2650" s="303" t="s">
        <v>232</v>
      </c>
    </row>
    <row r="2651" spans="119:119" x14ac:dyDescent="0.2">
      <c r="DO2651" s="303" t="s">
        <v>232</v>
      </c>
    </row>
    <row r="2652" spans="119:119" x14ac:dyDescent="0.2">
      <c r="DO2652" s="303" t="s">
        <v>232</v>
      </c>
    </row>
    <row r="2653" spans="119:119" x14ac:dyDescent="0.2">
      <c r="DO2653" s="303" t="s">
        <v>232</v>
      </c>
    </row>
    <row r="2654" spans="119:119" x14ac:dyDescent="0.2">
      <c r="DO2654" s="303" t="s">
        <v>232</v>
      </c>
    </row>
    <row r="2655" spans="119:119" x14ac:dyDescent="0.2">
      <c r="DO2655" s="303" t="s">
        <v>232</v>
      </c>
    </row>
    <row r="2656" spans="119:119" x14ac:dyDescent="0.2">
      <c r="DO2656" s="303" t="s">
        <v>232</v>
      </c>
    </row>
    <row r="2657" spans="119:119" x14ac:dyDescent="0.2">
      <c r="DO2657" s="303" t="s">
        <v>232</v>
      </c>
    </row>
    <row r="2658" spans="119:119" x14ac:dyDescent="0.2">
      <c r="DO2658" s="303" t="s">
        <v>232</v>
      </c>
    </row>
    <row r="2659" spans="119:119" x14ac:dyDescent="0.2">
      <c r="DO2659" s="303" t="s">
        <v>232</v>
      </c>
    </row>
    <row r="2660" spans="119:119" x14ac:dyDescent="0.2">
      <c r="DO2660" s="303" t="s">
        <v>232</v>
      </c>
    </row>
    <row r="2661" spans="119:119" x14ac:dyDescent="0.2">
      <c r="DO2661" s="303" t="s">
        <v>232</v>
      </c>
    </row>
    <row r="2662" spans="119:119" x14ac:dyDescent="0.2">
      <c r="DO2662" s="303" t="s">
        <v>232</v>
      </c>
    </row>
    <row r="2663" spans="119:119" x14ac:dyDescent="0.2">
      <c r="DO2663" s="303" t="s">
        <v>232</v>
      </c>
    </row>
    <row r="2664" spans="119:119" x14ac:dyDescent="0.2">
      <c r="DO2664" s="303" t="s">
        <v>232</v>
      </c>
    </row>
    <row r="2665" spans="119:119" x14ac:dyDescent="0.2">
      <c r="DO2665" s="303" t="s">
        <v>232</v>
      </c>
    </row>
    <row r="2666" spans="119:119" x14ac:dyDescent="0.2">
      <c r="DO2666" s="303" t="s">
        <v>232</v>
      </c>
    </row>
    <row r="2667" spans="119:119" x14ac:dyDescent="0.2">
      <c r="DO2667" s="303" t="s">
        <v>232</v>
      </c>
    </row>
    <row r="2668" spans="119:119" x14ac:dyDescent="0.2">
      <c r="DO2668" s="303" t="s">
        <v>232</v>
      </c>
    </row>
    <row r="2669" spans="119:119" x14ac:dyDescent="0.2">
      <c r="DO2669" s="303" t="s">
        <v>232</v>
      </c>
    </row>
    <row r="2670" spans="119:119" x14ac:dyDescent="0.2">
      <c r="DO2670" s="303" t="s">
        <v>232</v>
      </c>
    </row>
    <row r="2671" spans="119:119" x14ac:dyDescent="0.2">
      <c r="DO2671" s="303" t="s">
        <v>232</v>
      </c>
    </row>
    <row r="2672" spans="119:119" x14ac:dyDescent="0.2">
      <c r="DO2672" s="303" t="s">
        <v>232</v>
      </c>
    </row>
    <row r="2673" spans="119:119" x14ac:dyDescent="0.2">
      <c r="DO2673" s="303" t="s">
        <v>232</v>
      </c>
    </row>
    <row r="2674" spans="119:119" x14ac:dyDescent="0.2">
      <c r="DO2674" s="303" t="s">
        <v>232</v>
      </c>
    </row>
    <row r="2675" spans="119:119" x14ac:dyDescent="0.2">
      <c r="DO2675" s="303" t="s">
        <v>232</v>
      </c>
    </row>
    <row r="2676" spans="119:119" x14ac:dyDescent="0.2">
      <c r="DO2676" s="303" t="s">
        <v>232</v>
      </c>
    </row>
    <row r="2677" spans="119:119" x14ac:dyDescent="0.2">
      <c r="DO2677" s="303" t="s">
        <v>232</v>
      </c>
    </row>
    <row r="2678" spans="119:119" x14ac:dyDescent="0.2">
      <c r="DO2678" s="303" t="s">
        <v>232</v>
      </c>
    </row>
    <row r="2679" spans="119:119" x14ac:dyDescent="0.2">
      <c r="DO2679" s="303" t="s">
        <v>232</v>
      </c>
    </row>
    <row r="2680" spans="119:119" x14ac:dyDescent="0.2">
      <c r="DO2680" s="303" t="s">
        <v>232</v>
      </c>
    </row>
    <row r="2681" spans="119:119" x14ac:dyDescent="0.2">
      <c r="DO2681" s="303" t="s">
        <v>232</v>
      </c>
    </row>
    <row r="2682" spans="119:119" x14ac:dyDescent="0.2">
      <c r="DO2682" s="303" t="s">
        <v>232</v>
      </c>
    </row>
    <row r="2683" spans="119:119" x14ac:dyDescent="0.2">
      <c r="DO2683" s="303" t="s">
        <v>232</v>
      </c>
    </row>
    <row r="2684" spans="119:119" x14ac:dyDescent="0.2">
      <c r="DO2684" s="303" t="s">
        <v>232</v>
      </c>
    </row>
    <row r="2685" spans="119:119" x14ac:dyDescent="0.2">
      <c r="DO2685" s="303" t="s">
        <v>232</v>
      </c>
    </row>
    <row r="2686" spans="119:119" x14ac:dyDescent="0.2">
      <c r="DO2686" s="303" t="s">
        <v>232</v>
      </c>
    </row>
    <row r="2687" spans="119:119" x14ac:dyDescent="0.2">
      <c r="DO2687" s="303" t="s">
        <v>232</v>
      </c>
    </row>
    <row r="2688" spans="119:119" x14ac:dyDescent="0.2">
      <c r="DO2688" s="303" t="s">
        <v>232</v>
      </c>
    </row>
    <row r="2689" spans="119:119" x14ac:dyDescent="0.2">
      <c r="DO2689" s="303" t="s">
        <v>232</v>
      </c>
    </row>
    <row r="2690" spans="119:119" x14ac:dyDescent="0.2">
      <c r="DO2690" s="303" t="s">
        <v>232</v>
      </c>
    </row>
    <row r="2691" spans="119:119" x14ac:dyDescent="0.2">
      <c r="DO2691" s="303" t="s">
        <v>232</v>
      </c>
    </row>
    <row r="2692" spans="119:119" x14ac:dyDescent="0.2">
      <c r="DO2692" s="303" t="s">
        <v>232</v>
      </c>
    </row>
    <row r="2693" spans="119:119" x14ac:dyDescent="0.2">
      <c r="DO2693" s="303" t="s">
        <v>232</v>
      </c>
    </row>
    <row r="2694" spans="119:119" x14ac:dyDescent="0.2">
      <c r="DO2694" s="303" t="s">
        <v>232</v>
      </c>
    </row>
    <row r="2695" spans="119:119" x14ac:dyDescent="0.2">
      <c r="DO2695" s="303" t="s">
        <v>232</v>
      </c>
    </row>
    <row r="2696" spans="119:119" x14ac:dyDescent="0.2">
      <c r="DO2696" s="303" t="s">
        <v>232</v>
      </c>
    </row>
    <row r="2697" spans="119:119" x14ac:dyDescent="0.2">
      <c r="DO2697" s="303" t="s">
        <v>232</v>
      </c>
    </row>
    <row r="2698" spans="119:119" x14ac:dyDescent="0.2">
      <c r="DO2698" s="303" t="s">
        <v>232</v>
      </c>
    </row>
    <row r="2699" spans="119:119" x14ac:dyDescent="0.2">
      <c r="DO2699" s="303" t="s">
        <v>232</v>
      </c>
    </row>
    <row r="2700" spans="119:119" x14ac:dyDescent="0.2">
      <c r="DO2700" s="303" t="s">
        <v>232</v>
      </c>
    </row>
    <row r="2701" spans="119:119" x14ac:dyDescent="0.2">
      <c r="DO2701" s="303" t="s">
        <v>232</v>
      </c>
    </row>
    <row r="2702" spans="119:119" x14ac:dyDescent="0.2">
      <c r="DO2702" s="303" t="s">
        <v>232</v>
      </c>
    </row>
    <row r="2703" spans="119:119" x14ac:dyDescent="0.2">
      <c r="DO2703" s="303" t="s">
        <v>232</v>
      </c>
    </row>
    <row r="2704" spans="119:119" x14ac:dyDescent="0.2">
      <c r="DO2704" s="303" t="s">
        <v>232</v>
      </c>
    </row>
    <row r="2705" spans="119:119" x14ac:dyDescent="0.2">
      <c r="DO2705" s="303" t="s">
        <v>232</v>
      </c>
    </row>
    <row r="2706" spans="119:119" x14ac:dyDescent="0.2">
      <c r="DO2706" s="303" t="s">
        <v>232</v>
      </c>
    </row>
    <row r="2707" spans="119:119" x14ac:dyDescent="0.2">
      <c r="DO2707" s="303" t="s">
        <v>232</v>
      </c>
    </row>
    <row r="2708" spans="119:119" x14ac:dyDescent="0.2">
      <c r="DO2708" s="303" t="s">
        <v>232</v>
      </c>
    </row>
    <row r="2709" spans="119:119" x14ac:dyDescent="0.2">
      <c r="DO2709" s="303" t="s">
        <v>232</v>
      </c>
    </row>
    <row r="2710" spans="119:119" x14ac:dyDescent="0.2">
      <c r="DO2710" s="303" t="s">
        <v>232</v>
      </c>
    </row>
    <row r="2711" spans="119:119" x14ac:dyDescent="0.2">
      <c r="DO2711" s="303" t="s">
        <v>232</v>
      </c>
    </row>
    <row r="2712" spans="119:119" x14ac:dyDescent="0.2">
      <c r="DO2712" s="303" t="s">
        <v>232</v>
      </c>
    </row>
    <row r="2713" spans="119:119" x14ac:dyDescent="0.2">
      <c r="DO2713" s="303" t="s">
        <v>232</v>
      </c>
    </row>
    <row r="2714" spans="119:119" x14ac:dyDescent="0.2">
      <c r="DO2714" s="303" t="s">
        <v>232</v>
      </c>
    </row>
    <row r="2715" spans="119:119" x14ac:dyDescent="0.2">
      <c r="DO2715" s="303" t="s">
        <v>232</v>
      </c>
    </row>
    <row r="2716" spans="119:119" x14ac:dyDescent="0.2">
      <c r="DO2716" s="303" t="s">
        <v>232</v>
      </c>
    </row>
    <row r="2717" spans="119:119" x14ac:dyDescent="0.2">
      <c r="DO2717" s="303" t="s">
        <v>232</v>
      </c>
    </row>
    <row r="2718" spans="119:119" x14ac:dyDescent="0.2">
      <c r="DO2718" s="303" t="s">
        <v>232</v>
      </c>
    </row>
    <row r="2719" spans="119:119" x14ac:dyDescent="0.2">
      <c r="DO2719" s="303" t="s">
        <v>232</v>
      </c>
    </row>
    <row r="2720" spans="119:119" x14ac:dyDescent="0.2">
      <c r="DO2720" s="303" t="s">
        <v>232</v>
      </c>
    </row>
    <row r="2721" spans="119:119" x14ac:dyDescent="0.2">
      <c r="DO2721" s="303" t="s">
        <v>232</v>
      </c>
    </row>
    <row r="2722" spans="119:119" x14ac:dyDescent="0.2">
      <c r="DO2722" s="303" t="s">
        <v>232</v>
      </c>
    </row>
    <row r="2723" spans="119:119" x14ac:dyDescent="0.2">
      <c r="DO2723" s="303" t="s">
        <v>232</v>
      </c>
    </row>
    <row r="2724" spans="119:119" x14ac:dyDescent="0.2">
      <c r="DO2724" s="303" t="s">
        <v>232</v>
      </c>
    </row>
    <row r="2725" spans="119:119" x14ac:dyDescent="0.2">
      <c r="DO2725" s="303" t="s">
        <v>232</v>
      </c>
    </row>
    <row r="2726" spans="119:119" x14ac:dyDescent="0.2">
      <c r="DO2726" s="303" t="s">
        <v>232</v>
      </c>
    </row>
    <row r="2727" spans="119:119" x14ac:dyDescent="0.2">
      <c r="DO2727" s="303" t="s">
        <v>232</v>
      </c>
    </row>
    <row r="2728" spans="119:119" x14ac:dyDescent="0.2">
      <c r="DO2728" s="303" t="s">
        <v>232</v>
      </c>
    </row>
    <row r="2729" spans="119:119" x14ac:dyDescent="0.2">
      <c r="DO2729" s="303" t="s">
        <v>232</v>
      </c>
    </row>
    <row r="2730" spans="119:119" x14ac:dyDescent="0.2">
      <c r="DO2730" s="303" t="s">
        <v>232</v>
      </c>
    </row>
    <row r="2731" spans="119:119" x14ac:dyDescent="0.2">
      <c r="DO2731" s="303" t="s">
        <v>232</v>
      </c>
    </row>
    <row r="2732" spans="119:119" x14ac:dyDescent="0.2">
      <c r="DO2732" s="303" t="s">
        <v>232</v>
      </c>
    </row>
    <row r="2733" spans="119:119" x14ac:dyDescent="0.2">
      <c r="DO2733" s="303" t="s">
        <v>232</v>
      </c>
    </row>
    <row r="2734" spans="119:119" x14ac:dyDescent="0.2">
      <c r="DO2734" s="303" t="s">
        <v>232</v>
      </c>
    </row>
    <row r="2735" spans="119:119" x14ac:dyDescent="0.2">
      <c r="DO2735" s="303" t="s">
        <v>232</v>
      </c>
    </row>
    <row r="2736" spans="119:119" x14ac:dyDescent="0.2">
      <c r="DO2736" s="303" t="s">
        <v>232</v>
      </c>
    </row>
    <row r="2737" spans="119:119" x14ac:dyDescent="0.2">
      <c r="DO2737" s="303" t="s">
        <v>232</v>
      </c>
    </row>
    <row r="2738" spans="119:119" x14ac:dyDescent="0.2">
      <c r="DO2738" s="303" t="s">
        <v>232</v>
      </c>
    </row>
    <row r="2739" spans="119:119" x14ac:dyDescent="0.2">
      <c r="DO2739" s="303" t="s">
        <v>232</v>
      </c>
    </row>
    <row r="2740" spans="119:119" x14ac:dyDescent="0.2">
      <c r="DO2740" s="303" t="s">
        <v>232</v>
      </c>
    </row>
    <row r="2741" spans="119:119" x14ac:dyDescent="0.2">
      <c r="DO2741" s="303" t="s">
        <v>232</v>
      </c>
    </row>
    <row r="2742" spans="119:119" x14ac:dyDescent="0.2">
      <c r="DO2742" s="303" t="s">
        <v>232</v>
      </c>
    </row>
    <row r="2743" spans="119:119" x14ac:dyDescent="0.2">
      <c r="DO2743" s="303" t="s">
        <v>232</v>
      </c>
    </row>
    <row r="2744" spans="119:119" x14ac:dyDescent="0.2">
      <c r="DO2744" s="303" t="s">
        <v>232</v>
      </c>
    </row>
    <row r="2745" spans="119:119" x14ac:dyDescent="0.2">
      <c r="DO2745" s="303" t="s">
        <v>232</v>
      </c>
    </row>
    <row r="2746" spans="119:119" x14ac:dyDescent="0.2">
      <c r="DO2746" s="303" t="s">
        <v>232</v>
      </c>
    </row>
    <row r="2747" spans="119:119" x14ac:dyDescent="0.2">
      <c r="DO2747" s="303" t="s">
        <v>232</v>
      </c>
    </row>
    <row r="2748" spans="119:119" x14ac:dyDescent="0.2">
      <c r="DO2748" s="303" t="s">
        <v>232</v>
      </c>
    </row>
    <row r="2749" spans="119:119" x14ac:dyDescent="0.2">
      <c r="DO2749" s="303" t="s">
        <v>232</v>
      </c>
    </row>
    <row r="2750" spans="119:119" x14ac:dyDescent="0.2">
      <c r="DO2750" s="303" t="s">
        <v>232</v>
      </c>
    </row>
    <row r="2751" spans="119:119" x14ac:dyDescent="0.2">
      <c r="DO2751" s="303" t="s">
        <v>232</v>
      </c>
    </row>
    <row r="2752" spans="119:119" x14ac:dyDescent="0.2">
      <c r="DO2752" s="303" t="s">
        <v>232</v>
      </c>
    </row>
    <row r="2753" spans="119:119" x14ac:dyDescent="0.2">
      <c r="DO2753" s="303" t="s">
        <v>232</v>
      </c>
    </row>
    <row r="2754" spans="119:119" x14ac:dyDescent="0.2">
      <c r="DO2754" s="303" t="s">
        <v>232</v>
      </c>
    </row>
    <row r="2755" spans="119:119" x14ac:dyDescent="0.2">
      <c r="DO2755" s="303" t="s">
        <v>232</v>
      </c>
    </row>
    <row r="2756" spans="119:119" x14ac:dyDescent="0.2">
      <c r="DO2756" s="303" t="s">
        <v>232</v>
      </c>
    </row>
    <row r="2757" spans="119:119" x14ac:dyDescent="0.2">
      <c r="DO2757" s="303" t="s">
        <v>232</v>
      </c>
    </row>
    <row r="2758" spans="119:119" x14ac:dyDescent="0.2">
      <c r="DO2758" s="303" t="s">
        <v>232</v>
      </c>
    </row>
    <row r="2759" spans="119:119" x14ac:dyDescent="0.2">
      <c r="DO2759" s="303" t="s">
        <v>232</v>
      </c>
    </row>
    <row r="2760" spans="119:119" x14ac:dyDescent="0.2">
      <c r="DO2760" s="303" t="s">
        <v>232</v>
      </c>
    </row>
    <row r="2761" spans="119:119" x14ac:dyDescent="0.2">
      <c r="DO2761" s="303" t="s">
        <v>232</v>
      </c>
    </row>
    <row r="2762" spans="119:119" x14ac:dyDescent="0.2">
      <c r="DO2762" s="303" t="s">
        <v>232</v>
      </c>
    </row>
    <row r="2763" spans="119:119" x14ac:dyDescent="0.2">
      <c r="DO2763" s="303" t="s">
        <v>232</v>
      </c>
    </row>
    <row r="2764" spans="119:119" x14ac:dyDescent="0.2">
      <c r="DO2764" s="303" t="s">
        <v>232</v>
      </c>
    </row>
    <row r="2765" spans="119:119" x14ac:dyDescent="0.2">
      <c r="DO2765" s="303" t="s">
        <v>232</v>
      </c>
    </row>
    <row r="2766" spans="119:119" x14ac:dyDescent="0.2">
      <c r="DO2766" s="303" t="s">
        <v>232</v>
      </c>
    </row>
    <row r="2767" spans="119:119" x14ac:dyDescent="0.2">
      <c r="DO2767" s="303" t="s">
        <v>232</v>
      </c>
    </row>
    <row r="2768" spans="119:119" x14ac:dyDescent="0.2">
      <c r="DO2768" s="303" t="s">
        <v>232</v>
      </c>
    </row>
    <row r="2769" spans="119:119" x14ac:dyDescent="0.2">
      <c r="DO2769" s="303" t="s">
        <v>232</v>
      </c>
    </row>
    <row r="2770" spans="119:119" x14ac:dyDescent="0.2">
      <c r="DO2770" s="303" t="s">
        <v>232</v>
      </c>
    </row>
    <row r="2771" spans="119:119" x14ac:dyDescent="0.2">
      <c r="DO2771" s="303" t="s">
        <v>232</v>
      </c>
    </row>
    <row r="2772" spans="119:119" x14ac:dyDescent="0.2">
      <c r="DO2772" s="303" t="s">
        <v>232</v>
      </c>
    </row>
    <row r="2773" spans="119:119" x14ac:dyDescent="0.2">
      <c r="DO2773" s="303" t="s">
        <v>232</v>
      </c>
    </row>
    <row r="2774" spans="119:119" x14ac:dyDescent="0.2">
      <c r="DO2774" s="303" t="s">
        <v>232</v>
      </c>
    </row>
    <row r="2775" spans="119:119" x14ac:dyDescent="0.2">
      <c r="DO2775" s="303" t="s">
        <v>232</v>
      </c>
    </row>
    <row r="2776" spans="119:119" x14ac:dyDescent="0.2">
      <c r="DO2776" s="303" t="s">
        <v>232</v>
      </c>
    </row>
    <row r="2777" spans="119:119" x14ac:dyDescent="0.2">
      <c r="DO2777" s="303" t="s">
        <v>232</v>
      </c>
    </row>
    <row r="2778" spans="119:119" x14ac:dyDescent="0.2">
      <c r="DO2778" s="303" t="s">
        <v>232</v>
      </c>
    </row>
    <row r="2779" spans="119:119" x14ac:dyDescent="0.2">
      <c r="DO2779" s="303" t="s">
        <v>232</v>
      </c>
    </row>
    <row r="2780" spans="119:119" x14ac:dyDescent="0.2">
      <c r="DO2780" s="303" t="s">
        <v>232</v>
      </c>
    </row>
    <row r="2781" spans="119:119" x14ac:dyDescent="0.2">
      <c r="DO2781" s="303" t="s">
        <v>232</v>
      </c>
    </row>
    <row r="2782" spans="119:119" x14ac:dyDescent="0.2">
      <c r="DO2782" s="303" t="s">
        <v>232</v>
      </c>
    </row>
    <row r="2783" spans="119:119" x14ac:dyDescent="0.2">
      <c r="DO2783" s="303" t="s">
        <v>232</v>
      </c>
    </row>
    <row r="2784" spans="119:119" x14ac:dyDescent="0.2">
      <c r="DO2784" s="303" t="s">
        <v>232</v>
      </c>
    </row>
    <row r="2785" spans="119:119" x14ac:dyDescent="0.2">
      <c r="DO2785" s="303" t="s">
        <v>232</v>
      </c>
    </row>
    <row r="2786" spans="119:119" x14ac:dyDescent="0.2">
      <c r="DO2786" s="303" t="s">
        <v>232</v>
      </c>
    </row>
    <row r="2787" spans="119:119" x14ac:dyDescent="0.2">
      <c r="DO2787" s="303" t="s">
        <v>232</v>
      </c>
    </row>
    <row r="2788" spans="119:119" x14ac:dyDescent="0.2">
      <c r="DO2788" s="303" t="s">
        <v>232</v>
      </c>
    </row>
    <row r="2789" spans="119:119" x14ac:dyDescent="0.2">
      <c r="DO2789" s="303" t="s">
        <v>232</v>
      </c>
    </row>
    <row r="2790" spans="119:119" x14ac:dyDescent="0.2">
      <c r="DO2790" s="303" t="s">
        <v>232</v>
      </c>
    </row>
    <row r="2791" spans="119:119" x14ac:dyDescent="0.2">
      <c r="DO2791" s="303" t="s">
        <v>232</v>
      </c>
    </row>
    <row r="2792" spans="119:119" x14ac:dyDescent="0.2">
      <c r="DO2792" s="303" t="s">
        <v>232</v>
      </c>
    </row>
    <row r="2793" spans="119:119" x14ac:dyDescent="0.2">
      <c r="DO2793" s="303" t="s">
        <v>232</v>
      </c>
    </row>
    <row r="2794" spans="119:119" x14ac:dyDescent="0.2">
      <c r="DO2794" s="303" t="s">
        <v>232</v>
      </c>
    </row>
    <row r="2795" spans="119:119" x14ac:dyDescent="0.2">
      <c r="DO2795" s="303" t="s">
        <v>232</v>
      </c>
    </row>
    <row r="2796" spans="119:119" x14ac:dyDescent="0.2">
      <c r="DO2796" s="303" t="s">
        <v>232</v>
      </c>
    </row>
    <row r="2797" spans="119:119" x14ac:dyDescent="0.2">
      <c r="DO2797" s="303" t="s">
        <v>232</v>
      </c>
    </row>
    <row r="2798" spans="119:119" x14ac:dyDescent="0.2">
      <c r="DO2798" s="303" t="s">
        <v>232</v>
      </c>
    </row>
    <row r="2799" spans="119:119" x14ac:dyDescent="0.2">
      <c r="DO2799" s="303" t="s">
        <v>232</v>
      </c>
    </row>
    <row r="2800" spans="119:119" x14ac:dyDescent="0.2">
      <c r="DO2800" s="303" t="s">
        <v>232</v>
      </c>
    </row>
    <row r="2801" spans="119:119" x14ac:dyDescent="0.2">
      <c r="DO2801" s="303" t="s">
        <v>232</v>
      </c>
    </row>
    <row r="2802" spans="119:119" x14ac:dyDescent="0.2">
      <c r="DO2802" s="303" t="s">
        <v>232</v>
      </c>
    </row>
    <row r="2803" spans="119:119" x14ac:dyDescent="0.2">
      <c r="DO2803" s="303" t="s">
        <v>232</v>
      </c>
    </row>
    <row r="2804" spans="119:119" x14ac:dyDescent="0.2">
      <c r="DO2804" s="303" t="s">
        <v>232</v>
      </c>
    </row>
    <row r="2805" spans="119:119" x14ac:dyDescent="0.2">
      <c r="DO2805" s="303" t="s">
        <v>232</v>
      </c>
    </row>
    <row r="2806" spans="119:119" x14ac:dyDescent="0.2">
      <c r="DO2806" s="303" t="s">
        <v>232</v>
      </c>
    </row>
    <row r="2807" spans="119:119" x14ac:dyDescent="0.2">
      <c r="DO2807" s="303" t="s">
        <v>232</v>
      </c>
    </row>
    <row r="2808" spans="119:119" x14ac:dyDescent="0.2">
      <c r="DO2808" s="303" t="s">
        <v>232</v>
      </c>
    </row>
    <row r="2809" spans="119:119" x14ac:dyDescent="0.2">
      <c r="DO2809" s="303" t="s">
        <v>232</v>
      </c>
    </row>
    <row r="2810" spans="119:119" x14ac:dyDescent="0.2">
      <c r="DO2810" s="303" t="s">
        <v>232</v>
      </c>
    </row>
    <row r="2811" spans="119:119" x14ac:dyDescent="0.2">
      <c r="DO2811" s="303" t="s">
        <v>232</v>
      </c>
    </row>
    <row r="2812" spans="119:119" x14ac:dyDescent="0.2">
      <c r="DO2812" s="303" t="s">
        <v>232</v>
      </c>
    </row>
    <row r="2813" spans="119:119" x14ac:dyDescent="0.2">
      <c r="DO2813" s="303" t="s">
        <v>232</v>
      </c>
    </row>
    <row r="2814" spans="119:119" x14ac:dyDescent="0.2">
      <c r="DO2814" s="303" t="s">
        <v>232</v>
      </c>
    </row>
    <row r="2815" spans="119:119" x14ac:dyDescent="0.2">
      <c r="DO2815" s="303" t="s">
        <v>232</v>
      </c>
    </row>
    <row r="2816" spans="119:119" x14ac:dyDescent="0.2">
      <c r="DO2816" s="303" t="s">
        <v>232</v>
      </c>
    </row>
    <row r="2817" spans="119:119" x14ac:dyDescent="0.2">
      <c r="DO2817" s="303" t="s">
        <v>232</v>
      </c>
    </row>
    <row r="2818" spans="119:119" x14ac:dyDescent="0.2">
      <c r="DO2818" s="303" t="s">
        <v>232</v>
      </c>
    </row>
    <row r="2819" spans="119:119" x14ac:dyDescent="0.2">
      <c r="DO2819" s="303" t="s">
        <v>232</v>
      </c>
    </row>
    <row r="2820" spans="119:119" x14ac:dyDescent="0.2">
      <c r="DO2820" s="303" t="s">
        <v>232</v>
      </c>
    </row>
    <row r="2821" spans="119:119" x14ac:dyDescent="0.2">
      <c r="DO2821" s="303" t="s">
        <v>232</v>
      </c>
    </row>
    <row r="2822" spans="119:119" x14ac:dyDescent="0.2">
      <c r="DO2822" s="303" t="s">
        <v>232</v>
      </c>
    </row>
    <row r="2823" spans="119:119" x14ac:dyDescent="0.2">
      <c r="DO2823" s="303" t="s">
        <v>232</v>
      </c>
    </row>
    <row r="2824" spans="119:119" x14ac:dyDescent="0.2">
      <c r="DO2824" s="303" t="s">
        <v>232</v>
      </c>
    </row>
    <row r="2825" spans="119:119" x14ac:dyDescent="0.2">
      <c r="DO2825" s="303" t="s">
        <v>232</v>
      </c>
    </row>
    <row r="2826" spans="119:119" x14ac:dyDescent="0.2">
      <c r="DO2826" s="303" t="s">
        <v>232</v>
      </c>
    </row>
    <row r="2827" spans="119:119" x14ac:dyDescent="0.2">
      <c r="DO2827" s="303" t="s">
        <v>232</v>
      </c>
    </row>
    <row r="2828" spans="119:119" x14ac:dyDescent="0.2">
      <c r="DO2828" s="303" t="s">
        <v>232</v>
      </c>
    </row>
    <row r="2829" spans="119:119" x14ac:dyDescent="0.2">
      <c r="DO2829" s="303" t="s">
        <v>232</v>
      </c>
    </row>
    <row r="2830" spans="119:119" x14ac:dyDescent="0.2">
      <c r="DO2830" s="303" t="s">
        <v>232</v>
      </c>
    </row>
    <row r="2831" spans="119:119" x14ac:dyDescent="0.2">
      <c r="DO2831" s="303" t="s">
        <v>232</v>
      </c>
    </row>
    <row r="2832" spans="119:119" x14ac:dyDescent="0.2">
      <c r="DO2832" s="303" t="s">
        <v>232</v>
      </c>
    </row>
    <row r="2833" spans="119:119" x14ac:dyDescent="0.2">
      <c r="DO2833" s="303" t="s">
        <v>232</v>
      </c>
    </row>
    <row r="2834" spans="119:119" x14ac:dyDescent="0.2">
      <c r="DO2834" s="303" t="s">
        <v>232</v>
      </c>
    </row>
    <row r="2835" spans="119:119" x14ac:dyDescent="0.2">
      <c r="DO2835" s="303" t="s">
        <v>232</v>
      </c>
    </row>
    <row r="2836" spans="119:119" x14ac:dyDescent="0.2">
      <c r="DO2836" s="303" t="s">
        <v>232</v>
      </c>
    </row>
    <row r="2837" spans="119:119" x14ac:dyDescent="0.2">
      <c r="DO2837" s="303" t="s">
        <v>232</v>
      </c>
    </row>
    <row r="2838" spans="119:119" x14ac:dyDescent="0.2">
      <c r="DO2838" s="303" t="s">
        <v>232</v>
      </c>
    </row>
    <row r="2839" spans="119:119" x14ac:dyDescent="0.2">
      <c r="DO2839" s="303" t="s">
        <v>232</v>
      </c>
    </row>
    <row r="2840" spans="119:119" x14ac:dyDescent="0.2">
      <c r="DO2840" s="303" t="s">
        <v>232</v>
      </c>
    </row>
    <row r="2841" spans="119:119" x14ac:dyDescent="0.2">
      <c r="DO2841" s="303" t="s">
        <v>232</v>
      </c>
    </row>
    <row r="2842" spans="119:119" x14ac:dyDescent="0.2">
      <c r="DO2842" s="303" t="s">
        <v>232</v>
      </c>
    </row>
    <row r="2843" spans="119:119" x14ac:dyDescent="0.2">
      <c r="DO2843" s="303" t="s">
        <v>232</v>
      </c>
    </row>
    <row r="2844" spans="119:119" x14ac:dyDescent="0.2">
      <c r="DO2844" s="303" t="s">
        <v>232</v>
      </c>
    </row>
    <row r="2845" spans="119:119" x14ac:dyDescent="0.2">
      <c r="DO2845" s="303" t="s">
        <v>232</v>
      </c>
    </row>
    <row r="2846" spans="119:119" x14ac:dyDescent="0.2">
      <c r="DO2846" s="303" t="s">
        <v>232</v>
      </c>
    </row>
    <row r="2847" spans="119:119" x14ac:dyDescent="0.2">
      <c r="DO2847" s="303" t="s">
        <v>232</v>
      </c>
    </row>
    <row r="2848" spans="119:119" x14ac:dyDescent="0.2">
      <c r="DO2848" s="303" t="s">
        <v>232</v>
      </c>
    </row>
    <row r="2849" spans="119:119" x14ac:dyDescent="0.2">
      <c r="DO2849" s="303" t="s">
        <v>232</v>
      </c>
    </row>
    <row r="2850" spans="119:119" x14ac:dyDescent="0.2">
      <c r="DO2850" s="303" t="s">
        <v>232</v>
      </c>
    </row>
    <row r="2851" spans="119:119" x14ac:dyDescent="0.2">
      <c r="DO2851" s="303" t="s">
        <v>232</v>
      </c>
    </row>
    <row r="2852" spans="119:119" x14ac:dyDescent="0.2">
      <c r="DO2852" s="303" t="s">
        <v>232</v>
      </c>
    </row>
    <row r="2853" spans="119:119" x14ac:dyDescent="0.2">
      <c r="DO2853" s="303" t="s">
        <v>232</v>
      </c>
    </row>
    <row r="2854" spans="119:119" x14ac:dyDescent="0.2">
      <c r="DO2854" s="303" t="s">
        <v>232</v>
      </c>
    </row>
    <row r="2855" spans="119:119" x14ac:dyDescent="0.2">
      <c r="DO2855" s="303" t="s">
        <v>232</v>
      </c>
    </row>
    <row r="2856" spans="119:119" x14ac:dyDescent="0.2">
      <c r="DO2856" s="303" t="s">
        <v>232</v>
      </c>
    </row>
    <row r="2857" spans="119:119" x14ac:dyDescent="0.2">
      <c r="DO2857" s="303" t="s">
        <v>232</v>
      </c>
    </row>
    <row r="2858" spans="119:119" x14ac:dyDescent="0.2">
      <c r="DO2858" s="303" t="s">
        <v>232</v>
      </c>
    </row>
    <row r="2859" spans="119:119" x14ac:dyDescent="0.2">
      <c r="DO2859" s="303" t="s">
        <v>232</v>
      </c>
    </row>
    <row r="2860" spans="119:119" x14ac:dyDescent="0.2">
      <c r="DO2860" s="303" t="s">
        <v>232</v>
      </c>
    </row>
    <row r="2861" spans="119:119" x14ac:dyDescent="0.2">
      <c r="DO2861" s="303" t="s">
        <v>232</v>
      </c>
    </row>
    <row r="2862" spans="119:119" x14ac:dyDescent="0.2">
      <c r="DO2862" s="303" t="s">
        <v>232</v>
      </c>
    </row>
    <row r="2863" spans="119:119" x14ac:dyDescent="0.2">
      <c r="DO2863" s="303" t="s">
        <v>232</v>
      </c>
    </row>
    <row r="2864" spans="119:119" x14ac:dyDescent="0.2">
      <c r="DO2864" s="303" t="s">
        <v>232</v>
      </c>
    </row>
    <row r="2865" spans="119:119" x14ac:dyDescent="0.2">
      <c r="DO2865" s="303" t="s">
        <v>232</v>
      </c>
    </row>
    <row r="2866" spans="119:119" x14ac:dyDescent="0.2">
      <c r="DO2866" s="303" t="s">
        <v>232</v>
      </c>
    </row>
    <row r="2867" spans="119:119" x14ac:dyDescent="0.2">
      <c r="DO2867" s="303" t="s">
        <v>232</v>
      </c>
    </row>
    <row r="2868" spans="119:119" x14ac:dyDescent="0.2">
      <c r="DO2868" s="303" t="s">
        <v>232</v>
      </c>
    </row>
    <row r="2869" spans="119:119" x14ac:dyDescent="0.2">
      <c r="DO2869" s="303" t="s">
        <v>232</v>
      </c>
    </row>
    <row r="2870" spans="119:119" x14ac:dyDescent="0.2">
      <c r="DO2870" s="303" t="s">
        <v>232</v>
      </c>
    </row>
    <row r="2871" spans="119:119" x14ac:dyDescent="0.2">
      <c r="DO2871" s="303" t="s">
        <v>232</v>
      </c>
    </row>
    <row r="2872" spans="119:119" x14ac:dyDescent="0.2">
      <c r="DO2872" s="303" t="s">
        <v>232</v>
      </c>
    </row>
    <row r="2873" spans="119:119" x14ac:dyDescent="0.2">
      <c r="DO2873" s="303" t="s">
        <v>232</v>
      </c>
    </row>
    <row r="2874" spans="119:119" x14ac:dyDescent="0.2">
      <c r="DO2874" s="303" t="s">
        <v>232</v>
      </c>
    </row>
    <row r="2875" spans="119:119" x14ac:dyDescent="0.2">
      <c r="DO2875" s="303" t="s">
        <v>232</v>
      </c>
    </row>
    <row r="2876" spans="119:119" x14ac:dyDescent="0.2">
      <c r="DO2876" s="303" t="s">
        <v>232</v>
      </c>
    </row>
    <row r="2877" spans="119:119" x14ac:dyDescent="0.2">
      <c r="DO2877" s="303" t="s">
        <v>232</v>
      </c>
    </row>
    <row r="2878" spans="119:119" x14ac:dyDescent="0.2">
      <c r="DO2878" s="303" t="s">
        <v>232</v>
      </c>
    </row>
    <row r="2879" spans="119:119" x14ac:dyDescent="0.2">
      <c r="DO2879" s="303" t="s">
        <v>232</v>
      </c>
    </row>
    <row r="2880" spans="119:119" x14ac:dyDescent="0.2">
      <c r="DO2880" s="303" t="s">
        <v>232</v>
      </c>
    </row>
    <row r="2881" spans="119:119" x14ac:dyDescent="0.2">
      <c r="DO2881" s="303" t="s">
        <v>232</v>
      </c>
    </row>
    <row r="2882" spans="119:119" x14ac:dyDescent="0.2">
      <c r="DO2882" s="303" t="s">
        <v>232</v>
      </c>
    </row>
    <row r="2883" spans="119:119" x14ac:dyDescent="0.2">
      <c r="DO2883" s="303" t="s">
        <v>232</v>
      </c>
    </row>
    <row r="2884" spans="119:119" x14ac:dyDescent="0.2">
      <c r="DO2884" s="303" t="s">
        <v>232</v>
      </c>
    </row>
    <row r="2885" spans="119:119" x14ac:dyDescent="0.2">
      <c r="DO2885" s="303" t="s">
        <v>232</v>
      </c>
    </row>
    <row r="2886" spans="119:119" x14ac:dyDescent="0.2">
      <c r="DO2886" s="303" t="s">
        <v>232</v>
      </c>
    </row>
    <row r="2887" spans="119:119" x14ac:dyDescent="0.2">
      <c r="DO2887" s="303" t="s">
        <v>232</v>
      </c>
    </row>
    <row r="2888" spans="119:119" x14ac:dyDescent="0.2">
      <c r="DO2888" s="303" t="s">
        <v>232</v>
      </c>
    </row>
    <row r="2889" spans="119:119" x14ac:dyDescent="0.2">
      <c r="DO2889" s="303" t="s">
        <v>232</v>
      </c>
    </row>
    <row r="2890" spans="119:119" x14ac:dyDescent="0.2">
      <c r="DO2890" s="303" t="s">
        <v>232</v>
      </c>
    </row>
    <row r="2891" spans="119:119" x14ac:dyDescent="0.2">
      <c r="DO2891" s="303" t="s">
        <v>232</v>
      </c>
    </row>
    <row r="2892" spans="119:119" x14ac:dyDescent="0.2">
      <c r="DO2892" s="303" t="s">
        <v>232</v>
      </c>
    </row>
    <row r="2893" spans="119:119" x14ac:dyDescent="0.2">
      <c r="DO2893" s="303" t="s">
        <v>232</v>
      </c>
    </row>
    <row r="2894" spans="119:119" x14ac:dyDescent="0.2">
      <c r="DO2894" s="303" t="s">
        <v>232</v>
      </c>
    </row>
    <row r="2895" spans="119:119" x14ac:dyDescent="0.2">
      <c r="DO2895" s="303" t="s">
        <v>232</v>
      </c>
    </row>
    <row r="2896" spans="119:119" x14ac:dyDescent="0.2">
      <c r="DO2896" s="303" t="s">
        <v>232</v>
      </c>
    </row>
    <row r="2897" spans="119:119" x14ac:dyDescent="0.2">
      <c r="DO2897" s="303" t="s">
        <v>232</v>
      </c>
    </row>
    <row r="2898" spans="119:119" x14ac:dyDescent="0.2">
      <c r="DO2898" s="303" t="s">
        <v>232</v>
      </c>
    </row>
    <row r="2899" spans="119:119" x14ac:dyDescent="0.2">
      <c r="DO2899" s="303" t="s">
        <v>232</v>
      </c>
    </row>
    <row r="2900" spans="119:119" x14ac:dyDescent="0.2">
      <c r="DO2900" s="303" t="s">
        <v>232</v>
      </c>
    </row>
    <row r="2901" spans="119:119" x14ac:dyDescent="0.2">
      <c r="DO2901" s="303" t="s">
        <v>232</v>
      </c>
    </row>
    <row r="2902" spans="119:119" x14ac:dyDescent="0.2">
      <c r="DO2902" s="303" t="s">
        <v>232</v>
      </c>
    </row>
    <row r="2903" spans="119:119" x14ac:dyDescent="0.2">
      <c r="DO2903" s="303" t="s">
        <v>232</v>
      </c>
    </row>
    <row r="2904" spans="119:119" x14ac:dyDescent="0.2">
      <c r="DO2904" s="303" t="s">
        <v>232</v>
      </c>
    </row>
    <row r="2905" spans="119:119" x14ac:dyDescent="0.2">
      <c r="DO2905" s="303" t="s">
        <v>232</v>
      </c>
    </row>
    <row r="2906" spans="119:119" x14ac:dyDescent="0.2">
      <c r="DO2906" s="303" t="s">
        <v>232</v>
      </c>
    </row>
    <row r="2907" spans="119:119" x14ac:dyDescent="0.2">
      <c r="DO2907" s="303" t="s">
        <v>232</v>
      </c>
    </row>
    <row r="2908" spans="119:119" x14ac:dyDescent="0.2">
      <c r="DO2908" s="303" t="s">
        <v>232</v>
      </c>
    </row>
    <row r="2909" spans="119:119" x14ac:dyDescent="0.2">
      <c r="DO2909" s="303" t="s">
        <v>232</v>
      </c>
    </row>
    <row r="2910" spans="119:119" x14ac:dyDescent="0.2">
      <c r="DO2910" s="303" t="s">
        <v>232</v>
      </c>
    </row>
    <row r="2911" spans="119:119" x14ac:dyDescent="0.2">
      <c r="DO2911" s="303" t="s">
        <v>232</v>
      </c>
    </row>
    <row r="2912" spans="119:119" x14ac:dyDescent="0.2">
      <c r="DO2912" s="303" t="s">
        <v>232</v>
      </c>
    </row>
    <row r="2913" spans="119:119" x14ac:dyDescent="0.2">
      <c r="DO2913" s="303" t="s">
        <v>232</v>
      </c>
    </row>
    <row r="2914" spans="119:119" x14ac:dyDescent="0.2">
      <c r="DO2914" s="303" t="s">
        <v>232</v>
      </c>
    </row>
    <row r="2915" spans="119:119" x14ac:dyDescent="0.2">
      <c r="DO2915" s="303" t="s">
        <v>232</v>
      </c>
    </row>
    <row r="2916" spans="119:119" x14ac:dyDescent="0.2">
      <c r="DO2916" s="303" t="s">
        <v>232</v>
      </c>
    </row>
    <row r="2917" spans="119:119" x14ac:dyDescent="0.2">
      <c r="DO2917" s="303" t="s">
        <v>232</v>
      </c>
    </row>
    <row r="2918" spans="119:119" x14ac:dyDescent="0.2">
      <c r="DO2918" s="303" t="s">
        <v>232</v>
      </c>
    </row>
    <row r="2919" spans="119:119" x14ac:dyDescent="0.2">
      <c r="DO2919" s="303" t="s">
        <v>232</v>
      </c>
    </row>
    <row r="2920" spans="119:119" x14ac:dyDescent="0.2">
      <c r="DO2920" s="303" t="s">
        <v>232</v>
      </c>
    </row>
    <row r="2921" spans="119:119" x14ac:dyDescent="0.2">
      <c r="DO2921" s="303" t="s">
        <v>232</v>
      </c>
    </row>
    <row r="2922" spans="119:119" x14ac:dyDescent="0.2">
      <c r="DO2922" s="303" t="s">
        <v>232</v>
      </c>
    </row>
    <row r="2923" spans="119:119" x14ac:dyDescent="0.2">
      <c r="DO2923" s="303" t="s">
        <v>232</v>
      </c>
    </row>
    <row r="2924" spans="119:119" x14ac:dyDescent="0.2">
      <c r="DO2924" s="303" t="s">
        <v>232</v>
      </c>
    </row>
    <row r="2925" spans="119:119" x14ac:dyDescent="0.2">
      <c r="DO2925" s="303" t="s">
        <v>232</v>
      </c>
    </row>
    <row r="2926" spans="119:119" x14ac:dyDescent="0.2">
      <c r="DO2926" s="303" t="s">
        <v>232</v>
      </c>
    </row>
    <row r="2927" spans="119:119" x14ac:dyDescent="0.2">
      <c r="DO2927" s="303" t="s">
        <v>232</v>
      </c>
    </row>
    <row r="2928" spans="119:119" x14ac:dyDescent="0.2">
      <c r="DO2928" s="303" t="s">
        <v>232</v>
      </c>
    </row>
    <row r="2929" spans="119:119" x14ac:dyDescent="0.2">
      <c r="DO2929" s="303" t="s">
        <v>232</v>
      </c>
    </row>
    <row r="2930" spans="119:119" x14ac:dyDescent="0.2">
      <c r="DO2930" s="303" t="s">
        <v>232</v>
      </c>
    </row>
    <row r="2931" spans="119:119" x14ac:dyDescent="0.2">
      <c r="DO2931" s="303" t="s">
        <v>232</v>
      </c>
    </row>
    <row r="2932" spans="119:119" x14ac:dyDescent="0.2">
      <c r="DO2932" s="303" t="s">
        <v>232</v>
      </c>
    </row>
    <row r="2933" spans="119:119" x14ac:dyDescent="0.2">
      <c r="DO2933" s="303" t="s">
        <v>232</v>
      </c>
    </row>
    <row r="2934" spans="119:119" x14ac:dyDescent="0.2">
      <c r="DO2934" s="303" t="s">
        <v>232</v>
      </c>
    </row>
    <row r="2935" spans="119:119" x14ac:dyDescent="0.2">
      <c r="DO2935" s="303" t="s">
        <v>232</v>
      </c>
    </row>
    <row r="2936" spans="119:119" x14ac:dyDescent="0.2">
      <c r="DO2936" s="303" t="s">
        <v>232</v>
      </c>
    </row>
    <row r="2937" spans="119:119" x14ac:dyDescent="0.2">
      <c r="DO2937" s="303" t="s">
        <v>232</v>
      </c>
    </row>
    <row r="2938" spans="119:119" x14ac:dyDescent="0.2">
      <c r="DO2938" s="303" t="s">
        <v>232</v>
      </c>
    </row>
    <row r="2939" spans="119:119" x14ac:dyDescent="0.2">
      <c r="DO2939" s="303" t="s">
        <v>232</v>
      </c>
    </row>
    <row r="2940" spans="119:119" x14ac:dyDescent="0.2">
      <c r="DO2940" s="303" t="s">
        <v>232</v>
      </c>
    </row>
    <row r="2941" spans="119:119" x14ac:dyDescent="0.2">
      <c r="DO2941" s="303" t="s">
        <v>232</v>
      </c>
    </row>
    <row r="2942" spans="119:119" x14ac:dyDescent="0.2">
      <c r="DO2942" s="303" t="s">
        <v>232</v>
      </c>
    </row>
    <row r="2943" spans="119:119" x14ac:dyDescent="0.2">
      <c r="DO2943" s="303" t="s">
        <v>232</v>
      </c>
    </row>
    <row r="2944" spans="119:119" x14ac:dyDescent="0.2">
      <c r="DO2944" s="303" t="s">
        <v>232</v>
      </c>
    </row>
    <row r="2945" spans="119:119" x14ac:dyDescent="0.2">
      <c r="DO2945" s="303" t="s">
        <v>232</v>
      </c>
    </row>
    <row r="2946" spans="119:119" x14ac:dyDescent="0.2">
      <c r="DO2946" s="303" t="s">
        <v>232</v>
      </c>
    </row>
    <row r="2947" spans="119:119" x14ac:dyDescent="0.2">
      <c r="DO2947" s="303" t="s">
        <v>232</v>
      </c>
    </row>
    <row r="2948" spans="119:119" x14ac:dyDescent="0.2">
      <c r="DO2948" s="303" t="s">
        <v>232</v>
      </c>
    </row>
    <row r="2949" spans="119:119" x14ac:dyDescent="0.2">
      <c r="DO2949" s="303" t="s">
        <v>232</v>
      </c>
    </row>
    <row r="2950" spans="119:119" x14ac:dyDescent="0.2">
      <c r="DO2950" s="303" t="s">
        <v>232</v>
      </c>
    </row>
    <row r="2951" spans="119:119" x14ac:dyDescent="0.2">
      <c r="DO2951" s="303" t="s">
        <v>232</v>
      </c>
    </row>
    <row r="2952" spans="119:119" x14ac:dyDescent="0.2">
      <c r="DO2952" s="303" t="s">
        <v>232</v>
      </c>
    </row>
    <row r="2953" spans="119:119" x14ac:dyDescent="0.2">
      <c r="DO2953" s="303" t="s">
        <v>232</v>
      </c>
    </row>
    <row r="2954" spans="119:119" x14ac:dyDescent="0.2">
      <c r="DO2954" s="303" t="s">
        <v>232</v>
      </c>
    </row>
    <row r="2955" spans="119:119" x14ac:dyDescent="0.2">
      <c r="DO2955" s="303" t="s">
        <v>232</v>
      </c>
    </row>
    <row r="2956" spans="119:119" x14ac:dyDescent="0.2">
      <c r="DO2956" s="303" t="s">
        <v>232</v>
      </c>
    </row>
    <row r="2957" spans="119:119" x14ac:dyDescent="0.2">
      <c r="DO2957" s="303" t="s">
        <v>232</v>
      </c>
    </row>
    <row r="2958" spans="119:119" x14ac:dyDescent="0.2">
      <c r="DO2958" s="303" t="s">
        <v>232</v>
      </c>
    </row>
    <row r="2959" spans="119:119" x14ac:dyDescent="0.2">
      <c r="DO2959" s="303" t="s">
        <v>232</v>
      </c>
    </row>
    <row r="2960" spans="119:119" x14ac:dyDescent="0.2">
      <c r="DO2960" s="303" t="s">
        <v>232</v>
      </c>
    </row>
    <row r="2961" spans="119:119" x14ac:dyDescent="0.2">
      <c r="DO2961" s="303" t="s">
        <v>232</v>
      </c>
    </row>
    <row r="2962" spans="119:119" x14ac:dyDescent="0.2">
      <c r="DO2962" s="303" t="s">
        <v>232</v>
      </c>
    </row>
    <row r="2963" spans="119:119" x14ac:dyDescent="0.2">
      <c r="DO2963" s="303" t="s">
        <v>232</v>
      </c>
    </row>
    <row r="2964" spans="119:119" x14ac:dyDescent="0.2">
      <c r="DO2964" s="303" t="s">
        <v>232</v>
      </c>
    </row>
    <row r="2965" spans="119:119" x14ac:dyDescent="0.2">
      <c r="DO2965" s="303" t="s">
        <v>232</v>
      </c>
    </row>
    <row r="2966" spans="119:119" x14ac:dyDescent="0.2">
      <c r="DO2966" s="303" t="s">
        <v>232</v>
      </c>
    </row>
    <row r="2967" spans="119:119" x14ac:dyDescent="0.2">
      <c r="DO2967" s="303" t="s">
        <v>232</v>
      </c>
    </row>
    <row r="2968" spans="119:119" x14ac:dyDescent="0.2">
      <c r="DO2968" s="303" t="s">
        <v>232</v>
      </c>
    </row>
    <row r="2969" spans="119:119" x14ac:dyDescent="0.2">
      <c r="DO2969" s="303" t="s">
        <v>232</v>
      </c>
    </row>
    <row r="2970" spans="119:119" x14ac:dyDescent="0.2">
      <c r="DO2970" s="303" t="s">
        <v>232</v>
      </c>
    </row>
    <row r="2971" spans="119:119" x14ac:dyDescent="0.2">
      <c r="DO2971" s="303" t="s">
        <v>232</v>
      </c>
    </row>
    <row r="2972" spans="119:119" x14ac:dyDescent="0.2">
      <c r="DO2972" s="303" t="s">
        <v>232</v>
      </c>
    </row>
    <row r="2973" spans="119:119" x14ac:dyDescent="0.2">
      <c r="DO2973" s="303" t="s">
        <v>232</v>
      </c>
    </row>
    <row r="2974" spans="119:119" x14ac:dyDescent="0.2">
      <c r="DO2974" s="303" t="s">
        <v>232</v>
      </c>
    </row>
    <row r="2975" spans="119:119" x14ac:dyDescent="0.2">
      <c r="DO2975" s="303" t="s">
        <v>232</v>
      </c>
    </row>
    <row r="2976" spans="119:119" x14ac:dyDescent="0.2">
      <c r="DO2976" s="303" t="s">
        <v>232</v>
      </c>
    </row>
    <row r="2977" spans="119:119" x14ac:dyDescent="0.2">
      <c r="DO2977" s="303" t="s">
        <v>232</v>
      </c>
    </row>
    <row r="2978" spans="119:119" x14ac:dyDescent="0.2">
      <c r="DO2978" s="303" t="s">
        <v>232</v>
      </c>
    </row>
    <row r="2979" spans="119:119" x14ac:dyDescent="0.2">
      <c r="DO2979" s="303" t="s">
        <v>232</v>
      </c>
    </row>
    <row r="2980" spans="119:119" x14ac:dyDescent="0.2">
      <c r="DO2980" s="303" t="s">
        <v>232</v>
      </c>
    </row>
    <row r="2981" spans="119:119" x14ac:dyDescent="0.2">
      <c r="DO2981" s="303" t="s">
        <v>232</v>
      </c>
    </row>
    <row r="2982" spans="119:119" x14ac:dyDescent="0.2">
      <c r="DO2982" s="303" t="s">
        <v>232</v>
      </c>
    </row>
    <row r="2983" spans="119:119" x14ac:dyDescent="0.2">
      <c r="DO2983" s="303" t="s">
        <v>232</v>
      </c>
    </row>
    <row r="2984" spans="119:119" x14ac:dyDescent="0.2">
      <c r="DO2984" s="303" t="s">
        <v>232</v>
      </c>
    </row>
    <row r="2985" spans="119:119" x14ac:dyDescent="0.2">
      <c r="DO2985" s="303" t="s">
        <v>232</v>
      </c>
    </row>
    <row r="2986" spans="119:119" x14ac:dyDescent="0.2">
      <c r="DO2986" s="303" t="s">
        <v>232</v>
      </c>
    </row>
    <row r="2987" spans="119:119" x14ac:dyDescent="0.2">
      <c r="DO2987" s="303" t="s">
        <v>232</v>
      </c>
    </row>
    <row r="2988" spans="119:119" x14ac:dyDescent="0.2">
      <c r="DO2988" s="303" t="s">
        <v>232</v>
      </c>
    </row>
    <row r="2989" spans="119:119" x14ac:dyDescent="0.2">
      <c r="DO2989" s="303" t="s">
        <v>232</v>
      </c>
    </row>
    <row r="2990" spans="119:119" x14ac:dyDescent="0.2">
      <c r="DO2990" s="303" t="s">
        <v>232</v>
      </c>
    </row>
    <row r="2991" spans="119:119" x14ac:dyDescent="0.2">
      <c r="DO2991" s="303" t="s">
        <v>232</v>
      </c>
    </row>
    <row r="2992" spans="119:119" x14ac:dyDescent="0.2">
      <c r="DO2992" s="303" t="s">
        <v>232</v>
      </c>
    </row>
    <row r="2993" spans="119:119" x14ac:dyDescent="0.2">
      <c r="DO2993" s="303" t="s">
        <v>232</v>
      </c>
    </row>
    <row r="2994" spans="119:119" x14ac:dyDescent="0.2">
      <c r="DO2994" s="303" t="s">
        <v>232</v>
      </c>
    </row>
    <row r="2995" spans="119:119" x14ac:dyDescent="0.2">
      <c r="DO2995" s="303" t="s">
        <v>232</v>
      </c>
    </row>
    <row r="2996" spans="119:119" x14ac:dyDescent="0.2">
      <c r="DO2996" s="303" t="s">
        <v>232</v>
      </c>
    </row>
    <row r="2997" spans="119:119" x14ac:dyDescent="0.2">
      <c r="DO2997" s="303" t="s">
        <v>232</v>
      </c>
    </row>
    <row r="2998" spans="119:119" x14ac:dyDescent="0.2">
      <c r="DO2998" s="303" t="s">
        <v>232</v>
      </c>
    </row>
    <row r="2999" spans="119:119" x14ac:dyDescent="0.2">
      <c r="DO2999" s="303" t="s">
        <v>232</v>
      </c>
    </row>
    <row r="3000" spans="119:119" x14ac:dyDescent="0.2">
      <c r="DO3000" s="303" t="s">
        <v>232</v>
      </c>
    </row>
    <row r="3001" spans="119:119" x14ac:dyDescent="0.2">
      <c r="DO3001" s="303" t="s">
        <v>232</v>
      </c>
    </row>
    <row r="3002" spans="119:119" x14ac:dyDescent="0.2">
      <c r="DO3002" s="303" t="s">
        <v>232</v>
      </c>
    </row>
    <row r="3003" spans="119:119" x14ac:dyDescent="0.2">
      <c r="DO3003" s="303" t="s">
        <v>232</v>
      </c>
    </row>
    <row r="3004" spans="119:119" x14ac:dyDescent="0.2">
      <c r="DO3004" s="303" t="s">
        <v>232</v>
      </c>
    </row>
    <row r="3005" spans="119:119" x14ac:dyDescent="0.2">
      <c r="DO3005" s="303" t="s">
        <v>232</v>
      </c>
    </row>
    <row r="3006" spans="119:119" x14ac:dyDescent="0.2">
      <c r="DO3006" s="303" t="s">
        <v>232</v>
      </c>
    </row>
    <row r="3007" spans="119:119" x14ac:dyDescent="0.2">
      <c r="DO3007" s="303" t="s">
        <v>232</v>
      </c>
    </row>
    <row r="3008" spans="119:119" x14ac:dyDescent="0.2">
      <c r="DO3008" s="303" t="s">
        <v>232</v>
      </c>
    </row>
    <row r="3009" spans="119:119" x14ac:dyDescent="0.2">
      <c r="DO3009" s="303" t="s">
        <v>232</v>
      </c>
    </row>
    <row r="3010" spans="119:119" x14ac:dyDescent="0.2">
      <c r="DO3010" s="303" t="s">
        <v>232</v>
      </c>
    </row>
    <row r="3011" spans="119:119" x14ac:dyDescent="0.2">
      <c r="DO3011" s="303" t="s">
        <v>232</v>
      </c>
    </row>
    <row r="3012" spans="119:119" x14ac:dyDescent="0.2">
      <c r="DO3012" s="303" t="s">
        <v>232</v>
      </c>
    </row>
    <row r="3013" spans="119:119" x14ac:dyDescent="0.2">
      <c r="DO3013" s="303" t="s">
        <v>232</v>
      </c>
    </row>
    <row r="3014" spans="119:119" x14ac:dyDescent="0.2">
      <c r="DO3014" s="303" t="s">
        <v>232</v>
      </c>
    </row>
    <row r="3015" spans="119:119" x14ac:dyDescent="0.2">
      <c r="DO3015" s="303" t="s">
        <v>232</v>
      </c>
    </row>
    <row r="3016" spans="119:119" x14ac:dyDescent="0.2">
      <c r="DO3016" s="303" t="s">
        <v>232</v>
      </c>
    </row>
    <row r="3017" spans="119:119" x14ac:dyDescent="0.2">
      <c r="DO3017" s="303" t="s">
        <v>232</v>
      </c>
    </row>
    <row r="3018" spans="119:119" x14ac:dyDescent="0.2">
      <c r="DO3018" s="303" t="s">
        <v>232</v>
      </c>
    </row>
    <row r="3019" spans="119:119" x14ac:dyDescent="0.2">
      <c r="DO3019" s="303" t="s">
        <v>232</v>
      </c>
    </row>
    <row r="3020" spans="119:119" x14ac:dyDescent="0.2">
      <c r="DO3020" s="303" t="s">
        <v>232</v>
      </c>
    </row>
    <row r="3021" spans="119:119" x14ac:dyDescent="0.2">
      <c r="DO3021" s="303" t="s">
        <v>232</v>
      </c>
    </row>
    <row r="3022" spans="119:119" x14ac:dyDescent="0.2">
      <c r="DO3022" s="303" t="s">
        <v>232</v>
      </c>
    </row>
    <row r="3023" spans="119:119" x14ac:dyDescent="0.2">
      <c r="DO3023" s="303" t="s">
        <v>232</v>
      </c>
    </row>
    <row r="3024" spans="119:119" x14ac:dyDescent="0.2">
      <c r="DO3024" s="303" t="s">
        <v>232</v>
      </c>
    </row>
    <row r="3025" spans="119:119" x14ac:dyDescent="0.2">
      <c r="DO3025" s="303" t="s">
        <v>232</v>
      </c>
    </row>
    <row r="3026" spans="119:119" x14ac:dyDescent="0.2">
      <c r="DO3026" s="303" t="s">
        <v>232</v>
      </c>
    </row>
    <row r="3027" spans="119:119" x14ac:dyDescent="0.2">
      <c r="DO3027" s="303" t="s">
        <v>232</v>
      </c>
    </row>
    <row r="3028" spans="119:119" x14ac:dyDescent="0.2">
      <c r="DO3028" s="303" t="s">
        <v>232</v>
      </c>
    </row>
    <row r="3029" spans="119:119" x14ac:dyDescent="0.2">
      <c r="DO3029" s="303" t="s">
        <v>232</v>
      </c>
    </row>
    <row r="3030" spans="119:119" x14ac:dyDescent="0.2">
      <c r="DO3030" s="303" t="s">
        <v>232</v>
      </c>
    </row>
    <row r="3031" spans="119:119" x14ac:dyDescent="0.2">
      <c r="DO3031" s="303" t="s">
        <v>232</v>
      </c>
    </row>
    <row r="3032" spans="119:119" x14ac:dyDescent="0.2">
      <c r="DO3032" s="303" t="s">
        <v>232</v>
      </c>
    </row>
    <row r="3033" spans="119:119" x14ac:dyDescent="0.2">
      <c r="DO3033" s="303" t="s">
        <v>232</v>
      </c>
    </row>
    <row r="3034" spans="119:119" x14ac:dyDescent="0.2">
      <c r="DO3034" s="303" t="s">
        <v>232</v>
      </c>
    </row>
    <row r="3035" spans="119:119" x14ac:dyDescent="0.2">
      <c r="DO3035" s="303" t="s">
        <v>232</v>
      </c>
    </row>
    <row r="3036" spans="119:119" x14ac:dyDescent="0.2">
      <c r="DO3036" s="303" t="s">
        <v>232</v>
      </c>
    </row>
    <row r="3037" spans="119:119" x14ac:dyDescent="0.2">
      <c r="DO3037" s="303" t="s">
        <v>232</v>
      </c>
    </row>
    <row r="3038" spans="119:119" x14ac:dyDescent="0.2">
      <c r="DO3038" s="303" t="s">
        <v>232</v>
      </c>
    </row>
    <row r="3039" spans="119:119" x14ac:dyDescent="0.2">
      <c r="DO3039" s="303" t="s">
        <v>232</v>
      </c>
    </row>
    <row r="3040" spans="119:119" x14ac:dyDescent="0.2">
      <c r="DO3040" s="303" t="s">
        <v>232</v>
      </c>
    </row>
    <row r="3041" spans="119:119" x14ac:dyDescent="0.2">
      <c r="DO3041" s="303" t="s">
        <v>232</v>
      </c>
    </row>
    <row r="3042" spans="119:119" x14ac:dyDescent="0.2">
      <c r="DO3042" s="303" t="s">
        <v>232</v>
      </c>
    </row>
    <row r="3043" spans="119:119" x14ac:dyDescent="0.2">
      <c r="DO3043" s="303" t="s">
        <v>232</v>
      </c>
    </row>
    <row r="3044" spans="119:119" x14ac:dyDescent="0.2">
      <c r="DO3044" s="303" t="s">
        <v>232</v>
      </c>
    </row>
    <row r="3045" spans="119:119" x14ac:dyDescent="0.2">
      <c r="DO3045" s="303" t="s">
        <v>232</v>
      </c>
    </row>
    <row r="3046" spans="119:119" x14ac:dyDescent="0.2">
      <c r="DO3046" s="303" t="s">
        <v>232</v>
      </c>
    </row>
    <row r="3047" spans="119:119" x14ac:dyDescent="0.2">
      <c r="DO3047" s="303" t="s">
        <v>232</v>
      </c>
    </row>
    <row r="3048" spans="119:119" x14ac:dyDescent="0.2">
      <c r="DO3048" s="303" t="s">
        <v>232</v>
      </c>
    </row>
    <row r="3049" spans="119:119" x14ac:dyDescent="0.2">
      <c r="DO3049" s="303" t="s">
        <v>232</v>
      </c>
    </row>
    <row r="3050" spans="119:119" x14ac:dyDescent="0.2">
      <c r="DO3050" s="303" t="s">
        <v>232</v>
      </c>
    </row>
    <row r="3051" spans="119:119" x14ac:dyDescent="0.2">
      <c r="DO3051" s="303" t="s">
        <v>232</v>
      </c>
    </row>
    <row r="3052" spans="119:119" x14ac:dyDescent="0.2">
      <c r="DO3052" s="303" t="s">
        <v>232</v>
      </c>
    </row>
    <row r="3053" spans="119:119" x14ac:dyDescent="0.2">
      <c r="DO3053" s="303" t="s">
        <v>232</v>
      </c>
    </row>
    <row r="3054" spans="119:119" x14ac:dyDescent="0.2">
      <c r="DO3054" s="303" t="s">
        <v>232</v>
      </c>
    </row>
    <row r="3055" spans="119:119" x14ac:dyDescent="0.2">
      <c r="DO3055" s="303" t="s">
        <v>232</v>
      </c>
    </row>
    <row r="3056" spans="119:119" x14ac:dyDescent="0.2">
      <c r="DO3056" s="303" t="s">
        <v>232</v>
      </c>
    </row>
    <row r="3057" spans="119:119" x14ac:dyDescent="0.2">
      <c r="DO3057" s="303" t="s">
        <v>232</v>
      </c>
    </row>
    <row r="3058" spans="119:119" x14ac:dyDescent="0.2">
      <c r="DO3058" s="303" t="s">
        <v>232</v>
      </c>
    </row>
    <row r="3059" spans="119:119" x14ac:dyDescent="0.2">
      <c r="DO3059" s="303" t="s">
        <v>232</v>
      </c>
    </row>
    <row r="3060" spans="119:119" x14ac:dyDescent="0.2">
      <c r="DO3060" s="303" t="s">
        <v>232</v>
      </c>
    </row>
    <row r="3061" spans="119:119" x14ac:dyDescent="0.2">
      <c r="DO3061" s="303" t="s">
        <v>232</v>
      </c>
    </row>
    <row r="3062" spans="119:119" x14ac:dyDescent="0.2">
      <c r="DO3062" s="303" t="s">
        <v>232</v>
      </c>
    </row>
    <row r="3063" spans="119:119" x14ac:dyDescent="0.2">
      <c r="DO3063" s="303" t="s">
        <v>232</v>
      </c>
    </row>
    <row r="3064" spans="119:119" x14ac:dyDescent="0.2">
      <c r="DO3064" s="303" t="s">
        <v>232</v>
      </c>
    </row>
    <row r="3065" spans="119:119" x14ac:dyDescent="0.2">
      <c r="DO3065" s="303" t="s">
        <v>232</v>
      </c>
    </row>
    <row r="3066" spans="119:119" x14ac:dyDescent="0.2">
      <c r="DO3066" s="303" t="s">
        <v>232</v>
      </c>
    </row>
    <row r="3067" spans="119:119" x14ac:dyDescent="0.2">
      <c r="DO3067" s="303" t="s">
        <v>232</v>
      </c>
    </row>
    <row r="3068" spans="119:119" x14ac:dyDescent="0.2">
      <c r="DO3068" s="303" t="s">
        <v>232</v>
      </c>
    </row>
    <row r="3069" spans="119:119" x14ac:dyDescent="0.2">
      <c r="DO3069" s="303" t="s">
        <v>232</v>
      </c>
    </row>
    <row r="3070" spans="119:119" x14ac:dyDescent="0.2">
      <c r="DO3070" s="303" t="s">
        <v>232</v>
      </c>
    </row>
    <row r="3071" spans="119:119" x14ac:dyDescent="0.2">
      <c r="DO3071" s="303" t="s">
        <v>232</v>
      </c>
    </row>
    <row r="3072" spans="119:119" x14ac:dyDescent="0.2">
      <c r="DO3072" s="303" t="s">
        <v>232</v>
      </c>
    </row>
    <row r="3073" spans="119:119" x14ac:dyDescent="0.2">
      <c r="DO3073" s="303" t="s">
        <v>232</v>
      </c>
    </row>
    <row r="3074" spans="119:119" x14ac:dyDescent="0.2">
      <c r="DO3074" s="303" t="s">
        <v>232</v>
      </c>
    </row>
    <row r="3075" spans="119:119" x14ac:dyDescent="0.2">
      <c r="DO3075" s="303" t="s">
        <v>232</v>
      </c>
    </row>
    <row r="3076" spans="119:119" x14ac:dyDescent="0.2">
      <c r="DO3076" s="303" t="s">
        <v>232</v>
      </c>
    </row>
    <row r="3077" spans="119:119" x14ac:dyDescent="0.2">
      <c r="DO3077" s="303" t="s">
        <v>232</v>
      </c>
    </row>
    <row r="3078" spans="119:119" x14ac:dyDescent="0.2">
      <c r="DO3078" s="303" t="s">
        <v>232</v>
      </c>
    </row>
    <row r="3079" spans="119:119" x14ac:dyDescent="0.2">
      <c r="DO3079" s="303" t="s">
        <v>232</v>
      </c>
    </row>
    <row r="3080" spans="119:119" x14ac:dyDescent="0.2">
      <c r="DO3080" s="303" t="s">
        <v>232</v>
      </c>
    </row>
    <row r="3081" spans="119:119" x14ac:dyDescent="0.2">
      <c r="DO3081" s="303" t="s">
        <v>232</v>
      </c>
    </row>
    <row r="3082" spans="119:119" x14ac:dyDescent="0.2">
      <c r="DO3082" s="303" t="s">
        <v>232</v>
      </c>
    </row>
    <row r="3083" spans="119:119" x14ac:dyDescent="0.2">
      <c r="DO3083" s="303" t="s">
        <v>232</v>
      </c>
    </row>
    <row r="3084" spans="119:119" x14ac:dyDescent="0.2">
      <c r="DO3084" s="303" t="s">
        <v>232</v>
      </c>
    </row>
    <row r="3085" spans="119:119" x14ac:dyDescent="0.2">
      <c r="DO3085" s="303" t="s">
        <v>232</v>
      </c>
    </row>
    <row r="3086" spans="119:119" x14ac:dyDescent="0.2">
      <c r="DO3086" s="303" t="s">
        <v>232</v>
      </c>
    </row>
    <row r="3087" spans="119:119" x14ac:dyDescent="0.2">
      <c r="DO3087" s="303" t="s">
        <v>232</v>
      </c>
    </row>
    <row r="3088" spans="119:119" x14ac:dyDescent="0.2">
      <c r="DO3088" s="303" t="s">
        <v>232</v>
      </c>
    </row>
    <row r="3089" spans="119:119" x14ac:dyDescent="0.2">
      <c r="DO3089" s="303" t="s">
        <v>232</v>
      </c>
    </row>
    <row r="3090" spans="119:119" x14ac:dyDescent="0.2">
      <c r="DO3090" s="303" t="s">
        <v>232</v>
      </c>
    </row>
    <row r="3091" spans="119:119" x14ac:dyDescent="0.2">
      <c r="DO3091" s="303" t="s">
        <v>232</v>
      </c>
    </row>
    <row r="3092" spans="119:119" x14ac:dyDescent="0.2">
      <c r="DO3092" s="303" t="s">
        <v>232</v>
      </c>
    </row>
    <row r="3093" spans="119:119" x14ac:dyDescent="0.2">
      <c r="DO3093" s="303" t="s">
        <v>232</v>
      </c>
    </row>
    <row r="3094" spans="119:119" x14ac:dyDescent="0.2">
      <c r="DO3094" s="303" t="s">
        <v>232</v>
      </c>
    </row>
    <row r="3095" spans="119:119" x14ac:dyDescent="0.2">
      <c r="DO3095" s="303" t="s">
        <v>232</v>
      </c>
    </row>
    <row r="3096" spans="119:119" x14ac:dyDescent="0.2">
      <c r="DO3096" s="303" t="s">
        <v>232</v>
      </c>
    </row>
    <row r="3097" spans="119:119" x14ac:dyDescent="0.2">
      <c r="DO3097" s="303" t="s">
        <v>232</v>
      </c>
    </row>
    <row r="3098" spans="119:119" x14ac:dyDescent="0.2">
      <c r="DO3098" s="303" t="s">
        <v>232</v>
      </c>
    </row>
    <row r="3099" spans="119:119" x14ac:dyDescent="0.2">
      <c r="DO3099" s="303" t="s">
        <v>232</v>
      </c>
    </row>
    <row r="3100" spans="119:119" x14ac:dyDescent="0.2">
      <c r="DO3100" s="303" t="s">
        <v>232</v>
      </c>
    </row>
    <row r="3101" spans="119:119" x14ac:dyDescent="0.2">
      <c r="DO3101" s="303" t="s">
        <v>232</v>
      </c>
    </row>
    <row r="3102" spans="119:119" x14ac:dyDescent="0.2">
      <c r="DO3102" s="303" t="s">
        <v>232</v>
      </c>
    </row>
    <row r="3103" spans="119:119" x14ac:dyDescent="0.2">
      <c r="DO3103" s="303" t="s">
        <v>232</v>
      </c>
    </row>
    <row r="3104" spans="119:119" x14ac:dyDescent="0.2">
      <c r="DO3104" s="303" t="s">
        <v>232</v>
      </c>
    </row>
    <row r="3105" spans="119:119" x14ac:dyDescent="0.2">
      <c r="DO3105" s="303" t="s">
        <v>232</v>
      </c>
    </row>
    <row r="3106" spans="119:119" x14ac:dyDescent="0.2">
      <c r="DO3106" s="303" t="s">
        <v>232</v>
      </c>
    </row>
    <row r="3107" spans="119:119" x14ac:dyDescent="0.2">
      <c r="DO3107" s="303" t="s">
        <v>232</v>
      </c>
    </row>
    <row r="3108" spans="119:119" x14ac:dyDescent="0.2">
      <c r="DO3108" s="303" t="s">
        <v>232</v>
      </c>
    </row>
    <row r="3109" spans="119:119" x14ac:dyDescent="0.2">
      <c r="DO3109" s="303" t="s">
        <v>232</v>
      </c>
    </row>
    <row r="3110" spans="119:119" x14ac:dyDescent="0.2">
      <c r="DO3110" s="303" t="s">
        <v>232</v>
      </c>
    </row>
    <row r="3111" spans="119:119" x14ac:dyDescent="0.2">
      <c r="DO3111" s="303" t="s">
        <v>232</v>
      </c>
    </row>
    <row r="3112" spans="119:119" x14ac:dyDescent="0.2">
      <c r="DO3112" s="303" t="s">
        <v>232</v>
      </c>
    </row>
    <row r="3113" spans="119:119" x14ac:dyDescent="0.2">
      <c r="DO3113" s="303" t="s">
        <v>232</v>
      </c>
    </row>
    <row r="3114" spans="119:119" x14ac:dyDescent="0.2">
      <c r="DO3114" s="303" t="s">
        <v>232</v>
      </c>
    </row>
    <row r="3115" spans="119:119" x14ac:dyDescent="0.2">
      <c r="DO3115" s="303" t="s">
        <v>232</v>
      </c>
    </row>
    <row r="3116" spans="119:119" x14ac:dyDescent="0.2">
      <c r="DO3116" s="303" t="s">
        <v>232</v>
      </c>
    </row>
    <row r="3117" spans="119:119" x14ac:dyDescent="0.2">
      <c r="DO3117" s="303" t="s">
        <v>232</v>
      </c>
    </row>
    <row r="3118" spans="119:119" x14ac:dyDescent="0.2">
      <c r="DO3118" s="303" t="s">
        <v>232</v>
      </c>
    </row>
    <row r="3119" spans="119:119" x14ac:dyDescent="0.2">
      <c r="DO3119" s="303" t="s">
        <v>232</v>
      </c>
    </row>
    <row r="3120" spans="119:119" x14ac:dyDescent="0.2">
      <c r="DO3120" s="303" t="s">
        <v>232</v>
      </c>
    </row>
    <row r="3121" spans="119:119" x14ac:dyDescent="0.2">
      <c r="DO3121" s="303" t="s">
        <v>232</v>
      </c>
    </row>
    <row r="3122" spans="119:119" x14ac:dyDescent="0.2">
      <c r="DO3122" s="303" t="s">
        <v>232</v>
      </c>
    </row>
    <row r="3123" spans="119:119" x14ac:dyDescent="0.2">
      <c r="DO3123" s="303" t="s">
        <v>232</v>
      </c>
    </row>
    <row r="3124" spans="119:119" x14ac:dyDescent="0.2">
      <c r="DO3124" s="303" t="s">
        <v>232</v>
      </c>
    </row>
    <row r="3125" spans="119:119" x14ac:dyDescent="0.2">
      <c r="DO3125" s="303" t="s">
        <v>232</v>
      </c>
    </row>
    <row r="3126" spans="119:119" x14ac:dyDescent="0.2">
      <c r="DO3126" s="303" t="s">
        <v>232</v>
      </c>
    </row>
    <row r="3127" spans="119:119" x14ac:dyDescent="0.2">
      <c r="DO3127" s="303" t="s">
        <v>232</v>
      </c>
    </row>
    <row r="3128" spans="119:119" x14ac:dyDescent="0.2">
      <c r="DO3128" s="303" t="s">
        <v>232</v>
      </c>
    </row>
    <row r="3129" spans="119:119" x14ac:dyDescent="0.2">
      <c r="DO3129" s="303" t="s">
        <v>232</v>
      </c>
    </row>
    <row r="3130" spans="119:119" x14ac:dyDescent="0.2">
      <c r="DO3130" s="303" t="s">
        <v>232</v>
      </c>
    </row>
    <row r="3131" spans="119:119" x14ac:dyDescent="0.2">
      <c r="DO3131" s="303" t="s">
        <v>232</v>
      </c>
    </row>
    <row r="3132" spans="119:119" x14ac:dyDescent="0.2">
      <c r="DO3132" s="303" t="s">
        <v>232</v>
      </c>
    </row>
    <row r="3133" spans="119:119" x14ac:dyDescent="0.2">
      <c r="DO3133" s="303" t="s">
        <v>232</v>
      </c>
    </row>
    <row r="3134" spans="119:119" x14ac:dyDescent="0.2">
      <c r="DO3134" s="303" t="s">
        <v>232</v>
      </c>
    </row>
    <row r="3135" spans="119:119" x14ac:dyDescent="0.2">
      <c r="DO3135" s="303" t="s">
        <v>232</v>
      </c>
    </row>
    <row r="3136" spans="119:119" x14ac:dyDescent="0.2">
      <c r="DO3136" s="303" t="s">
        <v>232</v>
      </c>
    </row>
    <row r="3137" spans="119:119" x14ac:dyDescent="0.2">
      <c r="DO3137" s="303" t="s">
        <v>232</v>
      </c>
    </row>
    <row r="3138" spans="119:119" x14ac:dyDescent="0.2">
      <c r="DO3138" s="303" t="s">
        <v>232</v>
      </c>
    </row>
    <row r="3139" spans="119:119" x14ac:dyDescent="0.2">
      <c r="DO3139" s="303" t="s">
        <v>232</v>
      </c>
    </row>
    <row r="3140" spans="119:119" x14ac:dyDescent="0.2">
      <c r="DO3140" s="303" t="s">
        <v>232</v>
      </c>
    </row>
    <row r="3141" spans="119:119" x14ac:dyDescent="0.2">
      <c r="DO3141" s="303" t="s">
        <v>232</v>
      </c>
    </row>
    <row r="3142" spans="119:119" x14ac:dyDescent="0.2">
      <c r="DO3142" s="303" t="s">
        <v>232</v>
      </c>
    </row>
    <row r="3143" spans="119:119" x14ac:dyDescent="0.2">
      <c r="DO3143" s="303" t="s">
        <v>232</v>
      </c>
    </row>
    <row r="3144" spans="119:119" x14ac:dyDescent="0.2">
      <c r="DO3144" s="303" t="s">
        <v>232</v>
      </c>
    </row>
    <row r="3145" spans="119:119" x14ac:dyDescent="0.2">
      <c r="DO3145" s="303" t="s">
        <v>232</v>
      </c>
    </row>
    <row r="3146" spans="119:119" x14ac:dyDescent="0.2">
      <c r="DO3146" s="303" t="s">
        <v>232</v>
      </c>
    </row>
    <row r="3147" spans="119:119" x14ac:dyDescent="0.2">
      <c r="DO3147" s="303" t="s">
        <v>232</v>
      </c>
    </row>
    <row r="3148" spans="119:119" x14ac:dyDescent="0.2">
      <c r="DO3148" s="303" t="s">
        <v>232</v>
      </c>
    </row>
    <row r="3149" spans="119:119" x14ac:dyDescent="0.2">
      <c r="DO3149" s="303" t="s">
        <v>232</v>
      </c>
    </row>
    <row r="3150" spans="119:119" x14ac:dyDescent="0.2">
      <c r="DO3150" s="303" t="s">
        <v>232</v>
      </c>
    </row>
    <row r="3151" spans="119:119" x14ac:dyDescent="0.2">
      <c r="DO3151" s="303" t="s">
        <v>232</v>
      </c>
    </row>
    <row r="3152" spans="119:119" x14ac:dyDescent="0.2">
      <c r="DO3152" s="303" t="s">
        <v>232</v>
      </c>
    </row>
    <row r="3153" spans="119:119" x14ac:dyDescent="0.2">
      <c r="DO3153" s="303" t="s">
        <v>232</v>
      </c>
    </row>
    <row r="3154" spans="119:119" x14ac:dyDescent="0.2">
      <c r="DO3154" s="303" t="s">
        <v>232</v>
      </c>
    </row>
    <row r="3155" spans="119:119" x14ac:dyDescent="0.2">
      <c r="DO3155" s="303" t="s">
        <v>232</v>
      </c>
    </row>
    <row r="3156" spans="119:119" x14ac:dyDescent="0.2">
      <c r="DO3156" s="303" t="s">
        <v>232</v>
      </c>
    </row>
    <row r="3157" spans="119:119" x14ac:dyDescent="0.2">
      <c r="DO3157" s="303" t="s">
        <v>232</v>
      </c>
    </row>
    <row r="3158" spans="119:119" x14ac:dyDescent="0.2">
      <c r="DO3158" s="303" t="s">
        <v>232</v>
      </c>
    </row>
    <row r="3159" spans="119:119" x14ac:dyDescent="0.2">
      <c r="DO3159" s="303" t="s">
        <v>232</v>
      </c>
    </row>
    <row r="3160" spans="119:119" x14ac:dyDescent="0.2">
      <c r="DO3160" s="303" t="s">
        <v>232</v>
      </c>
    </row>
    <row r="3161" spans="119:119" x14ac:dyDescent="0.2">
      <c r="DO3161" s="303" t="s">
        <v>232</v>
      </c>
    </row>
    <row r="3162" spans="119:119" x14ac:dyDescent="0.2">
      <c r="DO3162" s="303" t="s">
        <v>232</v>
      </c>
    </row>
    <row r="3163" spans="119:119" x14ac:dyDescent="0.2">
      <c r="DO3163" s="303" t="s">
        <v>232</v>
      </c>
    </row>
    <row r="3164" spans="119:119" x14ac:dyDescent="0.2">
      <c r="DO3164" s="303" t="s">
        <v>232</v>
      </c>
    </row>
    <row r="3165" spans="119:119" x14ac:dyDescent="0.2">
      <c r="DO3165" s="303" t="s">
        <v>232</v>
      </c>
    </row>
    <row r="3166" spans="119:119" x14ac:dyDescent="0.2">
      <c r="DO3166" s="303" t="s">
        <v>232</v>
      </c>
    </row>
    <row r="3167" spans="119:119" x14ac:dyDescent="0.2">
      <c r="DO3167" s="303" t="s">
        <v>232</v>
      </c>
    </row>
    <row r="3168" spans="119:119" x14ac:dyDescent="0.2">
      <c r="DO3168" s="303" t="s">
        <v>232</v>
      </c>
    </row>
    <row r="3169" spans="119:119" x14ac:dyDescent="0.2">
      <c r="DO3169" s="303" t="s">
        <v>232</v>
      </c>
    </row>
    <row r="3170" spans="119:119" x14ac:dyDescent="0.2">
      <c r="DO3170" s="303" t="s">
        <v>232</v>
      </c>
    </row>
    <row r="3171" spans="119:119" x14ac:dyDescent="0.2">
      <c r="DO3171" s="303" t="s">
        <v>232</v>
      </c>
    </row>
    <row r="3172" spans="119:119" x14ac:dyDescent="0.2">
      <c r="DO3172" s="303" t="s">
        <v>232</v>
      </c>
    </row>
    <row r="3173" spans="119:119" x14ac:dyDescent="0.2">
      <c r="DO3173" s="303" t="s">
        <v>232</v>
      </c>
    </row>
    <row r="3174" spans="119:119" x14ac:dyDescent="0.2">
      <c r="DO3174" s="303" t="s">
        <v>232</v>
      </c>
    </row>
    <row r="3175" spans="119:119" x14ac:dyDescent="0.2">
      <c r="DO3175" s="303" t="s">
        <v>232</v>
      </c>
    </row>
    <row r="3176" spans="119:119" x14ac:dyDescent="0.2">
      <c r="DO3176" s="303" t="s">
        <v>232</v>
      </c>
    </row>
    <row r="3177" spans="119:119" x14ac:dyDescent="0.2">
      <c r="DO3177" s="303" t="s">
        <v>232</v>
      </c>
    </row>
    <row r="3178" spans="119:119" x14ac:dyDescent="0.2">
      <c r="DO3178" s="303" t="s">
        <v>232</v>
      </c>
    </row>
    <row r="3179" spans="119:119" x14ac:dyDescent="0.2">
      <c r="DO3179" s="303" t="s">
        <v>232</v>
      </c>
    </row>
    <row r="3180" spans="119:119" x14ac:dyDescent="0.2">
      <c r="DO3180" s="303" t="s">
        <v>232</v>
      </c>
    </row>
    <row r="3181" spans="119:119" x14ac:dyDescent="0.2">
      <c r="DO3181" s="303" t="s">
        <v>232</v>
      </c>
    </row>
    <row r="3182" spans="119:119" x14ac:dyDescent="0.2">
      <c r="DO3182" s="303" t="s">
        <v>232</v>
      </c>
    </row>
    <row r="3183" spans="119:119" x14ac:dyDescent="0.2">
      <c r="DO3183" s="303" t="s">
        <v>232</v>
      </c>
    </row>
    <row r="3184" spans="119:119" x14ac:dyDescent="0.2">
      <c r="DO3184" s="303" t="s">
        <v>232</v>
      </c>
    </row>
    <row r="3185" spans="119:119" x14ac:dyDescent="0.2">
      <c r="DO3185" s="303" t="s">
        <v>232</v>
      </c>
    </row>
    <row r="3186" spans="119:119" x14ac:dyDescent="0.2">
      <c r="DO3186" s="303" t="s">
        <v>232</v>
      </c>
    </row>
    <row r="3187" spans="119:119" x14ac:dyDescent="0.2">
      <c r="DO3187" s="303" t="s">
        <v>232</v>
      </c>
    </row>
    <row r="3188" spans="119:119" x14ac:dyDescent="0.2">
      <c r="DO3188" s="303" t="s">
        <v>232</v>
      </c>
    </row>
    <row r="3189" spans="119:119" x14ac:dyDescent="0.2">
      <c r="DO3189" s="303" t="s">
        <v>232</v>
      </c>
    </row>
    <row r="3190" spans="119:119" x14ac:dyDescent="0.2">
      <c r="DO3190" s="303" t="s">
        <v>232</v>
      </c>
    </row>
    <row r="3191" spans="119:119" x14ac:dyDescent="0.2">
      <c r="DO3191" s="303" t="s">
        <v>232</v>
      </c>
    </row>
    <row r="3192" spans="119:119" x14ac:dyDescent="0.2">
      <c r="DO3192" s="303" t="s">
        <v>232</v>
      </c>
    </row>
    <row r="3193" spans="119:119" x14ac:dyDescent="0.2">
      <c r="DO3193" s="303" t="s">
        <v>232</v>
      </c>
    </row>
    <row r="3194" spans="119:119" x14ac:dyDescent="0.2">
      <c r="DO3194" s="303" t="s">
        <v>232</v>
      </c>
    </row>
    <row r="3195" spans="119:119" x14ac:dyDescent="0.2">
      <c r="DO3195" s="303" t="s">
        <v>232</v>
      </c>
    </row>
    <row r="3196" spans="119:119" x14ac:dyDescent="0.2">
      <c r="DO3196" s="303" t="s">
        <v>232</v>
      </c>
    </row>
    <row r="3197" spans="119:119" x14ac:dyDescent="0.2">
      <c r="DO3197" s="303" t="s">
        <v>232</v>
      </c>
    </row>
    <row r="3198" spans="119:119" x14ac:dyDescent="0.2">
      <c r="DO3198" s="303" t="s">
        <v>232</v>
      </c>
    </row>
    <row r="3199" spans="119:119" x14ac:dyDescent="0.2">
      <c r="DO3199" s="303" t="s">
        <v>232</v>
      </c>
    </row>
    <row r="3200" spans="119:119" x14ac:dyDescent="0.2">
      <c r="DO3200" s="303" t="s">
        <v>232</v>
      </c>
    </row>
    <row r="3201" spans="119:119" x14ac:dyDescent="0.2">
      <c r="DO3201" s="303" t="s">
        <v>232</v>
      </c>
    </row>
    <row r="3202" spans="119:119" x14ac:dyDescent="0.2">
      <c r="DO3202" s="303" t="s">
        <v>232</v>
      </c>
    </row>
    <row r="3203" spans="119:119" x14ac:dyDescent="0.2">
      <c r="DO3203" s="303" t="s">
        <v>232</v>
      </c>
    </row>
    <row r="3204" spans="119:119" x14ac:dyDescent="0.2">
      <c r="DO3204" s="303" t="s">
        <v>232</v>
      </c>
    </row>
    <row r="3205" spans="119:119" x14ac:dyDescent="0.2">
      <c r="DO3205" s="303" t="s">
        <v>232</v>
      </c>
    </row>
    <row r="3206" spans="119:119" x14ac:dyDescent="0.2">
      <c r="DO3206" s="303" t="s">
        <v>232</v>
      </c>
    </row>
    <row r="3207" spans="119:119" x14ac:dyDescent="0.2">
      <c r="DO3207" s="303" t="s">
        <v>232</v>
      </c>
    </row>
    <row r="3208" spans="119:119" x14ac:dyDescent="0.2">
      <c r="DO3208" s="303" t="s">
        <v>232</v>
      </c>
    </row>
    <row r="3209" spans="119:119" x14ac:dyDescent="0.2">
      <c r="DO3209" s="303" t="s">
        <v>232</v>
      </c>
    </row>
    <row r="3210" spans="119:119" x14ac:dyDescent="0.2">
      <c r="DO3210" s="303" t="s">
        <v>232</v>
      </c>
    </row>
    <row r="3211" spans="119:119" x14ac:dyDescent="0.2">
      <c r="DO3211" s="303" t="s">
        <v>232</v>
      </c>
    </row>
    <row r="3212" spans="119:119" x14ac:dyDescent="0.2">
      <c r="DO3212" s="303" t="s">
        <v>232</v>
      </c>
    </row>
    <row r="3213" spans="119:119" x14ac:dyDescent="0.2">
      <c r="DO3213" s="303" t="s">
        <v>232</v>
      </c>
    </row>
    <row r="3214" spans="119:119" x14ac:dyDescent="0.2">
      <c r="DO3214" s="303" t="s">
        <v>232</v>
      </c>
    </row>
    <row r="3215" spans="119:119" x14ac:dyDescent="0.2">
      <c r="DO3215" s="303" t="s">
        <v>232</v>
      </c>
    </row>
    <row r="3216" spans="119:119" x14ac:dyDescent="0.2">
      <c r="DO3216" s="303" t="s">
        <v>232</v>
      </c>
    </row>
    <row r="3217" spans="119:119" x14ac:dyDescent="0.2">
      <c r="DO3217" s="303" t="s">
        <v>232</v>
      </c>
    </row>
    <row r="3218" spans="119:119" x14ac:dyDescent="0.2">
      <c r="DO3218" s="303" t="s">
        <v>232</v>
      </c>
    </row>
    <row r="3219" spans="119:119" x14ac:dyDescent="0.2">
      <c r="DO3219" s="303" t="s">
        <v>232</v>
      </c>
    </row>
    <row r="3220" spans="119:119" x14ac:dyDescent="0.2">
      <c r="DO3220" s="303" t="s">
        <v>232</v>
      </c>
    </row>
    <row r="3221" spans="119:119" x14ac:dyDescent="0.2">
      <c r="DO3221" s="303" t="s">
        <v>232</v>
      </c>
    </row>
    <row r="3222" spans="119:119" x14ac:dyDescent="0.2">
      <c r="DO3222" s="303" t="s">
        <v>232</v>
      </c>
    </row>
    <row r="3223" spans="119:119" x14ac:dyDescent="0.2">
      <c r="DO3223" s="303" t="s">
        <v>232</v>
      </c>
    </row>
    <row r="3224" spans="119:119" x14ac:dyDescent="0.2">
      <c r="DO3224" s="303" t="s">
        <v>232</v>
      </c>
    </row>
    <row r="3225" spans="119:119" x14ac:dyDescent="0.2">
      <c r="DO3225" s="303" t="s">
        <v>232</v>
      </c>
    </row>
    <row r="3226" spans="119:119" x14ac:dyDescent="0.2">
      <c r="DO3226" s="303" t="s">
        <v>232</v>
      </c>
    </row>
    <row r="3227" spans="119:119" x14ac:dyDescent="0.2">
      <c r="DO3227" s="303" t="s">
        <v>232</v>
      </c>
    </row>
    <row r="3228" spans="119:119" x14ac:dyDescent="0.2">
      <c r="DO3228" s="303" t="s">
        <v>232</v>
      </c>
    </row>
    <row r="3229" spans="119:119" x14ac:dyDescent="0.2">
      <c r="DO3229" s="303" t="s">
        <v>232</v>
      </c>
    </row>
    <row r="3230" spans="119:119" x14ac:dyDescent="0.2">
      <c r="DO3230" s="303" t="s">
        <v>232</v>
      </c>
    </row>
    <row r="3231" spans="119:119" x14ac:dyDescent="0.2">
      <c r="DO3231" s="303" t="s">
        <v>232</v>
      </c>
    </row>
    <row r="3232" spans="119:119" x14ac:dyDescent="0.2">
      <c r="DO3232" s="303" t="s">
        <v>232</v>
      </c>
    </row>
    <row r="3233" spans="119:119" x14ac:dyDescent="0.2">
      <c r="DO3233" s="303" t="s">
        <v>232</v>
      </c>
    </row>
    <row r="3234" spans="119:119" x14ac:dyDescent="0.2">
      <c r="DO3234" s="303" t="s">
        <v>232</v>
      </c>
    </row>
    <row r="3235" spans="119:119" x14ac:dyDescent="0.2">
      <c r="DO3235" s="303" t="s">
        <v>232</v>
      </c>
    </row>
    <row r="3236" spans="119:119" x14ac:dyDescent="0.2">
      <c r="DO3236" s="303" t="s">
        <v>232</v>
      </c>
    </row>
    <row r="3237" spans="119:119" x14ac:dyDescent="0.2">
      <c r="DO3237" s="303" t="s">
        <v>232</v>
      </c>
    </row>
    <row r="3238" spans="119:119" x14ac:dyDescent="0.2">
      <c r="DO3238" s="303" t="s">
        <v>232</v>
      </c>
    </row>
    <row r="3239" spans="119:119" x14ac:dyDescent="0.2">
      <c r="DO3239" s="303" t="s">
        <v>232</v>
      </c>
    </row>
    <row r="3240" spans="119:119" x14ac:dyDescent="0.2">
      <c r="DO3240" s="303" t="s">
        <v>232</v>
      </c>
    </row>
    <row r="3241" spans="119:119" x14ac:dyDescent="0.2">
      <c r="DO3241" s="303" t="s">
        <v>232</v>
      </c>
    </row>
    <row r="3242" spans="119:119" x14ac:dyDescent="0.2">
      <c r="DO3242" s="303" t="s">
        <v>232</v>
      </c>
    </row>
    <row r="3243" spans="119:119" x14ac:dyDescent="0.2">
      <c r="DO3243" s="303" t="s">
        <v>232</v>
      </c>
    </row>
    <row r="3244" spans="119:119" x14ac:dyDescent="0.2">
      <c r="DO3244" s="303" t="s">
        <v>232</v>
      </c>
    </row>
    <row r="3245" spans="119:119" x14ac:dyDescent="0.2">
      <c r="DO3245" s="303" t="s">
        <v>232</v>
      </c>
    </row>
    <row r="3246" spans="119:119" x14ac:dyDescent="0.2">
      <c r="DO3246" s="303" t="s">
        <v>232</v>
      </c>
    </row>
    <row r="3247" spans="119:119" x14ac:dyDescent="0.2">
      <c r="DO3247" s="303" t="s">
        <v>232</v>
      </c>
    </row>
    <row r="3248" spans="119:119" x14ac:dyDescent="0.2">
      <c r="DO3248" s="303" t="s">
        <v>232</v>
      </c>
    </row>
    <row r="3249" spans="119:119" x14ac:dyDescent="0.2">
      <c r="DO3249" s="303" t="s">
        <v>232</v>
      </c>
    </row>
    <row r="3250" spans="119:119" x14ac:dyDescent="0.2">
      <c r="DO3250" s="303" t="s">
        <v>232</v>
      </c>
    </row>
    <row r="3251" spans="119:119" x14ac:dyDescent="0.2">
      <c r="DO3251" s="303" t="s">
        <v>232</v>
      </c>
    </row>
    <row r="3252" spans="119:119" x14ac:dyDescent="0.2">
      <c r="DO3252" s="303" t="s">
        <v>232</v>
      </c>
    </row>
    <row r="3253" spans="119:119" x14ac:dyDescent="0.2">
      <c r="DO3253" s="303" t="s">
        <v>232</v>
      </c>
    </row>
    <row r="3254" spans="119:119" x14ac:dyDescent="0.2">
      <c r="DO3254" s="303" t="s">
        <v>232</v>
      </c>
    </row>
    <row r="3255" spans="119:119" x14ac:dyDescent="0.2">
      <c r="DO3255" s="303" t="s">
        <v>232</v>
      </c>
    </row>
    <row r="3256" spans="119:119" x14ac:dyDescent="0.2">
      <c r="DO3256" s="303" t="s">
        <v>232</v>
      </c>
    </row>
    <row r="3257" spans="119:119" x14ac:dyDescent="0.2">
      <c r="DO3257" s="303" t="s">
        <v>232</v>
      </c>
    </row>
    <row r="3258" spans="119:119" x14ac:dyDescent="0.2">
      <c r="DO3258" s="303" t="s">
        <v>232</v>
      </c>
    </row>
    <row r="3259" spans="119:119" x14ac:dyDescent="0.2">
      <c r="DO3259" s="303" t="s">
        <v>232</v>
      </c>
    </row>
    <row r="3260" spans="119:119" x14ac:dyDescent="0.2">
      <c r="DO3260" s="303" t="s">
        <v>232</v>
      </c>
    </row>
    <row r="3261" spans="119:119" x14ac:dyDescent="0.2">
      <c r="DO3261" s="303" t="s">
        <v>232</v>
      </c>
    </row>
    <row r="3262" spans="119:119" x14ac:dyDescent="0.2">
      <c r="DO3262" s="303" t="s">
        <v>232</v>
      </c>
    </row>
    <row r="3263" spans="119:119" x14ac:dyDescent="0.2">
      <c r="DO3263" s="303" t="s">
        <v>232</v>
      </c>
    </row>
    <row r="3264" spans="119:119" x14ac:dyDescent="0.2">
      <c r="DO3264" s="303" t="s">
        <v>232</v>
      </c>
    </row>
    <row r="3265" spans="119:119" x14ac:dyDescent="0.2">
      <c r="DO3265" s="303" t="s">
        <v>232</v>
      </c>
    </row>
    <row r="3266" spans="119:119" x14ac:dyDescent="0.2">
      <c r="DO3266" s="303" t="s">
        <v>232</v>
      </c>
    </row>
    <row r="3267" spans="119:119" x14ac:dyDescent="0.2">
      <c r="DO3267" s="303" t="s">
        <v>232</v>
      </c>
    </row>
    <row r="3268" spans="119:119" x14ac:dyDescent="0.2">
      <c r="DO3268" s="303" t="s">
        <v>232</v>
      </c>
    </row>
    <row r="3269" spans="119:119" x14ac:dyDescent="0.2">
      <c r="DO3269" s="303" t="s">
        <v>232</v>
      </c>
    </row>
    <row r="3270" spans="119:119" x14ac:dyDescent="0.2">
      <c r="DO3270" s="303" t="s">
        <v>232</v>
      </c>
    </row>
    <row r="3271" spans="119:119" x14ac:dyDescent="0.2">
      <c r="DO3271" s="303" t="s">
        <v>232</v>
      </c>
    </row>
    <row r="3272" spans="119:119" x14ac:dyDescent="0.2">
      <c r="DO3272" s="303" t="s">
        <v>232</v>
      </c>
    </row>
    <row r="3273" spans="119:119" x14ac:dyDescent="0.2">
      <c r="DO3273" s="303" t="s">
        <v>232</v>
      </c>
    </row>
    <row r="3274" spans="119:119" x14ac:dyDescent="0.2">
      <c r="DO3274" s="303" t="s">
        <v>232</v>
      </c>
    </row>
    <row r="3275" spans="119:119" x14ac:dyDescent="0.2">
      <c r="DO3275" s="303" t="s">
        <v>232</v>
      </c>
    </row>
    <row r="3276" spans="119:119" x14ac:dyDescent="0.2">
      <c r="DO3276" s="303" t="s">
        <v>232</v>
      </c>
    </row>
    <row r="3277" spans="119:119" x14ac:dyDescent="0.2">
      <c r="DO3277" s="303" t="s">
        <v>232</v>
      </c>
    </row>
    <row r="3278" spans="119:119" x14ac:dyDescent="0.2">
      <c r="DO3278" s="303" t="s">
        <v>232</v>
      </c>
    </row>
    <row r="3279" spans="119:119" x14ac:dyDescent="0.2">
      <c r="DO3279" s="303" t="s">
        <v>232</v>
      </c>
    </row>
    <row r="3280" spans="119:119" x14ac:dyDescent="0.2">
      <c r="DO3280" s="303" t="s">
        <v>232</v>
      </c>
    </row>
    <row r="3281" spans="119:119" x14ac:dyDescent="0.2">
      <c r="DO3281" s="303" t="s">
        <v>232</v>
      </c>
    </row>
    <row r="3282" spans="119:119" x14ac:dyDescent="0.2">
      <c r="DO3282" s="303" t="s">
        <v>232</v>
      </c>
    </row>
    <row r="3283" spans="119:119" x14ac:dyDescent="0.2">
      <c r="DO3283" s="303" t="s">
        <v>232</v>
      </c>
    </row>
    <row r="3284" spans="119:119" x14ac:dyDescent="0.2">
      <c r="DO3284" s="303" t="s">
        <v>232</v>
      </c>
    </row>
    <row r="3285" spans="119:119" x14ac:dyDescent="0.2">
      <c r="DO3285" s="303" t="s">
        <v>232</v>
      </c>
    </row>
    <row r="3286" spans="119:119" x14ac:dyDescent="0.2">
      <c r="DO3286" s="303" t="s">
        <v>232</v>
      </c>
    </row>
    <row r="3287" spans="119:119" x14ac:dyDescent="0.2">
      <c r="DO3287" s="303" t="s">
        <v>232</v>
      </c>
    </row>
    <row r="3288" spans="119:119" x14ac:dyDescent="0.2">
      <c r="DO3288" s="303" t="s">
        <v>232</v>
      </c>
    </row>
    <row r="3289" spans="119:119" x14ac:dyDescent="0.2">
      <c r="DO3289" s="303" t="s">
        <v>232</v>
      </c>
    </row>
    <row r="3290" spans="119:119" x14ac:dyDescent="0.2">
      <c r="DO3290" s="303" t="s">
        <v>232</v>
      </c>
    </row>
    <row r="3291" spans="119:119" x14ac:dyDescent="0.2">
      <c r="DO3291" s="303" t="s">
        <v>232</v>
      </c>
    </row>
    <row r="3292" spans="119:119" x14ac:dyDescent="0.2">
      <c r="DO3292" s="303" t="s">
        <v>232</v>
      </c>
    </row>
    <row r="3293" spans="119:119" x14ac:dyDescent="0.2">
      <c r="DO3293" s="303" t="s">
        <v>232</v>
      </c>
    </row>
    <row r="3294" spans="119:119" x14ac:dyDescent="0.2">
      <c r="DO3294" s="303" t="s">
        <v>232</v>
      </c>
    </row>
    <row r="3295" spans="119:119" x14ac:dyDescent="0.2">
      <c r="DO3295" s="303" t="s">
        <v>232</v>
      </c>
    </row>
    <row r="3296" spans="119:119" x14ac:dyDescent="0.2">
      <c r="DO3296" s="303" t="s">
        <v>232</v>
      </c>
    </row>
    <row r="3297" spans="119:119" x14ac:dyDescent="0.2">
      <c r="DO3297" s="303" t="s">
        <v>232</v>
      </c>
    </row>
    <row r="3298" spans="119:119" x14ac:dyDescent="0.2">
      <c r="DO3298" s="303" t="s">
        <v>232</v>
      </c>
    </row>
    <row r="3299" spans="119:119" x14ac:dyDescent="0.2">
      <c r="DO3299" s="303" t="s">
        <v>232</v>
      </c>
    </row>
    <row r="3300" spans="119:119" x14ac:dyDescent="0.2">
      <c r="DO3300" s="303" t="s">
        <v>232</v>
      </c>
    </row>
    <row r="3301" spans="119:119" x14ac:dyDescent="0.2">
      <c r="DO3301" s="303" t="s">
        <v>232</v>
      </c>
    </row>
    <row r="3302" spans="119:119" x14ac:dyDescent="0.2">
      <c r="DO3302" s="303" t="s">
        <v>232</v>
      </c>
    </row>
    <row r="3303" spans="119:119" x14ac:dyDescent="0.2">
      <c r="DO3303" s="303" t="s">
        <v>232</v>
      </c>
    </row>
    <row r="3304" spans="119:119" x14ac:dyDescent="0.2">
      <c r="DO3304" s="303" t="s">
        <v>232</v>
      </c>
    </row>
    <row r="3305" spans="119:119" x14ac:dyDescent="0.2">
      <c r="DO3305" s="303" t="s">
        <v>232</v>
      </c>
    </row>
    <row r="3306" spans="119:119" x14ac:dyDescent="0.2">
      <c r="DO3306" s="303" t="s">
        <v>232</v>
      </c>
    </row>
    <row r="3307" spans="119:119" x14ac:dyDescent="0.2">
      <c r="DO3307" s="303" t="s">
        <v>232</v>
      </c>
    </row>
    <row r="3308" spans="119:119" x14ac:dyDescent="0.2">
      <c r="DO3308" s="303" t="s">
        <v>232</v>
      </c>
    </row>
    <row r="3309" spans="119:119" x14ac:dyDescent="0.2">
      <c r="DO3309" s="303" t="s">
        <v>232</v>
      </c>
    </row>
    <row r="3310" spans="119:119" x14ac:dyDescent="0.2">
      <c r="DO3310" s="303" t="s">
        <v>232</v>
      </c>
    </row>
    <row r="3311" spans="119:119" x14ac:dyDescent="0.2">
      <c r="DO3311" s="303" t="s">
        <v>232</v>
      </c>
    </row>
    <row r="3312" spans="119:119" x14ac:dyDescent="0.2">
      <c r="DO3312" s="303" t="s">
        <v>232</v>
      </c>
    </row>
    <row r="3313" spans="119:119" x14ac:dyDescent="0.2">
      <c r="DO3313" s="303" t="s">
        <v>232</v>
      </c>
    </row>
    <row r="3314" spans="119:119" x14ac:dyDescent="0.2">
      <c r="DO3314" s="303" t="s">
        <v>232</v>
      </c>
    </row>
    <row r="3315" spans="119:119" x14ac:dyDescent="0.2">
      <c r="DO3315" s="303" t="s">
        <v>232</v>
      </c>
    </row>
    <row r="3316" spans="119:119" x14ac:dyDescent="0.2">
      <c r="DO3316" s="303" t="s">
        <v>232</v>
      </c>
    </row>
    <row r="3317" spans="119:119" x14ac:dyDescent="0.2">
      <c r="DO3317" s="303" t="s">
        <v>232</v>
      </c>
    </row>
    <row r="3318" spans="119:119" x14ac:dyDescent="0.2">
      <c r="DO3318" s="303" t="s">
        <v>232</v>
      </c>
    </row>
    <row r="3319" spans="119:119" x14ac:dyDescent="0.2">
      <c r="DO3319" s="303" t="s">
        <v>232</v>
      </c>
    </row>
    <row r="3320" spans="119:119" x14ac:dyDescent="0.2">
      <c r="DO3320" s="303" t="s">
        <v>232</v>
      </c>
    </row>
    <row r="3321" spans="119:119" x14ac:dyDescent="0.2">
      <c r="DO3321" s="303" t="s">
        <v>232</v>
      </c>
    </row>
    <row r="3322" spans="119:119" x14ac:dyDescent="0.2">
      <c r="DO3322" s="303" t="s">
        <v>232</v>
      </c>
    </row>
    <row r="3323" spans="119:119" x14ac:dyDescent="0.2">
      <c r="DO3323" s="303" t="s">
        <v>232</v>
      </c>
    </row>
    <row r="3324" spans="119:119" x14ac:dyDescent="0.2">
      <c r="DO3324" s="303" t="s">
        <v>232</v>
      </c>
    </row>
    <row r="3325" spans="119:119" x14ac:dyDescent="0.2">
      <c r="DO3325" s="303" t="s">
        <v>232</v>
      </c>
    </row>
    <row r="3326" spans="119:119" x14ac:dyDescent="0.2">
      <c r="DO3326" s="303" t="s">
        <v>232</v>
      </c>
    </row>
    <row r="3327" spans="119:119" x14ac:dyDescent="0.2">
      <c r="DO3327" s="303" t="s">
        <v>232</v>
      </c>
    </row>
    <row r="3328" spans="119:119" x14ac:dyDescent="0.2">
      <c r="DO3328" s="303" t="s">
        <v>232</v>
      </c>
    </row>
    <row r="3329" spans="119:119" x14ac:dyDescent="0.2">
      <c r="DO3329" s="303" t="s">
        <v>232</v>
      </c>
    </row>
    <row r="3330" spans="119:119" x14ac:dyDescent="0.2">
      <c r="DO3330" s="303" t="s">
        <v>232</v>
      </c>
    </row>
    <row r="3331" spans="119:119" x14ac:dyDescent="0.2">
      <c r="DO3331" s="303" t="s">
        <v>232</v>
      </c>
    </row>
    <row r="3332" spans="119:119" x14ac:dyDescent="0.2">
      <c r="DO3332" s="303" t="s">
        <v>232</v>
      </c>
    </row>
    <row r="3333" spans="119:119" x14ac:dyDescent="0.2">
      <c r="DO3333" s="303" t="s">
        <v>232</v>
      </c>
    </row>
    <row r="3334" spans="119:119" x14ac:dyDescent="0.2">
      <c r="DO3334" s="303" t="s">
        <v>232</v>
      </c>
    </row>
    <row r="3335" spans="119:119" x14ac:dyDescent="0.2">
      <c r="DO3335" s="303" t="s">
        <v>232</v>
      </c>
    </row>
    <row r="3336" spans="119:119" x14ac:dyDescent="0.2">
      <c r="DO3336" s="303" t="s">
        <v>232</v>
      </c>
    </row>
    <row r="3337" spans="119:119" x14ac:dyDescent="0.2">
      <c r="DO3337" s="303" t="s">
        <v>232</v>
      </c>
    </row>
    <row r="3338" spans="119:119" x14ac:dyDescent="0.2">
      <c r="DO3338" s="303" t="s">
        <v>232</v>
      </c>
    </row>
    <row r="3339" spans="119:119" x14ac:dyDescent="0.2">
      <c r="DO3339" s="303" t="s">
        <v>232</v>
      </c>
    </row>
    <row r="3340" spans="119:119" x14ac:dyDescent="0.2">
      <c r="DO3340" s="303" t="s">
        <v>232</v>
      </c>
    </row>
    <row r="3341" spans="119:119" x14ac:dyDescent="0.2">
      <c r="DO3341" s="303" t="s">
        <v>232</v>
      </c>
    </row>
    <row r="3342" spans="119:119" x14ac:dyDescent="0.2">
      <c r="DO3342" s="303" t="s">
        <v>232</v>
      </c>
    </row>
    <row r="3343" spans="119:119" x14ac:dyDescent="0.2">
      <c r="DO3343" s="303" t="s">
        <v>232</v>
      </c>
    </row>
    <row r="3344" spans="119:119" x14ac:dyDescent="0.2">
      <c r="DO3344" s="303" t="s">
        <v>232</v>
      </c>
    </row>
    <row r="3345" spans="119:119" x14ac:dyDescent="0.2">
      <c r="DO3345" s="303" t="s">
        <v>232</v>
      </c>
    </row>
    <row r="3346" spans="119:119" x14ac:dyDescent="0.2">
      <c r="DO3346" s="303" t="s">
        <v>232</v>
      </c>
    </row>
    <row r="3347" spans="119:119" x14ac:dyDescent="0.2">
      <c r="DO3347" s="303" t="s">
        <v>232</v>
      </c>
    </row>
    <row r="3348" spans="119:119" x14ac:dyDescent="0.2">
      <c r="DO3348" s="303" t="s">
        <v>232</v>
      </c>
    </row>
    <row r="3349" spans="119:119" x14ac:dyDescent="0.2">
      <c r="DO3349" s="303" t="s">
        <v>232</v>
      </c>
    </row>
    <row r="3350" spans="119:119" x14ac:dyDescent="0.2">
      <c r="DO3350" s="303" t="s">
        <v>232</v>
      </c>
    </row>
    <row r="3351" spans="119:119" x14ac:dyDescent="0.2">
      <c r="DO3351" s="303" t="s">
        <v>232</v>
      </c>
    </row>
    <row r="3352" spans="119:119" x14ac:dyDescent="0.2">
      <c r="DO3352" s="303" t="s">
        <v>232</v>
      </c>
    </row>
    <row r="3353" spans="119:119" x14ac:dyDescent="0.2">
      <c r="DO3353" s="303" t="s">
        <v>232</v>
      </c>
    </row>
    <row r="3354" spans="119:119" x14ac:dyDescent="0.2">
      <c r="DO3354" s="303" t="s">
        <v>232</v>
      </c>
    </row>
    <row r="3355" spans="119:119" x14ac:dyDescent="0.2">
      <c r="DO3355" s="303" t="s">
        <v>232</v>
      </c>
    </row>
    <row r="3356" spans="119:119" x14ac:dyDescent="0.2">
      <c r="DO3356" s="303" t="s">
        <v>232</v>
      </c>
    </row>
    <row r="3357" spans="119:119" x14ac:dyDescent="0.2">
      <c r="DO3357" s="303" t="s">
        <v>232</v>
      </c>
    </row>
    <row r="3358" spans="119:119" x14ac:dyDescent="0.2">
      <c r="DO3358" s="303" t="s">
        <v>232</v>
      </c>
    </row>
    <row r="3359" spans="119:119" x14ac:dyDescent="0.2">
      <c r="DO3359" s="303" t="s">
        <v>232</v>
      </c>
    </row>
    <row r="3360" spans="119:119" x14ac:dyDescent="0.2">
      <c r="DO3360" s="303" t="s">
        <v>232</v>
      </c>
    </row>
    <row r="3361" spans="119:119" x14ac:dyDescent="0.2">
      <c r="DO3361" s="303" t="s">
        <v>232</v>
      </c>
    </row>
    <row r="3362" spans="119:119" x14ac:dyDescent="0.2">
      <c r="DO3362" s="303" t="s">
        <v>232</v>
      </c>
    </row>
    <row r="3363" spans="119:119" x14ac:dyDescent="0.2">
      <c r="DO3363" s="303" t="s">
        <v>232</v>
      </c>
    </row>
    <row r="3364" spans="119:119" x14ac:dyDescent="0.2">
      <c r="DO3364" s="303" t="s">
        <v>232</v>
      </c>
    </row>
    <row r="3365" spans="119:119" x14ac:dyDescent="0.2">
      <c r="DO3365" s="303" t="s">
        <v>232</v>
      </c>
    </row>
    <row r="3366" spans="119:119" x14ac:dyDescent="0.2">
      <c r="DO3366" s="303" t="s">
        <v>232</v>
      </c>
    </row>
    <row r="3367" spans="119:119" x14ac:dyDescent="0.2">
      <c r="DO3367" s="303" t="s">
        <v>232</v>
      </c>
    </row>
    <row r="3368" spans="119:119" x14ac:dyDescent="0.2">
      <c r="DO3368" s="303" t="s">
        <v>232</v>
      </c>
    </row>
    <row r="3369" spans="119:119" x14ac:dyDescent="0.2">
      <c r="DO3369" s="303" t="s">
        <v>232</v>
      </c>
    </row>
    <row r="3370" spans="119:119" x14ac:dyDescent="0.2">
      <c r="DO3370" s="303" t="s">
        <v>232</v>
      </c>
    </row>
    <row r="3371" spans="119:119" x14ac:dyDescent="0.2">
      <c r="DO3371" s="303" t="s">
        <v>232</v>
      </c>
    </row>
    <row r="3372" spans="119:119" x14ac:dyDescent="0.2">
      <c r="DO3372" s="303" t="s">
        <v>232</v>
      </c>
    </row>
    <row r="3373" spans="119:119" x14ac:dyDescent="0.2">
      <c r="DO3373" s="303" t="s">
        <v>232</v>
      </c>
    </row>
    <row r="3374" spans="119:119" x14ac:dyDescent="0.2">
      <c r="DO3374" s="303" t="s">
        <v>232</v>
      </c>
    </row>
    <row r="3375" spans="119:119" x14ac:dyDescent="0.2">
      <c r="DO3375" s="303" t="s">
        <v>232</v>
      </c>
    </row>
    <row r="3376" spans="119:119" x14ac:dyDescent="0.2">
      <c r="DO3376" s="303" t="s">
        <v>232</v>
      </c>
    </row>
    <row r="3377" spans="119:119" x14ac:dyDescent="0.2">
      <c r="DO3377" s="303" t="s">
        <v>232</v>
      </c>
    </row>
    <row r="3378" spans="119:119" x14ac:dyDescent="0.2">
      <c r="DO3378" s="303" t="s">
        <v>232</v>
      </c>
    </row>
    <row r="3379" spans="119:119" x14ac:dyDescent="0.2">
      <c r="DO3379" s="303" t="s">
        <v>232</v>
      </c>
    </row>
    <row r="3380" spans="119:119" x14ac:dyDescent="0.2">
      <c r="DO3380" s="303" t="s">
        <v>232</v>
      </c>
    </row>
    <row r="3381" spans="119:119" x14ac:dyDescent="0.2">
      <c r="DO3381" s="303" t="s">
        <v>232</v>
      </c>
    </row>
    <row r="3382" spans="119:119" x14ac:dyDescent="0.2">
      <c r="DO3382" s="303" t="s">
        <v>232</v>
      </c>
    </row>
    <row r="3383" spans="119:119" x14ac:dyDescent="0.2">
      <c r="DO3383" s="303" t="s">
        <v>232</v>
      </c>
    </row>
    <row r="3384" spans="119:119" x14ac:dyDescent="0.2">
      <c r="DO3384" s="303" t="s">
        <v>232</v>
      </c>
    </row>
    <row r="3385" spans="119:119" x14ac:dyDescent="0.2">
      <c r="DO3385" s="303" t="s">
        <v>232</v>
      </c>
    </row>
    <row r="3386" spans="119:119" x14ac:dyDescent="0.2">
      <c r="DO3386" s="303" t="s">
        <v>232</v>
      </c>
    </row>
    <row r="3387" spans="119:119" x14ac:dyDescent="0.2">
      <c r="DO3387" s="303" t="s">
        <v>232</v>
      </c>
    </row>
    <row r="3388" spans="119:119" x14ac:dyDescent="0.2">
      <c r="DO3388" s="303" t="s">
        <v>232</v>
      </c>
    </row>
    <row r="3389" spans="119:119" x14ac:dyDescent="0.2">
      <c r="DO3389" s="303" t="s">
        <v>232</v>
      </c>
    </row>
    <row r="3390" spans="119:119" x14ac:dyDescent="0.2">
      <c r="DO3390" s="303" t="s">
        <v>232</v>
      </c>
    </row>
    <row r="3391" spans="119:119" x14ac:dyDescent="0.2">
      <c r="DO3391" s="303" t="s">
        <v>232</v>
      </c>
    </row>
    <row r="3392" spans="119:119" x14ac:dyDescent="0.2">
      <c r="DO3392" s="303" t="s">
        <v>232</v>
      </c>
    </row>
    <row r="3393" spans="119:119" x14ac:dyDescent="0.2">
      <c r="DO3393" s="303" t="s">
        <v>232</v>
      </c>
    </row>
    <row r="3394" spans="119:119" x14ac:dyDescent="0.2">
      <c r="DO3394" s="303" t="s">
        <v>232</v>
      </c>
    </row>
    <row r="3395" spans="119:119" x14ac:dyDescent="0.2">
      <c r="DO3395" s="303" t="s">
        <v>232</v>
      </c>
    </row>
    <row r="3396" spans="119:119" x14ac:dyDescent="0.2">
      <c r="DO3396" s="303" t="s">
        <v>232</v>
      </c>
    </row>
    <row r="3397" spans="119:119" x14ac:dyDescent="0.2">
      <c r="DO3397" s="303" t="s">
        <v>232</v>
      </c>
    </row>
    <row r="3398" spans="119:119" x14ac:dyDescent="0.2">
      <c r="DO3398" s="303" t="s">
        <v>232</v>
      </c>
    </row>
    <row r="3399" spans="119:119" x14ac:dyDescent="0.2">
      <c r="DO3399" s="303" t="s">
        <v>232</v>
      </c>
    </row>
    <row r="3400" spans="119:119" x14ac:dyDescent="0.2">
      <c r="DO3400" s="303" t="s">
        <v>232</v>
      </c>
    </row>
    <row r="3401" spans="119:119" x14ac:dyDescent="0.2">
      <c r="DO3401" s="303" t="s">
        <v>232</v>
      </c>
    </row>
    <row r="3402" spans="119:119" x14ac:dyDescent="0.2">
      <c r="DO3402" s="303" t="s">
        <v>232</v>
      </c>
    </row>
    <row r="3403" spans="119:119" x14ac:dyDescent="0.2">
      <c r="DO3403" s="303" t="s">
        <v>232</v>
      </c>
    </row>
    <row r="3404" spans="119:119" x14ac:dyDescent="0.2">
      <c r="DO3404" s="303" t="s">
        <v>232</v>
      </c>
    </row>
    <row r="3405" spans="119:119" x14ac:dyDescent="0.2">
      <c r="DO3405" s="303" t="s">
        <v>232</v>
      </c>
    </row>
    <row r="3406" spans="119:119" x14ac:dyDescent="0.2">
      <c r="DO3406" s="303" t="s">
        <v>232</v>
      </c>
    </row>
    <row r="3407" spans="119:119" x14ac:dyDescent="0.2">
      <c r="DO3407" s="303" t="s">
        <v>232</v>
      </c>
    </row>
    <row r="3408" spans="119:119" x14ac:dyDescent="0.2">
      <c r="DO3408" s="303" t="s">
        <v>232</v>
      </c>
    </row>
    <row r="3409" spans="119:119" x14ac:dyDescent="0.2">
      <c r="DO3409" s="303" t="s">
        <v>232</v>
      </c>
    </row>
    <row r="3410" spans="119:119" x14ac:dyDescent="0.2">
      <c r="DO3410" s="303" t="s">
        <v>232</v>
      </c>
    </row>
    <row r="3411" spans="119:119" x14ac:dyDescent="0.2">
      <c r="DO3411" s="303" t="s">
        <v>232</v>
      </c>
    </row>
    <row r="3412" spans="119:119" x14ac:dyDescent="0.2">
      <c r="DO3412" s="303" t="s">
        <v>232</v>
      </c>
    </row>
    <row r="3413" spans="119:119" x14ac:dyDescent="0.2">
      <c r="DO3413" s="303" t="s">
        <v>232</v>
      </c>
    </row>
    <row r="3414" spans="119:119" x14ac:dyDescent="0.2">
      <c r="DO3414" s="303" t="s">
        <v>232</v>
      </c>
    </row>
    <row r="3415" spans="119:119" x14ac:dyDescent="0.2">
      <c r="DO3415" s="303" t="s">
        <v>232</v>
      </c>
    </row>
    <row r="3416" spans="119:119" x14ac:dyDescent="0.2">
      <c r="DO3416" s="303" t="s">
        <v>232</v>
      </c>
    </row>
    <row r="3417" spans="119:119" x14ac:dyDescent="0.2">
      <c r="DO3417" s="303" t="s">
        <v>232</v>
      </c>
    </row>
    <row r="3418" spans="119:119" x14ac:dyDescent="0.2">
      <c r="DO3418" s="303" t="s">
        <v>232</v>
      </c>
    </row>
    <row r="3419" spans="119:119" x14ac:dyDescent="0.2">
      <c r="DO3419" s="303" t="s">
        <v>232</v>
      </c>
    </row>
    <row r="3420" spans="119:119" x14ac:dyDescent="0.2">
      <c r="DO3420" s="303" t="s">
        <v>232</v>
      </c>
    </row>
    <row r="3421" spans="119:119" x14ac:dyDescent="0.2">
      <c r="DO3421" s="303" t="s">
        <v>232</v>
      </c>
    </row>
    <row r="3422" spans="119:119" x14ac:dyDescent="0.2">
      <c r="DO3422" s="303" t="s">
        <v>232</v>
      </c>
    </row>
    <row r="3423" spans="119:119" x14ac:dyDescent="0.2">
      <c r="DO3423" s="303" t="s">
        <v>232</v>
      </c>
    </row>
    <row r="3424" spans="119:119" x14ac:dyDescent="0.2">
      <c r="DO3424" s="303" t="s">
        <v>232</v>
      </c>
    </row>
    <row r="3425" spans="119:119" x14ac:dyDescent="0.2">
      <c r="DO3425" s="303" t="s">
        <v>232</v>
      </c>
    </row>
    <row r="3426" spans="119:119" x14ac:dyDescent="0.2">
      <c r="DO3426" s="303" t="s">
        <v>232</v>
      </c>
    </row>
    <row r="3427" spans="119:119" x14ac:dyDescent="0.2">
      <c r="DO3427" s="303" t="s">
        <v>232</v>
      </c>
    </row>
    <row r="3428" spans="119:119" x14ac:dyDescent="0.2">
      <c r="DO3428" s="303" t="s">
        <v>232</v>
      </c>
    </row>
    <row r="3429" spans="119:119" x14ac:dyDescent="0.2">
      <c r="DO3429" s="303" t="s">
        <v>232</v>
      </c>
    </row>
    <row r="3430" spans="119:119" x14ac:dyDescent="0.2">
      <c r="DO3430" s="303" t="s">
        <v>232</v>
      </c>
    </row>
    <row r="3431" spans="119:119" x14ac:dyDescent="0.2">
      <c r="DO3431" s="303" t="s">
        <v>232</v>
      </c>
    </row>
    <row r="3432" spans="119:119" x14ac:dyDescent="0.2">
      <c r="DO3432" s="303" t="s">
        <v>232</v>
      </c>
    </row>
    <row r="3433" spans="119:119" x14ac:dyDescent="0.2">
      <c r="DO3433" s="303" t="s">
        <v>232</v>
      </c>
    </row>
    <row r="3434" spans="119:119" x14ac:dyDescent="0.2">
      <c r="DO3434" s="303" t="s">
        <v>232</v>
      </c>
    </row>
    <row r="3435" spans="119:119" x14ac:dyDescent="0.2">
      <c r="DO3435" s="303" t="s">
        <v>232</v>
      </c>
    </row>
    <row r="3436" spans="119:119" x14ac:dyDescent="0.2">
      <c r="DO3436" s="303" t="s">
        <v>232</v>
      </c>
    </row>
    <row r="3437" spans="119:119" x14ac:dyDescent="0.2">
      <c r="DO3437" s="303" t="s">
        <v>232</v>
      </c>
    </row>
    <row r="3438" spans="119:119" x14ac:dyDescent="0.2">
      <c r="DO3438" s="303" t="s">
        <v>232</v>
      </c>
    </row>
    <row r="3439" spans="119:119" x14ac:dyDescent="0.2">
      <c r="DO3439" s="303" t="s">
        <v>232</v>
      </c>
    </row>
    <row r="3440" spans="119:119" x14ac:dyDescent="0.2">
      <c r="DO3440" s="303" t="s">
        <v>232</v>
      </c>
    </row>
    <row r="3441" spans="119:119" x14ac:dyDescent="0.2">
      <c r="DO3441" s="303" t="s">
        <v>232</v>
      </c>
    </row>
    <row r="3442" spans="119:119" x14ac:dyDescent="0.2">
      <c r="DO3442" s="303" t="s">
        <v>232</v>
      </c>
    </row>
    <row r="3443" spans="119:119" x14ac:dyDescent="0.2">
      <c r="DO3443" s="303" t="s">
        <v>232</v>
      </c>
    </row>
    <row r="3444" spans="119:119" x14ac:dyDescent="0.2">
      <c r="DO3444" s="303" t="s">
        <v>232</v>
      </c>
    </row>
    <row r="3445" spans="119:119" x14ac:dyDescent="0.2">
      <c r="DO3445" s="303" t="s">
        <v>232</v>
      </c>
    </row>
    <row r="3446" spans="119:119" x14ac:dyDescent="0.2">
      <c r="DO3446" s="303" t="s">
        <v>232</v>
      </c>
    </row>
    <row r="3447" spans="119:119" x14ac:dyDescent="0.2">
      <c r="DO3447" s="303" t="s">
        <v>232</v>
      </c>
    </row>
    <row r="3448" spans="119:119" x14ac:dyDescent="0.2">
      <c r="DO3448" s="303" t="s">
        <v>232</v>
      </c>
    </row>
    <row r="3449" spans="119:119" x14ac:dyDescent="0.2">
      <c r="DO3449" s="303" t="s">
        <v>232</v>
      </c>
    </row>
    <row r="3450" spans="119:119" x14ac:dyDescent="0.2">
      <c r="DO3450" s="303" t="s">
        <v>232</v>
      </c>
    </row>
    <row r="3451" spans="119:119" x14ac:dyDescent="0.2">
      <c r="DO3451" s="303" t="s">
        <v>232</v>
      </c>
    </row>
    <row r="3452" spans="119:119" x14ac:dyDescent="0.2">
      <c r="DO3452" s="303" t="s">
        <v>232</v>
      </c>
    </row>
    <row r="3453" spans="119:119" x14ac:dyDescent="0.2">
      <c r="DO3453" s="303" t="s">
        <v>232</v>
      </c>
    </row>
    <row r="3454" spans="119:119" x14ac:dyDescent="0.2">
      <c r="DO3454" s="303" t="s">
        <v>232</v>
      </c>
    </row>
    <row r="3455" spans="119:119" x14ac:dyDescent="0.2">
      <c r="DO3455" s="303" t="s">
        <v>232</v>
      </c>
    </row>
    <row r="3456" spans="119:119" x14ac:dyDescent="0.2">
      <c r="DO3456" s="303" t="s">
        <v>232</v>
      </c>
    </row>
    <row r="3457" spans="119:119" x14ac:dyDescent="0.2">
      <c r="DO3457" s="303" t="s">
        <v>232</v>
      </c>
    </row>
    <row r="3458" spans="119:119" x14ac:dyDescent="0.2">
      <c r="DO3458" s="303" t="s">
        <v>232</v>
      </c>
    </row>
    <row r="3459" spans="119:119" x14ac:dyDescent="0.2">
      <c r="DO3459" s="303" t="s">
        <v>232</v>
      </c>
    </row>
    <row r="3460" spans="119:119" x14ac:dyDescent="0.2">
      <c r="DO3460" s="303" t="s">
        <v>232</v>
      </c>
    </row>
    <row r="3461" spans="119:119" x14ac:dyDescent="0.2">
      <c r="DO3461" s="303" t="s">
        <v>232</v>
      </c>
    </row>
    <row r="3462" spans="119:119" x14ac:dyDescent="0.2">
      <c r="DO3462" s="303" t="s">
        <v>232</v>
      </c>
    </row>
    <row r="3463" spans="119:119" x14ac:dyDescent="0.2">
      <c r="DO3463" s="303" t="s">
        <v>232</v>
      </c>
    </row>
    <row r="3464" spans="119:119" x14ac:dyDescent="0.2">
      <c r="DO3464" s="303" t="s">
        <v>232</v>
      </c>
    </row>
    <row r="3465" spans="119:119" x14ac:dyDescent="0.2">
      <c r="DO3465" s="303" t="s">
        <v>232</v>
      </c>
    </row>
    <row r="3466" spans="119:119" x14ac:dyDescent="0.2">
      <c r="DO3466" s="303" t="s">
        <v>232</v>
      </c>
    </row>
    <row r="3467" spans="119:119" x14ac:dyDescent="0.2">
      <c r="DO3467" s="303" t="s">
        <v>232</v>
      </c>
    </row>
    <row r="3468" spans="119:119" x14ac:dyDescent="0.2">
      <c r="DO3468" s="303" t="s">
        <v>232</v>
      </c>
    </row>
    <row r="3469" spans="119:119" x14ac:dyDescent="0.2">
      <c r="DO3469" s="303" t="s">
        <v>232</v>
      </c>
    </row>
    <row r="3470" spans="119:119" x14ac:dyDescent="0.2">
      <c r="DO3470" s="303" t="s">
        <v>232</v>
      </c>
    </row>
    <row r="3471" spans="119:119" x14ac:dyDescent="0.2">
      <c r="DO3471" s="303" t="s">
        <v>232</v>
      </c>
    </row>
    <row r="3472" spans="119:119" x14ac:dyDescent="0.2">
      <c r="DO3472" s="303" t="s">
        <v>232</v>
      </c>
    </row>
    <row r="3473" spans="119:119" x14ac:dyDescent="0.2">
      <c r="DO3473" s="303" t="s">
        <v>232</v>
      </c>
    </row>
    <row r="3474" spans="119:119" x14ac:dyDescent="0.2">
      <c r="DO3474" s="303" t="s">
        <v>232</v>
      </c>
    </row>
    <row r="3475" spans="119:119" x14ac:dyDescent="0.2">
      <c r="DO3475" s="303" t="s">
        <v>232</v>
      </c>
    </row>
    <row r="3476" spans="119:119" x14ac:dyDescent="0.2">
      <c r="DO3476" s="303" t="s">
        <v>232</v>
      </c>
    </row>
    <row r="3477" spans="119:119" x14ac:dyDescent="0.2">
      <c r="DO3477" s="303" t="s">
        <v>232</v>
      </c>
    </row>
    <row r="3478" spans="119:119" x14ac:dyDescent="0.2">
      <c r="DO3478" s="303" t="s">
        <v>232</v>
      </c>
    </row>
    <row r="3479" spans="119:119" x14ac:dyDescent="0.2">
      <c r="DO3479" s="303" t="s">
        <v>232</v>
      </c>
    </row>
    <row r="3480" spans="119:119" x14ac:dyDescent="0.2">
      <c r="DO3480" s="303" t="s">
        <v>232</v>
      </c>
    </row>
    <row r="3481" spans="119:119" x14ac:dyDescent="0.2">
      <c r="DO3481" s="303" t="s">
        <v>232</v>
      </c>
    </row>
    <row r="3482" spans="119:119" x14ac:dyDescent="0.2">
      <c r="DO3482" s="303" t="s">
        <v>232</v>
      </c>
    </row>
    <row r="3483" spans="119:119" x14ac:dyDescent="0.2">
      <c r="DO3483" s="303" t="s">
        <v>232</v>
      </c>
    </row>
    <row r="3484" spans="119:119" x14ac:dyDescent="0.2">
      <c r="DO3484" s="303" t="s">
        <v>232</v>
      </c>
    </row>
    <row r="3485" spans="119:119" x14ac:dyDescent="0.2">
      <c r="DO3485" s="303" t="s">
        <v>232</v>
      </c>
    </row>
    <row r="3486" spans="119:119" x14ac:dyDescent="0.2">
      <c r="DO3486" s="303" t="s">
        <v>232</v>
      </c>
    </row>
    <row r="3487" spans="119:119" x14ac:dyDescent="0.2">
      <c r="DO3487" s="303" t="s">
        <v>232</v>
      </c>
    </row>
    <row r="3488" spans="119:119" x14ac:dyDescent="0.2">
      <c r="DO3488" s="303" t="s">
        <v>232</v>
      </c>
    </row>
    <row r="3489" spans="119:119" x14ac:dyDescent="0.2">
      <c r="DO3489" s="303" t="s">
        <v>232</v>
      </c>
    </row>
    <row r="3490" spans="119:119" x14ac:dyDescent="0.2">
      <c r="DO3490" s="303" t="s">
        <v>232</v>
      </c>
    </row>
    <row r="3491" spans="119:119" x14ac:dyDescent="0.2">
      <c r="DO3491" s="303" t="s">
        <v>232</v>
      </c>
    </row>
    <row r="3492" spans="119:119" x14ac:dyDescent="0.2">
      <c r="DO3492" s="303" t="s">
        <v>232</v>
      </c>
    </row>
    <row r="3493" spans="119:119" x14ac:dyDescent="0.2">
      <c r="DO3493" s="303" t="s">
        <v>232</v>
      </c>
    </row>
    <row r="3494" spans="119:119" x14ac:dyDescent="0.2">
      <c r="DO3494" s="303" t="s">
        <v>232</v>
      </c>
    </row>
    <row r="3495" spans="119:119" x14ac:dyDescent="0.2">
      <c r="DO3495" s="303" t="s">
        <v>232</v>
      </c>
    </row>
    <row r="3496" spans="119:119" x14ac:dyDescent="0.2">
      <c r="DO3496" s="303" t="s">
        <v>232</v>
      </c>
    </row>
    <row r="3497" spans="119:119" x14ac:dyDescent="0.2">
      <c r="DO3497" s="303" t="s">
        <v>232</v>
      </c>
    </row>
    <row r="3498" spans="119:119" x14ac:dyDescent="0.2">
      <c r="DO3498" s="303" t="s">
        <v>232</v>
      </c>
    </row>
    <row r="3499" spans="119:119" x14ac:dyDescent="0.2">
      <c r="DO3499" s="303" t="s">
        <v>232</v>
      </c>
    </row>
    <row r="3500" spans="119:119" x14ac:dyDescent="0.2">
      <c r="DO3500" s="303" t="s">
        <v>232</v>
      </c>
    </row>
    <row r="3501" spans="119:119" x14ac:dyDescent="0.2">
      <c r="DO3501" s="303" t="s">
        <v>232</v>
      </c>
    </row>
    <row r="3502" spans="119:119" x14ac:dyDescent="0.2">
      <c r="DO3502" s="303" t="s">
        <v>232</v>
      </c>
    </row>
    <row r="3503" spans="119:119" x14ac:dyDescent="0.2">
      <c r="DO3503" s="303" t="s">
        <v>232</v>
      </c>
    </row>
    <row r="3504" spans="119:119" x14ac:dyDescent="0.2">
      <c r="DO3504" s="303" t="s">
        <v>232</v>
      </c>
    </row>
    <row r="3505" spans="119:119" x14ac:dyDescent="0.2">
      <c r="DO3505" s="303" t="s">
        <v>232</v>
      </c>
    </row>
    <row r="3506" spans="119:119" x14ac:dyDescent="0.2">
      <c r="DO3506" s="303" t="s">
        <v>232</v>
      </c>
    </row>
    <row r="3507" spans="119:119" x14ac:dyDescent="0.2">
      <c r="DO3507" s="303" t="s">
        <v>232</v>
      </c>
    </row>
    <row r="3508" spans="119:119" x14ac:dyDescent="0.2">
      <c r="DO3508" s="303" t="s">
        <v>232</v>
      </c>
    </row>
    <row r="3509" spans="119:119" x14ac:dyDescent="0.2">
      <c r="DO3509" s="303" t="s">
        <v>232</v>
      </c>
    </row>
    <row r="3510" spans="119:119" x14ac:dyDescent="0.2">
      <c r="DO3510" s="303" t="s">
        <v>232</v>
      </c>
    </row>
    <row r="3511" spans="119:119" x14ac:dyDescent="0.2">
      <c r="DO3511" s="303" t="s">
        <v>232</v>
      </c>
    </row>
    <row r="3512" spans="119:119" x14ac:dyDescent="0.2">
      <c r="DO3512" s="303" t="s">
        <v>232</v>
      </c>
    </row>
    <row r="3513" spans="119:119" x14ac:dyDescent="0.2">
      <c r="DO3513" s="303" t="s">
        <v>232</v>
      </c>
    </row>
    <row r="3514" spans="119:119" x14ac:dyDescent="0.2">
      <c r="DO3514" s="303" t="s">
        <v>232</v>
      </c>
    </row>
    <row r="3515" spans="119:119" x14ac:dyDescent="0.2">
      <c r="DO3515" s="303" t="s">
        <v>232</v>
      </c>
    </row>
    <row r="3516" spans="119:119" x14ac:dyDescent="0.2">
      <c r="DO3516" s="303" t="s">
        <v>232</v>
      </c>
    </row>
    <row r="3517" spans="119:119" x14ac:dyDescent="0.2">
      <c r="DO3517" s="303" t="s">
        <v>232</v>
      </c>
    </row>
    <row r="3518" spans="119:119" x14ac:dyDescent="0.2">
      <c r="DO3518" s="303" t="s">
        <v>232</v>
      </c>
    </row>
    <row r="3519" spans="119:119" x14ac:dyDescent="0.2">
      <c r="DO3519" s="303" t="s">
        <v>232</v>
      </c>
    </row>
    <row r="3520" spans="119:119" x14ac:dyDescent="0.2">
      <c r="DO3520" s="303" t="s">
        <v>232</v>
      </c>
    </row>
    <row r="3521" spans="119:119" x14ac:dyDescent="0.2">
      <c r="DO3521" s="303" t="s">
        <v>232</v>
      </c>
    </row>
    <row r="3522" spans="119:119" x14ac:dyDescent="0.2">
      <c r="DO3522" s="303" t="s">
        <v>232</v>
      </c>
    </row>
    <row r="3523" spans="119:119" x14ac:dyDescent="0.2">
      <c r="DO3523" s="303" t="s">
        <v>232</v>
      </c>
    </row>
    <row r="3524" spans="119:119" x14ac:dyDescent="0.2">
      <c r="DO3524" s="303" t="s">
        <v>232</v>
      </c>
    </row>
    <row r="3525" spans="119:119" x14ac:dyDescent="0.2">
      <c r="DO3525" s="303" t="s">
        <v>232</v>
      </c>
    </row>
    <row r="3526" spans="119:119" x14ac:dyDescent="0.2">
      <c r="DO3526" s="303" t="s">
        <v>232</v>
      </c>
    </row>
    <row r="3527" spans="119:119" x14ac:dyDescent="0.2">
      <c r="DO3527" s="303" t="s">
        <v>232</v>
      </c>
    </row>
    <row r="3528" spans="119:119" x14ac:dyDescent="0.2">
      <c r="DO3528" s="303" t="s">
        <v>232</v>
      </c>
    </row>
    <row r="3529" spans="119:119" x14ac:dyDescent="0.2">
      <c r="DO3529" s="303" t="s">
        <v>232</v>
      </c>
    </row>
    <row r="3530" spans="119:119" x14ac:dyDescent="0.2">
      <c r="DO3530" s="303" t="s">
        <v>232</v>
      </c>
    </row>
    <row r="3531" spans="119:119" x14ac:dyDescent="0.2">
      <c r="DO3531" s="303" t="s">
        <v>232</v>
      </c>
    </row>
    <row r="3532" spans="119:119" x14ac:dyDescent="0.2">
      <c r="DO3532" s="303" t="s">
        <v>232</v>
      </c>
    </row>
    <row r="3533" spans="119:119" x14ac:dyDescent="0.2">
      <c r="DO3533" s="303" t="s">
        <v>232</v>
      </c>
    </row>
    <row r="3534" spans="119:119" x14ac:dyDescent="0.2">
      <c r="DO3534" s="303" t="s">
        <v>232</v>
      </c>
    </row>
    <row r="3535" spans="119:119" x14ac:dyDescent="0.2">
      <c r="DO3535" s="303" t="s">
        <v>232</v>
      </c>
    </row>
    <row r="3536" spans="119:119" x14ac:dyDescent="0.2">
      <c r="DO3536" s="303" t="s">
        <v>232</v>
      </c>
    </row>
    <row r="3537" spans="119:119" x14ac:dyDescent="0.2">
      <c r="DO3537" s="303" t="s">
        <v>232</v>
      </c>
    </row>
    <row r="3538" spans="119:119" x14ac:dyDescent="0.2">
      <c r="DO3538" s="303" t="s">
        <v>232</v>
      </c>
    </row>
    <row r="3539" spans="119:119" x14ac:dyDescent="0.2">
      <c r="DO3539" s="303" t="s">
        <v>232</v>
      </c>
    </row>
    <row r="3540" spans="119:119" x14ac:dyDescent="0.2">
      <c r="DO3540" s="303" t="s">
        <v>232</v>
      </c>
    </row>
    <row r="3541" spans="119:119" x14ac:dyDescent="0.2">
      <c r="DO3541" s="303" t="s">
        <v>232</v>
      </c>
    </row>
    <row r="3542" spans="119:119" x14ac:dyDescent="0.2">
      <c r="DO3542" s="303" t="s">
        <v>232</v>
      </c>
    </row>
    <row r="3543" spans="119:119" x14ac:dyDescent="0.2">
      <c r="DO3543" s="303" t="s">
        <v>232</v>
      </c>
    </row>
    <row r="3544" spans="119:119" x14ac:dyDescent="0.2">
      <c r="DO3544" s="303" t="s">
        <v>232</v>
      </c>
    </row>
    <row r="3545" spans="119:119" x14ac:dyDescent="0.2">
      <c r="DO3545" s="303" t="s">
        <v>232</v>
      </c>
    </row>
    <row r="3546" spans="119:119" x14ac:dyDescent="0.2">
      <c r="DO3546" s="303" t="s">
        <v>232</v>
      </c>
    </row>
    <row r="3547" spans="119:119" x14ac:dyDescent="0.2">
      <c r="DO3547" s="303" t="s">
        <v>232</v>
      </c>
    </row>
    <row r="3548" spans="119:119" x14ac:dyDescent="0.2">
      <c r="DO3548" s="303" t="s">
        <v>232</v>
      </c>
    </row>
    <row r="3549" spans="119:119" x14ac:dyDescent="0.2">
      <c r="DO3549" s="303" t="s">
        <v>232</v>
      </c>
    </row>
    <row r="3550" spans="119:119" x14ac:dyDescent="0.2">
      <c r="DO3550" s="303" t="s">
        <v>232</v>
      </c>
    </row>
    <row r="3551" spans="119:119" x14ac:dyDescent="0.2">
      <c r="DO3551" s="303" t="s">
        <v>232</v>
      </c>
    </row>
    <row r="3552" spans="119:119" x14ac:dyDescent="0.2">
      <c r="DO3552" s="303" t="s">
        <v>232</v>
      </c>
    </row>
    <row r="3553" spans="119:119" x14ac:dyDescent="0.2">
      <c r="DO3553" s="303" t="s">
        <v>232</v>
      </c>
    </row>
    <row r="3554" spans="119:119" x14ac:dyDescent="0.2">
      <c r="DO3554" s="303" t="s">
        <v>232</v>
      </c>
    </row>
    <row r="3555" spans="119:119" x14ac:dyDescent="0.2">
      <c r="DO3555" s="303" t="s">
        <v>232</v>
      </c>
    </row>
    <row r="3556" spans="119:119" x14ac:dyDescent="0.2">
      <c r="DO3556" s="303" t="s">
        <v>232</v>
      </c>
    </row>
    <row r="3557" spans="119:119" x14ac:dyDescent="0.2">
      <c r="DO3557" s="303" t="s">
        <v>232</v>
      </c>
    </row>
    <row r="3558" spans="119:119" x14ac:dyDescent="0.2">
      <c r="DO3558" s="303" t="s">
        <v>232</v>
      </c>
    </row>
    <row r="3559" spans="119:119" x14ac:dyDescent="0.2">
      <c r="DO3559" s="303" t="s">
        <v>232</v>
      </c>
    </row>
    <row r="3560" spans="119:119" x14ac:dyDescent="0.2">
      <c r="DO3560" s="303" t="s">
        <v>232</v>
      </c>
    </row>
    <row r="3561" spans="119:119" x14ac:dyDescent="0.2">
      <c r="DO3561" s="303" t="s">
        <v>232</v>
      </c>
    </row>
    <row r="3562" spans="119:119" x14ac:dyDescent="0.2">
      <c r="DO3562" s="303" t="s">
        <v>232</v>
      </c>
    </row>
    <row r="3563" spans="119:119" x14ac:dyDescent="0.2">
      <c r="DO3563" s="303" t="s">
        <v>232</v>
      </c>
    </row>
    <row r="3564" spans="119:119" x14ac:dyDescent="0.2">
      <c r="DO3564" s="303" t="s">
        <v>232</v>
      </c>
    </row>
    <row r="3565" spans="119:119" x14ac:dyDescent="0.2">
      <c r="DO3565" s="303" t="s">
        <v>232</v>
      </c>
    </row>
    <row r="3566" spans="119:119" x14ac:dyDescent="0.2">
      <c r="DO3566" s="303" t="s">
        <v>232</v>
      </c>
    </row>
    <row r="3567" spans="119:119" x14ac:dyDescent="0.2">
      <c r="DO3567" s="303" t="s">
        <v>232</v>
      </c>
    </row>
    <row r="3568" spans="119:119" x14ac:dyDescent="0.2">
      <c r="DO3568" s="303" t="s">
        <v>232</v>
      </c>
    </row>
    <row r="3569" spans="119:119" x14ac:dyDescent="0.2">
      <c r="DO3569" s="303" t="s">
        <v>232</v>
      </c>
    </row>
    <row r="3570" spans="119:119" x14ac:dyDescent="0.2">
      <c r="DO3570" s="303" t="s">
        <v>232</v>
      </c>
    </row>
    <row r="3571" spans="119:119" x14ac:dyDescent="0.2">
      <c r="DO3571" s="303" t="s">
        <v>232</v>
      </c>
    </row>
    <row r="3572" spans="119:119" x14ac:dyDescent="0.2">
      <c r="DO3572" s="303" t="s">
        <v>232</v>
      </c>
    </row>
    <row r="3573" spans="119:119" x14ac:dyDescent="0.2">
      <c r="DO3573" s="303" t="s">
        <v>232</v>
      </c>
    </row>
    <row r="3574" spans="119:119" x14ac:dyDescent="0.2">
      <c r="DO3574" s="303" t="s">
        <v>232</v>
      </c>
    </row>
    <row r="3575" spans="119:119" x14ac:dyDescent="0.2">
      <c r="DO3575" s="303" t="s">
        <v>232</v>
      </c>
    </row>
    <row r="3576" spans="119:119" x14ac:dyDescent="0.2">
      <c r="DO3576" s="303" t="s">
        <v>232</v>
      </c>
    </row>
    <row r="3577" spans="119:119" x14ac:dyDescent="0.2">
      <c r="DO3577" s="303" t="s">
        <v>232</v>
      </c>
    </row>
    <row r="3578" spans="119:119" x14ac:dyDescent="0.2">
      <c r="DO3578" s="303" t="s">
        <v>232</v>
      </c>
    </row>
    <row r="3579" spans="119:119" x14ac:dyDescent="0.2">
      <c r="DO3579" s="303" t="s">
        <v>232</v>
      </c>
    </row>
    <row r="3580" spans="119:119" x14ac:dyDescent="0.2">
      <c r="DO3580" s="303" t="s">
        <v>232</v>
      </c>
    </row>
    <row r="3581" spans="119:119" x14ac:dyDescent="0.2">
      <c r="DO3581" s="303" t="s">
        <v>232</v>
      </c>
    </row>
    <row r="3582" spans="119:119" x14ac:dyDescent="0.2">
      <c r="DO3582" s="303" t="s">
        <v>232</v>
      </c>
    </row>
    <row r="3583" spans="119:119" x14ac:dyDescent="0.2">
      <c r="DO3583" s="303" t="s">
        <v>232</v>
      </c>
    </row>
    <row r="3584" spans="119:119" x14ac:dyDescent="0.2">
      <c r="DO3584" s="303" t="s">
        <v>232</v>
      </c>
    </row>
    <row r="3585" spans="119:119" x14ac:dyDescent="0.2">
      <c r="DO3585" s="303" t="s">
        <v>232</v>
      </c>
    </row>
    <row r="3586" spans="119:119" x14ac:dyDescent="0.2">
      <c r="DO3586" s="303" t="s">
        <v>232</v>
      </c>
    </row>
    <row r="3587" spans="119:119" x14ac:dyDescent="0.2">
      <c r="DO3587" s="303" t="s">
        <v>232</v>
      </c>
    </row>
    <row r="3588" spans="119:119" x14ac:dyDescent="0.2">
      <c r="DO3588" s="303" t="s">
        <v>232</v>
      </c>
    </row>
    <row r="3589" spans="119:119" x14ac:dyDescent="0.2">
      <c r="DO3589" s="303" t="s">
        <v>232</v>
      </c>
    </row>
    <row r="3590" spans="119:119" x14ac:dyDescent="0.2">
      <c r="DO3590" s="303" t="s">
        <v>232</v>
      </c>
    </row>
    <row r="3591" spans="119:119" x14ac:dyDescent="0.2">
      <c r="DO3591" s="303" t="s">
        <v>232</v>
      </c>
    </row>
    <row r="3592" spans="119:119" x14ac:dyDescent="0.2">
      <c r="DO3592" s="303" t="s">
        <v>232</v>
      </c>
    </row>
    <row r="3593" spans="119:119" x14ac:dyDescent="0.2">
      <c r="DO3593" s="303" t="s">
        <v>232</v>
      </c>
    </row>
    <row r="3594" spans="119:119" x14ac:dyDescent="0.2">
      <c r="DO3594" s="303" t="s">
        <v>232</v>
      </c>
    </row>
    <row r="3595" spans="119:119" x14ac:dyDescent="0.2">
      <c r="DO3595" s="303" t="s">
        <v>232</v>
      </c>
    </row>
    <row r="3596" spans="119:119" x14ac:dyDescent="0.2">
      <c r="DO3596" s="303" t="s">
        <v>232</v>
      </c>
    </row>
    <row r="3597" spans="119:119" x14ac:dyDescent="0.2">
      <c r="DO3597" s="303" t="s">
        <v>232</v>
      </c>
    </row>
    <row r="3598" spans="119:119" x14ac:dyDescent="0.2">
      <c r="DO3598" s="303" t="s">
        <v>232</v>
      </c>
    </row>
    <row r="3599" spans="119:119" x14ac:dyDescent="0.2">
      <c r="DO3599" s="303" t="s">
        <v>232</v>
      </c>
    </row>
    <row r="3600" spans="119:119" x14ac:dyDescent="0.2">
      <c r="DO3600" s="303" t="s">
        <v>232</v>
      </c>
    </row>
    <row r="3601" spans="119:119" x14ac:dyDescent="0.2">
      <c r="DO3601" s="303" t="s">
        <v>232</v>
      </c>
    </row>
    <row r="3602" spans="119:119" x14ac:dyDescent="0.2">
      <c r="DO3602" s="303" t="s">
        <v>232</v>
      </c>
    </row>
    <row r="3603" spans="119:119" x14ac:dyDescent="0.2">
      <c r="DO3603" s="303" t="s">
        <v>232</v>
      </c>
    </row>
    <row r="3604" spans="119:119" x14ac:dyDescent="0.2">
      <c r="DO3604" s="303" t="s">
        <v>232</v>
      </c>
    </row>
    <row r="3605" spans="119:119" x14ac:dyDescent="0.2">
      <c r="DO3605" s="303" t="s">
        <v>232</v>
      </c>
    </row>
    <row r="3606" spans="119:119" x14ac:dyDescent="0.2">
      <c r="DO3606" s="303" t="s">
        <v>232</v>
      </c>
    </row>
    <row r="3607" spans="119:119" x14ac:dyDescent="0.2">
      <c r="DO3607" s="303" t="s">
        <v>232</v>
      </c>
    </row>
    <row r="3608" spans="119:119" x14ac:dyDescent="0.2">
      <c r="DO3608" s="303" t="s">
        <v>232</v>
      </c>
    </row>
    <row r="3609" spans="119:119" x14ac:dyDescent="0.2">
      <c r="DO3609" s="303" t="s">
        <v>232</v>
      </c>
    </row>
    <row r="3610" spans="119:119" x14ac:dyDescent="0.2">
      <c r="DO3610" s="303" t="s">
        <v>232</v>
      </c>
    </row>
    <row r="3611" spans="119:119" x14ac:dyDescent="0.2">
      <c r="DO3611" s="303" t="s">
        <v>232</v>
      </c>
    </row>
    <row r="3612" spans="119:119" x14ac:dyDescent="0.2">
      <c r="DO3612" s="303" t="s">
        <v>232</v>
      </c>
    </row>
    <row r="3613" spans="119:119" x14ac:dyDescent="0.2">
      <c r="DO3613" s="303" t="s">
        <v>232</v>
      </c>
    </row>
    <row r="3614" spans="119:119" x14ac:dyDescent="0.2">
      <c r="DO3614" s="303" t="s">
        <v>232</v>
      </c>
    </row>
    <row r="3615" spans="119:119" x14ac:dyDescent="0.2">
      <c r="DO3615" s="303" t="s">
        <v>232</v>
      </c>
    </row>
    <row r="3616" spans="119:119" x14ac:dyDescent="0.2">
      <c r="DO3616" s="303" t="s">
        <v>232</v>
      </c>
    </row>
    <row r="3617" spans="119:119" x14ac:dyDescent="0.2">
      <c r="DO3617" s="303" t="s">
        <v>232</v>
      </c>
    </row>
    <row r="3618" spans="119:119" x14ac:dyDescent="0.2">
      <c r="DO3618" s="303" t="s">
        <v>232</v>
      </c>
    </row>
    <row r="3619" spans="119:119" x14ac:dyDescent="0.2">
      <c r="DO3619" s="303" t="s">
        <v>232</v>
      </c>
    </row>
    <row r="3620" spans="119:119" x14ac:dyDescent="0.2">
      <c r="DO3620" s="303" t="s">
        <v>232</v>
      </c>
    </row>
    <row r="3621" spans="119:119" x14ac:dyDescent="0.2">
      <c r="DO3621" s="303" t="s">
        <v>232</v>
      </c>
    </row>
    <row r="3622" spans="119:119" x14ac:dyDescent="0.2">
      <c r="DO3622" s="303" t="s">
        <v>232</v>
      </c>
    </row>
    <row r="3623" spans="119:119" x14ac:dyDescent="0.2">
      <c r="DO3623" s="303" t="s">
        <v>232</v>
      </c>
    </row>
    <row r="3624" spans="119:119" x14ac:dyDescent="0.2">
      <c r="DO3624" s="303" t="s">
        <v>232</v>
      </c>
    </row>
    <row r="3625" spans="119:119" x14ac:dyDescent="0.2">
      <c r="DO3625" s="303" t="s">
        <v>232</v>
      </c>
    </row>
    <row r="3626" spans="119:119" x14ac:dyDescent="0.2">
      <c r="DO3626" s="303" t="s">
        <v>232</v>
      </c>
    </row>
    <row r="3627" spans="119:119" x14ac:dyDescent="0.2">
      <c r="DO3627" s="303" t="s">
        <v>232</v>
      </c>
    </row>
    <row r="3628" spans="119:119" x14ac:dyDescent="0.2">
      <c r="DO3628" s="303" t="s">
        <v>232</v>
      </c>
    </row>
    <row r="3629" spans="119:119" x14ac:dyDescent="0.2">
      <c r="DO3629" s="303" t="s">
        <v>232</v>
      </c>
    </row>
    <row r="3630" spans="119:119" x14ac:dyDescent="0.2">
      <c r="DO3630" s="303" t="s">
        <v>232</v>
      </c>
    </row>
    <row r="3631" spans="119:119" x14ac:dyDescent="0.2">
      <c r="DO3631" s="303" t="s">
        <v>232</v>
      </c>
    </row>
    <row r="3632" spans="119:119" x14ac:dyDescent="0.2">
      <c r="DO3632" s="303" t="s">
        <v>232</v>
      </c>
    </row>
    <row r="3633" spans="119:119" x14ac:dyDescent="0.2">
      <c r="DO3633" s="303" t="s">
        <v>232</v>
      </c>
    </row>
    <row r="3634" spans="119:119" x14ac:dyDescent="0.2">
      <c r="DO3634" s="303" t="s">
        <v>232</v>
      </c>
    </row>
    <row r="3635" spans="119:119" x14ac:dyDescent="0.2">
      <c r="DO3635" s="303" t="s">
        <v>232</v>
      </c>
    </row>
    <row r="3636" spans="119:119" x14ac:dyDescent="0.2">
      <c r="DO3636" s="303" t="s">
        <v>232</v>
      </c>
    </row>
    <row r="3637" spans="119:119" x14ac:dyDescent="0.2">
      <c r="DO3637" s="303" t="s">
        <v>232</v>
      </c>
    </row>
    <row r="3638" spans="119:119" x14ac:dyDescent="0.2">
      <c r="DO3638" s="303" t="s">
        <v>232</v>
      </c>
    </row>
    <row r="3639" spans="119:119" x14ac:dyDescent="0.2">
      <c r="DO3639" s="303" t="s">
        <v>232</v>
      </c>
    </row>
    <row r="3640" spans="119:119" x14ac:dyDescent="0.2">
      <c r="DO3640" s="303" t="s">
        <v>232</v>
      </c>
    </row>
    <row r="3641" spans="119:119" x14ac:dyDescent="0.2">
      <c r="DO3641" s="303" t="s">
        <v>232</v>
      </c>
    </row>
    <row r="3642" spans="119:119" x14ac:dyDescent="0.2">
      <c r="DO3642" s="303" t="s">
        <v>232</v>
      </c>
    </row>
    <row r="3643" spans="119:119" x14ac:dyDescent="0.2">
      <c r="DO3643" s="303" t="s">
        <v>232</v>
      </c>
    </row>
    <row r="3644" spans="119:119" x14ac:dyDescent="0.2">
      <c r="DO3644" s="303" t="s">
        <v>232</v>
      </c>
    </row>
    <row r="3645" spans="119:119" x14ac:dyDescent="0.2">
      <c r="DO3645" s="303" t="s">
        <v>232</v>
      </c>
    </row>
    <row r="3646" spans="119:119" x14ac:dyDescent="0.2">
      <c r="DO3646" s="303" t="s">
        <v>232</v>
      </c>
    </row>
    <row r="3647" spans="119:119" x14ac:dyDescent="0.2">
      <c r="DO3647" s="303" t="s">
        <v>232</v>
      </c>
    </row>
    <row r="3648" spans="119:119" x14ac:dyDescent="0.2">
      <c r="DO3648" s="303" t="s">
        <v>232</v>
      </c>
    </row>
    <row r="3649" spans="119:119" x14ac:dyDescent="0.2">
      <c r="DO3649" s="303" t="s">
        <v>232</v>
      </c>
    </row>
    <row r="3650" spans="119:119" x14ac:dyDescent="0.2">
      <c r="DO3650" s="303" t="s">
        <v>232</v>
      </c>
    </row>
    <row r="3651" spans="119:119" x14ac:dyDescent="0.2">
      <c r="DO3651" s="303" t="s">
        <v>232</v>
      </c>
    </row>
    <row r="3652" spans="119:119" x14ac:dyDescent="0.2">
      <c r="DO3652" s="303" t="s">
        <v>232</v>
      </c>
    </row>
    <row r="3653" spans="119:119" x14ac:dyDescent="0.2">
      <c r="DO3653" s="303" t="s">
        <v>232</v>
      </c>
    </row>
    <row r="3654" spans="119:119" x14ac:dyDescent="0.2">
      <c r="DO3654" s="303" t="s">
        <v>232</v>
      </c>
    </row>
    <row r="3655" spans="119:119" x14ac:dyDescent="0.2">
      <c r="DO3655" s="303" t="s">
        <v>232</v>
      </c>
    </row>
    <row r="3656" spans="119:119" x14ac:dyDescent="0.2">
      <c r="DO3656" s="303" t="s">
        <v>232</v>
      </c>
    </row>
    <row r="3657" spans="119:119" x14ac:dyDescent="0.2">
      <c r="DO3657" s="303" t="s">
        <v>232</v>
      </c>
    </row>
    <row r="3658" spans="119:119" x14ac:dyDescent="0.2">
      <c r="DO3658" s="303" t="s">
        <v>232</v>
      </c>
    </row>
    <row r="3659" spans="119:119" x14ac:dyDescent="0.2">
      <c r="DO3659" s="303" t="s">
        <v>232</v>
      </c>
    </row>
    <row r="3660" spans="119:119" x14ac:dyDescent="0.2">
      <c r="DO3660" s="303" t="s">
        <v>232</v>
      </c>
    </row>
    <row r="3661" spans="119:119" x14ac:dyDescent="0.2">
      <c r="DO3661" s="303" t="s">
        <v>232</v>
      </c>
    </row>
    <row r="3662" spans="119:119" x14ac:dyDescent="0.2">
      <c r="DO3662" s="303" t="s">
        <v>232</v>
      </c>
    </row>
    <row r="3663" spans="119:119" x14ac:dyDescent="0.2">
      <c r="DO3663" s="303" t="s">
        <v>232</v>
      </c>
    </row>
    <row r="3664" spans="119:119" x14ac:dyDescent="0.2">
      <c r="DO3664" s="303" t="s">
        <v>232</v>
      </c>
    </row>
    <row r="3665" spans="119:119" x14ac:dyDescent="0.2">
      <c r="DO3665" s="303" t="s">
        <v>232</v>
      </c>
    </row>
    <row r="3666" spans="119:119" x14ac:dyDescent="0.2">
      <c r="DO3666" s="303" t="s">
        <v>232</v>
      </c>
    </row>
    <row r="3667" spans="119:119" x14ac:dyDescent="0.2">
      <c r="DO3667" s="303" t="s">
        <v>232</v>
      </c>
    </row>
    <row r="3668" spans="119:119" x14ac:dyDescent="0.2">
      <c r="DO3668" s="303" t="s">
        <v>232</v>
      </c>
    </row>
    <row r="3669" spans="119:119" x14ac:dyDescent="0.2">
      <c r="DO3669" s="303" t="s">
        <v>232</v>
      </c>
    </row>
    <row r="3670" spans="119:119" x14ac:dyDescent="0.2">
      <c r="DO3670" s="303" t="s">
        <v>232</v>
      </c>
    </row>
    <row r="3671" spans="119:119" x14ac:dyDescent="0.2">
      <c r="DO3671" s="303" t="s">
        <v>232</v>
      </c>
    </row>
    <row r="3672" spans="119:119" x14ac:dyDescent="0.2">
      <c r="DO3672" s="303" t="s">
        <v>232</v>
      </c>
    </row>
    <row r="3673" spans="119:119" x14ac:dyDescent="0.2">
      <c r="DO3673" s="303" t="s">
        <v>232</v>
      </c>
    </row>
    <row r="3674" spans="119:119" x14ac:dyDescent="0.2">
      <c r="DO3674" s="303" t="s">
        <v>232</v>
      </c>
    </row>
    <row r="3675" spans="119:119" x14ac:dyDescent="0.2">
      <c r="DO3675" s="303" t="s">
        <v>232</v>
      </c>
    </row>
    <row r="3676" spans="119:119" x14ac:dyDescent="0.2">
      <c r="DO3676" s="303" t="s">
        <v>232</v>
      </c>
    </row>
    <row r="3677" spans="119:119" x14ac:dyDescent="0.2">
      <c r="DO3677" s="303" t="s">
        <v>232</v>
      </c>
    </row>
    <row r="3678" spans="119:119" x14ac:dyDescent="0.2">
      <c r="DO3678" s="303" t="s">
        <v>232</v>
      </c>
    </row>
    <row r="3679" spans="119:119" x14ac:dyDescent="0.2">
      <c r="DO3679" s="303" t="s">
        <v>232</v>
      </c>
    </row>
    <row r="3680" spans="119:119" x14ac:dyDescent="0.2">
      <c r="DO3680" s="303" t="s">
        <v>232</v>
      </c>
    </row>
    <row r="3681" spans="119:119" x14ac:dyDescent="0.2">
      <c r="DO3681" s="303" t="s">
        <v>232</v>
      </c>
    </row>
    <row r="3682" spans="119:119" x14ac:dyDescent="0.2">
      <c r="DO3682" s="303" t="s">
        <v>232</v>
      </c>
    </row>
    <row r="3683" spans="119:119" x14ac:dyDescent="0.2">
      <c r="DO3683" s="303" t="s">
        <v>232</v>
      </c>
    </row>
    <row r="3684" spans="119:119" x14ac:dyDescent="0.2">
      <c r="DO3684" s="303" t="s">
        <v>232</v>
      </c>
    </row>
    <row r="3685" spans="119:119" x14ac:dyDescent="0.2">
      <c r="DO3685" s="303" t="s">
        <v>232</v>
      </c>
    </row>
    <row r="3686" spans="119:119" x14ac:dyDescent="0.2">
      <c r="DO3686" s="303" t="s">
        <v>232</v>
      </c>
    </row>
    <row r="3687" spans="119:119" x14ac:dyDescent="0.2">
      <c r="DO3687" s="303" t="s">
        <v>232</v>
      </c>
    </row>
    <row r="3688" spans="119:119" x14ac:dyDescent="0.2">
      <c r="DO3688" s="303" t="s">
        <v>232</v>
      </c>
    </row>
    <row r="3689" spans="119:119" x14ac:dyDescent="0.2">
      <c r="DO3689" s="303" t="s">
        <v>232</v>
      </c>
    </row>
    <row r="3690" spans="119:119" x14ac:dyDescent="0.2">
      <c r="DO3690" s="303" t="s">
        <v>232</v>
      </c>
    </row>
    <row r="3691" spans="119:119" x14ac:dyDescent="0.2">
      <c r="DO3691" s="303" t="s">
        <v>232</v>
      </c>
    </row>
    <row r="3692" spans="119:119" x14ac:dyDescent="0.2">
      <c r="DO3692" s="303" t="s">
        <v>232</v>
      </c>
    </row>
    <row r="3693" spans="119:119" x14ac:dyDescent="0.2">
      <c r="DO3693" s="303" t="s">
        <v>232</v>
      </c>
    </row>
    <row r="3694" spans="119:119" x14ac:dyDescent="0.2">
      <c r="DO3694" s="303" t="s">
        <v>232</v>
      </c>
    </row>
    <row r="3695" spans="119:119" x14ac:dyDescent="0.2">
      <c r="DO3695" s="303" t="s">
        <v>232</v>
      </c>
    </row>
    <row r="3696" spans="119:119" x14ac:dyDescent="0.2">
      <c r="DO3696" s="303" t="s">
        <v>232</v>
      </c>
    </row>
    <row r="3697" spans="119:119" x14ac:dyDescent="0.2">
      <c r="DO3697" s="303" t="s">
        <v>232</v>
      </c>
    </row>
    <row r="3698" spans="119:119" x14ac:dyDescent="0.2">
      <c r="DO3698" s="303" t="s">
        <v>232</v>
      </c>
    </row>
    <row r="3699" spans="119:119" x14ac:dyDescent="0.2">
      <c r="DO3699" s="303" t="s">
        <v>232</v>
      </c>
    </row>
    <row r="3700" spans="119:119" x14ac:dyDescent="0.2">
      <c r="DO3700" s="303" t="s">
        <v>232</v>
      </c>
    </row>
    <row r="3701" spans="119:119" x14ac:dyDescent="0.2">
      <c r="DO3701" s="303" t="s">
        <v>232</v>
      </c>
    </row>
    <row r="3702" spans="119:119" x14ac:dyDescent="0.2">
      <c r="DO3702" s="303" t="s">
        <v>232</v>
      </c>
    </row>
    <row r="3703" spans="119:119" x14ac:dyDescent="0.2">
      <c r="DO3703" s="303" t="s">
        <v>232</v>
      </c>
    </row>
    <row r="3704" spans="119:119" x14ac:dyDescent="0.2">
      <c r="DO3704" s="303" t="s">
        <v>232</v>
      </c>
    </row>
    <row r="3705" spans="119:119" x14ac:dyDescent="0.2">
      <c r="DO3705" s="303" t="s">
        <v>232</v>
      </c>
    </row>
    <row r="3706" spans="119:119" x14ac:dyDescent="0.2">
      <c r="DO3706" s="303" t="s">
        <v>232</v>
      </c>
    </row>
    <row r="3707" spans="119:119" x14ac:dyDescent="0.2">
      <c r="DO3707" s="303" t="s">
        <v>232</v>
      </c>
    </row>
    <row r="3708" spans="119:119" x14ac:dyDescent="0.2">
      <c r="DO3708" s="303" t="s">
        <v>232</v>
      </c>
    </row>
    <row r="3709" spans="119:119" x14ac:dyDescent="0.2">
      <c r="DO3709" s="303" t="s">
        <v>232</v>
      </c>
    </row>
    <row r="3710" spans="119:119" x14ac:dyDescent="0.2">
      <c r="DO3710" s="303" t="s">
        <v>232</v>
      </c>
    </row>
    <row r="3711" spans="119:119" x14ac:dyDescent="0.2">
      <c r="DO3711" s="303" t="s">
        <v>232</v>
      </c>
    </row>
    <row r="3712" spans="119:119" x14ac:dyDescent="0.2">
      <c r="DO3712" s="303" t="s">
        <v>232</v>
      </c>
    </row>
    <row r="3713" spans="119:119" x14ac:dyDescent="0.2">
      <c r="DO3713" s="303" t="s">
        <v>232</v>
      </c>
    </row>
    <row r="3714" spans="119:119" x14ac:dyDescent="0.2">
      <c r="DO3714" s="303" t="s">
        <v>232</v>
      </c>
    </row>
    <row r="3715" spans="119:119" x14ac:dyDescent="0.2">
      <c r="DO3715" s="303" t="s">
        <v>232</v>
      </c>
    </row>
    <row r="3716" spans="119:119" x14ac:dyDescent="0.2">
      <c r="DO3716" s="303" t="s">
        <v>232</v>
      </c>
    </row>
    <row r="3717" spans="119:119" x14ac:dyDescent="0.2">
      <c r="DO3717" s="303" t="s">
        <v>232</v>
      </c>
    </row>
    <row r="3718" spans="119:119" x14ac:dyDescent="0.2">
      <c r="DO3718" s="303" t="s">
        <v>232</v>
      </c>
    </row>
    <row r="3719" spans="119:119" x14ac:dyDescent="0.2">
      <c r="DO3719" s="303" t="s">
        <v>232</v>
      </c>
    </row>
    <row r="3720" spans="119:119" x14ac:dyDescent="0.2">
      <c r="DO3720" s="303" t="s">
        <v>232</v>
      </c>
    </row>
    <row r="3721" spans="119:119" x14ac:dyDescent="0.2">
      <c r="DO3721" s="303" t="s">
        <v>232</v>
      </c>
    </row>
    <row r="3722" spans="119:119" x14ac:dyDescent="0.2">
      <c r="DO3722" s="303" t="s">
        <v>232</v>
      </c>
    </row>
    <row r="3723" spans="119:119" x14ac:dyDescent="0.2">
      <c r="DO3723" s="303" t="s">
        <v>232</v>
      </c>
    </row>
    <row r="3724" spans="119:119" x14ac:dyDescent="0.2">
      <c r="DO3724" s="303" t="s">
        <v>232</v>
      </c>
    </row>
    <row r="3725" spans="119:119" x14ac:dyDescent="0.2">
      <c r="DO3725" s="303" t="s">
        <v>232</v>
      </c>
    </row>
    <row r="3726" spans="119:119" x14ac:dyDescent="0.2">
      <c r="DO3726" s="303" t="s">
        <v>232</v>
      </c>
    </row>
    <row r="3727" spans="119:119" x14ac:dyDescent="0.2">
      <c r="DO3727" s="303" t="s">
        <v>232</v>
      </c>
    </row>
    <row r="3728" spans="119:119" x14ac:dyDescent="0.2">
      <c r="DO3728" s="303" t="s">
        <v>232</v>
      </c>
    </row>
    <row r="3729" spans="119:119" x14ac:dyDescent="0.2">
      <c r="DO3729" s="303" t="s">
        <v>232</v>
      </c>
    </row>
    <row r="3730" spans="119:119" x14ac:dyDescent="0.2">
      <c r="DO3730" s="303" t="s">
        <v>232</v>
      </c>
    </row>
    <row r="3731" spans="119:119" x14ac:dyDescent="0.2">
      <c r="DO3731" s="303" t="s">
        <v>232</v>
      </c>
    </row>
    <row r="3732" spans="119:119" x14ac:dyDescent="0.2">
      <c r="DO3732" s="303" t="s">
        <v>232</v>
      </c>
    </row>
    <row r="3733" spans="119:119" x14ac:dyDescent="0.2">
      <c r="DO3733" s="303" t="s">
        <v>232</v>
      </c>
    </row>
    <row r="3734" spans="119:119" x14ac:dyDescent="0.2">
      <c r="DO3734" s="303" t="s">
        <v>232</v>
      </c>
    </row>
    <row r="3735" spans="119:119" x14ac:dyDescent="0.2">
      <c r="DO3735" s="303" t="s">
        <v>232</v>
      </c>
    </row>
    <row r="3736" spans="119:119" x14ac:dyDescent="0.2">
      <c r="DO3736" s="303" t="s">
        <v>232</v>
      </c>
    </row>
    <row r="3737" spans="119:119" x14ac:dyDescent="0.2">
      <c r="DO3737" s="303" t="s">
        <v>232</v>
      </c>
    </row>
    <row r="3738" spans="119:119" x14ac:dyDescent="0.2">
      <c r="DO3738" s="303" t="s">
        <v>232</v>
      </c>
    </row>
    <row r="3739" spans="119:119" x14ac:dyDescent="0.2">
      <c r="DO3739" s="303" t="s">
        <v>232</v>
      </c>
    </row>
    <row r="3740" spans="119:119" x14ac:dyDescent="0.2">
      <c r="DO3740" s="303" t="s">
        <v>232</v>
      </c>
    </row>
    <row r="3741" spans="119:119" x14ac:dyDescent="0.2">
      <c r="DO3741" s="303" t="s">
        <v>232</v>
      </c>
    </row>
    <row r="3742" spans="119:119" x14ac:dyDescent="0.2">
      <c r="DO3742" s="303" t="s">
        <v>232</v>
      </c>
    </row>
    <row r="3743" spans="119:119" x14ac:dyDescent="0.2">
      <c r="DO3743" s="303" t="s">
        <v>232</v>
      </c>
    </row>
    <row r="3744" spans="119:119" x14ac:dyDescent="0.2">
      <c r="DO3744" s="303" t="s">
        <v>232</v>
      </c>
    </row>
    <row r="3745" spans="119:119" x14ac:dyDescent="0.2">
      <c r="DO3745" s="303" t="s">
        <v>232</v>
      </c>
    </row>
    <row r="3746" spans="119:119" x14ac:dyDescent="0.2">
      <c r="DO3746" s="303" t="s">
        <v>232</v>
      </c>
    </row>
    <row r="3747" spans="119:119" x14ac:dyDescent="0.2">
      <c r="DO3747" s="303" t="s">
        <v>232</v>
      </c>
    </row>
    <row r="3748" spans="119:119" x14ac:dyDescent="0.2">
      <c r="DO3748" s="303" t="s">
        <v>232</v>
      </c>
    </row>
    <row r="3749" spans="119:119" x14ac:dyDescent="0.2">
      <c r="DO3749" s="303" t="s">
        <v>232</v>
      </c>
    </row>
    <row r="3750" spans="119:119" x14ac:dyDescent="0.2">
      <c r="DO3750" s="303" t="s">
        <v>232</v>
      </c>
    </row>
    <row r="3751" spans="119:119" x14ac:dyDescent="0.2">
      <c r="DO3751" s="303" t="s">
        <v>232</v>
      </c>
    </row>
    <row r="3752" spans="119:119" x14ac:dyDescent="0.2">
      <c r="DO3752" s="303" t="s">
        <v>232</v>
      </c>
    </row>
    <row r="3753" spans="119:119" x14ac:dyDescent="0.2">
      <c r="DO3753" s="303" t="s">
        <v>232</v>
      </c>
    </row>
    <row r="3754" spans="119:119" x14ac:dyDescent="0.2">
      <c r="DO3754" s="303" t="s">
        <v>232</v>
      </c>
    </row>
    <row r="3755" spans="119:119" x14ac:dyDescent="0.2">
      <c r="DO3755" s="303" t="s">
        <v>232</v>
      </c>
    </row>
    <row r="3756" spans="119:119" x14ac:dyDescent="0.2">
      <c r="DO3756" s="303" t="s">
        <v>232</v>
      </c>
    </row>
    <row r="3757" spans="119:119" x14ac:dyDescent="0.2">
      <c r="DO3757" s="303" t="s">
        <v>232</v>
      </c>
    </row>
    <row r="3758" spans="119:119" x14ac:dyDescent="0.2">
      <c r="DO3758" s="303" t="s">
        <v>232</v>
      </c>
    </row>
    <row r="3759" spans="119:119" x14ac:dyDescent="0.2">
      <c r="DO3759" s="303" t="s">
        <v>232</v>
      </c>
    </row>
    <row r="3760" spans="119:119" x14ac:dyDescent="0.2">
      <c r="DO3760" s="303" t="s">
        <v>232</v>
      </c>
    </row>
    <row r="3761" spans="119:119" x14ac:dyDescent="0.2">
      <c r="DO3761" s="303" t="s">
        <v>232</v>
      </c>
    </row>
    <row r="3762" spans="119:119" x14ac:dyDescent="0.2">
      <c r="DO3762" s="303" t="s">
        <v>232</v>
      </c>
    </row>
    <row r="3763" spans="119:119" x14ac:dyDescent="0.2">
      <c r="DO3763" s="303" t="s">
        <v>232</v>
      </c>
    </row>
    <row r="3764" spans="119:119" x14ac:dyDescent="0.2">
      <c r="DO3764" s="303" t="s">
        <v>232</v>
      </c>
    </row>
    <row r="3765" spans="119:119" x14ac:dyDescent="0.2">
      <c r="DO3765" s="303" t="s">
        <v>232</v>
      </c>
    </row>
    <row r="3766" spans="119:119" x14ac:dyDescent="0.2">
      <c r="DO3766" s="303" t="s">
        <v>232</v>
      </c>
    </row>
    <row r="3767" spans="119:119" x14ac:dyDescent="0.2">
      <c r="DO3767" s="303" t="s">
        <v>232</v>
      </c>
    </row>
    <row r="3768" spans="119:119" x14ac:dyDescent="0.2">
      <c r="DO3768" s="303" t="s">
        <v>232</v>
      </c>
    </row>
    <row r="3769" spans="119:119" x14ac:dyDescent="0.2">
      <c r="DO3769" s="303" t="s">
        <v>232</v>
      </c>
    </row>
    <row r="3770" spans="119:119" x14ac:dyDescent="0.2">
      <c r="DO3770" s="303" t="s">
        <v>232</v>
      </c>
    </row>
    <row r="3771" spans="119:119" x14ac:dyDescent="0.2">
      <c r="DO3771" s="303" t="s">
        <v>232</v>
      </c>
    </row>
    <row r="3772" spans="119:119" x14ac:dyDescent="0.2">
      <c r="DO3772" s="303" t="s">
        <v>232</v>
      </c>
    </row>
    <row r="3773" spans="119:119" x14ac:dyDescent="0.2">
      <c r="DO3773" s="303" t="s">
        <v>232</v>
      </c>
    </row>
    <row r="3774" spans="119:119" x14ac:dyDescent="0.2">
      <c r="DO3774" s="303" t="s">
        <v>232</v>
      </c>
    </row>
    <row r="3775" spans="119:119" x14ac:dyDescent="0.2">
      <c r="DO3775" s="303" t="s">
        <v>232</v>
      </c>
    </row>
    <row r="3776" spans="119:119" x14ac:dyDescent="0.2">
      <c r="DO3776" s="303" t="s">
        <v>232</v>
      </c>
    </row>
    <row r="3777" spans="119:119" x14ac:dyDescent="0.2">
      <c r="DO3777" s="303" t="s">
        <v>232</v>
      </c>
    </row>
    <row r="3778" spans="119:119" x14ac:dyDescent="0.2">
      <c r="DO3778" s="303" t="s">
        <v>232</v>
      </c>
    </row>
    <row r="3779" spans="119:119" x14ac:dyDescent="0.2">
      <c r="DO3779" s="303" t="s">
        <v>232</v>
      </c>
    </row>
    <row r="3780" spans="119:119" x14ac:dyDescent="0.2">
      <c r="DO3780" s="303" t="s">
        <v>232</v>
      </c>
    </row>
    <row r="3781" spans="119:119" x14ac:dyDescent="0.2">
      <c r="DO3781" s="303" t="s">
        <v>232</v>
      </c>
    </row>
    <row r="3782" spans="119:119" x14ac:dyDescent="0.2">
      <c r="DO3782" s="303" t="s">
        <v>232</v>
      </c>
    </row>
    <row r="3783" spans="119:119" x14ac:dyDescent="0.2">
      <c r="DO3783" s="303" t="s">
        <v>232</v>
      </c>
    </row>
    <row r="3784" spans="119:119" x14ac:dyDescent="0.2">
      <c r="DO3784" s="303" t="s">
        <v>232</v>
      </c>
    </row>
    <row r="3785" spans="119:119" x14ac:dyDescent="0.2">
      <c r="DO3785" s="303" t="s">
        <v>232</v>
      </c>
    </row>
    <row r="3786" spans="119:119" x14ac:dyDescent="0.2">
      <c r="DO3786" s="303" t="s">
        <v>232</v>
      </c>
    </row>
    <row r="3787" spans="119:119" x14ac:dyDescent="0.2">
      <c r="DO3787" s="303" t="s">
        <v>232</v>
      </c>
    </row>
    <row r="3788" spans="119:119" x14ac:dyDescent="0.2">
      <c r="DO3788" s="303" t="s">
        <v>232</v>
      </c>
    </row>
    <row r="3789" spans="119:119" x14ac:dyDescent="0.2">
      <c r="DO3789" s="303" t="s">
        <v>232</v>
      </c>
    </row>
    <row r="3790" spans="119:119" x14ac:dyDescent="0.2">
      <c r="DO3790" s="303" t="s">
        <v>232</v>
      </c>
    </row>
    <row r="3791" spans="119:119" x14ac:dyDescent="0.2">
      <c r="DO3791" s="303" t="s">
        <v>232</v>
      </c>
    </row>
    <row r="3792" spans="119:119" x14ac:dyDescent="0.2">
      <c r="DO3792" s="303" t="s">
        <v>232</v>
      </c>
    </row>
    <row r="3793" spans="119:119" x14ac:dyDescent="0.2">
      <c r="DO3793" s="303" t="s">
        <v>232</v>
      </c>
    </row>
    <row r="3794" spans="119:119" x14ac:dyDescent="0.2">
      <c r="DO3794" s="303" t="s">
        <v>232</v>
      </c>
    </row>
    <row r="3795" spans="119:119" x14ac:dyDescent="0.2">
      <c r="DO3795" s="303" t="s">
        <v>232</v>
      </c>
    </row>
    <row r="3796" spans="119:119" x14ac:dyDescent="0.2">
      <c r="DO3796" s="303" t="s">
        <v>232</v>
      </c>
    </row>
    <row r="3797" spans="119:119" x14ac:dyDescent="0.2">
      <c r="DO3797" s="303" t="s">
        <v>232</v>
      </c>
    </row>
    <row r="3798" spans="119:119" x14ac:dyDescent="0.2">
      <c r="DO3798" s="303" t="s">
        <v>232</v>
      </c>
    </row>
    <row r="3799" spans="119:119" x14ac:dyDescent="0.2">
      <c r="DO3799" s="303" t="s">
        <v>232</v>
      </c>
    </row>
    <row r="3800" spans="119:119" x14ac:dyDescent="0.2">
      <c r="DO3800" s="303" t="s">
        <v>232</v>
      </c>
    </row>
    <row r="3801" spans="119:119" x14ac:dyDescent="0.2">
      <c r="DO3801" s="303" t="s">
        <v>232</v>
      </c>
    </row>
    <row r="3802" spans="119:119" x14ac:dyDescent="0.2">
      <c r="DO3802" s="303" t="s">
        <v>232</v>
      </c>
    </row>
    <row r="3803" spans="119:119" x14ac:dyDescent="0.2">
      <c r="DO3803" s="303" t="s">
        <v>232</v>
      </c>
    </row>
    <row r="3804" spans="119:119" x14ac:dyDescent="0.2">
      <c r="DO3804" s="303" t="s">
        <v>232</v>
      </c>
    </row>
    <row r="3805" spans="119:119" x14ac:dyDescent="0.2">
      <c r="DO3805" s="303" t="s">
        <v>232</v>
      </c>
    </row>
    <row r="3806" spans="119:119" x14ac:dyDescent="0.2">
      <c r="DO3806" s="303" t="s">
        <v>232</v>
      </c>
    </row>
    <row r="3807" spans="119:119" x14ac:dyDescent="0.2">
      <c r="DO3807" s="303" t="s">
        <v>232</v>
      </c>
    </row>
    <row r="3808" spans="119:119" x14ac:dyDescent="0.2">
      <c r="DO3808" s="303" t="s">
        <v>232</v>
      </c>
    </row>
    <row r="3809" spans="119:119" x14ac:dyDescent="0.2">
      <c r="DO3809" s="303" t="s">
        <v>232</v>
      </c>
    </row>
    <row r="3810" spans="119:119" x14ac:dyDescent="0.2">
      <c r="DO3810" s="303" t="s">
        <v>232</v>
      </c>
    </row>
    <row r="3811" spans="119:119" x14ac:dyDescent="0.2">
      <c r="DO3811" s="303" t="s">
        <v>232</v>
      </c>
    </row>
    <row r="3812" spans="119:119" x14ac:dyDescent="0.2">
      <c r="DO3812" s="303" t="s">
        <v>232</v>
      </c>
    </row>
    <row r="3813" spans="119:119" x14ac:dyDescent="0.2">
      <c r="DO3813" s="303" t="s">
        <v>232</v>
      </c>
    </row>
    <row r="3814" spans="119:119" x14ac:dyDescent="0.2">
      <c r="DO3814" s="303" t="s">
        <v>232</v>
      </c>
    </row>
    <row r="3815" spans="119:119" x14ac:dyDescent="0.2">
      <c r="DO3815" s="303" t="s">
        <v>232</v>
      </c>
    </row>
    <row r="3816" spans="119:119" x14ac:dyDescent="0.2">
      <c r="DO3816" s="303" t="s">
        <v>232</v>
      </c>
    </row>
    <row r="3817" spans="119:119" x14ac:dyDescent="0.2">
      <c r="DO3817" s="303" t="s">
        <v>232</v>
      </c>
    </row>
    <row r="3818" spans="119:119" x14ac:dyDescent="0.2">
      <c r="DO3818" s="303" t="s">
        <v>232</v>
      </c>
    </row>
    <row r="3819" spans="119:119" x14ac:dyDescent="0.2">
      <c r="DO3819" s="303" t="s">
        <v>232</v>
      </c>
    </row>
    <row r="3820" spans="119:119" x14ac:dyDescent="0.2">
      <c r="DO3820" s="303" t="s">
        <v>232</v>
      </c>
    </row>
    <row r="3821" spans="119:119" x14ac:dyDescent="0.2">
      <c r="DO3821" s="303" t="s">
        <v>232</v>
      </c>
    </row>
    <row r="3822" spans="119:119" x14ac:dyDescent="0.2">
      <c r="DO3822" s="303" t="s">
        <v>232</v>
      </c>
    </row>
    <row r="3823" spans="119:119" x14ac:dyDescent="0.2">
      <c r="DO3823" s="303" t="s">
        <v>232</v>
      </c>
    </row>
    <row r="3824" spans="119:119" x14ac:dyDescent="0.2">
      <c r="DO3824" s="303" t="s">
        <v>232</v>
      </c>
    </row>
    <row r="3825" spans="119:119" x14ac:dyDescent="0.2">
      <c r="DO3825" s="303" t="s">
        <v>232</v>
      </c>
    </row>
    <row r="3826" spans="119:119" x14ac:dyDescent="0.2">
      <c r="DO3826" s="303" t="s">
        <v>232</v>
      </c>
    </row>
    <row r="3827" spans="119:119" x14ac:dyDescent="0.2">
      <c r="DO3827" s="303" t="s">
        <v>232</v>
      </c>
    </row>
    <row r="3828" spans="119:119" x14ac:dyDescent="0.2">
      <c r="DO3828" s="303" t="s">
        <v>232</v>
      </c>
    </row>
    <row r="3829" spans="119:119" x14ac:dyDescent="0.2">
      <c r="DO3829" s="303" t="s">
        <v>232</v>
      </c>
    </row>
    <row r="3830" spans="119:119" x14ac:dyDescent="0.2">
      <c r="DO3830" s="303" t="s">
        <v>232</v>
      </c>
    </row>
    <row r="3831" spans="119:119" x14ac:dyDescent="0.2">
      <c r="DO3831" s="303" t="s">
        <v>232</v>
      </c>
    </row>
    <row r="3832" spans="119:119" x14ac:dyDescent="0.2">
      <c r="DO3832" s="303" t="s">
        <v>232</v>
      </c>
    </row>
    <row r="3833" spans="119:119" x14ac:dyDescent="0.2">
      <c r="DO3833" s="303" t="s">
        <v>232</v>
      </c>
    </row>
    <row r="3834" spans="119:119" x14ac:dyDescent="0.2">
      <c r="DO3834" s="303" t="s">
        <v>232</v>
      </c>
    </row>
    <row r="3835" spans="119:119" x14ac:dyDescent="0.2">
      <c r="DO3835" s="303" t="s">
        <v>232</v>
      </c>
    </row>
    <row r="3836" spans="119:119" x14ac:dyDescent="0.2">
      <c r="DO3836" s="303" t="s">
        <v>232</v>
      </c>
    </row>
    <row r="3837" spans="119:119" x14ac:dyDescent="0.2">
      <c r="DO3837" s="303" t="s">
        <v>232</v>
      </c>
    </row>
    <row r="3838" spans="119:119" x14ac:dyDescent="0.2">
      <c r="DO3838" s="303" t="s">
        <v>232</v>
      </c>
    </row>
    <row r="3839" spans="119:119" x14ac:dyDescent="0.2">
      <c r="DO3839" s="303" t="s">
        <v>232</v>
      </c>
    </row>
    <row r="3840" spans="119:119" x14ac:dyDescent="0.2">
      <c r="DO3840" s="303" t="s">
        <v>232</v>
      </c>
    </row>
    <row r="3841" spans="119:119" x14ac:dyDescent="0.2">
      <c r="DO3841" s="303" t="s">
        <v>232</v>
      </c>
    </row>
    <row r="3842" spans="119:119" x14ac:dyDescent="0.2">
      <c r="DO3842" s="303" t="s">
        <v>232</v>
      </c>
    </row>
    <row r="3843" spans="119:119" x14ac:dyDescent="0.2">
      <c r="DO3843" s="303" t="s">
        <v>232</v>
      </c>
    </row>
    <row r="3844" spans="119:119" x14ac:dyDescent="0.2">
      <c r="DO3844" s="303" t="s">
        <v>232</v>
      </c>
    </row>
    <row r="3845" spans="119:119" x14ac:dyDescent="0.2">
      <c r="DO3845" s="303" t="s">
        <v>232</v>
      </c>
    </row>
    <row r="3846" spans="119:119" x14ac:dyDescent="0.2">
      <c r="DO3846" s="303" t="s">
        <v>232</v>
      </c>
    </row>
    <row r="3847" spans="119:119" x14ac:dyDescent="0.2">
      <c r="DO3847" s="303" t="s">
        <v>232</v>
      </c>
    </row>
    <row r="3848" spans="119:119" x14ac:dyDescent="0.2">
      <c r="DO3848" s="303" t="s">
        <v>232</v>
      </c>
    </row>
    <row r="3849" spans="119:119" x14ac:dyDescent="0.2">
      <c r="DO3849" s="303" t="s">
        <v>232</v>
      </c>
    </row>
    <row r="3850" spans="119:119" x14ac:dyDescent="0.2">
      <c r="DO3850" s="303" t="s">
        <v>232</v>
      </c>
    </row>
    <row r="3851" spans="119:119" x14ac:dyDescent="0.2">
      <c r="DO3851" s="303" t="s">
        <v>232</v>
      </c>
    </row>
    <row r="3852" spans="119:119" x14ac:dyDescent="0.2">
      <c r="DO3852" s="303" t="s">
        <v>232</v>
      </c>
    </row>
    <row r="3853" spans="119:119" x14ac:dyDescent="0.2">
      <c r="DO3853" s="303" t="s">
        <v>232</v>
      </c>
    </row>
    <row r="3854" spans="119:119" x14ac:dyDescent="0.2">
      <c r="DO3854" s="303" t="s">
        <v>232</v>
      </c>
    </row>
    <row r="3855" spans="119:119" x14ac:dyDescent="0.2">
      <c r="DO3855" s="303" t="s">
        <v>232</v>
      </c>
    </row>
    <row r="3856" spans="119:119" x14ac:dyDescent="0.2">
      <c r="DO3856" s="303" t="s">
        <v>232</v>
      </c>
    </row>
    <row r="3857" spans="119:119" x14ac:dyDescent="0.2">
      <c r="DO3857" s="303" t="s">
        <v>232</v>
      </c>
    </row>
    <row r="3858" spans="119:119" x14ac:dyDescent="0.2">
      <c r="DO3858" s="303" t="s">
        <v>232</v>
      </c>
    </row>
    <row r="3859" spans="119:119" x14ac:dyDescent="0.2">
      <c r="DO3859" s="303" t="s">
        <v>232</v>
      </c>
    </row>
    <row r="3860" spans="119:119" x14ac:dyDescent="0.2">
      <c r="DO3860" s="303" t="s">
        <v>232</v>
      </c>
    </row>
    <row r="3861" spans="119:119" x14ac:dyDescent="0.2">
      <c r="DO3861" s="303" t="s">
        <v>232</v>
      </c>
    </row>
    <row r="3862" spans="119:119" x14ac:dyDescent="0.2">
      <c r="DO3862" s="303" t="s">
        <v>232</v>
      </c>
    </row>
    <row r="3863" spans="119:119" x14ac:dyDescent="0.2">
      <c r="DO3863" s="303" t="s">
        <v>232</v>
      </c>
    </row>
    <row r="3864" spans="119:119" x14ac:dyDescent="0.2">
      <c r="DO3864" s="303" t="s">
        <v>232</v>
      </c>
    </row>
    <row r="3865" spans="119:119" x14ac:dyDescent="0.2">
      <c r="DO3865" s="303" t="s">
        <v>232</v>
      </c>
    </row>
    <row r="3866" spans="119:119" x14ac:dyDescent="0.2">
      <c r="DO3866" s="303" t="s">
        <v>232</v>
      </c>
    </row>
    <row r="3867" spans="119:119" x14ac:dyDescent="0.2">
      <c r="DO3867" s="303" t="s">
        <v>232</v>
      </c>
    </row>
    <row r="3868" spans="119:119" x14ac:dyDescent="0.2">
      <c r="DO3868" s="303" t="s">
        <v>232</v>
      </c>
    </row>
    <row r="3869" spans="119:119" x14ac:dyDescent="0.2">
      <c r="DO3869" s="303" t="s">
        <v>232</v>
      </c>
    </row>
    <row r="3870" spans="119:119" x14ac:dyDescent="0.2">
      <c r="DO3870" s="303" t="s">
        <v>232</v>
      </c>
    </row>
    <row r="3871" spans="119:119" x14ac:dyDescent="0.2">
      <c r="DO3871" s="303" t="s">
        <v>232</v>
      </c>
    </row>
    <row r="3872" spans="119:119" x14ac:dyDescent="0.2">
      <c r="DO3872" s="303" t="s">
        <v>232</v>
      </c>
    </row>
    <row r="3873" spans="119:119" x14ac:dyDescent="0.2">
      <c r="DO3873" s="303" t="s">
        <v>232</v>
      </c>
    </row>
    <row r="3874" spans="119:119" x14ac:dyDescent="0.2">
      <c r="DO3874" s="303" t="s">
        <v>232</v>
      </c>
    </row>
    <row r="3875" spans="119:119" x14ac:dyDescent="0.2">
      <c r="DO3875" s="303" t="s">
        <v>232</v>
      </c>
    </row>
    <row r="3876" spans="119:119" x14ac:dyDescent="0.2">
      <c r="DO3876" s="303" t="s">
        <v>232</v>
      </c>
    </row>
    <row r="3877" spans="119:119" x14ac:dyDescent="0.2">
      <c r="DO3877" s="303" t="s">
        <v>232</v>
      </c>
    </row>
    <row r="3878" spans="119:119" x14ac:dyDescent="0.2">
      <c r="DO3878" s="303" t="s">
        <v>232</v>
      </c>
    </row>
    <row r="3879" spans="119:119" x14ac:dyDescent="0.2">
      <c r="DO3879" s="303" t="s">
        <v>232</v>
      </c>
    </row>
    <row r="3880" spans="119:119" x14ac:dyDescent="0.2">
      <c r="DO3880" s="303" t="s">
        <v>232</v>
      </c>
    </row>
    <row r="3881" spans="119:119" x14ac:dyDescent="0.2">
      <c r="DO3881" s="303" t="s">
        <v>232</v>
      </c>
    </row>
    <row r="3882" spans="119:119" x14ac:dyDescent="0.2">
      <c r="DO3882" s="303" t="s">
        <v>232</v>
      </c>
    </row>
    <row r="3883" spans="119:119" x14ac:dyDescent="0.2">
      <c r="DO3883" s="303" t="s">
        <v>232</v>
      </c>
    </row>
    <row r="3884" spans="119:119" x14ac:dyDescent="0.2">
      <c r="DO3884" s="303" t="s">
        <v>232</v>
      </c>
    </row>
    <row r="3885" spans="119:119" x14ac:dyDescent="0.2">
      <c r="DO3885" s="303" t="s">
        <v>232</v>
      </c>
    </row>
    <row r="3886" spans="119:119" x14ac:dyDescent="0.2">
      <c r="DO3886" s="303" t="s">
        <v>232</v>
      </c>
    </row>
    <row r="3887" spans="119:119" x14ac:dyDescent="0.2">
      <c r="DO3887" s="303" t="s">
        <v>232</v>
      </c>
    </row>
    <row r="3888" spans="119:119" x14ac:dyDescent="0.2">
      <c r="DO3888" s="303" t="s">
        <v>232</v>
      </c>
    </row>
    <row r="3889" spans="119:119" x14ac:dyDescent="0.2">
      <c r="DO3889" s="303" t="s">
        <v>232</v>
      </c>
    </row>
    <row r="3890" spans="119:119" x14ac:dyDescent="0.2">
      <c r="DO3890" s="303" t="s">
        <v>232</v>
      </c>
    </row>
    <row r="3891" spans="119:119" x14ac:dyDescent="0.2">
      <c r="DO3891" s="303" t="s">
        <v>232</v>
      </c>
    </row>
    <row r="3892" spans="119:119" x14ac:dyDescent="0.2">
      <c r="DO3892" s="303" t="s">
        <v>232</v>
      </c>
    </row>
    <row r="3893" spans="119:119" x14ac:dyDescent="0.2">
      <c r="DO3893" s="303" t="s">
        <v>232</v>
      </c>
    </row>
    <row r="3894" spans="119:119" x14ac:dyDescent="0.2">
      <c r="DO3894" s="303" t="s">
        <v>232</v>
      </c>
    </row>
    <row r="3895" spans="119:119" x14ac:dyDescent="0.2">
      <c r="DO3895" s="303" t="s">
        <v>232</v>
      </c>
    </row>
    <row r="3896" spans="119:119" x14ac:dyDescent="0.2">
      <c r="DO3896" s="303" t="s">
        <v>232</v>
      </c>
    </row>
    <row r="3897" spans="119:119" x14ac:dyDescent="0.2">
      <c r="DO3897" s="303" t="s">
        <v>232</v>
      </c>
    </row>
    <row r="3898" spans="119:119" x14ac:dyDescent="0.2">
      <c r="DO3898" s="303" t="s">
        <v>232</v>
      </c>
    </row>
    <row r="3899" spans="119:119" x14ac:dyDescent="0.2">
      <c r="DO3899" s="303" t="s">
        <v>232</v>
      </c>
    </row>
    <row r="3900" spans="119:119" x14ac:dyDescent="0.2">
      <c r="DO3900" s="303" t="s">
        <v>232</v>
      </c>
    </row>
    <row r="3901" spans="119:119" x14ac:dyDescent="0.2">
      <c r="DO3901" s="303" t="s">
        <v>232</v>
      </c>
    </row>
    <row r="3902" spans="119:119" x14ac:dyDescent="0.2">
      <c r="DO3902" s="303" t="s">
        <v>232</v>
      </c>
    </row>
    <row r="3903" spans="119:119" x14ac:dyDescent="0.2">
      <c r="DO3903" s="303" t="s">
        <v>232</v>
      </c>
    </row>
    <row r="3904" spans="119:119" x14ac:dyDescent="0.2">
      <c r="DO3904" s="303" t="s">
        <v>232</v>
      </c>
    </row>
    <row r="3905" spans="119:119" x14ac:dyDescent="0.2">
      <c r="DO3905" s="303" t="s">
        <v>232</v>
      </c>
    </row>
    <row r="3906" spans="119:119" x14ac:dyDescent="0.2">
      <c r="DO3906" s="303" t="s">
        <v>232</v>
      </c>
    </row>
    <row r="3907" spans="119:119" x14ac:dyDescent="0.2">
      <c r="DO3907" s="303" t="s">
        <v>232</v>
      </c>
    </row>
    <row r="3908" spans="119:119" x14ac:dyDescent="0.2">
      <c r="DO3908" s="303" t="s">
        <v>232</v>
      </c>
    </row>
    <row r="3909" spans="119:119" x14ac:dyDescent="0.2">
      <c r="DO3909" s="303" t="s">
        <v>232</v>
      </c>
    </row>
    <row r="3910" spans="119:119" x14ac:dyDescent="0.2">
      <c r="DO3910" s="303" t="s">
        <v>232</v>
      </c>
    </row>
    <row r="3911" spans="119:119" x14ac:dyDescent="0.2">
      <c r="DO3911" s="303" t="s">
        <v>232</v>
      </c>
    </row>
    <row r="3912" spans="119:119" x14ac:dyDescent="0.2">
      <c r="DO3912" s="303" t="s">
        <v>232</v>
      </c>
    </row>
    <row r="3913" spans="119:119" x14ac:dyDescent="0.2">
      <c r="DO3913" s="303" t="s">
        <v>232</v>
      </c>
    </row>
    <row r="3914" spans="119:119" x14ac:dyDescent="0.2">
      <c r="DO3914" s="303" t="s">
        <v>232</v>
      </c>
    </row>
    <row r="3915" spans="119:119" x14ac:dyDescent="0.2">
      <c r="DO3915" s="303" t="s">
        <v>232</v>
      </c>
    </row>
    <row r="3916" spans="119:119" x14ac:dyDescent="0.2">
      <c r="DO3916" s="303" t="s">
        <v>232</v>
      </c>
    </row>
    <row r="3917" spans="119:119" x14ac:dyDescent="0.2">
      <c r="DO3917" s="303" t="s">
        <v>232</v>
      </c>
    </row>
    <row r="3918" spans="119:119" x14ac:dyDescent="0.2">
      <c r="DO3918" s="303" t="s">
        <v>232</v>
      </c>
    </row>
    <row r="3919" spans="119:119" x14ac:dyDescent="0.2">
      <c r="DO3919" s="303" t="s">
        <v>232</v>
      </c>
    </row>
    <row r="3920" spans="119:119" x14ac:dyDescent="0.2">
      <c r="DO3920" s="303" t="s">
        <v>232</v>
      </c>
    </row>
    <row r="3921" spans="119:119" x14ac:dyDescent="0.2">
      <c r="DO3921" s="303" t="s">
        <v>232</v>
      </c>
    </row>
    <row r="3922" spans="119:119" x14ac:dyDescent="0.2">
      <c r="DO3922" s="303" t="s">
        <v>232</v>
      </c>
    </row>
    <row r="3923" spans="119:119" x14ac:dyDescent="0.2">
      <c r="DO3923" s="303" t="s">
        <v>232</v>
      </c>
    </row>
    <row r="3924" spans="119:119" x14ac:dyDescent="0.2">
      <c r="DO3924" s="303" t="s">
        <v>232</v>
      </c>
    </row>
    <row r="3925" spans="119:119" x14ac:dyDescent="0.2">
      <c r="DO3925" s="303" t="s">
        <v>232</v>
      </c>
    </row>
    <row r="3926" spans="119:119" x14ac:dyDescent="0.2">
      <c r="DO3926" s="303" t="s">
        <v>232</v>
      </c>
    </row>
    <row r="3927" spans="119:119" x14ac:dyDescent="0.2">
      <c r="DO3927" s="303" t="s">
        <v>232</v>
      </c>
    </row>
    <row r="3928" spans="119:119" x14ac:dyDescent="0.2">
      <c r="DO3928" s="303" t="s">
        <v>232</v>
      </c>
    </row>
    <row r="3929" spans="119:119" x14ac:dyDescent="0.2">
      <c r="DO3929" s="303" t="s">
        <v>232</v>
      </c>
    </row>
    <row r="3930" spans="119:119" x14ac:dyDescent="0.2">
      <c r="DO3930" s="303" t="s">
        <v>232</v>
      </c>
    </row>
    <row r="3931" spans="119:119" x14ac:dyDescent="0.2">
      <c r="DO3931" s="303" t="s">
        <v>232</v>
      </c>
    </row>
    <row r="3932" spans="119:119" x14ac:dyDescent="0.2">
      <c r="DO3932" s="303" t="s">
        <v>232</v>
      </c>
    </row>
    <row r="3933" spans="119:119" x14ac:dyDescent="0.2">
      <c r="DO3933" s="303" t="s">
        <v>232</v>
      </c>
    </row>
    <row r="3934" spans="119:119" x14ac:dyDescent="0.2">
      <c r="DO3934" s="303" t="s">
        <v>232</v>
      </c>
    </row>
    <row r="3935" spans="119:119" x14ac:dyDescent="0.2">
      <c r="DO3935" s="303" t="s">
        <v>232</v>
      </c>
    </row>
    <row r="3936" spans="119:119" x14ac:dyDescent="0.2">
      <c r="DO3936" s="303" t="s">
        <v>232</v>
      </c>
    </row>
    <row r="3937" spans="119:119" x14ac:dyDescent="0.2">
      <c r="DO3937" s="303" t="s">
        <v>232</v>
      </c>
    </row>
    <row r="3938" spans="119:119" x14ac:dyDescent="0.2">
      <c r="DO3938" s="303" t="s">
        <v>232</v>
      </c>
    </row>
    <row r="3939" spans="119:119" x14ac:dyDescent="0.2">
      <c r="DO3939" s="303" t="s">
        <v>232</v>
      </c>
    </row>
    <row r="3940" spans="119:119" x14ac:dyDescent="0.2">
      <c r="DO3940" s="303" t="s">
        <v>232</v>
      </c>
    </row>
    <row r="3941" spans="119:119" x14ac:dyDescent="0.2">
      <c r="DO3941" s="303" t="s">
        <v>232</v>
      </c>
    </row>
    <row r="3942" spans="119:119" x14ac:dyDescent="0.2">
      <c r="DO3942" s="303" t="s">
        <v>232</v>
      </c>
    </row>
    <row r="3943" spans="119:119" x14ac:dyDescent="0.2">
      <c r="DO3943" s="303" t="s">
        <v>232</v>
      </c>
    </row>
    <row r="3944" spans="119:119" x14ac:dyDescent="0.2">
      <c r="DO3944" s="303" t="s">
        <v>232</v>
      </c>
    </row>
    <row r="3945" spans="119:119" x14ac:dyDescent="0.2">
      <c r="DO3945" s="303" t="s">
        <v>232</v>
      </c>
    </row>
    <row r="3946" spans="119:119" x14ac:dyDescent="0.2">
      <c r="DO3946" s="303" t="s">
        <v>232</v>
      </c>
    </row>
    <row r="3947" spans="119:119" x14ac:dyDescent="0.2">
      <c r="DO3947" s="303" t="s">
        <v>232</v>
      </c>
    </row>
    <row r="3948" spans="119:119" x14ac:dyDescent="0.2">
      <c r="DO3948" s="303" t="s">
        <v>232</v>
      </c>
    </row>
    <row r="3949" spans="119:119" x14ac:dyDescent="0.2">
      <c r="DO3949" s="303" t="s">
        <v>232</v>
      </c>
    </row>
    <row r="3950" spans="119:119" x14ac:dyDescent="0.2">
      <c r="DO3950" s="303" t="s">
        <v>232</v>
      </c>
    </row>
    <row r="3951" spans="119:119" x14ac:dyDescent="0.2">
      <c r="DO3951" s="303" t="s">
        <v>232</v>
      </c>
    </row>
    <row r="3952" spans="119:119" x14ac:dyDescent="0.2">
      <c r="DO3952" s="303" t="s">
        <v>232</v>
      </c>
    </row>
    <row r="3953" spans="119:119" x14ac:dyDescent="0.2">
      <c r="DO3953" s="303" t="s">
        <v>232</v>
      </c>
    </row>
    <row r="3954" spans="119:119" x14ac:dyDescent="0.2">
      <c r="DO3954" s="303" t="s">
        <v>232</v>
      </c>
    </row>
    <row r="3955" spans="119:119" x14ac:dyDescent="0.2">
      <c r="DO3955" s="303" t="s">
        <v>232</v>
      </c>
    </row>
    <row r="3956" spans="119:119" x14ac:dyDescent="0.2">
      <c r="DO3956" s="303" t="s">
        <v>232</v>
      </c>
    </row>
    <row r="3957" spans="119:119" x14ac:dyDescent="0.2">
      <c r="DO3957" s="303" t="s">
        <v>232</v>
      </c>
    </row>
    <row r="3958" spans="119:119" x14ac:dyDescent="0.2">
      <c r="DO3958" s="303" t="s">
        <v>232</v>
      </c>
    </row>
    <row r="3959" spans="119:119" x14ac:dyDescent="0.2">
      <c r="DO3959" s="303" t="s">
        <v>232</v>
      </c>
    </row>
    <row r="3960" spans="119:119" x14ac:dyDescent="0.2">
      <c r="DO3960" s="303" t="s">
        <v>232</v>
      </c>
    </row>
    <row r="3961" spans="119:119" x14ac:dyDescent="0.2">
      <c r="DO3961" s="303" t="s">
        <v>232</v>
      </c>
    </row>
    <row r="3962" spans="119:119" x14ac:dyDescent="0.2">
      <c r="DO3962" s="303" t="s">
        <v>232</v>
      </c>
    </row>
    <row r="3963" spans="119:119" x14ac:dyDescent="0.2">
      <c r="DO3963" s="303" t="s">
        <v>232</v>
      </c>
    </row>
    <row r="3964" spans="119:119" x14ac:dyDescent="0.2">
      <c r="DO3964" s="303" t="s">
        <v>232</v>
      </c>
    </row>
    <row r="3965" spans="119:119" x14ac:dyDescent="0.2">
      <c r="DO3965" s="303" t="s">
        <v>232</v>
      </c>
    </row>
    <row r="3966" spans="119:119" x14ac:dyDescent="0.2">
      <c r="DO3966" s="303" t="s">
        <v>232</v>
      </c>
    </row>
    <row r="3967" spans="119:119" x14ac:dyDescent="0.2">
      <c r="DO3967" s="303" t="s">
        <v>232</v>
      </c>
    </row>
    <row r="3968" spans="119:119" x14ac:dyDescent="0.2">
      <c r="DO3968" s="303" t="s">
        <v>232</v>
      </c>
    </row>
    <row r="3969" spans="119:119" x14ac:dyDescent="0.2">
      <c r="DO3969" s="303" t="s">
        <v>232</v>
      </c>
    </row>
    <row r="3970" spans="119:119" x14ac:dyDescent="0.2">
      <c r="DO3970" s="303" t="s">
        <v>232</v>
      </c>
    </row>
    <row r="3971" spans="119:119" x14ac:dyDescent="0.2">
      <c r="DO3971" s="303" t="s">
        <v>232</v>
      </c>
    </row>
    <row r="3972" spans="119:119" x14ac:dyDescent="0.2">
      <c r="DO3972" s="303" t="s">
        <v>232</v>
      </c>
    </row>
    <row r="3973" spans="119:119" x14ac:dyDescent="0.2">
      <c r="DO3973" s="303" t="s">
        <v>232</v>
      </c>
    </row>
    <row r="3974" spans="119:119" x14ac:dyDescent="0.2">
      <c r="DO3974" s="303" t="s">
        <v>232</v>
      </c>
    </row>
    <row r="3975" spans="119:119" x14ac:dyDescent="0.2">
      <c r="DO3975" s="303" t="s">
        <v>232</v>
      </c>
    </row>
    <row r="3976" spans="119:119" x14ac:dyDescent="0.2">
      <c r="DO3976" s="303" t="s">
        <v>232</v>
      </c>
    </row>
    <row r="3977" spans="119:119" x14ac:dyDescent="0.2">
      <c r="DO3977" s="303" t="s">
        <v>232</v>
      </c>
    </row>
    <row r="3978" spans="119:119" x14ac:dyDescent="0.2">
      <c r="DO3978" s="303" t="s">
        <v>232</v>
      </c>
    </row>
    <row r="3979" spans="119:119" x14ac:dyDescent="0.2">
      <c r="DO3979" s="303" t="s">
        <v>232</v>
      </c>
    </row>
    <row r="3980" spans="119:119" x14ac:dyDescent="0.2">
      <c r="DO3980" s="303" t="s">
        <v>232</v>
      </c>
    </row>
    <row r="3981" spans="119:119" x14ac:dyDescent="0.2">
      <c r="DO3981" s="303" t="s">
        <v>232</v>
      </c>
    </row>
    <row r="3982" spans="119:119" x14ac:dyDescent="0.2">
      <c r="DO3982" s="303" t="s">
        <v>232</v>
      </c>
    </row>
    <row r="3983" spans="119:119" x14ac:dyDescent="0.2">
      <c r="DO3983" s="303" t="s">
        <v>232</v>
      </c>
    </row>
    <row r="3984" spans="119:119" x14ac:dyDescent="0.2">
      <c r="DO3984" s="303" t="s">
        <v>232</v>
      </c>
    </row>
    <row r="3985" spans="119:119" x14ac:dyDescent="0.2">
      <c r="DO3985" s="303" t="s">
        <v>232</v>
      </c>
    </row>
    <row r="3986" spans="119:119" x14ac:dyDescent="0.2">
      <c r="DO3986" s="303" t="s">
        <v>232</v>
      </c>
    </row>
    <row r="3987" spans="119:119" x14ac:dyDescent="0.2">
      <c r="DO3987" s="303" t="s">
        <v>232</v>
      </c>
    </row>
    <row r="3988" spans="119:119" x14ac:dyDescent="0.2">
      <c r="DO3988" s="303" t="s">
        <v>232</v>
      </c>
    </row>
    <row r="3989" spans="119:119" x14ac:dyDescent="0.2">
      <c r="DO3989" s="303" t="s">
        <v>232</v>
      </c>
    </row>
    <row r="3990" spans="119:119" x14ac:dyDescent="0.2">
      <c r="DO3990" s="303" t="s">
        <v>232</v>
      </c>
    </row>
    <row r="3991" spans="119:119" x14ac:dyDescent="0.2">
      <c r="DO3991" s="303" t="s">
        <v>232</v>
      </c>
    </row>
    <row r="3992" spans="119:119" x14ac:dyDescent="0.2">
      <c r="DO3992" s="303" t="s">
        <v>232</v>
      </c>
    </row>
    <row r="3993" spans="119:119" x14ac:dyDescent="0.2">
      <c r="DO3993" s="303" t="s">
        <v>232</v>
      </c>
    </row>
    <row r="3994" spans="119:119" x14ac:dyDescent="0.2">
      <c r="DO3994" s="303" t="s">
        <v>232</v>
      </c>
    </row>
    <row r="3995" spans="119:119" x14ac:dyDescent="0.2">
      <c r="DO3995" s="303" t="s">
        <v>232</v>
      </c>
    </row>
    <row r="3996" spans="119:119" x14ac:dyDescent="0.2">
      <c r="DO3996" s="303" t="s">
        <v>232</v>
      </c>
    </row>
    <row r="3997" spans="119:119" x14ac:dyDescent="0.2">
      <c r="DO3997" s="303" t="s">
        <v>232</v>
      </c>
    </row>
    <row r="3998" spans="119:119" x14ac:dyDescent="0.2">
      <c r="DO3998" s="303" t="s">
        <v>232</v>
      </c>
    </row>
    <row r="3999" spans="119:119" x14ac:dyDescent="0.2">
      <c r="DO3999" s="303" t="s">
        <v>232</v>
      </c>
    </row>
    <row r="4000" spans="119:119" x14ac:dyDescent="0.2">
      <c r="DO4000" s="303" t="s">
        <v>232</v>
      </c>
    </row>
    <row r="4001" spans="119:119" x14ac:dyDescent="0.2">
      <c r="DO4001" s="303" t="s">
        <v>232</v>
      </c>
    </row>
    <row r="4002" spans="119:119" x14ac:dyDescent="0.2">
      <c r="DO4002" s="303" t="s">
        <v>232</v>
      </c>
    </row>
    <row r="4003" spans="119:119" x14ac:dyDescent="0.2">
      <c r="DO4003" s="303" t="s">
        <v>232</v>
      </c>
    </row>
    <row r="4004" spans="119:119" x14ac:dyDescent="0.2">
      <c r="DO4004" s="303" t="s">
        <v>232</v>
      </c>
    </row>
    <row r="4005" spans="119:119" x14ac:dyDescent="0.2">
      <c r="DO4005" s="303" t="s">
        <v>232</v>
      </c>
    </row>
    <row r="4006" spans="119:119" x14ac:dyDescent="0.2">
      <c r="DO4006" s="303" t="s">
        <v>232</v>
      </c>
    </row>
    <row r="4007" spans="119:119" x14ac:dyDescent="0.2">
      <c r="DO4007" s="303" t="s">
        <v>232</v>
      </c>
    </row>
    <row r="4008" spans="119:119" x14ac:dyDescent="0.2">
      <c r="DO4008" s="303" t="s">
        <v>232</v>
      </c>
    </row>
    <row r="4009" spans="119:119" x14ac:dyDescent="0.2">
      <c r="DO4009" s="303" t="s">
        <v>232</v>
      </c>
    </row>
    <row r="4010" spans="119:119" x14ac:dyDescent="0.2">
      <c r="DO4010" s="303" t="s">
        <v>232</v>
      </c>
    </row>
    <row r="4011" spans="119:119" x14ac:dyDescent="0.2">
      <c r="DO4011" s="303" t="s">
        <v>232</v>
      </c>
    </row>
    <row r="4012" spans="119:119" x14ac:dyDescent="0.2">
      <c r="DO4012" s="303" t="s">
        <v>232</v>
      </c>
    </row>
    <row r="4013" spans="119:119" x14ac:dyDescent="0.2">
      <c r="DO4013" s="303" t="s">
        <v>232</v>
      </c>
    </row>
    <row r="4014" spans="119:119" x14ac:dyDescent="0.2">
      <c r="DO4014" s="303" t="s">
        <v>232</v>
      </c>
    </row>
    <row r="4015" spans="119:119" x14ac:dyDescent="0.2">
      <c r="DO4015" s="303" t="s">
        <v>232</v>
      </c>
    </row>
    <row r="4016" spans="119:119" x14ac:dyDescent="0.2">
      <c r="DO4016" s="303" t="s">
        <v>232</v>
      </c>
    </row>
    <row r="4017" spans="119:119" x14ac:dyDescent="0.2">
      <c r="DO4017" s="303" t="s">
        <v>232</v>
      </c>
    </row>
    <row r="4018" spans="119:119" x14ac:dyDescent="0.2">
      <c r="DO4018" s="303" t="s">
        <v>232</v>
      </c>
    </row>
    <row r="4019" spans="119:119" x14ac:dyDescent="0.2">
      <c r="DO4019" s="303" t="s">
        <v>232</v>
      </c>
    </row>
    <row r="4020" spans="119:119" x14ac:dyDescent="0.2">
      <c r="DO4020" s="303" t="s">
        <v>232</v>
      </c>
    </row>
    <row r="4021" spans="119:119" x14ac:dyDescent="0.2">
      <c r="DO4021" s="303" t="s">
        <v>232</v>
      </c>
    </row>
    <row r="4022" spans="119:119" x14ac:dyDescent="0.2">
      <c r="DO4022" s="303" t="s">
        <v>232</v>
      </c>
    </row>
    <row r="4023" spans="119:119" x14ac:dyDescent="0.2">
      <c r="DO4023" s="303" t="s">
        <v>232</v>
      </c>
    </row>
    <row r="4024" spans="119:119" x14ac:dyDescent="0.2">
      <c r="DO4024" s="303" t="s">
        <v>232</v>
      </c>
    </row>
    <row r="4025" spans="119:119" x14ac:dyDescent="0.2">
      <c r="DO4025" s="303" t="s">
        <v>232</v>
      </c>
    </row>
    <row r="4026" spans="119:119" x14ac:dyDescent="0.2">
      <c r="DO4026" s="303" t="s">
        <v>232</v>
      </c>
    </row>
    <row r="4027" spans="119:119" x14ac:dyDescent="0.2">
      <c r="DO4027" s="303" t="s">
        <v>232</v>
      </c>
    </row>
    <row r="4028" spans="119:119" x14ac:dyDescent="0.2">
      <c r="DO4028" s="303" t="s">
        <v>232</v>
      </c>
    </row>
    <row r="4029" spans="119:119" x14ac:dyDescent="0.2">
      <c r="DO4029" s="303" t="s">
        <v>232</v>
      </c>
    </row>
    <row r="4030" spans="119:119" x14ac:dyDescent="0.2">
      <c r="DO4030" s="303" t="s">
        <v>232</v>
      </c>
    </row>
    <row r="4031" spans="119:119" x14ac:dyDescent="0.2">
      <c r="DO4031" s="303" t="s">
        <v>232</v>
      </c>
    </row>
    <row r="4032" spans="119:119" x14ac:dyDescent="0.2">
      <c r="DO4032" s="303" t="s">
        <v>232</v>
      </c>
    </row>
    <row r="4033" spans="119:119" x14ac:dyDescent="0.2">
      <c r="DO4033" s="303" t="s">
        <v>232</v>
      </c>
    </row>
    <row r="4034" spans="119:119" x14ac:dyDescent="0.2">
      <c r="DO4034" s="303" t="s">
        <v>232</v>
      </c>
    </row>
    <row r="4035" spans="119:119" x14ac:dyDescent="0.2">
      <c r="DO4035" s="303" t="s">
        <v>232</v>
      </c>
    </row>
    <row r="4036" spans="119:119" x14ac:dyDescent="0.2">
      <c r="DO4036" s="303" t="s">
        <v>232</v>
      </c>
    </row>
    <row r="4037" spans="119:119" x14ac:dyDescent="0.2">
      <c r="DO4037" s="303" t="s">
        <v>232</v>
      </c>
    </row>
    <row r="4038" spans="119:119" x14ac:dyDescent="0.2">
      <c r="DO4038" s="303" t="s">
        <v>232</v>
      </c>
    </row>
    <row r="4039" spans="119:119" x14ac:dyDescent="0.2">
      <c r="DO4039" s="303" t="s">
        <v>232</v>
      </c>
    </row>
    <row r="4040" spans="119:119" x14ac:dyDescent="0.2">
      <c r="DO4040" s="303" t="s">
        <v>232</v>
      </c>
    </row>
    <row r="4041" spans="119:119" x14ac:dyDescent="0.2">
      <c r="DO4041" s="303" t="s">
        <v>232</v>
      </c>
    </row>
    <row r="4042" spans="119:119" x14ac:dyDescent="0.2">
      <c r="DO4042" s="303" t="s">
        <v>232</v>
      </c>
    </row>
    <row r="4043" spans="119:119" x14ac:dyDescent="0.2">
      <c r="DO4043" s="303" t="s">
        <v>232</v>
      </c>
    </row>
    <row r="4044" spans="119:119" x14ac:dyDescent="0.2">
      <c r="DO4044" s="303" t="s">
        <v>232</v>
      </c>
    </row>
    <row r="4045" spans="119:119" x14ac:dyDescent="0.2">
      <c r="DO4045" s="303" t="s">
        <v>232</v>
      </c>
    </row>
    <row r="4046" spans="119:119" x14ac:dyDescent="0.2">
      <c r="DO4046" s="303" t="s">
        <v>232</v>
      </c>
    </row>
    <row r="4047" spans="119:119" x14ac:dyDescent="0.2">
      <c r="DO4047" s="303" t="s">
        <v>232</v>
      </c>
    </row>
    <row r="4048" spans="119:119" x14ac:dyDescent="0.2">
      <c r="DO4048" s="303" t="s">
        <v>232</v>
      </c>
    </row>
    <row r="4049" spans="119:119" x14ac:dyDescent="0.2">
      <c r="DO4049" s="303" t="s">
        <v>232</v>
      </c>
    </row>
    <row r="4050" spans="119:119" x14ac:dyDescent="0.2">
      <c r="DO4050" s="303" t="s">
        <v>232</v>
      </c>
    </row>
    <row r="4051" spans="119:119" x14ac:dyDescent="0.2">
      <c r="DO4051" s="303" t="s">
        <v>232</v>
      </c>
    </row>
    <row r="4052" spans="119:119" x14ac:dyDescent="0.2">
      <c r="DO4052" s="303" t="s">
        <v>232</v>
      </c>
    </row>
    <row r="4053" spans="119:119" x14ac:dyDescent="0.2">
      <c r="DO4053" s="303" t="s">
        <v>232</v>
      </c>
    </row>
    <row r="4054" spans="119:119" x14ac:dyDescent="0.2">
      <c r="DO4054" s="303" t="s">
        <v>232</v>
      </c>
    </row>
    <row r="4055" spans="119:119" x14ac:dyDescent="0.2">
      <c r="DO4055" s="303" t="s">
        <v>232</v>
      </c>
    </row>
    <row r="4056" spans="119:119" x14ac:dyDescent="0.2">
      <c r="DO4056" s="303" t="s">
        <v>232</v>
      </c>
    </row>
    <row r="4057" spans="119:119" x14ac:dyDescent="0.2">
      <c r="DO4057" s="303" t="s">
        <v>232</v>
      </c>
    </row>
    <row r="4058" spans="119:119" x14ac:dyDescent="0.2">
      <c r="DO4058" s="303" t="s">
        <v>232</v>
      </c>
    </row>
    <row r="4059" spans="119:119" x14ac:dyDescent="0.2">
      <c r="DO4059" s="303" t="s">
        <v>232</v>
      </c>
    </row>
    <row r="4060" spans="119:119" x14ac:dyDescent="0.2">
      <c r="DO4060" s="303" t="s">
        <v>232</v>
      </c>
    </row>
    <row r="4061" spans="119:119" x14ac:dyDescent="0.2">
      <c r="DO4061" s="303" t="s">
        <v>232</v>
      </c>
    </row>
    <row r="4062" spans="119:119" x14ac:dyDescent="0.2">
      <c r="DO4062" s="303" t="s">
        <v>232</v>
      </c>
    </row>
    <row r="4063" spans="119:119" x14ac:dyDescent="0.2">
      <c r="DO4063" s="303" t="s">
        <v>232</v>
      </c>
    </row>
    <row r="4064" spans="119:119" x14ac:dyDescent="0.2">
      <c r="DO4064" s="303" t="s">
        <v>232</v>
      </c>
    </row>
    <row r="4065" spans="119:119" x14ac:dyDescent="0.2">
      <c r="DO4065" s="303" t="s">
        <v>232</v>
      </c>
    </row>
    <row r="4066" spans="119:119" x14ac:dyDescent="0.2">
      <c r="DO4066" s="303" t="s">
        <v>232</v>
      </c>
    </row>
    <row r="4067" spans="119:119" x14ac:dyDescent="0.2">
      <c r="DO4067" s="303" t="s">
        <v>232</v>
      </c>
    </row>
    <row r="4068" spans="119:119" x14ac:dyDescent="0.2">
      <c r="DO4068" s="303" t="s">
        <v>232</v>
      </c>
    </row>
    <row r="4069" spans="119:119" x14ac:dyDescent="0.2">
      <c r="DO4069" s="303" t="s">
        <v>232</v>
      </c>
    </row>
    <row r="4070" spans="119:119" x14ac:dyDescent="0.2">
      <c r="DO4070" s="303" t="s">
        <v>232</v>
      </c>
    </row>
    <row r="4071" spans="119:119" x14ac:dyDescent="0.2">
      <c r="DO4071" s="303" t="s">
        <v>232</v>
      </c>
    </row>
    <row r="4072" spans="119:119" x14ac:dyDescent="0.2">
      <c r="DO4072" s="303" t="s">
        <v>232</v>
      </c>
    </row>
    <row r="4073" spans="119:119" x14ac:dyDescent="0.2">
      <c r="DO4073" s="303" t="s">
        <v>232</v>
      </c>
    </row>
    <row r="4074" spans="119:119" x14ac:dyDescent="0.2">
      <c r="DO4074" s="303" t="s">
        <v>232</v>
      </c>
    </row>
    <row r="4075" spans="119:119" x14ac:dyDescent="0.2">
      <c r="DO4075" s="303" t="s">
        <v>232</v>
      </c>
    </row>
    <row r="4076" spans="119:119" x14ac:dyDescent="0.2">
      <c r="DO4076" s="303" t="s">
        <v>232</v>
      </c>
    </row>
    <row r="4077" spans="119:119" x14ac:dyDescent="0.2">
      <c r="DO4077" s="303" t="s">
        <v>232</v>
      </c>
    </row>
    <row r="4078" spans="119:119" x14ac:dyDescent="0.2">
      <c r="DO4078" s="303" t="s">
        <v>232</v>
      </c>
    </row>
    <row r="4079" spans="119:119" x14ac:dyDescent="0.2">
      <c r="DO4079" s="303" t="s">
        <v>232</v>
      </c>
    </row>
    <row r="4080" spans="119:119" x14ac:dyDescent="0.2">
      <c r="DO4080" s="303" t="s">
        <v>232</v>
      </c>
    </row>
    <row r="4081" spans="119:119" x14ac:dyDescent="0.2">
      <c r="DO4081" s="303" t="s">
        <v>232</v>
      </c>
    </row>
    <row r="4082" spans="119:119" x14ac:dyDescent="0.2">
      <c r="DO4082" s="303" t="s">
        <v>232</v>
      </c>
    </row>
    <row r="4083" spans="119:119" x14ac:dyDescent="0.2">
      <c r="DO4083" s="303" t="s">
        <v>232</v>
      </c>
    </row>
    <row r="4084" spans="119:119" x14ac:dyDescent="0.2">
      <c r="DO4084" s="303" t="s">
        <v>232</v>
      </c>
    </row>
    <row r="4085" spans="119:119" x14ac:dyDescent="0.2">
      <c r="DO4085" s="303" t="s">
        <v>232</v>
      </c>
    </row>
    <row r="4086" spans="119:119" x14ac:dyDescent="0.2">
      <c r="DO4086" s="303" t="s">
        <v>232</v>
      </c>
    </row>
    <row r="4087" spans="119:119" x14ac:dyDescent="0.2">
      <c r="DO4087" s="303" t="s">
        <v>232</v>
      </c>
    </row>
    <row r="4088" spans="119:119" x14ac:dyDescent="0.2">
      <c r="DO4088" s="303" t="s">
        <v>232</v>
      </c>
    </row>
    <row r="4089" spans="119:119" x14ac:dyDescent="0.2">
      <c r="DO4089" s="303" t="s">
        <v>232</v>
      </c>
    </row>
    <row r="4090" spans="119:119" x14ac:dyDescent="0.2">
      <c r="DO4090" s="303" t="s">
        <v>232</v>
      </c>
    </row>
    <row r="4091" spans="119:119" x14ac:dyDescent="0.2">
      <c r="DO4091" s="303" t="s">
        <v>232</v>
      </c>
    </row>
    <row r="4092" spans="119:119" x14ac:dyDescent="0.2">
      <c r="DO4092" s="303" t="s">
        <v>232</v>
      </c>
    </row>
    <row r="4093" spans="119:119" x14ac:dyDescent="0.2">
      <c r="DO4093" s="303" t="s">
        <v>232</v>
      </c>
    </row>
    <row r="4094" spans="119:119" x14ac:dyDescent="0.2">
      <c r="DO4094" s="303" t="s">
        <v>232</v>
      </c>
    </row>
    <row r="4095" spans="119:119" x14ac:dyDescent="0.2">
      <c r="DO4095" s="303" t="s">
        <v>232</v>
      </c>
    </row>
    <row r="4096" spans="119:119" x14ac:dyDescent="0.2">
      <c r="DO4096" s="303" t="s">
        <v>232</v>
      </c>
    </row>
    <row r="4097" spans="119:119" x14ac:dyDescent="0.2">
      <c r="DO4097" s="303" t="s">
        <v>232</v>
      </c>
    </row>
    <row r="4098" spans="119:119" x14ac:dyDescent="0.2">
      <c r="DO4098" s="303" t="s">
        <v>232</v>
      </c>
    </row>
    <row r="4099" spans="119:119" x14ac:dyDescent="0.2">
      <c r="DO4099" s="303" t="s">
        <v>232</v>
      </c>
    </row>
    <row r="4100" spans="119:119" x14ac:dyDescent="0.2">
      <c r="DO4100" s="303" t="s">
        <v>232</v>
      </c>
    </row>
    <row r="4101" spans="119:119" x14ac:dyDescent="0.2">
      <c r="DO4101" s="303" t="s">
        <v>232</v>
      </c>
    </row>
    <row r="4102" spans="119:119" x14ac:dyDescent="0.2">
      <c r="DO4102" s="303" t="s">
        <v>232</v>
      </c>
    </row>
    <row r="4103" spans="119:119" x14ac:dyDescent="0.2">
      <c r="DO4103" s="303" t="s">
        <v>232</v>
      </c>
    </row>
    <row r="4104" spans="119:119" x14ac:dyDescent="0.2">
      <c r="DO4104" s="303" t="s">
        <v>232</v>
      </c>
    </row>
    <row r="4105" spans="119:119" x14ac:dyDescent="0.2">
      <c r="DO4105" s="303" t="s">
        <v>232</v>
      </c>
    </row>
    <row r="4106" spans="119:119" x14ac:dyDescent="0.2">
      <c r="DO4106" s="303" t="s">
        <v>232</v>
      </c>
    </row>
    <row r="4107" spans="119:119" x14ac:dyDescent="0.2">
      <c r="DO4107" s="303" t="s">
        <v>232</v>
      </c>
    </row>
    <row r="4108" spans="119:119" x14ac:dyDescent="0.2">
      <c r="DO4108" s="303" t="s">
        <v>232</v>
      </c>
    </row>
    <row r="4109" spans="119:119" x14ac:dyDescent="0.2">
      <c r="DO4109" s="303" t="s">
        <v>232</v>
      </c>
    </row>
    <row r="4110" spans="119:119" x14ac:dyDescent="0.2">
      <c r="DO4110" s="303" t="s">
        <v>232</v>
      </c>
    </row>
    <row r="4111" spans="119:119" x14ac:dyDescent="0.2">
      <c r="DO4111" s="303" t="s">
        <v>232</v>
      </c>
    </row>
    <row r="4112" spans="119:119" x14ac:dyDescent="0.2">
      <c r="DO4112" s="303" t="s">
        <v>232</v>
      </c>
    </row>
    <row r="4113" spans="119:119" x14ac:dyDescent="0.2">
      <c r="DO4113" s="303" t="s">
        <v>232</v>
      </c>
    </row>
    <row r="4114" spans="119:119" x14ac:dyDescent="0.2">
      <c r="DO4114" s="303" t="s">
        <v>232</v>
      </c>
    </row>
    <row r="4115" spans="119:119" x14ac:dyDescent="0.2">
      <c r="DO4115" s="303" t="s">
        <v>232</v>
      </c>
    </row>
    <row r="4116" spans="119:119" x14ac:dyDescent="0.2">
      <c r="DO4116" s="303" t="s">
        <v>232</v>
      </c>
    </row>
    <row r="4117" spans="119:119" x14ac:dyDescent="0.2">
      <c r="DO4117" s="303" t="s">
        <v>232</v>
      </c>
    </row>
    <row r="4118" spans="119:119" x14ac:dyDescent="0.2">
      <c r="DO4118" s="303" t="s">
        <v>232</v>
      </c>
    </row>
    <row r="4119" spans="119:119" x14ac:dyDescent="0.2">
      <c r="DO4119" s="303" t="s">
        <v>232</v>
      </c>
    </row>
    <row r="4120" spans="119:119" x14ac:dyDescent="0.2">
      <c r="DO4120" s="303" t="s">
        <v>232</v>
      </c>
    </row>
    <row r="4121" spans="119:119" x14ac:dyDescent="0.2">
      <c r="DO4121" s="303" t="s">
        <v>232</v>
      </c>
    </row>
    <row r="4122" spans="119:119" x14ac:dyDescent="0.2">
      <c r="DO4122" s="303" t="s">
        <v>232</v>
      </c>
    </row>
    <row r="4123" spans="119:119" x14ac:dyDescent="0.2">
      <c r="DO4123" s="303" t="s">
        <v>232</v>
      </c>
    </row>
    <row r="4124" spans="119:119" x14ac:dyDescent="0.2">
      <c r="DO4124" s="303" t="s">
        <v>232</v>
      </c>
    </row>
    <row r="4125" spans="119:119" x14ac:dyDescent="0.2">
      <c r="DO4125" s="303" t="s">
        <v>232</v>
      </c>
    </row>
    <row r="4126" spans="119:119" x14ac:dyDescent="0.2">
      <c r="DO4126" s="303" t="s">
        <v>232</v>
      </c>
    </row>
    <row r="4127" spans="119:119" x14ac:dyDescent="0.2">
      <c r="DO4127" s="303" t="s">
        <v>232</v>
      </c>
    </row>
    <row r="4128" spans="119:119" x14ac:dyDescent="0.2">
      <c r="DO4128" s="303" t="s">
        <v>232</v>
      </c>
    </row>
    <row r="4129" spans="119:119" x14ac:dyDescent="0.2">
      <c r="DO4129" s="303" t="s">
        <v>232</v>
      </c>
    </row>
    <row r="4130" spans="119:119" x14ac:dyDescent="0.2">
      <c r="DO4130" s="303" t="s">
        <v>232</v>
      </c>
    </row>
    <row r="4131" spans="119:119" x14ac:dyDescent="0.2">
      <c r="DO4131" s="303" t="s">
        <v>232</v>
      </c>
    </row>
    <row r="4132" spans="119:119" x14ac:dyDescent="0.2">
      <c r="DO4132" s="303" t="s">
        <v>232</v>
      </c>
    </row>
    <row r="4133" spans="119:119" x14ac:dyDescent="0.2">
      <c r="DO4133" s="303" t="s">
        <v>232</v>
      </c>
    </row>
    <row r="4134" spans="119:119" x14ac:dyDescent="0.2">
      <c r="DO4134" s="303" t="s">
        <v>232</v>
      </c>
    </row>
    <row r="4135" spans="119:119" x14ac:dyDescent="0.2">
      <c r="DO4135" s="303" t="s">
        <v>232</v>
      </c>
    </row>
    <row r="4136" spans="119:119" x14ac:dyDescent="0.2">
      <c r="DO4136" s="303" t="s">
        <v>232</v>
      </c>
    </row>
    <row r="4137" spans="119:119" x14ac:dyDescent="0.2">
      <c r="DO4137" s="303" t="s">
        <v>232</v>
      </c>
    </row>
    <row r="4138" spans="119:119" x14ac:dyDescent="0.2">
      <c r="DO4138" s="303" t="s">
        <v>232</v>
      </c>
    </row>
    <row r="4139" spans="119:119" x14ac:dyDescent="0.2">
      <c r="DO4139" s="303" t="s">
        <v>232</v>
      </c>
    </row>
    <row r="4140" spans="119:119" x14ac:dyDescent="0.2">
      <c r="DO4140" s="303" t="s">
        <v>232</v>
      </c>
    </row>
    <row r="4141" spans="119:119" x14ac:dyDescent="0.2">
      <c r="DO4141" s="303" t="s">
        <v>232</v>
      </c>
    </row>
    <row r="4142" spans="119:119" x14ac:dyDescent="0.2">
      <c r="DO4142" s="303" t="s">
        <v>232</v>
      </c>
    </row>
    <row r="4143" spans="119:119" x14ac:dyDescent="0.2">
      <c r="DO4143" s="303" t="s">
        <v>232</v>
      </c>
    </row>
    <row r="4144" spans="119:119" x14ac:dyDescent="0.2">
      <c r="DO4144" s="303" t="s">
        <v>232</v>
      </c>
    </row>
    <row r="4145" spans="119:119" x14ac:dyDescent="0.2">
      <c r="DO4145" s="303" t="s">
        <v>232</v>
      </c>
    </row>
    <row r="4146" spans="119:119" x14ac:dyDescent="0.2">
      <c r="DO4146" s="303" t="s">
        <v>232</v>
      </c>
    </row>
    <row r="4147" spans="119:119" x14ac:dyDescent="0.2">
      <c r="DO4147" s="303" t="s">
        <v>232</v>
      </c>
    </row>
    <row r="4148" spans="119:119" x14ac:dyDescent="0.2">
      <c r="DO4148" s="303" t="s">
        <v>232</v>
      </c>
    </row>
    <row r="4149" spans="119:119" x14ac:dyDescent="0.2">
      <c r="DO4149" s="303" t="s">
        <v>232</v>
      </c>
    </row>
    <row r="4150" spans="119:119" x14ac:dyDescent="0.2">
      <c r="DO4150" s="303" t="s">
        <v>232</v>
      </c>
    </row>
    <row r="4151" spans="119:119" x14ac:dyDescent="0.2">
      <c r="DO4151" s="303" t="s">
        <v>232</v>
      </c>
    </row>
    <row r="4152" spans="119:119" x14ac:dyDescent="0.2">
      <c r="DO4152" s="303" t="s">
        <v>232</v>
      </c>
    </row>
    <row r="4153" spans="119:119" x14ac:dyDescent="0.2">
      <c r="DO4153" s="303" t="s">
        <v>232</v>
      </c>
    </row>
    <row r="4154" spans="119:119" x14ac:dyDescent="0.2">
      <c r="DO4154" s="303" t="s">
        <v>232</v>
      </c>
    </row>
    <row r="4155" spans="119:119" x14ac:dyDescent="0.2">
      <c r="DO4155" s="303" t="s">
        <v>232</v>
      </c>
    </row>
    <row r="4156" spans="119:119" x14ac:dyDescent="0.2">
      <c r="DO4156" s="303" t="s">
        <v>232</v>
      </c>
    </row>
    <row r="4157" spans="119:119" x14ac:dyDescent="0.2">
      <c r="DO4157" s="303" t="s">
        <v>232</v>
      </c>
    </row>
    <row r="4158" spans="119:119" x14ac:dyDescent="0.2">
      <c r="DO4158" s="303" t="s">
        <v>232</v>
      </c>
    </row>
    <row r="4159" spans="119:119" x14ac:dyDescent="0.2">
      <c r="DO4159" s="303" t="s">
        <v>232</v>
      </c>
    </row>
    <row r="4160" spans="119:119" x14ac:dyDescent="0.2">
      <c r="DO4160" s="303" t="s">
        <v>232</v>
      </c>
    </row>
    <row r="4161" spans="119:119" x14ac:dyDescent="0.2">
      <c r="DO4161" s="303" t="s">
        <v>232</v>
      </c>
    </row>
    <row r="4162" spans="119:119" x14ac:dyDescent="0.2">
      <c r="DO4162" s="303" t="s">
        <v>232</v>
      </c>
    </row>
    <row r="4163" spans="119:119" x14ac:dyDescent="0.2">
      <c r="DO4163" s="303" t="s">
        <v>232</v>
      </c>
    </row>
    <row r="4164" spans="119:119" x14ac:dyDescent="0.2">
      <c r="DO4164" s="303" t="s">
        <v>232</v>
      </c>
    </row>
    <row r="4165" spans="119:119" x14ac:dyDescent="0.2">
      <c r="DO4165" s="303" t="s">
        <v>232</v>
      </c>
    </row>
    <row r="4166" spans="119:119" x14ac:dyDescent="0.2">
      <c r="DO4166" s="303" t="s">
        <v>232</v>
      </c>
    </row>
    <row r="4167" spans="119:119" x14ac:dyDescent="0.2">
      <c r="DO4167" s="303" t="s">
        <v>232</v>
      </c>
    </row>
    <row r="4168" spans="119:119" x14ac:dyDescent="0.2">
      <c r="DO4168" s="303" t="s">
        <v>232</v>
      </c>
    </row>
    <row r="4169" spans="119:119" x14ac:dyDescent="0.2">
      <c r="DO4169" s="303" t="s">
        <v>232</v>
      </c>
    </row>
    <row r="4170" spans="119:119" x14ac:dyDescent="0.2">
      <c r="DO4170" s="303" t="s">
        <v>232</v>
      </c>
    </row>
    <row r="4171" spans="119:119" x14ac:dyDescent="0.2">
      <c r="DO4171" s="303" t="s">
        <v>232</v>
      </c>
    </row>
    <row r="4172" spans="119:119" x14ac:dyDescent="0.2">
      <c r="DO4172" s="303" t="s">
        <v>232</v>
      </c>
    </row>
    <row r="4173" spans="119:119" x14ac:dyDescent="0.2">
      <c r="DO4173" s="303" t="s">
        <v>232</v>
      </c>
    </row>
    <row r="4174" spans="119:119" x14ac:dyDescent="0.2">
      <c r="DO4174" s="303" t="s">
        <v>232</v>
      </c>
    </row>
    <row r="4175" spans="119:119" x14ac:dyDescent="0.2">
      <c r="DO4175" s="303" t="s">
        <v>232</v>
      </c>
    </row>
    <row r="4176" spans="119:119" x14ac:dyDescent="0.2">
      <c r="DO4176" s="303" t="s">
        <v>232</v>
      </c>
    </row>
    <row r="4177" spans="119:119" x14ac:dyDescent="0.2">
      <c r="DO4177" s="303" t="s">
        <v>232</v>
      </c>
    </row>
    <row r="4178" spans="119:119" x14ac:dyDescent="0.2">
      <c r="DO4178" s="303" t="s">
        <v>232</v>
      </c>
    </row>
    <row r="4179" spans="119:119" x14ac:dyDescent="0.2">
      <c r="DO4179" s="303" t="s">
        <v>232</v>
      </c>
    </row>
    <row r="4180" spans="119:119" x14ac:dyDescent="0.2">
      <c r="DO4180" s="303" t="s">
        <v>232</v>
      </c>
    </row>
    <row r="4181" spans="119:119" x14ac:dyDescent="0.2">
      <c r="DO4181" s="303" t="s">
        <v>232</v>
      </c>
    </row>
    <row r="4182" spans="119:119" x14ac:dyDescent="0.2">
      <c r="DO4182" s="303" t="s">
        <v>232</v>
      </c>
    </row>
    <row r="4183" spans="119:119" x14ac:dyDescent="0.2">
      <c r="DO4183" s="303" t="s">
        <v>232</v>
      </c>
    </row>
    <row r="4184" spans="119:119" x14ac:dyDescent="0.2">
      <c r="DO4184" s="303" t="s">
        <v>232</v>
      </c>
    </row>
    <row r="4185" spans="119:119" x14ac:dyDescent="0.2">
      <c r="DO4185" s="303" t="s">
        <v>232</v>
      </c>
    </row>
    <row r="4186" spans="119:119" x14ac:dyDescent="0.2">
      <c r="DO4186" s="303" t="s">
        <v>232</v>
      </c>
    </row>
    <row r="4187" spans="119:119" x14ac:dyDescent="0.2">
      <c r="DO4187" s="303" t="s">
        <v>232</v>
      </c>
    </row>
    <row r="4188" spans="119:119" x14ac:dyDescent="0.2">
      <c r="DO4188" s="303" t="s">
        <v>232</v>
      </c>
    </row>
    <row r="4189" spans="119:119" x14ac:dyDescent="0.2">
      <c r="DO4189" s="303" t="s">
        <v>232</v>
      </c>
    </row>
    <row r="4190" spans="119:119" x14ac:dyDescent="0.2">
      <c r="DO4190" s="303" t="s">
        <v>232</v>
      </c>
    </row>
    <row r="4191" spans="119:119" x14ac:dyDescent="0.2">
      <c r="DO4191" s="303" t="s">
        <v>232</v>
      </c>
    </row>
    <row r="4192" spans="119:119" x14ac:dyDescent="0.2">
      <c r="DO4192" s="303" t="s">
        <v>232</v>
      </c>
    </row>
    <row r="4193" spans="119:119" x14ac:dyDescent="0.2">
      <c r="DO4193" s="303" t="s">
        <v>232</v>
      </c>
    </row>
    <row r="4194" spans="119:119" x14ac:dyDescent="0.2">
      <c r="DO4194" s="303" t="s">
        <v>232</v>
      </c>
    </row>
    <row r="4195" spans="119:119" x14ac:dyDescent="0.2">
      <c r="DO4195" s="303" t="s">
        <v>232</v>
      </c>
    </row>
    <row r="4196" spans="119:119" x14ac:dyDescent="0.2">
      <c r="DO4196" s="303" t="s">
        <v>232</v>
      </c>
    </row>
    <row r="4197" spans="119:119" x14ac:dyDescent="0.2">
      <c r="DO4197" s="303" t="s">
        <v>232</v>
      </c>
    </row>
    <row r="4198" spans="119:119" x14ac:dyDescent="0.2">
      <c r="DO4198" s="303" t="s">
        <v>232</v>
      </c>
    </row>
    <row r="4199" spans="119:119" x14ac:dyDescent="0.2">
      <c r="DO4199" s="303" t="s">
        <v>232</v>
      </c>
    </row>
    <row r="4200" spans="119:119" x14ac:dyDescent="0.2">
      <c r="DO4200" s="303" t="s">
        <v>232</v>
      </c>
    </row>
    <row r="4201" spans="119:119" x14ac:dyDescent="0.2">
      <c r="DO4201" s="303" t="s">
        <v>232</v>
      </c>
    </row>
    <row r="4202" spans="119:119" x14ac:dyDescent="0.2">
      <c r="DO4202" s="303" t="s">
        <v>232</v>
      </c>
    </row>
    <row r="4203" spans="119:119" x14ac:dyDescent="0.2">
      <c r="DO4203" s="303" t="s">
        <v>232</v>
      </c>
    </row>
    <row r="4204" spans="119:119" x14ac:dyDescent="0.2">
      <c r="DO4204" s="303" t="s">
        <v>232</v>
      </c>
    </row>
    <row r="4205" spans="119:119" x14ac:dyDescent="0.2">
      <c r="DO4205" s="303" t="s">
        <v>232</v>
      </c>
    </row>
    <row r="4206" spans="119:119" x14ac:dyDescent="0.2">
      <c r="DO4206" s="303" t="s">
        <v>232</v>
      </c>
    </row>
    <row r="4207" spans="119:119" x14ac:dyDescent="0.2">
      <c r="DO4207" s="303" t="s">
        <v>232</v>
      </c>
    </row>
    <row r="4208" spans="119:119" x14ac:dyDescent="0.2">
      <c r="DO4208" s="303" t="s">
        <v>232</v>
      </c>
    </row>
    <row r="4209" spans="119:119" x14ac:dyDescent="0.2">
      <c r="DO4209" s="303" t="s">
        <v>232</v>
      </c>
    </row>
    <row r="4210" spans="119:119" x14ac:dyDescent="0.2">
      <c r="DO4210" s="303" t="s">
        <v>232</v>
      </c>
    </row>
    <row r="4211" spans="119:119" x14ac:dyDescent="0.2">
      <c r="DO4211" s="303" t="s">
        <v>232</v>
      </c>
    </row>
    <row r="4212" spans="119:119" x14ac:dyDescent="0.2">
      <c r="DO4212" s="303" t="s">
        <v>232</v>
      </c>
    </row>
    <row r="4213" spans="119:119" x14ac:dyDescent="0.2">
      <c r="DO4213" s="303" t="s">
        <v>232</v>
      </c>
    </row>
    <row r="4214" spans="119:119" x14ac:dyDescent="0.2">
      <c r="DO4214" s="303" t="s">
        <v>232</v>
      </c>
    </row>
    <row r="4215" spans="119:119" x14ac:dyDescent="0.2">
      <c r="DO4215" s="303" t="s">
        <v>232</v>
      </c>
    </row>
    <row r="4216" spans="119:119" x14ac:dyDescent="0.2">
      <c r="DO4216" s="303" t="s">
        <v>232</v>
      </c>
    </row>
    <row r="4217" spans="119:119" x14ac:dyDescent="0.2">
      <c r="DO4217" s="303" t="s">
        <v>232</v>
      </c>
    </row>
    <row r="4218" spans="119:119" x14ac:dyDescent="0.2">
      <c r="DO4218" s="303" t="s">
        <v>232</v>
      </c>
    </row>
    <row r="4219" spans="119:119" x14ac:dyDescent="0.2">
      <c r="DO4219" s="303" t="s">
        <v>232</v>
      </c>
    </row>
    <row r="4220" spans="119:119" x14ac:dyDescent="0.2">
      <c r="DO4220" s="303" t="s">
        <v>232</v>
      </c>
    </row>
    <row r="4221" spans="119:119" x14ac:dyDescent="0.2">
      <c r="DO4221" s="303" t="s">
        <v>232</v>
      </c>
    </row>
    <row r="4222" spans="119:119" x14ac:dyDescent="0.2">
      <c r="DO4222" s="303" t="s">
        <v>232</v>
      </c>
    </row>
    <row r="4223" spans="119:119" x14ac:dyDescent="0.2">
      <c r="DO4223" s="303" t="s">
        <v>232</v>
      </c>
    </row>
    <row r="4224" spans="119:119" x14ac:dyDescent="0.2">
      <c r="DO4224" s="303" t="s">
        <v>232</v>
      </c>
    </row>
    <row r="4225" spans="119:119" x14ac:dyDescent="0.2">
      <c r="DO4225" s="303" t="s">
        <v>232</v>
      </c>
    </row>
    <row r="4226" spans="119:119" x14ac:dyDescent="0.2">
      <c r="DO4226" s="303" t="s">
        <v>232</v>
      </c>
    </row>
    <row r="4227" spans="119:119" x14ac:dyDescent="0.2">
      <c r="DO4227" s="303" t="s">
        <v>232</v>
      </c>
    </row>
    <row r="4228" spans="119:119" x14ac:dyDescent="0.2">
      <c r="DO4228" s="303" t="s">
        <v>232</v>
      </c>
    </row>
    <row r="4229" spans="119:119" x14ac:dyDescent="0.2">
      <c r="DO4229" s="303" t="s">
        <v>232</v>
      </c>
    </row>
    <row r="4230" spans="119:119" x14ac:dyDescent="0.2">
      <c r="DO4230" s="303" t="s">
        <v>232</v>
      </c>
    </row>
    <row r="4231" spans="119:119" x14ac:dyDescent="0.2">
      <c r="DO4231" s="303" t="s">
        <v>232</v>
      </c>
    </row>
    <row r="4232" spans="119:119" x14ac:dyDescent="0.2">
      <c r="DO4232" s="303" t="s">
        <v>232</v>
      </c>
    </row>
    <row r="4233" spans="119:119" x14ac:dyDescent="0.2">
      <c r="DO4233" s="303" t="s">
        <v>232</v>
      </c>
    </row>
    <row r="4234" spans="119:119" x14ac:dyDescent="0.2">
      <c r="DO4234" s="303" t="s">
        <v>232</v>
      </c>
    </row>
    <row r="4235" spans="119:119" x14ac:dyDescent="0.2">
      <c r="DO4235" s="303" t="s">
        <v>232</v>
      </c>
    </row>
    <row r="4236" spans="119:119" x14ac:dyDescent="0.2">
      <c r="DO4236" s="303" t="s">
        <v>232</v>
      </c>
    </row>
    <row r="4237" spans="119:119" x14ac:dyDescent="0.2">
      <c r="DO4237" s="303" t="s">
        <v>232</v>
      </c>
    </row>
    <row r="4238" spans="119:119" x14ac:dyDescent="0.2">
      <c r="DO4238" s="303" t="s">
        <v>232</v>
      </c>
    </row>
    <row r="4239" spans="119:119" x14ac:dyDescent="0.2">
      <c r="DO4239" s="303" t="s">
        <v>232</v>
      </c>
    </row>
    <row r="4240" spans="119:119" x14ac:dyDescent="0.2">
      <c r="DO4240" s="303" t="s">
        <v>232</v>
      </c>
    </row>
    <row r="4241" spans="119:119" x14ac:dyDescent="0.2">
      <c r="DO4241" s="303" t="s">
        <v>232</v>
      </c>
    </row>
    <row r="4242" spans="119:119" x14ac:dyDescent="0.2">
      <c r="DO4242" s="303" t="s">
        <v>232</v>
      </c>
    </row>
    <row r="4243" spans="119:119" x14ac:dyDescent="0.2">
      <c r="DO4243" s="303" t="s">
        <v>232</v>
      </c>
    </row>
    <row r="4244" spans="119:119" x14ac:dyDescent="0.2">
      <c r="DO4244" s="303" t="s">
        <v>232</v>
      </c>
    </row>
    <row r="4245" spans="119:119" x14ac:dyDescent="0.2">
      <c r="DO4245" s="303" t="s">
        <v>232</v>
      </c>
    </row>
    <row r="4246" spans="119:119" x14ac:dyDescent="0.2">
      <c r="DO4246" s="303" t="s">
        <v>232</v>
      </c>
    </row>
    <row r="4247" spans="119:119" x14ac:dyDescent="0.2">
      <c r="DO4247" s="303" t="s">
        <v>232</v>
      </c>
    </row>
    <row r="4248" spans="119:119" x14ac:dyDescent="0.2">
      <c r="DO4248" s="303" t="s">
        <v>232</v>
      </c>
    </row>
    <row r="4249" spans="119:119" x14ac:dyDescent="0.2">
      <c r="DO4249" s="303" t="s">
        <v>232</v>
      </c>
    </row>
    <row r="4250" spans="119:119" x14ac:dyDescent="0.2">
      <c r="DO4250" s="303" t="s">
        <v>232</v>
      </c>
    </row>
    <row r="4251" spans="119:119" x14ac:dyDescent="0.2">
      <c r="DO4251" s="303" t="s">
        <v>232</v>
      </c>
    </row>
    <row r="4252" spans="119:119" x14ac:dyDescent="0.2">
      <c r="DO4252" s="303" t="s">
        <v>232</v>
      </c>
    </row>
    <row r="4253" spans="119:119" x14ac:dyDescent="0.2">
      <c r="DO4253" s="303" t="s">
        <v>232</v>
      </c>
    </row>
    <row r="4254" spans="119:119" x14ac:dyDescent="0.2">
      <c r="DO4254" s="303" t="s">
        <v>232</v>
      </c>
    </row>
    <row r="4255" spans="119:119" x14ac:dyDescent="0.2">
      <c r="DO4255" s="303" t="s">
        <v>232</v>
      </c>
    </row>
    <row r="4256" spans="119:119" x14ac:dyDescent="0.2">
      <c r="DO4256" s="303" t="s">
        <v>232</v>
      </c>
    </row>
    <row r="4257" spans="119:119" x14ac:dyDescent="0.2">
      <c r="DO4257" s="303" t="s">
        <v>232</v>
      </c>
    </row>
    <row r="4258" spans="119:119" x14ac:dyDescent="0.2">
      <c r="DO4258" s="303" t="s">
        <v>232</v>
      </c>
    </row>
    <row r="4259" spans="119:119" x14ac:dyDescent="0.2">
      <c r="DO4259" s="303" t="s">
        <v>232</v>
      </c>
    </row>
    <row r="4260" spans="119:119" x14ac:dyDescent="0.2">
      <c r="DO4260" s="303" t="s">
        <v>232</v>
      </c>
    </row>
    <row r="4261" spans="119:119" x14ac:dyDescent="0.2">
      <c r="DO4261" s="303" t="s">
        <v>232</v>
      </c>
    </row>
    <row r="4262" spans="119:119" x14ac:dyDescent="0.2">
      <c r="DO4262" s="303" t="s">
        <v>232</v>
      </c>
    </row>
    <row r="4263" spans="119:119" x14ac:dyDescent="0.2">
      <c r="DO4263" s="303" t="s">
        <v>232</v>
      </c>
    </row>
    <row r="4264" spans="119:119" x14ac:dyDescent="0.2">
      <c r="DO4264" s="303" t="s">
        <v>232</v>
      </c>
    </row>
    <row r="4265" spans="119:119" x14ac:dyDescent="0.2">
      <c r="DO4265" s="303" t="s">
        <v>232</v>
      </c>
    </row>
    <row r="4266" spans="119:119" x14ac:dyDescent="0.2">
      <c r="DO4266" s="303" t="s">
        <v>232</v>
      </c>
    </row>
    <row r="4267" spans="119:119" x14ac:dyDescent="0.2">
      <c r="DO4267" s="303" t="s">
        <v>232</v>
      </c>
    </row>
    <row r="4268" spans="119:119" x14ac:dyDescent="0.2">
      <c r="DO4268" s="303" t="s">
        <v>232</v>
      </c>
    </row>
    <row r="4269" spans="119:119" x14ac:dyDescent="0.2">
      <c r="DO4269" s="303" t="s">
        <v>232</v>
      </c>
    </row>
    <row r="4270" spans="119:119" x14ac:dyDescent="0.2">
      <c r="DO4270" s="303" t="s">
        <v>232</v>
      </c>
    </row>
    <row r="4271" spans="119:119" x14ac:dyDescent="0.2">
      <c r="DO4271" s="303" t="s">
        <v>232</v>
      </c>
    </row>
    <row r="4272" spans="119:119" x14ac:dyDescent="0.2">
      <c r="DO4272" s="303" t="s">
        <v>232</v>
      </c>
    </row>
    <row r="4273" spans="119:119" x14ac:dyDescent="0.2">
      <c r="DO4273" s="303" t="s">
        <v>232</v>
      </c>
    </row>
    <row r="4274" spans="119:119" x14ac:dyDescent="0.2">
      <c r="DO4274" s="303" t="s">
        <v>232</v>
      </c>
    </row>
    <row r="4275" spans="119:119" x14ac:dyDescent="0.2">
      <c r="DO4275" s="303" t="s">
        <v>232</v>
      </c>
    </row>
    <row r="4276" spans="119:119" x14ac:dyDescent="0.2">
      <c r="DO4276" s="303" t="s">
        <v>232</v>
      </c>
    </row>
    <row r="4277" spans="119:119" x14ac:dyDescent="0.2">
      <c r="DO4277" s="303" t="s">
        <v>232</v>
      </c>
    </row>
    <row r="4278" spans="119:119" x14ac:dyDescent="0.2">
      <c r="DO4278" s="303" t="s">
        <v>232</v>
      </c>
    </row>
    <row r="4279" spans="119:119" x14ac:dyDescent="0.2">
      <c r="DO4279" s="303" t="s">
        <v>232</v>
      </c>
    </row>
    <row r="4280" spans="119:119" x14ac:dyDescent="0.2">
      <c r="DO4280" s="303" t="s">
        <v>232</v>
      </c>
    </row>
    <row r="4281" spans="119:119" x14ac:dyDescent="0.2">
      <c r="DO4281" s="303" t="s">
        <v>232</v>
      </c>
    </row>
    <row r="4282" spans="119:119" x14ac:dyDescent="0.2">
      <c r="DO4282" s="303" t="s">
        <v>232</v>
      </c>
    </row>
    <row r="4283" spans="119:119" x14ac:dyDescent="0.2">
      <c r="DO4283" s="303" t="s">
        <v>232</v>
      </c>
    </row>
    <row r="4284" spans="119:119" x14ac:dyDescent="0.2">
      <c r="DO4284" s="303" t="s">
        <v>232</v>
      </c>
    </row>
    <row r="4285" spans="119:119" x14ac:dyDescent="0.2">
      <c r="DO4285" s="303" t="s">
        <v>232</v>
      </c>
    </row>
    <row r="4286" spans="119:119" x14ac:dyDescent="0.2">
      <c r="DO4286" s="303" t="s">
        <v>232</v>
      </c>
    </row>
    <row r="4287" spans="119:119" x14ac:dyDescent="0.2">
      <c r="DO4287" s="303" t="s">
        <v>232</v>
      </c>
    </row>
    <row r="4288" spans="119:119" x14ac:dyDescent="0.2">
      <c r="DO4288" s="303" t="s">
        <v>232</v>
      </c>
    </row>
    <row r="4289" spans="119:119" x14ac:dyDescent="0.2">
      <c r="DO4289" s="303" t="s">
        <v>232</v>
      </c>
    </row>
    <row r="4290" spans="119:119" x14ac:dyDescent="0.2">
      <c r="DO4290" s="303" t="s">
        <v>232</v>
      </c>
    </row>
    <row r="4291" spans="119:119" x14ac:dyDescent="0.2">
      <c r="DO4291" s="303" t="s">
        <v>232</v>
      </c>
    </row>
    <row r="4292" spans="119:119" x14ac:dyDescent="0.2">
      <c r="DO4292" s="303" t="s">
        <v>232</v>
      </c>
    </row>
    <row r="4293" spans="119:119" x14ac:dyDescent="0.2">
      <c r="DO4293" s="303" t="s">
        <v>232</v>
      </c>
    </row>
    <row r="4294" spans="119:119" x14ac:dyDescent="0.2">
      <c r="DO4294" s="303" t="s">
        <v>232</v>
      </c>
    </row>
    <row r="4295" spans="119:119" x14ac:dyDescent="0.2">
      <c r="DO4295" s="303" t="s">
        <v>232</v>
      </c>
    </row>
    <row r="4296" spans="119:119" x14ac:dyDescent="0.2">
      <c r="DO4296" s="303" t="s">
        <v>232</v>
      </c>
    </row>
    <row r="4297" spans="119:119" x14ac:dyDescent="0.2">
      <c r="DO4297" s="303" t="s">
        <v>232</v>
      </c>
    </row>
    <row r="4298" spans="119:119" x14ac:dyDescent="0.2">
      <c r="DO4298" s="303" t="s">
        <v>232</v>
      </c>
    </row>
    <row r="4299" spans="119:119" x14ac:dyDescent="0.2">
      <c r="DO4299" s="303" t="s">
        <v>232</v>
      </c>
    </row>
    <row r="4300" spans="119:119" x14ac:dyDescent="0.2">
      <c r="DO4300" s="303" t="s">
        <v>232</v>
      </c>
    </row>
    <row r="4301" spans="119:119" x14ac:dyDescent="0.2">
      <c r="DO4301" s="303" t="s">
        <v>232</v>
      </c>
    </row>
    <row r="4302" spans="119:119" x14ac:dyDescent="0.2">
      <c r="DO4302" s="303" t="s">
        <v>232</v>
      </c>
    </row>
    <row r="4303" spans="119:119" x14ac:dyDescent="0.2">
      <c r="DO4303" s="303" t="s">
        <v>232</v>
      </c>
    </row>
    <row r="4304" spans="119:119" x14ac:dyDescent="0.2">
      <c r="DO4304" s="303" t="s">
        <v>232</v>
      </c>
    </row>
    <row r="4305" spans="119:119" x14ac:dyDescent="0.2">
      <c r="DO4305" s="303" t="s">
        <v>232</v>
      </c>
    </row>
    <row r="4306" spans="119:119" x14ac:dyDescent="0.2">
      <c r="DO4306" s="303" t="s">
        <v>232</v>
      </c>
    </row>
    <row r="4307" spans="119:119" x14ac:dyDescent="0.2">
      <c r="DO4307" s="303" t="s">
        <v>232</v>
      </c>
    </row>
    <row r="4308" spans="119:119" x14ac:dyDescent="0.2">
      <c r="DO4308" s="303" t="s">
        <v>232</v>
      </c>
    </row>
    <row r="4309" spans="119:119" x14ac:dyDescent="0.2">
      <c r="DO4309" s="303" t="s">
        <v>232</v>
      </c>
    </row>
    <row r="4310" spans="119:119" x14ac:dyDescent="0.2">
      <c r="DO4310" s="303" t="s">
        <v>232</v>
      </c>
    </row>
    <row r="4311" spans="119:119" x14ac:dyDescent="0.2">
      <c r="DO4311" s="303" t="s">
        <v>232</v>
      </c>
    </row>
    <row r="4312" spans="119:119" x14ac:dyDescent="0.2">
      <c r="DO4312" s="303" t="s">
        <v>232</v>
      </c>
    </row>
    <row r="4313" spans="119:119" x14ac:dyDescent="0.2">
      <c r="DO4313" s="303" t="s">
        <v>232</v>
      </c>
    </row>
    <row r="4314" spans="119:119" x14ac:dyDescent="0.2">
      <c r="DO4314" s="303" t="s">
        <v>232</v>
      </c>
    </row>
    <row r="4315" spans="119:119" x14ac:dyDescent="0.2">
      <c r="DO4315" s="303" t="s">
        <v>232</v>
      </c>
    </row>
    <row r="4316" spans="119:119" x14ac:dyDescent="0.2">
      <c r="DO4316" s="303" t="s">
        <v>232</v>
      </c>
    </row>
    <row r="4317" spans="119:119" x14ac:dyDescent="0.2">
      <c r="DO4317" s="303" t="s">
        <v>232</v>
      </c>
    </row>
    <row r="4318" spans="119:119" x14ac:dyDescent="0.2">
      <c r="DO4318" s="303" t="s">
        <v>232</v>
      </c>
    </row>
    <row r="4319" spans="119:119" x14ac:dyDescent="0.2">
      <c r="DO4319" s="303" t="s">
        <v>232</v>
      </c>
    </row>
    <row r="4320" spans="119:119" x14ac:dyDescent="0.2">
      <c r="DO4320" s="303" t="s">
        <v>232</v>
      </c>
    </row>
    <row r="4321" spans="119:119" x14ac:dyDescent="0.2">
      <c r="DO4321" s="303" t="s">
        <v>232</v>
      </c>
    </row>
    <row r="4322" spans="119:119" x14ac:dyDescent="0.2">
      <c r="DO4322" s="303" t="s">
        <v>232</v>
      </c>
    </row>
    <row r="4323" spans="119:119" x14ac:dyDescent="0.2">
      <c r="DO4323" s="303" t="s">
        <v>232</v>
      </c>
    </row>
    <row r="4324" spans="119:119" x14ac:dyDescent="0.2">
      <c r="DO4324" s="303" t="s">
        <v>232</v>
      </c>
    </row>
    <row r="4325" spans="119:119" x14ac:dyDescent="0.2">
      <c r="DO4325" s="303" t="s">
        <v>232</v>
      </c>
    </row>
    <row r="4326" spans="119:119" x14ac:dyDescent="0.2">
      <c r="DO4326" s="303" t="s">
        <v>232</v>
      </c>
    </row>
    <row r="4327" spans="119:119" x14ac:dyDescent="0.2">
      <c r="DO4327" s="303" t="s">
        <v>232</v>
      </c>
    </row>
    <row r="4328" spans="119:119" x14ac:dyDescent="0.2">
      <c r="DO4328" s="303" t="s">
        <v>232</v>
      </c>
    </row>
    <row r="4329" spans="119:119" x14ac:dyDescent="0.2">
      <c r="DO4329" s="303" t="s">
        <v>232</v>
      </c>
    </row>
    <row r="4330" spans="119:119" x14ac:dyDescent="0.2">
      <c r="DO4330" s="303" t="s">
        <v>232</v>
      </c>
    </row>
    <row r="4331" spans="119:119" x14ac:dyDescent="0.2">
      <c r="DO4331" s="303" t="s">
        <v>232</v>
      </c>
    </row>
    <row r="4332" spans="119:119" x14ac:dyDescent="0.2">
      <c r="DO4332" s="303" t="s">
        <v>232</v>
      </c>
    </row>
    <row r="4333" spans="119:119" x14ac:dyDescent="0.2">
      <c r="DO4333" s="303" t="s">
        <v>232</v>
      </c>
    </row>
    <row r="4334" spans="119:119" x14ac:dyDescent="0.2">
      <c r="DO4334" s="303" t="s">
        <v>232</v>
      </c>
    </row>
    <row r="4335" spans="119:119" x14ac:dyDescent="0.2">
      <c r="DO4335" s="303" t="s">
        <v>232</v>
      </c>
    </row>
    <row r="4336" spans="119:119" x14ac:dyDescent="0.2">
      <c r="DO4336" s="303" t="s">
        <v>232</v>
      </c>
    </row>
    <row r="4337" spans="119:119" x14ac:dyDescent="0.2">
      <c r="DO4337" s="303" t="s">
        <v>232</v>
      </c>
    </row>
    <row r="4338" spans="119:119" x14ac:dyDescent="0.2">
      <c r="DO4338" s="303" t="s">
        <v>232</v>
      </c>
    </row>
    <row r="4339" spans="119:119" x14ac:dyDescent="0.2">
      <c r="DO4339" s="303" t="s">
        <v>232</v>
      </c>
    </row>
    <row r="4340" spans="119:119" x14ac:dyDescent="0.2">
      <c r="DO4340" s="303" t="s">
        <v>232</v>
      </c>
    </row>
    <row r="4341" spans="119:119" x14ac:dyDescent="0.2">
      <c r="DO4341" s="303" t="s">
        <v>232</v>
      </c>
    </row>
    <row r="4342" spans="119:119" x14ac:dyDescent="0.2">
      <c r="DO4342" s="303" t="s">
        <v>232</v>
      </c>
    </row>
    <row r="4343" spans="119:119" x14ac:dyDescent="0.2">
      <c r="DO4343" s="303" t="s">
        <v>232</v>
      </c>
    </row>
    <row r="4344" spans="119:119" x14ac:dyDescent="0.2">
      <c r="DO4344" s="303" t="s">
        <v>232</v>
      </c>
    </row>
    <row r="4345" spans="119:119" x14ac:dyDescent="0.2">
      <c r="DO4345" s="303" t="s">
        <v>232</v>
      </c>
    </row>
    <row r="4346" spans="119:119" x14ac:dyDescent="0.2">
      <c r="DO4346" s="303" t="s">
        <v>232</v>
      </c>
    </row>
    <row r="4347" spans="119:119" x14ac:dyDescent="0.2">
      <c r="DO4347" s="303" t="s">
        <v>232</v>
      </c>
    </row>
    <row r="4348" spans="119:119" x14ac:dyDescent="0.2">
      <c r="DO4348" s="303" t="s">
        <v>232</v>
      </c>
    </row>
    <row r="4349" spans="119:119" x14ac:dyDescent="0.2">
      <c r="DO4349" s="303" t="s">
        <v>232</v>
      </c>
    </row>
    <row r="4350" spans="119:119" x14ac:dyDescent="0.2">
      <c r="DO4350" s="303" t="s">
        <v>232</v>
      </c>
    </row>
    <row r="4351" spans="119:119" x14ac:dyDescent="0.2">
      <c r="DO4351" s="303" t="s">
        <v>232</v>
      </c>
    </row>
    <row r="4352" spans="119:119" x14ac:dyDescent="0.2">
      <c r="DO4352" s="303" t="s">
        <v>232</v>
      </c>
    </row>
    <row r="4353" spans="119:119" x14ac:dyDescent="0.2">
      <c r="DO4353" s="303" t="s">
        <v>232</v>
      </c>
    </row>
    <row r="4354" spans="119:119" x14ac:dyDescent="0.2">
      <c r="DO4354" s="303" t="s">
        <v>232</v>
      </c>
    </row>
    <row r="4355" spans="119:119" x14ac:dyDescent="0.2">
      <c r="DO4355" s="303" t="s">
        <v>232</v>
      </c>
    </row>
    <row r="4356" spans="119:119" x14ac:dyDescent="0.2">
      <c r="DO4356" s="303" t="s">
        <v>232</v>
      </c>
    </row>
    <row r="4357" spans="119:119" x14ac:dyDescent="0.2">
      <c r="DO4357" s="303" t="s">
        <v>232</v>
      </c>
    </row>
    <row r="4358" spans="119:119" x14ac:dyDescent="0.2">
      <c r="DO4358" s="303" t="s">
        <v>232</v>
      </c>
    </row>
    <row r="4359" spans="119:119" x14ac:dyDescent="0.2">
      <c r="DO4359" s="303" t="s">
        <v>232</v>
      </c>
    </row>
    <row r="4360" spans="119:119" x14ac:dyDescent="0.2">
      <c r="DO4360" s="303" t="s">
        <v>232</v>
      </c>
    </row>
    <row r="4361" spans="119:119" x14ac:dyDescent="0.2">
      <c r="DO4361" s="303" t="s">
        <v>232</v>
      </c>
    </row>
    <row r="4362" spans="119:119" x14ac:dyDescent="0.2">
      <c r="DO4362" s="303" t="s">
        <v>232</v>
      </c>
    </row>
    <row r="4363" spans="119:119" x14ac:dyDescent="0.2">
      <c r="DO4363" s="303" t="s">
        <v>232</v>
      </c>
    </row>
    <row r="4364" spans="119:119" x14ac:dyDescent="0.2">
      <c r="DO4364" s="303" t="s">
        <v>232</v>
      </c>
    </row>
    <row r="4365" spans="119:119" x14ac:dyDescent="0.2">
      <c r="DO4365" s="303" t="s">
        <v>232</v>
      </c>
    </row>
    <row r="4366" spans="119:119" x14ac:dyDescent="0.2">
      <c r="DO4366" s="303" t="s">
        <v>232</v>
      </c>
    </row>
    <row r="4367" spans="119:119" x14ac:dyDescent="0.2">
      <c r="DO4367" s="303" t="s">
        <v>232</v>
      </c>
    </row>
    <row r="4368" spans="119:119" x14ac:dyDescent="0.2">
      <c r="DO4368" s="303" t="s">
        <v>232</v>
      </c>
    </row>
    <row r="4369" spans="119:119" x14ac:dyDescent="0.2">
      <c r="DO4369" s="303" t="s">
        <v>232</v>
      </c>
    </row>
    <row r="4370" spans="119:119" x14ac:dyDescent="0.2">
      <c r="DO4370" s="303" t="s">
        <v>232</v>
      </c>
    </row>
    <row r="4371" spans="119:119" x14ac:dyDescent="0.2">
      <c r="DO4371" s="303" t="s">
        <v>232</v>
      </c>
    </row>
    <row r="4372" spans="119:119" x14ac:dyDescent="0.2">
      <c r="DO4372" s="303" t="s">
        <v>232</v>
      </c>
    </row>
    <row r="4373" spans="119:119" x14ac:dyDescent="0.2">
      <c r="DO4373" s="303" t="s">
        <v>232</v>
      </c>
    </row>
    <row r="4374" spans="119:119" x14ac:dyDescent="0.2">
      <c r="DO4374" s="303" t="s">
        <v>232</v>
      </c>
    </row>
    <row r="4375" spans="119:119" x14ac:dyDescent="0.2">
      <c r="DO4375" s="303" t="s">
        <v>232</v>
      </c>
    </row>
    <row r="4376" spans="119:119" x14ac:dyDescent="0.2">
      <c r="DO4376" s="303" t="s">
        <v>232</v>
      </c>
    </row>
    <row r="4377" spans="119:119" x14ac:dyDescent="0.2">
      <c r="DO4377" s="303" t="s">
        <v>232</v>
      </c>
    </row>
    <row r="4378" spans="119:119" x14ac:dyDescent="0.2">
      <c r="DO4378" s="303" t="s">
        <v>232</v>
      </c>
    </row>
    <row r="4379" spans="119:119" x14ac:dyDescent="0.2">
      <c r="DO4379" s="303" t="s">
        <v>232</v>
      </c>
    </row>
    <row r="4380" spans="119:119" x14ac:dyDescent="0.2">
      <c r="DO4380" s="303" t="s">
        <v>232</v>
      </c>
    </row>
    <row r="4381" spans="119:119" x14ac:dyDescent="0.2">
      <c r="DO4381" s="303" t="s">
        <v>232</v>
      </c>
    </row>
    <row r="4382" spans="119:119" x14ac:dyDescent="0.2">
      <c r="DO4382" s="303" t="s">
        <v>232</v>
      </c>
    </row>
    <row r="4383" spans="119:119" x14ac:dyDescent="0.2">
      <c r="DO4383" s="303" t="s">
        <v>232</v>
      </c>
    </row>
    <row r="4384" spans="119:119" x14ac:dyDescent="0.2">
      <c r="DO4384" s="303" t="s">
        <v>232</v>
      </c>
    </row>
    <row r="4385" spans="119:119" x14ac:dyDescent="0.2">
      <c r="DO4385" s="303" t="s">
        <v>232</v>
      </c>
    </row>
    <row r="4386" spans="119:119" x14ac:dyDescent="0.2">
      <c r="DO4386" s="303" t="s">
        <v>232</v>
      </c>
    </row>
    <row r="4387" spans="119:119" x14ac:dyDescent="0.2">
      <c r="DO4387" s="303" t="s">
        <v>232</v>
      </c>
    </row>
    <row r="4388" spans="119:119" x14ac:dyDescent="0.2">
      <c r="DO4388" s="303" t="s">
        <v>232</v>
      </c>
    </row>
    <row r="4389" spans="119:119" x14ac:dyDescent="0.2">
      <c r="DO4389" s="303" t="s">
        <v>232</v>
      </c>
    </row>
    <row r="4390" spans="119:119" x14ac:dyDescent="0.2">
      <c r="DO4390" s="303" t="s">
        <v>232</v>
      </c>
    </row>
    <row r="4391" spans="119:119" x14ac:dyDescent="0.2">
      <c r="DO4391" s="303" t="s">
        <v>232</v>
      </c>
    </row>
    <row r="4392" spans="119:119" x14ac:dyDescent="0.2">
      <c r="DO4392" s="303" t="s">
        <v>232</v>
      </c>
    </row>
    <row r="4393" spans="119:119" x14ac:dyDescent="0.2">
      <c r="DO4393" s="303" t="s">
        <v>232</v>
      </c>
    </row>
    <row r="4394" spans="119:119" x14ac:dyDescent="0.2">
      <c r="DO4394" s="303" t="s">
        <v>232</v>
      </c>
    </row>
    <row r="4395" spans="119:119" x14ac:dyDescent="0.2">
      <c r="DO4395" s="303" t="s">
        <v>232</v>
      </c>
    </row>
    <row r="4396" spans="119:119" x14ac:dyDescent="0.2">
      <c r="DO4396" s="303" t="s">
        <v>232</v>
      </c>
    </row>
    <row r="4397" spans="119:119" x14ac:dyDescent="0.2">
      <c r="DO4397" s="303" t="s">
        <v>232</v>
      </c>
    </row>
    <row r="4398" spans="119:119" x14ac:dyDescent="0.2">
      <c r="DO4398" s="303" t="s">
        <v>232</v>
      </c>
    </row>
    <row r="4399" spans="119:119" x14ac:dyDescent="0.2">
      <c r="DO4399" s="303" t="s">
        <v>232</v>
      </c>
    </row>
    <row r="4400" spans="119:119" x14ac:dyDescent="0.2">
      <c r="DO4400" s="303" t="s">
        <v>232</v>
      </c>
    </row>
    <row r="4401" spans="119:119" x14ac:dyDescent="0.2">
      <c r="DO4401" s="303" t="s">
        <v>232</v>
      </c>
    </row>
    <row r="4402" spans="119:119" x14ac:dyDescent="0.2">
      <c r="DO4402" s="303" t="s">
        <v>232</v>
      </c>
    </row>
    <row r="4403" spans="119:119" x14ac:dyDescent="0.2">
      <c r="DO4403" s="303" t="s">
        <v>232</v>
      </c>
    </row>
    <row r="4404" spans="119:119" x14ac:dyDescent="0.2">
      <c r="DO4404" s="303" t="s">
        <v>232</v>
      </c>
    </row>
    <row r="4405" spans="119:119" x14ac:dyDescent="0.2">
      <c r="DO4405" s="303" t="s">
        <v>232</v>
      </c>
    </row>
    <row r="4406" spans="119:119" x14ac:dyDescent="0.2">
      <c r="DO4406" s="303" t="s">
        <v>232</v>
      </c>
    </row>
    <row r="4407" spans="119:119" x14ac:dyDescent="0.2">
      <c r="DO4407" s="303" t="s">
        <v>232</v>
      </c>
    </row>
    <row r="4408" spans="119:119" x14ac:dyDescent="0.2">
      <c r="DO4408" s="303" t="s">
        <v>232</v>
      </c>
    </row>
    <row r="4409" spans="119:119" x14ac:dyDescent="0.2">
      <c r="DO4409" s="303" t="s">
        <v>232</v>
      </c>
    </row>
    <row r="4410" spans="119:119" x14ac:dyDescent="0.2">
      <c r="DO4410" s="303" t="s">
        <v>232</v>
      </c>
    </row>
    <row r="4411" spans="119:119" x14ac:dyDescent="0.2">
      <c r="DO4411" s="303" t="s">
        <v>232</v>
      </c>
    </row>
    <row r="4412" spans="119:119" x14ac:dyDescent="0.2">
      <c r="DO4412" s="303" t="s">
        <v>232</v>
      </c>
    </row>
    <row r="4413" spans="119:119" x14ac:dyDescent="0.2">
      <c r="DO4413" s="303" t="s">
        <v>232</v>
      </c>
    </row>
    <row r="4414" spans="119:119" x14ac:dyDescent="0.2">
      <c r="DO4414" s="303" t="s">
        <v>232</v>
      </c>
    </row>
    <row r="4415" spans="119:119" x14ac:dyDescent="0.2">
      <c r="DO4415" s="303" t="s">
        <v>232</v>
      </c>
    </row>
    <row r="4416" spans="119:119" x14ac:dyDescent="0.2">
      <c r="DO4416" s="303" t="s">
        <v>232</v>
      </c>
    </row>
    <row r="4417" spans="119:119" x14ac:dyDescent="0.2">
      <c r="DO4417" s="303" t="s">
        <v>232</v>
      </c>
    </row>
    <row r="4418" spans="119:119" x14ac:dyDescent="0.2">
      <c r="DO4418" s="303" t="s">
        <v>232</v>
      </c>
    </row>
    <row r="4419" spans="119:119" x14ac:dyDescent="0.2">
      <c r="DO4419" s="303" t="s">
        <v>232</v>
      </c>
    </row>
    <row r="4420" spans="119:119" x14ac:dyDescent="0.2">
      <c r="DO4420" s="303" t="s">
        <v>232</v>
      </c>
    </row>
    <row r="4421" spans="119:119" x14ac:dyDescent="0.2">
      <c r="DO4421" s="303" t="s">
        <v>232</v>
      </c>
    </row>
    <row r="4422" spans="119:119" x14ac:dyDescent="0.2">
      <c r="DO4422" s="303" t="s">
        <v>232</v>
      </c>
    </row>
    <row r="4423" spans="119:119" x14ac:dyDescent="0.2">
      <c r="DO4423" s="303" t="s">
        <v>232</v>
      </c>
    </row>
    <row r="4424" spans="119:119" x14ac:dyDescent="0.2">
      <c r="DO4424" s="303" t="s">
        <v>232</v>
      </c>
    </row>
    <row r="4425" spans="119:119" x14ac:dyDescent="0.2">
      <c r="DO4425" s="303" t="s">
        <v>232</v>
      </c>
    </row>
    <row r="4426" spans="119:119" x14ac:dyDescent="0.2">
      <c r="DO4426" s="303" t="s">
        <v>232</v>
      </c>
    </row>
    <row r="4427" spans="119:119" x14ac:dyDescent="0.2">
      <c r="DO4427" s="303" t="s">
        <v>232</v>
      </c>
    </row>
    <row r="4428" spans="119:119" x14ac:dyDescent="0.2">
      <c r="DO4428" s="303" t="s">
        <v>232</v>
      </c>
    </row>
    <row r="4429" spans="119:119" x14ac:dyDescent="0.2">
      <c r="DO4429" s="303" t="s">
        <v>232</v>
      </c>
    </row>
    <row r="4430" spans="119:119" x14ac:dyDescent="0.2">
      <c r="DO4430" s="303" t="s">
        <v>232</v>
      </c>
    </row>
    <row r="4431" spans="119:119" x14ac:dyDescent="0.2">
      <c r="DO4431" s="303" t="s">
        <v>232</v>
      </c>
    </row>
    <row r="4432" spans="119:119" x14ac:dyDescent="0.2">
      <c r="DO4432" s="303" t="s">
        <v>232</v>
      </c>
    </row>
    <row r="4433" spans="119:119" x14ac:dyDescent="0.2">
      <c r="DO4433" s="303" t="s">
        <v>232</v>
      </c>
    </row>
    <row r="4434" spans="119:119" x14ac:dyDescent="0.2">
      <c r="DO4434" s="303" t="s">
        <v>232</v>
      </c>
    </row>
    <row r="4435" spans="119:119" x14ac:dyDescent="0.2">
      <c r="DO4435" s="303" t="s">
        <v>232</v>
      </c>
    </row>
    <row r="4436" spans="119:119" x14ac:dyDescent="0.2">
      <c r="DO4436" s="303" t="s">
        <v>232</v>
      </c>
    </row>
    <row r="4437" spans="119:119" x14ac:dyDescent="0.2">
      <c r="DO4437" s="303" t="s">
        <v>232</v>
      </c>
    </row>
    <row r="4438" spans="119:119" x14ac:dyDescent="0.2">
      <c r="DO4438" s="303" t="s">
        <v>232</v>
      </c>
    </row>
    <row r="4439" spans="119:119" x14ac:dyDescent="0.2">
      <c r="DO4439" s="303" t="s">
        <v>232</v>
      </c>
    </row>
    <row r="4440" spans="119:119" x14ac:dyDescent="0.2">
      <c r="DO4440" s="303" t="s">
        <v>232</v>
      </c>
    </row>
    <row r="4441" spans="119:119" x14ac:dyDescent="0.2">
      <c r="DO4441" s="303" t="s">
        <v>232</v>
      </c>
    </row>
    <row r="4442" spans="119:119" x14ac:dyDescent="0.2">
      <c r="DO4442" s="303" t="s">
        <v>232</v>
      </c>
    </row>
    <row r="4443" spans="119:119" x14ac:dyDescent="0.2">
      <c r="DO4443" s="303" t="s">
        <v>232</v>
      </c>
    </row>
    <row r="4444" spans="119:119" x14ac:dyDescent="0.2">
      <c r="DO4444" s="303" t="s">
        <v>232</v>
      </c>
    </row>
    <row r="4445" spans="119:119" x14ac:dyDescent="0.2">
      <c r="DO4445" s="303" t="s">
        <v>232</v>
      </c>
    </row>
    <row r="4446" spans="119:119" x14ac:dyDescent="0.2">
      <c r="DO4446" s="303" t="s">
        <v>232</v>
      </c>
    </row>
    <row r="4447" spans="119:119" x14ac:dyDescent="0.2">
      <c r="DO4447" s="303" t="s">
        <v>232</v>
      </c>
    </row>
    <row r="4448" spans="119:119" x14ac:dyDescent="0.2">
      <c r="DO4448" s="303" t="s">
        <v>232</v>
      </c>
    </row>
    <row r="4449" spans="119:119" x14ac:dyDescent="0.2">
      <c r="DO4449" s="303" t="s">
        <v>232</v>
      </c>
    </row>
    <row r="4450" spans="119:119" x14ac:dyDescent="0.2">
      <c r="DO4450" s="303" t="s">
        <v>232</v>
      </c>
    </row>
    <row r="4451" spans="119:119" x14ac:dyDescent="0.2">
      <c r="DO4451" s="303" t="s">
        <v>232</v>
      </c>
    </row>
    <row r="4452" spans="119:119" x14ac:dyDescent="0.2">
      <c r="DO4452" s="303" t="s">
        <v>232</v>
      </c>
    </row>
    <row r="4453" spans="119:119" x14ac:dyDescent="0.2">
      <c r="DO4453" s="303" t="s">
        <v>232</v>
      </c>
    </row>
    <row r="4454" spans="119:119" x14ac:dyDescent="0.2">
      <c r="DO4454" s="303" t="s">
        <v>232</v>
      </c>
    </row>
    <row r="4455" spans="119:119" x14ac:dyDescent="0.2">
      <c r="DO4455" s="303" t="s">
        <v>232</v>
      </c>
    </row>
    <row r="4456" spans="119:119" x14ac:dyDescent="0.2">
      <c r="DO4456" s="303" t="s">
        <v>232</v>
      </c>
    </row>
    <row r="4457" spans="119:119" x14ac:dyDescent="0.2">
      <c r="DO4457" s="303" t="s">
        <v>232</v>
      </c>
    </row>
    <row r="4458" spans="119:119" x14ac:dyDescent="0.2">
      <c r="DO4458" s="303" t="s">
        <v>232</v>
      </c>
    </row>
    <row r="4459" spans="119:119" x14ac:dyDescent="0.2">
      <c r="DO4459" s="303" t="s">
        <v>232</v>
      </c>
    </row>
    <row r="4460" spans="119:119" x14ac:dyDescent="0.2">
      <c r="DO4460" s="303" t="s">
        <v>232</v>
      </c>
    </row>
    <row r="4461" spans="119:119" x14ac:dyDescent="0.2">
      <c r="DO4461" s="303" t="s">
        <v>232</v>
      </c>
    </row>
    <row r="4462" spans="119:119" x14ac:dyDescent="0.2">
      <c r="DO4462" s="303" t="s">
        <v>232</v>
      </c>
    </row>
    <row r="4463" spans="119:119" x14ac:dyDescent="0.2">
      <c r="DO4463" s="303" t="s">
        <v>232</v>
      </c>
    </row>
    <row r="4464" spans="119:119" x14ac:dyDescent="0.2">
      <c r="DO4464" s="303" t="s">
        <v>232</v>
      </c>
    </row>
    <row r="4465" spans="119:119" x14ac:dyDescent="0.2">
      <c r="DO4465" s="303" t="s">
        <v>232</v>
      </c>
    </row>
    <row r="4466" spans="119:119" x14ac:dyDescent="0.2">
      <c r="DO4466" s="303" t="s">
        <v>232</v>
      </c>
    </row>
    <row r="4467" spans="119:119" x14ac:dyDescent="0.2">
      <c r="DO4467" s="303" t="s">
        <v>232</v>
      </c>
    </row>
    <row r="4468" spans="119:119" x14ac:dyDescent="0.2">
      <c r="DO4468" s="303" t="s">
        <v>232</v>
      </c>
    </row>
    <row r="4469" spans="119:119" x14ac:dyDescent="0.2">
      <c r="DO4469" s="303" t="s">
        <v>232</v>
      </c>
    </row>
    <row r="4470" spans="119:119" x14ac:dyDescent="0.2">
      <c r="DO4470" s="303" t="s">
        <v>232</v>
      </c>
    </row>
    <row r="4471" spans="119:119" x14ac:dyDescent="0.2">
      <c r="DO4471" s="303" t="s">
        <v>232</v>
      </c>
    </row>
    <row r="4472" spans="119:119" x14ac:dyDescent="0.2">
      <c r="DO4472" s="303" t="s">
        <v>232</v>
      </c>
    </row>
    <row r="4473" spans="119:119" x14ac:dyDescent="0.2">
      <c r="DO4473" s="303" t="s">
        <v>232</v>
      </c>
    </row>
    <row r="4474" spans="119:119" x14ac:dyDescent="0.2">
      <c r="DO4474" s="303" t="s">
        <v>232</v>
      </c>
    </row>
    <row r="4475" spans="119:119" x14ac:dyDescent="0.2">
      <c r="DO4475" s="303" t="s">
        <v>232</v>
      </c>
    </row>
    <row r="4476" spans="119:119" x14ac:dyDescent="0.2">
      <c r="DO4476" s="303" t="s">
        <v>232</v>
      </c>
    </row>
    <row r="4477" spans="119:119" x14ac:dyDescent="0.2">
      <c r="DO4477" s="303" t="s">
        <v>232</v>
      </c>
    </row>
    <row r="4478" spans="119:119" x14ac:dyDescent="0.2">
      <c r="DO4478" s="303" t="s">
        <v>232</v>
      </c>
    </row>
    <row r="4479" spans="119:119" x14ac:dyDescent="0.2">
      <c r="DO4479" s="303" t="s">
        <v>232</v>
      </c>
    </row>
    <row r="4480" spans="119:119" x14ac:dyDescent="0.2">
      <c r="DO4480" s="303" t="s">
        <v>232</v>
      </c>
    </row>
    <row r="4481" spans="119:119" x14ac:dyDescent="0.2">
      <c r="DO4481" s="303" t="s">
        <v>232</v>
      </c>
    </row>
    <row r="4482" spans="119:119" x14ac:dyDescent="0.2">
      <c r="DO4482" s="303" t="s">
        <v>232</v>
      </c>
    </row>
    <row r="4483" spans="119:119" x14ac:dyDescent="0.2">
      <c r="DO4483" s="303" t="s">
        <v>232</v>
      </c>
    </row>
    <row r="4484" spans="119:119" x14ac:dyDescent="0.2">
      <c r="DO4484" s="303" t="s">
        <v>232</v>
      </c>
    </row>
    <row r="4485" spans="119:119" x14ac:dyDescent="0.2">
      <c r="DO4485" s="303" t="s">
        <v>232</v>
      </c>
    </row>
    <row r="4486" spans="119:119" x14ac:dyDescent="0.2">
      <c r="DO4486" s="303" t="s">
        <v>232</v>
      </c>
    </row>
    <row r="4487" spans="119:119" x14ac:dyDescent="0.2">
      <c r="DO4487" s="303" t="s">
        <v>232</v>
      </c>
    </row>
    <row r="4488" spans="119:119" x14ac:dyDescent="0.2">
      <c r="DO4488" s="303" t="s">
        <v>232</v>
      </c>
    </row>
    <row r="4489" spans="119:119" x14ac:dyDescent="0.2">
      <c r="DO4489" s="303" t="s">
        <v>232</v>
      </c>
    </row>
    <row r="4490" spans="119:119" x14ac:dyDescent="0.2">
      <c r="DO4490" s="303" t="s">
        <v>232</v>
      </c>
    </row>
    <row r="4491" spans="119:119" x14ac:dyDescent="0.2">
      <c r="DO4491" s="303" t="s">
        <v>232</v>
      </c>
    </row>
    <row r="4492" spans="119:119" x14ac:dyDescent="0.2">
      <c r="DO4492" s="303" t="s">
        <v>232</v>
      </c>
    </row>
    <row r="4493" spans="119:119" x14ac:dyDescent="0.2">
      <c r="DO4493" s="303" t="s">
        <v>232</v>
      </c>
    </row>
    <row r="4494" spans="119:119" x14ac:dyDescent="0.2">
      <c r="DO4494" s="303" t="s">
        <v>232</v>
      </c>
    </row>
    <row r="4495" spans="119:119" x14ac:dyDescent="0.2">
      <c r="DO4495" s="303" t="s">
        <v>232</v>
      </c>
    </row>
    <row r="4496" spans="119:119" x14ac:dyDescent="0.2">
      <c r="DO4496" s="303" t="s">
        <v>232</v>
      </c>
    </row>
    <row r="4497" spans="119:119" x14ac:dyDescent="0.2">
      <c r="DO4497" s="303" t="s">
        <v>232</v>
      </c>
    </row>
    <row r="4498" spans="119:119" x14ac:dyDescent="0.2">
      <c r="DO4498" s="303" t="s">
        <v>232</v>
      </c>
    </row>
    <row r="4499" spans="119:119" x14ac:dyDescent="0.2">
      <c r="DO4499" s="303" t="s">
        <v>232</v>
      </c>
    </row>
    <row r="4500" spans="119:119" x14ac:dyDescent="0.2">
      <c r="DO4500" s="303" t="s">
        <v>232</v>
      </c>
    </row>
    <row r="4501" spans="119:119" x14ac:dyDescent="0.2">
      <c r="DO4501" s="303" t="s">
        <v>232</v>
      </c>
    </row>
    <row r="4502" spans="119:119" x14ac:dyDescent="0.2">
      <c r="DO4502" s="303" t="s">
        <v>232</v>
      </c>
    </row>
    <row r="4503" spans="119:119" x14ac:dyDescent="0.2">
      <c r="DO4503" s="303" t="s">
        <v>232</v>
      </c>
    </row>
    <row r="4504" spans="119:119" x14ac:dyDescent="0.2">
      <c r="DO4504" s="303" t="s">
        <v>232</v>
      </c>
    </row>
    <row r="4505" spans="119:119" x14ac:dyDescent="0.2">
      <c r="DO4505" s="303" t="s">
        <v>232</v>
      </c>
    </row>
    <row r="4506" spans="119:119" x14ac:dyDescent="0.2">
      <c r="DO4506" s="303" t="s">
        <v>232</v>
      </c>
    </row>
    <row r="4507" spans="119:119" x14ac:dyDescent="0.2">
      <c r="DO4507" s="303" t="s">
        <v>232</v>
      </c>
    </row>
    <row r="4508" spans="119:119" x14ac:dyDescent="0.2">
      <c r="DO4508" s="303" t="s">
        <v>232</v>
      </c>
    </row>
    <row r="4509" spans="119:119" x14ac:dyDescent="0.2">
      <c r="DO4509" s="303" t="s">
        <v>232</v>
      </c>
    </row>
    <row r="4510" spans="119:119" x14ac:dyDescent="0.2">
      <c r="DO4510" s="303" t="s">
        <v>232</v>
      </c>
    </row>
    <row r="4511" spans="119:119" x14ac:dyDescent="0.2">
      <c r="DO4511" s="303" t="s">
        <v>232</v>
      </c>
    </row>
    <row r="4512" spans="119:119" x14ac:dyDescent="0.2">
      <c r="DO4512" s="303" t="s">
        <v>232</v>
      </c>
    </row>
    <row r="4513" spans="119:119" x14ac:dyDescent="0.2">
      <c r="DO4513" s="303" t="s">
        <v>232</v>
      </c>
    </row>
    <row r="4514" spans="119:119" x14ac:dyDescent="0.2">
      <c r="DO4514" s="303" t="s">
        <v>232</v>
      </c>
    </row>
    <row r="4515" spans="119:119" x14ac:dyDescent="0.2">
      <c r="DO4515" s="303" t="s">
        <v>232</v>
      </c>
    </row>
    <row r="4516" spans="119:119" x14ac:dyDescent="0.2">
      <c r="DO4516" s="303" t="s">
        <v>232</v>
      </c>
    </row>
    <row r="4517" spans="119:119" x14ac:dyDescent="0.2">
      <c r="DO4517" s="303" t="s">
        <v>232</v>
      </c>
    </row>
    <row r="4518" spans="119:119" x14ac:dyDescent="0.2">
      <c r="DO4518" s="303" t="s">
        <v>232</v>
      </c>
    </row>
    <row r="4519" spans="119:119" x14ac:dyDescent="0.2">
      <c r="DO4519" s="303" t="s">
        <v>232</v>
      </c>
    </row>
    <row r="4520" spans="119:119" x14ac:dyDescent="0.2">
      <c r="DO4520" s="303" t="s">
        <v>232</v>
      </c>
    </row>
    <row r="4521" spans="119:119" x14ac:dyDescent="0.2">
      <c r="DO4521" s="303" t="s">
        <v>232</v>
      </c>
    </row>
    <row r="4522" spans="119:119" x14ac:dyDescent="0.2">
      <c r="DO4522" s="303" t="s">
        <v>232</v>
      </c>
    </row>
    <row r="4523" spans="119:119" x14ac:dyDescent="0.2">
      <c r="DO4523" s="303" t="s">
        <v>232</v>
      </c>
    </row>
    <row r="4524" spans="119:119" x14ac:dyDescent="0.2">
      <c r="DO4524" s="303" t="s">
        <v>232</v>
      </c>
    </row>
    <row r="4525" spans="119:119" x14ac:dyDescent="0.2">
      <c r="DO4525" s="303" t="s">
        <v>232</v>
      </c>
    </row>
    <row r="4526" spans="119:119" x14ac:dyDescent="0.2">
      <c r="DO4526" s="303" t="s">
        <v>232</v>
      </c>
    </row>
    <row r="4527" spans="119:119" x14ac:dyDescent="0.2">
      <c r="DO4527" s="303" t="s">
        <v>232</v>
      </c>
    </row>
    <row r="4528" spans="119:119" x14ac:dyDescent="0.2">
      <c r="DO4528" s="303" t="s">
        <v>232</v>
      </c>
    </row>
    <row r="4529" spans="119:119" x14ac:dyDescent="0.2">
      <c r="DO4529" s="303" t="s">
        <v>232</v>
      </c>
    </row>
    <row r="4530" spans="119:119" x14ac:dyDescent="0.2">
      <c r="DO4530" s="303" t="s">
        <v>232</v>
      </c>
    </row>
    <row r="4531" spans="119:119" x14ac:dyDescent="0.2">
      <c r="DO4531" s="303" t="s">
        <v>232</v>
      </c>
    </row>
    <row r="4532" spans="119:119" x14ac:dyDescent="0.2">
      <c r="DO4532" s="303" t="s">
        <v>232</v>
      </c>
    </row>
    <row r="4533" spans="119:119" x14ac:dyDescent="0.2">
      <c r="DO4533" s="303" t="s">
        <v>232</v>
      </c>
    </row>
    <row r="4534" spans="119:119" x14ac:dyDescent="0.2">
      <c r="DO4534" s="303" t="s">
        <v>232</v>
      </c>
    </row>
    <row r="4535" spans="119:119" x14ac:dyDescent="0.2">
      <c r="DO4535" s="303" t="s">
        <v>232</v>
      </c>
    </row>
    <row r="4536" spans="119:119" x14ac:dyDescent="0.2">
      <c r="DO4536" s="303" t="s">
        <v>232</v>
      </c>
    </row>
    <row r="4537" spans="119:119" x14ac:dyDescent="0.2">
      <c r="DO4537" s="303" t="s">
        <v>232</v>
      </c>
    </row>
    <row r="4538" spans="119:119" x14ac:dyDescent="0.2">
      <c r="DO4538" s="303" t="s">
        <v>232</v>
      </c>
    </row>
    <row r="4539" spans="119:119" x14ac:dyDescent="0.2">
      <c r="DO4539" s="303" t="s">
        <v>232</v>
      </c>
    </row>
    <row r="4540" spans="119:119" x14ac:dyDescent="0.2">
      <c r="DO4540" s="303" t="s">
        <v>232</v>
      </c>
    </row>
    <row r="4541" spans="119:119" x14ac:dyDescent="0.2">
      <c r="DO4541" s="303" t="s">
        <v>232</v>
      </c>
    </row>
    <row r="4542" spans="119:119" x14ac:dyDescent="0.2">
      <c r="DO4542" s="303" t="s">
        <v>232</v>
      </c>
    </row>
    <row r="4543" spans="119:119" x14ac:dyDescent="0.2">
      <c r="DO4543" s="303" t="s">
        <v>232</v>
      </c>
    </row>
    <row r="4544" spans="119:119" x14ac:dyDescent="0.2">
      <c r="DO4544" s="303" t="s">
        <v>232</v>
      </c>
    </row>
    <row r="4545" spans="119:119" x14ac:dyDescent="0.2">
      <c r="DO4545" s="303" t="s">
        <v>232</v>
      </c>
    </row>
    <row r="4546" spans="119:119" x14ac:dyDescent="0.2">
      <c r="DO4546" s="303" t="s">
        <v>232</v>
      </c>
    </row>
    <row r="4547" spans="119:119" x14ac:dyDescent="0.2">
      <c r="DO4547" s="303" t="s">
        <v>232</v>
      </c>
    </row>
    <row r="4548" spans="119:119" x14ac:dyDescent="0.2">
      <c r="DO4548" s="303" t="s">
        <v>232</v>
      </c>
    </row>
    <row r="4549" spans="119:119" x14ac:dyDescent="0.2">
      <c r="DO4549" s="303" t="s">
        <v>232</v>
      </c>
    </row>
    <row r="4550" spans="119:119" x14ac:dyDescent="0.2">
      <c r="DO4550" s="303" t="s">
        <v>232</v>
      </c>
    </row>
    <row r="4551" spans="119:119" x14ac:dyDescent="0.2">
      <c r="DO4551" s="303" t="s">
        <v>232</v>
      </c>
    </row>
    <row r="4552" spans="119:119" x14ac:dyDescent="0.2">
      <c r="DO4552" s="303" t="s">
        <v>232</v>
      </c>
    </row>
    <row r="4553" spans="119:119" x14ac:dyDescent="0.2">
      <c r="DO4553" s="303" t="s">
        <v>232</v>
      </c>
    </row>
    <row r="4554" spans="119:119" x14ac:dyDescent="0.2">
      <c r="DO4554" s="303" t="s">
        <v>232</v>
      </c>
    </row>
    <row r="4555" spans="119:119" x14ac:dyDescent="0.2">
      <c r="DO4555" s="303" t="s">
        <v>232</v>
      </c>
    </row>
    <row r="4556" spans="119:119" x14ac:dyDescent="0.2">
      <c r="DO4556" s="303" t="s">
        <v>232</v>
      </c>
    </row>
    <row r="4557" spans="119:119" x14ac:dyDescent="0.2">
      <c r="DO4557" s="303" t="s">
        <v>232</v>
      </c>
    </row>
    <row r="4558" spans="119:119" x14ac:dyDescent="0.2">
      <c r="DO4558" s="303" t="s">
        <v>232</v>
      </c>
    </row>
    <row r="4559" spans="119:119" x14ac:dyDescent="0.2">
      <c r="DO4559" s="303" t="s">
        <v>232</v>
      </c>
    </row>
    <row r="4560" spans="119:119" x14ac:dyDescent="0.2">
      <c r="DO4560" s="303" t="s">
        <v>232</v>
      </c>
    </row>
    <row r="4561" spans="119:119" x14ac:dyDescent="0.2">
      <c r="DO4561" s="303" t="s">
        <v>232</v>
      </c>
    </row>
    <row r="4562" spans="119:119" x14ac:dyDescent="0.2">
      <c r="DO4562" s="303" t="s">
        <v>232</v>
      </c>
    </row>
    <row r="4563" spans="119:119" x14ac:dyDescent="0.2">
      <c r="DO4563" s="303" t="s">
        <v>232</v>
      </c>
    </row>
    <row r="4564" spans="119:119" x14ac:dyDescent="0.2">
      <c r="DO4564" s="303" t="s">
        <v>232</v>
      </c>
    </row>
    <row r="4565" spans="119:119" x14ac:dyDescent="0.2">
      <c r="DO4565" s="303" t="s">
        <v>232</v>
      </c>
    </row>
    <row r="4566" spans="119:119" x14ac:dyDescent="0.2">
      <c r="DO4566" s="303" t="s">
        <v>232</v>
      </c>
    </row>
    <row r="4567" spans="119:119" x14ac:dyDescent="0.2">
      <c r="DO4567" s="303" t="s">
        <v>232</v>
      </c>
    </row>
    <row r="4568" spans="119:119" x14ac:dyDescent="0.2">
      <c r="DO4568" s="303" t="s">
        <v>232</v>
      </c>
    </row>
    <row r="4569" spans="119:119" x14ac:dyDescent="0.2">
      <c r="DO4569" s="303" t="s">
        <v>232</v>
      </c>
    </row>
    <row r="4570" spans="119:119" x14ac:dyDescent="0.2">
      <c r="DO4570" s="303" t="s">
        <v>232</v>
      </c>
    </row>
    <row r="4571" spans="119:119" x14ac:dyDescent="0.2">
      <c r="DO4571" s="303" t="s">
        <v>232</v>
      </c>
    </row>
    <row r="4572" spans="119:119" x14ac:dyDescent="0.2">
      <c r="DO4572" s="303" t="s">
        <v>232</v>
      </c>
    </row>
    <row r="4573" spans="119:119" x14ac:dyDescent="0.2">
      <c r="DO4573" s="303" t="s">
        <v>232</v>
      </c>
    </row>
    <row r="4574" spans="119:119" x14ac:dyDescent="0.2">
      <c r="DO4574" s="303" t="s">
        <v>232</v>
      </c>
    </row>
    <row r="4575" spans="119:119" x14ac:dyDescent="0.2">
      <c r="DO4575" s="303" t="s">
        <v>232</v>
      </c>
    </row>
    <row r="4576" spans="119:119" x14ac:dyDescent="0.2">
      <c r="DO4576" s="303" t="s">
        <v>232</v>
      </c>
    </row>
    <row r="4577" spans="119:119" x14ac:dyDescent="0.2">
      <c r="DO4577" s="303" t="s">
        <v>232</v>
      </c>
    </row>
    <row r="4578" spans="119:119" x14ac:dyDescent="0.2">
      <c r="DO4578" s="303" t="s">
        <v>232</v>
      </c>
    </row>
    <row r="4579" spans="119:119" x14ac:dyDescent="0.2">
      <c r="DO4579" s="303" t="s">
        <v>232</v>
      </c>
    </row>
    <row r="4580" spans="119:119" x14ac:dyDescent="0.2">
      <c r="DO4580" s="303" t="s">
        <v>232</v>
      </c>
    </row>
    <row r="4581" spans="119:119" x14ac:dyDescent="0.2">
      <c r="DO4581" s="303" t="s">
        <v>232</v>
      </c>
    </row>
    <row r="4582" spans="119:119" x14ac:dyDescent="0.2">
      <c r="DO4582" s="303" t="s">
        <v>232</v>
      </c>
    </row>
    <row r="4583" spans="119:119" x14ac:dyDescent="0.2">
      <c r="DO4583" s="303" t="s">
        <v>232</v>
      </c>
    </row>
    <row r="4584" spans="119:119" x14ac:dyDescent="0.2">
      <c r="DO4584" s="303" t="s">
        <v>232</v>
      </c>
    </row>
    <row r="4585" spans="119:119" x14ac:dyDescent="0.2">
      <c r="DO4585" s="303" t="s">
        <v>232</v>
      </c>
    </row>
    <row r="4586" spans="119:119" x14ac:dyDescent="0.2">
      <c r="DO4586" s="303" t="s">
        <v>232</v>
      </c>
    </row>
    <row r="4587" spans="119:119" x14ac:dyDescent="0.2">
      <c r="DO4587" s="303" t="s">
        <v>232</v>
      </c>
    </row>
    <row r="4588" spans="119:119" x14ac:dyDescent="0.2">
      <c r="DO4588" s="303" t="s">
        <v>232</v>
      </c>
    </row>
    <row r="4589" spans="119:119" x14ac:dyDescent="0.2">
      <c r="DO4589" s="303" t="s">
        <v>232</v>
      </c>
    </row>
    <row r="4590" spans="119:119" x14ac:dyDescent="0.2">
      <c r="DO4590" s="303" t="s">
        <v>232</v>
      </c>
    </row>
    <row r="4591" spans="119:119" x14ac:dyDescent="0.2">
      <c r="DO4591" s="303" t="s">
        <v>232</v>
      </c>
    </row>
    <row r="4592" spans="119:119" x14ac:dyDescent="0.2">
      <c r="DO4592" s="303" t="s">
        <v>232</v>
      </c>
    </row>
    <row r="4593" spans="119:119" x14ac:dyDescent="0.2">
      <c r="DO4593" s="303" t="s">
        <v>232</v>
      </c>
    </row>
    <row r="4594" spans="119:119" x14ac:dyDescent="0.2">
      <c r="DO4594" s="303" t="s">
        <v>232</v>
      </c>
    </row>
    <row r="4595" spans="119:119" x14ac:dyDescent="0.2">
      <c r="DO4595" s="303" t="s">
        <v>232</v>
      </c>
    </row>
    <row r="4596" spans="119:119" x14ac:dyDescent="0.2">
      <c r="DO4596" s="303" t="s">
        <v>232</v>
      </c>
    </row>
    <row r="4597" spans="119:119" x14ac:dyDescent="0.2">
      <c r="DO4597" s="303" t="s">
        <v>232</v>
      </c>
    </row>
    <row r="4598" spans="119:119" x14ac:dyDescent="0.2">
      <c r="DO4598" s="303" t="s">
        <v>232</v>
      </c>
    </row>
    <row r="4599" spans="119:119" x14ac:dyDescent="0.2">
      <c r="DO4599" s="303" t="s">
        <v>232</v>
      </c>
    </row>
    <row r="4600" spans="119:119" x14ac:dyDescent="0.2">
      <c r="DO4600" s="303" t="s">
        <v>232</v>
      </c>
    </row>
    <row r="4601" spans="119:119" x14ac:dyDescent="0.2">
      <c r="DO4601" s="303" t="s">
        <v>232</v>
      </c>
    </row>
    <row r="4602" spans="119:119" x14ac:dyDescent="0.2">
      <c r="DO4602" s="303" t="s">
        <v>232</v>
      </c>
    </row>
    <row r="4603" spans="119:119" x14ac:dyDescent="0.2">
      <c r="DO4603" s="303" t="s">
        <v>232</v>
      </c>
    </row>
    <row r="4604" spans="119:119" x14ac:dyDescent="0.2">
      <c r="DO4604" s="303" t="s">
        <v>232</v>
      </c>
    </row>
    <row r="4605" spans="119:119" x14ac:dyDescent="0.2">
      <c r="DO4605" s="303" t="s">
        <v>232</v>
      </c>
    </row>
    <row r="4606" spans="119:119" x14ac:dyDescent="0.2">
      <c r="DO4606" s="303" t="s">
        <v>232</v>
      </c>
    </row>
    <row r="4607" spans="119:119" x14ac:dyDescent="0.2">
      <c r="DO4607" s="303" t="s">
        <v>232</v>
      </c>
    </row>
    <row r="4608" spans="119:119" x14ac:dyDescent="0.2">
      <c r="DO4608" s="303" t="s">
        <v>232</v>
      </c>
    </row>
    <row r="4609" spans="119:119" x14ac:dyDescent="0.2">
      <c r="DO4609" s="303" t="s">
        <v>232</v>
      </c>
    </row>
    <row r="4610" spans="119:119" x14ac:dyDescent="0.2">
      <c r="DO4610" s="303" t="s">
        <v>232</v>
      </c>
    </row>
    <row r="4611" spans="119:119" x14ac:dyDescent="0.2">
      <c r="DO4611" s="303" t="s">
        <v>232</v>
      </c>
    </row>
    <row r="4612" spans="119:119" x14ac:dyDescent="0.2">
      <c r="DO4612" s="303" t="s">
        <v>232</v>
      </c>
    </row>
    <row r="4613" spans="119:119" x14ac:dyDescent="0.2">
      <c r="DO4613" s="303" t="s">
        <v>232</v>
      </c>
    </row>
    <row r="4614" spans="119:119" x14ac:dyDescent="0.2">
      <c r="DO4614" s="303" t="s">
        <v>232</v>
      </c>
    </row>
    <row r="4615" spans="119:119" x14ac:dyDescent="0.2">
      <c r="DO4615" s="303" t="s">
        <v>232</v>
      </c>
    </row>
    <row r="4616" spans="119:119" x14ac:dyDescent="0.2">
      <c r="DO4616" s="303" t="s">
        <v>232</v>
      </c>
    </row>
    <row r="4617" spans="119:119" x14ac:dyDescent="0.2">
      <c r="DO4617" s="303" t="s">
        <v>232</v>
      </c>
    </row>
    <row r="4618" spans="119:119" x14ac:dyDescent="0.2">
      <c r="DO4618" s="303" t="s">
        <v>232</v>
      </c>
    </row>
    <row r="4619" spans="119:119" x14ac:dyDescent="0.2">
      <c r="DO4619" s="303" t="s">
        <v>232</v>
      </c>
    </row>
    <row r="4620" spans="119:119" x14ac:dyDescent="0.2">
      <c r="DO4620" s="303" t="s">
        <v>232</v>
      </c>
    </row>
    <row r="4621" spans="119:119" x14ac:dyDescent="0.2">
      <c r="DO4621" s="303" t="s">
        <v>232</v>
      </c>
    </row>
    <row r="4622" spans="119:119" x14ac:dyDescent="0.2">
      <c r="DO4622" s="303" t="s">
        <v>232</v>
      </c>
    </row>
    <row r="4623" spans="119:119" x14ac:dyDescent="0.2">
      <c r="DO4623" s="303" t="s">
        <v>232</v>
      </c>
    </row>
    <row r="4624" spans="119:119" x14ac:dyDescent="0.2">
      <c r="DO4624" s="303" t="s">
        <v>232</v>
      </c>
    </row>
    <row r="4625" spans="119:119" x14ac:dyDescent="0.2">
      <c r="DO4625" s="303" t="s">
        <v>232</v>
      </c>
    </row>
    <row r="4626" spans="119:119" x14ac:dyDescent="0.2">
      <c r="DO4626" s="303" t="s">
        <v>232</v>
      </c>
    </row>
    <row r="4627" spans="119:119" x14ac:dyDescent="0.2">
      <c r="DO4627" s="303" t="s">
        <v>232</v>
      </c>
    </row>
    <row r="4628" spans="119:119" x14ac:dyDescent="0.2">
      <c r="DO4628" s="303" t="s">
        <v>232</v>
      </c>
    </row>
    <row r="4629" spans="119:119" x14ac:dyDescent="0.2">
      <c r="DO4629" s="303" t="s">
        <v>232</v>
      </c>
    </row>
    <row r="4630" spans="119:119" x14ac:dyDescent="0.2">
      <c r="DO4630" s="303" t="s">
        <v>232</v>
      </c>
    </row>
    <row r="4631" spans="119:119" x14ac:dyDescent="0.2">
      <c r="DO4631" s="303" t="s">
        <v>232</v>
      </c>
    </row>
    <row r="4632" spans="119:119" x14ac:dyDescent="0.2">
      <c r="DO4632" s="303" t="s">
        <v>232</v>
      </c>
    </row>
    <row r="4633" spans="119:119" x14ac:dyDescent="0.2">
      <c r="DO4633" s="303" t="s">
        <v>232</v>
      </c>
    </row>
    <row r="4634" spans="119:119" x14ac:dyDescent="0.2">
      <c r="DO4634" s="303" t="s">
        <v>232</v>
      </c>
    </row>
    <row r="4635" spans="119:119" x14ac:dyDescent="0.2">
      <c r="DO4635" s="303" t="s">
        <v>232</v>
      </c>
    </row>
    <row r="4636" spans="119:119" x14ac:dyDescent="0.2">
      <c r="DO4636" s="303" t="s">
        <v>232</v>
      </c>
    </row>
    <row r="4637" spans="119:119" x14ac:dyDescent="0.2">
      <c r="DO4637" s="303" t="s">
        <v>232</v>
      </c>
    </row>
    <row r="4638" spans="119:119" x14ac:dyDescent="0.2">
      <c r="DO4638" s="303" t="s">
        <v>232</v>
      </c>
    </row>
    <row r="4639" spans="119:119" x14ac:dyDescent="0.2">
      <c r="DO4639" s="303" t="s">
        <v>232</v>
      </c>
    </row>
    <row r="4640" spans="119:119" x14ac:dyDescent="0.2">
      <c r="DO4640" s="303" t="s">
        <v>232</v>
      </c>
    </row>
    <row r="4641" spans="119:119" x14ac:dyDescent="0.2">
      <c r="DO4641" s="303" t="s">
        <v>232</v>
      </c>
    </row>
    <row r="4642" spans="119:119" x14ac:dyDescent="0.2">
      <c r="DO4642" s="303" t="s">
        <v>232</v>
      </c>
    </row>
    <row r="4643" spans="119:119" x14ac:dyDescent="0.2">
      <c r="DO4643" s="303" t="s">
        <v>232</v>
      </c>
    </row>
    <row r="4644" spans="119:119" x14ac:dyDescent="0.2">
      <c r="DO4644" s="303" t="s">
        <v>232</v>
      </c>
    </row>
    <row r="4645" spans="119:119" x14ac:dyDescent="0.2">
      <c r="DO4645" s="303" t="s">
        <v>232</v>
      </c>
    </row>
    <row r="4646" spans="119:119" x14ac:dyDescent="0.2">
      <c r="DO4646" s="303" t="s">
        <v>232</v>
      </c>
    </row>
    <row r="4647" spans="119:119" x14ac:dyDescent="0.2">
      <c r="DO4647" s="303" t="s">
        <v>232</v>
      </c>
    </row>
    <row r="4648" spans="119:119" x14ac:dyDescent="0.2">
      <c r="DO4648" s="303" t="s">
        <v>232</v>
      </c>
    </row>
    <row r="4649" spans="119:119" x14ac:dyDescent="0.2">
      <c r="DO4649" s="303" t="s">
        <v>232</v>
      </c>
    </row>
    <row r="4650" spans="119:119" x14ac:dyDescent="0.2">
      <c r="DO4650" s="303" t="s">
        <v>232</v>
      </c>
    </row>
    <row r="4651" spans="119:119" x14ac:dyDescent="0.2">
      <c r="DO4651" s="303" t="s">
        <v>232</v>
      </c>
    </row>
    <row r="4652" spans="119:119" x14ac:dyDescent="0.2">
      <c r="DO4652" s="303" t="s">
        <v>232</v>
      </c>
    </row>
    <row r="4653" spans="119:119" x14ac:dyDescent="0.2">
      <c r="DO4653" s="303" t="s">
        <v>232</v>
      </c>
    </row>
    <row r="4654" spans="119:119" x14ac:dyDescent="0.2">
      <c r="DO4654" s="303" t="s">
        <v>232</v>
      </c>
    </row>
    <row r="4655" spans="119:119" x14ac:dyDescent="0.2">
      <c r="DO4655" s="303" t="s">
        <v>232</v>
      </c>
    </row>
    <row r="4656" spans="119:119" x14ac:dyDescent="0.2">
      <c r="DO4656" s="303" t="s">
        <v>232</v>
      </c>
    </row>
    <row r="4657" spans="119:119" x14ac:dyDescent="0.2">
      <c r="DO4657" s="303" t="s">
        <v>232</v>
      </c>
    </row>
    <row r="4658" spans="119:119" x14ac:dyDescent="0.2">
      <c r="DO4658" s="303" t="s">
        <v>232</v>
      </c>
    </row>
    <row r="4659" spans="119:119" x14ac:dyDescent="0.2">
      <c r="DO4659" s="303" t="s">
        <v>232</v>
      </c>
    </row>
    <row r="4660" spans="119:119" x14ac:dyDescent="0.2">
      <c r="DO4660" s="303" t="s">
        <v>232</v>
      </c>
    </row>
    <row r="4661" spans="119:119" x14ac:dyDescent="0.2">
      <c r="DO4661" s="303" t="s">
        <v>232</v>
      </c>
    </row>
    <row r="4662" spans="119:119" x14ac:dyDescent="0.2">
      <c r="DO4662" s="303" t="s">
        <v>232</v>
      </c>
    </row>
    <row r="4663" spans="119:119" x14ac:dyDescent="0.2">
      <c r="DO4663" s="303" t="s">
        <v>232</v>
      </c>
    </row>
    <row r="4664" spans="119:119" x14ac:dyDescent="0.2">
      <c r="DO4664" s="303" t="s">
        <v>232</v>
      </c>
    </row>
    <row r="4665" spans="119:119" x14ac:dyDescent="0.2">
      <c r="DO4665" s="303" t="s">
        <v>232</v>
      </c>
    </row>
    <row r="4666" spans="119:119" x14ac:dyDescent="0.2">
      <c r="DO4666" s="303" t="s">
        <v>232</v>
      </c>
    </row>
    <row r="4667" spans="119:119" x14ac:dyDescent="0.2">
      <c r="DO4667" s="303" t="s">
        <v>232</v>
      </c>
    </row>
    <row r="4668" spans="119:119" x14ac:dyDescent="0.2">
      <c r="DO4668" s="303" t="s">
        <v>232</v>
      </c>
    </row>
    <row r="4669" spans="119:119" x14ac:dyDescent="0.2">
      <c r="DO4669" s="303" t="s">
        <v>232</v>
      </c>
    </row>
    <row r="4670" spans="119:119" x14ac:dyDescent="0.2">
      <c r="DO4670" s="303" t="s">
        <v>232</v>
      </c>
    </row>
    <row r="4671" spans="119:119" x14ac:dyDescent="0.2">
      <c r="DO4671" s="303" t="s">
        <v>232</v>
      </c>
    </row>
    <row r="4672" spans="119:119" x14ac:dyDescent="0.2">
      <c r="DO4672" s="303" t="s">
        <v>232</v>
      </c>
    </row>
    <row r="4673" spans="119:119" x14ac:dyDescent="0.2">
      <c r="DO4673" s="303" t="s">
        <v>232</v>
      </c>
    </row>
    <row r="4674" spans="119:119" x14ac:dyDescent="0.2">
      <c r="DO4674" s="303" t="s">
        <v>232</v>
      </c>
    </row>
    <row r="4675" spans="119:119" x14ac:dyDescent="0.2">
      <c r="DO4675" s="303" t="s">
        <v>232</v>
      </c>
    </row>
    <row r="4676" spans="119:119" x14ac:dyDescent="0.2">
      <c r="DO4676" s="303" t="s">
        <v>232</v>
      </c>
    </row>
    <row r="4677" spans="119:119" x14ac:dyDescent="0.2">
      <c r="DO4677" s="303" t="s">
        <v>232</v>
      </c>
    </row>
    <row r="4678" spans="119:119" x14ac:dyDescent="0.2">
      <c r="DO4678" s="303" t="s">
        <v>232</v>
      </c>
    </row>
    <row r="4679" spans="119:119" x14ac:dyDescent="0.2">
      <c r="DO4679" s="303" t="s">
        <v>232</v>
      </c>
    </row>
    <row r="4680" spans="119:119" x14ac:dyDescent="0.2">
      <c r="DO4680" s="303" t="s">
        <v>232</v>
      </c>
    </row>
    <row r="4681" spans="119:119" x14ac:dyDescent="0.2">
      <c r="DO4681" s="303" t="s">
        <v>232</v>
      </c>
    </row>
    <row r="4682" spans="119:119" x14ac:dyDescent="0.2">
      <c r="DO4682" s="303" t="s">
        <v>232</v>
      </c>
    </row>
    <row r="4683" spans="119:119" x14ac:dyDescent="0.2">
      <c r="DO4683" s="303" t="s">
        <v>232</v>
      </c>
    </row>
    <row r="4684" spans="119:119" x14ac:dyDescent="0.2">
      <c r="DO4684" s="303" t="s">
        <v>232</v>
      </c>
    </row>
    <row r="4685" spans="119:119" x14ac:dyDescent="0.2">
      <c r="DO4685" s="303" t="s">
        <v>232</v>
      </c>
    </row>
    <row r="4686" spans="119:119" x14ac:dyDescent="0.2">
      <c r="DO4686" s="303" t="s">
        <v>232</v>
      </c>
    </row>
    <row r="4687" spans="119:119" x14ac:dyDescent="0.2">
      <c r="DO4687" s="303" t="s">
        <v>232</v>
      </c>
    </row>
    <row r="4688" spans="119:119" x14ac:dyDescent="0.2">
      <c r="DO4688" s="303" t="s">
        <v>232</v>
      </c>
    </row>
    <row r="4689" spans="119:119" x14ac:dyDescent="0.2">
      <c r="DO4689" s="303" t="s">
        <v>232</v>
      </c>
    </row>
    <row r="4690" spans="119:119" x14ac:dyDescent="0.2">
      <c r="DO4690" s="303" t="s">
        <v>232</v>
      </c>
    </row>
    <row r="4691" spans="119:119" x14ac:dyDescent="0.2">
      <c r="DO4691" s="303" t="s">
        <v>232</v>
      </c>
    </row>
    <row r="4692" spans="119:119" x14ac:dyDescent="0.2">
      <c r="DO4692" s="303" t="s">
        <v>232</v>
      </c>
    </row>
    <row r="4693" spans="119:119" x14ac:dyDescent="0.2">
      <c r="DO4693" s="303" t="s">
        <v>232</v>
      </c>
    </row>
    <row r="4694" spans="119:119" x14ac:dyDescent="0.2">
      <c r="DO4694" s="303" t="s">
        <v>232</v>
      </c>
    </row>
    <row r="4695" spans="119:119" x14ac:dyDescent="0.2">
      <c r="DO4695" s="303" t="s">
        <v>232</v>
      </c>
    </row>
    <row r="4696" spans="119:119" x14ac:dyDescent="0.2">
      <c r="DO4696" s="303" t="s">
        <v>232</v>
      </c>
    </row>
    <row r="4697" spans="119:119" x14ac:dyDescent="0.2">
      <c r="DO4697" s="303" t="s">
        <v>232</v>
      </c>
    </row>
    <row r="4698" spans="119:119" x14ac:dyDescent="0.2">
      <c r="DO4698" s="303" t="s">
        <v>232</v>
      </c>
    </row>
    <row r="4699" spans="119:119" x14ac:dyDescent="0.2">
      <c r="DO4699" s="303" t="s">
        <v>232</v>
      </c>
    </row>
    <row r="4700" spans="119:119" x14ac:dyDescent="0.2">
      <c r="DO4700" s="303" t="s">
        <v>232</v>
      </c>
    </row>
    <row r="4701" spans="119:119" x14ac:dyDescent="0.2">
      <c r="DO4701" s="303" t="s">
        <v>232</v>
      </c>
    </row>
    <row r="4702" spans="119:119" x14ac:dyDescent="0.2">
      <c r="DO4702" s="303" t="s">
        <v>232</v>
      </c>
    </row>
    <row r="4703" spans="119:119" x14ac:dyDescent="0.2">
      <c r="DO4703" s="303" t="s">
        <v>232</v>
      </c>
    </row>
    <row r="4704" spans="119:119" x14ac:dyDescent="0.2">
      <c r="DO4704" s="303" t="s">
        <v>232</v>
      </c>
    </row>
    <row r="4705" spans="119:119" x14ac:dyDescent="0.2">
      <c r="DO4705" s="303" t="s">
        <v>232</v>
      </c>
    </row>
    <row r="4706" spans="119:119" x14ac:dyDescent="0.2">
      <c r="DO4706" s="303" t="s">
        <v>232</v>
      </c>
    </row>
    <row r="4707" spans="119:119" x14ac:dyDescent="0.2">
      <c r="DO4707" s="303" t="s">
        <v>232</v>
      </c>
    </row>
    <row r="4708" spans="119:119" x14ac:dyDescent="0.2">
      <c r="DO4708" s="303" t="s">
        <v>232</v>
      </c>
    </row>
    <row r="4709" spans="119:119" x14ac:dyDescent="0.2">
      <c r="DO4709" s="303" t="s">
        <v>232</v>
      </c>
    </row>
    <row r="4710" spans="119:119" x14ac:dyDescent="0.2">
      <c r="DO4710" s="303" t="s">
        <v>232</v>
      </c>
    </row>
    <row r="4711" spans="119:119" x14ac:dyDescent="0.2">
      <c r="DO4711" s="303" t="s">
        <v>232</v>
      </c>
    </row>
    <row r="4712" spans="119:119" x14ac:dyDescent="0.2">
      <c r="DO4712" s="303" t="s">
        <v>232</v>
      </c>
    </row>
    <row r="4713" spans="119:119" x14ac:dyDescent="0.2">
      <c r="DO4713" s="303" t="s">
        <v>232</v>
      </c>
    </row>
    <row r="4714" spans="119:119" x14ac:dyDescent="0.2">
      <c r="DO4714" s="303" t="s">
        <v>232</v>
      </c>
    </row>
    <row r="4715" spans="119:119" x14ac:dyDescent="0.2">
      <c r="DO4715" s="303" t="s">
        <v>232</v>
      </c>
    </row>
    <row r="4716" spans="119:119" x14ac:dyDescent="0.2">
      <c r="DO4716" s="303" t="s">
        <v>232</v>
      </c>
    </row>
    <row r="4717" spans="119:119" x14ac:dyDescent="0.2">
      <c r="DO4717" s="303" t="s">
        <v>232</v>
      </c>
    </row>
    <row r="4718" spans="119:119" x14ac:dyDescent="0.2">
      <c r="DO4718" s="303" t="s">
        <v>232</v>
      </c>
    </row>
    <row r="4719" spans="119:119" x14ac:dyDescent="0.2">
      <c r="DO4719" s="303" t="s">
        <v>232</v>
      </c>
    </row>
    <row r="4720" spans="119:119" x14ac:dyDescent="0.2">
      <c r="DO4720" s="303" t="s">
        <v>232</v>
      </c>
    </row>
    <row r="4721" spans="119:119" x14ac:dyDescent="0.2">
      <c r="DO4721" s="303" t="s">
        <v>232</v>
      </c>
    </row>
    <row r="4722" spans="119:119" x14ac:dyDescent="0.2">
      <c r="DO4722" s="303" t="s">
        <v>232</v>
      </c>
    </row>
    <row r="4723" spans="119:119" x14ac:dyDescent="0.2">
      <c r="DO4723" s="303" t="s">
        <v>232</v>
      </c>
    </row>
    <row r="4724" spans="119:119" x14ac:dyDescent="0.2">
      <c r="DO4724" s="303" t="s">
        <v>232</v>
      </c>
    </row>
    <row r="4725" spans="119:119" x14ac:dyDescent="0.2">
      <c r="DO4725" s="303" t="s">
        <v>232</v>
      </c>
    </row>
    <row r="4726" spans="119:119" x14ac:dyDescent="0.2">
      <c r="DO4726" s="303" t="s">
        <v>232</v>
      </c>
    </row>
    <row r="4727" spans="119:119" x14ac:dyDescent="0.2">
      <c r="DO4727" s="303" t="s">
        <v>232</v>
      </c>
    </row>
    <row r="4728" spans="119:119" x14ac:dyDescent="0.2">
      <c r="DO4728" s="303" t="s">
        <v>232</v>
      </c>
    </row>
    <row r="4729" spans="119:119" x14ac:dyDescent="0.2">
      <c r="DO4729" s="303" t="s">
        <v>232</v>
      </c>
    </row>
    <row r="4730" spans="119:119" x14ac:dyDescent="0.2">
      <c r="DO4730" s="303" t="s">
        <v>232</v>
      </c>
    </row>
    <row r="4731" spans="119:119" x14ac:dyDescent="0.2">
      <c r="DO4731" s="303" t="s">
        <v>232</v>
      </c>
    </row>
    <row r="4732" spans="119:119" x14ac:dyDescent="0.2">
      <c r="DO4732" s="303" t="s">
        <v>232</v>
      </c>
    </row>
    <row r="4733" spans="119:119" x14ac:dyDescent="0.2">
      <c r="DO4733" s="303" t="s">
        <v>232</v>
      </c>
    </row>
    <row r="4734" spans="119:119" x14ac:dyDescent="0.2">
      <c r="DO4734" s="303" t="s">
        <v>232</v>
      </c>
    </row>
    <row r="4735" spans="119:119" x14ac:dyDescent="0.2">
      <c r="DO4735" s="303" t="s">
        <v>232</v>
      </c>
    </row>
    <row r="4736" spans="119:119" x14ac:dyDescent="0.2">
      <c r="DO4736" s="303" t="s">
        <v>232</v>
      </c>
    </row>
    <row r="4737" spans="119:119" x14ac:dyDescent="0.2">
      <c r="DO4737" s="303" t="s">
        <v>232</v>
      </c>
    </row>
    <row r="4738" spans="119:119" x14ac:dyDescent="0.2">
      <c r="DO4738" s="303" t="s">
        <v>232</v>
      </c>
    </row>
    <row r="4739" spans="119:119" x14ac:dyDescent="0.2">
      <c r="DO4739" s="303" t="s">
        <v>232</v>
      </c>
    </row>
    <row r="4740" spans="119:119" x14ac:dyDescent="0.2">
      <c r="DO4740" s="303" t="s">
        <v>232</v>
      </c>
    </row>
    <row r="4741" spans="119:119" x14ac:dyDescent="0.2">
      <c r="DO4741" s="303" t="s">
        <v>232</v>
      </c>
    </row>
    <row r="4742" spans="119:119" x14ac:dyDescent="0.2">
      <c r="DO4742" s="303" t="s">
        <v>232</v>
      </c>
    </row>
    <row r="4743" spans="119:119" x14ac:dyDescent="0.2">
      <c r="DO4743" s="303" t="s">
        <v>232</v>
      </c>
    </row>
    <row r="4744" spans="119:119" x14ac:dyDescent="0.2">
      <c r="DO4744" s="303" t="s">
        <v>232</v>
      </c>
    </row>
    <row r="4745" spans="119:119" x14ac:dyDescent="0.2">
      <c r="DO4745" s="303" t="s">
        <v>232</v>
      </c>
    </row>
    <row r="4746" spans="119:119" x14ac:dyDescent="0.2">
      <c r="DO4746" s="303" t="s">
        <v>232</v>
      </c>
    </row>
    <row r="4747" spans="119:119" x14ac:dyDescent="0.2">
      <c r="DO4747" s="303" t="s">
        <v>232</v>
      </c>
    </row>
    <row r="4748" spans="119:119" x14ac:dyDescent="0.2">
      <c r="DO4748" s="303" t="s">
        <v>232</v>
      </c>
    </row>
    <row r="4749" spans="119:119" x14ac:dyDescent="0.2">
      <c r="DO4749" s="303" t="s">
        <v>232</v>
      </c>
    </row>
    <row r="4750" spans="119:119" x14ac:dyDescent="0.2">
      <c r="DO4750" s="303" t="s">
        <v>232</v>
      </c>
    </row>
    <row r="4751" spans="119:119" x14ac:dyDescent="0.2">
      <c r="DO4751" s="303" t="s">
        <v>232</v>
      </c>
    </row>
    <row r="4752" spans="119:119" x14ac:dyDescent="0.2">
      <c r="DO4752" s="303" t="s">
        <v>232</v>
      </c>
    </row>
    <row r="4753" spans="119:119" x14ac:dyDescent="0.2">
      <c r="DO4753" s="303" t="s">
        <v>232</v>
      </c>
    </row>
    <row r="4754" spans="119:119" x14ac:dyDescent="0.2">
      <c r="DO4754" s="303" t="s">
        <v>232</v>
      </c>
    </row>
    <row r="4755" spans="119:119" x14ac:dyDescent="0.2">
      <c r="DO4755" s="303" t="s">
        <v>232</v>
      </c>
    </row>
    <row r="4756" spans="119:119" x14ac:dyDescent="0.2">
      <c r="DO4756" s="303" t="s">
        <v>232</v>
      </c>
    </row>
    <row r="4757" spans="119:119" x14ac:dyDescent="0.2">
      <c r="DO4757" s="303" t="s">
        <v>232</v>
      </c>
    </row>
    <row r="4758" spans="119:119" x14ac:dyDescent="0.2">
      <c r="DO4758" s="303" t="s">
        <v>232</v>
      </c>
    </row>
    <row r="4759" spans="119:119" x14ac:dyDescent="0.2">
      <c r="DO4759" s="303" t="s">
        <v>232</v>
      </c>
    </row>
    <row r="4760" spans="119:119" x14ac:dyDescent="0.2">
      <c r="DO4760" s="303" t="s">
        <v>232</v>
      </c>
    </row>
    <row r="4761" spans="119:119" x14ac:dyDescent="0.2">
      <c r="DO4761" s="303" t="s">
        <v>232</v>
      </c>
    </row>
    <row r="4762" spans="119:119" x14ac:dyDescent="0.2">
      <c r="DO4762" s="303" t="s">
        <v>232</v>
      </c>
    </row>
    <row r="4763" spans="119:119" x14ac:dyDescent="0.2">
      <c r="DO4763" s="303" t="s">
        <v>232</v>
      </c>
    </row>
    <row r="4764" spans="119:119" x14ac:dyDescent="0.2">
      <c r="DO4764" s="303" t="s">
        <v>232</v>
      </c>
    </row>
    <row r="4765" spans="119:119" x14ac:dyDescent="0.2">
      <c r="DO4765" s="303" t="s">
        <v>232</v>
      </c>
    </row>
    <row r="4766" spans="119:119" x14ac:dyDescent="0.2">
      <c r="DO4766" s="303" t="s">
        <v>232</v>
      </c>
    </row>
    <row r="4767" spans="119:119" x14ac:dyDescent="0.2">
      <c r="DO4767" s="303" t="s">
        <v>232</v>
      </c>
    </row>
    <row r="4768" spans="119:119" x14ac:dyDescent="0.2">
      <c r="DO4768" s="303" t="s">
        <v>232</v>
      </c>
    </row>
    <row r="4769" spans="119:119" x14ac:dyDescent="0.2">
      <c r="DO4769" s="303" t="s">
        <v>232</v>
      </c>
    </row>
    <row r="4770" spans="119:119" x14ac:dyDescent="0.2">
      <c r="DO4770" s="303" t="s">
        <v>232</v>
      </c>
    </row>
    <row r="4771" spans="119:119" x14ac:dyDescent="0.2">
      <c r="DO4771" s="303" t="s">
        <v>232</v>
      </c>
    </row>
    <row r="4772" spans="119:119" x14ac:dyDescent="0.2">
      <c r="DO4772" s="303" t="s">
        <v>232</v>
      </c>
    </row>
    <row r="4773" spans="119:119" x14ac:dyDescent="0.2">
      <c r="DO4773" s="303" t="s">
        <v>232</v>
      </c>
    </row>
    <row r="4774" spans="119:119" x14ac:dyDescent="0.2">
      <c r="DO4774" s="303" t="s">
        <v>232</v>
      </c>
    </row>
    <row r="4775" spans="119:119" x14ac:dyDescent="0.2">
      <c r="DO4775" s="303" t="s">
        <v>232</v>
      </c>
    </row>
    <row r="4776" spans="119:119" x14ac:dyDescent="0.2">
      <c r="DO4776" s="303" t="s">
        <v>232</v>
      </c>
    </row>
    <row r="4777" spans="119:119" x14ac:dyDescent="0.2">
      <c r="DO4777" s="303" t="s">
        <v>232</v>
      </c>
    </row>
    <row r="4778" spans="119:119" x14ac:dyDescent="0.2">
      <c r="DO4778" s="303" t="s">
        <v>232</v>
      </c>
    </row>
    <row r="4779" spans="119:119" x14ac:dyDescent="0.2">
      <c r="DO4779" s="303" t="s">
        <v>232</v>
      </c>
    </row>
    <row r="4780" spans="119:119" x14ac:dyDescent="0.2">
      <c r="DO4780" s="303" t="s">
        <v>232</v>
      </c>
    </row>
    <row r="4781" spans="119:119" x14ac:dyDescent="0.2">
      <c r="DO4781" s="303" t="s">
        <v>232</v>
      </c>
    </row>
    <row r="4782" spans="119:119" x14ac:dyDescent="0.2">
      <c r="DO4782" s="303" t="s">
        <v>232</v>
      </c>
    </row>
    <row r="4783" spans="119:119" x14ac:dyDescent="0.2">
      <c r="DO4783" s="303" t="s">
        <v>232</v>
      </c>
    </row>
    <row r="4784" spans="119:119" x14ac:dyDescent="0.2">
      <c r="DO4784" s="303" t="s">
        <v>232</v>
      </c>
    </row>
    <row r="4785" spans="119:119" x14ac:dyDescent="0.2">
      <c r="DO4785" s="303" t="s">
        <v>232</v>
      </c>
    </row>
    <row r="4786" spans="119:119" x14ac:dyDescent="0.2">
      <c r="DO4786" s="303" t="s">
        <v>232</v>
      </c>
    </row>
    <row r="4787" spans="119:119" x14ac:dyDescent="0.2">
      <c r="DO4787" s="303" t="s">
        <v>232</v>
      </c>
    </row>
    <row r="4788" spans="119:119" x14ac:dyDescent="0.2">
      <c r="DO4788" s="303" t="s">
        <v>232</v>
      </c>
    </row>
    <row r="4789" spans="119:119" x14ac:dyDescent="0.2">
      <c r="DO4789" s="303" t="s">
        <v>232</v>
      </c>
    </row>
    <row r="4790" spans="119:119" x14ac:dyDescent="0.2">
      <c r="DO4790" s="303" t="s">
        <v>232</v>
      </c>
    </row>
    <row r="4791" spans="119:119" x14ac:dyDescent="0.2">
      <c r="DO4791" s="303" t="s">
        <v>232</v>
      </c>
    </row>
    <row r="4792" spans="119:119" x14ac:dyDescent="0.2">
      <c r="DO4792" s="303" t="s">
        <v>232</v>
      </c>
    </row>
    <row r="4793" spans="119:119" x14ac:dyDescent="0.2">
      <c r="DO4793" s="303" t="s">
        <v>232</v>
      </c>
    </row>
    <row r="4794" spans="119:119" x14ac:dyDescent="0.2">
      <c r="DO4794" s="303" t="s">
        <v>232</v>
      </c>
    </row>
    <row r="4795" spans="119:119" x14ac:dyDescent="0.2">
      <c r="DO4795" s="303" t="s">
        <v>232</v>
      </c>
    </row>
    <row r="4796" spans="119:119" x14ac:dyDescent="0.2">
      <c r="DO4796" s="303" t="s">
        <v>232</v>
      </c>
    </row>
    <row r="4797" spans="119:119" x14ac:dyDescent="0.2">
      <c r="DO4797" s="303" t="s">
        <v>232</v>
      </c>
    </row>
    <row r="4798" spans="119:119" x14ac:dyDescent="0.2">
      <c r="DO4798" s="303" t="s">
        <v>232</v>
      </c>
    </row>
    <row r="4799" spans="119:119" x14ac:dyDescent="0.2">
      <c r="DO4799" s="303" t="s">
        <v>232</v>
      </c>
    </row>
    <row r="4800" spans="119:119" x14ac:dyDescent="0.2">
      <c r="DO4800" s="303" t="s">
        <v>232</v>
      </c>
    </row>
    <row r="4801" spans="119:119" x14ac:dyDescent="0.2">
      <c r="DO4801" s="303" t="s">
        <v>232</v>
      </c>
    </row>
    <row r="4802" spans="119:119" x14ac:dyDescent="0.2">
      <c r="DO4802" s="303" t="s">
        <v>232</v>
      </c>
    </row>
    <row r="4803" spans="119:119" x14ac:dyDescent="0.2">
      <c r="DO4803" s="303" t="s">
        <v>232</v>
      </c>
    </row>
    <row r="4804" spans="119:119" x14ac:dyDescent="0.2">
      <c r="DO4804" s="303" t="s">
        <v>232</v>
      </c>
    </row>
    <row r="4805" spans="119:119" x14ac:dyDescent="0.2">
      <c r="DO4805" s="303" t="s">
        <v>232</v>
      </c>
    </row>
    <row r="4806" spans="119:119" x14ac:dyDescent="0.2">
      <c r="DO4806" s="303" t="s">
        <v>232</v>
      </c>
    </row>
    <row r="4807" spans="119:119" x14ac:dyDescent="0.2">
      <c r="DO4807" s="303" t="s">
        <v>232</v>
      </c>
    </row>
    <row r="4808" spans="119:119" x14ac:dyDescent="0.2">
      <c r="DO4808" s="303" t="s">
        <v>232</v>
      </c>
    </row>
    <row r="4809" spans="119:119" x14ac:dyDescent="0.2">
      <c r="DO4809" s="303" t="s">
        <v>232</v>
      </c>
    </row>
    <row r="4810" spans="119:119" x14ac:dyDescent="0.2">
      <c r="DO4810" s="303" t="s">
        <v>232</v>
      </c>
    </row>
    <row r="4811" spans="119:119" x14ac:dyDescent="0.2">
      <c r="DO4811" s="303" t="s">
        <v>232</v>
      </c>
    </row>
    <row r="4812" spans="119:119" x14ac:dyDescent="0.2">
      <c r="DO4812" s="303" t="s">
        <v>232</v>
      </c>
    </row>
    <row r="4813" spans="119:119" x14ac:dyDescent="0.2">
      <c r="DO4813" s="303" t="s">
        <v>232</v>
      </c>
    </row>
    <row r="4814" spans="119:119" x14ac:dyDescent="0.2">
      <c r="DO4814" s="303" t="s">
        <v>232</v>
      </c>
    </row>
    <row r="4815" spans="119:119" x14ac:dyDescent="0.2">
      <c r="DO4815" s="303" t="s">
        <v>232</v>
      </c>
    </row>
    <row r="4816" spans="119:119" x14ac:dyDescent="0.2">
      <c r="DO4816" s="303" t="s">
        <v>232</v>
      </c>
    </row>
    <row r="4817" spans="119:119" x14ac:dyDescent="0.2">
      <c r="DO4817" s="303" t="s">
        <v>232</v>
      </c>
    </row>
    <row r="4818" spans="119:119" x14ac:dyDescent="0.2">
      <c r="DO4818" s="303" t="s">
        <v>232</v>
      </c>
    </row>
    <row r="4819" spans="119:119" x14ac:dyDescent="0.2">
      <c r="DO4819" s="303" t="s">
        <v>232</v>
      </c>
    </row>
    <row r="4820" spans="119:119" x14ac:dyDescent="0.2">
      <c r="DO4820" s="303" t="s">
        <v>232</v>
      </c>
    </row>
    <row r="4821" spans="119:119" x14ac:dyDescent="0.2">
      <c r="DO4821" s="303" t="s">
        <v>232</v>
      </c>
    </row>
    <row r="4822" spans="119:119" x14ac:dyDescent="0.2">
      <c r="DO4822" s="303" t="s">
        <v>232</v>
      </c>
    </row>
    <row r="4823" spans="119:119" x14ac:dyDescent="0.2">
      <c r="DO4823" s="303" t="s">
        <v>232</v>
      </c>
    </row>
    <row r="4824" spans="119:119" x14ac:dyDescent="0.2">
      <c r="DO4824" s="303" t="s">
        <v>232</v>
      </c>
    </row>
    <row r="4825" spans="119:119" x14ac:dyDescent="0.2">
      <c r="DO4825" s="303" t="s">
        <v>232</v>
      </c>
    </row>
    <row r="4826" spans="119:119" x14ac:dyDescent="0.2">
      <c r="DO4826" s="303" t="s">
        <v>232</v>
      </c>
    </row>
    <row r="4827" spans="119:119" x14ac:dyDescent="0.2">
      <c r="DO4827" s="303" t="s">
        <v>232</v>
      </c>
    </row>
    <row r="4828" spans="119:119" x14ac:dyDescent="0.2">
      <c r="DO4828" s="303" t="s">
        <v>232</v>
      </c>
    </row>
    <row r="4829" spans="119:119" x14ac:dyDescent="0.2">
      <c r="DO4829" s="303" t="s">
        <v>232</v>
      </c>
    </row>
    <row r="4830" spans="119:119" x14ac:dyDescent="0.2">
      <c r="DO4830" s="303" t="s">
        <v>232</v>
      </c>
    </row>
    <row r="4831" spans="119:119" x14ac:dyDescent="0.2">
      <c r="DO4831" s="303" t="s">
        <v>232</v>
      </c>
    </row>
    <row r="4832" spans="119:119" x14ac:dyDescent="0.2">
      <c r="DO4832" s="303" t="s">
        <v>232</v>
      </c>
    </row>
    <row r="4833" spans="119:119" x14ac:dyDescent="0.2">
      <c r="DO4833" s="303" t="s">
        <v>232</v>
      </c>
    </row>
    <row r="4834" spans="119:119" x14ac:dyDescent="0.2">
      <c r="DO4834" s="303" t="s">
        <v>232</v>
      </c>
    </row>
    <row r="4835" spans="119:119" x14ac:dyDescent="0.2">
      <c r="DO4835" s="303" t="s">
        <v>232</v>
      </c>
    </row>
    <row r="4836" spans="119:119" x14ac:dyDescent="0.2">
      <c r="DO4836" s="303" t="s">
        <v>232</v>
      </c>
    </row>
    <row r="4837" spans="119:119" x14ac:dyDescent="0.2">
      <c r="DO4837" s="303" t="s">
        <v>232</v>
      </c>
    </row>
    <row r="4838" spans="119:119" x14ac:dyDescent="0.2">
      <c r="DO4838" s="303" t="s">
        <v>232</v>
      </c>
    </row>
    <row r="4839" spans="119:119" x14ac:dyDescent="0.2">
      <c r="DO4839" s="303" t="s">
        <v>232</v>
      </c>
    </row>
    <row r="4840" spans="119:119" x14ac:dyDescent="0.2">
      <c r="DO4840" s="303" t="s">
        <v>232</v>
      </c>
    </row>
    <row r="4841" spans="119:119" x14ac:dyDescent="0.2">
      <c r="DO4841" s="303" t="s">
        <v>232</v>
      </c>
    </row>
    <row r="4842" spans="119:119" x14ac:dyDescent="0.2">
      <c r="DO4842" s="303" t="s">
        <v>232</v>
      </c>
    </row>
    <row r="4843" spans="119:119" x14ac:dyDescent="0.2">
      <c r="DO4843" s="303" t="s">
        <v>232</v>
      </c>
    </row>
    <row r="4844" spans="119:119" x14ac:dyDescent="0.2">
      <c r="DO4844" s="303" t="s">
        <v>232</v>
      </c>
    </row>
    <row r="4845" spans="119:119" x14ac:dyDescent="0.2">
      <c r="DO4845" s="303" t="s">
        <v>232</v>
      </c>
    </row>
    <row r="4846" spans="119:119" x14ac:dyDescent="0.2">
      <c r="DO4846" s="303" t="s">
        <v>232</v>
      </c>
    </row>
    <row r="4847" spans="119:119" x14ac:dyDescent="0.2">
      <c r="DO4847" s="303" t="s">
        <v>232</v>
      </c>
    </row>
    <row r="4848" spans="119:119" x14ac:dyDescent="0.2">
      <c r="DO4848" s="303" t="s">
        <v>232</v>
      </c>
    </row>
    <row r="4849" spans="119:119" x14ac:dyDescent="0.2">
      <c r="DO4849" s="303" t="s">
        <v>232</v>
      </c>
    </row>
    <row r="4850" spans="119:119" x14ac:dyDescent="0.2">
      <c r="DO4850" s="303" t="s">
        <v>232</v>
      </c>
    </row>
    <row r="4851" spans="119:119" x14ac:dyDescent="0.2">
      <c r="DO4851" s="303" t="s">
        <v>232</v>
      </c>
    </row>
    <row r="4852" spans="119:119" x14ac:dyDescent="0.2">
      <c r="DO4852" s="303" t="s">
        <v>232</v>
      </c>
    </row>
    <row r="4853" spans="119:119" x14ac:dyDescent="0.2">
      <c r="DO4853" s="303" t="s">
        <v>232</v>
      </c>
    </row>
    <row r="4854" spans="119:119" x14ac:dyDescent="0.2">
      <c r="DO4854" s="303" t="s">
        <v>232</v>
      </c>
    </row>
    <row r="4855" spans="119:119" x14ac:dyDescent="0.2">
      <c r="DO4855" s="303" t="s">
        <v>232</v>
      </c>
    </row>
    <row r="4856" spans="119:119" x14ac:dyDescent="0.2">
      <c r="DO4856" s="303" t="s">
        <v>232</v>
      </c>
    </row>
    <row r="4857" spans="119:119" x14ac:dyDescent="0.2">
      <c r="DO4857" s="303" t="s">
        <v>232</v>
      </c>
    </row>
    <row r="4858" spans="119:119" x14ac:dyDescent="0.2">
      <c r="DO4858" s="303" t="s">
        <v>232</v>
      </c>
    </row>
    <row r="4859" spans="119:119" x14ac:dyDescent="0.2">
      <c r="DO4859" s="303" t="s">
        <v>232</v>
      </c>
    </row>
    <row r="4860" spans="119:119" x14ac:dyDescent="0.2">
      <c r="DO4860" s="303" t="s">
        <v>232</v>
      </c>
    </row>
    <row r="4861" spans="119:119" x14ac:dyDescent="0.2">
      <c r="DO4861" s="303" t="s">
        <v>232</v>
      </c>
    </row>
    <row r="4862" spans="119:119" x14ac:dyDescent="0.2">
      <c r="DO4862" s="303" t="s">
        <v>232</v>
      </c>
    </row>
    <row r="4863" spans="119:119" x14ac:dyDescent="0.2">
      <c r="DO4863" s="303" t="s">
        <v>232</v>
      </c>
    </row>
    <row r="4864" spans="119:119" x14ac:dyDescent="0.2">
      <c r="DO4864" s="303" t="s">
        <v>232</v>
      </c>
    </row>
    <row r="4865" spans="119:119" x14ac:dyDescent="0.2">
      <c r="DO4865" s="303" t="s">
        <v>232</v>
      </c>
    </row>
    <row r="4866" spans="119:119" x14ac:dyDescent="0.2">
      <c r="DO4866" s="303" t="s">
        <v>232</v>
      </c>
    </row>
    <row r="4867" spans="119:119" x14ac:dyDescent="0.2">
      <c r="DO4867" s="303" t="s">
        <v>232</v>
      </c>
    </row>
    <row r="4868" spans="119:119" x14ac:dyDescent="0.2">
      <c r="DO4868" s="303" t="s">
        <v>232</v>
      </c>
    </row>
    <row r="4869" spans="119:119" x14ac:dyDescent="0.2">
      <c r="DO4869" s="303" t="s">
        <v>232</v>
      </c>
    </row>
    <row r="4870" spans="119:119" x14ac:dyDescent="0.2">
      <c r="DO4870" s="303" t="s">
        <v>232</v>
      </c>
    </row>
    <row r="4871" spans="119:119" x14ac:dyDescent="0.2">
      <c r="DO4871" s="303" t="s">
        <v>232</v>
      </c>
    </row>
    <row r="4872" spans="119:119" x14ac:dyDescent="0.2">
      <c r="DO4872" s="303" t="s">
        <v>232</v>
      </c>
    </row>
    <row r="4873" spans="119:119" x14ac:dyDescent="0.2">
      <c r="DO4873" s="303" t="s">
        <v>232</v>
      </c>
    </row>
    <row r="4874" spans="119:119" x14ac:dyDescent="0.2">
      <c r="DO4874" s="303" t="s">
        <v>232</v>
      </c>
    </row>
    <row r="4875" spans="119:119" x14ac:dyDescent="0.2">
      <c r="DO4875" s="303" t="s">
        <v>232</v>
      </c>
    </row>
    <row r="4876" spans="119:119" x14ac:dyDescent="0.2">
      <c r="DO4876" s="303" t="s">
        <v>232</v>
      </c>
    </row>
    <row r="4877" spans="119:119" x14ac:dyDescent="0.2">
      <c r="DO4877" s="303" t="s">
        <v>232</v>
      </c>
    </row>
    <row r="4878" spans="119:119" x14ac:dyDescent="0.2">
      <c r="DO4878" s="303" t="s">
        <v>232</v>
      </c>
    </row>
    <row r="4879" spans="119:119" x14ac:dyDescent="0.2">
      <c r="DO4879" s="303" t="s">
        <v>232</v>
      </c>
    </row>
    <row r="4880" spans="119:119" x14ac:dyDescent="0.2">
      <c r="DO4880" s="303" t="s">
        <v>232</v>
      </c>
    </row>
    <row r="4881" spans="119:119" x14ac:dyDescent="0.2">
      <c r="DO4881" s="303" t="s">
        <v>232</v>
      </c>
    </row>
    <row r="4882" spans="119:119" x14ac:dyDescent="0.2">
      <c r="DO4882" s="303" t="s">
        <v>232</v>
      </c>
    </row>
    <row r="4883" spans="119:119" x14ac:dyDescent="0.2">
      <c r="DO4883" s="303" t="s">
        <v>232</v>
      </c>
    </row>
    <row r="4884" spans="119:119" x14ac:dyDescent="0.2">
      <c r="DO4884" s="303" t="s">
        <v>232</v>
      </c>
    </row>
    <row r="4885" spans="119:119" x14ac:dyDescent="0.2">
      <c r="DO4885" s="303" t="s">
        <v>232</v>
      </c>
    </row>
    <row r="4886" spans="119:119" x14ac:dyDescent="0.2">
      <c r="DO4886" s="303" t="s">
        <v>232</v>
      </c>
    </row>
    <row r="4887" spans="119:119" x14ac:dyDescent="0.2">
      <c r="DO4887" s="303" t="s">
        <v>232</v>
      </c>
    </row>
    <row r="4888" spans="119:119" x14ac:dyDescent="0.2">
      <c r="DO4888" s="303" t="s">
        <v>232</v>
      </c>
    </row>
    <row r="4889" spans="119:119" x14ac:dyDescent="0.2">
      <c r="DO4889" s="303" t="s">
        <v>232</v>
      </c>
    </row>
    <row r="4890" spans="119:119" x14ac:dyDescent="0.2">
      <c r="DO4890" s="303" t="s">
        <v>232</v>
      </c>
    </row>
    <row r="4891" spans="119:119" x14ac:dyDescent="0.2">
      <c r="DO4891" s="303" t="s">
        <v>232</v>
      </c>
    </row>
    <row r="4892" spans="119:119" x14ac:dyDescent="0.2">
      <c r="DO4892" s="303" t="s">
        <v>232</v>
      </c>
    </row>
    <row r="4893" spans="119:119" x14ac:dyDescent="0.2">
      <c r="DO4893" s="303" t="s">
        <v>232</v>
      </c>
    </row>
    <row r="4894" spans="119:119" x14ac:dyDescent="0.2">
      <c r="DO4894" s="303" t="s">
        <v>232</v>
      </c>
    </row>
    <row r="4895" spans="119:119" x14ac:dyDescent="0.2">
      <c r="DO4895" s="303" t="s">
        <v>232</v>
      </c>
    </row>
    <row r="4896" spans="119:119" x14ac:dyDescent="0.2">
      <c r="DO4896" s="303" t="s">
        <v>232</v>
      </c>
    </row>
    <row r="4897" spans="119:119" x14ac:dyDescent="0.2">
      <c r="DO4897" s="303" t="s">
        <v>232</v>
      </c>
    </row>
    <row r="4898" spans="119:119" x14ac:dyDescent="0.2">
      <c r="DO4898" s="303" t="s">
        <v>232</v>
      </c>
    </row>
    <row r="4899" spans="119:119" x14ac:dyDescent="0.2">
      <c r="DO4899" s="303" t="s">
        <v>232</v>
      </c>
    </row>
    <row r="4900" spans="119:119" x14ac:dyDescent="0.2">
      <c r="DO4900" s="303" t="s">
        <v>232</v>
      </c>
    </row>
    <row r="4901" spans="119:119" x14ac:dyDescent="0.2">
      <c r="DO4901" s="303" t="s">
        <v>232</v>
      </c>
    </row>
    <row r="4902" spans="119:119" x14ac:dyDescent="0.2">
      <c r="DO4902" s="303" t="s">
        <v>232</v>
      </c>
    </row>
    <row r="4903" spans="119:119" x14ac:dyDescent="0.2">
      <c r="DO4903" s="303" t="s">
        <v>232</v>
      </c>
    </row>
    <row r="4904" spans="119:119" x14ac:dyDescent="0.2">
      <c r="DO4904" s="303" t="s">
        <v>232</v>
      </c>
    </row>
    <row r="4905" spans="119:119" x14ac:dyDescent="0.2">
      <c r="DO4905" s="303" t="s">
        <v>232</v>
      </c>
    </row>
    <row r="4906" spans="119:119" x14ac:dyDescent="0.2">
      <c r="DO4906" s="303" t="s">
        <v>232</v>
      </c>
    </row>
    <row r="4907" spans="119:119" x14ac:dyDescent="0.2">
      <c r="DO4907" s="303" t="s">
        <v>232</v>
      </c>
    </row>
    <row r="4908" spans="119:119" x14ac:dyDescent="0.2">
      <c r="DO4908" s="303" t="s">
        <v>232</v>
      </c>
    </row>
    <row r="4909" spans="119:119" x14ac:dyDescent="0.2">
      <c r="DO4909" s="303" t="s">
        <v>232</v>
      </c>
    </row>
    <row r="4910" spans="119:119" x14ac:dyDescent="0.2">
      <c r="DO4910" s="303" t="s">
        <v>232</v>
      </c>
    </row>
    <row r="4911" spans="119:119" x14ac:dyDescent="0.2">
      <c r="DO4911" s="303" t="s">
        <v>232</v>
      </c>
    </row>
    <row r="4912" spans="119:119" x14ac:dyDescent="0.2">
      <c r="DO4912" s="303" t="s">
        <v>232</v>
      </c>
    </row>
    <row r="4913" spans="119:119" x14ac:dyDescent="0.2">
      <c r="DO4913" s="303" t="s">
        <v>232</v>
      </c>
    </row>
    <row r="4914" spans="119:119" x14ac:dyDescent="0.2">
      <c r="DO4914" s="303" t="s">
        <v>232</v>
      </c>
    </row>
    <row r="4915" spans="119:119" x14ac:dyDescent="0.2">
      <c r="DO4915" s="303" t="s">
        <v>232</v>
      </c>
    </row>
    <row r="4916" spans="119:119" x14ac:dyDescent="0.2">
      <c r="DO4916" s="303" t="s">
        <v>232</v>
      </c>
    </row>
    <row r="4917" spans="119:119" x14ac:dyDescent="0.2">
      <c r="DO4917" s="303" t="s">
        <v>232</v>
      </c>
    </row>
    <row r="4918" spans="119:119" x14ac:dyDescent="0.2">
      <c r="DO4918" s="303" t="s">
        <v>232</v>
      </c>
    </row>
    <row r="4919" spans="119:119" x14ac:dyDescent="0.2">
      <c r="DO4919" s="303" t="s">
        <v>232</v>
      </c>
    </row>
    <row r="4920" spans="119:119" x14ac:dyDescent="0.2">
      <c r="DO4920" s="303" t="s">
        <v>232</v>
      </c>
    </row>
    <row r="4921" spans="119:119" x14ac:dyDescent="0.2">
      <c r="DO4921" s="303" t="s">
        <v>232</v>
      </c>
    </row>
    <row r="4922" spans="119:119" x14ac:dyDescent="0.2">
      <c r="DO4922" s="303" t="s">
        <v>232</v>
      </c>
    </row>
    <row r="4923" spans="119:119" x14ac:dyDescent="0.2">
      <c r="DO4923" s="303" t="s">
        <v>232</v>
      </c>
    </row>
    <row r="4924" spans="119:119" x14ac:dyDescent="0.2">
      <c r="DO4924" s="303" t="s">
        <v>232</v>
      </c>
    </row>
    <row r="4925" spans="119:119" x14ac:dyDescent="0.2">
      <c r="DO4925" s="303" t="s">
        <v>232</v>
      </c>
    </row>
    <row r="4926" spans="119:119" x14ac:dyDescent="0.2">
      <c r="DO4926" s="303" t="s">
        <v>232</v>
      </c>
    </row>
    <row r="4927" spans="119:119" x14ac:dyDescent="0.2">
      <c r="DO4927" s="303" t="s">
        <v>232</v>
      </c>
    </row>
    <row r="4928" spans="119:119" x14ac:dyDescent="0.2">
      <c r="DO4928" s="303" t="s">
        <v>232</v>
      </c>
    </row>
    <row r="4929" spans="119:119" x14ac:dyDescent="0.2">
      <c r="DO4929" s="303" t="s">
        <v>232</v>
      </c>
    </row>
    <row r="4930" spans="119:119" x14ac:dyDescent="0.2">
      <c r="DO4930" s="303" t="s">
        <v>232</v>
      </c>
    </row>
    <row r="4931" spans="119:119" x14ac:dyDescent="0.2">
      <c r="DO4931" s="303" t="s">
        <v>232</v>
      </c>
    </row>
    <row r="4932" spans="119:119" x14ac:dyDescent="0.2">
      <c r="DO4932" s="303" t="s">
        <v>232</v>
      </c>
    </row>
    <row r="4933" spans="119:119" x14ac:dyDescent="0.2">
      <c r="DO4933" s="303" t="s">
        <v>232</v>
      </c>
    </row>
    <row r="4934" spans="119:119" x14ac:dyDescent="0.2">
      <c r="DO4934" s="303" t="s">
        <v>232</v>
      </c>
    </row>
    <row r="4935" spans="119:119" x14ac:dyDescent="0.2">
      <c r="DO4935" s="303" t="s">
        <v>232</v>
      </c>
    </row>
    <row r="4936" spans="119:119" x14ac:dyDescent="0.2">
      <c r="DO4936" s="303" t="s">
        <v>232</v>
      </c>
    </row>
    <row r="4937" spans="119:119" x14ac:dyDescent="0.2">
      <c r="DO4937" s="303" t="s">
        <v>232</v>
      </c>
    </row>
    <row r="4938" spans="119:119" x14ac:dyDescent="0.2">
      <c r="DO4938" s="303" t="s">
        <v>232</v>
      </c>
    </row>
    <row r="4939" spans="119:119" x14ac:dyDescent="0.2">
      <c r="DO4939" s="303" t="s">
        <v>232</v>
      </c>
    </row>
    <row r="4940" spans="119:119" x14ac:dyDescent="0.2">
      <c r="DO4940" s="303" t="s">
        <v>232</v>
      </c>
    </row>
    <row r="4941" spans="119:119" x14ac:dyDescent="0.2">
      <c r="DO4941" s="303" t="s">
        <v>232</v>
      </c>
    </row>
    <row r="4942" spans="119:119" x14ac:dyDescent="0.2">
      <c r="DO4942" s="303" t="s">
        <v>232</v>
      </c>
    </row>
    <row r="4943" spans="119:119" x14ac:dyDescent="0.2">
      <c r="DO4943" s="303" t="s">
        <v>232</v>
      </c>
    </row>
    <row r="4944" spans="119:119" x14ac:dyDescent="0.2">
      <c r="DO4944" s="303" t="s">
        <v>232</v>
      </c>
    </row>
    <row r="4945" spans="119:119" x14ac:dyDescent="0.2">
      <c r="DO4945" s="303" t="s">
        <v>232</v>
      </c>
    </row>
    <row r="4946" spans="119:119" x14ac:dyDescent="0.2">
      <c r="DO4946" s="303" t="s">
        <v>232</v>
      </c>
    </row>
    <row r="4947" spans="119:119" x14ac:dyDescent="0.2">
      <c r="DO4947" s="303" t="s">
        <v>232</v>
      </c>
    </row>
    <row r="4948" spans="119:119" x14ac:dyDescent="0.2">
      <c r="DO4948" s="303" t="s">
        <v>232</v>
      </c>
    </row>
    <row r="4949" spans="119:119" x14ac:dyDescent="0.2">
      <c r="DO4949" s="303" t="s">
        <v>232</v>
      </c>
    </row>
    <row r="4950" spans="119:119" x14ac:dyDescent="0.2">
      <c r="DO4950" s="303" t="s">
        <v>232</v>
      </c>
    </row>
    <row r="4951" spans="119:119" x14ac:dyDescent="0.2">
      <c r="DO4951" s="303" t="s">
        <v>232</v>
      </c>
    </row>
    <row r="4952" spans="119:119" x14ac:dyDescent="0.2">
      <c r="DO4952" s="303" t="s">
        <v>232</v>
      </c>
    </row>
    <row r="4953" spans="119:119" x14ac:dyDescent="0.2">
      <c r="DO4953" s="303" t="s">
        <v>232</v>
      </c>
    </row>
    <row r="4954" spans="119:119" x14ac:dyDescent="0.2">
      <c r="DO4954" s="303" t="s">
        <v>232</v>
      </c>
    </row>
    <row r="4955" spans="119:119" x14ac:dyDescent="0.2">
      <c r="DO4955" s="303" t="s">
        <v>232</v>
      </c>
    </row>
    <row r="4956" spans="119:119" x14ac:dyDescent="0.2">
      <c r="DO4956" s="303" t="s">
        <v>232</v>
      </c>
    </row>
    <row r="4957" spans="119:119" x14ac:dyDescent="0.2">
      <c r="DO4957" s="303" t="s">
        <v>232</v>
      </c>
    </row>
    <row r="4958" spans="119:119" x14ac:dyDescent="0.2">
      <c r="DO4958" s="303" t="s">
        <v>232</v>
      </c>
    </row>
    <row r="4959" spans="119:119" x14ac:dyDescent="0.2">
      <c r="DO4959" s="303" t="s">
        <v>232</v>
      </c>
    </row>
    <row r="4960" spans="119:119" x14ac:dyDescent="0.2">
      <c r="DO4960" s="303" t="s">
        <v>232</v>
      </c>
    </row>
    <row r="4961" spans="119:119" x14ac:dyDescent="0.2">
      <c r="DO4961" s="303" t="s">
        <v>232</v>
      </c>
    </row>
    <row r="4962" spans="119:119" x14ac:dyDescent="0.2">
      <c r="DO4962" s="303" t="s">
        <v>232</v>
      </c>
    </row>
    <row r="4963" spans="119:119" x14ac:dyDescent="0.2">
      <c r="DO4963" s="303" t="s">
        <v>232</v>
      </c>
    </row>
    <row r="4964" spans="119:119" x14ac:dyDescent="0.2">
      <c r="DO4964" s="303" t="s">
        <v>232</v>
      </c>
    </row>
    <row r="4965" spans="119:119" x14ac:dyDescent="0.2">
      <c r="DO4965" s="303" t="s">
        <v>232</v>
      </c>
    </row>
    <row r="4966" spans="119:119" x14ac:dyDescent="0.2">
      <c r="DO4966" s="303" t="s">
        <v>232</v>
      </c>
    </row>
    <row r="4967" spans="119:119" x14ac:dyDescent="0.2">
      <c r="DO4967" s="303" t="s">
        <v>232</v>
      </c>
    </row>
    <row r="4968" spans="119:119" x14ac:dyDescent="0.2">
      <c r="DO4968" s="303" t="s">
        <v>232</v>
      </c>
    </row>
    <row r="4969" spans="119:119" x14ac:dyDescent="0.2">
      <c r="DO4969" s="303" t="s">
        <v>232</v>
      </c>
    </row>
    <row r="4970" spans="119:119" x14ac:dyDescent="0.2">
      <c r="DO4970" s="303" t="s">
        <v>232</v>
      </c>
    </row>
    <row r="4971" spans="119:119" x14ac:dyDescent="0.2">
      <c r="DO4971" s="303" t="s">
        <v>232</v>
      </c>
    </row>
    <row r="4972" spans="119:119" x14ac:dyDescent="0.2">
      <c r="DO4972" s="303" t="s">
        <v>232</v>
      </c>
    </row>
    <row r="4973" spans="119:119" x14ac:dyDescent="0.2">
      <c r="DO4973" s="303" t="s">
        <v>232</v>
      </c>
    </row>
    <row r="4974" spans="119:119" x14ac:dyDescent="0.2">
      <c r="DO4974" s="303" t="s">
        <v>232</v>
      </c>
    </row>
    <row r="4975" spans="119:119" x14ac:dyDescent="0.2">
      <c r="DO4975" s="303" t="s">
        <v>232</v>
      </c>
    </row>
    <row r="4976" spans="119:119" x14ac:dyDescent="0.2">
      <c r="DO4976" s="303" t="s">
        <v>232</v>
      </c>
    </row>
    <row r="4977" spans="119:119" x14ac:dyDescent="0.2">
      <c r="DO4977" s="303" t="s">
        <v>232</v>
      </c>
    </row>
    <row r="4978" spans="119:119" x14ac:dyDescent="0.2">
      <c r="DO4978" s="303" t="s">
        <v>232</v>
      </c>
    </row>
    <row r="4979" spans="119:119" x14ac:dyDescent="0.2">
      <c r="DO4979" s="303" t="s">
        <v>232</v>
      </c>
    </row>
    <row r="4980" spans="119:119" x14ac:dyDescent="0.2">
      <c r="DO4980" s="303" t="s">
        <v>232</v>
      </c>
    </row>
    <row r="4981" spans="119:119" x14ac:dyDescent="0.2">
      <c r="DO4981" s="303" t="s">
        <v>232</v>
      </c>
    </row>
    <row r="4982" spans="119:119" x14ac:dyDescent="0.2">
      <c r="DO4982" s="303" t="s">
        <v>232</v>
      </c>
    </row>
    <row r="4983" spans="119:119" x14ac:dyDescent="0.2">
      <c r="DO4983" s="303" t="s">
        <v>232</v>
      </c>
    </row>
    <row r="4984" spans="119:119" x14ac:dyDescent="0.2">
      <c r="DO4984" s="303" t="s">
        <v>232</v>
      </c>
    </row>
    <row r="4985" spans="119:119" x14ac:dyDescent="0.2">
      <c r="DO4985" s="303" t="s">
        <v>232</v>
      </c>
    </row>
    <row r="4986" spans="119:119" x14ac:dyDescent="0.2">
      <c r="DO4986" s="303" t="s">
        <v>232</v>
      </c>
    </row>
    <row r="4987" spans="119:119" x14ac:dyDescent="0.2">
      <c r="DO4987" s="303" t="s">
        <v>232</v>
      </c>
    </row>
    <row r="4988" spans="119:119" x14ac:dyDescent="0.2">
      <c r="DO4988" s="303" t="s">
        <v>232</v>
      </c>
    </row>
    <row r="4989" spans="119:119" x14ac:dyDescent="0.2">
      <c r="DO4989" s="303" t="s">
        <v>232</v>
      </c>
    </row>
    <row r="4990" spans="119:119" x14ac:dyDescent="0.2">
      <c r="DO4990" s="303" t="s">
        <v>232</v>
      </c>
    </row>
    <row r="4991" spans="119:119" x14ac:dyDescent="0.2">
      <c r="DO4991" s="303" t="s">
        <v>232</v>
      </c>
    </row>
    <row r="4992" spans="119:119" x14ac:dyDescent="0.2">
      <c r="DO4992" s="303" t="s">
        <v>232</v>
      </c>
    </row>
    <row r="4993" spans="119:119" x14ac:dyDescent="0.2">
      <c r="DO4993" s="303" t="s">
        <v>232</v>
      </c>
    </row>
    <row r="4994" spans="119:119" x14ac:dyDescent="0.2">
      <c r="DO4994" s="303" t="s">
        <v>232</v>
      </c>
    </row>
    <row r="4995" spans="119:119" x14ac:dyDescent="0.2">
      <c r="DO4995" s="303" t="s">
        <v>232</v>
      </c>
    </row>
    <row r="4996" spans="119:119" x14ac:dyDescent="0.2">
      <c r="DO4996" s="303" t="s">
        <v>232</v>
      </c>
    </row>
    <row r="4997" spans="119:119" x14ac:dyDescent="0.2">
      <c r="DO4997" s="303" t="s">
        <v>232</v>
      </c>
    </row>
    <row r="4998" spans="119:119" x14ac:dyDescent="0.2">
      <c r="DO4998" s="303" t="s">
        <v>232</v>
      </c>
    </row>
    <row r="4999" spans="119:119" x14ac:dyDescent="0.2">
      <c r="DO4999" s="303" t="s">
        <v>232</v>
      </c>
    </row>
    <row r="5000" spans="119:119" x14ac:dyDescent="0.2">
      <c r="DO5000" s="303" t="s">
        <v>232</v>
      </c>
    </row>
    <row r="5001" spans="119:119" x14ac:dyDescent="0.2">
      <c r="DO5001" s="303" t="s">
        <v>232</v>
      </c>
    </row>
    <row r="5002" spans="119:119" x14ac:dyDescent="0.2">
      <c r="DO5002" s="303" t="s">
        <v>232</v>
      </c>
    </row>
    <row r="5003" spans="119:119" x14ac:dyDescent="0.2">
      <c r="DO5003" s="303" t="s">
        <v>232</v>
      </c>
    </row>
    <row r="5004" spans="119:119" x14ac:dyDescent="0.2">
      <c r="DO5004" s="303" t="s">
        <v>232</v>
      </c>
    </row>
    <row r="5005" spans="119:119" x14ac:dyDescent="0.2">
      <c r="DO5005" s="303" t="s">
        <v>232</v>
      </c>
    </row>
    <row r="5006" spans="119:119" x14ac:dyDescent="0.2">
      <c r="DO5006" s="303" t="s">
        <v>232</v>
      </c>
    </row>
    <row r="5007" spans="119:119" x14ac:dyDescent="0.2">
      <c r="DO5007" s="303" t="s">
        <v>232</v>
      </c>
    </row>
    <row r="5008" spans="119:119" x14ac:dyDescent="0.2">
      <c r="DO5008" s="303" t="s">
        <v>232</v>
      </c>
    </row>
    <row r="5009" spans="119:119" x14ac:dyDescent="0.2">
      <c r="DO5009" s="303" t="s">
        <v>232</v>
      </c>
    </row>
    <row r="5010" spans="119:119" x14ac:dyDescent="0.2">
      <c r="DO5010" s="303" t="s">
        <v>232</v>
      </c>
    </row>
    <row r="5011" spans="119:119" x14ac:dyDescent="0.2">
      <c r="DO5011" s="303" t="s">
        <v>232</v>
      </c>
    </row>
    <row r="5012" spans="119:119" x14ac:dyDescent="0.2">
      <c r="DO5012" s="303" t="s">
        <v>232</v>
      </c>
    </row>
    <row r="5013" spans="119:119" x14ac:dyDescent="0.2">
      <c r="DO5013" s="303" t="s">
        <v>232</v>
      </c>
    </row>
    <row r="5014" spans="119:119" x14ac:dyDescent="0.2">
      <c r="DO5014" s="303" t="s">
        <v>232</v>
      </c>
    </row>
    <row r="5015" spans="119:119" x14ac:dyDescent="0.2">
      <c r="DO5015" s="303" t="s">
        <v>232</v>
      </c>
    </row>
    <row r="5016" spans="119:119" x14ac:dyDescent="0.2">
      <c r="DO5016" s="303" t="s">
        <v>232</v>
      </c>
    </row>
    <row r="5017" spans="119:119" x14ac:dyDescent="0.2">
      <c r="DO5017" s="303" t="s">
        <v>232</v>
      </c>
    </row>
    <row r="5018" spans="119:119" x14ac:dyDescent="0.2">
      <c r="DO5018" s="303" t="s">
        <v>232</v>
      </c>
    </row>
    <row r="5019" spans="119:119" x14ac:dyDescent="0.2">
      <c r="DO5019" s="303" t="s">
        <v>232</v>
      </c>
    </row>
    <row r="5020" spans="119:119" x14ac:dyDescent="0.2">
      <c r="DO5020" s="303" t="s">
        <v>232</v>
      </c>
    </row>
    <row r="5021" spans="119:119" x14ac:dyDescent="0.2">
      <c r="DO5021" s="303" t="s">
        <v>232</v>
      </c>
    </row>
    <row r="5022" spans="119:119" x14ac:dyDescent="0.2">
      <c r="DO5022" s="303" t="s">
        <v>232</v>
      </c>
    </row>
    <row r="5023" spans="119:119" x14ac:dyDescent="0.2">
      <c r="DO5023" s="303" t="s">
        <v>232</v>
      </c>
    </row>
    <row r="5024" spans="119:119" x14ac:dyDescent="0.2">
      <c r="DO5024" s="303" t="s">
        <v>232</v>
      </c>
    </row>
    <row r="5025" spans="119:119" x14ac:dyDescent="0.2">
      <c r="DO5025" s="303" t="s">
        <v>232</v>
      </c>
    </row>
    <row r="5026" spans="119:119" x14ac:dyDescent="0.2">
      <c r="DO5026" s="303" t="s">
        <v>232</v>
      </c>
    </row>
    <row r="5027" spans="119:119" x14ac:dyDescent="0.2">
      <c r="DO5027" s="303" t="s">
        <v>232</v>
      </c>
    </row>
    <row r="5028" spans="119:119" x14ac:dyDescent="0.2">
      <c r="DO5028" s="303" t="s">
        <v>232</v>
      </c>
    </row>
    <row r="5029" spans="119:119" x14ac:dyDescent="0.2">
      <c r="DO5029" s="303" t="s">
        <v>232</v>
      </c>
    </row>
    <row r="5030" spans="119:119" x14ac:dyDescent="0.2">
      <c r="DO5030" s="303" t="s">
        <v>232</v>
      </c>
    </row>
    <row r="5031" spans="119:119" x14ac:dyDescent="0.2">
      <c r="DO5031" s="303" t="s">
        <v>232</v>
      </c>
    </row>
    <row r="5032" spans="119:119" x14ac:dyDescent="0.2">
      <c r="DO5032" s="303" t="s">
        <v>232</v>
      </c>
    </row>
    <row r="5033" spans="119:119" x14ac:dyDescent="0.2">
      <c r="DO5033" s="303" t="s">
        <v>232</v>
      </c>
    </row>
    <row r="5034" spans="119:119" x14ac:dyDescent="0.2">
      <c r="DO5034" s="303" t="s">
        <v>232</v>
      </c>
    </row>
    <row r="5035" spans="119:119" x14ac:dyDescent="0.2">
      <c r="DO5035" s="303" t="s">
        <v>232</v>
      </c>
    </row>
    <row r="5036" spans="119:119" x14ac:dyDescent="0.2">
      <c r="DO5036" s="303" t="s">
        <v>232</v>
      </c>
    </row>
    <row r="5037" spans="119:119" x14ac:dyDescent="0.2">
      <c r="DO5037" s="303" t="s">
        <v>232</v>
      </c>
    </row>
    <row r="5038" spans="119:119" x14ac:dyDescent="0.2">
      <c r="DO5038" s="303" t="s">
        <v>232</v>
      </c>
    </row>
    <row r="5039" spans="119:119" x14ac:dyDescent="0.2">
      <c r="DO5039" s="303" t="s">
        <v>232</v>
      </c>
    </row>
    <row r="5040" spans="119:119" x14ac:dyDescent="0.2">
      <c r="DO5040" s="303" t="s">
        <v>232</v>
      </c>
    </row>
    <row r="5041" spans="119:119" x14ac:dyDescent="0.2">
      <c r="DO5041" s="303" t="s">
        <v>232</v>
      </c>
    </row>
    <row r="5042" spans="119:119" x14ac:dyDescent="0.2">
      <c r="DO5042" s="303" t="s">
        <v>232</v>
      </c>
    </row>
    <row r="5043" spans="119:119" x14ac:dyDescent="0.2">
      <c r="DO5043" s="303" t="s">
        <v>232</v>
      </c>
    </row>
    <row r="5044" spans="119:119" x14ac:dyDescent="0.2">
      <c r="DO5044" s="303" t="s">
        <v>232</v>
      </c>
    </row>
    <row r="5045" spans="119:119" x14ac:dyDescent="0.2">
      <c r="DO5045" s="303" t="s">
        <v>232</v>
      </c>
    </row>
    <row r="5046" spans="119:119" x14ac:dyDescent="0.2">
      <c r="DO5046" s="303" t="s">
        <v>232</v>
      </c>
    </row>
    <row r="5047" spans="119:119" x14ac:dyDescent="0.2">
      <c r="DO5047" s="303" t="s">
        <v>232</v>
      </c>
    </row>
    <row r="5048" spans="119:119" x14ac:dyDescent="0.2">
      <c r="DO5048" s="303" t="s">
        <v>232</v>
      </c>
    </row>
    <row r="5049" spans="119:119" x14ac:dyDescent="0.2">
      <c r="DO5049" s="303" t="s">
        <v>232</v>
      </c>
    </row>
    <row r="5050" spans="119:119" x14ac:dyDescent="0.2">
      <c r="DO5050" s="303" t="s">
        <v>232</v>
      </c>
    </row>
    <row r="5051" spans="119:119" x14ac:dyDescent="0.2">
      <c r="DO5051" s="303" t="s">
        <v>232</v>
      </c>
    </row>
    <row r="5052" spans="119:119" x14ac:dyDescent="0.2">
      <c r="DO5052" s="303" t="s">
        <v>232</v>
      </c>
    </row>
    <row r="5053" spans="119:119" x14ac:dyDescent="0.2">
      <c r="DO5053" s="303" t="s">
        <v>232</v>
      </c>
    </row>
    <row r="5054" spans="119:119" x14ac:dyDescent="0.2">
      <c r="DO5054" s="303" t="s">
        <v>232</v>
      </c>
    </row>
    <row r="5055" spans="119:119" x14ac:dyDescent="0.2">
      <c r="DO5055" s="303" t="s">
        <v>232</v>
      </c>
    </row>
    <row r="5056" spans="119:119" x14ac:dyDescent="0.2">
      <c r="DO5056" s="303" t="s">
        <v>232</v>
      </c>
    </row>
    <row r="5057" spans="119:119" x14ac:dyDescent="0.2">
      <c r="DO5057" s="303" t="s">
        <v>232</v>
      </c>
    </row>
    <row r="5058" spans="119:119" x14ac:dyDescent="0.2">
      <c r="DO5058" s="303" t="s">
        <v>232</v>
      </c>
    </row>
    <row r="5059" spans="119:119" x14ac:dyDescent="0.2">
      <c r="DO5059" s="303" t="s">
        <v>232</v>
      </c>
    </row>
    <row r="5060" spans="119:119" x14ac:dyDescent="0.2">
      <c r="DO5060" s="303" t="s">
        <v>232</v>
      </c>
    </row>
    <row r="5061" spans="119:119" x14ac:dyDescent="0.2">
      <c r="DO5061" s="303" t="s">
        <v>232</v>
      </c>
    </row>
    <row r="5062" spans="119:119" x14ac:dyDescent="0.2">
      <c r="DO5062" s="303" t="s">
        <v>232</v>
      </c>
    </row>
    <row r="5063" spans="119:119" x14ac:dyDescent="0.2">
      <c r="DO5063" s="303" t="s">
        <v>232</v>
      </c>
    </row>
    <row r="5064" spans="119:119" x14ac:dyDescent="0.2">
      <c r="DO5064" s="303" t="s">
        <v>232</v>
      </c>
    </row>
    <row r="5065" spans="119:119" x14ac:dyDescent="0.2">
      <c r="DO5065" s="303" t="s">
        <v>232</v>
      </c>
    </row>
    <row r="5066" spans="119:119" x14ac:dyDescent="0.2">
      <c r="DO5066" s="303" t="s">
        <v>232</v>
      </c>
    </row>
    <row r="5067" spans="119:119" x14ac:dyDescent="0.2">
      <c r="DO5067" s="303" t="s">
        <v>232</v>
      </c>
    </row>
    <row r="5068" spans="119:119" x14ac:dyDescent="0.2">
      <c r="DO5068" s="303" t="s">
        <v>232</v>
      </c>
    </row>
    <row r="5069" spans="119:119" x14ac:dyDescent="0.2">
      <c r="DO5069" s="303" t="s">
        <v>232</v>
      </c>
    </row>
    <row r="5070" spans="119:119" x14ac:dyDescent="0.2">
      <c r="DO5070" s="303" t="s">
        <v>232</v>
      </c>
    </row>
    <row r="5071" spans="119:119" x14ac:dyDescent="0.2">
      <c r="DO5071" s="303" t="s">
        <v>232</v>
      </c>
    </row>
    <row r="5072" spans="119:119" x14ac:dyDescent="0.2">
      <c r="DO5072" s="303" t="s">
        <v>232</v>
      </c>
    </row>
    <row r="5073" spans="119:119" x14ac:dyDescent="0.2">
      <c r="DO5073" s="303" t="s">
        <v>232</v>
      </c>
    </row>
    <row r="5074" spans="119:119" x14ac:dyDescent="0.2">
      <c r="DO5074" s="303" t="s">
        <v>232</v>
      </c>
    </row>
    <row r="5075" spans="119:119" x14ac:dyDescent="0.2">
      <c r="DO5075" s="303" t="s">
        <v>232</v>
      </c>
    </row>
    <row r="5076" spans="119:119" x14ac:dyDescent="0.2">
      <c r="DO5076" s="303" t="s">
        <v>232</v>
      </c>
    </row>
    <row r="5077" spans="119:119" x14ac:dyDescent="0.2">
      <c r="DO5077" s="303" t="s">
        <v>232</v>
      </c>
    </row>
    <row r="5078" spans="119:119" x14ac:dyDescent="0.2">
      <c r="DO5078" s="303" t="s">
        <v>232</v>
      </c>
    </row>
    <row r="5079" spans="119:119" x14ac:dyDescent="0.2">
      <c r="DO5079" s="303" t="s">
        <v>232</v>
      </c>
    </row>
    <row r="5080" spans="119:119" x14ac:dyDescent="0.2">
      <c r="DO5080" s="303" t="s">
        <v>232</v>
      </c>
    </row>
    <row r="5081" spans="119:119" x14ac:dyDescent="0.2">
      <c r="DO5081" s="303" t="s">
        <v>232</v>
      </c>
    </row>
    <row r="5082" spans="119:119" x14ac:dyDescent="0.2">
      <c r="DO5082" s="303" t="s">
        <v>232</v>
      </c>
    </row>
    <row r="5083" spans="119:119" x14ac:dyDescent="0.2">
      <c r="DO5083" s="303" t="s">
        <v>232</v>
      </c>
    </row>
    <row r="5084" spans="119:119" x14ac:dyDescent="0.2">
      <c r="DO5084" s="303" t="s">
        <v>232</v>
      </c>
    </row>
    <row r="5085" spans="119:119" x14ac:dyDescent="0.2">
      <c r="DO5085" s="303" t="s">
        <v>232</v>
      </c>
    </row>
    <row r="5086" spans="119:119" x14ac:dyDescent="0.2">
      <c r="DO5086" s="303" t="s">
        <v>232</v>
      </c>
    </row>
    <row r="5087" spans="119:119" x14ac:dyDescent="0.2">
      <c r="DO5087" s="303" t="s">
        <v>232</v>
      </c>
    </row>
    <row r="5088" spans="119:119" x14ac:dyDescent="0.2">
      <c r="DO5088" s="303" t="s">
        <v>232</v>
      </c>
    </row>
    <row r="5089" spans="119:119" x14ac:dyDescent="0.2">
      <c r="DO5089" s="303" t="s">
        <v>232</v>
      </c>
    </row>
    <row r="5090" spans="119:119" x14ac:dyDescent="0.2">
      <c r="DO5090" s="303" t="s">
        <v>232</v>
      </c>
    </row>
    <row r="5091" spans="119:119" x14ac:dyDescent="0.2">
      <c r="DO5091" s="303" t="s">
        <v>232</v>
      </c>
    </row>
    <row r="5092" spans="119:119" x14ac:dyDescent="0.2">
      <c r="DO5092" s="303" t="s">
        <v>232</v>
      </c>
    </row>
    <row r="5093" spans="119:119" x14ac:dyDescent="0.2">
      <c r="DO5093" s="303" t="s">
        <v>232</v>
      </c>
    </row>
    <row r="5094" spans="119:119" x14ac:dyDescent="0.2">
      <c r="DO5094" s="303" t="s">
        <v>232</v>
      </c>
    </row>
    <row r="5095" spans="119:119" x14ac:dyDescent="0.2">
      <c r="DO5095" s="303" t="s">
        <v>232</v>
      </c>
    </row>
    <row r="5096" spans="119:119" x14ac:dyDescent="0.2">
      <c r="DO5096" s="303" t="s">
        <v>232</v>
      </c>
    </row>
    <row r="5097" spans="119:119" x14ac:dyDescent="0.2">
      <c r="DO5097" s="303" t="s">
        <v>232</v>
      </c>
    </row>
    <row r="5098" spans="119:119" x14ac:dyDescent="0.2">
      <c r="DO5098" s="303" t="s">
        <v>232</v>
      </c>
    </row>
    <row r="5099" spans="119:119" x14ac:dyDescent="0.2">
      <c r="DO5099" s="303" t="s">
        <v>232</v>
      </c>
    </row>
    <row r="5100" spans="119:119" x14ac:dyDescent="0.2">
      <c r="DO5100" s="303" t="s">
        <v>232</v>
      </c>
    </row>
    <row r="5101" spans="119:119" x14ac:dyDescent="0.2">
      <c r="DO5101" s="303" t="s">
        <v>232</v>
      </c>
    </row>
    <row r="5102" spans="119:119" x14ac:dyDescent="0.2">
      <c r="DO5102" s="303" t="s">
        <v>232</v>
      </c>
    </row>
    <row r="5103" spans="119:119" x14ac:dyDescent="0.2">
      <c r="DO5103" s="303" t="s">
        <v>232</v>
      </c>
    </row>
    <row r="5104" spans="119:119" x14ac:dyDescent="0.2">
      <c r="DO5104" s="303" t="s">
        <v>232</v>
      </c>
    </row>
    <row r="5105" spans="119:119" x14ac:dyDescent="0.2">
      <c r="DO5105" s="303" t="s">
        <v>232</v>
      </c>
    </row>
    <row r="5106" spans="119:119" x14ac:dyDescent="0.2">
      <c r="DO5106" s="303" t="s">
        <v>232</v>
      </c>
    </row>
    <row r="5107" spans="119:119" x14ac:dyDescent="0.2">
      <c r="DO5107" s="303" t="s">
        <v>232</v>
      </c>
    </row>
    <row r="5108" spans="119:119" x14ac:dyDescent="0.2">
      <c r="DO5108" s="303" t="s">
        <v>232</v>
      </c>
    </row>
    <row r="5109" spans="119:119" x14ac:dyDescent="0.2">
      <c r="DO5109" s="303" t="s">
        <v>232</v>
      </c>
    </row>
    <row r="5110" spans="119:119" x14ac:dyDescent="0.2">
      <c r="DO5110" s="303" t="s">
        <v>232</v>
      </c>
    </row>
    <row r="5111" spans="119:119" x14ac:dyDescent="0.2">
      <c r="DO5111" s="303" t="s">
        <v>232</v>
      </c>
    </row>
    <row r="5112" spans="119:119" x14ac:dyDescent="0.2">
      <c r="DO5112" s="303" t="s">
        <v>232</v>
      </c>
    </row>
    <row r="5113" spans="119:119" x14ac:dyDescent="0.2">
      <c r="DO5113" s="303" t="s">
        <v>232</v>
      </c>
    </row>
    <row r="5114" spans="119:119" x14ac:dyDescent="0.2">
      <c r="DO5114" s="303" t="s">
        <v>232</v>
      </c>
    </row>
    <row r="5115" spans="119:119" x14ac:dyDescent="0.2">
      <c r="DO5115" s="303" t="s">
        <v>232</v>
      </c>
    </row>
    <row r="5116" spans="119:119" x14ac:dyDescent="0.2">
      <c r="DO5116" s="303" t="s">
        <v>232</v>
      </c>
    </row>
    <row r="5117" spans="119:119" x14ac:dyDescent="0.2">
      <c r="DO5117" s="303" t="s">
        <v>232</v>
      </c>
    </row>
    <row r="5118" spans="119:119" x14ac:dyDescent="0.2">
      <c r="DO5118" s="303" t="s">
        <v>232</v>
      </c>
    </row>
    <row r="5119" spans="119:119" x14ac:dyDescent="0.2">
      <c r="DO5119" s="303" t="s">
        <v>232</v>
      </c>
    </row>
    <row r="5120" spans="119:119" x14ac:dyDescent="0.2">
      <c r="DO5120" s="303" t="s">
        <v>232</v>
      </c>
    </row>
    <row r="5121" spans="119:119" x14ac:dyDescent="0.2">
      <c r="DO5121" s="303" t="s">
        <v>232</v>
      </c>
    </row>
    <row r="5122" spans="119:119" x14ac:dyDescent="0.2">
      <c r="DO5122" s="303" t="s">
        <v>232</v>
      </c>
    </row>
    <row r="5123" spans="119:119" x14ac:dyDescent="0.2">
      <c r="DO5123" s="303" t="s">
        <v>232</v>
      </c>
    </row>
    <row r="5124" spans="119:119" x14ac:dyDescent="0.2">
      <c r="DO5124" s="303" t="s">
        <v>232</v>
      </c>
    </row>
    <row r="5125" spans="119:119" x14ac:dyDescent="0.2">
      <c r="DO5125" s="303" t="s">
        <v>232</v>
      </c>
    </row>
    <row r="5126" spans="119:119" x14ac:dyDescent="0.2">
      <c r="DO5126" s="303" t="s">
        <v>232</v>
      </c>
    </row>
    <row r="5127" spans="119:119" x14ac:dyDescent="0.2">
      <c r="DO5127" s="303" t="s">
        <v>232</v>
      </c>
    </row>
    <row r="5128" spans="119:119" x14ac:dyDescent="0.2">
      <c r="DO5128" s="303" t="s">
        <v>232</v>
      </c>
    </row>
    <row r="5129" spans="119:119" x14ac:dyDescent="0.2">
      <c r="DO5129" s="303" t="s">
        <v>232</v>
      </c>
    </row>
    <row r="5130" spans="119:119" x14ac:dyDescent="0.2">
      <c r="DO5130" s="303" t="s">
        <v>232</v>
      </c>
    </row>
    <row r="5131" spans="119:119" x14ac:dyDescent="0.2">
      <c r="DO5131" s="303" t="s">
        <v>232</v>
      </c>
    </row>
    <row r="5132" spans="119:119" x14ac:dyDescent="0.2">
      <c r="DO5132" s="303" t="s">
        <v>232</v>
      </c>
    </row>
    <row r="5133" spans="119:119" x14ac:dyDescent="0.2">
      <c r="DO5133" s="303" t="s">
        <v>232</v>
      </c>
    </row>
    <row r="5134" spans="119:119" x14ac:dyDescent="0.2">
      <c r="DO5134" s="303" t="s">
        <v>232</v>
      </c>
    </row>
    <row r="5135" spans="119:119" x14ac:dyDescent="0.2">
      <c r="DO5135" s="303" t="s">
        <v>232</v>
      </c>
    </row>
    <row r="5136" spans="119:119" x14ac:dyDescent="0.2">
      <c r="DO5136" s="303" t="s">
        <v>232</v>
      </c>
    </row>
    <row r="5137" spans="119:119" x14ac:dyDescent="0.2">
      <c r="DO5137" s="303" t="s">
        <v>232</v>
      </c>
    </row>
    <row r="5138" spans="119:119" x14ac:dyDescent="0.2">
      <c r="DO5138" s="303" t="s">
        <v>232</v>
      </c>
    </row>
    <row r="5139" spans="119:119" x14ac:dyDescent="0.2">
      <c r="DO5139" s="303" t="s">
        <v>232</v>
      </c>
    </row>
    <row r="5140" spans="119:119" x14ac:dyDescent="0.2">
      <c r="DO5140" s="303" t="s">
        <v>232</v>
      </c>
    </row>
    <row r="5141" spans="119:119" x14ac:dyDescent="0.2">
      <c r="DO5141" s="303" t="s">
        <v>232</v>
      </c>
    </row>
    <row r="5142" spans="119:119" x14ac:dyDescent="0.2">
      <c r="DO5142" s="303" t="s">
        <v>232</v>
      </c>
    </row>
    <row r="5143" spans="119:119" x14ac:dyDescent="0.2">
      <c r="DO5143" s="303" t="s">
        <v>232</v>
      </c>
    </row>
    <row r="5144" spans="119:119" x14ac:dyDescent="0.2">
      <c r="DO5144" s="303" t="s">
        <v>232</v>
      </c>
    </row>
    <row r="5145" spans="119:119" x14ac:dyDescent="0.2">
      <c r="DO5145" s="303" t="s">
        <v>232</v>
      </c>
    </row>
    <row r="5146" spans="119:119" x14ac:dyDescent="0.2">
      <c r="DO5146" s="303" t="s">
        <v>232</v>
      </c>
    </row>
    <row r="5147" spans="119:119" x14ac:dyDescent="0.2">
      <c r="DO5147" s="303" t="s">
        <v>232</v>
      </c>
    </row>
    <row r="5148" spans="119:119" x14ac:dyDescent="0.2">
      <c r="DO5148" s="303" t="s">
        <v>232</v>
      </c>
    </row>
    <row r="5149" spans="119:119" x14ac:dyDescent="0.2">
      <c r="DO5149" s="303" t="s">
        <v>232</v>
      </c>
    </row>
    <row r="5150" spans="119:119" x14ac:dyDescent="0.2">
      <c r="DO5150" s="303" t="s">
        <v>232</v>
      </c>
    </row>
    <row r="5151" spans="119:119" x14ac:dyDescent="0.2">
      <c r="DO5151" s="303" t="s">
        <v>232</v>
      </c>
    </row>
    <row r="5152" spans="119:119" x14ac:dyDescent="0.2">
      <c r="DO5152" s="303" t="s">
        <v>232</v>
      </c>
    </row>
    <row r="5153" spans="119:119" x14ac:dyDescent="0.2">
      <c r="DO5153" s="303" t="s">
        <v>232</v>
      </c>
    </row>
    <row r="5154" spans="119:119" x14ac:dyDescent="0.2">
      <c r="DO5154" s="303" t="s">
        <v>232</v>
      </c>
    </row>
    <row r="5155" spans="119:119" x14ac:dyDescent="0.2">
      <c r="DO5155" s="303" t="s">
        <v>232</v>
      </c>
    </row>
    <row r="5156" spans="119:119" x14ac:dyDescent="0.2">
      <c r="DO5156" s="303" t="s">
        <v>232</v>
      </c>
    </row>
    <row r="5157" spans="119:119" x14ac:dyDescent="0.2">
      <c r="DO5157" s="303" t="s">
        <v>232</v>
      </c>
    </row>
    <row r="5158" spans="119:119" x14ac:dyDescent="0.2">
      <c r="DO5158" s="303" t="s">
        <v>232</v>
      </c>
    </row>
    <row r="5159" spans="119:119" x14ac:dyDescent="0.2">
      <c r="DO5159" s="303" t="s">
        <v>232</v>
      </c>
    </row>
    <row r="5160" spans="119:119" x14ac:dyDescent="0.2">
      <c r="DO5160" s="303" t="s">
        <v>232</v>
      </c>
    </row>
    <row r="5161" spans="119:119" x14ac:dyDescent="0.2">
      <c r="DO5161" s="303" t="s">
        <v>232</v>
      </c>
    </row>
    <row r="5162" spans="119:119" x14ac:dyDescent="0.2">
      <c r="DO5162" s="303" t="s">
        <v>232</v>
      </c>
    </row>
    <row r="5163" spans="119:119" x14ac:dyDescent="0.2">
      <c r="DO5163" s="303" t="s">
        <v>232</v>
      </c>
    </row>
    <row r="5164" spans="119:119" x14ac:dyDescent="0.2">
      <c r="DO5164" s="303" t="s">
        <v>232</v>
      </c>
    </row>
    <row r="5165" spans="119:119" x14ac:dyDescent="0.2">
      <c r="DO5165" s="303" t="s">
        <v>232</v>
      </c>
    </row>
    <row r="5166" spans="119:119" x14ac:dyDescent="0.2">
      <c r="DO5166" s="303" t="s">
        <v>232</v>
      </c>
    </row>
    <row r="5167" spans="119:119" x14ac:dyDescent="0.2">
      <c r="DO5167" s="303" t="s">
        <v>232</v>
      </c>
    </row>
    <row r="5168" spans="119:119" x14ac:dyDescent="0.2">
      <c r="DO5168" s="303" t="s">
        <v>232</v>
      </c>
    </row>
    <row r="5169" spans="119:119" x14ac:dyDescent="0.2">
      <c r="DO5169" s="303" t="s">
        <v>232</v>
      </c>
    </row>
    <row r="5170" spans="119:119" x14ac:dyDescent="0.2">
      <c r="DO5170" s="303" t="s">
        <v>232</v>
      </c>
    </row>
    <row r="5171" spans="119:119" x14ac:dyDescent="0.2">
      <c r="DO5171" s="303" t="s">
        <v>232</v>
      </c>
    </row>
    <row r="5172" spans="119:119" x14ac:dyDescent="0.2">
      <c r="DO5172" s="303" t="s">
        <v>232</v>
      </c>
    </row>
    <row r="5173" spans="119:119" x14ac:dyDescent="0.2">
      <c r="DO5173" s="303" t="s">
        <v>232</v>
      </c>
    </row>
    <row r="5174" spans="119:119" x14ac:dyDescent="0.2">
      <c r="DO5174" s="303" t="s">
        <v>232</v>
      </c>
    </row>
    <row r="5175" spans="119:119" x14ac:dyDescent="0.2">
      <c r="DO5175" s="303" t="s">
        <v>232</v>
      </c>
    </row>
    <row r="5176" spans="119:119" x14ac:dyDescent="0.2">
      <c r="DO5176" s="303" t="s">
        <v>232</v>
      </c>
    </row>
    <row r="5177" spans="119:119" x14ac:dyDescent="0.2">
      <c r="DO5177" s="303" t="s">
        <v>232</v>
      </c>
    </row>
    <row r="5178" spans="119:119" x14ac:dyDescent="0.2">
      <c r="DO5178" s="303" t="s">
        <v>232</v>
      </c>
    </row>
    <row r="5179" spans="119:119" x14ac:dyDescent="0.2">
      <c r="DO5179" s="303" t="s">
        <v>232</v>
      </c>
    </row>
    <row r="5180" spans="119:119" x14ac:dyDescent="0.2">
      <c r="DO5180" s="303" t="s">
        <v>232</v>
      </c>
    </row>
    <row r="5181" spans="119:119" x14ac:dyDescent="0.2">
      <c r="DO5181" s="303" t="s">
        <v>232</v>
      </c>
    </row>
    <row r="5182" spans="119:119" x14ac:dyDescent="0.2">
      <c r="DO5182" s="303" t="s">
        <v>232</v>
      </c>
    </row>
    <row r="5183" spans="119:119" x14ac:dyDescent="0.2">
      <c r="DO5183" s="303" t="s">
        <v>232</v>
      </c>
    </row>
    <row r="5184" spans="119:119" x14ac:dyDescent="0.2">
      <c r="DO5184" s="303" t="s">
        <v>232</v>
      </c>
    </row>
    <row r="5185" spans="119:119" x14ac:dyDescent="0.2">
      <c r="DO5185" s="303" t="s">
        <v>232</v>
      </c>
    </row>
    <row r="5186" spans="119:119" x14ac:dyDescent="0.2">
      <c r="DO5186" s="303" t="s">
        <v>232</v>
      </c>
    </row>
    <row r="5187" spans="119:119" x14ac:dyDescent="0.2">
      <c r="DO5187" s="303" t="s">
        <v>232</v>
      </c>
    </row>
    <row r="5188" spans="119:119" x14ac:dyDescent="0.2">
      <c r="DO5188" s="303" t="s">
        <v>232</v>
      </c>
    </row>
    <row r="5189" spans="119:119" x14ac:dyDescent="0.2">
      <c r="DO5189" s="303" t="s">
        <v>232</v>
      </c>
    </row>
    <row r="5190" spans="119:119" x14ac:dyDescent="0.2">
      <c r="DO5190" s="303" t="s">
        <v>232</v>
      </c>
    </row>
    <row r="5191" spans="119:119" x14ac:dyDescent="0.2">
      <c r="DO5191" s="303" t="s">
        <v>232</v>
      </c>
    </row>
    <row r="5192" spans="119:119" x14ac:dyDescent="0.2">
      <c r="DO5192" s="303" t="s">
        <v>232</v>
      </c>
    </row>
    <row r="5193" spans="119:119" x14ac:dyDescent="0.2">
      <c r="DO5193" s="303" t="s">
        <v>232</v>
      </c>
    </row>
    <row r="5194" spans="119:119" x14ac:dyDescent="0.2">
      <c r="DO5194" s="303" t="s">
        <v>232</v>
      </c>
    </row>
    <row r="5195" spans="119:119" x14ac:dyDescent="0.2">
      <c r="DO5195" s="303" t="s">
        <v>232</v>
      </c>
    </row>
    <row r="5196" spans="119:119" x14ac:dyDescent="0.2">
      <c r="DO5196" s="303" t="s">
        <v>232</v>
      </c>
    </row>
    <row r="5197" spans="119:119" x14ac:dyDescent="0.2">
      <c r="DO5197" s="303" t="s">
        <v>232</v>
      </c>
    </row>
    <row r="5198" spans="119:119" x14ac:dyDescent="0.2">
      <c r="DO5198" s="303" t="s">
        <v>232</v>
      </c>
    </row>
    <row r="5199" spans="119:119" x14ac:dyDescent="0.2">
      <c r="DO5199" s="303" t="s">
        <v>232</v>
      </c>
    </row>
    <row r="5200" spans="119:119" x14ac:dyDescent="0.2">
      <c r="DO5200" s="303" t="s">
        <v>232</v>
      </c>
    </row>
    <row r="5201" spans="119:119" x14ac:dyDescent="0.2">
      <c r="DO5201" s="303" t="s">
        <v>232</v>
      </c>
    </row>
    <row r="5202" spans="119:119" x14ac:dyDescent="0.2">
      <c r="DO5202" s="303" t="s">
        <v>232</v>
      </c>
    </row>
    <row r="5203" spans="119:119" x14ac:dyDescent="0.2">
      <c r="DO5203" s="303" t="s">
        <v>232</v>
      </c>
    </row>
    <row r="5204" spans="119:119" x14ac:dyDescent="0.2">
      <c r="DO5204" s="303" t="s">
        <v>232</v>
      </c>
    </row>
    <row r="5205" spans="119:119" x14ac:dyDescent="0.2">
      <c r="DO5205" s="303" t="s">
        <v>232</v>
      </c>
    </row>
    <row r="5206" spans="119:119" x14ac:dyDescent="0.2">
      <c r="DO5206" s="303" t="s">
        <v>232</v>
      </c>
    </row>
    <row r="5207" spans="119:119" x14ac:dyDescent="0.2">
      <c r="DO5207" s="303" t="s">
        <v>232</v>
      </c>
    </row>
    <row r="5208" spans="119:119" x14ac:dyDescent="0.2">
      <c r="DO5208" s="303" t="s">
        <v>232</v>
      </c>
    </row>
    <row r="5209" spans="119:119" x14ac:dyDescent="0.2">
      <c r="DO5209" s="303" t="s">
        <v>232</v>
      </c>
    </row>
    <row r="5210" spans="119:119" x14ac:dyDescent="0.2">
      <c r="DO5210" s="303" t="s">
        <v>232</v>
      </c>
    </row>
    <row r="5211" spans="119:119" x14ac:dyDescent="0.2">
      <c r="DO5211" s="303" t="s">
        <v>232</v>
      </c>
    </row>
    <row r="5212" spans="119:119" x14ac:dyDescent="0.2">
      <c r="DO5212" s="303" t="s">
        <v>232</v>
      </c>
    </row>
    <row r="5213" spans="119:119" x14ac:dyDescent="0.2">
      <c r="DO5213" s="303" t="s">
        <v>232</v>
      </c>
    </row>
    <row r="5214" spans="119:119" x14ac:dyDescent="0.2">
      <c r="DO5214" s="303" t="s">
        <v>232</v>
      </c>
    </row>
    <row r="5215" spans="119:119" x14ac:dyDescent="0.2">
      <c r="DO5215" s="303" t="s">
        <v>232</v>
      </c>
    </row>
    <row r="5216" spans="119:119" x14ac:dyDescent="0.2">
      <c r="DO5216" s="303" t="s">
        <v>232</v>
      </c>
    </row>
    <row r="5217" spans="119:119" x14ac:dyDescent="0.2">
      <c r="DO5217" s="303" t="s">
        <v>232</v>
      </c>
    </row>
    <row r="5218" spans="119:119" x14ac:dyDescent="0.2">
      <c r="DO5218" s="303" t="s">
        <v>232</v>
      </c>
    </row>
    <row r="5219" spans="119:119" x14ac:dyDescent="0.2">
      <c r="DO5219" s="303" t="s">
        <v>232</v>
      </c>
    </row>
    <row r="5220" spans="119:119" x14ac:dyDescent="0.2">
      <c r="DO5220" s="303" t="s">
        <v>232</v>
      </c>
    </row>
    <row r="5221" spans="119:119" x14ac:dyDescent="0.2">
      <c r="DO5221" s="303" t="s">
        <v>232</v>
      </c>
    </row>
    <row r="5222" spans="119:119" x14ac:dyDescent="0.2">
      <c r="DO5222" s="303" t="s">
        <v>232</v>
      </c>
    </row>
    <row r="5223" spans="119:119" x14ac:dyDescent="0.2">
      <c r="DO5223" s="303" t="s">
        <v>232</v>
      </c>
    </row>
    <row r="5224" spans="119:119" x14ac:dyDescent="0.2">
      <c r="DO5224" s="303" t="s">
        <v>232</v>
      </c>
    </row>
    <row r="5225" spans="119:119" x14ac:dyDescent="0.2">
      <c r="DO5225" s="303" t="s">
        <v>232</v>
      </c>
    </row>
    <row r="5226" spans="119:119" x14ac:dyDescent="0.2">
      <c r="DO5226" s="303" t="s">
        <v>232</v>
      </c>
    </row>
    <row r="5227" spans="119:119" x14ac:dyDescent="0.2">
      <c r="DO5227" s="303" t="s">
        <v>232</v>
      </c>
    </row>
    <row r="5228" spans="119:119" x14ac:dyDescent="0.2">
      <c r="DO5228" s="303" t="s">
        <v>232</v>
      </c>
    </row>
    <row r="5229" spans="119:119" x14ac:dyDescent="0.2">
      <c r="DO5229" s="303" t="s">
        <v>232</v>
      </c>
    </row>
    <row r="5230" spans="119:119" x14ac:dyDescent="0.2">
      <c r="DO5230" s="303" t="s">
        <v>232</v>
      </c>
    </row>
    <row r="5231" spans="119:119" x14ac:dyDescent="0.2">
      <c r="DO5231" s="303" t="s">
        <v>232</v>
      </c>
    </row>
    <row r="5232" spans="119:119" x14ac:dyDescent="0.2">
      <c r="DO5232" s="303" t="s">
        <v>232</v>
      </c>
    </row>
    <row r="5233" spans="119:119" x14ac:dyDescent="0.2">
      <c r="DO5233" s="303" t="s">
        <v>232</v>
      </c>
    </row>
    <row r="5234" spans="119:119" x14ac:dyDescent="0.2">
      <c r="DO5234" s="303" t="s">
        <v>232</v>
      </c>
    </row>
    <row r="5235" spans="119:119" x14ac:dyDescent="0.2">
      <c r="DO5235" s="303" t="s">
        <v>232</v>
      </c>
    </row>
    <row r="5236" spans="119:119" x14ac:dyDescent="0.2">
      <c r="DO5236" s="303" t="s">
        <v>232</v>
      </c>
    </row>
    <row r="5237" spans="119:119" x14ac:dyDescent="0.2">
      <c r="DO5237" s="303" t="s">
        <v>232</v>
      </c>
    </row>
    <row r="5238" spans="119:119" x14ac:dyDescent="0.2">
      <c r="DO5238" s="303" t="s">
        <v>232</v>
      </c>
    </row>
    <row r="5239" spans="119:119" x14ac:dyDescent="0.2">
      <c r="DO5239" s="303" t="s">
        <v>232</v>
      </c>
    </row>
    <row r="5240" spans="119:119" x14ac:dyDescent="0.2">
      <c r="DO5240" s="303" t="s">
        <v>232</v>
      </c>
    </row>
    <row r="5241" spans="119:119" x14ac:dyDescent="0.2">
      <c r="DO5241" s="303" t="s">
        <v>232</v>
      </c>
    </row>
    <row r="5242" spans="119:119" x14ac:dyDescent="0.2">
      <c r="DO5242" s="303" t="s">
        <v>232</v>
      </c>
    </row>
    <row r="5243" spans="119:119" x14ac:dyDescent="0.2">
      <c r="DO5243" s="303" t="s">
        <v>232</v>
      </c>
    </row>
    <row r="5244" spans="119:119" x14ac:dyDescent="0.2">
      <c r="DO5244" s="303" t="s">
        <v>232</v>
      </c>
    </row>
    <row r="5245" spans="119:119" x14ac:dyDescent="0.2">
      <c r="DO5245" s="303" t="s">
        <v>232</v>
      </c>
    </row>
    <row r="5246" spans="119:119" x14ac:dyDescent="0.2">
      <c r="DO5246" s="303" t="s">
        <v>232</v>
      </c>
    </row>
    <row r="5247" spans="119:119" x14ac:dyDescent="0.2">
      <c r="DO5247" s="303" t="s">
        <v>232</v>
      </c>
    </row>
    <row r="5248" spans="119:119" x14ac:dyDescent="0.2">
      <c r="DO5248" s="303" t="s">
        <v>232</v>
      </c>
    </row>
    <row r="5249" spans="119:119" x14ac:dyDescent="0.2">
      <c r="DO5249" s="303" t="s">
        <v>232</v>
      </c>
    </row>
    <row r="5250" spans="119:119" x14ac:dyDescent="0.2">
      <c r="DO5250" s="303" t="s">
        <v>232</v>
      </c>
    </row>
    <row r="5251" spans="119:119" x14ac:dyDescent="0.2">
      <c r="DO5251" s="303" t="s">
        <v>232</v>
      </c>
    </row>
    <row r="5252" spans="119:119" x14ac:dyDescent="0.2">
      <c r="DO5252" s="303" t="s">
        <v>232</v>
      </c>
    </row>
    <row r="5253" spans="119:119" x14ac:dyDescent="0.2">
      <c r="DO5253" s="303" t="s">
        <v>232</v>
      </c>
    </row>
    <row r="5254" spans="119:119" x14ac:dyDescent="0.2">
      <c r="DO5254" s="303" t="s">
        <v>232</v>
      </c>
    </row>
    <row r="5255" spans="119:119" x14ac:dyDescent="0.2">
      <c r="DO5255" s="303" t="s">
        <v>232</v>
      </c>
    </row>
    <row r="5256" spans="119:119" x14ac:dyDescent="0.2">
      <c r="DO5256" s="303" t="s">
        <v>232</v>
      </c>
    </row>
    <row r="5257" spans="119:119" x14ac:dyDescent="0.2">
      <c r="DO5257" s="303" t="s">
        <v>232</v>
      </c>
    </row>
    <row r="5258" spans="119:119" x14ac:dyDescent="0.2">
      <c r="DO5258" s="303" t="s">
        <v>232</v>
      </c>
    </row>
    <row r="5259" spans="119:119" x14ac:dyDescent="0.2">
      <c r="DO5259" s="303" t="s">
        <v>232</v>
      </c>
    </row>
    <row r="5260" spans="119:119" x14ac:dyDescent="0.2">
      <c r="DO5260" s="303" t="s">
        <v>232</v>
      </c>
    </row>
    <row r="5261" spans="119:119" x14ac:dyDescent="0.2">
      <c r="DO5261" s="303" t="s">
        <v>232</v>
      </c>
    </row>
    <row r="5262" spans="119:119" x14ac:dyDescent="0.2">
      <c r="DO5262" s="303" t="s">
        <v>232</v>
      </c>
    </row>
    <row r="5263" spans="119:119" x14ac:dyDescent="0.2">
      <c r="DO5263" s="303" t="s">
        <v>232</v>
      </c>
    </row>
    <row r="5264" spans="119:119" x14ac:dyDescent="0.2">
      <c r="DO5264" s="303" t="s">
        <v>232</v>
      </c>
    </row>
    <row r="5265" spans="119:119" x14ac:dyDescent="0.2">
      <c r="DO5265" s="303" t="s">
        <v>232</v>
      </c>
    </row>
    <row r="5266" spans="119:119" x14ac:dyDescent="0.2">
      <c r="DO5266" s="303" t="s">
        <v>232</v>
      </c>
    </row>
    <row r="5267" spans="119:119" x14ac:dyDescent="0.2">
      <c r="DO5267" s="303" t="s">
        <v>232</v>
      </c>
    </row>
    <row r="5268" spans="119:119" x14ac:dyDescent="0.2">
      <c r="DO5268" s="303" t="s">
        <v>232</v>
      </c>
    </row>
    <row r="5269" spans="119:119" x14ac:dyDescent="0.2">
      <c r="DO5269" s="303" t="s">
        <v>232</v>
      </c>
    </row>
    <row r="5270" spans="119:119" x14ac:dyDescent="0.2">
      <c r="DO5270" s="303" t="s">
        <v>232</v>
      </c>
    </row>
    <row r="5271" spans="119:119" x14ac:dyDescent="0.2">
      <c r="DO5271" s="303" t="s">
        <v>232</v>
      </c>
    </row>
    <row r="5272" spans="119:119" x14ac:dyDescent="0.2">
      <c r="DO5272" s="303" t="s">
        <v>232</v>
      </c>
    </row>
    <row r="5273" spans="119:119" x14ac:dyDescent="0.2">
      <c r="DO5273" s="303" t="s">
        <v>232</v>
      </c>
    </row>
    <row r="5274" spans="119:119" x14ac:dyDescent="0.2">
      <c r="DO5274" s="303" t="s">
        <v>232</v>
      </c>
    </row>
    <row r="5275" spans="119:119" x14ac:dyDescent="0.2">
      <c r="DO5275" s="303" t="s">
        <v>232</v>
      </c>
    </row>
    <row r="5276" spans="119:119" x14ac:dyDescent="0.2">
      <c r="DO5276" s="303" t="s">
        <v>232</v>
      </c>
    </row>
    <row r="5277" spans="119:119" x14ac:dyDescent="0.2">
      <c r="DO5277" s="303" t="s">
        <v>232</v>
      </c>
    </row>
    <row r="5278" spans="119:119" x14ac:dyDescent="0.2">
      <c r="DO5278" s="303" t="s">
        <v>232</v>
      </c>
    </row>
    <row r="5279" spans="119:119" x14ac:dyDescent="0.2">
      <c r="DO5279" s="303" t="s">
        <v>232</v>
      </c>
    </row>
    <row r="5280" spans="119:119" x14ac:dyDescent="0.2">
      <c r="DO5280" s="303" t="s">
        <v>232</v>
      </c>
    </row>
    <row r="5281" spans="119:119" x14ac:dyDescent="0.2">
      <c r="DO5281" s="303" t="s">
        <v>232</v>
      </c>
    </row>
    <row r="5282" spans="119:119" x14ac:dyDescent="0.2">
      <c r="DO5282" s="303" t="s">
        <v>232</v>
      </c>
    </row>
    <row r="5283" spans="119:119" x14ac:dyDescent="0.2">
      <c r="DO5283" s="303" t="s">
        <v>232</v>
      </c>
    </row>
    <row r="5284" spans="119:119" x14ac:dyDescent="0.2">
      <c r="DO5284" s="303" t="s">
        <v>232</v>
      </c>
    </row>
    <row r="5285" spans="119:119" x14ac:dyDescent="0.2">
      <c r="DO5285" s="303" t="s">
        <v>232</v>
      </c>
    </row>
    <row r="5286" spans="119:119" x14ac:dyDescent="0.2">
      <c r="DO5286" s="303" t="s">
        <v>232</v>
      </c>
    </row>
    <row r="5287" spans="119:119" x14ac:dyDescent="0.2">
      <c r="DO5287" s="303" t="s">
        <v>232</v>
      </c>
    </row>
    <row r="5288" spans="119:119" x14ac:dyDescent="0.2">
      <c r="DO5288" s="303" t="s">
        <v>232</v>
      </c>
    </row>
    <row r="5289" spans="119:119" x14ac:dyDescent="0.2">
      <c r="DO5289" s="303" t="s">
        <v>232</v>
      </c>
    </row>
    <row r="5290" spans="119:119" x14ac:dyDescent="0.2">
      <c r="DO5290" s="303" t="s">
        <v>232</v>
      </c>
    </row>
    <row r="5291" spans="119:119" x14ac:dyDescent="0.2">
      <c r="DO5291" s="303" t="s">
        <v>232</v>
      </c>
    </row>
    <row r="5292" spans="119:119" x14ac:dyDescent="0.2">
      <c r="DO5292" s="303" t="s">
        <v>232</v>
      </c>
    </row>
    <row r="5293" spans="119:119" x14ac:dyDescent="0.2">
      <c r="DO5293" s="303" t="s">
        <v>232</v>
      </c>
    </row>
    <row r="5294" spans="119:119" x14ac:dyDescent="0.2">
      <c r="DO5294" s="303" t="s">
        <v>232</v>
      </c>
    </row>
    <row r="5295" spans="119:119" x14ac:dyDescent="0.2">
      <c r="DO5295" s="303" t="s">
        <v>232</v>
      </c>
    </row>
    <row r="5296" spans="119:119" x14ac:dyDescent="0.2">
      <c r="DO5296" s="303" t="s">
        <v>232</v>
      </c>
    </row>
    <row r="5297" spans="119:119" x14ac:dyDescent="0.2">
      <c r="DO5297" s="303" t="s">
        <v>232</v>
      </c>
    </row>
    <row r="5298" spans="119:119" x14ac:dyDescent="0.2">
      <c r="DO5298" s="303" t="s">
        <v>232</v>
      </c>
    </row>
    <row r="5299" spans="119:119" x14ac:dyDescent="0.2">
      <c r="DO5299" s="303" t="s">
        <v>232</v>
      </c>
    </row>
    <row r="5300" spans="119:119" x14ac:dyDescent="0.2">
      <c r="DO5300" s="303" t="s">
        <v>232</v>
      </c>
    </row>
    <row r="5301" spans="119:119" x14ac:dyDescent="0.2">
      <c r="DO5301" s="303" t="s">
        <v>232</v>
      </c>
    </row>
    <row r="5302" spans="119:119" x14ac:dyDescent="0.2">
      <c r="DO5302" s="303" t="s">
        <v>232</v>
      </c>
    </row>
    <row r="5303" spans="119:119" x14ac:dyDescent="0.2">
      <c r="DO5303" s="303" t="s">
        <v>232</v>
      </c>
    </row>
    <row r="5304" spans="119:119" x14ac:dyDescent="0.2">
      <c r="DO5304" s="303" t="s">
        <v>232</v>
      </c>
    </row>
    <row r="5305" spans="119:119" x14ac:dyDescent="0.2">
      <c r="DO5305" s="303" t="s">
        <v>232</v>
      </c>
    </row>
    <row r="5306" spans="119:119" x14ac:dyDescent="0.2">
      <c r="DO5306" s="303" t="s">
        <v>232</v>
      </c>
    </row>
    <row r="5307" spans="119:119" x14ac:dyDescent="0.2">
      <c r="DO5307" s="303" t="s">
        <v>232</v>
      </c>
    </row>
    <row r="5308" spans="119:119" x14ac:dyDescent="0.2">
      <c r="DO5308" s="303" t="s">
        <v>232</v>
      </c>
    </row>
    <row r="5309" spans="119:119" x14ac:dyDescent="0.2">
      <c r="DO5309" s="303" t="s">
        <v>232</v>
      </c>
    </row>
    <row r="5310" spans="119:119" x14ac:dyDescent="0.2">
      <c r="DO5310" s="303" t="s">
        <v>232</v>
      </c>
    </row>
    <row r="5311" spans="119:119" x14ac:dyDescent="0.2">
      <c r="DO5311" s="303" t="s">
        <v>232</v>
      </c>
    </row>
    <row r="5312" spans="119:119" x14ac:dyDescent="0.2">
      <c r="DO5312" s="303" t="s">
        <v>232</v>
      </c>
    </row>
    <row r="5313" spans="119:119" x14ac:dyDescent="0.2">
      <c r="DO5313" s="303" t="s">
        <v>232</v>
      </c>
    </row>
    <row r="5314" spans="119:119" x14ac:dyDescent="0.2">
      <c r="DO5314" s="303" t="s">
        <v>232</v>
      </c>
    </row>
    <row r="5315" spans="119:119" x14ac:dyDescent="0.2">
      <c r="DO5315" s="303" t="s">
        <v>232</v>
      </c>
    </row>
    <row r="5316" spans="119:119" x14ac:dyDescent="0.2">
      <c r="DO5316" s="303" t="s">
        <v>232</v>
      </c>
    </row>
    <row r="5317" spans="119:119" x14ac:dyDescent="0.2">
      <c r="DO5317" s="303" t="s">
        <v>232</v>
      </c>
    </row>
    <row r="5318" spans="119:119" x14ac:dyDescent="0.2">
      <c r="DO5318" s="303" t="s">
        <v>232</v>
      </c>
    </row>
    <row r="5319" spans="119:119" x14ac:dyDescent="0.2">
      <c r="DO5319" s="303" t="s">
        <v>232</v>
      </c>
    </row>
    <row r="5320" spans="119:119" x14ac:dyDescent="0.2">
      <c r="DO5320" s="303" t="s">
        <v>232</v>
      </c>
    </row>
    <row r="5321" spans="119:119" x14ac:dyDescent="0.2">
      <c r="DO5321" s="303" t="s">
        <v>232</v>
      </c>
    </row>
    <row r="5322" spans="119:119" x14ac:dyDescent="0.2">
      <c r="DO5322" s="303" t="s">
        <v>232</v>
      </c>
    </row>
    <row r="5323" spans="119:119" x14ac:dyDescent="0.2">
      <c r="DO5323" s="303" t="s">
        <v>232</v>
      </c>
    </row>
    <row r="5324" spans="119:119" x14ac:dyDescent="0.2">
      <c r="DO5324" s="303" t="s">
        <v>232</v>
      </c>
    </row>
    <row r="5325" spans="119:119" x14ac:dyDescent="0.2">
      <c r="DO5325" s="303" t="s">
        <v>232</v>
      </c>
    </row>
    <row r="5326" spans="119:119" x14ac:dyDescent="0.2">
      <c r="DO5326" s="303" t="s">
        <v>232</v>
      </c>
    </row>
    <row r="5327" spans="119:119" x14ac:dyDescent="0.2">
      <c r="DO5327" s="303" t="s">
        <v>232</v>
      </c>
    </row>
    <row r="5328" spans="119:119" x14ac:dyDescent="0.2">
      <c r="DO5328" s="303" t="s">
        <v>232</v>
      </c>
    </row>
    <row r="5329" spans="119:119" x14ac:dyDescent="0.2">
      <c r="DO5329" s="303" t="s">
        <v>232</v>
      </c>
    </row>
    <row r="5330" spans="119:119" x14ac:dyDescent="0.2">
      <c r="DO5330" s="303" t="s">
        <v>232</v>
      </c>
    </row>
    <row r="5331" spans="119:119" x14ac:dyDescent="0.2">
      <c r="DO5331" s="303" t="s">
        <v>232</v>
      </c>
    </row>
    <row r="5332" spans="119:119" x14ac:dyDescent="0.2">
      <c r="DO5332" s="303" t="s">
        <v>232</v>
      </c>
    </row>
    <row r="5333" spans="119:119" x14ac:dyDescent="0.2">
      <c r="DO5333" s="303" t="s">
        <v>232</v>
      </c>
    </row>
    <row r="5334" spans="119:119" x14ac:dyDescent="0.2">
      <c r="DO5334" s="303" t="s">
        <v>232</v>
      </c>
    </row>
    <row r="5335" spans="119:119" x14ac:dyDescent="0.2">
      <c r="DO5335" s="303" t="s">
        <v>232</v>
      </c>
    </row>
    <row r="5336" spans="119:119" x14ac:dyDescent="0.2">
      <c r="DO5336" s="303" t="s">
        <v>232</v>
      </c>
    </row>
    <row r="5337" spans="119:119" x14ac:dyDescent="0.2">
      <c r="DO5337" s="303" t="s">
        <v>232</v>
      </c>
    </row>
    <row r="5338" spans="119:119" x14ac:dyDescent="0.2">
      <c r="DO5338" s="303" t="s">
        <v>232</v>
      </c>
    </row>
    <row r="5339" spans="119:119" x14ac:dyDescent="0.2">
      <c r="DO5339" s="303" t="s">
        <v>232</v>
      </c>
    </row>
    <row r="5340" spans="119:119" x14ac:dyDescent="0.2">
      <c r="DO5340" s="303" t="s">
        <v>232</v>
      </c>
    </row>
    <row r="5341" spans="119:119" x14ac:dyDescent="0.2">
      <c r="DO5341" s="303" t="s">
        <v>232</v>
      </c>
    </row>
    <row r="5342" spans="119:119" x14ac:dyDescent="0.2">
      <c r="DO5342" s="303" t="s">
        <v>232</v>
      </c>
    </row>
    <row r="5343" spans="119:119" x14ac:dyDescent="0.2">
      <c r="DO5343" s="303" t="s">
        <v>232</v>
      </c>
    </row>
    <row r="5344" spans="119:119" x14ac:dyDescent="0.2">
      <c r="DO5344" s="303" t="s">
        <v>232</v>
      </c>
    </row>
    <row r="5345" spans="119:119" x14ac:dyDescent="0.2">
      <c r="DO5345" s="303" t="s">
        <v>232</v>
      </c>
    </row>
    <row r="5346" spans="119:119" x14ac:dyDescent="0.2">
      <c r="DO5346" s="303" t="s">
        <v>232</v>
      </c>
    </row>
    <row r="5347" spans="119:119" x14ac:dyDescent="0.2">
      <c r="DO5347" s="303" t="s">
        <v>232</v>
      </c>
    </row>
    <row r="5348" spans="119:119" x14ac:dyDescent="0.2">
      <c r="DO5348" s="303" t="s">
        <v>232</v>
      </c>
    </row>
    <row r="5349" spans="119:119" x14ac:dyDescent="0.2">
      <c r="DO5349" s="303" t="s">
        <v>232</v>
      </c>
    </row>
    <row r="5350" spans="119:119" x14ac:dyDescent="0.2">
      <c r="DO5350" s="303" t="s">
        <v>232</v>
      </c>
    </row>
    <row r="5351" spans="119:119" x14ac:dyDescent="0.2">
      <c r="DO5351" s="303" t="s">
        <v>232</v>
      </c>
    </row>
    <row r="5352" spans="119:119" x14ac:dyDescent="0.2">
      <c r="DO5352" s="303" t="s">
        <v>232</v>
      </c>
    </row>
    <row r="5353" spans="119:119" x14ac:dyDescent="0.2">
      <c r="DO5353" s="303" t="s">
        <v>232</v>
      </c>
    </row>
    <row r="5354" spans="119:119" x14ac:dyDescent="0.2">
      <c r="DO5354" s="303" t="s">
        <v>232</v>
      </c>
    </row>
    <row r="5355" spans="119:119" x14ac:dyDescent="0.2">
      <c r="DO5355" s="303" t="s">
        <v>232</v>
      </c>
    </row>
    <row r="5356" spans="119:119" x14ac:dyDescent="0.2">
      <c r="DO5356" s="303" t="s">
        <v>232</v>
      </c>
    </row>
    <row r="5357" spans="119:119" x14ac:dyDescent="0.2">
      <c r="DO5357" s="303" t="s">
        <v>232</v>
      </c>
    </row>
    <row r="5358" spans="119:119" x14ac:dyDescent="0.2">
      <c r="DO5358" s="303" t="s">
        <v>232</v>
      </c>
    </row>
    <row r="5359" spans="119:119" x14ac:dyDescent="0.2">
      <c r="DO5359" s="303" t="s">
        <v>232</v>
      </c>
    </row>
    <row r="5360" spans="119:119" x14ac:dyDescent="0.2">
      <c r="DO5360" s="303" t="s">
        <v>232</v>
      </c>
    </row>
    <row r="5361" spans="119:119" x14ac:dyDescent="0.2">
      <c r="DO5361" s="303" t="s">
        <v>232</v>
      </c>
    </row>
    <row r="5362" spans="119:119" x14ac:dyDescent="0.2">
      <c r="DO5362" s="303" t="s">
        <v>232</v>
      </c>
    </row>
    <row r="5363" spans="119:119" x14ac:dyDescent="0.2">
      <c r="DO5363" s="303" t="s">
        <v>232</v>
      </c>
    </row>
    <row r="5364" spans="119:119" x14ac:dyDescent="0.2">
      <c r="DO5364" s="303" t="s">
        <v>232</v>
      </c>
    </row>
    <row r="5365" spans="119:119" x14ac:dyDescent="0.2">
      <c r="DO5365" s="303" t="s">
        <v>232</v>
      </c>
    </row>
    <row r="5366" spans="119:119" x14ac:dyDescent="0.2">
      <c r="DO5366" s="303" t="s">
        <v>232</v>
      </c>
    </row>
    <row r="5367" spans="119:119" x14ac:dyDescent="0.2">
      <c r="DO5367" s="303" t="s">
        <v>232</v>
      </c>
    </row>
    <row r="5368" spans="119:119" x14ac:dyDescent="0.2">
      <c r="DO5368" s="303" t="s">
        <v>232</v>
      </c>
    </row>
    <row r="5369" spans="119:119" x14ac:dyDescent="0.2">
      <c r="DO5369" s="303" t="s">
        <v>232</v>
      </c>
    </row>
    <row r="5370" spans="119:119" x14ac:dyDescent="0.2">
      <c r="DO5370" s="303" t="s">
        <v>232</v>
      </c>
    </row>
    <row r="5371" spans="119:119" x14ac:dyDescent="0.2">
      <c r="DO5371" s="303" t="s">
        <v>232</v>
      </c>
    </row>
    <row r="5372" spans="119:119" x14ac:dyDescent="0.2">
      <c r="DO5372" s="303" t="s">
        <v>232</v>
      </c>
    </row>
    <row r="5373" spans="119:119" x14ac:dyDescent="0.2">
      <c r="DO5373" s="303" t="s">
        <v>232</v>
      </c>
    </row>
    <row r="5374" spans="119:119" x14ac:dyDescent="0.2">
      <c r="DO5374" s="303" t="s">
        <v>232</v>
      </c>
    </row>
    <row r="5375" spans="119:119" x14ac:dyDescent="0.2">
      <c r="DO5375" s="303" t="s">
        <v>232</v>
      </c>
    </row>
    <row r="5376" spans="119:119" x14ac:dyDescent="0.2">
      <c r="DO5376" s="303" t="s">
        <v>232</v>
      </c>
    </row>
    <row r="5377" spans="119:119" x14ac:dyDescent="0.2">
      <c r="DO5377" s="303" t="s">
        <v>232</v>
      </c>
    </row>
    <row r="5378" spans="119:119" x14ac:dyDescent="0.2">
      <c r="DO5378" s="303" t="s">
        <v>232</v>
      </c>
    </row>
    <row r="5379" spans="119:119" x14ac:dyDescent="0.2">
      <c r="DO5379" s="303" t="s">
        <v>232</v>
      </c>
    </row>
    <row r="5380" spans="119:119" x14ac:dyDescent="0.2">
      <c r="DO5380" s="303" t="s">
        <v>232</v>
      </c>
    </row>
    <row r="5381" spans="119:119" x14ac:dyDescent="0.2">
      <c r="DO5381" s="303" t="s">
        <v>232</v>
      </c>
    </row>
    <row r="5382" spans="119:119" x14ac:dyDescent="0.2">
      <c r="DO5382" s="303" t="s">
        <v>232</v>
      </c>
    </row>
    <row r="5383" spans="119:119" x14ac:dyDescent="0.2">
      <c r="DO5383" s="303" t="s">
        <v>232</v>
      </c>
    </row>
    <row r="5384" spans="119:119" x14ac:dyDescent="0.2">
      <c r="DO5384" s="303" t="s">
        <v>232</v>
      </c>
    </row>
    <row r="5385" spans="119:119" x14ac:dyDescent="0.2">
      <c r="DO5385" s="303" t="s">
        <v>232</v>
      </c>
    </row>
    <row r="5386" spans="119:119" x14ac:dyDescent="0.2">
      <c r="DO5386" s="303" t="s">
        <v>232</v>
      </c>
    </row>
    <row r="5387" spans="119:119" x14ac:dyDescent="0.2">
      <c r="DO5387" s="303" t="s">
        <v>232</v>
      </c>
    </row>
    <row r="5388" spans="119:119" x14ac:dyDescent="0.2">
      <c r="DO5388" s="303" t="s">
        <v>232</v>
      </c>
    </row>
    <row r="5389" spans="119:119" x14ac:dyDescent="0.2">
      <c r="DO5389" s="303" t="s">
        <v>232</v>
      </c>
    </row>
    <row r="5390" spans="119:119" x14ac:dyDescent="0.2">
      <c r="DO5390" s="303" t="s">
        <v>232</v>
      </c>
    </row>
    <row r="5391" spans="119:119" x14ac:dyDescent="0.2">
      <c r="DO5391" s="303" t="s">
        <v>232</v>
      </c>
    </row>
    <row r="5392" spans="119:119" x14ac:dyDescent="0.2">
      <c r="DO5392" s="303" t="s">
        <v>232</v>
      </c>
    </row>
    <row r="5393" spans="119:119" x14ac:dyDescent="0.2">
      <c r="DO5393" s="303" t="s">
        <v>232</v>
      </c>
    </row>
    <row r="5394" spans="119:119" x14ac:dyDescent="0.2">
      <c r="DO5394" s="303" t="s">
        <v>232</v>
      </c>
    </row>
    <row r="5395" spans="119:119" x14ac:dyDescent="0.2">
      <c r="DO5395" s="303" t="s">
        <v>232</v>
      </c>
    </row>
    <row r="5396" spans="119:119" x14ac:dyDescent="0.2">
      <c r="DO5396" s="303" t="s">
        <v>232</v>
      </c>
    </row>
    <row r="5397" spans="119:119" x14ac:dyDescent="0.2">
      <c r="DO5397" s="303" t="s">
        <v>232</v>
      </c>
    </row>
    <row r="5398" spans="119:119" x14ac:dyDescent="0.2">
      <c r="DO5398" s="303" t="s">
        <v>232</v>
      </c>
    </row>
    <row r="5399" spans="119:119" x14ac:dyDescent="0.2">
      <c r="DO5399" s="303" t="s">
        <v>232</v>
      </c>
    </row>
    <row r="5400" spans="119:119" x14ac:dyDescent="0.2">
      <c r="DO5400" s="303" t="s">
        <v>232</v>
      </c>
    </row>
    <row r="5401" spans="119:119" x14ac:dyDescent="0.2">
      <c r="DO5401" s="303" t="s">
        <v>232</v>
      </c>
    </row>
    <row r="5402" spans="119:119" x14ac:dyDescent="0.2">
      <c r="DO5402" s="303" t="s">
        <v>232</v>
      </c>
    </row>
    <row r="5403" spans="119:119" x14ac:dyDescent="0.2">
      <c r="DO5403" s="303" t="s">
        <v>232</v>
      </c>
    </row>
    <row r="5404" spans="119:119" x14ac:dyDescent="0.2">
      <c r="DO5404" s="303" t="s">
        <v>232</v>
      </c>
    </row>
    <row r="5405" spans="119:119" x14ac:dyDescent="0.2">
      <c r="DO5405" s="303" t="s">
        <v>232</v>
      </c>
    </row>
    <row r="5406" spans="119:119" x14ac:dyDescent="0.2">
      <c r="DO5406" s="303" t="s">
        <v>232</v>
      </c>
    </row>
    <row r="5407" spans="119:119" x14ac:dyDescent="0.2">
      <c r="DO5407" s="303" t="s">
        <v>232</v>
      </c>
    </row>
    <row r="5408" spans="119:119" x14ac:dyDescent="0.2">
      <c r="DO5408" s="303" t="s">
        <v>232</v>
      </c>
    </row>
    <row r="5409" spans="119:119" x14ac:dyDescent="0.2">
      <c r="DO5409" s="303" t="s">
        <v>232</v>
      </c>
    </row>
    <row r="5410" spans="119:119" x14ac:dyDescent="0.2">
      <c r="DO5410" s="303" t="s">
        <v>232</v>
      </c>
    </row>
    <row r="5411" spans="119:119" x14ac:dyDescent="0.2">
      <c r="DO5411" s="303" t="s">
        <v>232</v>
      </c>
    </row>
    <row r="5412" spans="119:119" x14ac:dyDescent="0.2">
      <c r="DO5412" s="303" t="s">
        <v>232</v>
      </c>
    </row>
    <row r="5413" spans="119:119" x14ac:dyDescent="0.2">
      <c r="DO5413" s="303" t="s">
        <v>232</v>
      </c>
    </row>
    <row r="5414" spans="119:119" x14ac:dyDescent="0.2">
      <c r="DO5414" s="303" t="s">
        <v>232</v>
      </c>
    </row>
    <row r="5415" spans="119:119" x14ac:dyDescent="0.2">
      <c r="DO5415" s="303" t="s">
        <v>232</v>
      </c>
    </row>
    <row r="5416" spans="119:119" x14ac:dyDescent="0.2">
      <c r="DO5416" s="303" t="s">
        <v>232</v>
      </c>
    </row>
    <row r="5417" spans="119:119" x14ac:dyDescent="0.2">
      <c r="DO5417" s="303" t="s">
        <v>232</v>
      </c>
    </row>
    <row r="5418" spans="119:119" x14ac:dyDescent="0.2">
      <c r="DO5418" s="303" t="s">
        <v>232</v>
      </c>
    </row>
    <row r="5419" spans="119:119" x14ac:dyDescent="0.2">
      <c r="DO5419" s="303" t="s">
        <v>232</v>
      </c>
    </row>
    <row r="5420" spans="119:119" x14ac:dyDescent="0.2">
      <c r="DO5420" s="303" t="s">
        <v>232</v>
      </c>
    </row>
    <row r="5421" spans="119:119" x14ac:dyDescent="0.2">
      <c r="DO5421" s="303" t="s">
        <v>232</v>
      </c>
    </row>
    <row r="5422" spans="119:119" x14ac:dyDescent="0.2">
      <c r="DO5422" s="303" t="s">
        <v>232</v>
      </c>
    </row>
    <row r="5423" spans="119:119" x14ac:dyDescent="0.2">
      <c r="DO5423" s="303" t="s">
        <v>232</v>
      </c>
    </row>
    <row r="5424" spans="119:119" x14ac:dyDescent="0.2">
      <c r="DO5424" s="303" t="s">
        <v>232</v>
      </c>
    </row>
    <row r="5425" spans="119:119" x14ac:dyDescent="0.2">
      <c r="DO5425" s="303" t="s">
        <v>232</v>
      </c>
    </row>
    <row r="5426" spans="119:119" x14ac:dyDescent="0.2">
      <c r="DO5426" s="303" t="s">
        <v>232</v>
      </c>
    </row>
    <row r="5427" spans="119:119" x14ac:dyDescent="0.2">
      <c r="DO5427" s="303" t="s">
        <v>232</v>
      </c>
    </row>
    <row r="5428" spans="119:119" x14ac:dyDescent="0.2">
      <c r="DO5428" s="303" t="s">
        <v>232</v>
      </c>
    </row>
    <row r="5429" spans="119:119" x14ac:dyDescent="0.2">
      <c r="DO5429" s="303" t="s">
        <v>232</v>
      </c>
    </row>
    <row r="5430" spans="119:119" x14ac:dyDescent="0.2">
      <c r="DO5430" s="303" t="s">
        <v>232</v>
      </c>
    </row>
    <row r="5431" spans="119:119" x14ac:dyDescent="0.2">
      <c r="DO5431" s="303" t="s">
        <v>232</v>
      </c>
    </row>
    <row r="5432" spans="119:119" x14ac:dyDescent="0.2">
      <c r="DO5432" s="303" t="s">
        <v>232</v>
      </c>
    </row>
    <row r="5433" spans="119:119" x14ac:dyDescent="0.2">
      <c r="DO5433" s="303" t="s">
        <v>232</v>
      </c>
    </row>
    <row r="5434" spans="119:119" x14ac:dyDescent="0.2">
      <c r="DO5434" s="303" t="s">
        <v>232</v>
      </c>
    </row>
    <row r="5435" spans="119:119" x14ac:dyDescent="0.2">
      <c r="DO5435" s="303" t="s">
        <v>232</v>
      </c>
    </row>
    <row r="5436" spans="119:119" x14ac:dyDescent="0.2">
      <c r="DO5436" s="303" t="s">
        <v>232</v>
      </c>
    </row>
    <row r="5437" spans="119:119" x14ac:dyDescent="0.2">
      <c r="DO5437" s="303" t="s">
        <v>232</v>
      </c>
    </row>
    <row r="5438" spans="119:119" x14ac:dyDescent="0.2">
      <c r="DO5438" s="303" t="s">
        <v>232</v>
      </c>
    </row>
    <row r="5439" spans="119:119" x14ac:dyDescent="0.2">
      <c r="DO5439" s="303" t="s">
        <v>232</v>
      </c>
    </row>
    <row r="5440" spans="119:119" x14ac:dyDescent="0.2">
      <c r="DO5440" s="303" t="s">
        <v>232</v>
      </c>
    </row>
    <row r="5441" spans="119:119" x14ac:dyDescent="0.2">
      <c r="DO5441" s="303" t="s">
        <v>232</v>
      </c>
    </row>
    <row r="5442" spans="119:119" x14ac:dyDescent="0.2">
      <c r="DO5442" s="303" t="s">
        <v>232</v>
      </c>
    </row>
    <row r="5443" spans="119:119" x14ac:dyDescent="0.2">
      <c r="DO5443" s="303" t="s">
        <v>232</v>
      </c>
    </row>
    <row r="5444" spans="119:119" x14ac:dyDescent="0.2">
      <c r="DO5444" s="303" t="s">
        <v>232</v>
      </c>
    </row>
    <row r="5445" spans="119:119" x14ac:dyDescent="0.2">
      <c r="DO5445" s="303" t="s">
        <v>232</v>
      </c>
    </row>
    <row r="5446" spans="119:119" x14ac:dyDescent="0.2">
      <c r="DO5446" s="303" t="s">
        <v>232</v>
      </c>
    </row>
    <row r="5447" spans="119:119" x14ac:dyDescent="0.2">
      <c r="DO5447" s="303" t="s">
        <v>232</v>
      </c>
    </row>
    <row r="5448" spans="119:119" x14ac:dyDescent="0.2">
      <c r="DO5448" s="303" t="s">
        <v>232</v>
      </c>
    </row>
    <row r="5449" spans="119:119" x14ac:dyDescent="0.2">
      <c r="DO5449" s="303" t="s">
        <v>232</v>
      </c>
    </row>
    <row r="5450" spans="119:119" x14ac:dyDescent="0.2">
      <c r="DO5450" s="303" t="s">
        <v>232</v>
      </c>
    </row>
    <row r="5451" spans="119:119" x14ac:dyDescent="0.2">
      <c r="DO5451" s="303" t="s">
        <v>232</v>
      </c>
    </row>
    <row r="5452" spans="119:119" x14ac:dyDescent="0.2">
      <c r="DO5452" s="303" t="s">
        <v>232</v>
      </c>
    </row>
    <row r="5453" spans="119:119" x14ac:dyDescent="0.2">
      <c r="DO5453" s="303" t="s">
        <v>232</v>
      </c>
    </row>
    <row r="5454" spans="119:119" x14ac:dyDescent="0.2">
      <c r="DO5454" s="303" t="s">
        <v>232</v>
      </c>
    </row>
    <row r="5455" spans="119:119" x14ac:dyDescent="0.2">
      <c r="DO5455" s="303" t="s">
        <v>232</v>
      </c>
    </row>
    <row r="5456" spans="119:119" x14ac:dyDescent="0.2">
      <c r="DO5456" s="303" t="s">
        <v>232</v>
      </c>
    </row>
    <row r="5457" spans="119:119" x14ac:dyDescent="0.2">
      <c r="DO5457" s="303" t="s">
        <v>232</v>
      </c>
    </row>
    <row r="5458" spans="119:119" x14ac:dyDescent="0.2">
      <c r="DO5458" s="303" t="s">
        <v>232</v>
      </c>
    </row>
    <row r="5459" spans="119:119" x14ac:dyDescent="0.2">
      <c r="DO5459" s="303" t="s">
        <v>232</v>
      </c>
    </row>
    <row r="5460" spans="119:119" x14ac:dyDescent="0.2">
      <c r="DO5460" s="303" t="s">
        <v>232</v>
      </c>
    </row>
    <row r="5461" spans="119:119" x14ac:dyDescent="0.2">
      <c r="DO5461" s="303" t="s">
        <v>232</v>
      </c>
    </row>
    <row r="5462" spans="119:119" x14ac:dyDescent="0.2">
      <c r="DO5462" s="303" t="s">
        <v>232</v>
      </c>
    </row>
    <row r="5463" spans="119:119" x14ac:dyDescent="0.2">
      <c r="DO5463" s="303" t="s">
        <v>232</v>
      </c>
    </row>
    <row r="5464" spans="119:119" x14ac:dyDescent="0.2">
      <c r="DO5464" s="303" t="s">
        <v>232</v>
      </c>
    </row>
    <row r="5465" spans="119:119" x14ac:dyDescent="0.2">
      <c r="DO5465" s="303" t="s">
        <v>232</v>
      </c>
    </row>
    <row r="5466" spans="119:119" x14ac:dyDescent="0.2">
      <c r="DO5466" s="303" t="s">
        <v>232</v>
      </c>
    </row>
    <row r="5467" spans="119:119" x14ac:dyDescent="0.2">
      <c r="DO5467" s="303" t="s">
        <v>232</v>
      </c>
    </row>
    <row r="5468" spans="119:119" x14ac:dyDescent="0.2">
      <c r="DO5468" s="303" t="s">
        <v>232</v>
      </c>
    </row>
    <row r="5469" spans="119:119" x14ac:dyDescent="0.2">
      <c r="DO5469" s="303" t="s">
        <v>232</v>
      </c>
    </row>
    <row r="5470" spans="119:119" x14ac:dyDescent="0.2">
      <c r="DO5470" s="303" t="s">
        <v>232</v>
      </c>
    </row>
    <row r="5471" spans="119:119" x14ac:dyDescent="0.2">
      <c r="DO5471" s="303" t="s">
        <v>232</v>
      </c>
    </row>
    <row r="5472" spans="119:119" x14ac:dyDescent="0.2">
      <c r="DO5472" s="303" t="s">
        <v>232</v>
      </c>
    </row>
    <row r="5473" spans="119:119" x14ac:dyDescent="0.2">
      <c r="DO5473" s="303" t="s">
        <v>232</v>
      </c>
    </row>
    <row r="5474" spans="119:119" x14ac:dyDescent="0.2">
      <c r="DO5474" s="303" t="s">
        <v>232</v>
      </c>
    </row>
    <row r="5475" spans="119:119" x14ac:dyDescent="0.2">
      <c r="DO5475" s="303" t="s">
        <v>232</v>
      </c>
    </row>
    <row r="5476" spans="119:119" x14ac:dyDescent="0.2">
      <c r="DO5476" s="303" t="s">
        <v>232</v>
      </c>
    </row>
    <row r="5477" spans="119:119" x14ac:dyDescent="0.2">
      <c r="DO5477" s="303" t="s">
        <v>232</v>
      </c>
    </row>
    <row r="5478" spans="119:119" x14ac:dyDescent="0.2">
      <c r="DO5478" s="303" t="s">
        <v>232</v>
      </c>
    </row>
    <row r="5479" spans="119:119" x14ac:dyDescent="0.2">
      <c r="DO5479" s="303" t="s">
        <v>232</v>
      </c>
    </row>
    <row r="5480" spans="119:119" x14ac:dyDescent="0.2">
      <c r="DO5480" s="303" t="s">
        <v>232</v>
      </c>
    </row>
    <row r="5481" spans="119:119" x14ac:dyDescent="0.2">
      <c r="DO5481" s="303" t="s">
        <v>232</v>
      </c>
    </row>
    <row r="5482" spans="119:119" x14ac:dyDescent="0.2">
      <c r="DO5482" s="303" t="s">
        <v>232</v>
      </c>
    </row>
    <row r="5483" spans="119:119" x14ac:dyDescent="0.2">
      <c r="DO5483" s="303" t="s">
        <v>232</v>
      </c>
    </row>
    <row r="5484" spans="119:119" x14ac:dyDescent="0.2">
      <c r="DO5484" s="303" t="s">
        <v>232</v>
      </c>
    </row>
    <row r="5485" spans="119:119" x14ac:dyDescent="0.2">
      <c r="DO5485" s="303" t="s">
        <v>232</v>
      </c>
    </row>
    <row r="5486" spans="119:119" x14ac:dyDescent="0.2">
      <c r="DO5486" s="303" t="s">
        <v>232</v>
      </c>
    </row>
    <row r="5487" spans="119:119" x14ac:dyDescent="0.2">
      <c r="DO5487" s="303" t="s">
        <v>232</v>
      </c>
    </row>
    <row r="5488" spans="119:119" x14ac:dyDescent="0.2">
      <c r="DO5488" s="303" t="s">
        <v>232</v>
      </c>
    </row>
    <row r="5489" spans="119:119" x14ac:dyDescent="0.2">
      <c r="DO5489" s="303" t="s">
        <v>232</v>
      </c>
    </row>
    <row r="5490" spans="119:119" x14ac:dyDescent="0.2">
      <c r="DO5490" s="303" t="s">
        <v>232</v>
      </c>
    </row>
    <row r="5491" spans="119:119" x14ac:dyDescent="0.2">
      <c r="DO5491" s="303" t="s">
        <v>232</v>
      </c>
    </row>
    <row r="5492" spans="119:119" x14ac:dyDescent="0.2">
      <c r="DO5492" s="303" t="s">
        <v>232</v>
      </c>
    </row>
    <row r="5493" spans="119:119" x14ac:dyDescent="0.2">
      <c r="DO5493" s="303" t="s">
        <v>232</v>
      </c>
    </row>
    <row r="5494" spans="119:119" x14ac:dyDescent="0.2">
      <c r="DO5494" s="303" t="s">
        <v>232</v>
      </c>
    </row>
    <row r="5495" spans="119:119" x14ac:dyDescent="0.2">
      <c r="DO5495" s="303" t="s">
        <v>232</v>
      </c>
    </row>
    <row r="5496" spans="119:119" x14ac:dyDescent="0.2">
      <c r="DO5496" s="303" t="s">
        <v>232</v>
      </c>
    </row>
    <row r="5497" spans="119:119" x14ac:dyDescent="0.2">
      <c r="DO5497" s="303" t="s">
        <v>232</v>
      </c>
    </row>
    <row r="5498" spans="119:119" x14ac:dyDescent="0.2">
      <c r="DO5498" s="303" t="s">
        <v>232</v>
      </c>
    </row>
    <row r="5499" spans="119:119" x14ac:dyDescent="0.2">
      <c r="DO5499" s="303" t="s">
        <v>232</v>
      </c>
    </row>
    <row r="5500" spans="119:119" x14ac:dyDescent="0.2">
      <c r="DO5500" s="303" t="s">
        <v>232</v>
      </c>
    </row>
    <row r="5501" spans="119:119" x14ac:dyDescent="0.2">
      <c r="DO5501" s="303" t="s">
        <v>232</v>
      </c>
    </row>
    <row r="5502" spans="119:119" x14ac:dyDescent="0.2">
      <c r="DO5502" s="303" t="s">
        <v>232</v>
      </c>
    </row>
    <row r="5503" spans="119:119" x14ac:dyDescent="0.2">
      <c r="DO5503" s="303" t="s">
        <v>232</v>
      </c>
    </row>
    <row r="5504" spans="119:119" x14ac:dyDescent="0.2">
      <c r="DO5504" s="303" t="s">
        <v>232</v>
      </c>
    </row>
    <row r="5505" spans="119:119" x14ac:dyDescent="0.2">
      <c r="DO5505" s="303" t="s">
        <v>232</v>
      </c>
    </row>
    <row r="5506" spans="119:119" x14ac:dyDescent="0.2">
      <c r="DO5506" s="303" t="s">
        <v>232</v>
      </c>
    </row>
    <row r="5507" spans="119:119" x14ac:dyDescent="0.2">
      <c r="DO5507" s="303" t="s">
        <v>232</v>
      </c>
    </row>
    <row r="5508" spans="119:119" x14ac:dyDescent="0.2">
      <c r="DO5508" s="303" t="s">
        <v>232</v>
      </c>
    </row>
    <row r="5509" spans="119:119" x14ac:dyDescent="0.2">
      <c r="DO5509" s="303" t="s">
        <v>232</v>
      </c>
    </row>
    <row r="5510" spans="119:119" x14ac:dyDescent="0.2">
      <c r="DO5510" s="303" t="s">
        <v>232</v>
      </c>
    </row>
    <row r="5511" spans="119:119" x14ac:dyDescent="0.2">
      <c r="DO5511" s="303" t="s">
        <v>232</v>
      </c>
    </row>
    <row r="5512" spans="119:119" x14ac:dyDescent="0.2">
      <c r="DO5512" s="303" t="s">
        <v>232</v>
      </c>
    </row>
    <row r="5513" spans="119:119" x14ac:dyDescent="0.2">
      <c r="DO5513" s="303" t="s">
        <v>232</v>
      </c>
    </row>
    <row r="5514" spans="119:119" x14ac:dyDescent="0.2">
      <c r="DO5514" s="303" t="s">
        <v>232</v>
      </c>
    </row>
    <row r="5515" spans="119:119" x14ac:dyDescent="0.2">
      <c r="DO5515" s="303" t="s">
        <v>232</v>
      </c>
    </row>
    <row r="5516" spans="119:119" x14ac:dyDescent="0.2">
      <c r="DO5516" s="303" t="s">
        <v>232</v>
      </c>
    </row>
    <row r="5517" spans="119:119" x14ac:dyDescent="0.2">
      <c r="DO5517" s="303" t="s">
        <v>232</v>
      </c>
    </row>
    <row r="5518" spans="119:119" x14ac:dyDescent="0.2">
      <c r="DO5518" s="303" t="s">
        <v>232</v>
      </c>
    </row>
    <row r="5519" spans="119:119" x14ac:dyDescent="0.2">
      <c r="DO5519" s="303" t="s">
        <v>232</v>
      </c>
    </row>
    <row r="5520" spans="119:119" x14ac:dyDescent="0.2">
      <c r="DO5520" s="303" t="s">
        <v>232</v>
      </c>
    </row>
    <row r="5521" spans="119:119" x14ac:dyDescent="0.2">
      <c r="DO5521" s="303" t="s">
        <v>232</v>
      </c>
    </row>
    <row r="5522" spans="119:119" x14ac:dyDescent="0.2">
      <c r="DO5522" s="303" t="s">
        <v>232</v>
      </c>
    </row>
    <row r="5523" spans="119:119" x14ac:dyDescent="0.2">
      <c r="DO5523" s="303" t="s">
        <v>232</v>
      </c>
    </row>
    <row r="5524" spans="119:119" x14ac:dyDescent="0.2">
      <c r="DO5524" s="303" t="s">
        <v>232</v>
      </c>
    </row>
    <row r="5525" spans="119:119" x14ac:dyDescent="0.2">
      <c r="DO5525" s="303" t="s">
        <v>232</v>
      </c>
    </row>
    <row r="5526" spans="119:119" x14ac:dyDescent="0.2">
      <c r="DO5526" s="303" t="s">
        <v>232</v>
      </c>
    </row>
    <row r="5527" spans="119:119" x14ac:dyDescent="0.2">
      <c r="DO5527" s="303" t="s">
        <v>232</v>
      </c>
    </row>
    <row r="5528" spans="119:119" x14ac:dyDescent="0.2">
      <c r="DO5528" s="303" t="s">
        <v>232</v>
      </c>
    </row>
    <row r="5529" spans="119:119" x14ac:dyDescent="0.2">
      <c r="DO5529" s="303" t="s">
        <v>232</v>
      </c>
    </row>
    <row r="5530" spans="119:119" x14ac:dyDescent="0.2">
      <c r="DO5530" s="303" t="s">
        <v>232</v>
      </c>
    </row>
    <row r="5531" spans="119:119" x14ac:dyDescent="0.2">
      <c r="DO5531" s="303" t="s">
        <v>232</v>
      </c>
    </row>
    <row r="5532" spans="119:119" x14ac:dyDescent="0.2">
      <c r="DO5532" s="303" t="s">
        <v>232</v>
      </c>
    </row>
    <row r="5533" spans="119:119" x14ac:dyDescent="0.2">
      <c r="DO5533" s="303" t="s">
        <v>232</v>
      </c>
    </row>
    <row r="5534" spans="119:119" x14ac:dyDescent="0.2">
      <c r="DO5534" s="303" t="s">
        <v>232</v>
      </c>
    </row>
    <row r="5535" spans="119:119" x14ac:dyDescent="0.2">
      <c r="DO5535" s="303" t="s">
        <v>232</v>
      </c>
    </row>
    <row r="5536" spans="119:119" x14ac:dyDescent="0.2">
      <c r="DO5536" s="303" t="s">
        <v>232</v>
      </c>
    </row>
    <row r="5537" spans="119:119" x14ac:dyDescent="0.2">
      <c r="DO5537" s="303" t="s">
        <v>232</v>
      </c>
    </row>
    <row r="5538" spans="119:119" x14ac:dyDescent="0.2">
      <c r="DO5538" s="303" t="s">
        <v>232</v>
      </c>
    </row>
    <row r="5539" spans="119:119" x14ac:dyDescent="0.2">
      <c r="DO5539" s="303" t="s">
        <v>232</v>
      </c>
    </row>
    <row r="5540" spans="119:119" x14ac:dyDescent="0.2">
      <c r="DO5540" s="303" t="s">
        <v>232</v>
      </c>
    </row>
    <row r="5541" spans="119:119" x14ac:dyDescent="0.2">
      <c r="DO5541" s="303" t="s">
        <v>232</v>
      </c>
    </row>
    <row r="5542" spans="119:119" x14ac:dyDescent="0.2">
      <c r="DO5542" s="303" t="s">
        <v>232</v>
      </c>
    </row>
    <row r="5543" spans="119:119" x14ac:dyDescent="0.2">
      <c r="DO5543" s="303" t="s">
        <v>232</v>
      </c>
    </row>
    <row r="5544" spans="119:119" x14ac:dyDescent="0.2">
      <c r="DO5544" s="303" t="s">
        <v>232</v>
      </c>
    </row>
    <row r="5545" spans="119:119" x14ac:dyDescent="0.2">
      <c r="DO5545" s="303" t="s">
        <v>232</v>
      </c>
    </row>
    <row r="5546" spans="119:119" x14ac:dyDescent="0.2">
      <c r="DO5546" s="303" t="s">
        <v>232</v>
      </c>
    </row>
    <row r="5547" spans="119:119" x14ac:dyDescent="0.2">
      <c r="DO5547" s="303" t="s">
        <v>232</v>
      </c>
    </row>
    <row r="5548" spans="119:119" x14ac:dyDescent="0.2">
      <c r="DO5548" s="303" t="s">
        <v>232</v>
      </c>
    </row>
    <row r="5549" spans="119:119" x14ac:dyDescent="0.2">
      <c r="DO5549" s="303" t="s">
        <v>232</v>
      </c>
    </row>
    <row r="5550" spans="119:119" x14ac:dyDescent="0.2">
      <c r="DO5550" s="303" t="s">
        <v>232</v>
      </c>
    </row>
    <row r="5551" spans="119:119" x14ac:dyDescent="0.2">
      <c r="DO5551" s="303" t="s">
        <v>232</v>
      </c>
    </row>
    <row r="5552" spans="119:119" x14ac:dyDescent="0.2">
      <c r="DO5552" s="303" t="s">
        <v>232</v>
      </c>
    </row>
    <row r="5553" spans="119:119" x14ac:dyDescent="0.2">
      <c r="DO5553" s="303" t="s">
        <v>232</v>
      </c>
    </row>
    <row r="5554" spans="119:119" x14ac:dyDescent="0.2">
      <c r="DO5554" s="303" t="s">
        <v>232</v>
      </c>
    </row>
    <row r="5555" spans="119:119" x14ac:dyDescent="0.2">
      <c r="DO5555" s="303" t="s">
        <v>232</v>
      </c>
    </row>
    <row r="5556" spans="119:119" x14ac:dyDescent="0.2">
      <c r="DO5556" s="303" t="s">
        <v>232</v>
      </c>
    </row>
    <row r="5557" spans="119:119" x14ac:dyDescent="0.2">
      <c r="DO5557" s="303" t="s">
        <v>232</v>
      </c>
    </row>
    <row r="5558" spans="119:119" x14ac:dyDescent="0.2">
      <c r="DO5558" s="303" t="s">
        <v>232</v>
      </c>
    </row>
    <row r="5559" spans="119:119" x14ac:dyDescent="0.2">
      <c r="DO5559" s="303" t="s">
        <v>232</v>
      </c>
    </row>
    <row r="5560" spans="119:119" x14ac:dyDescent="0.2">
      <c r="DO5560" s="303" t="s">
        <v>232</v>
      </c>
    </row>
    <row r="5561" spans="119:119" x14ac:dyDescent="0.2">
      <c r="DO5561" s="303" t="s">
        <v>232</v>
      </c>
    </row>
    <row r="5562" spans="119:119" x14ac:dyDescent="0.2">
      <c r="DO5562" s="303" t="s">
        <v>232</v>
      </c>
    </row>
    <row r="5563" spans="119:119" x14ac:dyDescent="0.2">
      <c r="DO5563" s="303" t="s">
        <v>232</v>
      </c>
    </row>
    <row r="5564" spans="119:119" x14ac:dyDescent="0.2">
      <c r="DO5564" s="303" t="s">
        <v>232</v>
      </c>
    </row>
    <row r="5565" spans="119:119" x14ac:dyDescent="0.2">
      <c r="DO5565" s="303" t="s">
        <v>232</v>
      </c>
    </row>
    <row r="5566" spans="119:119" x14ac:dyDescent="0.2">
      <c r="DO5566" s="303" t="s">
        <v>232</v>
      </c>
    </row>
    <row r="5567" spans="119:119" x14ac:dyDescent="0.2">
      <c r="DO5567" s="303" t="s">
        <v>232</v>
      </c>
    </row>
    <row r="5568" spans="119:119" x14ac:dyDescent="0.2">
      <c r="DO5568" s="303" t="s">
        <v>232</v>
      </c>
    </row>
    <row r="5569" spans="119:119" x14ac:dyDescent="0.2">
      <c r="DO5569" s="303" t="s">
        <v>232</v>
      </c>
    </row>
    <row r="5570" spans="119:119" x14ac:dyDescent="0.2">
      <c r="DO5570" s="303" t="s">
        <v>232</v>
      </c>
    </row>
    <row r="5571" spans="119:119" x14ac:dyDescent="0.2">
      <c r="DO5571" s="303" t="s">
        <v>232</v>
      </c>
    </row>
    <row r="5572" spans="119:119" x14ac:dyDescent="0.2">
      <c r="DO5572" s="303" t="s">
        <v>232</v>
      </c>
    </row>
    <row r="5573" spans="119:119" x14ac:dyDescent="0.2">
      <c r="DO5573" s="303" t="s">
        <v>232</v>
      </c>
    </row>
    <row r="5574" spans="119:119" x14ac:dyDescent="0.2">
      <c r="DO5574" s="303" t="s">
        <v>232</v>
      </c>
    </row>
    <row r="5575" spans="119:119" x14ac:dyDescent="0.2">
      <c r="DO5575" s="303" t="s">
        <v>232</v>
      </c>
    </row>
    <row r="5576" spans="119:119" x14ac:dyDescent="0.2">
      <c r="DO5576" s="303" t="s">
        <v>232</v>
      </c>
    </row>
    <row r="5577" spans="119:119" x14ac:dyDescent="0.2">
      <c r="DO5577" s="303" t="s">
        <v>232</v>
      </c>
    </row>
    <row r="5578" spans="119:119" x14ac:dyDescent="0.2">
      <c r="DO5578" s="303" t="s">
        <v>232</v>
      </c>
    </row>
    <row r="5579" spans="119:119" x14ac:dyDescent="0.2">
      <c r="DO5579" s="303" t="s">
        <v>232</v>
      </c>
    </row>
    <row r="5580" spans="119:119" x14ac:dyDescent="0.2">
      <c r="DO5580" s="303" t="s">
        <v>232</v>
      </c>
    </row>
    <row r="5581" spans="119:119" x14ac:dyDescent="0.2">
      <c r="DO5581" s="303" t="s">
        <v>232</v>
      </c>
    </row>
    <row r="5582" spans="119:119" x14ac:dyDescent="0.2">
      <c r="DO5582" s="303" t="s">
        <v>232</v>
      </c>
    </row>
    <row r="5583" spans="119:119" x14ac:dyDescent="0.2">
      <c r="DO5583" s="303" t="s">
        <v>232</v>
      </c>
    </row>
    <row r="5584" spans="119:119" x14ac:dyDescent="0.2">
      <c r="DO5584" s="303" t="s">
        <v>232</v>
      </c>
    </row>
    <row r="5585" spans="119:119" x14ac:dyDescent="0.2">
      <c r="DO5585" s="303" t="s">
        <v>232</v>
      </c>
    </row>
    <row r="5586" spans="119:119" x14ac:dyDescent="0.2">
      <c r="DO5586" s="303" t="s">
        <v>232</v>
      </c>
    </row>
    <row r="5587" spans="119:119" x14ac:dyDescent="0.2">
      <c r="DO5587" s="303" t="s">
        <v>232</v>
      </c>
    </row>
    <row r="5588" spans="119:119" x14ac:dyDescent="0.2">
      <c r="DO5588" s="303" t="s">
        <v>232</v>
      </c>
    </row>
    <row r="5589" spans="119:119" x14ac:dyDescent="0.2">
      <c r="DO5589" s="303" t="s">
        <v>232</v>
      </c>
    </row>
    <row r="5590" spans="119:119" x14ac:dyDescent="0.2">
      <c r="DO5590" s="303" t="s">
        <v>232</v>
      </c>
    </row>
    <row r="5591" spans="119:119" x14ac:dyDescent="0.2">
      <c r="DO5591" s="303" t="s">
        <v>232</v>
      </c>
    </row>
    <row r="5592" spans="119:119" x14ac:dyDescent="0.2">
      <c r="DO5592" s="303" t="s">
        <v>232</v>
      </c>
    </row>
    <row r="5593" spans="119:119" x14ac:dyDescent="0.2">
      <c r="DO5593" s="303" t="s">
        <v>232</v>
      </c>
    </row>
    <row r="5594" spans="119:119" x14ac:dyDescent="0.2">
      <c r="DO5594" s="303" t="s">
        <v>232</v>
      </c>
    </row>
    <row r="5595" spans="119:119" x14ac:dyDescent="0.2">
      <c r="DO5595" s="303" t="s">
        <v>232</v>
      </c>
    </row>
    <row r="5596" spans="119:119" x14ac:dyDescent="0.2">
      <c r="DO5596" s="303" t="s">
        <v>232</v>
      </c>
    </row>
    <row r="5597" spans="119:119" x14ac:dyDescent="0.2">
      <c r="DO5597" s="303" t="s">
        <v>232</v>
      </c>
    </row>
    <row r="5598" spans="119:119" x14ac:dyDescent="0.2">
      <c r="DO5598" s="303" t="s">
        <v>232</v>
      </c>
    </row>
    <row r="5599" spans="119:119" x14ac:dyDescent="0.2">
      <c r="DO5599" s="303" t="s">
        <v>232</v>
      </c>
    </row>
    <row r="5600" spans="119:119" x14ac:dyDescent="0.2">
      <c r="DO5600" s="303" t="s">
        <v>232</v>
      </c>
    </row>
    <row r="5601" spans="119:119" x14ac:dyDescent="0.2">
      <c r="DO5601" s="303" t="s">
        <v>232</v>
      </c>
    </row>
    <row r="5602" spans="119:119" x14ac:dyDescent="0.2">
      <c r="DO5602" s="303" t="s">
        <v>232</v>
      </c>
    </row>
    <row r="5603" spans="119:119" x14ac:dyDescent="0.2">
      <c r="DO5603" s="303" t="s">
        <v>232</v>
      </c>
    </row>
    <row r="5604" spans="119:119" x14ac:dyDescent="0.2">
      <c r="DO5604" s="303" t="s">
        <v>232</v>
      </c>
    </row>
    <row r="5605" spans="119:119" x14ac:dyDescent="0.2">
      <c r="DO5605" s="303" t="s">
        <v>232</v>
      </c>
    </row>
    <row r="5606" spans="119:119" x14ac:dyDescent="0.2">
      <c r="DO5606" s="303" t="s">
        <v>232</v>
      </c>
    </row>
    <row r="5607" spans="119:119" x14ac:dyDescent="0.2">
      <c r="DO5607" s="303" t="s">
        <v>232</v>
      </c>
    </row>
    <row r="5608" spans="119:119" x14ac:dyDescent="0.2">
      <c r="DO5608" s="303" t="s">
        <v>232</v>
      </c>
    </row>
    <row r="5609" spans="119:119" x14ac:dyDescent="0.2">
      <c r="DO5609" s="303" t="s">
        <v>232</v>
      </c>
    </row>
    <row r="5610" spans="119:119" x14ac:dyDescent="0.2">
      <c r="DO5610" s="303" t="s">
        <v>232</v>
      </c>
    </row>
    <row r="5611" spans="119:119" x14ac:dyDescent="0.2">
      <c r="DO5611" s="303" t="s">
        <v>232</v>
      </c>
    </row>
    <row r="5612" spans="119:119" x14ac:dyDescent="0.2">
      <c r="DO5612" s="303" t="s">
        <v>232</v>
      </c>
    </row>
    <row r="5613" spans="119:119" x14ac:dyDescent="0.2">
      <c r="DO5613" s="303" t="s">
        <v>232</v>
      </c>
    </row>
    <row r="5614" spans="119:119" x14ac:dyDescent="0.2">
      <c r="DO5614" s="303" t="s">
        <v>232</v>
      </c>
    </row>
    <row r="5615" spans="119:119" x14ac:dyDescent="0.2">
      <c r="DO5615" s="303" t="s">
        <v>232</v>
      </c>
    </row>
    <row r="5616" spans="119:119" x14ac:dyDescent="0.2">
      <c r="DO5616" s="303" t="s">
        <v>232</v>
      </c>
    </row>
    <row r="5617" spans="119:119" x14ac:dyDescent="0.2">
      <c r="DO5617" s="303" t="s">
        <v>232</v>
      </c>
    </row>
    <row r="5618" spans="119:119" x14ac:dyDescent="0.2">
      <c r="DO5618" s="303" t="s">
        <v>232</v>
      </c>
    </row>
    <row r="5619" spans="119:119" x14ac:dyDescent="0.2">
      <c r="DO5619" s="303" t="s">
        <v>232</v>
      </c>
    </row>
    <row r="5620" spans="119:119" x14ac:dyDescent="0.2">
      <c r="DO5620" s="303" t="s">
        <v>232</v>
      </c>
    </row>
    <row r="5621" spans="119:119" x14ac:dyDescent="0.2">
      <c r="DO5621" s="303" t="s">
        <v>232</v>
      </c>
    </row>
    <row r="5622" spans="119:119" x14ac:dyDescent="0.2">
      <c r="DO5622" s="303" t="s">
        <v>232</v>
      </c>
    </row>
    <row r="5623" spans="119:119" x14ac:dyDescent="0.2">
      <c r="DO5623" s="303" t="s">
        <v>232</v>
      </c>
    </row>
    <row r="5624" spans="119:119" x14ac:dyDescent="0.2">
      <c r="DO5624" s="303" t="s">
        <v>232</v>
      </c>
    </row>
    <row r="5625" spans="119:119" x14ac:dyDescent="0.2">
      <c r="DO5625" s="303" t="s">
        <v>232</v>
      </c>
    </row>
    <row r="5626" spans="119:119" x14ac:dyDescent="0.2">
      <c r="DO5626" s="303" t="s">
        <v>232</v>
      </c>
    </row>
    <row r="5627" spans="119:119" x14ac:dyDescent="0.2">
      <c r="DO5627" s="303" t="s">
        <v>232</v>
      </c>
    </row>
    <row r="5628" spans="119:119" x14ac:dyDescent="0.2">
      <c r="DO5628" s="303" t="s">
        <v>232</v>
      </c>
    </row>
    <row r="5629" spans="119:119" x14ac:dyDescent="0.2">
      <c r="DO5629" s="303" t="s">
        <v>232</v>
      </c>
    </row>
    <row r="5630" spans="119:119" x14ac:dyDescent="0.2">
      <c r="DO5630" s="303" t="s">
        <v>232</v>
      </c>
    </row>
    <row r="5631" spans="119:119" x14ac:dyDescent="0.2">
      <c r="DO5631" s="303" t="s">
        <v>232</v>
      </c>
    </row>
    <row r="5632" spans="119:119" x14ac:dyDescent="0.2">
      <c r="DO5632" s="303" t="s">
        <v>232</v>
      </c>
    </row>
    <row r="5633" spans="119:119" x14ac:dyDescent="0.2">
      <c r="DO5633" s="303" t="s">
        <v>232</v>
      </c>
    </row>
    <row r="5634" spans="119:119" x14ac:dyDescent="0.2">
      <c r="DO5634" s="303" t="s">
        <v>232</v>
      </c>
    </row>
    <row r="5635" spans="119:119" x14ac:dyDescent="0.2">
      <c r="DO5635" s="303" t="s">
        <v>232</v>
      </c>
    </row>
    <row r="5636" spans="119:119" x14ac:dyDescent="0.2">
      <c r="DO5636" s="303" t="s">
        <v>232</v>
      </c>
    </row>
    <row r="5637" spans="119:119" x14ac:dyDescent="0.2">
      <c r="DO5637" s="303" t="s">
        <v>232</v>
      </c>
    </row>
    <row r="5638" spans="119:119" x14ac:dyDescent="0.2">
      <c r="DO5638" s="303" t="s">
        <v>232</v>
      </c>
    </row>
    <row r="5639" spans="119:119" x14ac:dyDescent="0.2">
      <c r="DO5639" s="303" t="s">
        <v>232</v>
      </c>
    </row>
    <row r="5640" spans="119:119" x14ac:dyDescent="0.2">
      <c r="DO5640" s="303" t="s">
        <v>232</v>
      </c>
    </row>
    <row r="5641" spans="119:119" x14ac:dyDescent="0.2">
      <c r="DO5641" s="303" t="s">
        <v>232</v>
      </c>
    </row>
    <row r="5642" spans="119:119" x14ac:dyDescent="0.2">
      <c r="DO5642" s="303" t="s">
        <v>232</v>
      </c>
    </row>
    <row r="5643" spans="119:119" x14ac:dyDescent="0.2">
      <c r="DO5643" s="303" t="s">
        <v>232</v>
      </c>
    </row>
    <row r="5644" spans="119:119" x14ac:dyDescent="0.2">
      <c r="DO5644" s="303" t="s">
        <v>232</v>
      </c>
    </row>
    <row r="5645" spans="119:119" x14ac:dyDescent="0.2">
      <c r="DO5645" s="303" t="s">
        <v>232</v>
      </c>
    </row>
    <row r="5646" spans="119:119" x14ac:dyDescent="0.2">
      <c r="DO5646" s="303" t="s">
        <v>232</v>
      </c>
    </row>
    <row r="5647" spans="119:119" x14ac:dyDescent="0.2">
      <c r="DO5647" s="303" t="s">
        <v>232</v>
      </c>
    </row>
    <row r="5648" spans="119:119" x14ac:dyDescent="0.2">
      <c r="DO5648" s="303" t="s">
        <v>232</v>
      </c>
    </row>
    <row r="5649" spans="119:119" x14ac:dyDescent="0.2">
      <c r="DO5649" s="303" t="s">
        <v>232</v>
      </c>
    </row>
    <row r="5650" spans="119:119" x14ac:dyDescent="0.2">
      <c r="DO5650" s="303" t="s">
        <v>232</v>
      </c>
    </row>
    <row r="5651" spans="119:119" x14ac:dyDescent="0.2">
      <c r="DO5651" s="303" t="s">
        <v>232</v>
      </c>
    </row>
    <row r="5652" spans="119:119" x14ac:dyDescent="0.2">
      <c r="DO5652" s="303" t="s">
        <v>232</v>
      </c>
    </row>
    <row r="5653" spans="119:119" x14ac:dyDescent="0.2">
      <c r="DO5653" s="303" t="s">
        <v>232</v>
      </c>
    </row>
    <row r="5654" spans="119:119" x14ac:dyDescent="0.2">
      <c r="DO5654" s="303" t="s">
        <v>232</v>
      </c>
    </row>
    <row r="5655" spans="119:119" x14ac:dyDescent="0.2">
      <c r="DO5655" s="303" t="s">
        <v>232</v>
      </c>
    </row>
    <row r="5656" spans="119:119" x14ac:dyDescent="0.2">
      <c r="DO5656" s="303" t="s">
        <v>232</v>
      </c>
    </row>
    <row r="5657" spans="119:119" x14ac:dyDescent="0.2">
      <c r="DO5657" s="303" t="s">
        <v>232</v>
      </c>
    </row>
    <row r="5658" spans="119:119" x14ac:dyDescent="0.2">
      <c r="DO5658" s="303" t="s">
        <v>232</v>
      </c>
    </row>
    <row r="5659" spans="119:119" x14ac:dyDescent="0.2">
      <c r="DO5659" s="303" t="s">
        <v>232</v>
      </c>
    </row>
    <row r="5660" spans="119:119" x14ac:dyDescent="0.2">
      <c r="DO5660" s="303" t="s">
        <v>232</v>
      </c>
    </row>
    <row r="5661" spans="119:119" x14ac:dyDescent="0.2">
      <c r="DO5661" s="303" t="s">
        <v>232</v>
      </c>
    </row>
    <row r="5662" spans="119:119" x14ac:dyDescent="0.2">
      <c r="DO5662" s="303" t="s">
        <v>232</v>
      </c>
    </row>
    <row r="5663" spans="119:119" x14ac:dyDescent="0.2">
      <c r="DO5663" s="303" t="s">
        <v>232</v>
      </c>
    </row>
    <row r="5664" spans="119:119" x14ac:dyDescent="0.2">
      <c r="DO5664" s="303" t="s">
        <v>232</v>
      </c>
    </row>
    <row r="5665" spans="119:119" x14ac:dyDescent="0.2">
      <c r="DO5665" s="303" t="s">
        <v>232</v>
      </c>
    </row>
    <row r="5666" spans="119:119" x14ac:dyDescent="0.2">
      <c r="DO5666" s="303" t="s">
        <v>232</v>
      </c>
    </row>
    <row r="5667" spans="119:119" x14ac:dyDescent="0.2">
      <c r="DO5667" s="303" t="s">
        <v>232</v>
      </c>
    </row>
    <row r="5668" spans="119:119" x14ac:dyDescent="0.2">
      <c r="DO5668" s="303" t="s">
        <v>232</v>
      </c>
    </row>
    <row r="5669" spans="119:119" x14ac:dyDescent="0.2">
      <c r="DO5669" s="303" t="s">
        <v>232</v>
      </c>
    </row>
    <row r="5670" spans="119:119" x14ac:dyDescent="0.2">
      <c r="DO5670" s="303" t="s">
        <v>232</v>
      </c>
    </row>
    <row r="5671" spans="119:119" x14ac:dyDescent="0.2">
      <c r="DO5671" s="303" t="s">
        <v>232</v>
      </c>
    </row>
    <row r="5672" spans="119:119" x14ac:dyDescent="0.2">
      <c r="DO5672" s="303" t="s">
        <v>232</v>
      </c>
    </row>
    <row r="5673" spans="119:119" x14ac:dyDescent="0.2">
      <c r="DO5673" s="303" t="s">
        <v>232</v>
      </c>
    </row>
    <row r="5674" spans="119:119" x14ac:dyDescent="0.2">
      <c r="DO5674" s="303" t="s">
        <v>232</v>
      </c>
    </row>
    <row r="5675" spans="119:119" x14ac:dyDescent="0.2">
      <c r="DO5675" s="303" t="s">
        <v>232</v>
      </c>
    </row>
    <row r="5676" spans="119:119" x14ac:dyDescent="0.2">
      <c r="DO5676" s="303" t="s">
        <v>232</v>
      </c>
    </row>
    <row r="5677" spans="119:119" x14ac:dyDescent="0.2">
      <c r="DO5677" s="303" t="s">
        <v>232</v>
      </c>
    </row>
    <row r="5678" spans="119:119" x14ac:dyDescent="0.2">
      <c r="DO5678" s="303" t="s">
        <v>232</v>
      </c>
    </row>
    <row r="5679" spans="119:119" x14ac:dyDescent="0.2">
      <c r="DO5679" s="303" t="s">
        <v>232</v>
      </c>
    </row>
    <row r="5680" spans="119:119" x14ac:dyDescent="0.2">
      <c r="DO5680" s="303" t="s">
        <v>232</v>
      </c>
    </row>
    <row r="5681" spans="119:119" x14ac:dyDescent="0.2">
      <c r="DO5681" s="303" t="s">
        <v>232</v>
      </c>
    </row>
    <row r="5682" spans="119:119" x14ac:dyDescent="0.2">
      <c r="DO5682" s="303" t="s">
        <v>232</v>
      </c>
    </row>
    <row r="5683" spans="119:119" x14ac:dyDescent="0.2">
      <c r="DO5683" s="303" t="s">
        <v>232</v>
      </c>
    </row>
    <row r="5684" spans="119:119" x14ac:dyDescent="0.2">
      <c r="DO5684" s="303" t="s">
        <v>232</v>
      </c>
    </row>
    <row r="5685" spans="119:119" x14ac:dyDescent="0.2">
      <c r="DO5685" s="303" t="s">
        <v>232</v>
      </c>
    </row>
    <row r="5686" spans="119:119" x14ac:dyDescent="0.2">
      <c r="DO5686" s="303" t="s">
        <v>232</v>
      </c>
    </row>
    <row r="5687" spans="119:119" x14ac:dyDescent="0.2">
      <c r="DO5687" s="303" t="s">
        <v>232</v>
      </c>
    </row>
    <row r="5688" spans="119:119" x14ac:dyDescent="0.2">
      <c r="DO5688" s="303" t="s">
        <v>232</v>
      </c>
    </row>
    <row r="5689" spans="119:119" x14ac:dyDescent="0.2">
      <c r="DO5689" s="303" t="s">
        <v>232</v>
      </c>
    </row>
    <row r="5690" spans="119:119" x14ac:dyDescent="0.2">
      <c r="DO5690" s="303" t="s">
        <v>232</v>
      </c>
    </row>
    <row r="5691" spans="119:119" x14ac:dyDescent="0.2">
      <c r="DO5691" s="303" t="s">
        <v>232</v>
      </c>
    </row>
    <row r="5692" spans="119:119" x14ac:dyDescent="0.2">
      <c r="DO5692" s="303" t="s">
        <v>232</v>
      </c>
    </row>
    <row r="5693" spans="119:119" x14ac:dyDescent="0.2">
      <c r="DO5693" s="303" t="s">
        <v>232</v>
      </c>
    </row>
    <row r="5694" spans="119:119" x14ac:dyDescent="0.2">
      <c r="DO5694" s="303" t="s">
        <v>232</v>
      </c>
    </row>
    <row r="5695" spans="119:119" x14ac:dyDescent="0.2">
      <c r="DO5695" s="303" t="s">
        <v>232</v>
      </c>
    </row>
    <row r="5696" spans="119:119" x14ac:dyDescent="0.2">
      <c r="DO5696" s="303" t="s">
        <v>232</v>
      </c>
    </row>
    <row r="5697" spans="119:119" x14ac:dyDescent="0.2">
      <c r="DO5697" s="303" t="s">
        <v>232</v>
      </c>
    </row>
    <row r="5698" spans="119:119" x14ac:dyDescent="0.2">
      <c r="DO5698" s="303" t="s">
        <v>232</v>
      </c>
    </row>
    <row r="5699" spans="119:119" x14ac:dyDescent="0.2">
      <c r="DO5699" s="303" t="s">
        <v>232</v>
      </c>
    </row>
    <row r="5700" spans="119:119" x14ac:dyDescent="0.2">
      <c r="DO5700" s="303" t="s">
        <v>232</v>
      </c>
    </row>
    <row r="5701" spans="119:119" x14ac:dyDescent="0.2">
      <c r="DO5701" s="303" t="s">
        <v>232</v>
      </c>
    </row>
    <row r="5702" spans="119:119" x14ac:dyDescent="0.2">
      <c r="DO5702" s="303" t="s">
        <v>232</v>
      </c>
    </row>
    <row r="5703" spans="119:119" x14ac:dyDescent="0.2">
      <c r="DO5703" s="303" t="s">
        <v>232</v>
      </c>
    </row>
    <row r="5704" spans="119:119" x14ac:dyDescent="0.2">
      <c r="DO5704" s="303" t="s">
        <v>232</v>
      </c>
    </row>
    <row r="5705" spans="119:119" x14ac:dyDescent="0.2">
      <c r="DO5705" s="303" t="s">
        <v>232</v>
      </c>
    </row>
    <row r="5706" spans="119:119" x14ac:dyDescent="0.2">
      <c r="DO5706" s="303" t="s">
        <v>232</v>
      </c>
    </row>
    <row r="5707" spans="119:119" x14ac:dyDescent="0.2">
      <c r="DO5707" s="303" t="s">
        <v>232</v>
      </c>
    </row>
    <row r="5708" spans="119:119" x14ac:dyDescent="0.2">
      <c r="DO5708" s="303" t="s">
        <v>232</v>
      </c>
    </row>
    <row r="5709" spans="119:119" x14ac:dyDescent="0.2">
      <c r="DO5709" s="303" t="s">
        <v>232</v>
      </c>
    </row>
    <row r="5710" spans="119:119" x14ac:dyDescent="0.2">
      <c r="DO5710" s="303" t="s">
        <v>232</v>
      </c>
    </row>
    <row r="5711" spans="119:119" x14ac:dyDescent="0.2">
      <c r="DO5711" s="303" t="s">
        <v>232</v>
      </c>
    </row>
    <row r="5712" spans="119:119" x14ac:dyDescent="0.2">
      <c r="DO5712" s="303" t="s">
        <v>232</v>
      </c>
    </row>
    <row r="5713" spans="119:119" x14ac:dyDescent="0.2">
      <c r="DO5713" s="303" t="s">
        <v>232</v>
      </c>
    </row>
    <row r="5714" spans="119:119" x14ac:dyDescent="0.2">
      <c r="DO5714" s="303" t="s">
        <v>232</v>
      </c>
    </row>
    <row r="5715" spans="119:119" x14ac:dyDescent="0.2">
      <c r="DO5715" s="303" t="s">
        <v>232</v>
      </c>
    </row>
    <row r="5716" spans="119:119" x14ac:dyDescent="0.2">
      <c r="DO5716" s="303" t="s">
        <v>232</v>
      </c>
    </row>
    <row r="5717" spans="119:119" x14ac:dyDescent="0.2">
      <c r="DO5717" s="303" t="s">
        <v>232</v>
      </c>
    </row>
    <row r="5718" spans="119:119" x14ac:dyDescent="0.2">
      <c r="DO5718" s="303" t="s">
        <v>232</v>
      </c>
    </row>
    <row r="5719" spans="119:119" x14ac:dyDescent="0.2">
      <c r="DO5719" s="303" t="s">
        <v>232</v>
      </c>
    </row>
    <row r="5720" spans="119:119" x14ac:dyDescent="0.2">
      <c r="DO5720" s="303" t="s">
        <v>232</v>
      </c>
    </row>
    <row r="5721" spans="119:119" x14ac:dyDescent="0.2">
      <c r="DO5721" s="303" t="s">
        <v>232</v>
      </c>
    </row>
    <row r="5722" spans="119:119" x14ac:dyDescent="0.2">
      <c r="DO5722" s="303" t="s">
        <v>232</v>
      </c>
    </row>
    <row r="5723" spans="119:119" x14ac:dyDescent="0.2">
      <c r="DO5723" s="303" t="s">
        <v>232</v>
      </c>
    </row>
    <row r="5724" spans="119:119" x14ac:dyDescent="0.2">
      <c r="DO5724" s="303" t="s">
        <v>232</v>
      </c>
    </row>
    <row r="5725" spans="119:119" x14ac:dyDescent="0.2">
      <c r="DO5725" s="303" t="s">
        <v>232</v>
      </c>
    </row>
    <row r="5726" spans="119:119" x14ac:dyDescent="0.2">
      <c r="DO5726" s="303" t="s">
        <v>232</v>
      </c>
    </row>
    <row r="5727" spans="119:119" x14ac:dyDescent="0.2">
      <c r="DO5727" s="303" t="s">
        <v>232</v>
      </c>
    </row>
    <row r="5728" spans="119:119" x14ac:dyDescent="0.2">
      <c r="DO5728" s="303" t="s">
        <v>232</v>
      </c>
    </row>
    <row r="5729" spans="119:119" x14ac:dyDescent="0.2">
      <c r="DO5729" s="303" t="s">
        <v>232</v>
      </c>
    </row>
    <row r="5730" spans="119:119" x14ac:dyDescent="0.2">
      <c r="DO5730" s="303" t="s">
        <v>232</v>
      </c>
    </row>
    <row r="5731" spans="119:119" x14ac:dyDescent="0.2">
      <c r="DO5731" s="303" t="s">
        <v>232</v>
      </c>
    </row>
    <row r="5732" spans="119:119" x14ac:dyDescent="0.2">
      <c r="DO5732" s="303" t="s">
        <v>232</v>
      </c>
    </row>
    <row r="5733" spans="119:119" x14ac:dyDescent="0.2">
      <c r="DO5733" s="303" t="s">
        <v>232</v>
      </c>
    </row>
    <row r="5734" spans="119:119" x14ac:dyDescent="0.2">
      <c r="DO5734" s="303" t="s">
        <v>232</v>
      </c>
    </row>
    <row r="5735" spans="119:119" x14ac:dyDescent="0.2">
      <c r="DO5735" s="303" t="s">
        <v>232</v>
      </c>
    </row>
    <row r="5736" spans="119:119" x14ac:dyDescent="0.2">
      <c r="DO5736" s="303" t="s">
        <v>232</v>
      </c>
    </row>
    <row r="5737" spans="119:119" x14ac:dyDescent="0.2">
      <c r="DO5737" s="303" t="s">
        <v>232</v>
      </c>
    </row>
    <row r="5738" spans="119:119" x14ac:dyDescent="0.2">
      <c r="DO5738" s="303" t="s">
        <v>232</v>
      </c>
    </row>
    <row r="5739" spans="119:119" x14ac:dyDescent="0.2">
      <c r="DO5739" s="303" t="s">
        <v>232</v>
      </c>
    </row>
    <row r="5740" spans="119:119" x14ac:dyDescent="0.2">
      <c r="DO5740" s="303" t="s">
        <v>232</v>
      </c>
    </row>
    <row r="5741" spans="119:119" x14ac:dyDescent="0.2">
      <c r="DO5741" s="303" t="s">
        <v>232</v>
      </c>
    </row>
    <row r="5742" spans="119:119" x14ac:dyDescent="0.2">
      <c r="DO5742" s="303" t="s">
        <v>232</v>
      </c>
    </row>
    <row r="5743" spans="119:119" x14ac:dyDescent="0.2">
      <c r="DO5743" s="303" t="s">
        <v>232</v>
      </c>
    </row>
    <row r="5744" spans="119:119" x14ac:dyDescent="0.2">
      <c r="DO5744" s="303" t="s">
        <v>232</v>
      </c>
    </row>
    <row r="5745" spans="119:119" x14ac:dyDescent="0.2">
      <c r="DO5745" s="303" t="s">
        <v>232</v>
      </c>
    </row>
    <row r="5746" spans="119:119" x14ac:dyDescent="0.2">
      <c r="DO5746" s="303" t="s">
        <v>232</v>
      </c>
    </row>
    <row r="5747" spans="119:119" x14ac:dyDescent="0.2">
      <c r="DO5747" s="303" t="s">
        <v>232</v>
      </c>
    </row>
    <row r="5748" spans="119:119" x14ac:dyDescent="0.2">
      <c r="DO5748" s="303" t="s">
        <v>232</v>
      </c>
    </row>
    <row r="5749" spans="119:119" x14ac:dyDescent="0.2">
      <c r="DO5749" s="303" t="s">
        <v>232</v>
      </c>
    </row>
    <row r="5750" spans="119:119" x14ac:dyDescent="0.2">
      <c r="DO5750" s="303" t="s">
        <v>232</v>
      </c>
    </row>
    <row r="5751" spans="119:119" x14ac:dyDescent="0.2">
      <c r="DO5751" s="303" t="s">
        <v>232</v>
      </c>
    </row>
    <row r="5752" spans="119:119" x14ac:dyDescent="0.2">
      <c r="DO5752" s="303" t="s">
        <v>232</v>
      </c>
    </row>
    <row r="5753" spans="119:119" x14ac:dyDescent="0.2">
      <c r="DO5753" s="303" t="s">
        <v>232</v>
      </c>
    </row>
    <row r="5754" spans="119:119" x14ac:dyDescent="0.2">
      <c r="DO5754" s="303" t="s">
        <v>232</v>
      </c>
    </row>
    <row r="5755" spans="119:119" x14ac:dyDescent="0.2">
      <c r="DO5755" s="303" t="s">
        <v>232</v>
      </c>
    </row>
    <row r="5756" spans="119:119" x14ac:dyDescent="0.2">
      <c r="DO5756" s="303" t="s">
        <v>232</v>
      </c>
    </row>
    <row r="5757" spans="119:119" x14ac:dyDescent="0.2">
      <c r="DO5757" s="303" t="s">
        <v>232</v>
      </c>
    </row>
    <row r="5758" spans="119:119" x14ac:dyDescent="0.2">
      <c r="DO5758" s="303" t="s">
        <v>232</v>
      </c>
    </row>
    <row r="5759" spans="119:119" x14ac:dyDescent="0.2">
      <c r="DO5759" s="303" t="s">
        <v>232</v>
      </c>
    </row>
    <row r="5760" spans="119:119" x14ac:dyDescent="0.2">
      <c r="DO5760" s="303" t="s">
        <v>232</v>
      </c>
    </row>
    <row r="5761" spans="119:119" x14ac:dyDescent="0.2">
      <c r="DO5761" s="303" t="s">
        <v>232</v>
      </c>
    </row>
    <row r="5762" spans="119:119" x14ac:dyDescent="0.2">
      <c r="DO5762" s="303" t="s">
        <v>232</v>
      </c>
    </row>
    <row r="5763" spans="119:119" x14ac:dyDescent="0.2">
      <c r="DO5763" s="303" t="s">
        <v>232</v>
      </c>
    </row>
    <row r="5764" spans="119:119" x14ac:dyDescent="0.2">
      <c r="DO5764" s="303" t="s">
        <v>232</v>
      </c>
    </row>
    <row r="5765" spans="119:119" x14ac:dyDescent="0.2">
      <c r="DO5765" s="303" t="s">
        <v>232</v>
      </c>
    </row>
    <row r="5766" spans="119:119" x14ac:dyDescent="0.2">
      <c r="DO5766" s="303" t="s">
        <v>232</v>
      </c>
    </row>
    <row r="5767" spans="119:119" x14ac:dyDescent="0.2">
      <c r="DO5767" s="303" t="s">
        <v>232</v>
      </c>
    </row>
    <row r="5768" spans="119:119" x14ac:dyDescent="0.2">
      <c r="DO5768" s="303" t="s">
        <v>232</v>
      </c>
    </row>
    <row r="5769" spans="119:119" x14ac:dyDescent="0.2">
      <c r="DO5769" s="303" t="s">
        <v>232</v>
      </c>
    </row>
    <row r="5770" spans="119:119" x14ac:dyDescent="0.2">
      <c r="DO5770" s="303" t="s">
        <v>232</v>
      </c>
    </row>
    <row r="5771" spans="119:119" x14ac:dyDescent="0.2">
      <c r="DO5771" s="303" t="s">
        <v>232</v>
      </c>
    </row>
    <row r="5772" spans="119:119" x14ac:dyDescent="0.2">
      <c r="DO5772" s="303" t="s">
        <v>232</v>
      </c>
    </row>
    <row r="5773" spans="119:119" x14ac:dyDescent="0.2">
      <c r="DO5773" s="303" t="s">
        <v>232</v>
      </c>
    </row>
    <row r="5774" spans="119:119" x14ac:dyDescent="0.2">
      <c r="DO5774" s="303" t="s">
        <v>232</v>
      </c>
    </row>
    <row r="5775" spans="119:119" x14ac:dyDescent="0.2">
      <c r="DO5775" s="303" t="s">
        <v>232</v>
      </c>
    </row>
    <row r="5776" spans="119:119" x14ac:dyDescent="0.2">
      <c r="DO5776" s="303" t="s">
        <v>232</v>
      </c>
    </row>
    <row r="5777" spans="119:119" x14ac:dyDescent="0.2">
      <c r="DO5777" s="303" t="s">
        <v>232</v>
      </c>
    </row>
    <row r="5778" spans="119:119" x14ac:dyDescent="0.2">
      <c r="DO5778" s="303" t="s">
        <v>232</v>
      </c>
    </row>
    <row r="5779" spans="119:119" x14ac:dyDescent="0.2">
      <c r="DO5779" s="303" t="s">
        <v>232</v>
      </c>
    </row>
    <row r="5780" spans="119:119" x14ac:dyDescent="0.2">
      <c r="DO5780" s="303" t="s">
        <v>232</v>
      </c>
    </row>
    <row r="5781" spans="119:119" x14ac:dyDescent="0.2">
      <c r="DO5781" s="303" t="s">
        <v>232</v>
      </c>
    </row>
    <row r="5782" spans="119:119" x14ac:dyDescent="0.2">
      <c r="DO5782" s="303" t="s">
        <v>232</v>
      </c>
    </row>
    <row r="5783" spans="119:119" x14ac:dyDescent="0.2">
      <c r="DO5783" s="303" t="s">
        <v>232</v>
      </c>
    </row>
    <row r="5784" spans="119:119" x14ac:dyDescent="0.2">
      <c r="DO5784" s="303" t="s">
        <v>232</v>
      </c>
    </row>
    <row r="5785" spans="119:119" x14ac:dyDescent="0.2">
      <c r="DO5785" s="303" t="s">
        <v>232</v>
      </c>
    </row>
    <row r="5786" spans="119:119" x14ac:dyDescent="0.2">
      <c r="DO5786" s="303" t="s">
        <v>232</v>
      </c>
    </row>
    <row r="5787" spans="119:119" x14ac:dyDescent="0.2">
      <c r="DO5787" s="303" t="s">
        <v>232</v>
      </c>
    </row>
    <row r="5788" spans="119:119" x14ac:dyDescent="0.2">
      <c r="DO5788" s="303" t="s">
        <v>232</v>
      </c>
    </row>
    <row r="5789" spans="119:119" x14ac:dyDescent="0.2">
      <c r="DO5789" s="303" t="s">
        <v>232</v>
      </c>
    </row>
    <row r="5790" spans="119:119" x14ac:dyDescent="0.2">
      <c r="DO5790" s="303" t="s">
        <v>232</v>
      </c>
    </row>
    <row r="5791" spans="119:119" x14ac:dyDescent="0.2">
      <c r="DO5791" s="303" t="s">
        <v>232</v>
      </c>
    </row>
    <row r="5792" spans="119:119" x14ac:dyDescent="0.2">
      <c r="DO5792" s="303" t="s">
        <v>232</v>
      </c>
    </row>
    <row r="5793" spans="119:119" x14ac:dyDescent="0.2">
      <c r="DO5793" s="303" t="s">
        <v>232</v>
      </c>
    </row>
    <row r="5794" spans="119:119" x14ac:dyDescent="0.2">
      <c r="DO5794" s="303" t="s">
        <v>232</v>
      </c>
    </row>
    <row r="5795" spans="119:119" x14ac:dyDescent="0.2">
      <c r="DO5795" s="303" t="s">
        <v>232</v>
      </c>
    </row>
    <row r="5796" spans="119:119" x14ac:dyDescent="0.2">
      <c r="DO5796" s="303" t="s">
        <v>232</v>
      </c>
    </row>
    <row r="5797" spans="119:119" x14ac:dyDescent="0.2">
      <c r="DO5797" s="303" t="s">
        <v>232</v>
      </c>
    </row>
    <row r="5798" spans="119:119" x14ac:dyDescent="0.2">
      <c r="DO5798" s="303" t="s">
        <v>232</v>
      </c>
    </row>
    <row r="5799" spans="119:119" x14ac:dyDescent="0.2">
      <c r="DO5799" s="303" t="s">
        <v>232</v>
      </c>
    </row>
    <row r="5800" spans="119:119" x14ac:dyDescent="0.2">
      <c r="DO5800" s="303" t="s">
        <v>232</v>
      </c>
    </row>
    <row r="5801" spans="119:119" x14ac:dyDescent="0.2">
      <c r="DO5801" s="303" t="s">
        <v>232</v>
      </c>
    </row>
    <row r="5802" spans="119:119" x14ac:dyDescent="0.2">
      <c r="DO5802" s="303" t="s">
        <v>232</v>
      </c>
    </row>
    <row r="5803" spans="119:119" x14ac:dyDescent="0.2">
      <c r="DO5803" s="303" t="s">
        <v>232</v>
      </c>
    </row>
    <row r="5804" spans="119:119" x14ac:dyDescent="0.2">
      <c r="DO5804" s="303" t="s">
        <v>232</v>
      </c>
    </row>
    <row r="5805" spans="119:119" x14ac:dyDescent="0.2">
      <c r="DO5805" s="303" t="s">
        <v>232</v>
      </c>
    </row>
    <row r="5806" spans="119:119" x14ac:dyDescent="0.2">
      <c r="DO5806" s="303" t="s">
        <v>232</v>
      </c>
    </row>
    <row r="5807" spans="119:119" x14ac:dyDescent="0.2">
      <c r="DO5807" s="303" t="s">
        <v>232</v>
      </c>
    </row>
    <row r="5808" spans="119:119" x14ac:dyDescent="0.2">
      <c r="DO5808" s="303" t="s">
        <v>232</v>
      </c>
    </row>
    <row r="5809" spans="119:119" x14ac:dyDescent="0.2">
      <c r="DO5809" s="303" t="s">
        <v>232</v>
      </c>
    </row>
    <row r="5810" spans="119:119" x14ac:dyDescent="0.2">
      <c r="DO5810" s="303" t="s">
        <v>232</v>
      </c>
    </row>
    <row r="5811" spans="119:119" x14ac:dyDescent="0.2">
      <c r="DO5811" s="303" t="s">
        <v>232</v>
      </c>
    </row>
    <row r="5812" spans="119:119" x14ac:dyDescent="0.2">
      <c r="DO5812" s="303" t="s">
        <v>232</v>
      </c>
    </row>
    <row r="5813" spans="119:119" x14ac:dyDescent="0.2">
      <c r="DO5813" s="303" t="s">
        <v>232</v>
      </c>
    </row>
    <row r="5814" spans="119:119" x14ac:dyDescent="0.2">
      <c r="DO5814" s="303" t="s">
        <v>232</v>
      </c>
    </row>
    <row r="5815" spans="119:119" x14ac:dyDescent="0.2">
      <c r="DO5815" s="303" t="s">
        <v>232</v>
      </c>
    </row>
    <row r="5816" spans="119:119" x14ac:dyDescent="0.2">
      <c r="DO5816" s="303" t="s">
        <v>232</v>
      </c>
    </row>
    <row r="5817" spans="119:119" x14ac:dyDescent="0.2">
      <c r="DO5817" s="303" t="s">
        <v>232</v>
      </c>
    </row>
    <row r="5818" spans="119:119" x14ac:dyDescent="0.2">
      <c r="DO5818" s="303" t="s">
        <v>232</v>
      </c>
    </row>
    <row r="5819" spans="119:119" x14ac:dyDescent="0.2">
      <c r="DO5819" s="303" t="s">
        <v>232</v>
      </c>
    </row>
    <row r="5820" spans="119:119" x14ac:dyDescent="0.2">
      <c r="DO5820" s="303" t="s">
        <v>232</v>
      </c>
    </row>
    <row r="5821" spans="119:119" x14ac:dyDescent="0.2">
      <c r="DO5821" s="303" t="s">
        <v>232</v>
      </c>
    </row>
    <row r="5822" spans="119:119" x14ac:dyDescent="0.2">
      <c r="DO5822" s="303" t="s">
        <v>232</v>
      </c>
    </row>
    <row r="5823" spans="119:119" x14ac:dyDescent="0.2">
      <c r="DO5823" s="303" t="s">
        <v>232</v>
      </c>
    </row>
    <row r="5824" spans="119:119" x14ac:dyDescent="0.2">
      <c r="DO5824" s="303" t="s">
        <v>232</v>
      </c>
    </row>
    <row r="5825" spans="119:119" x14ac:dyDescent="0.2">
      <c r="DO5825" s="303" t="s">
        <v>232</v>
      </c>
    </row>
    <row r="5826" spans="119:119" x14ac:dyDescent="0.2">
      <c r="DO5826" s="303" t="s">
        <v>232</v>
      </c>
    </row>
    <row r="5827" spans="119:119" x14ac:dyDescent="0.2">
      <c r="DO5827" s="303" t="s">
        <v>232</v>
      </c>
    </row>
    <row r="5828" spans="119:119" x14ac:dyDescent="0.2">
      <c r="DO5828" s="303" t="s">
        <v>232</v>
      </c>
    </row>
    <row r="5829" spans="119:119" x14ac:dyDescent="0.2">
      <c r="DO5829" s="303" t="s">
        <v>232</v>
      </c>
    </row>
    <row r="5830" spans="119:119" x14ac:dyDescent="0.2">
      <c r="DO5830" s="303" t="s">
        <v>232</v>
      </c>
    </row>
    <row r="5831" spans="119:119" x14ac:dyDescent="0.2">
      <c r="DO5831" s="303" t="s">
        <v>232</v>
      </c>
    </row>
    <row r="5832" spans="119:119" x14ac:dyDescent="0.2">
      <c r="DO5832" s="303" t="s">
        <v>232</v>
      </c>
    </row>
    <row r="5833" spans="119:119" x14ac:dyDescent="0.2">
      <c r="DO5833" s="303" t="s">
        <v>232</v>
      </c>
    </row>
    <row r="5834" spans="119:119" x14ac:dyDescent="0.2">
      <c r="DO5834" s="303" t="s">
        <v>232</v>
      </c>
    </row>
    <row r="5835" spans="119:119" x14ac:dyDescent="0.2">
      <c r="DO5835" s="303" t="s">
        <v>232</v>
      </c>
    </row>
    <row r="5836" spans="119:119" x14ac:dyDescent="0.2">
      <c r="DO5836" s="303" t="s">
        <v>232</v>
      </c>
    </row>
    <row r="5837" spans="119:119" x14ac:dyDescent="0.2">
      <c r="DO5837" s="303" t="s">
        <v>232</v>
      </c>
    </row>
    <row r="5838" spans="119:119" x14ac:dyDescent="0.2">
      <c r="DO5838" s="303" t="s">
        <v>232</v>
      </c>
    </row>
    <row r="5839" spans="119:119" x14ac:dyDescent="0.2">
      <c r="DO5839" s="303" t="s">
        <v>232</v>
      </c>
    </row>
    <row r="5840" spans="119:119" x14ac:dyDescent="0.2">
      <c r="DO5840" s="303" t="s">
        <v>232</v>
      </c>
    </row>
    <row r="5841" spans="119:119" x14ac:dyDescent="0.2">
      <c r="DO5841" s="303" t="s">
        <v>232</v>
      </c>
    </row>
    <row r="5842" spans="119:119" x14ac:dyDescent="0.2">
      <c r="DO5842" s="303" t="s">
        <v>232</v>
      </c>
    </row>
    <row r="5843" spans="119:119" x14ac:dyDescent="0.2">
      <c r="DO5843" s="303" t="s">
        <v>232</v>
      </c>
    </row>
    <row r="5844" spans="119:119" x14ac:dyDescent="0.2">
      <c r="DO5844" s="303" t="s">
        <v>232</v>
      </c>
    </row>
    <row r="5845" spans="119:119" x14ac:dyDescent="0.2">
      <c r="DO5845" s="303" t="s">
        <v>232</v>
      </c>
    </row>
    <row r="5846" spans="119:119" x14ac:dyDescent="0.2">
      <c r="DO5846" s="303" t="s">
        <v>232</v>
      </c>
    </row>
    <row r="5847" spans="119:119" x14ac:dyDescent="0.2">
      <c r="DO5847" s="303" t="s">
        <v>232</v>
      </c>
    </row>
    <row r="5848" spans="119:119" x14ac:dyDescent="0.2">
      <c r="DO5848" s="303" t="s">
        <v>232</v>
      </c>
    </row>
    <row r="5849" spans="119:119" x14ac:dyDescent="0.2">
      <c r="DO5849" s="303" t="s">
        <v>232</v>
      </c>
    </row>
    <row r="5850" spans="119:119" x14ac:dyDescent="0.2">
      <c r="DO5850" s="303" t="s">
        <v>232</v>
      </c>
    </row>
    <row r="5851" spans="119:119" x14ac:dyDescent="0.2">
      <c r="DO5851" s="303" t="s">
        <v>232</v>
      </c>
    </row>
    <row r="5852" spans="119:119" x14ac:dyDescent="0.2">
      <c r="DO5852" s="303" t="s">
        <v>232</v>
      </c>
    </row>
    <row r="5853" spans="119:119" x14ac:dyDescent="0.2">
      <c r="DO5853" s="303" t="s">
        <v>232</v>
      </c>
    </row>
    <row r="5854" spans="119:119" x14ac:dyDescent="0.2">
      <c r="DO5854" s="303" t="s">
        <v>232</v>
      </c>
    </row>
    <row r="5855" spans="119:119" x14ac:dyDescent="0.2">
      <c r="DO5855" s="303" t="s">
        <v>232</v>
      </c>
    </row>
    <row r="5856" spans="119:119" x14ac:dyDescent="0.2">
      <c r="DO5856" s="303" t="s">
        <v>232</v>
      </c>
    </row>
    <row r="5857" spans="119:119" x14ac:dyDescent="0.2">
      <c r="DO5857" s="303" t="s">
        <v>232</v>
      </c>
    </row>
    <row r="5858" spans="119:119" x14ac:dyDescent="0.2">
      <c r="DO5858" s="303" t="s">
        <v>232</v>
      </c>
    </row>
    <row r="5859" spans="119:119" x14ac:dyDescent="0.2">
      <c r="DO5859" s="303" t="s">
        <v>232</v>
      </c>
    </row>
    <row r="5860" spans="119:119" x14ac:dyDescent="0.2">
      <c r="DO5860" s="303" t="s">
        <v>232</v>
      </c>
    </row>
    <row r="5861" spans="119:119" x14ac:dyDescent="0.2">
      <c r="DO5861" s="303" t="s">
        <v>232</v>
      </c>
    </row>
    <row r="5862" spans="119:119" x14ac:dyDescent="0.2">
      <c r="DO5862" s="303" t="s">
        <v>232</v>
      </c>
    </row>
    <row r="5863" spans="119:119" x14ac:dyDescent="0.2">
      <c r="DO5863" s="303" t="s">
        <v>232</v>
      </c>
    </row>
    <row r="5864" spans="119:119" x14ac:dyDescent="0.2">
      <c r="DO5864" s="303" t="s">
        <v>232</v>
      </c>
    </row>
    <row r="5865" spans="119:119" x14ac:dyDescent="0.2">
      <c r="DO5865" s="303" t="s">
        <v>232</v>
      </c>
    </row>
    <row r="5866" spans="119:119" x14ac:dyDescent="0.2">
      <c r="DO5866" s="303" t="s">
        <v>232</v>
      </c>
    </row>
    <row r="5867" spans="119:119" x14ac:dyDescent="0.2">
      <c r="DO5867" s="303" t="s">
        <v>232</v>
      </c>
    </row>
    <row r="5868" spans="119:119" x14ac:dyDescent="0.2">
      <c r="DO5868" s="303" t="s">
        <v>232</v>
      </c>
    </row>
    <row r="5869" spans="119:119" x14ac:dyDescent="0.2">
      <c r="DO5869" s="303" t="s">
        <v>232</v>
      </c>
    </row>
    <row r="5870" spans="119:119" x14ac:dyDescent="0.2">
      <c r="DO5870" s="303" t="s">
        <v>232</v>
      </c>
    </row>
    <row r="5871" spans="119:119" x14ac:dyDescent="0.2">
      <c r="DO5871" s="303" t="s">
        <v>232</v>
      </c>
    </row>
    <row r="5872" spans="119:119" x14ac:dyDescent="0.2">
      <c r="DO5872" s="303" t="s">
        <v>232</v>
      </c>
    </row>
    <row r="5873" spans="119:119" x14ac:dyDescent="0.2">
      <c r="DO5873" s="303" t="s">
        <v>232</v>
      </c>
    </row>
    <row r="5874" spans="119:119" x14ac:dyDescent="0.2">
      <c r="DO5874" s="303" t="s">
        <v>232</v>
      </c>
    </row>
    <row r="5875" spans="119:119" x14ac:dyDescent="0.2">
      <c r="DO5875" s="303" t="s">
        <v>232</v>
      </c>
    </row>
    <row r="5876" spans="119:119" x14ac:dyDescent="0.2">
      <c r="DO5876" s="303" t="s">
        <v>232</v>
      </c>
    </row>
    <row r="5877" spans="119:119" x14ac:dyDescent="0.2">
      <c r="DO5877" s="303" t="s">
        <v>232</v>
      </c>
    </row>
    <row r="5878" spans="119:119" x14ac:dyDescent="0.2">
      <c r="DO5878" s="303" t="s">
        <v>232</v>
      </c>
    </row>
    <row r="5879" spans="119:119" x14ac:dyDescent="0.2">
      <c r="DO5879" s="303" t="s">
        <v>232</v>
      </c>
    </row>
    <row r="5880" spans="119:119" x14ac:dyDescent="0.2">
      <c r="DO5880" s="303" t="s">
        <v>232</v>
      </c>
    </row>
    <row r="5881" spans="119:119" x14ac:dyDescent="0.2">
      <c r="DO5881" s="303" t="s">
        <v>232</v>
      </c>
    </row>
    <row r="5882" spans="119:119" x14ac:dyDescent="0.2">
      <c r="DO5882" s="303" t="s">
        <v>232</v>
      </c>
    </row>
    <row r="5883" spans="119:119" x14ac:dyDescent="0.2">
      <c r="DO5883" s="303" t="s">
        <v>232</v>
      </c>
    </row>
    <row r="5884" spans="119:119" x14ac:dyDescent="0.2">
      <c r="DO5884" s="303" t="s">
        <v>232</v>
      </c>
    </row>
    <row r="5885" spans="119:119" x14ac:dyDescent="0.2">
      <c r="DO5885" s="303" t="s">
        <v>232</v>
      </c>
    </row>
    <row r="5886" spans="119:119" x14ac:dyDescent="0.2">
      <c r="DO5886" s="303" t="s">
        <v>232</v>
      </c>
    </row>
    <row r="5887" spans="119:119" x14ac:dyDescent="0.2">
      <c r="DO5887" s="303" t="s">
        <v>232</v>
      </c>
    </row>
    <row r="5888" spans="119:119" x14ac:dyDescent="0.2">
      <c r="DO5888" s="303" t="s">
        <v>232</v>
      </c>
    </row>
    <row r="5889" spans="119:119" x14ac:dyDescent="0.2">
      <c r="DO5889" s="303" t="s">
        <v>232</v>
      </c>
    </row>
    <row r="5890" spans="119:119" x14ac:dyDescent="0.2">
      <c r="DO5890" s="303" t="s">
        <v>232</v>
      </c>
    </row>
    <row r="5891" spans="119:119" x14ac:dyDescent="0.2">
      <c r="DO5891" s="303" t="s">
        <v>232</v>
      </c>
    </row>
    <row r="5892" spans="119:119" x14ac:dyDescent="0.2">
      <c r="DO5892" s="303" t="s">
        <v>232</v>
      </c>
    </row>
    <row r="5893" spans="119:119" x14ac:dyDescent="0.2">
      <c r="DO5893" s="303" t="s">
        <v>232</v>
      </c>
    </row>
    <row r="5894" spans="119:119" x14ac:dyDescent="0.2">
      <c r="DO5894" s="303" t="s">
        <v>232</v>
      </c>
    </row>
    <row r="5895" spans="119:119" x14ac:dyDescent="0.2">
      <c r="DO5895" s="303" t="s">
        <v>232</v>
      </c>
    </row>
    <row r="5896" spans="119:119" x14ac:dyDescent="0.2">
      <c r="DO5896" s="303" t="s">
        <v>232</v>
      </c>
    </row>
    <row r="5897" spans="119:119" x14ac:dyDescent="0.2">
      <c r="DO5897" s="303" t="s">
        <v>232</v>
      </c>
    </row>
    <row r="5898" spans="119:119" x14ac:dyDescent="0.2">
      <c r="DO5898" s="303" t="s">
        <v>232</v>
      </c>
    </row>
    <row r="5899" spans="119:119" x14ac:dyDescent="0.2">
      <c r="DO5899" s="303" t="s">
        <v>232</v>
      </c>
    </row>
    <row r="5900" spans="119:119" x14ac:dyDescent="0.2">
      <c r="DO5900" s="303" t="s">
        <v>232</v>
      </c>
    </row>
    <row r="5901" spans="119:119" x14ac:dyDescent="0.2">
      <c r="DO5901" s="303" t="s">
        <v>232</v>
      </c>
    </row>
    <row r="5902" spans="119:119" x14ac:dyDescent="0.2">
      <c r="DO5902" s="303" t="s">
        <v>232</v>
      </c>
    </row>
    <row r="5903" spans="119:119" x14ac:dyDescent="0.2">
      <c r="DO5903" s="303" t="s">
        <v>232</v>
      </c>
    </row>
    <row r="5904" spans="119:119" x14ac:dyDescent="0.2">
      <c r="DO5904" s="303" t="s">
        <v>232</v>
      </c>
    </row>
    <row r="5905" spans="119:119" x14ac:dyDescent="0.2">
      <c r="DO5905" s="303" t="s">
        <v>232</v>
      </c>
    </row>
    <row r="5906" spans="119:119" x14ac:dyDescent="0.2">
      <c r="DO5906" s="303" t="s">
        <v>232</v>
      </c>
    </row>
    <row r="5907" spans="119:119" x14ac:dyDescent="0.2">
      <c r="DO5907" s="303" t="s">
        <v>232</v>
      </c>
    </row>
    <row r="5908" spans="119:119" x14ac:dyDescent="0.2">
      <c r="DO5908" s="303" t="s">
        <v>232</v>
      </c>
    </row>
    <row r="5909" spans="119:119" x14ac:dyDescent="0.2">
      <c r="DO5909" s="303" t="s">
        <v>232</v>
      </c>
    </row>
    <row r="5910" spans="119:119" x14ac:dyDescent="0.2">
      <c r="DO5910" s="303" t="s">
        <v>232</v>
      </c>
    </row>
    <row r="5911" spans="119:119" x14ac:dyDescent="0.2">
      <c r="DO5911" s="303" t="s">
        <v>232</v>
      </c>
    </row>
    <row r="5912" spans="119:119" x14ac:dyDescent="0.2">
      <c r="DO5912" s="303" t="s">
        <v>232</v>
      </c>
    </row>
    <row r="5913" spans="119:119" x14ac:dyDescent="0.2">
      <c r="DO5913" s="303" t="s">
        <v>232</v>
      </c>
    </row>
    <row r="5914" spans="119:119" x14ac:dyDescent="0.2">
      <c r="DO5914" s="303" t="s">
        <v>232</v>
      </c>
    </row>
    <row r="5915" spans="119:119" x14ac:dyDescent="0.2">
      <c r="DO5915" s="303" t="s">
        <v>232</v>
      </c>
    </row>
    <row r="5916" spans="119:119" x14ac:dyDescent="0.2">
      <c r="DO5916" s="303" t="s">
        <v>232</v>
      </c>
    </row>
    <row r="5917" spans="119:119" x14ac:dyDescent="0.2">
      <c r="DO5917" s="303" t="s">
        <v>232</v>
      </c>
    </row>
    <row r="5918" spans="119:119" x14ac:dyDescent="0.2">
      <c r="DO5918" s="303" t="s">
        <v>232</v>
      </c>
    </row>
    <row r="5919" spans="119:119" x14ac:dyDescent="0.2">
      <c r="DO5919" s="303" t="s">
        <v>232</v>
      </c>
    </row>
    <row r="5920" spans="119:119" x14ac:dyDescent="0.2">
      <c r="DO5920" s="303" t="s">
        <v>232</v>
      </c>
    </row>
    <row r="5921" spans="119:119" x14ac:dyDescent="0.2">
      <c r="DO5921" s="303" t="s">
        <v>232</v>
      </c>
    </row>
    <row r="5922" spans="119:119" x14ac:dyDescent="0.2">
      <c r="DO5922" s="303" t="s">
        <v>232</v>
      </c>
    </row>
    <row r="5923" spans="119:119" x14ac:dyDescent="0.2">
      <c r="DO5923" s="303" t="s">
        <v>232</v>
      </c>
    </row>
    <row r="5924" spans="119:119" x14ac:dyDescent="0.2">
      <c r="DO5924" s="303" t="s">
        <v>232</v>
      </c>
    </row>
    <row r="5925" spans="119:119" x14ac:dyDescent="0.2">
      <c r="DO5925" s="303" t="s">
        <v>232</v>
      </c>
    </row>
    <row r="5926" spans="119:119" x14ac:dyDescent="0.2">
      <c r="DO5926" s="303" t="s">
        <v>232</v>
      </c>
    </row>
    <row r="5927" spans="119:119" x14ac:dyDescent="0.2">
      <c r="DO5927" s="303" t="s">
        <v>232</v>
      </c>
    </row>
    <row r="5928" spans="119:119" x14ac:dyDescent="0.2">
      <c r="DO5928" s="303" t="s">
        <v>232</v>
      </c>
    </row>
    <row r="5929" spans="119:119" x14ac:dyDescent="0.2">
      <c r="DO5929" s="303" t="s">
        <v>232</v>
      </c>
    </row>
    <row r="5930" spans="119:119" x14ac:dyDescent="0.2">
      <c r="DO5930" s="303" t="s">
        <v>232</v>
      </c>
    </row>
    <row r="5931" spans="119:119" x14ac:dyDescent="0.2">
      <c r="DO5931" s="303" t="s">
        <v>232</v>
      </c>
    </row>
    <row r="5932" spans="119:119" x14ac:dyDescent="0.2">
      <c r="DO5932" s="303" t="s">
        <v>232</v>
      </c>
    </row>
    <row r="5933" spans="119:119" x14ac:dyDescent="0.2">
      <c r="DO5933" s="303" t="s">
        <v>232</v>
      </c>
    </row>
    <row r="5934" spans="119:119" x14ac:dyDescent="0.2">
      <c r="DO5934" s="303" t="s">
        <v>232</v>
      </c>
    </row>
    <row r="5935" spans="119:119" x14ac:dyDescent="0.2">
      <c r="DO5935" s="303" t="s">
        <v>232</v>
      </c>
    </row>
    <row r="5936" spans="119:119" x14ac:dyDescent="0.2">
      <c r="DO5936" s="303" t="s">
        <v>232</v>
      </c>
    </row>
    <row r="5937" spans="119:119" x14ac:dyDescent="0.2">
      <c r="DO5937" s="303" t="s">
        <v>232</v>
      </c>
    </row>
    <row r="5938" spans="119:119" x14ac:dyDescent="0.2">
      <c r="DO5938" s="303" t="s">
        <v>232</v>
      </c>
    </row>
    <row r="5939" spans="119:119" x14ac:dyDescent="0.2">
      <c r="DO5939" s="303" t="s">
        <v>232</v>
      </c>
    </row>
    <row r="5940" spans="119:119" x14ac:dyDescent="0.2">
      <c r="DO5940" s="303" t="s">
        <v>232</v>
      </c>
    </row>
    <row r="5941" spans="119:119" x14ac:dyDescent="0.2">
      <c r="DO5941" s="303" t="s">
        <v>232</v>
      </c>
    </row>
    <row r="5942" spans="119:119" x14ac:dyDescent="0.2">
      <c r="DO5942" s="303" t="s">
        <v>232</v>
      </c>
    </row>
    <row r="5943" spans="119:119" x14ac:dyDescent="0.2">
      <c r="DO5943" s="303" t="s">
        <v>232</v>
      </c>
    </row>
    <row r="5944" spans="119:119" x14ac:dyDescent="0.2">
      <c r="DO5944" s="303" t="s">
        <v>232</v>
      </c>
    </row>
    <row r="5945" spans="119:119" x14ac:dyDescent="0.2">
      <c r="DO5945" s="303" t="s">
        <v>232</v>
      </c>
    </row>
    <row r="5946" spans="119:119" x14ac:dyDescent="0.2">
      <c r="DO5946" s="303" t="s">
        <v>232</v>
      </c>
    </row>
    <row r="5947" spans="119:119" x14ac:dyDescent="0.2">
      <c r="DO5947" s="303" t="s">
        <v>232</v>
      </c>
    </row>
    <row r="5948" spans="119:119" x14ac:dyDescent="0.2">
      <c r="DO5948" s="303" t="s">
        <v>232</v>
      </c>
    </row>
    <row r="5949" spans="119:119" x14ac:dyDescent="0.2">
      <c r="DO5949" s="303" t="s">
        <v>232</v>
      </c>
    </row>
    <row r="5950" spans="119:119" x14ac:dyDescent="0.2">
      <c r="DO5950" s="303" t="s">
        <v>232</v>
      </c>
    </row>
    <row r="5951" spans="119:119" x14ac:dyDescent="0.2">
      <c r="DO5951" s="303" t="s">
        <v>232</v>
      </c>
    </row>
    <row r="5952" spans="119:119" x14ac:dyDescent="0.2">
      <c r="DO5952" s="303" t="s">
        <v>232</v>
      </c>
    </row>
    <row r="5953" spans="119:119" x14ac:dyDescent="0.2">
      <c r="DO5953" s="303" t="s">
        <v>232</v>
      </c>
    </row>
    <row r="5954" spans="119:119" x14ac:dyDescent="0.2">
      <c r="DO5954" s="303" t="s">
        <v>232</v>
      </c>
    </row>
    <row r="5955" spans="119:119" x14ac:dyDescent="0.2">
      <c r="DO5955" s="303" t="s">
        <v>232</v>
      </c>
    </row>
    <row r="5956" spans="119:119" x14ac:dyDescent="0.2">
      <c r="DO5956" s="303" t="s">
        <v>232</v>
      </c>
    </row>
    <row r="5957" spans="119:119" x14ac:dyDescent="0.2">
      <c r="DO5957" s="303" t="s">
        <v>232</v>
      </c>
    </row>
    <row r="5958" spans="119:119" x14ac:dyDescent="0.2">
      <c r="DO5958" s="303" t="s">
        <v>232</v>
      </c>
    </row>
    <row r="5959" spans="119:119" x14ac:dyDescent="0.2">
      <c r="DO5959" s="303" t="s">
        <v>232</v>
      </c>
    </row>
    <row r="5960" spans="119:119" x14ac:dyDescent="0.2">
      <c r="DO5960" s="303" t="s">
        <v>232</v>
      </c>
    </row>
    <row r="5961" spans="119:119" x14ac:dyDescent="0.2">
      <c r="DO5961" s="303" t="s">
        <v>232</v>
      </c>
    </row>
    <row r="5962" spans="119:119" x14ac:dyDescent="0.2">
      <c r="DO5962" s="303" t="s">
        <v>232</v>
      </c>
    </row>
    <row r="5963" spans="119:119" x14ac:dyDescent="0.2">
      <c r="DO5963" s="303" t="s">
        <v>232</v>
      </c>
    </row>
    <row r="5964" spans="119:119" x14ac:dyDescent="0.2">
      <c r="DO5964" s="303" t="s">
        <v>232</v>
      </c>
    </row>
    <row r="5965" spans="119:119" x14ac:dyDescent="0.2">
      <c r="DO5965" s="303" t="s">
        <v>232</v>
      </c>
    </row>
    <row r="5966" spans="119:119" x14ac:dyDescent="0.2">
      <c r="DO5966" s="303" t="s">
        <v>232</v>
      </c>
    </row>
    <row r="5967" spans="119:119" x14ac:dyDescent="0.2">
      <c r="DO5967" s="303" t="s">
        <v>232</v>
      </c>
    </row>
    <row r="5968" spans="119:119" x14ac:dyDescent="0.2">
      <c r="DO5968" s="303" t="s">
        <v>232</v>
      </c>
    </row>
    <row r="5969" spans="119:119" x14ac:dyDescent="0.2">
      <c r="DO5969" s="303" t="s">
        <v>232</v>
      </c>
    </row>
    <row r="5970" spans="119:119" x14ac:dyDescent="0.2">
      <c r="DO5970" s="303" t="s">
        <v>232</v>
      </c>
    </row>
    <row r="5971" spans="119:119" x14ac:dyDescent="0.2">
      <c r="DO5971" s="303" t="s">
        <v>232</v>
      </c>
    </row>
    <row r="5972" spans="119:119" x14ac:dyDescent="0.2">
      <c r="DO5972" s="303" t="s">
        <v>232</v>
      </c>
    </row>
    <row r="5973" spans="119:119" x14ac:dyDescent="0.2">
      <c r="DO5973" s="303" t="s">
        <v>232</v>
      </c>
    </row>
    <row r="5974" spans="119:119" x14ac:dyDescent="0.2">
      <c r="DO5974" s="303" t="s">
        <v>232</v>
      </c>
    </row>
    <row r="5975" spans="119:119" x14ac:dyDescent="0.2">
      <c r="DO5975" s="303" t="s">
        <v>232</v>
      </c>
    </row>
    <row r="5976" spans="119:119" x14ac:dyDescent="0.2">
      <c r="DO5976" s="303" t="s">
        <v>232</v>
      </c>
    </row>
    <row r="5977" spans="119:119" x14ac:dyDescent="0.2">
      <c r="DO5977" s="303" t="s">
        <v>232</v>
      </c>
    </row>
    <row r="5978" spans="119:119" x14ac:dyDescent="0.2">
      <c r="DO5978" s="303" t="s">
        <v>232</v>
      </c>
    </row>
    <row r="5979" spans="119:119" x14ac:dyDescent="0.2">
      <c r="DO5979" s="303" t="s">
        <v>232</v>
      </c>
    </row>
    <row r="5980" spans="119:119" x14ac:dyDescent="0.2">
      <c r="DO5980" s="303" t="s">
        <v>232</v>
      </c>
    </row>
    <row r="5981" spans="119:119" x14ac:dyDescent="0.2">
      <c r="DO5981" s="303" t="s">
        <v>232</v>
      </c>
    </row>
    <row r="5982" spans="119:119" x14ac:dyDescent="0.2">
      <c r="DO5982" s="303" t="s">
        <v>232</v>
      </c>
    </row>
    <row r="5983" spans="119:119" x14ac:dyDescent="0.2">
      <c r="DO5983" s="303" t="s">
        <v>232</v>
      </c>
    </row>
    <row r="5984" spans="119:119" x14ac:dyDescent="0.2">
      <c r="DO5984" s="303" t="s">
        <v>232</v>
      </c>
    </row>
    <row r="5985" spans="119:119" x14ac:dyDescent="0.2">
      <c r="DO5985" s="303" t="s">
        <v>232</v>
      </c>
    </row>
    <row r="5986" spans="119:119" x14ac:dyDescent="0.2">
      <c r="DO5986" s="303" t="s">
        <v>232</v>
      </c>
    </row>
    <row r="5987" spans="119:119" x14ac:dyDescent="0.2">
      <c r="DO5987" s="303" t="s">
        <v>232</v>
      </c>
    </row>
    <row r="5988" spans="119:119" x14ac:dyDescent="0.2">
      <c r="DO5988" s="303" t="s">
        <v>232</v>
      </c>
    </row>
    <row r="5989" spans="119:119" x14ac:dyDescent="0.2">
      <c r="DO5989" s="303" t="s">
        <v>232</v>
      </c>
    </row>
    <row r="5990" spans="119:119" x14ac:dyDescent="0.2">
      <c r="DO5990" s="303" t="s">
        <v>232</v>
      </c>
    </row>
    <row r="5991" spans="119:119" x14ac:dyDescent="0.2">
      <c r="DO5991" s="303" t="s">
        <v>232</v>
      </c>
    </row>
    <row r="5992" spans="119:119" x14ac:dyDescent="0.2">
      <c r="DO5992" s="303" t="s">
        <v>232</v>
      </c>
    </row>
    <row r="5993" spans="119:119" x14ac:dyDescent="0.2">
      <c r="DO5993" s="303" t="s">
        <v>232</v>
      </c>
    </row>
    <row r="5994" spans="119:119" x14ac:dyDescent="0.2">
      <c r="DO5994" s="303" t="s">
        <v>232</v>
      </c>
    </row>
    <row r="5995" spans="119:119" x14ac:dyDescent="0.2">
      <c r="DO5995" s="303" t="s">
        <v>232</v>
      </c>
    </row>
    <row r="5996" spans="119:119" x14ac:dyDescent="0.2">
      <c r="DO5996" s="303" t="s">
        <v>232</v>
      </c>
    </row>
    <row r="5997" spans="119:119" x14ac:dyDescent="0.2">
      <c r="DO5997" s="303" t="s">
        <v>232</v>
      </c>
    </row>
    <row r="5998" spans="119:119" x14ac:dyDescent="0.2">
      <c r="DO5998" s="303" t="s">
        <v>232</v>
      </c>
    </row>
    <row r="5999" spans="119:119" x14ac:dyDescent="0.2">
      <c r="DO5999" s="303" t="s">
        <v>232</v>
      </c>
    </row>
    <row r="6000" spans="119:119" x14ac:dyDescent="0.2">
      <c r="DO6000" s="303" t="s">
        <v>232</v>
      </c>
    </row>
    <row r="6001" spans="119:119" x14ac:dyDescent="0.2">
      <c r="DO6001" s="303" t="s">
        <v>232</v>
      </c>
    </row>
    <row r="6002" spans="119:119" x14ac:dyDescent="0.2">
      <c r="DO6002" s="303" t="s">
        <v>232</v>
      </c>
    </row>
    <row r="6003" spans="119:119" x14ac:dyDescent="0.2">
      <c r="DO6003" s="303" t="s">
        <v>232</v>
      </c>
    </row>
    <row r="6004" spans="119:119" x14ac:dyDescent="0.2">
      <c r="DO6004" s="303" t="s">
        <v>232</v>
      </c>
    </row>
    <row r="6005" spans="119:119" x14ac:dyDescent="0.2">
      <c r="DO6005" s="303" t="s">
        <v>232</v>
      </c>
    </row>
    <row r="6006" spans="119:119" x14ac:dyDescent="0.2">
      <c r="DO6006" s="303" t="s">
        <v>232</v>
      </c>
    </row>
    <row r="6007" spans="119:119" x14ac:dyDescent="0.2">
      <c r="DO6007" s="303" t="s">
        <v>232</v>
      </c>
    </row>
    <row r="6008" spans="119:119" x14ac:dyDescent="0.2">
      <c r="DO6008" s="303" t="s">
        <v>232</v>
      </c>
    </row>
    <row r="6009" spans="119:119" x14ac:dyDescent="0.2">
      <c r="DO6009" s="303" t="s">
        <v>232</v>
      </c>
    </row>
    <row r="6010" spans="119:119" x14ac:dyDescent="0.2">
      <c r="DO6010" s="303" t="s">
        <v>232</v>
      </c>
    </row>
    <row r="6011" spans="119:119" x14ac:dyDescent="0.2">
      <c r="DO6011" s="303" t="s">
        <v>232</v>
      </c>
    </row>
    <row r="6012" spans="119:119" x14ac:dyDescent="0.2">
      <c r="DO6012" s="303" t="s">
        <v>232</v>
      </c>
    </row>
    <row r="6013" spans="119:119" x14ac:dyDescent="0.2">
      <c r="DO6013" s="303" t="s">
        <v>232</v>
      </c>
    </row>
    <row r="6014" spans="119:119" x14ac:dyDescent="0.2">
      <c r="DO6014" s="303" t="s">
        <v>232</v>
      </c>
    </row>
    <row r="6015" spans="119:119" x14ac:dyDescent="0.2">
      <c r="DO6015" s="303" t="s">
        <v>232</v>
      </c>
    </row>
    <row r="6016" spans="119:119" x14ac:dyDescent="0.2">
      <c r="DO6016" s="303" t="s">
        <v>232</v>
      </c>
    </row>
    <row r="6017" spans="119:119" x14ac:dyDescent="0.2">
      <c r="DO6017" s="303" t="s">
        <v>232</v>
      </c>
    </row>
    <row r="6018" spans="119:119" x14ac:dyDescent="0.2">
      <c r="DO6018" s="303" t="s">
        <v>232</v>
      </c>
    </row>
    <row r="6019" spans="119:119" x14ac:dyDescent="0.2">
      <c r="DO6019" s="303" t="s">
        <v>232</v>
      </c>
    </row>
    <row r="6020" spans="119:119" x14ac:dyDescent="0.2">
      <c r="DO6020" s="303" t="s">
        <v>232</v>
      </c>
    </row>
    <row r="6021" spans="119:119" x14ac:dyDescent="0.2">
      <c r="DO6021" s="303" t="s">
        <v>232</v>
      </c>
    </row>
    <row r="6022" spans="119:119" x14ac:dyDescent="0.2">
      <c r="DO6022" s="303" t="s">
        <v>232</v>
      </c>
    </row>
    <row r="6023" spans="119:119" x14ac:dyDescent="0.2">
      <c r="DO6023" s="303" t="s">
        <v>232</v>
      </c>
    </row>
    <row r="6024" spans="119:119" x14ac:dyDescent="0.2">
      <c r="DO6024" s="303" t="s">
        <v>232</v>
      </c>
    </row>
    <row r="6025" spans="119:119" x14ac:dyDescent="0.2">
      <c r="DO6025" s="303" t="s">
        <v>232</v>
      </c>
    </row>
    <row r="6026" spans="119:119" x14ac:dyDescent="0.2">
      <c r="DO6026" s="303" t="s">
        <v>232</v>
      </c>
    </row>
    <row r="6027" spans="119:119" x14ac:dyDescent="0.2">
      <c r="DO6027" s="303" t="s">
        <v>232</v>
      </c>
    </row>
    <row r="6028" spans="119:119" x14ac:dyDescent="0.2">
      <c r="DO6028" s="303" t="s">
        <v>232</v>
      </c>
    </row>
    <row r="6029" spans="119:119" x14ac:dyDescent="0.2">
      <c r="DO6029" s="303" t="s">
        <v>232</v>
      </c>
    </row>
    <row r="6030" spans="119:119" x14ac:dyDescent="0.2">
      <c r="DO6030" s="303" t="s">
        <v>232</v>
      </c>
    </row>
    <row r="6031" spans="119:119" x14ac:dyDescent="0.2">
      <c r="DO6031" s="303" t="s">
        <v>232</v>
      </c>
    </row>
    <row r="6032" spans="119:119" x14ac:dyDescent="0.2">
      <c r="DO6032" s="303" t="s">
        <v>232</v>
      </c>
    </row>
    <row r="6033" spans="119:119" x14ac:dyDescent="0.2">
      <c r="DO6033" s="303" t="s">
        <v>232</v>
      </c>
    </row>
    <row r="6034" spans="119:119" x14ac:dyDescent="0.2">
      <c r="DO6034" s="303" t="s">
        <v>232</v>
      </c>
    </row>
    <row r="6035" spans="119:119" x14ac:dyDescent="0.2">
      <c r="DO6035" s="303" t="s">
        <v>232</v>
      </c>
    </row>
    <row r="6036" spans="119:119" x14ac:dyDescent="0.2">
      <c r="DO6036" s="303" t="s">
        <v>232</v>
      </c>
    </row>
    <row r="6037" spans="119:119" x14ac:dyDescent="0.2">
      <c r="DO6037" s="303" t="s">
        <v>232</v>
      </c>
    </row>
    <row r="6038" spans="119:119" x14ac:dyDescent="0.2">
      <c r="DO6038" s="303" t="s">
        <v>232</v>
      </c>
    </row>
    <row r="6039" spans="119:119" x14ac:dyDescent="0.2">
      <c r="DO6039" s="303" t="s">
        <v>232</v>
      </c>
    </row>
    <row r="6040" spans="119:119" x14ac:dyDescent="0.2">
      <c r="DO6040" s="303" t="s">
        <v>232</v>
      </c>
    </row>
    <row r="6041" spans="119:119" x14ac:dyDescent="0.2">
      <c r="DO6041" s="303" t="s">
        <v>232</v>
      </c>
    </row>
    <row r="6042" spans="119:119" x14ac:dyDescent="0.2">
      <c r="DO6042" s="303" t="s">
        <v>232</v>
      </c>
    </row>
    <row r="6043" spans="119:119" x14ac:dyDescent="0.2">
      <c r="DO6043" s="303" t="s">
        <v>232</v>
      </c>
    </row>
    <row r="6044" spans="119:119" x14ac:dyDescent="0.2">
      <c r="DO6044" s="303" t="s">
        <v>232</v>
      </c>
    </row>
    <row r="6045" spans="119:119" x14ac:dyDescent="0.2">
      <c r="DO6045" s="303" t="s">
        <v>232</v>
      </c>
    </row>
    <row r="6046" spans="119:119" x14ac:dyDescent="0.2">
      <c r="DO6046" s="303" t="s">
        <v>232</v>
      </c>
    </row>
    <row r="6047" spans="119:119" x14ac:dyDescent="0.2">
      <c r="DO6047" s="303" t="s">
        <v>232</v>
      </c>
    </row>
    <row r="6048" spans="119:119" x14ac:dyDescent="0.2">
      <c r="DO6048" s="303" t="s">
        <v>232</v>
      </c>
    </row>
    <row r="6049" spans="119:119" x14ac:dyDescent="0.2">
      <c r="DO6049" s="303" t="s">
        <v>232</v>
      </c>
    </row>
    <row r="6050" spans="119:119" x14ac:dyDescent="0.2">
      <c r="DO6050" s="303" t="s">
        <v>232</v>
      </c>
    </row>
    <row r="6051" spans="119:119" x14ac:dyDescent="0.2">
      <c r="DO6051" s="303" t="s">
        <v>232</v>
      </c>
    </row>
    <row r="6052" spans="119:119" x14ac:dyDescent="0.2">
      <c r="DO6052" s="303" t="s">
        <v>232</v>
      </c>
    </row>
    <row r="6053" spans="119:119" x14ac:dyDescent="0.2">
      <c r="DO6053" s="303" t="s">
        <v>232</v>
      </c>
    </row>
    <row r="6054" spans="119:119" x14ac:dyDescent="0.2">
      <c r="DO6054" s="303" t="s">
        <v>232</v>
      </c>
    </row>
    <row r="6055" spans="119:119" x14ac:dyDescent="0.2">
      <c r="DO6055" s="303" t="s">
        <v>232</v>
      </c>
    </row>
    <row r="6056" spans="119:119" x14ac:dyDescent="0.2">
      <c r="DO6056" s="303" t="s">
        <v>232</v>
      </c>
    </row>
    <row r="6057" spans="119:119" x14ac:dyDescent="0.2">
      <c r="DO6057" s="303" t="s">
        <v>232</v>
      </c>
    </row>
    <row r="6058" spans="119:119" x14ac:dyDescent="0.2">
      <c r="DO6058" s="303" t="s">
        <v>232</v>
      </c>
    </row>
    <row r="6059" spans="119:119" x14ac:dyDescent="0.2">
      <c r="DO6059" s="303" t="s">
        <v>232</v>
      </c>
    </row>
    <row r="6060" spans="119:119" x14ac:dyDescent="0.2">
      <c r="DO6060" s="303" t="s">
        <v>232</v>
      </c>
    </row>
    <row r="6061" spans="119:119" x14ac:dyDescent="0.2">
      <c r="DO6061" s="303" t="s">
        <v>232</v>
      </c>
    </row>
    <row r="6062" spans="119:119" x14ac:dyDescent="0.2">
      <c r="DO6062" s="303" t="s">
        <v>232</v>
      </c>
    </row>
    <row r="6063" spans="119:119" x14ac:dyDescent="0.2">
      <c r="DO6063" s="303" t="s">
        <v>232</v>
      </c>
    </row>
    <row r="6064" spans="119:119" x14ac:dyDescent="0.2">
      <c r="DO6064" s="303" t="s">
        <v>232</v>
      </c>
    </row>
    <row r="6065" spans="119:119" x14ac:dyDescent="0.2">
      <c r="DO6065" s="303" t="s">
        <v>232</v>
      </c>
    </row>
    <row r="6066" spans="119:119" x14ac:dyDescent="0.2">
      <c r="DO6066" s="303" t="s">
        <v>232</v>
      </c>
    </row>
    <row r="6067" spans="119:119" x14ac:dyDescent="0.2">
      <c r="DO6067" s="303" t="s">
        <v>232</v>
      </c>
    </row>
    <row r="6068" spans="119:119" x14ac:dyDescent="0.2">
      <c r="DO6068" s="303" t="s">
        <v>232</v>
      </c>
    </row>
    <row r="6069" spans="119:119" x14ac:dyDescent="0.2">
      <c r="DO6069" s="303" t="s">
        <v>232</v>
      </c>
    </row>
    <row r="6070" spans="119:119" x14ac:dyDescent="0.2">
      <c r="DO6070" s="303" t="s">
        <v>232</v>
      </c>
    </row>
    <row r="6071" spans="119:119" x14ac:dyDescent="0.2">
      <c r="DO6071" s="303" t="s">
        <v>232</v>
      </c>
    </row>
    <row r="6072" spans="119:119" x14ac:dyDescent="0.2">
      <c r="DO6072" s="303" t="s">
        <v>232</v>
      </c>
    </row>
    <row r="6073" spans="119:119" x14ac:dyDescent="0.2">
      <c r="DO6073" s="303" t="s">
        <v>232</v>
      </c>
    </row>
    <row r="6074" spans="119:119" x14ac:dyDescent="0.2">
      <c r="DO6074" s="303" t="s">
        <v>232</v>
      </c>
    </row>
    <row r="6075" spans="119:119" x14ac:dyDescent="0.2">
      <c r="DO6075" s="303" t="s">
        <v>232</v>
      </c>
    </row>
    <row r="6076" spans="119:119" x14ac:dyDescent="0.2">
      <c r="DO6076" s="303" t="s">
        <v>232</v>
      </c>
    </row>
    <row r="6077" spans="119:119" x14ac:dyDescent="0.2">
      <c r="DO6077" s="303" t="s">
        <v>232</v>
      </c>
    </row>
    <row r="6078" spans="119:119" x14ac:dyDescent="0.2">
      <c r="DO6078" s="303" t="s">
        <v>232</v>
      </c>
    </row>
    <row r="6079" spans="119:119" x14ac:dyDescent="0.2">
      <c r="DO6079" s="303" t="s">
        <v>232</v>
      </c>
    </row>
    <row r="6080" spans="119:119" x14ac:dyDescent="0.2">
      <c r="DO6080" s="303" t="s">
        <v>232</v>
      </c>
    </row>
    <row r="6081" spans="119:119" x14ac:dyDescent="0.2">
      <c r="DO6081" s="303" t="s">
        <v>232</v>
      </c>
    </row>
    <row r="6082" spans="119:119" x14ac:dyDescent="0.2">
      <c r="DO6082" s="303" t="s">
        <v>232</v>
      </c>
    </row>
    <row r="6083" spans="119:119" x14ac:dyDescent="0.2">
      <c r="DO6083" s="303" t="s">
        <v>232</v>
      </c>
    </row>
    <row r="6084" spans="119:119" x14ac:dyDescent="0.2">
      <c r="DO6084" s="303" t="s">
        <v>232</v>
      </c>
    </row>
    <row r="6085" spans="119:119" x14ac:dyDescent="0.2">
      <c r="DO6085" s="303" t="s">
        <v>232</v>
      </c>
    </row>
    <row r="6086" spans="119:119" x14ac:dyDescent="0.2">
      <c r="DO6086" s="303" t="s">
        <v>232</v>
      </c>
    </row>
    <row r="6087" spans="119:119" x14ac:dyDescent="0.2">
      <c r="DO6087" s="303" t="s">
        <v>232</v>
      </c>
    </row>
    <row r="6088" spans="119:119" x14ac:dyDescent="0.2">
      <c r="DO6088" s="303" t="s">
        <v>232</v>
      </c>
    </row>
    <row r="6089" spans="119:119" x14ac:dyDescent="0.2">
      <c r="DO6089" s="303" t="s">
        <v>232</v>
      </c>
    </row>
    <row r="6090" spans="119:119" x14ac:dyDescent="0.2">
      <c r="DO6090" s="303" t="s">
        <v>232</v>
      </c>
    </row>
    <row r="6091" spans="119:119" x14ac:dyDescent="0.2">
      <c r="DO6091" s="303" t="s">
        <v>232</v>
      </c>
    </row>
    <row r="6092" spans="119:119" x14ac:dyDescent="0.2">
      <c r="DO6092" s="303" t="s">
        <v>232</v>
      </c>
    </row>
    <row r="6093" spans="119:119" x14ac:dyDescent="0.2">
      <c r="DO6093" s="303" t="s">
        <v>232</v>
      </c>
    </row>
    <row r="6094" spans="119:119" x14ac:dyDescent="0.2">
      <c r="DO6094" s="303" t="s">
        <v>232</v>
      </c>
    </row>
    <row r="6095" spans="119:119" x14ac:dyDescent="0.2">
      <c r="DO6095" s="303" t="s">
        <v>232</v>
      </c>
    </row>
    <row r="6096" spans="119:119" x14ac:dyDescent="0.2">
      <c r="DO6096" s="303" t="s">
        <v>232</v>
      </c>
    </row>
    <row r="6097" spans="119:119" x14ac:dyDescent="0.2">
      <c r="DO6097" s="303" t="s">
        <v>232</v>
      </c>
    </row>
    <row r="6098" spans="119:119" x14ac:dyDescent="0.2">
      <c r="DO6098" s="303" t="s">
        <v>232</v>
      </c>
    </row>
    <row r="6099" spans="119:119" x14ac:dyDescent="0.2">
      <c r="DO6099" s="303" t="s">
        <v>232</v>
      </c>
    </row>
    <row r="6100" spans="119:119" x14ac:dyDescent="0.2">
      <c r="DO6100" s="303" t="s">
        <v>232</v>
      </c>
    </row>
    <row r="6101" spans="119:119" x14ac:dyDescent="0.2">
      <c r="DO6101" s="303" t="s">
        <v>232</v>
      </c>
    </row>
    <row r="6102" spans="119:119" x14ac:dyDescent="0.2">
      <c r="DO6102" s="303" t="s">
        <v>232</v>
      </c>
    </row>
    <row r="6103" spans="119:119" x14ac:dyDescent="0.2">
      <c r="DO6103" s="303" t="s">
        <v>232</v>
      </c>
    </row>
    <row r="6104" spans="119:119" x14ac:dyDescent="0.2">
      <c r="DO6104" s="303" t="s">
        <v>232</v>
      </c>
    </row>
    <row r="6105" spans="119:119" x14ac:dyDescent="0.2">
      <c r="DO6105" s="303" t="s">
        <v>232</v>
      </c>
    </row>
    <row r="6106" spans="119:119" x14ac:dyDescent="0.2">
      <c r="DO6106" s="303" t="s">
        <v>232</v>
      </c>
    </row>
    <row r="6107" spans="119:119" x14ac:dyDescent="0.2">
      <c r="DO6107" s="303" t="s">
        <v>232</v>
      </c>
    </row>
    <row r="6108" spans="119:119" x14ac:dyDescent="0.2">
      <c r="DO6108" s="303" t="s">
        <v>232</v>
      </c>
    </row>
    <row r="6109" spans="119:119" x14ac:dyDescent="0.2">
      <c r="DO6109" s="303" t="s">
        <v>232</v>
      </c>
    </row>
    <row r="6110" spans="119:119" x14ac:dyDescent="0.2">
      <c r="DO6110" s="303" t="s">
        <v>232</v>
      </c>
    </row>
    <row r="6111" spans="119:119" x14ac:dyDescent="0.2">
      <c r="DO6111" s="303" t="s">
        <v>232</v>
      </c>
    </row>
    <row r="6112" spans="119:119" x14ac:dyDescent="0.2">
      <c r="DO6112" s="303" t="s">
        <v>232</v>
      </c>
    </row>
    <row r="6113" spans="119:119" x14ac:dyDescent="0.2">
      <c r="DO6113" s="303" t="s">
        <v>232</v>
      </c>
    </row>
    <row r="6114" spans="119:119" x14ac:dyDescent="0.2">
      <c r="DO6114" s="303" t="s">
        <v>232</v>
      </c>
    </row>
    <row r="6115" spans="119:119" x14ac:dyDescent="0.2">
      <c r="DO6115" s="303" t="s">
        <v>232</v>
      </c>
    </row>
    <row r="6116" spans="119:119" x14ac:dyDescent="0.2">
      <c r="DO6116" s="303" t="s">
        <v>232</v>
      </c>
    </row>
    <row r="6117" spans="119:119" x14ac:dyDescent="0.2">
      <c r="DO6117" s="303" t="s">
        <v>232</v>
      </c>
    </row>
    <row r="6118" spans="119:119" x14ac:dyDescent="0.2">
      <c r="DO6118" s="303" t="s">
        <v>232</v>
      </c>
    </row>
    <row r="6119" spans="119:119" x14ac:dyDescent="0.2">
      <c r="DO6119" s="303" t="s">
        <v>232</v>
      </c>
    </row>
    <row r="6120" spans="119:119" x14ac:dyDescent="0.2">
      <c r="DO6120" s="303" t="s">
        <v>232</v>
      </c>
    </row>
    <row r="6121" spans="119:119" x14ac:dyDescent="0.2">
      <c r="DO6121" s="303" t="s">
        <v>232</v>
      </c>
    </row>
    <row r="6122" spans="119:119" x14ac:dyDescent="0.2">
      <c r="DO6122" s="303" t="s">
        <v>232</v>
      </c>
    </row>
    <row r="6123" spans="119:119" x14ac:dyDescent="0.2">
      <c r="DO6123" s="303" t="s">
        <v>232</v>
      </c>
    </row>
    <row r="6124" spans="119:119" x14ac:dyDescent="0.2">
      <c r="DO6124" s="303" t="s">
        <v>232</v>
      </c>
    </row>
    <row r="6125" spans="119:119" x14ac:dyDescent="0.2">
      <c r="DO6125" s="303" t="s">
        <v>232</v>
      </c>
    </row>
    <row r="6126" spans="119:119" x14ac:dyDescent="0.2">
      <c r="DO6126" s="303" t="s">
        <v>232</v>
      </c>
    </row>
    <row r="6127" spans="119:119" x14ac:dyDescent="0.2">
      <c r="DO6127" s="303" t="s">
        <v>232</v>
      </c>
    </row>
    <row r="6128" spans="119:119" x14ac:dyDescent="0.2">
      <c r="DO6128" s="303" t="s">
        <v>232</v>
      </c>
    </row>
    <row r="6129" spans="119:119" x14ac:dyDescent="0.2">
      <c r="DO6129" s="303" t="s">
        <v>232</v>
      </c>
    </row>
    <row r="6130" spans="119:119" x14ac:dyDescent="0.2">
      <c r="DO6130" s="303" t="s">
        <v>232</v>
      </c>
    </row>
    <row r="6131" spans="119:119" x14ac:dyDescent="0.2">
      <c r="DO6131" s="303" t="s">
        <v>232</v>
      </c>
    </row>
    <row r="6132" spans="119:119" x14ac:dyDescent="0.2">
      <c r="DO6132" s="303" t="s">
        <v>232</v>
      </c>
    </row>
    <row r="6133" spans="119:119" x14ac:dyDescent="0.2">
      <c r="DO6133" s="303" t="s">
        <v>232</v>
      </c>
    </row>
    <row r="6134" spans="119:119" x14ac:dyDescent="0.2">
      <c r="DO6134" s="303" t="s">
        <v>232</v>
      </c>
    </row>
    <row r="6135" spans="119:119" x14ac:dyDescent="0.2">
      <c r="DO6135" s="303" t="s">
        <v>232</v>
      </c>
    </row>
    <row r="6136" spans="119:119" x14ac:dyDescent="0.2">
      <c r="DO6136" s="303" t="s">
        <v>232</v>
      </c>
    </row>
    <row r="6137" spans="119:119" x14ac:dyDescent="0.2">
      <c r="DO6137" s="303" t="s">
        <v>232</v>
      </c>
    </row>
    <row r="6138" spans="119:119" x14ac:dyDescent="0.2">
      <c r="DO6138" s="303" t="s">
        <v>232</v>
      </c>
    </row>
    <row r="6139" spans="119:119" x14ac:dyDescent="0.2">
      <c r="DO6139" s="303" t="s">
        <v>232</v>
      </c>
    </row>
    <row r="6140" spans="119:119" x14ac:dyDescent="0.2">
      <c r="DO6140" s="303" t="s">
        <v>232</v>
      </c>
    </row>
    <row r="6141" spans="119:119" x14ac:dyDescent="0.2">
      <c r="DO6141" s="303" t="s">
        <v>232</v>
      </c>
    </row>
    <row r="6142" spans="119:119" x14ac:dyDescent="0.2">
      <c r="DO6142" s="303" t="s">
        <v>232</v>
      </c>
    </row>
    <row r="6143" spans="119:119" x14ac:dyDescent="0.2">
      <c r="DO6143" s="303" t="s">
        <v>232</v>
      </c>
    </row>
    <row r="6144" spans="119:119" x14ac:dyDescent="0.2">
      <c r="DO6144" s="303" t="s">
        <v>232</v>
      </c>
    </row>
    <row r="6145" spans="119:119" x14ac:dyDescent="0.2">
      <c r="DO6145" s="303" t="s">
        <v>232</v>
      </c>
    </row>
    <row r="6146" spans="119:119" x14ac:dyDescent="0.2">
      <c r="DO6146" s="303" t="s">
        <v>232</v>
      </c>
    </row>
    <row r="6147" spans="119:119" x14ac:dyDescent="0.2">
      <c r="DO6147" s="303" t="s">
        <v>232</v>
      </c>
    </row>
    <row r="6148" spans="119:119" x14ac:dyDescent="0.2">
      <c r="DO6148" s="303" t="s">
        <v>232</v>
      </c>
    </row>
    <row r="6149" spans="119:119" x14ac:dyDescent="0.2">
      <c r="DO6149" s="303" t="s">
        <v>232</v>
      </c>
    </row>
    <row r="6150" spans="119:119" x14ac:dyDescent="0.2">
      <c r="DO6150" s="303" t="s">
        <v>232</v>
      </c>
    </row>
    <row r="6151" spans="119:119" x14ac:dyDescent="0.2">
      <c r="DO6151" s="303" t="s">
        <v>232</v>
      </c>
    </row>
    <row r="6152" spans="119:119" x14ac:dyDescent="0.2">
      <c r="DO6152" s="303" t="s">
        <v>232</v>
      </c>
    </row>
    <row r="6153" spans="119:119" x14ac:dyDescent="0.2">
      <c r="DO6153" s="303" t="s">
        <v>232</v>
      </c>
    </row>
    <row r="6154" spans="119:119" x14ac:dyDescent="0.2">
      <c r="DO6154" s="303" t="s">
        <v>232</v>
      </c>
    </row>
    <row r="6155" spans="119:119" x14ac:dyDescent="0.2">
      <c r="DO6155" s="303" t="s">
        <v>232</v>
      </c>
    </row>
    <row r="6156" spans="119:119" x14ac:dyDescent="0.2">
      <c r="DO6156" s="303" t="s">
        <v>232</v>
      </c>
    </row>
    <row r="6157" spans="119:119" x14ac:dyDescent="0.2">
      <c r="DO6157" s="303" t="s">
        <v>232</v>
      </c>
    </row>
    <row r="6158" spans="119:119" x14ac:dyDescent="0.2">
      <c r="DO6158" s="303" t="s">
        <v>232</v>
      </c>
    </row>
    <row r="6159" spans="119:119" x14ac:dyDescent="0.2">
      <c r="DO6159" s="303" t="s">
        <v>232</v>
      </c>
    </row>
    <row r="6160" spans="119:119" x14ac:dyDescent="0.2">
      <c r="DO6160" s="303" t="s">
        <v>232</v>
      </c>
    </row>
    <row r="6161" spans="119:119" x14ac:dyDescent="0.2">
      <c r="DO6161" s="303" t="s">
        <v>232</v>
      </c>
    </row>
    <row r="6162" spans="119:119" x14ac:dyDescent="0.2">
      <c r="DO6162" s="303" t="s">
        <v>232</v>
      </c>
    </row>
    <row r="6163" spans="119:119" x14ac:dyDescent="0.2">
      <c r="DO6163" s="303" t="s">
        <v>232</v>
      </c>
    </row>
    <row r="6164" spans="119:119" x14ac:dyDescent="0.2">
      <c r="DO6164" s="303" t="s">
        <v>232</v>
      </c>
    </row>
    <row r="6165" spans="119:119" x14ac:dyDescent="0.2">
      <c r="DO6165" s="303" t="s">
        <v>232</v>
      </c>
    </row>
    <row r="6166" spans="119:119" x14ac:dyDescent="0.2">
      <c r="DO6166" s="303" t="s">
        <v>232</v>
      </c>
    </row>
    <row r="6167" spans="119:119" x14ac:dyDescent="0.2">
      <c r="DO6167" s="303" t="s">
        <v>232</v>
      </c>
    </row>
    <row r="6168" spans="119:119" x14ac:dyDescent="0.2">
      <c r="DO6168" s="303" t="s">
        <v>232</v>
      </c>
    </row>
    <row r="6169" spans="119:119" x14ac:dyDescent="0.2">
      <c r="DO6169" s="303" t="s">
        <v>232</v>
      </c>
    </row>
    <row r="6170" spans="119:119" x14ac:dyDescent="0.2">
      <c r="DO6170" s="303" t="s">
        <v>232</v>
      </c>
    </row>
    <row r="6171" spans="119:119" x14ac:dyDescent="0.2">
      <c r="DO6171" s="303" t="s">
        <v>232</v>
      </c>
    </row>
    <row r="6172" spans="119:119" x14ac:dyDescent="0.2">
      <c r="DO6172" s="303" t="s">
        <v>232</v>
      </c>
    </row>
    <row r="6173" spans="119:119" x14ac:dyDescent="0.2">
      <c r="DO6173" s="303" t="s">
        <v>232</v>
      </c>
    </row>
    <row r="6174" spans="119:119" x14ac:dyDescent="0.2">
      <c r="DO6174" s="303" t="s">
        <v>232</v>
      </c>
    </row>
    <row r="6175" spans="119:119" x14ac:dyDescent="0.2">
      <c r="DO6175" s="303" t="s">
        <v>232</v>
      </c>
    </row>
    <row r="6176" spans="119:119" x14ac:dyDescent="0.2">
      <c r="DO6176" s="303" t="s">
        <v>232</v>
      </c>
    </row>
    <row r="6177" spans="119:119" x14ac:dyDescent="0.2">
      <c r="DO6177" s="303" t="s">
        <v>232</v>
      </c>
    </row>
    <row r="6178" spans="119:119" x14ac:dyDescent="0.2">
      <c r="DO6178" s="303" t="s">
        <v>232</v>
      </c>
    </row>
    <row r="6179" spans="119:119" x14ac:dyDescent="0.2">
      <c r="DO6179" s="303" t="s">
        <v>232</v>
      </c>
    </row>
    <row r="6180" spans="119:119" x14ac:dyDescent="0.2">
      <c r="DO6180" s="303" t="s">
        <v>232</v>
      </c>
    </row>
    <row r="6181" spans="119:119" x14ac:dyDescent="0.2">
      <c r="DO6181" s="303" t="s">
        <v>232</v>
      </c>
    </row>
    <row r="6182" spans="119:119" x14ac:dyDescent="0.2">
      <c r="DO6182" s="303" t="s">
        <v>232</v>
      </c>
    </row>
    <row r="6183" spans="119:119" x14ac:dyDescent="0.2">
      <c r="DO6183" s="303" t="s">
        <v>232</v>
      </c>
    </row>
    <row r="6184" spans="119:119" x14ac:dyDescent="0.2">
      <c r="DO6184" s="303" t="s">
        <v>232</v>
      </c>
    </row>
    <row r="6185" spans="119:119" x14ac:dyDescent="0.2">
      <c r="DO6185" s="303" t="s">
        <v>232</v>
      </c>
    </row>
    <row r="6186" spans="119:119" x14ac:dyDescent="0.2">
      <c r="DO6186" s="303" t="s">
        <v>232</v>
      </c>
    </row>
    <row r="6187" spans="119:119" x14ac:dyDescent="0.2">
      <c r="DO6187" s="303" t="s">
        <v>232</v>
      </c>
    </row>
    <row r="6188" spans="119:119" x14ac:dyDescent="0.2">
      <c r="DO6188" s="303" t="s">
        <v>232</v>
      </c>
    </row>
    <row r="6189" spans="119:119" x14ac:dyDescent="0.2">
      <c r="DO6189" s="303" t="s">
        <v>232</v>
      </c>
    </row>
    <row r="6190" spans="119:119" x14ac:dyDescent="0.2">
      <c r="DO6190" s="303" t="s">
        <v>232</v>
      </c>
    </row>
    <row r="6191" spans="119:119" x14ac:dyDescent="0.2">
      <c r="DO6191" s="303" t="s">
        <v>232</v>
      </c>
    </row>
    <row r="6192" spans="119:119" x14ac:dyDescent="0.2">
      <c r="DO6192" s="303" t="s">
        <v>232</v>
      </c>
    </row>
    <row r="6193" spans="119:119" x14ac:dyDescent="0.2">
      <c r="DO6193" s="303" t="s">
        <v>232</v>
      </c>
    </row>
    <row r="6194" spans="119:119" x14ac:dyDescent="0.2">
      <c r="DO6194" s="303" t="s">
        <v>232</v>
      </c>
    </row>
    <row r="6195" spans="119:119" x14ac:dyDescent="0.2">
      <c r="DO6195" s="303" t="s">
        <v>232</v>
      </c>
    </row>
    <row r="6196" spans="119:119" x14ac:dyDescent="0.2">
      <c r="DO6196" s="303" t="s">
        <v>232</v>
      </c>
    </row>
    <row r="6197" spans="119:119" x14ac:dyDescent="0.2">
      <c r="DO6197" s="303" t="s">
        <v>232</v>
      </c>
    </row>
    <row r="6198" spans="119:119" x14ac:dyDescent="0.2">
      <c r="DO6198" s="303" t="s">
        <v>232</v>
      </c>
    </row>
    <row r="6199" spans="119:119" x14ac:dyDescent="0.2">
      <c r="DO6199" s="303" t="s">
        <v>232</v>
      </c>
    </row>
    <row r="6200" spans="119:119" x14ac:dyDescent="0.2">
      <c r="DO6200" s="303" t="s">
        <v>232</v>
      </c>
    </row>
    <row r="6201" spans="119:119" x14ac:dyDescent="0.2">
      <c r="DO6201" s="303" t="s">
        <v>232</v>
      </c>
    </row>
    <row r="6202" spans="119:119" x14ac:dyDescent="0.2">
      <c r="DO6202" s="303" t="s">
        <v>232</v>
      </c>
    </row>
    <row r="6203" spans="119:119" x14ac:dyDescent="0.2">
      <c r="DO6203" s="303" t="s">
        <v>232</v>
      </c>
    </row>
    <row r="6204" spans="119:119" x14ac:dyDescent="0.2">
      <c r="DO6204" s="303" t="s">
        <v>232</v>
      </c>
    </row>
    <row r="6205" spans="119:119" x14ac:dyDescent="0.2">
      <c r="DO6205" s="303" t="s">
        <v>232</v>
      </c>
    </row>
    <row r="6206" spans="119:119" x14ac:dyDescent="0.2">
      <c r="DO6206" s="303" t="s">
        <v>232</v>
      </c>
    </row>
    <row r="6207" spans="119:119" x14ac:dyDescent="0.2">
      <c r="DO6207" s="303" t="s">
        <v>232</v>
      </c>
    </row>
    <row r="6208" spans="119:119" x14ac:dyDescent="0.2">
      <c r="DO6208" s="303" t="s">
        <v>232</v>
      </c>
    </row>
    <row r="6209" spans="119:119" x14ac:dyDescent="0.2">
      <c r="DO6209" s="303" t="s">
        <v>232</v>
      </c>
    </row>
    <row r="6210" spans="119:119" x14ac:dyDescent="0.2">
      <c r="DO6210" s="303" t="s">
        <v>232</v>
      </c>
    </row>
    <row r="6211" spans="119:119" x14ac:dyDescent="0.2">
      <c r="DO6211" s="303" t="s">
        <v>232</v>
      </c>
    </row>
    <row r="6212" spans="119:119" x14ac:dyDescent="0.2">
      <c r="DO6212" s="303" t="s">
        <v>232</v>
      </c>
    </row>
    <row r="6213" spans="119:119" x14ac:dyDescent="0.2">
      <c r="DO6213" s="303" t="s">
        <v>232</v>
      </c>
    </row>
    <row r="6214" spans="119:119" x14ac:dyDescent="0.2">
      <c r="DO6214" s="303" t="s">
        <v>232</v>
      </c>
    </row>
    <row r="6215" spans="119:119" x14ac:dyDescent="0.2">
      <c r="DO6215" s="303" t="s">
        <v>232</v>
      </c>
    </row>
    <row r="6216" spans="119:119" x14ac:dyDescent="0.2">
      <c r="DO6216" s="303" t="s">
        <v>232</v>
      </c>
    </row>
    <row r="6217" spans="119:119" x14ac:dyDescent="0.2">
      <c r="DO6217" s="303" t="s">
        <v>232</v>
      </c>
    </row>
    <row r="6218" spans="119:119" x14ac:dyDescent="0.2">
      <c r="DO6218" s="303" t="s">
        <v>232</v>
      </c>
    </row>
    <row r="6219" spans="119:119" x14ac:dyDescent="0.2">
      <c r="DO6219" s="303" t="s">
        <v>232</v>
      </c>
    </row>
    <row r="6220" spans="119:119" x14ac:dyDescent="0.2">
      <c r="DO6220" s="303" t="s">
        <v>232</v>
      </c>
    </row>
    <row r="6221" spans="119:119" x14ac:dyDescent="0.2">
      <c r="DO6221" s="303" t="s">
        <v>232</v>
      </c>
    </row>
    <row r="6222" spans="119:119" x14ac:dyDescent="0.2">
      <c r="DO6222" s="303" t="s">
        <v>232</v>
      </c>
    </row>
    <row r="6223" spans="119:119" x14ac:dyDescent="0.2">
      <c r="DO6223" s="303" t="s">
        <v>232</v>
      </c>
    </row>
    <row r="6224" spans="119:119" x14ac:dyDescent="0.2">
      <c r="DO6224" s="303" t="s">
        <v>232</v>
      </c>
    </row>
    <row r="6225" spans="119:119" x14ac:dyDescent="0.2">
      <c r="DO6225" s="303" t="s">
        <v>232</v>
      </c>
    </row>
    <row r="6226" spans="119:119" x14ac:dyDescent="0.2">
      <c r="DO6226" s="303" t="s">
        <v>232</v>
      </c>
    </row>
    <row r="6227" spans="119:119" x14ac:dyDescent="0.2">
      <c r="DO6227" s="303" t="s">
        <v>232</v>
      </c>
    </row>
    <row r="6228" spans="119:119" x14ac:dyDescent="0.2">
      <c r="DO6228" s="303" t="s">
        <v>232</v>
      </c>
    </row>
    <row r="6229" spans="119:119" x14ac:dyDescent="0.2">
      <c r="DO6229" s="303" t="s">
        <v>232</v>
      </c>
    </row>
    <row r="6230" spans="119:119" x14ac:dyDescent="0.2">
      <c r="DO6230" s="303" t="s">
        <v>232</v>
      </c>
    </row>
    <row r="6231" spans="119:119" x14ac:dyDescent="0.2">
      <c r="DO6231" s="303" t="s">
        <v>232</v>
      </c>
    </row>
    <row r="6232" spans="119:119" x14ac:dyDescent="0.2">
      <c r="DO6232" s="303" t="s">
        <v>232</v>
      </c>
    </row>
    <row r="6233" spans="119:119" x14ac:dyDescent="0.2">
      <c r="DO6233" s="303" t="s">
        <v>232</v>
      </c>
    </row>
    <row r="6234" spans="119:119" x14ac:dyDescent="0.2">
      <c r="DO6234" s="303" t="s">
        <v>232</v>
      </c>
    </row>
    <row r="6235" spans="119:119" x14ac:dyDescent="0.2">
      <c r="DO6235" s="303" t="s">
        <v>232</v>
      </c>
    </row>
    <row r="6236" spans="119:119" x14ac:dyDescent="0.2">
      <c r="DO6236" s="303" t="s">
        <v>232</v>
      </c>
    </row>
    <row r="6237" spans="119:119" x14ac:dyDescent="0.2">
      <c r="DO6237" s="303" t="s">
        <v>232</v>
      </c>
    </row>
    <row r="6238" spans="119:119" x14ac:dyDescent="0.2">
      <c r="DO6238" s="303" t="s">
        <v>232</v>
      </c>
    </row>
    <row r="6239" spans="119:119" x14ac:dyDescent="0.2">
      <c r="DO6239" s="303" t="s">
        <v>232</v>
      </c>
    </row>
    <row r="6240" spans="119:119" x14ac:dyDescent="0.2">
      <c r="DO6240" s="303" t="s">
        <v>232</v>
      </c>
    </row>
    <row r="6241" spans="119:119" x14ac:dyDescent="0.2">
      <c r="DO6241" s="303" t="s">
        <v>232</v>
      </c>
    </row>
    <row r="6242" spans="119:119" x14ac:dyDescent="0.2">
      <c r="DO6242" s="303" t="s">
        <v>232</v>
      </c>
    </row>
    <row r="6243" spans="119:119" x14ac:dyDescent="0.2">
      <c r="DO6243" s="303" t="s">
        <v>232</v>
      </c>
    </row>
    <row r="6244" spans="119:119" x14ac:dyDescent="0.2">
      <c r="DO6244" s="303" t="s">
        <v>232</v>
      </c>
    </row>
    <row r="6245" spans="119:119" x14ac:dyDescent="0.2">
      <c r="DO6245" s="303" t="s">
        <v>232</v>
      </c>
    </row>
    <row r="6246" spans="119:119" x14ac:dyDescent="0.2">
      <c r="DO6246" s="303" t="s">
        <v>232</v>
      </c>
    </row>
    <row r="6247" spans="119:119" x14ac:dyDescent="0.2">
      <c r="DO6247" s="303" t="s">
        <v>232</v>
      </c>
    </row>
    <row r="6248" spans="119:119" x14ac:dyDescent="0.2">
      <c r="DO6248" s="303" t="s">
        <v>232</v>
      </c>
    </row>
    <row r="6249" spans="119:119" x14ac:dyDescent="0.2">
      <c r="DO6249" s="303" t="s">
        <v>232</v>
      </c>
    </row>
    <row r="6250" spans="119:119" x14ac:dyDescent="0.2">
      <c r="DO6250" s="303" t="s">
        <v>232</v>
      </c>
    </row>
    <row r="6251" spans="119:119" x14ac:dyDescent="0.2">
      <c r="DO6251" s="303" t="s">
        <v>232</v>
      </c>
    </row>
    <row r="6252" spans="119:119" x14ac:dyDescent="0.2">
      <c r="DO6252" s="303" t="s">
        <v>232</v>
      </c>
    </row>
    <row r="6253" spans="119:119" x14ac:dyDescent="0.2">
      <c r="DO6253" s="303" t="s">
        <v>232</v>
      </c>
    </row>
    <row r="6254" spans="119:119" x14ac:dyDescent="0.2">
      <c r="DO6254" s="303" t="s">
        <v>232</v>
      </c>
    </row>
    <row r="6255" spans="119:119" x14ac:dyDescent="0.2">
      <c r="DO6255" s="303" t="s">
        <v>232</v>
      </c>
    </row>
    <row r="6256" spans="119:119" x14ac:dyDescent="0.2">
      <c r="DO6256" s="303" t="s">
        <v>232</v>
      </c>
    </row>
    <row r="6257" spans="119:119" x14ac:dyDescent="0.2">
      <c r="DO6257" s="303" t="s">
        <v>232</v>
      </c>
    </row>
    <row r="6258" spans="119:119" x14ac:dyDescent="0.2">
      <c r="DO6258" s="303" t="s">
        <v>232</v>
      </c>
    </row>
    <row r="6259" spans="119:119" x14ac:dyDescent="0.2">
      <c r="DO6259" s="303" t="s">
        <v>232</v>
      </c>
    </row>
    <row r="6260" spans="119:119" x14ac:dyDescent="0.2">
      <c r="DO6260" s="303" t="s">
        <v>232</v>
      </c>
    </row>
    <row r="6261" spans="119:119" x14ac:dyDescent="0.2">
      <c r="DO6261" s="303" t="s">
        <v>232</v>
      </c>
    </row>
    <row r="6262" spans="119:119" x14ac:dyDescent="0.2">
      <c r="DO6262" s="303" t="s">
        <v>232</v>
      </c>
    </row>
    <row r="6263" spans="119:119" x14ac:dyDescent="0.2">
      <c r="DO6263" s="303" t="s">
        <v>232</v>
      </c>
    </row>
    <row r="6264" spans="119:119" x14ac:dyDescent="0.2">
      <c r="DO6264" s="303" t="s">
        <v>232</v>
      </c>
    </row>
    <row r="6265" spans="119:119" x14ac:dyDescent="0.2">
      <c r="DO6265" s="303" t="s">
        <v>232</v>
      </c>
    </row>
    <row r="6266" spans="119:119" x14ac:dyDescent="0.2">
      <c r="DO6266" s="303" t="s">
        <v>232</v>
      </c>
    </row>
    <row r="6267" spans="119:119" x14ac:dyDescent="0.2">
      <c r="DO6267" s="303" t="s">
        <v>232</v>
      </c>
    </row>
    <row r="6268" spans="119:119" x14ac:dyDescent="0.2">
      <c r="DO6268" s="303" t="s">
        <v>232</v>
      </c>
    </row>
    <row r="6269" spans="119:119" x14ac:dyDescent="0.2">
      <c r="DO6269" s="303" t="s">
        <v>232</v>
      </c>
    </row>
    <row r="6270" spans="119:119" x14ac:dyDescent="0.2">
      <c r="DO6270" s="303" t="s">
        <v>232</v>
      </c>
    </row>
    <row r="6271" spans="119:119" x14ac:dyDescent="0.2">
      <c r="DO6271" s="303" t="s">
        <v>232</v>
      </c>
    </row>
    <row r="6272" spans="119:119" x14ac:dyDescent="0.2">
      <c r="DO6272" s="303" t="s">
        <v>232</v>
      </c>
    </row>
    <row r="6273" spans="119:119" x14ac:dyDescent="0.2">
      <c r="DO6273" s="303" t="s">
        <v>232</v>
      </c>
    </row>
    <row r="6274" spans="119:119" x14ac:dyDescent="0.2">
      <c r="DO6274" s="303" t="s">
        <v>232</v>
      </c>
    </row>
    <row r="6275" spans="119:119" x14ac:dyDescent="0.2">
      <c r="DO6275" s="303" t="s">
        <v>232</v>
      </c>
    </row>
    <row r="6276" spans="119:119" x14ac:dyDescent="0.2">
      <c r="DO6276" s="303" t="s">
        <v>232</v>
      </c>
    </row>
    <row r="6277" spans="119:119" x14ac:dyDescent="0.2">
      <c r="DO6277" s="303" t="s">
        <v>232</v>
      </c>
    </row>
    <row r="6278" spans="119:119" x14ac:dyDescent="0.2">
      <c r="DO6278" s="303" t="s">
        <v>232</v>
      </c>
    </row>
    <row r="6279" spans="119:119" x14ac:dyDescent="0.2">
      <c r="DO6279" s="303" t="s">
        <v>232</v>
      </c>
    </row>
    <row r="6280" spans="119:119" x14ac:dyDescent="0.2">
      <c r="DO6280" s="303" t="s">
        <v>232</v>
      </c>
    </row>
    <row r="6281" spans="119:119" x14ac:dyDescent="0.2">
      <c r="DO6281" s="303" t="s">
        <v>232</v>
      </c>
    </row>
    <row r="6282" spans="119:119" x14ac:dyDescent="0.2">
      <c r="DO6282" s="303" t="s">
        <v>232</v>
      </c>
    </row>
    <row r="6283" spans="119:119" x14ac:dyDescent="0.2">
      <c r="DO6283" s="303" t="s">
        <v>232</v>
      </c>
    </row>
    <row r="6284" spans="119:119" x14ac:dyDescent="0.2">
      <c r="DO6284" s="303" t="s">
        <v>232</v>
      </c>
    </row>
    <row r="6285" spans="119:119" x14ac:dyDescent="0.2">
      <c r="DO6285" s="303" t="s">
        <v>232</v>
      </c>
    </row>
    <row r="6286" spans="119:119" x14ac:dyDescent="0.2">
      <c r="DO6286" s="303" t="s">
        <v>232</v>
      </c>
    </row>
    <row r="6287" spans="119:119" x14ac:dyDescent="0.2">
      <c r="DO6287" s="303" t="s">
        <v>232</v>
      </c>
    </row>
    <row r="6288" spans="119:119" x14ac:dyDescent="0.2">
      <c r="DO6288" s="303" t="s">
        <v>232</v>
      </c>
    </row>
    <row r="6289" spans="119:119" x14ac:dyDescent="0.2">
      <c r="DO6289" s="303" t="s">
        <v>232</v>
      </c>
    </row>
    <row r="6290" spans="119:119" x14ac:dyDescent="0.2">
      <c r="DO6290" s="303" t="s">
        <v>232</v>
      </c>
    </row>
    <row r="6291" spans="119:119" x14ac:dyDescent="0.2">
      <c r="DO6291" s="303" t="s">
        <v>232</v>
      </c>
    </row>
    <row r="6292" spans="119:119" x14ac:dyDescent="0.2">
      <c r="DO6292" s="303" t="s">
        <v>232</v>
      </c>
    </row>
    <row r="6293" spans="119:119" x14ac:dyDescent="0.2">
      <c r="DO6293" s="303" t="s">
        <v>232</v>
      </c>
    </row>
    <row r="6294" spans="119:119" x14ac:dyDescent="0.2">
      <c r="DO6294" s="303" t="s">
        <v>232</v>
      </c>
    </row>
    <row r="6295" spans="119:119" x14ac:dyDescent="0.2">
      <c r="DO6295" s="303" t="s">
        <v>232</v>
      </c>
    </row>
    <row r="6296" spans="119:119" x14ac:dyDescent="0.2">
      <c r="DO6296" s="303" t="s">
        <v>232</v>
      </c>
    </row>
    <row r="6297" spans="119:119" x14ac:dyDescent="0.2">
      <c r="DO6297" s="303" t="s">
        <v>232</v>
      </c>
    </row>
    <row r="6298" spans="119:119" x14ac:dyDescent="0.2">
      <c r="DO6298" s="303" t="s">
        <v>232</v>
      </c>
    </row>
    <row r="6299" spans="119:119" x14ac:dyDescent="0.2">
      <c r="DO6299" s="303" t="s">
        <v>232</v>
      </c>
    </row>
    <row r="6300" spans="119:119" x14ac:dyDescent="0.2">
      <c r="DO6300" s="303" t="s">
        <v>232</v>
      </c>
    </row>
    <row r="6301" spans="119:119" x14ac:dyDescent="0.2">
      <c r="DO6301" s="303" t="s">
        <v>232</v>
      </c>
    </row>
    <row r="6302" spans="119:119" x14ac:dyDescent="0.2">
      <c r="DO6302" s="303" t="s">
        <v>232</v>
      </c>
    </row>
    <row r="6303" spans="119:119" x14ac:dyDescent="0.2">
      <c r="DO6303" s="303" t="s">
        <v>232</v>
      </c>
    </row>
    <row r="6304" spans="119:119" x14ac:dyDescent="0.2">
      <c r="DO6304" s="303" t="s">
        <v>232</v>
      </c>
    </row>
    <row r="6305" spans="119:119" x14ac:dyDescent="0.2">
      <c r="DO6305" s="303" t="s">
        <v>232</v>
      </c>
    </row>
    <row r="6306" spans="119:119" x14ac:dyDescent="0.2">
      <c r="DO6306" s="303" t="s">
        <v>232</v>
      </c>
    </row>
    <row r="6307" spans="119:119" x14ac:dyDescent="0.2">
      <c r="DO6307" s="303" t="s">
        <v>232</v>
      </c>
    </row>
    <row r="6308" spans="119:119" x14ac:dyDescent="0.2">
      <c r="DO6308" s="303" t="s">
        <v>232</v>
      </c>
    </row>
    <row r="6309" spans="119:119" x14ac:dyDescent="0.2">
      <c r="DO6309" s="303" t="s">
        <v>232</v>
      </c>
    </row>
    <row r="6310" spans="119:119" x14ac:dyDescent="0.2">
      <c r="DO6310" s="303" t="s">
        <v>232</v>
      </c>
    </row>
    <row r="6311" spans="119:119" x14ac:dyDescent="0.2">
      <c r="DO6311" s="303" t="s">
        <v>232</v>
      </c>
    </row>
    <row r="6312" spans="119:119" x14ac:dyDescent="0.2">
      <c r="DO6312" s="303" t="s">
        <v>232</v>
      </c>
    </row>
    <row r="6313" spans="119:119" x14ac:dyDescent="0.2">
      <c r="DO6313" s="303" t="s">
        <v>232</v>
      </c>
    </row>
    <row r="6314" spans="119:119" x14ac:dyDescent="0.2">
      <c r="DO6314" s="303" t="s">
        <v>232</v>
      </c>
    </row>
    <row r="6315" spans="119:119" x14ac:dyDescent="0.2">
      <c r="DO6315" s="303" t="s">
        <v>232</v>
      </c>
    </row>
    <row r="6316" spans="119:119" x14ac:dyDescent="0.2">
      <c r="DO6316" s="303" t="s">
        <v>232</v>
      </c>
    </row>
    <row r="6317" spans="119:119" x14ac:dyDescent="0.2">
      <c r="DO6317" s="303" t="s">
        <v>232</v>
      </c>
    </row>
    <row r="6318" spans="119:119" x14ac:dyDescent="0.2">
      <c r="DO6318" s="303" t="s">
        <v>232</v>
      </c>
    </row>
    <row r="6319" spans="119:119" x14ac:dyDescent="0.2">
      <c r="DO6319" s="303" t="s">
        <v>232</v>
      </c>
    </row>
    <row r="6320" spans="119:119" x14ac:dyDescent="0.2">
      <c r="DO6320" s="303" t="s">
        <v>232</v>
      </c>
    </row>
    <row r="6321" spans="119:119" x14ac:dyDescent="0.2">
      <c r="DO6321" s="303" t="s">
        <v>232</v>
      </c>
    </row>
    <row r="6322" spans="119:119" x14ac:dyDescent="0.2">
      <c r="DO6322" s="303" t="s">
        <v>232</v>
      </c>
    </row>
    <row r="6323" spans="119:119" x14ac:dyDescent="0.2">
      <c r="DO6323" s="303" t="s">
        <v>232</v>
      </c>
    </row>
    <row r="6324" spans="119:119" x14ac:dyDescent="0.2">
      <c r="DO6324" s="303" t="s">
        <v>232</v>
      </c>
    </row>
    <row r="6325" spans="119:119" x14ac:dyDescent="0.2">
      <c r="DO6325" s="303" t="s">
        <v>232</v>
      </c>
    </row>
    <row r="6326" spans="119:119" x14ac:dyDescent="0.2">
      <c r="DO6326" s="303" t="s">
        <v>232</v>
      </c>
    </row>
    <row r="6327" spans="119:119" x14ac:dyDescent="0.2">
      <c r="DO6327" s="303" t="s">
        <v>232</v>
      </c>
    </row>
    <row r="6328" spans="119:119" x14ac:dyDescent="0.2">
      <c r="DO6328" s="303" t="s">
        <v>232</v>
      </c>
    </row>
    <row r="6329" spans="119:119" x14ac:dyDescent="0.2">
      <c r="DO6329" s="303" t="s">
        <v>232</v>
      </c>
    </row>
    <row r="6330" spans="119:119" x14ac:dyDescent="0.2">
      <c r="DO6330" s="303" t="s">
        <v>232</v>
      </c>
    </row>
    <row r="6331" spans="119:119" x14ac:dyDescent="0.2">
      <c r="DO6331" s="303" t="s">
        <v>232</v>
      </c>
    </row>
    <row r="6332" spans="119:119" x14ac:dyDescent="0.2">
      <c r="DO6332" s="303" t="s">
        <v>232</v>
      </c>
    </row>
    <row r="6333" spans="119:119" x14ac:dyDescent="0.2">
      <c r="DO6333" s="303" t="s">
        <v>232</v>
      </c>
    </row>
    <row r="6334" spans="119:119" x14ac:dyDescent="0.2">
      <c r="DO6334" s="303" t="s">
        <v>232</v>
      </c>
    </row>
    <row r="6335" spans="119:119" x14ac:dyDescent="0.2">
      <c r="DO6335" s="303" t="s">
        <v>232</v>
      </c>
    </row>
    <row r="6336" spans="119:119" x14ac:dyDescent="0.2">
      <c r="DO6336" s="303" t="s">
        <v>232</v>
      </c>
    </row>
    <row r="6337" spans="119:119" x14ac:dyDescent="0.2">
      <c r="DO6337" s="303" t="s">
        <v>232</v>
      </c>
    </row>
    <row r="6338" spans="119:119" x14ac:dyDescent="0.2">
      <c r="DO6338" s="303" t="s">
        <v>232</v>
      </c>
    </row>
    <row r="6339" spans="119:119" x14ac:dyDescent="0.2">
      <c r="DO6339" s="303" t="s">
        <v>232</v>
      </c>
    </row>
    <row r="6340" spans="119:119" x14ac:dyDescent="0.2">
      <c r="DO6340" s="303" t="s">
        <v>232</v>
      </c>
    </row>
    <row r="6341" spans="119:119" x14ac:dyDescent="0.2">
      <c r="DO6341" s="303" t="s">
        <v>232</v>
      </c>
    </row>
    <row r="6342" spans="119:119" x14ac:dyDescent="0.2">
      <c r="DO6342" s="303" t="s">
        <v>232</v>
      </c>
    </row>
    <row r="6343" spans="119:119" x14ac:dyDescent="0.2">
      <c r="DO6343" s="303" t="s">
        <v>232</v>
      </c>
    </row>
    <row r="6344" spans="119:119" x14ac:dyDescent="0.2">
      <c r="DO6344" s="303" t="s">
        <v>232</v>
      </c>
    </row>
    <row r="6345" spans="119:119" x14ac:dyDescent="0.2">
      <c r="DO6345" s="303" t="s">
        <v>232</v>
      </c>
    </row>
    <row r="6346" spans="119:119" x14ac:dyDescent="0.2">
      <c r="DO6346" s="303" t="s">
        <v>232</v>
      </c>
    </row>
    <row r="6347" spans="119:119" x14ac:dyDescent="0.2">
      <c r="DO6347" s="303" t="s">
        <v>232</v>
      </c>
    </row>
    <row r="6348" spans="119:119" x14ac:dyDescent="0.2">
      <c r="DO6348" s="303" t="s">
        <v>232</v>
      </c>
    </row>
    <row r="6349" spans="119:119" x14ac:dyDescent="0.2">
      <c r="DO6349" s="303" t="s">
        <v>232</v>
      </c>
    </row>
    <row r="6350" spans="119:119" x14ac:dyDescent="0.2">
      <c r="DO6350" s="303" t="s">
        <v>232</v>
      </c>
    </row>
    <row r="6351" spans="119:119" x14ac:dyDescent="0.2">
      <c r="DO6351" s="303" t="s">
        <v>232</v>
      </c>
    </row>
    <row r="6352" spans="119:119" x14ac:dyDescent="0.2">
      <c r="DO6352" s="303" t="s">
        <v>232</v>
      </c>
    </row>
    <row r="6353" spans="119:119" x14ac:dyDescent="0.2">
      <c r="DO6353" s="303" t="s">
        <v>232</v>
      </c>
    </row>
    <row r="6354" spans="119:119" x14ac:dyDescent="0.2">
      <c r="DO6354" s="303" t="s">
        <v>232</v>
      </c>
    </row>
    <row r="6355" spans="119:119" x14ac:dyDescent="0.2">
      <c r="DO6355" s="303" t="s">
        <v>232</v>
      </c>
    </row>
    <row r="6356" spans="119:119" x14ac:dyDescent="0.2">
      <c r="DO6356" s="303" t="s">
        <v>232</v>
      </c>
    </row>
    <row r="6357" spans="119:119" x14ac:dyDescent="0.2">
      <c r="DO6357" s="303" t="s">
        <v>232</v>
      </c>
    </row>
    <row r="6358" spans="119:119" x14ac:dyDescent="0.2">
      <c r="DO6358" s="303" t="s">
        <v>232</v>
      </c>
    </row>
    <row r="6359" spans="119:119" x14ac:dyDescent="0.2">
      <c r="DO6359" s="303" t="s">
        <v>232</v>
      </c>
    </row>
    <row r="6360" spans="119:119" x14ac:dyDescent="0.2">
      <c r="DO6360" s="303" t="s">
        <v>232</v>
      </c>
    </row>
    <row r="6361" spans="119:119" x14ac:dyDescent="0.2">
      <c r="DO6361" s="303" t="s">
        <v>232</v>
      </c>
    </row>
    <row r="6362" spans="119:119" x14ac:dyDescent="0.2">
      <c r="DO6362" s="303" t="s">
        <v>232</v>
      </c>
    </row>
    <row r="6363" spans="119:119" x14ac:dyDescent="0.2">
      <c r="DO6363" s="303" t="s">
        <v>232</v>
      </c>
    </row>
    <row r="6364" spans="119:119" x14ac:dyDescent="0.2">
      <c r="DO6364" s="303" t="s">
        <v>232</v>
      </c>
    </row>
    <row r="6365" spans="119:119" x14ac:dyDescent="0.2">
      <c r="DO6365" s="303" t="s">
        <v>232</v>
      </c>
    </row>
    <row r="6366" spans="119:119" x14ac:dyDescent="0.2">
      <c r="DO6366" s="303" t="s">
        <v>232</v>
      </c>
    </row>
    <row r="6367" spans="119:119" x14ac:dyDescent="0.2">
      <c r="DO6367" s="303" t="s">
        <v>232</v>
      </c>
    </row>
    <row r="6368" spans="119:119" x14ac:dyDescent="0.2">
      <c r="DO6368" s="303" t="s">
        <v>232</v>
      </c>
    </row>
    <row r="6369" spans="119:119" x14ac:dyDescent="0.2">
      <c r="DO6369" s="303" t="s">
        <v>232</v>
      </c>
    </row>
    <row r="6370" spans="119:119" x14ac:dyDescent="0.2">
      <c r="DO6370" s="303" t="s">
        <v>232</v>
      </c>
    </row>
    <row r="6371" spans="119:119" x14ac:dyDescent="0.2">
      <c r="DO6371" s="303" t="s">
        <v>232</v>
      </c>
    </row>
    <row r="6372" spans="119:119" x14ac:dyDescent="0.2">
      <c r="DO6372" s="303" t="s">
        <v>232</v>
      </c>
    </row>
    <row r="6373" spans="119:119" x14ac:dyDescent="0.2">
      <c r="DO6373" s="303" t="s">
        <v>232</v>
      </c>
    </row>
    <row r="6374" spans="119:119" x14ac:dyDescent="0.2">
      <c r="DO6374" s="303" t="s">
        <v>232</v>
      </c>
    </row>
    <row r="6375" spans="119:119" x14ac:dyDescent="0.2">
      <c r="DO6375" s="303" t="s">
        <v>232</v>
      </c>
    </row>
    <row r="6376" spans="119:119" x14ac:dyDescent="0.2">
      <c r="DO6376" s="303" t="s">
        <v>232</v>
      </c>
    </row>
    <row r="6377" spans="119:119" x14ac:dyDescent="0.2">
      <c r="DO6377" s="303" t="s">
        <v>232</v>
      </c>
    </row>
    <row r="6378" spans="119:119" x14ac:dyDescent="0.2">
      <c r="DO6378" s="303" t="s">
        <v>232</v>
      </c>
    </row>
    <row r="6379" spans="119:119" x14ac:dyDescent="0.2">
      <c r="DO6379" s="303" t="s">
        <v>232</v>
      </c>
    </row>
    <row r="6380" spans="119:119" x14ac:dyDescent="0.2">
      <c r="DO6380" s="303" t="s">
        <v>232</v>
      </c>
    </row>
    <row r="6381" spans="119:119" x14ac:dyDescent="0.2">
      <c r="DO6381" s="303" t="s">
        <v>232</v>
      </c>
    </row>
    <row r="6382" spans="119:119" x14ac:dyDescent="0.2">
      <c r="DO6382" s="303" t="s">
        <v>232</v>
      </c>
    </row>
    <row r="6383" spans="119:119" x14ac:dyDescent="0.2">
      <c r="DO6383" s="303" t="s">
        <v>232</v>
      </c>
    </row>
    <row r="6384" spans="119:119" x14ac:dyDescent="0.2">
      <c r="DO6384" s="303" t="s">
        <v>232</v>
      </c>
    </row>
    <row r="6385" spans="119:119" x14ac:dyDescent="0.2">
      <c r="DO6385" s="303" t="s">
        <v>232</v>
      </c>
    </row>
    <row r="6386" spans="119:119" x14ac:dyDescent="0.2">
      <c r="DO6386" s="303" t="s">
        <v>232</v>
      </c>
    </row>
    <row r="6387" spans="119:119" x14ac:dyDescent="0.2">
      <c r="DO6387" s="303" t="s">
        <v>232</v>
      </c>
    </row>
    <row r="6388" spans="119:119" x14ac:dyDescent="0.2">
      <c r="DO6388" s="303" t="s">
        <v>232</v>
      </c>
    </row>
    <row r="6389" spans="119:119" x14ac:dyDescent="0.2">
      <c r="DO6389" s="303" t="s">
        <v>232</v>
      </c>
    </row>
    <row r="6390" spans="119:119" x14ac:dyDescent="0.2">
      <c r="DO6390" s="303" t="s">
        <v>232</v>
      </c>
    </row>
    <row r="6391" spans="119:119" x14ac:dyDescent="0.2">
      <c r="DO6391" s="303" t="s">
        <v>232</v>
      </c>
    </row>
    <row r="6392" spans="119:119" x14ac:dyDescent="0.2">
      <c r="DO6392" s="303" t="s">
        <v>232</v>
      </c>
    </row>
    <row r="6393" spans="119:119" x14ac:dyDescent="0.2">
      <c r="DO6393" s="303" t="s">
        <v>232</v>
      </c>
    </row>
    <row r="6394" spans="119:119" x14ac:dyDescent="0.2">
      <c r="DO6394" s="303" t="s">
        <v>232</v>
      </c>
    </row>
    <row r="6395" spans="119:119" x14ac:dyDescent="0.2">
      <c r="DO6395" s="303" t="s">
        <v>232</v>
      </c>
    </row>
    <row r="6396" spans="119:119" x14ac:dyDescent="0.2">
      <c r="DO6396" s="303" t="s">
        <v>232</v>
      </c>
    </row>
    <row r="6397" spans="119:119" x14ac:dyDescent="0.2">
      <c r="DO6397" s="303" t="s">
        <v>232</v>
      </c>
    </row>
    <row r="6398" spans="119:119" x14ac:dyDescent="0.2">
      <c r="DO6398" s="303" t="s">
        <v>232</v>
      </c>
    </row>
    <row r="6399" spans="119:119" x14ac:dyDescent="0.2">
      <c r="DO6399" s="303" t="s">
        <v>232</v>
      </c>
    </row>
    <row r="6400" spans="119:119" x14ac:dyDescent="0.2">
      <c r="DO6400" s="303" t="s">
        <v>232</v>
      </c>
    </row>
    <row r="6401" spans="119:119" x14ac:dyDescent="0.2">
      <c r="DO6401" s="303" t="s">
        <v>232</v>
      </c>
    </row>
    <row r="6402" spans="119:119" x14ac:dyDescent="0.2">
      <c r="DO6402" s="303" t="s">
        <v>232</v>
      </c>
    </row>
    <row r="6403" spans="119:119" x14ac:dyDescent="0.2">
      <c r="DO6403" s="303" t="s">
        <v>232</v>
      </c>
    </row>
    <row r="6404" spans="119:119" x14ac:dyDescent="0.2">
      <c r="DO6404" s="303" t="s">
        <v>232</v>
      </c>
    </row>
    <row r="6405" spans="119:119" x14ac:dyDescent="0.2">
      <c r="DO6405" s="303" t="s">
        <v>232</v>
      </c>
    </row>
    <row r="6406" spans="119:119" x14ac:dyDescent="0.2">
      <c r="DO6406" s="303" t="s">
        <v>232</v>
      </c>
    </row>
    <row r="6407" spans="119:119" x14ac:dyDescent="0.2">
      <c r="DO6407" s="303" t="s">
        <v>232</v>
      </c>
    </row>
    <row r="6408" spans="119:119" x14ac:dyDescent="0.2">
      <c r="DO6408" s="303" t="s">
        <v>232</v>
      </c>
    </row>
    <row r="6409" spans="119:119" x14ac:dyDescent="0.2">
      <c r="DO6409" s="303" t="s">
        <v>232</v>
      </c>
    </row>
    <row r="6410" spans="119:119" x14ac:dyDescent="0.2">
      <c r="DO6410" s="303" t="s">
        <v>232</v>
      </c>
    </row>
    <row r="6411" spans="119:119" x14ac:dyDescent="0.2">
      <c r="DO6411" s="303" t="s">
        <v>232</v>
      </c>
    </row>
    <row r="6412" spans="119:119" x14ac:dyDescent="0.2">
      <c r="DO6412" s="303" t="s">
        <v>232</v>
      </c>
    </row>
    <row r="6413" spans="119:119" x14ac:dyDescent="0.2">
      <c r="DO6413" s="303" t="s">
        <v>232</v>
      </c>
    </row>
    <row r="6414" spans="119:119" x14ac:dyDescent="0.2">
      <c r="DO6414" s="303" t="s">
        <v>232</v>
      </c>
    </row>
    <row r="6415" spans="119:119" x14ac:dyDescent="0.2">
      <c r="DO6415" s="303" t="s">
        <v>232</v>
      </c>
    </row>
    <row r="6416" spans="119:119" x14ac:dyDescent="0.2">
      <c r="DO6416" s="303" t="s">
        <v>232</v>
      </c>
    </row>
    <row r="6417" spans="119:119" x14ac:dyDescent="0.2">
      <c r="DO6417" s="303" t="s">
        <v>232</v>
      </c>
    </row>
    <row r="6418" spans="119:119" x14ac:dyDescent="0.2">
      <c r="DO6418" s="303" t="s">
        <v>232</v>
      </c>
    </row>
    <row r="6419" spans="119:119" x14ac:dyDescent="0.2">
      <c r="DO6419" s="303" t="s">
        <v>232</v>
      </c>
    </row>
    <row r="6420" spans="119:119" x14ac:dyDescent="0.2">
      <c r="DO6420" s="303" t="s">
        <v>232</v>
      </c>
    </row>
    <row r="6421" spans="119:119" x14ac:dyDescent="0.2">
      <c r="DO6421" s="303" t="s">
        <v>232</v>
      </c>
    </row>
    <row r="6422" spans="119:119" x14ac:dyDescent="0.2">
      <c r="DO6422" s="303" t="s">
        <v>232</v>
      </c>
    </row>
    <row r="6423" spans="119:119" x14ac:dyDescent="0.2">
      <c r="DO6423" s="303" t="s">
        <v>232</v>
      </c>
    </row>
    <row r="6424" spans="119:119" x14ac:dyDescent="0.2">
      <c r="DO6424" s="303" t="s">
        <v>232</v>
      </c>
    </row>
    <row r="6425" spans="119:119" x14ac:dyDescent="0.2">
      <c r="DO6425" s="303" t="s">
        <v>232</v>
      </c>
    </row>
    <row r="6426" spans="119:119" x14ac:dyDescent="0.2">
      <c r="DO6426" s="303" t="s">
        <v>232</v>
      </c>
    </row>
    <row r="6427" spans="119:119" x14ac:dyDescent="0.2">
      <c r="DO6427" s="303" t="s">
        <v>232</v>
      </c>
    </row>
    <row r="6428" spans="119:119" x14ac:dyDescent="0.2">
      <c r="DO6428" s="303" t="s">
        <v>232</v>
      </c>
    </row>
    <row r="6429" spans="119:119" x14ac:dyDescent="0.2">
      <c r="DO6429" s="303" t="s">
        <v>232</v>
      </c>
    </row>
    <row r="6430" spans="119:119" x14ac:dyDescent="0.2">
      <c r="DO6430" s="303" t="s">
        <v>232</v>
      </c>
    </row>
    <row r="6431" spans="119:119" x14ac:dyDescent="0.2">
      <c r="DO6431" s="303" t="s">
        <v>232</v>
      </c>
    </row>
    <row r="6432" spans="119:119" x14ac:dyDescent="0.2">
      <c r="DO6432" s="303" t="s">
        <v>232</v>
      </c>
    </row>
    <row r="6433" spans="119:119" x14ac:dyDescent="0.2">
      <c r="DO6433" s="303" t="s">
        <v>232</v>
      </c>
    </row>
    <row r="6434" spans="119:119" x14ac:dyDescent="0.2">
      <c r="DO6434" s="303" t="s">
        <v>232</v>
      </c>
    </row>
    <row r="6435" spans="119:119" x14ac:dyDescent="0.2">
      <c r="DO6435" s="303" t="s">
        <v>232</v>
      </c>
    </row>
    <row r="6436" spans="119:119" x14ac:dyDescent="0.2">
      <c r="DO6436" s="303" t="s">
        <v>232</v>
      </c>
    </row>
    <row r="6437" spans="119:119" x14ac:dyDescent="0.2">
      <c r="DO6437" s="303" t="s">
        <v>232</v>
      </c>
    </row>
    <row r="6438" spans="119:119" x14ac:dyDescent="0.2">
      <c r="DO6438" s="303" t="s">
        <v>232</v>
      </c>
    </row>
    <row r="6439" spans="119:119" x14ac:dyDescent="0.2">
      <c r="DO6439" s="303" t="s">
        <v>232</v>
      </c>
    </row>
    <row r="6440" spans="119:119" x14ac:dyDescent="0.2">
      <c r="DO6440" s="303" t="s">
        <v>232</v>
      </c>
    </row>
    <row r="6441" spans="119:119" x14ac:dyDescent="0.2">
      <c r="DO6441" s="303" t="s">
        <v>232</v>
      </c>
    </row>
    <row r="6442" spans="119:119" x14ac:dyDescent="0.2">
      <c r="DO6442" s="303" t="s">
        <v>232</v>
      </c>
    </row>
    <row r="6443" spans="119:119" x14ac:dyDescent="0.2">
      <c r="DO6443" s="303" t="s">
        <v>232</v>
      </c>
    </row>
    <row r="6444" spans="119:119" x14ac:dyDescent="0.2">
      <c r="DO6444" s="303" t="s">
        <v>232</v>
      </c>
    </row>
    <row r="6445" spans="119:119" x14ac:dyDescent="0.2">
      <c r="DO6445" s="303" t="s">
        <v>232</v>
      </c>
    </row>
    <row r="6446" spans="119:119" x14ac:dyDescent="0.2">
      <c r="DO6446" s="303" t="s">
        <v>232</v>
      </c>
    </row>
    <row r="6447" spans="119:119" x14ac:dyDescent="0.2">
      <c r="DO6447" s="303" t="s">
        <v>232</v>
      </c>
    </row>
    <row r="6448" spans="119:119" x14ac:dyDescent="0.2">
      <c r="DO6448" s="303" t="s">
        <v>232</v>
      </c>
    </row>
    <row r="6449" spans="119:119" x14ac:dyDescent="0.2">
      <c r="DO6449" s="303" t="s">
        <v>232</v>
      </c>
    </row>
    <row r="6450" spans="119:119" x14ac:dyDescent="0.2">
      <c r="DO6450" s="303" t="s">
        <v>232</v>
      </c>
    </row>
    <row r="6451" spans="119:119" x14ac:dyDescent="0.2">
      <c r="DO6451" s="303" t="s">
        <v>232</v>
      </c>
    </row>
    <row r="6452" spans="119:119" x14ac:dyDescent="0.2">
      <c r="DO6452" s="303" t="s">
        <v>232</v>
      </c>
    </row>
    <row r="6453" spans="119:119" x14ac:dyDescent="0.2">
      <c r="DO6453" s="303" t="s">
        <v>232</v>
      </c>
    </row>
    <row r="6454" spans="119:119" x14ac:dyDescent="0.2">
      <c r="DO6454" s="303" t="s">
        <v>232</v>
      </c>
    </row>
    <row r="6455" spans="119:119" x14ac:dyDescent="0.2">
      <c r="DO6455" s="303" t="s">
        <v>232</v>
      </c>
    </row>
    <row r="6456" spans="119:119" x14ac:dyDescent="0.2">
      <c r="DO6456" s="303" t="s">
        <v>232</v>
      </c>
    </row>
    <row r="6457" spans="119:119" x14ac:dyDescent="0.2">
      <c r="DO6457" s="303" t="s">
        <v>232</v>
      </c>
    </row>
    <row r="6458" spans="119:119" x14ac:dyDescent="0.2">
      <c r="DO6458" s="303" t="s">
        <v>232</v>
      </c>
    </row>
    <row r="6459" spans="119:119" x14ac:dyDescent="0.2">
      <c r="DO6459" s="303" t="s">
        <v>232</v>
      </c>
    </row>
    <row r="6460" spans="119:119" x14ac:dyDescent="0.2">
      <c r="DO6460" s="303" t="s">
        <v>232</v>
      </c>
    </row>
    <row r="6461" spans="119:119" x14ac:dyDescent="0.2">
      <c r="DO6461" s="303" t="s">
        <v>232</v>
      </c>
    </row>
    <row r="6462" spans="119:119" x14ac:dyDescent="0.2">
      <c r="DO6462" s="303" t="s">
        <v>232</v>
      </c>
    </row>
    <row r="6463" spans="119:119" x14ac:dyDescent="0.2">
      <c r="DO6463" s="303" t="s">
        <v>232</v>
      </c>
    </row>
    <row r="6464" spans="119:119" x14ac:dyDescent="0.2">
      <c r="DO6464" s="303" t="s">
        <v>232</v>
      </c>
    </row>
    <row r="6465" spans="119:119" x14ac:dyDescent="0.2">
      <c r="DO6465" s="303" t="s">
        <v>232</v>
      </c>
    </row>
    <row r="6466" spans="119:119" x14ac:dyDescent="0.2">
      <c r="DO6466" s="303" t="s">
        <v>232</v>
      </c>
    </row>
    <row r="6467" spans="119:119" x14ac:dyDescent="0.2">
      <c r="DO6467" s="303" t="s">
        <v>232</v>
      </c>
    </row>
    <row r="6468" spans="119:119" x14ac:dyDescent="0.2">
      <c r="DO6468" s="303" t="s">
        <v>232</v>
      </c>
    </row>
    <row r="6469" spans="119:119" x14ac:dyDescent="0.2">
      <c r="DO6469" s="303" t="s">
        <v>232</v>
      </c>
    </row>
    <row r="6470" spans="119:119" x14ac:dyDescent="0.2">
      <c r="DO6470" s="303" t="s">
        <v>232</v>
      </c>
    </row>
    <row r="6471" spans="119:119" x14ac:dyDescent="0.2">
      <c r="DO6471" s="303" t="s">
        <v>232</v>
      </c>
    </row>
    <row r="6472" spans="119:119" x14ac:dyDescent="0.2">
      <c r="DO6472" s="303" t="s">
        <v>232</v>
      </c>
    </row>
    <row r="6473" spans="119:119" x14ac:dyDescent="0.2">
      <c r="DO6473" s="303" t="s">
        <v>232</v>
      </c>
    </row>
    <row r="6474" spans="119:119" x14ac:dyDescent="0.2">
      <c r="DO6474" s="303" t="s">
        <v>232</v>
      </c>
    </row>
    <row r="6475" spans="119:119" x14ac:dyDescent="0.2">
      <c r="DO6475" s="303" t="s">
        <v>232</v>
      </c>
    </row>
    <row r="6476" spans="119:119" x14ac:dyDescent="0.2">
      <c r="DO6476" s="303" t="s">
        <v>232</v>
      </c>
    </row>
    <row r="6477" spans="119:119" x14ac:dyDescent="0.2">
      <c r="DO6477" s="303" t="s">
        <v>232</v>
      </c>
    </row>
    <row r="6478" spans="119:119" x14ac:dyDescent="0.2">
      <c r="DO6478" s="303" t="s">
        <v>232</v>
      </c>
    </row>
    <row r="6479" spans="119:119" x14ac:dyDescent="0.2">
      <c r="DO6479" s="303" t="s">
        <v>232</v>
      </c>
    </row>
    <row r="6480" spans="119:119" x14ac:dyDescent="0.2">
      <c r="DO6480" s="303" t="s">
        <v>232</v>
      </c>
    </row>
    <row r="6481" spans="119:119" x14ac:dyDescent="0.2">
      <c r="DO6481" s="303" t="s">
        <v>232</v>
      </c>
    </row>
    <row r="6482" spans="119:119" x14ac:dyDescent="0.2">
      <c r="DO6482" s="303" t="s">
        <v>232</v>
      </c>
    </row>
    <row r="6483" spans="119:119" x14ac:dyDescent="0.2">
      <c r="DO6483" s="303" t="s">
        <v>232</v>
      </c>
    </row>
    <row r="6484" spans="119:119" x14ac:dyDescent="0.2">
      <c r="DO6484" s="303" t="s">
        <v>232</v>
      </c>
    </row>
    <row r="6485" spans="119:119" x14ac:dyDescent="0.2">
      <c r="DO6485" s="303" t="s">
        <v>232</v>
      </c>
    </row>
    <row r="6486" spans="119:119" x14ac:dyDescent="0.2">
      <c r="DO6486" s="303" t="s">
        <v>232</v>
      </c>
    </row>
    <row r="6487" spans="119:119" x14ac:dyDescent="0.2">
      <c r="DO6487" s="303" t="s">
        <v>232</v>
      </c>
    </row>
    <row r="6488" spans="119:119" x14ac:dyDescent="0.2">
      <c r="DO6488" s="303" t="s">
        <v>232</v>
      </c>
    </row>
    <row r="6489" spans="119:119" x14ac:dyDescent="0.2">
      <c r="DO6489" s="303" t="s">
        <v>232</v>
      </c>
    </row>
    <row r="6490" spans="119:119" x14ac:dyDescent="0.2">
      <c r="DO6490" s="303" t="s">
        <v>232</v>
      </c>
    </row>
    <row r="6491" spans="119:119" x14ac:dyDescent="0.2">
      <c r="DO6491" s="303" t="s">
        <v>232</v>
      </c>
    </row>
    <row r="6492" spans="119:119" x14ac:dyDescent="0.2">
      <c r="DO6492" s="303" t="s">
        <v>232</v>
      </c>
    </row>
    <row r="6493" spans="119:119" x14ac:dyDescent="0.2">
      <c r="DO6493" s="303" t="s">
        <v>232</v>
      </c>
    </row>
    <row r="6494" spans="119:119" x14ac:dyDescent="0.2">
      <c r="DO6494" s="303" t="s">
        <v>232</v>
      </c>
    </row>
    <row r="6495" spans="119:119" x14ac:dyDescent="0.2">
      <c r="DO6495" s="303" t="s">
        <v>232</v>
      </c>
    </row>
    <row r="6496" spans="119:119" x14ac:dyDescent="0.2">
      <c r="DO6496" s="303" t="s">
        <v>232</v>
      </c>
    </row>
    <row r="6497" spans="119:119" x14ac:dyDescent="0.2">
      <c r="DO6497" s="303" t="s">
        <v>232</v>
      </c>
    </row>
    <row r="6498" spans="119:119" x14ac:dyDescent="0.2">
      <c r="DO6498" s="303" t="s">
        <v>232</v>
      </c>
    </row>
    <row r="6499" spans="119:119" x14ac:dyDescent="0.2">
      <c r="DO6499" s="303" t="s">
        <v>232</v>
      </c>
    </row>
    <row r="6500" spans="119:119" x14ac:dyDescent="0.2">
      <c r="DO6500" s="303" t="s">
        <v>232</v>
      </c>
    </row>
    <row r="6501" spans="119:119" x14ac:dyDescent="0.2">
      <c r="DO6501" s="303" t="s">
        <v>232</v>
      </c>
    </row>
    <row r="6502" spans="119:119" x14ac:dyDescent="0.2">
      <c r="DO6502" s="303" t="s">
        <v>232</v>
      </c>
    </row>
    <row r="6503" spans="119:119" x14ac:dyDescent="0.2">
      <c r="DO6503" s="303" t="s">
        <v>232</v>
      </c>
    </row>
    <row r="6504" spans="119:119" x14ac:dyDescent="0.2">
      <c r="DO6504" s="303" t="s">
        <v>232</v>
      </c>
    </row>
    <row r="6505" spans="119:119" x14ac:dyDescent="0.2">
      <c r="DO6505" s="303" t="s">
        <v>232</v>
      </c>
    </row>
    <row r="6506" spans="119:119" x14ac:dyDescent="0.2">
      <c r="DO6506" s="303" t="s">
        <v>232</v>
      </c>
    </row>
    <row r="6507" spans="119:119" x14ac:dyDescent="0.2">
      <c r="DO6507" s="303" t="s">
        <v>232</v>
      </c>
    </row>
    <row r="6508" spans="119:119" x14ac:dyDescent="0.2">
      <c r="DO6508" s="303" t="s">
        <v>232</v>
      </c>
    </row>
    <row r="6509" spans="119:119" x14ac:dyDescent="0.2">
      <c r="DO6509" s="303" t="s">
        <v>232</v>
      </c>
    </row>
    <row r="6510" spans="119:119" x14ac:dyDescent="0.2">
      <c r="DO6510" s="303" t="s">
        <v>232</v>
      </c>
    </row>
    <row r="6511" spans="119:119" x14ac:dyDescent="0.2">
      <c r="DO6511" s="303" t="s">
        <v>232</v>
      </c>
    </row>
    <row r="6512" spans="119:119" x14ac:dyDescent="0.2">
      <c r="DO6512" s="303" t="s">
        <v>232</v>
      </c>
    </row>
    <row r="6513" spans="119:119" x14ac:dyDescent="0.2">
      <c r="DO6513" s="303" t="s">
        <v>232</v>
      </c>
    </row>
    <row r="6514" spans="119:119" x14ac:dyDescent="0.2">
      <c r="DO6514" s="303" t="s">
        <v>232</v>
      </c>
    </row>
    <row r="6515" spans="119:119" x14ac:dyDescent="0.2">
      <c r="DO6515" s="303" t="s">
        <v>232</v>
      </c>
    </row>
    <row r="6516" spans="119:119" x14ac:dyDescent="0.2">
      <c r="DO6516" s="303" t="s">
        <v>232</v>
      </c>
    </row>
    <row r="6517" spans="119:119" x14ac:dyDescent="0.2">
      <c r="DO6517" s="303" t="s">
        <v>232</v>
      </c>
    </row>
    <row r="6518" spans="119:119" x14ac:dyDescent="0.2">
      <c r="DO6518" s="303" t="s">
        <v>232</v>
      </c>
    </row>
    <row r="6519" spans="119:119" x14ac:dyDescent="0.2">
      <c r="DO6519" s="303" t="s">
        <v>232</v>
      </c>
    </row>
    <row r="6520" spans="119:119" x14ac:dyDescent="0.2">
      <c r="DO6520" s="303" t="s">
        <v>232</v>
      </c>
    </row>
    <row r="6521" spans="119:119" x14ac:dyDescent="0.2">
      <c r="DO6521" s="303" t="s">
        <v>232</v>
      </c>
    </row>
    <row r="6522" spans="119:119" x14ac:dyDescent="0.2">
      <c r="DO6522" s="303" t="s">
        <v>232</v>
      </c>
    </row>
    <row r="6523" spans="119:119" x14ac:dyDescent="0.2">
      <c r="DO6523" s="303" t="s">
        <v>232</v>
      </c>
    </row>
    <row r="6524" spans="119:119" x14ac:dyDescent="0.2">
      <c r="DO6524" s="303" t="s">
        <v>232</v>
      </c>
    </row>
    <row r="6525" spans="119:119" x14ac:dyDescent="0.2">
      <c r="DO6525" s="303" t="s">
        <v>232</v>
      </c>
    </row>
    <row r="6526" spans="119:119" x14ac:dyDescent="0.2">
      <c r="DO6526" s="303" t="s">
        <v>232</v>
      </c>
    </row>
    <row r="6527" spans="119:119" x14ac:dyDescent="0.2">
      <c r="DO6527" s="303" t="s">
        <v>232</v>
      </c>
    </row>
    <row r="6528" spans="119:119" x14ac:dyDescent="0.2">
      <c r="DO6528" s="303" t="s">
        <v>232</v>
      </c>
    </row>
    <row r="6529" spans="119:119" x14ac:dyDescent="0.2">
      <c r="DO6529" s="303" t="s">
        <v>232</v>
      </c>
    </row>
    <row r="6530" spans="119:119" x14ac:dyDescent="0.2">
      <c r="DO6530" s="303" t="s">
        <v>232</v>
      </c>
    </row>
    <row r="6531" spans="119:119" x14ac:dyDescent="0.2">
      <c r="DO6531" s="303" t="s">
        <v>232</v>
      </c>
    </row>
    <row r="6532" spans="119:119" x14ac:dyDescent="0.2">
      <c r="DO6532" s="303" t="s">
        <v>232</v>
      </c>
    </row>
    <row r="6533" spans="119:119" x14ac:dyDescent="0.2">
      <c r="DO6533" s="303" t="s">
        <v>232</v>
      </c>
    </row>
    <row r="6534" spans="119:119" x14ac:dyDescent="0.2">
      <c r="DO6534" s="303" t="s">
        <v>232</v>
      </c>
    </row>
    <row r="6535" spans="119:119" x14ac:dyDescent="0.2">
      <c r="DO6535" s="303" t="s">
        <v>232</v>
      </c>
    </row>
    <row r="6536" spans="119:119" x14ac:dyDescent="0.2">
      <c r="DO6536" s="303" t="s">
        <v>232</v>
      </c>
    </row>
    <row r="6537" spans="119:119" x14ac:dyDescent="0.2">
      <c r="DO6537" s="303" t="s">
        <v>232</v>
      </c>
    </row>
    <row r="6538" spans="119:119" x14ac:dyDescent="0.2">
      <c r="DO6538" s="303" t="s">
        <v>232</v>
      </c>
    </row>
    <row r="6539" spans="119:119" x14ac:dyDescent="0.2">
      <c r="DO6539" s="303" t="s">
        <v>232</v>
      </c>
    </row>
    <row r="6540" spans="119:119" x14ac:dyDescent="0.2">
      <c r="DO6540" s="303" t="s">
        <v>232</v>
      </c>
    </row>
    <row r="6541" spans="119:119" x14ac:dyDescent="0.2">
      <c r="DO6541" s="303" t="s">
        <v>232</v>
      </c>
    </row>
    <row r="6542" spans="119:119" x14ac:dyDescent="0.2">
      <c r="DO6542" s="303" t="s">
        <v>232</v>
      </c>
    </row>
    <row r="6543" spans="119:119" x14ac:dyDescent="0.2">
      <c r="DO6543" s="303" t="s">
        <v>232</v>
      </c>
    </row>
    <row r="6544" spans="119:119" x14ac:dyDescent="0.2">
      <c r="DO6544" s="303" t="s">
        <v>232</v>
      </c>
    </row>
    <row r="6545" spans="119:119" x14ac:dyDescent="0.2">
      <c r="DO6545" s="303" t="s">
        <v>232</v>
      </c>
    </row>
    <row r="6546" spans="119:119" x14ac:dyDescent="0.2">
      <c r="DO6546" s="303" t="s">
        <v>232</v>
      </c>
    </row>
    <row r="6547" spans="119:119" x14ac:dyDescent="0.2">
      <c r="DO6547" s="303" t="s">
        <v>232</v>
      </c>
    </row>
    <row r="6548" spans="119:119" x14ac:dyDescent="0.2">
      <c r="DO6548" s="303" t="s">
        <v>232</v>
      </c>
    </row>
    <row r="6549" spans="119:119" x14ac:dyDescent="0.2">
      <c r="DO6549" s="303" t="s">
        <v>232</v>
      </c>
    </row>
    <row r="6550" spans="119:119" x14ac:dyDescent="0.2">
      <c r="DO6550" s="303" t="s">
        <v>232</v>
      </c>
    </row>
    <row r="6551" spans="119:119" x14ac:dyDescent="0.2">
      <c r="DO6551" s="303" t="s">
        <v>232</v>
      </c>
    </row>
    <row r="6552" spans="119:119" x14ac:dyDescent="0.2">
      <c r="DO6552" s="303" t="s">
        <v>232</v>
      </c>
    </row>
    <row r="6553" spans="119:119" x14ac:dyDescent="0.2">
      <c r="DO6553" s="303" t="s">
        <v>232</v>
      </c>
    </row>
    <row r="6554" spans="119:119" x14ac:dyDescent="0.2">
      <c r="DO6554" s="303" t="s">
        <v>232</v>
      </c>
    </row>
    <row r="6555" spans="119:119" x14ac:dyDescent="0.2">
      <c r="DO6555" s="303" t="s">
        <v>232</v>
      </c>
    </row>
    <row r="6556" spans="119:119" x14ac:dyDescent="0.2">
      <c r="DO6556" s="303" t="s">
        <v>232</v>
      </c>
    </row>
    <row r="6557" spans="119:119" x14ac:dyDescent="0.2">
      <c r="DO6557" s="303" t="s">
        <v>232</v>
      </c>
    </row>
    <row r="6558" spans="119:119" x14ac:dyDescent="0.2">
      <c r="DO6558" s="303" t="s">
        <v>232</v>
      </c>
    </row>
    <row r="6559" spans="119:119" x14ac:dyDescent="0.2">
      <c r="DO6559" s="303" t="s">
        <v>232</v>
      </c>
    </row>
    <row r="6560" spans="119:119" x14ac:dyDescent="0.2">
      <c r="DO6560" s="303" t="s">
        <v>232</v>
      </c>
    </row>
    <row r="6561" spans="119:119" x14ac:dyDescent="0.2">
      <c r="DO6561" s="303" t="s">
        <v>232</v>
      </c>
    </row>
    <row r="6562" spans="119:119" x14ac:dyDescent="0.2">
      <c r="DO6562" s="303" t="s">
        <v>232</v>
      </c>
    </row>
    <row r="6563" spans="119:119" x14ac:dyDescent="0.2">
      <c r="DO6563" s="303" t="s">
        <v>232</v>
      </c>
    </row>
    <row r="6564" spans="119:119" x14ac:dyDescent="0.2">
      <c r="DO6564" s="303" t="s">
        <v>232</v>
      </c>
    </row>
    <row r="6565" spans="119:119" x14ac:dyDescent="0.2">
      <c r="DO6565" s="303" t="s">
        <v>232</v>
      </c>
    </row>
    <row r="6566" spans="119:119" x14ac:dyDescent="0.2">
      <c r="DO6566" s="303" t="s">
        <v>232</v>
      </c>
    </row>
    <row r="6567" spans="119:119" x14ac:dyDescent="0.2">
      <c r="DO6567" s="303" t="s">
        <v>232</v>
      </c>
    </row>
    <row r="6568" spans="119:119" x14ac:dyDescent="0.2">
      <c r="DO6568" s="303" t="s">
        <v>232</v>
      </c>
    </row>
    <row r="6569" spans="119:119" x14ac:dyDescent="0.2">
      <c r="DO6569" s="303" t="s">
        <v>232</v>
      </c>
    </row>
    <row r="6570" spans="119:119" x14ac:dyDescent="0.2">
      <c r="DO6570" s="303" t="s">
        <v>232</v>
      </c>
    </row>
    <row r="6571" spans="119:119" x14ac:dyDescent="0.2">
      <c r="DO6571" s="303" t="s">
        <v>232</v>
      </c>
    </row>
    <row r="6572" spans="119:119" x14ac:dyDescent="0.2">
      <c r="DO6572" s="303" t="s">
        <v>232</v>
      </c>
    </row>
    <row r="6573" spans="119:119" x14ac:dyDescent="0.2">
      <c r="DO6573" s="303" t="s">
        <v>232</v>
      </c>
    </row>
    <row r="6574" spans="119:119" x14ac:dyDescent="0.2">
      <c r="DO6574" s="303" t="s">
        <v>232</v>
      </c>
    </row>
    <row r="6575" spans="119:119" x14ac:dyDescent="0.2">
      <c r="DO6575" s="303" t="s">
        <v>232</v>
      </c>
    </row>
    <row r="6576" spans="119:119" x14ac:dyDescent="0.2">
      <c r="DO6576" s="303" t="s">
        <v>232</v>
      </c>
    </row>
    <row r="6577" spans="119:119" x14ac:dyDescent="0.2">
      <c r="DO6577" s="303" t="s">
        <v>232</v>
      </c>
    </row>
    <row r="6578" spans="119:119" x14ac:dyDescent="0.2">
      <c r="DO6578" s="303" t="s">
        <v>232</v>
      </c>
    </row>
    <row r="6579" spans="119:119" x14ac:dyDescent="0.2">
      <c r="DO6579" s="303" t="s">
        <v>232</v>
      </c>
    </row>
    <row r="6580" spans="119:119" x14ac:dyDescent="0.2">
      <c r="DO6580" s="303" t="s">
        <v>232</v>
      </c>
    </row>
    <row r="6581" spans="119:119" x14ac:dyDescent="0.2">
      <c r="DO6581" s="303" t="s">
        <v>232</v>
      </c>
    </row>
    <row r="6582" spans="119:119" x14ac:dyDescent="0.2">
      <c r="DO6582" s="303" t="s">
        <v>232</v>
      </c>
    </row>
    <row r="6583" spans="119:119" x14ac:dyDescent="0.2">
      <c r="DO6583" s="303" t="s">
        <v>232</v>
      </c>
    </row>
    <row r="6584" spans="119:119" x14ac:dyDescent="0.2">
      <c r="DO6584" s="303" t="s">
        <v>232</v>
      </c>
    </row>
    <row r="6585" spans="119:119" x14ac:dyDescent="0.2">
      <c r="DO6585" s="303" t="s">
        <v>232</v>
      </c>
    </row>
    <row r="6586" spans="119:119" x14ac:dyDescent="0.2">
      <c r="DO6586" s="303" t="s">
        <v>232</v>
      </c>
    </row>
    <row r="6587" spans="119:119" x14ac:dyDescent="0.2">
      <c r="DO6587" s="303" t="s">
        <v>232</v>
      </c>
    </row>
    <row r="6588" spans="119:119" x14ac:dyDescent="0.2">
      <c r="DO6588" s="303" t="s">
        <v>232</v>
      </c>
    </row>
    <row r="6589" spans="119:119" x14ac:dyDescent="0.2">
      <c r="DO6589" s="303" t="s">
        <v>232</v>
      </c>
    </row>
    <row r="6590" spans="119:119" x14ac:dyDescent="0.2">
      <c r="DO6590" s="303" t="s">
        <v>232</v>
      </c>
    </row>
    <row r="6591" spans="119:119" x14ac:dyDescent="0.2">
      <c r="DO6591" s="303" t="s">
        <v>232</v>
      </c>
    </row>
    <row r="6592" spans="119:119" x14ac:dyDescent="0.2">
      <c r="DO6592" s="303" t="s">
        <v>232</v>
      </c>
    </row>
    <row r="6593" spans="119:119" x14ac:dyDescent="0.2">
      <c r="DO6593" s="303" t="s">
        <v>232</v>
      </c>
    </row>
    <row r="6594" spans="119:119" x14ac:dyDescent="0.2">
      <c r="DO6594" s="303" t="s">
        <v>232</v>
      </c>
    </row>
    <row r="6595" spans="119:119" x14ac:dyDescent="0.2">
      <c r="DO6595" s="303" t="s">
        <v>232</v>
      </c>
    </row>
    <row r="6596" spans="119:119" x14ac:dyDescent="0.2">
      <c r="DO6596" s="303" t="s">
        <v>232</v>
      </c>
    </row>
    <row r="6597" spans="119:119" x14ac:dyDescent="0.2">
      <c r="DO6597" s="303" t="s">
        <v>232</v>
      </c>
    </row>
    <row r="6598" spans="119:119" x14ac:dyDescent="0.2">
      <c r="DO6598" s="303" t="s">
        <v>232</v>
      </c>
    </row>
    <row r="6599" spans="119:119" x14ac:dyDescent="0.2">
      <c r="DO6599" s="303" t="s">
        <v>232</v>
      </c>
    </row>
    <row r="6600" spans="119:119" x14ac:dyDescent="0.2">
      <c r="DO6600" s="303" t="s">
        <v>232</v>
      </c>
    </row>
    <row r="6601" spans="119:119" x14ac:dyDescent="0.2">
      <c r="DO6601" s="303" t="s">
        <v>232</v>
      </c>
    </row>
    <row r="6602" spans="119:119" x14ac:dyDescent="0.2">
      <c r="DO6602" s="303" t="s">
        <v>232</v>
      </c>
    </row>
    <row r="6603" spans="119:119" x14ac:dyDescent="0.2">
      <c r="DO6603" s="303" t="s">
        <v>232</v>
      </c>
    </row>
    <row r="6604" spans="119:119" x14ac:dyDescent="0.2">
      <c r="DO6604" s="303" t="s">
        <v>232</v>
      </c>
    </row>
    <row r="6605" spans="119:119" x14ac:dyDescent="0.2">
      <c r="DO6605" s="303" t="s">
        <v>232</v>
      </c>
    </row>
    <row r="6606" spans="119:119" x14ac:dyDescent="0.2">
      <c r="DO6606" s="303" t="s">
        <v>232</v>
      </c>
    </row>
    <row r="6607" spans="119:119" x14ac:dyDescent="0.2">
      <c r="DO6607" s="303" t="s">
        <v>232</v>
      </c>
    </row>
    <row r="6608" spans="119:119" x14ac:dyDescent="0.2">
      <c r="DO6608" s="303" t="s">
        <v>232</v>
      </c>
    </row>
    <row r="6609" spans="119:119" x14ac:dyDescent="0.2">
      <c r="DO6609" s="303" t="s">
        <v>232</v>
      </c>
    </row>
    <row r="6610" spans="119:119" x14ac:dyDescent="0.2">
      <c r="DO6610" s="303" t="s">
        <v>232</v>
      </c>
    </row>
    <row r="6611" spans="119:119" x14ac:dyDescent="0.2">
      <c r="DO6611" s="303" t="s">
        <v>232</v>
      </c>
    </row>
    <row r="6612" spans="119:119" x14ac:dyDescent="0.2">
      <c r="DO6612" s="303" t="s">
        <v>232</v>
      </c>
    </row>
    <row r="6613" spans="119:119" x14ac:dyDescent="0.2">
      <c r="DO6613" s="303" t="s">
        <v>232</v>
      </c>
    </row>
    <row r="6614" spans="119:119" x14ac:dyDescent="0.2">
      <c r="DO6614" s="303" t="s">
        <v>232</v>
      </c>
    </row>
    <row r="6615" spans="119:119" x14ac:dyDescent="0.2">
      <c r="DO6615" s="303" t="s">
        <v>232</v>
      </c>
    </row>
    <row r="6616" spans="119:119" x14ac:dyDescent="0.2">
      <c r="DO6616" s="303" t="s">
        <v>232</v>
      </c>
    </row>
    <row r="6617" spans="119:119" x14ac:dyDescent="0.2">
      <c r="DO6617" s="303" t="s">
        <v>232</v>
      </c>
    </row>
    <row r="6618" spans="119:119" x14ac:dyDescent="0.2">
      <c r="DO6618" s="303" t="s">
        <v>232</v>
      </c>
    </row>
    <row r="6619" spans="119:119" x14ac:dyDescent="0.2">
      <c r="DO6619" s="303" t="s">
        <v>232</v>
      </c>
    </row>
    <row r="6620" spans="119:119" x14ac:dyDescent="0.2">
      <c r="DO6620" s="303" t="s">
        <v>232</v>
      </c>
    </row>
    <row r="6621" spans="119:119" x14ac:dyDescent="0.2">
      <c r="DO6621" s="303" t="s">
        <v>232</v>
      </c>
    </row>
    <row r="6622" spans="119:119" x14ac:dyDescent="0.2">
      <c r="DO6622" s="303" t="s">
        <v>232</v>
      </c>
    </row>
    <row r="6623" spans="119:119" x14ac:dyDescent="0.2">
      <c r="DO6623" s="303" t="s">
        <v>232</v>
      </c>
    </row>
    <row r="6624" spans="119:119" x14ac:dyDescent="0.2">
      <c r="DO6624" s="303" t="s">
        <v>232</v>
      </c>
    </row>
    <row r="6625" spans="119:119" x14ac:dyDescent="0.2">
      <c r="DO6625" s="303" t="s">
        <v>232</v>
      </c>
    </row>
    <row r="6626" spans="119:119" x14ac:dyDescent="0.2">
      <c r="DO6626" s="303" t="s">
        <v>232</v>
      </c>
    </row>
    <row r="6627" spans="119:119" x14ac:dyDescent="0.2">
      <c r="DO6627" s="303" t="s">
        <v>232</v>
      </c>
    </row>
    <row r="6628" spans="119:119" x14ac:dyDescent="0.2">
      <c r="DO6628" s="303" t="s">
        <v>232</v>
      </c>
    </row>
    <row r="6629" spans="119:119" x14ac:dyDescent="0.2">
      <c r="DO6629" s="303" t="s">
        <v>232</v>
      </c>
    </row>
    <row r="6630" spans="119:119" x14ac:dyDescent="0.2">
      <c r="DO6630" s="303" t="s">
        <v>232</v>
      </c>
    </row>
    <row r="6631" spans="119:119" x14ac:dyDescent="0.2">
      <c r="DO6631" s="303" t="s">
        <v>232</v>
      </c>
    </row>
    <row r="6632" spans="119:119" x14ac:dyDescent="0.2">
      <c r="DO6632" s="303" t="s">
        <v>232</v>
      </c>
    </row>
    <row r="6633" spans="119:119" x14ac:dyDescent="0.2">
      <c r="DO6633" s="303" t="s">
        <v>232</v>
      </c>
    </row>
    <row r="6634" spans="119:119" x14ac:dyDescent="0.2">
      <c r="DO6634" s="303" t="s">
        <v>232</v>
      </c>
    </row>
    <row r="6635" spans="119:119" x14ac:dyDescent="0.2">
      <c r="DO6635" s="303" t="s">
        <v>232</v>
      </c>
    </row>
    <row r="6636" spans="119:119" x14ac:dyDescent="0.2">
      <c r="DO6636" s="303" t="s">
        <v>232</v>
      </c>
    </row>
    <row r="6637" spans="119:119" x14ac:dyDescent="0.2">
      <c r="DO6637" s="303" t="s">
        <v>232</v>
      </c>
    </row>
    <row r="6638" spans="119:119" x14ac:dyDescent="0.2">
      <c r="DO6638" s="303" t="s">
        <v>232</v>
      </c>
    </row>
    <row r="6639" spans="119:119" x14ac:dyDescent="0.2">
      <c r="DO6639" s="303" t="s">
        <v>232</v>
      </c>
    </row>
    <row r="6640" spans="119:119" x14ac:dyDescent="0.2">
      <c r="DO6640" s="303" t="s">
        <v>232</v>
      </c>
    </row>
    <row r="6641" spans="119:119" x14ac:dyDescent="0.2">
      <c r="DO6641" s="303" t="s">
        <v>232</v>
      </c>
    </row>
    <row r="6642" spans="119:119" x14ac:dyDescent="0.2">
      <c r="DO6642" s="303" t="s">
        <v>232</v>
      </c>
    </row>
    <row r="6643" spans="119:119" x14ac:dyDescent="0.2">
      <c r="DO6643" s="303" t="s">
        <v>232</v>
      </c>
    </row>
    <row r="6644" spans="119:119" x14ac:dyDescent="0.2">
      <c r="DO6644" s="303" t="s">
        <v>232</v>
      </c>
    </row>
    <row r="6645" spans="119:119" x14ac:dyDescent="0.2">
      <c r="DO6645" s="303" t="s">
        <v>232</v>
      </c>
    </row>
    <row r="6646" spans="119:119" x14ac:dyDescent="0.2">
      <c r="DO6646" s="303" t="s">
        <v>232</v>
      </c>
    </row>
    <row r="6647" spans="119:119" x14ac:dyDescent="0.2">
      <c r="DO6647" s="303" t="s">
        <v>232</v>
      </c>
    </row>
    <row r="6648" spans="119:119" x14ac:dyDescent="0.2">
      <c r="DO6648" s="303" t="s">
        <v>232</v>
      </c>
    </row>
    <row r="6649" spans="119:119" x14ac:dyDescent="0.2">
      <c r="DO6649" s="303" t="s">
        <v>232</v>
      </c>
    </row>
    <row r="6650" spans="119:119" x14ac:dyDescent="0.2">
      <c r="DO6650" s="303" t="s">
        <v>232</v>
      </c>
    </row>
    <row r="6651" spans="119:119" x14ac:dyDescent="0.2">
      <c r="DO6651" s="303" t="s">
        <v>232</v>
      </c>
    </row>
    <row r="6652" spans="119:119" x14ac:dyDescent="0.2">
      <c r="DO6652" s="303" t="s">
        <v>232</v>
      </c>
    </row>
    <row r="6653" spans="119:119" x14ac:dyDescent="0.2">
      <c r="DO6653" s="303" t="s">
        <v>232</v>
      </c>
    </row>
    <row r="6654" spans="119:119" x14ac:dyDescent="0.2">
      <c r="DO6654" s="303" t="s">
        <v>232</v>
      </c>
    </row>
    <row r="6655" spans="119:119" x14ac:dyDescent="0.2">
      <c r="DO6655" s="303" t="s">
        <v>232</v>
      </c>
    </row>
    <row r="6656" spans="119:119" x14ac:dyDescent="0.2">
      <c r="DO6656" s="303" t="s">
        <v>232</v>
      </c>
    </row>
    <row r="6657" spans="119:119" x14ac:dyDescent="0.2">
      <c r="DO6657" s="303" t="s">
        <v>232</v>
      </c>
    </row>
    <row r="6658" spans="119:119" x14ac:dyDescent="0.2">
      <c r="DO6658" s="303" t="s">
        <v>232</v>
      </c>
    </row>
    <row r="6659" spans="119:119" x14ac:dyDescent="0.2">
      <c r="DO6659" s="303" t="s">
        <v>232</v>
      </c>
    </row>
    <row r="6660" spans="119:119" x14ac:dyDescent="0.2">
      <c r="DO6660" s="303" t="s">
        <v>232</v>
      </c>
    </row>
    <row r="6661" spans="119:119" x14ac:dyDescent="0.2">
      <c r="DO6661" s="303" t="s">
        <v>232</v>
      </c>
    </row>
    <row r="6662" spans="119:119" x14ac:dyDescent="0.2">
      <c r="DO6662" s="303" t="s">
        <v>232</v>
      </c>
    </row>
    <row r="6663" spans="119:119" x14ac:dyDescent="0.2">
      <c r="DO6663" s="303" t="s">
        <v>232</v>
      </c>
    </row>
    <row r="6664" spans="119:119" x14ac:dyDescent="0.2">
      <c r="DO6664" s="303" t="s">
        <v>232</v>
      </c>
    </row>
    <row r="6665" spans="119:119" x14ac:dyDescent="0.2">
      <c r="DO6665" s="303" t="s">
        <v>232</v>
      </c>
    </row>
    <row r="6666" spans="119:119" x14ac:dyDescent="0.2">
      <c r="DO6666" s="303" t="s">
        <v>232</v>
      </c>
    </row>
    <row r="6667" spans="119:119" x14ac:dyDescent="0.2">
      <c r="DO6667" s="303" t="s">
        <v>232</v>
      </c>
    </row>
    <row r="6668" spans="119:119" x14ac:dyDescent="0.2">
      <c r="DO6668" s="303" t="s">
        <v>232</v>
      </c>
    </row>
    <row r="6669" spans="119:119" x14ac:dyDescent="0.2">
      <c r="DO6669" s="303" t="s">
        <v>232</v>
      </c>
    </row>
    <row r="6670" spans="119:119" x14ac:dyDescent="0.2">
      <c r="DO6670" s="303" t="s">
        <v>232</v>
      </c>
    </row>
    <row r="6671" spans="119:119" x14ac:dyDescent="0.2">
      <c r="DO6671" s="303" t="s">
        <v>232</v>
      </c>
    </row>
    <row r="6672" spans="119:119" x14ac:dyDescent="0.2">
      <c r="DO6672" s="303" t="s">
        <v>232</v>
      </c>
    </row>
    <row r="6673" spans="119:119" x14ac:dyDescent="0.2">
      <c r="DO6673" s="303" t="s">
        <v>232</v>
      </c>
    </row>
    <row r="6674" spans="119:119" x14ac:dyDescent="0.2">
      <c r="DO6674" s="303" t="s">
        <v>232</v>
      </c>
    </row>
    <row r="6675" spans="119:119" x14ac:dyDescent="0.2">
      <c r="DO6675" s="303" t="s">
        <v>232</v>
      </c>
    </row>
    <row r="6676" spans="119:119" x14ac:dyDescent="0.2">
      <c r="DO6676" s="303" t="s">
        <v>232</v>
      </c>
    </row>
    <row r="6677" spans="119:119" x14ac:dyDescent="0.2">
      <c r="DO6677" s="303" t="s">
        <v>232</v>
      </c>
    </row>
    <row r="6678" spans="119:119" x14ac:dyDescent="0.2">
      <c r="DO6678" s="303" t="s">
        <v>232</v>
      </c>
    </row>
    <row r="6679" spans="119:119" x14ac:dyDescent="0.2">
      <c r="DO6679" s="303" t="s">
        <v>232</v>
      </c>
    </row>
    <row r="6680" spans="119:119" x14ac:dyDescent="0.2">
      <c r="DO6680" s="303" t="s">
        <v>232</v>
      </c>
    </row>
    <row r="6681" spans="119:119" x14ac:dyDescent="0.2">
      <c r="DO6681" s="303" t="s">
        <v>232</v>
      </c>
    </row>
    <row r="6682" spans="119:119" x14ac:dyDescent="0.2">
      <c r="DO6682" s="303" t="s">
        <v>232</v>
      </c>
    </row>
    <row r="6683" spans="119:119" x14ac:dyDescent="0.2">
      <c r="DO6683" s="303" t="s">
        <v>232</v>
      </c>
    </row>
    <row r="6684" spans="119:119" x14ac:dyDescent="0.2">
      <c r="DO6684" s="303" t="s">
        <v>232</v>
      </c>
    </row>
    <row r="6685" spans="119:119" x14ac:dyDescent="0.2">
      <c r="DO6685" s="303" t="s">
        <v>232</v>
      </c>
    </row>
    <row r="6686" spans="119:119" x14ac:dyDescent="0.2">
      <c r="DO6686" s="303" t="s">
        <v>232</v>
      </c>
    </row>
    <row r="6687" spans="119:119" x14ac:dyDescent="0.2">
      <c r="DO6687" s="303" t="s">
        <v>232</v>
      </c>
    </row>
    <row r="6688" spans="119:119" x14ac:dyDescent="0.2">
      <c r="DO6688" s="303" t="s">
        <v>232</v>
      </c>
    </row>
    <row r="6689" spans="119:119" x14ac:dyDescent="0.2">
      <c r="DO6689" s="303" t="s">
        <v>232</v>
      </c>
    </row>
    <row r="6690" spans="119:119" x14ac:dyDescent="0.2">
      <c r="DO6690" s="303" t="s">
        <v>232</v>
      </c>
    </row>
    <row r="6691" spans="119:119" x14ac:dyDescent="0.2">
      <c r="DO6691" s="303" t="s">
        <v>232</v>
      </c>
    </row>
    <row r="6692" spans="119:119" x14ac:dyDescent="0.2">
      <c r="DO6692" s="303" t="s">
        <v>232</v>
      </c>
    </row>
    <row r="6693" spans="119:119" x14ac:dyDescent="0.2">
      <c r="DO6693" s="303" t="s">
        <v>232</v>
      </c>
    </row>
    <row r="6694" spans="119:119" x14ac:dyDescent="0.2">
      <c r="DO6694" s="303" t="s">
        <v>232</v>
      </c>
    </row>
    <row r="6695" spans="119:119" x14ac:dyDescent="0.2">
      <c r="DO6695" s="303" t="s">
        <v>232</v>
      </c>
    </row>
    <row r="6696" spans="119:119" x14ac:dyDescent="0.2">
      <c r="DO6696" s="303" t="s">
        <v>232</v>
      </c>
    </row>
    <row r="6697" spans="119:119" x14ac:dyDescent="0.2">
      <c r="DO6697" s="303" t="s">
        <v>232</v>
      </c>
    </row>
    <row r="6698" spans="119:119" x14ac:dyDescent="0.2">
      <c r="DO6698" s="303" t="s">
        <v>232</v>
      </c>
    </row>
    <row r="6699" spans="119:119" x14ac:dyDescent="0.2">
      <c r="DO6699" s="303" t="s">
        <v>232</v>
      </c>
    </row>
    <row r="6700" spans="119:119" x14ac:dyDescent="0.2">
      <c r="DO6700" s="303" t="s">
        <v>232</v>
      </c>
    </row>
    <row r="6701" spans="119:119" x14ac:dyDescent="0.2">
      <c r="DO6701" s="303" t="s">
        <v>232</v>
      </c>
    </row>
    <row r="6702" spans="119:119" x14ac:dyDescent="0.2">
      <c r="DO6702" s="303" t="s">
        <v>232</v>
      </c>
    </row>
    <row r="6703" spans="119:119" x14ac:dyDescent="0.2">
      <c r="DO6703" s="303" t="s">
        <v>232</v>
      </c>
    </row>
    <row r="6704" spans="119:119" x14ac:dyDescent="0.2">
      <c r="DO6704" s="303" t="s">
        <v>232</v>
      </c>
    </row>
    <row r="6705" spans="119:119" x14ac:dyDescent="0.2">
      <c r="DO6705" s="303" t="s">
        <v>232</v>
      </c>
    </row>
    <row r="6706" spans="119:119" x14ac:dyDescent="0.2">
      <c r="DO6706" s="303" t="s">
        <v>232</v>
      </c>
    </row>
    <row r="6707" spans="119:119" x14ac:dyDescent="0.2">
      <c r="DO6707" s="303" t="s">
        <v>232</v>
      </c>
    </row>
    <row r="6708" spans="119:119" x14ac:dyDescent="0.2">
      <c r="DO6708" s="303" t="s">
        <v>232</v>
      </c>
    </row>
    <row r="6709" spans="119:119" x14ac:dyDescent="0.2">
      <c r="DO6709" s="303" t="s">
        <v>232</v>
      </c>
    </row>
    <row r="6710" spans="119:119" x14ac:dyDescent="0.2">
      <c r="DO6710" s="303" t="s">
        <v>232</v>
      </c>
    </row>
    <row r="6711" spans="119:119" x14ac:dyDescent="0.2">
      <c r="DO6711" s="303" t="s">
        <v>232</v>
      </c>
    </row>
    <row r="6712" spans="119:119" x14ac:dyDescent="0.2">
      <c r="DO6712" s="303" t="s">
        <v>232</v>
      </c>
    </row>
    <row r="6713" spans="119:119" x14ac:dyDescent="0.2">
      <c r="DO6713" s="303" t="s">
        <v>232</v>
      </c>
    </row>
    <row r="6714" spans="119:119" x14ac:dyDescent="0.2">
      <c r="DO6714" s="303" t="s">
        <v>232</v>
      </c>
    </row>
    <row r="6715" spans="119:119" x14ac:dyDescent="0.2">
      <c r="DO6715" s="303" t="s">
        <v>232</v>
      </c>
    </row>
    <row r="6716" spans="119:119" x14ac:dyDescent="0.2">
      <c r="DO6716" s="303" t="s">
        <v>232</v>
      </c>
    </row>
    <row r="6717" spans="119:119" x14ac:dyDescent="0.2">
      <c r="DO6717" s="303" t="s">
        <v>232</v>
      </c>
    </row>
    <row r="6718" spans="119:119" x14ac:dyDescent="0.2">
      <c r="DO6718" s="303" t="s">
        <v>232</v>
      </c>
    </row>
    <row r="6719" spans="119:119" x14ac:dyDescent="0.2">
      <c r="DO6719" s="303" t="s">
        <v>232</v>
      </c>
    </row>
    <row r="6720" spans="119:119" x14ac:dyDescent="0.2">
      <c r="DO6720" s="303" t="s">
        <v>232</v>
      </c>
    </row>
    <row r="6721" spans="119:119" x14ac:dyDescent="0.2">
      <c r="DO6721" s="303" t="s">
        <v>232</v>
      </c>
    </row>
    <row r="6722" spans="119:119" x14ac:dyDescent="0.2">
      <c r="DO6722" s="303" t="s">
        <v>232</v>
      </c>
    </row>
    <row r="6723" spans="119:119" x14ac:dyDescent="0.2">
      <c r="DO6723" s="303" t="s">
        <v>232</v>
      </c>
    </row>
    <row r="6724" spans="119:119" x14ac:dyDescent="0.2">
      <c r="DO6724" s="303" t="s">
        <v>232</v>
      </c>
    </row>
    <row r="6725" spans="119:119" x14ac:dyDescent="0.2">
      <c r="DO6725" s="303" t="s">
        <v>232</v>
      </c>
    </row>
    <row r="6726" spans="119:119" x14ac:dyDescent="0.2">
      <c r="DO6726" s="303" t="s">
        <v>232</v>
      </c>
    </row>
    <row r="6727" spans="119:119" x14ac:dyDescent="0.2">
      <c r="DO6727" s="303" t="s">
        <v>232</v>
      </c>
    </row>
    <row r="6728" spans="119:119" x14ac:dyDescent="0.2">
      <c r="DO6728" s="303" t="s">
        <v>232</v>
      </c>
    </row>
    <row r="6729" spans="119:119" x14ac:dyDescent="0.2">
      <c r="DO6729" s="303" t="s">
        <v>232</v>
      </c>
    </row>
    <row r="6730" spans="119:119" x14ac:dyDescent="0.2">
      <c r="DO6730" s="303" t="s">
        <v>232</v>
      </c>
    </row>
    <row r="6731" spans="119:119" x14ac:dyDescent="0.2">
      <c r="DO6731" s="303" t="s">
        <v>232</v>
      </c>
    </row>
    <row r="6732" spans="119:119" x14ac:dyDescent="0.2">
      <c r="DO6732" s="303" t="s">
        <v>232</v>
      </c>
    </row>
    <row r="6733" spans="119:119" x14ac:dyDescent="0.2">
      <c r="DO6733" s="303" t="s">
        <v>232</v>
      </c>
    </row>
    <row r="6734" spans="119:119" x14ac:dyDescent="0.2">
      <c r="DO6734" s="303" t="s">
        <v>232</v>
      </c>
    </row>
    <row r="6735" spans="119:119" x14ac:dyDescent="0.2">
      <c r="DO6735" s="303" t="s">
        <v>232</v>
      </c>
    </row>
    <row r="6736" spans="119:119" x14ac:dyDescent="0.2">
      <c r="DO6736" s="303" t="s">
        <v>232</v>
      </c>
    </row>
    <row r="6737" spans="119:119" x14ac:dyDescent="0.2">
      <c r="DO6737" s="303" t="s">
        <v>232</v>
      </c>
    </row>
    <row r="6738" spans="119:119" x14ac:dyDescent="0.2">
      <c r="DO6738" s="303" t="s">
        <v>232</v>
      </c>
    </row>
    <row r="6739" spans="119:119" x14ac:dyDescent="0.2">
      <c r="DO6739" s="303" t="s">
        <v>232</v>
      </c>
    </row>
    <row r="6740" spans="119:119" x14ac:dyDescent="0.2">
      <c r="DO6740" s="303" t="s">
        <v>232</v>
      </c>
    </row>
    <row r="6741" spans="119:119" x14ac:dyDescent="0.2">
      <c r="DO6741" s="303" t="s">
        <v>232</v>
      </c>
    </row>
    <row r="6742" spans="119:119" x14ac:dyDescent="0.2">
      <c r="DO6742" s="303" t="s">
        <v>232</v>
      </c>
    </row>
    <row r="6743" spans="119:119" x14ac:dyDescent="0.2">
      <c r="DO6743" s="303" t="s">
        <v>232</v>
      </c>
    </row>
    <row r="6744" spans="119:119" x14ac:dyDescent="0.2">
      <c r="DO6744" s="303" t="s">
        <v>232</v>
      </c>
    </row>
    <row r="6745" spans="119:119" x14ac:dyDescent="0.2">
      <c r="DO6745" s="303" t="s">
        <v>232</v>
      </c>
    </row>
    <row r="6746" spans="119:119" x14ac:dyDescent="0.2">
      <c r="DO6746" s="303" t="s">
        <v>232</v>
      </c>
    </row>
    <row r="6747" spans="119:119" x14ac:dyDescent="0.2">
      <c r="DO6747" s="303" t="s">
        <v>232</v>
      </c>
    </row>
    <row r="6748" spans="119:119" x14ac:dyDescent="0.2">
      <c r="DO6748" s="303" t="s">
        <v>232</v>
      </c>
    </row>
    <row r="6749" spans="119:119" x14ac:dyDescent="0.2">
      <c r="DO6749" s="303" t="s">
        <v>232</v>
      </c>
    </row>
    <row r="6750" spans="119:119" x14ac:dyDescent="0.2">
      <c r="DO6750" s="303" t="s">
        <v>232</v>
      </c>
    </row>
    <row r="6751" spans="119:119" x14ac:dyDescent="0.2">
      <c r="DO6751" s="303" t="s">
        <v>232</v>
      </c>
    </row>
    <row r="6752" spans="119:119" x14ac:dyDescent="0.2">
      <c r="DO6752" s="303" t="s">
        <v>232</v>
      </c>
    </row>
    <row r="6753" spans="119:119" x14ac:dyDescent="0.2">
      <c r="DO6753" s="303" t="s">
        <v>232</v>
      </c>
    </row>
    <row r="6754" spans="119:119" x14ac:dyDescent="0.2">
      <c r="DO6754" s="303" t="s">
        <v>232</v>
      </c>
    </row>
    <row r="6755" spans="119:119" x14ac:dyDescent="0.2">
      <c r="DO6755" s="303" t="s">
        <v>232</v>
      </c>
    </row>
    <row r="6756" spans="119:119" x14ac:dyDescent="0.2">
      <c r="DO6756" s="303" t="s">
        <v>232</v>
      </c>
    </row>
    <row r="6757" spans="119:119" x14ac:dyDescent="0.2">
      <c r="DO6757" s="303" t="s">
        <v>232</v>
      </c>
    </row>
    <row r="6758" spans="119:119" x14ac:dyDescent="0.2">
      <c r="DO6758" s="303" t="s">
        <v>232</v>
      </c>
    </row>
    <row r="6759" spans="119:119" x14ac:dyDescent="0.2">
      <c r="DO6759" s="303" t="s">
        <v>232</v>
      </c>
    </row>
    <row r="6760" spans="119:119" x14ac:dyDescent="0.2">
      <c r="DO6760" s="303" t="s">
        <v>232</v>
      </c>
    </row>
    <row r="6761" spans="119:119" x14ac:dyDescent="0.2">
      <c r="DO6761" s="303" t="s">
        <v>232</v>
      </c>
    </row>
    <row r="6762" spans="119:119" x14ac:dyDescent="0.2">
      <c r="DO6762" s="303" t="s">
        <v>232</v>
      </c>
    </row>
    <row r="6763" spans="119:119" x14ac:dyDescent="0.2">
      <c r="DO6763" s="303" t="s">
        <v>232</v>
      </c>
    </row>
    <row r="6764" spans="119:119" x14ac:dyDescent="0.2">
      <c r="DO6764" s="303" t="s">
        <v>232</v>
      </c>
    </row>
    <row r="6765" spans="119:119" x14ac:dyDescent="0.2">
      <c r="DO6765" s="303" t="s">
        <v>232</v>
      </c>
    </row>
    <row r="6766" spans="119:119" x14ac:dyDescent="0.2">
      <c r="DO6766" s="303" t="s">
        <v>232</v>
      </c>
    </row>
    <row r="6767" spans="119:119" x14ac:dyDescent="0.2">
      <c r="DO6767" s="303" t="s">
        <v>232</v>
      </c>
    </row>
    <row r="6768" spans="119:119" x14ac:dyDescent="0.2">
      <c r="DO6768" s="303" t="s">
        <v>232</v>
      </c>
    </row>
    <row r="6769" spans="119:119" x14ac:dyDescent="0.2">
      <c r="DO6769" s="303" t="s">
        <v>232</v>
      </c>
    </row>
    <row r="6770" spans="119:119" x14ac:dyDescent="0.2">
      <c r="DO6770" s="303" t="s">
        <v>232</v>
      </c>
    </row>
    <row r="6771" spans="119:119" x14ac:dyDescent="0.2">
      <c r="DO6771" s="303" t="s">
        <v>232</v>
      </c>
    </row>
    <row r="6772" spans="119:119" x14ac:dyDescent="0.2">
      <c r="DO6772" s="303" t="s">
        <v>232</v>
      </c>
    </row>
    <row r="6773" spans="119:119" x14ac:dyDescent="0.2">
      <c r="DO6773" s="303" t="s">
        <v>232</v>
      </c>
    </row>
    <row r="6774" spans="119:119" x14ac:dyDescent="0.2">
      <c r="DO6774" s="303" t="s">
        <v>232</v>
      </c>
    </row>
    <row r="6775" spans="119:119" x14ac:dyDescent="0.2">
      <c r="DO6775" s="303" t="s">
        <v>232</v>
      </c>
    </row>
    <row r="6776" spans="119:119" x14ac:dyDescent="0.2">
      <c r="DO6776" s="303" t="s">
        <v>232</v>
      </c>
    </row>
    <row r="6777" spans="119:119" x14ac:dyDescent="0.2">
      <c r="DO6777" s="303" t="s">
        <v>232</v>
      </c>
    </row>
    <row r="6778" spans="119:119" x14ac:dyDescent="0.2">
      <c r="DO6778" s="303" t="s">
        <v>232</v>
      </c>
    </row>
    <row r="6779" spans="119:119" x14ac:dyDescent="0.2">
      <c r="DO6779" s="303" t="s">
        <v>232</v>
      </c>
    </row>
    <row r="6780" spans="119:119" x14ac:dyDescent="0.2">
      <c r="DO6780" s="303" t="s">
        <v>232</v>
      </c>
    </row>
    <row r="6781" spans="119:119" x14ac:dyDescent="0.2">
      <c r="DO6781" s="303" t="s">
        <v>232</v>
      </c>
    </row>
    <row r="6782" spans="119:119" x14ac:dyDescent="0.2">
      <c r="DO6782" s="303" t="s">
        <v>232</v>
      </c>
    </row>
    <row r="6783" spans="119:119" x14ac:dyDescent="0.2">
      <c r="DO6783" s="303" t="s">
        <v>232</v>
      </c>
    </row>
    <row r="6784" spans="119:119" x14ac:dyDescent="0.2">
      <c r="DO6784" s="303" t="s">
        <v>232</v>
      </c>
    </row>
    <row r="6785" spans="119:119" x14ac:dyDescent="0.2">
      <c r="DO6785" s="303" t="s">
        <v>232</v>
      </c>
    </row>
    <row r="6786" spans="119:119" x14ac:dyDescent="0.2">
      <c r="DO6786" s="303" t="s">
        <v>232</v>
      </c>
    </row>
    <row r="6787" spans="119:119" x14ac:dyDescent="0.2">
      <c r="DO6787" s="303" t="s">
        <v>232</v>
      </c>
    </row>
    <row r="6788" spans="119:119" x14ac:dyDescent="0.2">
      <c r="DO6788" s="303" t="s">
        <v>232</v>
      </c>
    </row>
    <row r="6789" spans="119:119" x14ac:dyDescent="0.2">
      <c r="DO6789" s="303" t="s">
        <v>232</v>
      </c>
    </row>
    <row r="6790" spans="119:119" x14ac:dyDescent="0.2">
      <c r="DO6790" s="303" t="s">
        <v>232</v>
      </c>
    </row>
    <row r="6791" spans="119:119" x14ac:dyDescent="0.2">
      <c r="DO6791" s="303" t="s">
        <v>232</v>
      </c>
    </row>
    <row r="6792" spans="119:119" x14ac:dyDescent="0.2">
      <c r="DO6792" s="303" t="s">
        <v>232</v>
      </c>
    </row>
    <row r="6793" spans="119:119" x14ac:dyDescent="0.2">
      <c r="DO6793" s="303" t="s">
        <v>232</v>
      </c>
    </row>
    <row r="6794" spans="119:119" x14ac:dyDescent="0.2">
      <c r="DO6794" s="303" t="s">
        <v>232</v>
      </c>
    </row>
    <row r="6795" spans="119:119" x14ac:dyDescent="0.2">
      <c r="DO6795" s="303" t="s">
        <v>232</v>
      </c>
    </row>
    <row r="6796" spans="119:119" x14ac:dyDescent="0.2">
      <c r="DO6796" s="303" t="s">
        <v>232</v>
      </c>
    </row>
    <row r="6797" spans="119:119" x14ac:dyDescent="0.2">
      <c r="DO6797" s="303" t="s">
        <v>232</v>
      </c>
    </row>
    <row r="6798" spans="119:119" x14ac:dyDescent="0.2">
      <c r="DO6798" s="303" t="s">
        <v>232</v>
      </c>
    </row>
    <row r="6799" spans="119:119" x14ac:dyDescent="0.2">
      <c r="DO6799" s="303" t="s">
        <v>232</v>
      </c>
    </row>
    <row r="6800" spans="119:119" x14ac:dyDescent="0.2">
      <c r="DO6800" s="303" t="s">
        <v>232</v>
      </c>
    </row>
    <row r="6801" spans="119:119" x14ac:dyDescent="0.2">
      <c r="DO6801" s="303" t="s">
        <v>232</v>
      </c>
    </row>
    <row r="6802" spans="119:119" x14ac:dyDescent="0.2">
      <c r="DO6802" s="303" t="s">
        <v>232</v>
      </c>
    </row>
    <row r="6803" spans="119:119" x14ac:dyDescent="0.2">
      <c r="DO6803" s="303" t="s">
        <v>232</v>
      </c>
    </row>
    <row r="6804" spans="119:119" x14ac:dyDescent="0.2">
      <c r="DO6804" s="303" t="s">
        <v>232</v>
      </c>
    </row>
    <row r="6805" spans="119:119" x14ac:dyDescent="0.2">
      <c r="DO6805" s="303" t="s">
        <v>232</v>
      </c>
    </row>
    <row r="6806" spans="119:119" x14ac:dyDescent="0.2">
      <c r="DO6806" s="303" t="s">
        <v>232</v>
      </c>
    </row>
    <row r="6807" spans="119:119" x14ac:dyDescent="0.2">
      <c r="DO6807" s="303" t="s">
        <v>232</v>
      </c>
    </row>
    <row r="6808" spans="119:119" x14ac:dyDescent="0.2">
      <c r="DO6808" s="303" t="s">
        <v>232</v>
      </c>
    </row>
    <row r="6809" spans="119:119" x14ac:dyDescent="0.2">
      <c r="DO6809" s="303" t="s">
        <v>232</v>
      </c>
    </row>
    <row r="6810" spans="119:119" x14ac:dyDescent="0.2">
      <c r="DO6810" s="303" t="s">
        <v>232</v>
      </c>
    </row>
    <row r="6811" spans="119:119" x14ac:dyDescent="0.2">
      <c r="DO6811" s="303" t="s">
        <v>232</v>
      </c>
    </row>
    <row r="6812" spans="119:119" x14ac:dyDescent="0.2">
      <c r="DO6812" s="303" t="s">
        <v>232</v>
      </c>
    </row>
    <row r="6813" spans="119:119" x14ac:dyDescent="0.2">
      <c r="DO6813" s="303" t="s">
        <v>232</v>
      </c>
    </row>
    <row r="6814" spans="119:119" x14ac:dyDescent="0.2">
      <c r="DO6814" s="303" t="s">
        <v>232</v>
      </c>
    </row>
    <row r="6815" spans="119:119" x14ac:dyDescent="0.2">
      <c r="DO6815" s="303" t="s">
        <v>232</v>
      </c>
    </row>
    <row r="6816" spans="119:119" x14ac:dyDescent="0.2">
      <c r="DO6816" s="303" t="s">
        <v>232</v>
      </c>
    </row>
    <row r="6817" spans="119:119" x14ac:dyDescent="0.2">
      <c r="DO6817" s="303" t="s">
        <v>232</v>
      </c>
    </row>
    <row r="6818" spans="119:119" x14ac:dyDescent="0.2">
      <c r="DO6818" s="303" t="s">
        <v>232</v>
      </c>
    </row>
    <row r="6819" spans="119:119" x14ac:dyDescent="0.2">
      <c r="DO6819" s="303" t="s">
        <v>232</v>
      </c>
    </row>
    <row r="6820" spans="119:119" x14ac:dyDescent="0.2">
      <c r="DO6820" s="303" t="s">
        <v>232</v>
      </c>
    </row>
    <row r="6821" spans="119:119" x14ac:dyDescent="0.2">
      <c r="DO6821" s="303" t="s">
        <v>232</v>
      </c>
    </row>
    <row r="6822" spans="119:119" x14ac:dyDescent="0.2">
      <c r="DO6822" s="303" t="s">
        <v>232</v>
      </c>
    </row>
    <row r="6823" spans="119:119" x14ac:dyDescent="0.2">
      <c r="DO6823" s="303" t="s">
        <v>232</v>
      </c>
    </row>
    <row r="6824" spans="119:119" x14ac:dyDescent="0.2">
      <c r="DO6824" s="303" t="s">
        <v>232</v>
      </c>
    </row>
    <row r="6825" spans="119:119" x14ac:dyDescent="0.2">
      <c r="DO6825" s="303" t="s">
        <v>232</v>
      </c>
    </row>
    <row r="6826" spans="119:119" x14ac:dyDescent="0.2">
      <c r="DO6826" s="303" t="s">
        <v>232</v>
      </c>
    </row>
    <row r="6827" spans="119:119" x14ac:dyDescent="0.2">
      <c r="DO6827" s="303" t="s">
        <v>232</v>
      </c>
    </row>
    <row r="6828" spans="119:119" x14ac:dyDescent="0.2">
      <c r="DO6828" s="303" t="s">
        <v>232</v>
      </c>
    </row>
    <row r="6829" spans="119:119" x14ac:dyDescent="0.2">
      <c r="DO6829" s="303" t="s">
        <v>232</v>
      </c>
    </row>
    <row r="6830" spans="119:119" x14ac:dyDescent="0.2">
      <c r="DO6830" s="303" t="s">
        <v>232</v>
      </c>
    </row>
    <row r="6831" spans="119:119" x14ac:dyDescent="0.2">
      <c r="DO6831" s="303" t="s">
        <v>232</v>
      </c>
    </row>
    <row r="6832" spans="119:119" x14ac:dyDescent="0.2">
      <c r="DO6832" s="303" t="s">
        <v>232</v>
      </c>
    </row>
    <row r="6833" spans="119:119" x14ac:dyDescent="0.2">
      <c r="DO6833" s="303" t="s">
        <v>232</v>
      </c>
    </row>
    <row r="6834" spans="119:119" x14ac:dyDescent="0.2">
      <c r="DO6834" s="303" t="s">
        <v>232</v>
      </c>
    </row>
    <row r="6835" spans="119:119" x14ac:dyDescent="0.2">
      <c r="DO6835" s="303" t="s">
        <v>232</v>
      </c>
    </row>
    <row r="6836" spans="119:119" x14ac:dyDescent="0.2">
      <c r="DO6836" s="303" t="s">
        <v>232</v>
      </c>
    </row>
    <row r="6837" spans="119:119" x14ac:dyDescent="0.2">
      <c r="DO6837" s="303" t="s">
        <v>232</v>
      </c>
    </row>
    <row r="6838" spans="119:119" x14ac:dyDescent="0.2">
      <c r="DO6838" s="303" t="s">
        <v>232</v>
      </c>
    </row>
    <row r="6839" spans="119:119" x14ac:dyDescent="0.2">
      <c r="DO6839" s="303" t="s">
        <v>232</v>
      </c>
    </row>
    <row r="6840" spans="119:119" x14ac:dyDescent="0.2">
      <c r="DO6840" s="303" t="s">
        <v>232</v>
      </c>
    </row>
    <row r="6841" spans="119:119" x14ac:dyDescent="0.2">
      <c r="DO6841" s="303" t="s">
        <v>232</v>
      </c>
    </row>
    <row r="6842" spans="119:119" x14ac:dyDescent="0.2">
      <c r="DO6842" s="303" t="s">
        <v>232</v>
      </c>
    </row>
    <row r="6843" spans="119:119" x14ac:dyDescent="0.2">
      <c r="DO6843" s="303" t="s">
        <v>232</v>
      </c>
    </row>
    <row r="6844" spans="119:119" x14ac:dyDescent="0.2">
      <c r="DO6844" s="303" t="s">
        <v>232</v>
      </c>
    </row>
    <row r="6845" spans="119:119" x14ac:dyDescent="0.2">
      <c r="DO6845" s="303" t="s">
        <v>232</v>
      </c>
    </row>
    <row r="6846" spans="119:119" x14ac:dyDescent="0.2">
      <c r="DO6846" s="303" t="s">
        <v>232</v>
      </c>
    </row>
    <row r="6847" spans="119:119" x14ac:dyDescent="0.2">
      <c r="DO6847" s="303" t="s">
        <v>232</v>
      </c>
    </row>
    <row r="6848" spans="119:119" x14ac:dyDescent="0.2">
      <c r="DO6848" s="303" t="s">
        <v>232</v>
      </c>
    </row>
    <row r="6849" spans="119:119" x14ac:dyDescent="0.2">
      <c r="DO6849" s="303" t="s">
        <v>232</v>
      </c>
    </row>
    <row r="6850" spans="119:119" x14ac:dyDescent="0.2">
      <c r="DO6850" s="303" t="s">
        <v>232</v>
      </c>
    </row>
    <row r="6851" spans="119:119" x14ac:dyDescent="0.2">
      <c r="DO6851" s="303" t="s">
        <v>232</v>
      </c>
    </row>
    <row r="6852" spans="119:119" x14ac:dyDescent="0.2">
      <c r="DO6852" s="303" t="s">
        <v>232</v>
      </c>
    </row>
    <row r="6853" spans="119:119" x14ac:dyDescent="0.2">
      <c r="DO6853" s="303" t="s">
        <v>232</v>
      </c>
    </row>
    <row r="6854" spans="119:119" x14ac:dyDescent="0.2">
      <c r="DO6854" s="303" t="s">
        <v>232</v>
      </c>
    </row>
    <row r="6855" spans="119:119" x14ac:dyDescent="0.2">
      <c r="DO6855" s="303" t="s">
        <v>232</v>
      </c>
    </row>
    <row r="6856" spans="119:119" x14ac:dyDescent="0.2">
      <c r="DO6856" s="303" t="s">
        <v>232</v>
      </c>
    </row>
    <row r="6857" spans="119:119" x14ac:dyDescent="0.2">
      <c r="DO6857" s="303" t="s">
        <v>232</v>
      </c>
    </row>
    <row r="6858" spans="119:119" x14ac:dyDescent="0.2">
      <c r="DO6858" s="303" t="s">
        <v>232</v>
      </c>
    </row>
    <row r="6859" spans="119:119" x14ac:dyDescent="0.2">
      <c r="DO6859" s="303" t="s">
        <v>232</v>
      </c>
    </row>
    <row r="6860" spans="119:119" x14ac:dyDescent="0.2">
      <c r="DO6860" s="303" t="s">
        <v>232</v>
      </c>
    </row>
    <row r="6861" spans="119:119" x14ac:dyDescent="0.2">
      <c r="DO6861" s="303" t="s">
        <v>232</v>
      </c>
    </row>
    <row r="6862" spans="119:119" x14ac:dyDescent="0.2">
      <c r="DO6862" s="303" t="s">
        <v>232</v>
      </c>
    </row>
    <row r="6863" spans="119:119" x14ac:dyDescent="0.2">
      <c r="DO6863" s="303" t="s">
        <v>232</v>
      </c>
    </row>
    <row r="6864" spans="119:119" x14ac:dyDescent="0.2">
      <c r="DO6864" s="303" t="s">
        <v>232</v>
      </c>
    </row>
    <row r="6865" spans="119:119" x14ac:dyDescent="0.2">
      <c r="DO6865" s="303" t="s">
        <v>232</v>
      </c>
    </row>
    <row r="6866" spans="119:119" x14ac:dyDescent="0.2">
      <c r="DO6866" s="303" t="s">
        <v>232</v>
      </c>
    </row>
    <row r="6867" spans="119:119" x14ac:dyDescent="0.2">
      <c r="DO6867" s="303" t="s">
        <v>232</v>
      </c>
    </row>
    <row r="6868" spans="119:119" x14ac:dyDescent="0.2">
      <c r="DO6868" s="303" t="s">
        <v>232</v>
      </c>
    </row>
    <row r="6869" spans="119:119" x14ac:dyDescent="0.2">
      <c r="DO6869" s="303" t="s">
        <v>232</v>
      </c>
    </row>
    <row r="6870" spans="119:119" x14ac:dyDescent="0.2">
      <c r="DO6870" s="303" t="s">
        <v>232</v>
      </c>
    </row>
    <row r="6871" spans="119:119" x14ac:dyDescent="0.2">
      <c r="DO6871" s="303" t="s">
        <v>232</v>
      </c>
    </row>
    <row r="6872" spans="119:119" x14ac:dyDescent="0.2">
      <c r="DO6872" s="303" t="s">
        <v>232</v>
      </c>
    </row>
    <row r="6873" spans="119:119" x14ac:dyDescent="0.2">
      <c r="DO6873" s="303" t="s">
        <v>232</v>
      </c>
    </row>
    <row r="6874" spans="119:119" x14ac:dyDescent="0.2">
      <c r="DO6874" s="303" t="s">
        <v>232</v>
      </c>
    </row>
    <row r="6875" spans="119:119" x14ac:dyDescent="0.2">
      <c r="DO6875" s="303" t="s">
        <v>232</v>
      </c>
    </row>
    <row r="6876" spans="119:119" x14ac:dyDescent="0.2">
      <c r="DO6876" s="303" t="s">
        <v>232</v>
      </c>
    </row>
    <row r="6877" spans="119:119" x14ac:dyDescent="0.2">
      <c r="DO6877" s="303" t="s">
        <v>232</v>
      </c>
    </row>
    <row r="6878" spans="119:119" x14ac:dyDescent="0.2">
      <c r="DO6878" s="303" t="s">
        <v>232</v>
      </c>
    </row>
    <row r="6879" spans="119:119" x14ac:dyDescent="0.2">
      <c r="DO6879" s="303" t="s">
        <v>232</v>
      </c>
    </row>
    <row r="6880" spans="119:119" x14ac:dyDescent="0.2">
      <c r="DO6880" s="303" t="s">
        <v>232</v>
      </c>
    </row>
    <row r="6881" spans="119:119" x14ac:dyDescent="0.2">
      <c r="DO6881" s="303" t="s">
        <v>232</v>
      </c>
    </row>
    <row r="6882" spans="119:119" x14ac:dyDescent="0.2">
      <c r="DO6882" s="303" t="s">
        <v>232</v>
      </c>
    </row>
    <row r="6883" spans="119:119" x14ac:dyDescent="0.2">
      <c r="DO6883" s="303" t="s">
        <v>232</v>
      </c>
    </row>
    <row r="6884" spans="119:119" x14ac:dyDescent="0.2">
      <c r="DO6884" s="303" t="s">
        <v>232</v>
      </c>
    </row>
    <row r="6885" spans="119:119" x14ac:dyDescent="0.2">
      <c r="DO6885" s="303" t="s">
        <v>232</v>
      </c>
    </row>
    <row r="6886" spans="119:119" x14ac:dyDescent="0.2">
      <c r="DO6886" s="303" t="s">
        <v>232</v>
      </c>
    </row>
    <row r="6887" spans="119:119" x14ac:dyDescent="0.2">
      <c r="DO6887" s="303" t="s">
        <v>232</v>
      </c>
    </row>
    <row r="6888" spans="119:119" x14ac:dyDescent="0.2">
      <c r="DO6888" s="303" t="s">
        <v>232</v>
      </c>
    </row>
    <row r="6889" spans="119:119" x14ac:dyDescent="0.2">
      <c r="DO6889" s="303" t="s">
        <v>232</v>
      </c>
    </row>
    <row r="6890" spans="119:119" x14ac:dyDescent="0.2">
      <c r="DO6890" s="303" t="s">
        <v>232</v>
      </c>
    </row>
    <row r="6891" spans="119:119" x14ac:dyDescent="0.2">
      <c r="DO6891" s="303" t="s">
        <v>232</v>
      </c>
    </row>
    <row r="6892" spans="119:119" x14ac:dyDescent="0.2">
      <c r="DO6892" s="303" t="s">
        <v>232</v>
      </c>
    </row>
    <row r="6893" spans="119:119" x14ac:dyDescent="0.2">
      <c r="DO6893" s="303" t="s">
        <v>232</v>
      </c>
    </row>
    <row r="6894" spans="119:119" x14ac:dyDescent="0.2">
      <c r="DO6894" s="303" t="s">
        <v>232</v>
      </c>
    </row>
    <row r="6895" spans="119:119" x14ac:dyDescent="0.2">
      <c r="DO6895" s="303" t="s">
        <v>232</v>
      </c>
    </row>
    <row r="6896" spans="119:119" x14ac:dyDescent="0.2">
      <c r="DO6896" s="303" t="s">
        <v>232</v>
      </c>
    </row>
    <row r="6897" spans="119:119" x14ac:dyDescent="0.2">
      <c r="DO6897" s="303" t="s">
        <v>232</v>
      </c>
    </row>
    <row r="6898" spans="119:119" x14ac:dyDescent="0.2">
      <c r="DO6898" s="303" t="s">
        <v>232</v>
      </c>
    </row>
    <row r="6899" spans="119:119" x14ac:dyDescent="0.2">
      <c r="DO6899" s="303" t="s">
        <v>232</v>
      </c>
    </row>
    <row r="6900" spans="119:119" x14ac:dyDescent="0.2">
      <c r="DO6900" s="303" t="s">
        <v>232</v>
      </c>
    </row>
    <row r="6901" spans="119:119" x14ac:dyDescent="0.2">
      <c r="DO6901" s="303" t="s">
        <v>232</v>
      </c>
    </row>
    <row r="6902" spans="119:119" x14ac:dyDescent="0.2">
      <c r="DO6902" s="303" t="s">
        <v>232</v>
      </c>
    </row>
    <row r="6903" spans="119:119" x14ac:dyDescent="0.2">
      <c r="DO6903" s="303" t="s">
        <v>232</v>
      </c>
    </row>
    <row r="6904" spans="119:119" x14ac:dyDescent="0.2">
      <c r="DO6904" s="303" t="s">
        <v>232</v>
      </c>
    </row>
    <row r="6905" spans="119:119" x14ac:dyDescent="0.2">
      <c r="DO6905" s="303" t="s">
        <v>232</v>
      </c>
    </row>
    <row r="6906" spans="119:119" x14ac:dyDescent="0.2">
      <c r="DO6906" s="303" t="s">
        <v>232</v>
      </c>
    </row>
    <row r="6907" spans="119:119" x14ac:dyDescent="0.2">
      <c r="DO6907" s="303" t="s">
        <v>232</v>
      </c>
    </row>
    <row r="6908" spans="119:119" x14ac:dyDescent="0.2">
      <c r="DO6908" s="303" t="s">
        <v>232</v>
      </c>
    </row>
    <row r="6909" spans="119:119" x14ac:dyDescent="0.2">
      <c r="DO6909" s="303" t="s">
        <v>232</v>
      </c>
    </row>
    <row r="6910" spans="119:119" x14ac:dyDescent="0.2">
      <c r="DO6910" s="303" t="s">
        <v>232</v>
      </c>
    </row>
    <row r="6911" spans="119:119" x14ac:dyDescent="0.2">
      <c r="DO6911" s="303" t="s">
        <v>232</v>
      </c>
    </row>
    <row r="6912" spans="119:119" x14ac:dyDescent="0.2">
      <c r="DO6912" s="303" t="s">
        <v>232</v>
      </c>
    </row>
    <row r="6913" spans="119:119" x14ac:dyDescent="0.2">
      <c r="DO6913" s="303" t="s">
        <v>232</v>
      </c>
    </row>
    <row r="6914" spans="119:119" x14ac:dyDescent="0.2">
      <c r="DO6914" s="303" t="s">
        <v>232</v>
      </c>
    </row>
    <row r="6915" spans="119:119" x14ac:dyDescent="0.2">
      <c r="DO6915" s="303" t="s">
        <v>232</v>
      </c>
    </row>
    <row r="6916" spans="119:119" x14ac:dyDescent="0.2">
      <c r="DO6916" s="303" t="s">
        <v>232</v>
      </c>
    </row>
    <row r="6917" spans="119:119" x14ac:dyDescent="0.2">
      <c r="DO6917" s="303" t="s">
        <v>232</v>
      </c>
    </row>
    <row r="6918" spans="119:119" x14ac:dyDescent="0.2">
      <c r="DO6918" s="303" t="s">
        <v>232</v>
      </c>
    </row>
    <row r="6919" spans="119:119" x14ac:dyDescent="0.2">
      <c r="DO6919" s="303" t="s">
        <v>232</v>
      </c>
    </row>
    <row r="6920" spans="119:119" x14ac:dyDescent="0.2">
      <c r="DO6920" s="303" t="s">
        <v>232</v>
      </c>
    </row>
    <row r="6921" spans="119:119" x14ac:dyDescent="0.2">
      <c r="DO6921" s="303" t="s">
        <v>232</v>
      </c>
    </row>
    <row r="6922" spans="119:119" x14ac:dyDescent="0.2">
      <c r="DO6922" s="303" t="s">
        <v>232</v>
      </c>
    </row>
    <row r="6923" spans="119:119" x14ac:dyDescent="0.2">
      <c r="DO6923" s="303" t="s">
        <v>232</v>
      </c>
    </row>
    <row r="6924" spans="119:119" x14ac:dyDescent="0.2">
      <c r="DO6924" s="303" t="s">
        <v>232</v>
      </c>
    </row>
    <row r="6925" spans="119:119" x14ac:dyDescent="0.2">
      <c r="DO6925" s="303" t="s">
        <v>232</v>
      </c>
    </row>
    <row r="6926" spans="119:119" x14ac:dyDescent="0.2">
      <c r="DO6926" s="303" t="s">
        <v>232</v>
      </c>
    </row>
    <row r="6927" spans="119:119" x14ac:dyDescent="0.2">
      <c r="DO6927" s="303" t="s">
        <v>232</v>
      </c>
    </row>
    <row r="6928" spans="119:119" x14ac:dyDescent="0.2">
      <c r="DO6928" s="303" t="s">
        <v>232</v>
      </c>
    </row>
    <row r="6929" spans="119:119" x14ac:dyDescent="0.2">
      <c r="DO6929" s="303" t="s">
        <v>232</v>
      </c>
    </row>
    <row r="6930" spans="119:119" x14ac:dyDescent="0.2">
      <c r="DO6930" s="303" t="s">
        <v>232</v>
      </c>
    </row>
    <row r="6931" spans="119:119" x14ac:dyDescent="0.2">
      <c r="DO6931" s="303" t="s">
        <v>232</v>
      </c>
    </row>
    <row r="6932" spans="119:119" x14ac:dyDescent="0.2">
      <c r="DO6932" s="303" t="s">
        <v>232</v>
      </c>
    </row>
    <row r="6933" spans="119:119" x14ac:dyDescent="0.2">
      <c r="DO6933" s="303" t="s">
        <v>232</v>
      </c>
    </row>
    <row r="6934" spans="119:119" x14ac:dyDescent="0.2">
      <c r="DO6934" s="303" t="s">
        <v>232</v>
      </c>
    </row>
    <row r="6935" spans="119:119" x14ac:dyDescent="0.2">
      <c r="DO6935" s="303" t="s">
        <v>232</v>
      </c>
    </row>
    <row r="6936" spans="119:119" x14ac:dyDescent="0.2">
      <c r="DO6936" s="303" t="s">
        <v>232</v>
      </c>
    </row>
    <row r="6937" spans="119:119" x14ac:dyDescent="0.2">
      <c r="DO6937" s="303" t="s">
        <v>232</v>
      </c>
    </row>
    <row r="6938" spans="119:119" x14ac:dyDescent="0.2">
      <c r="DO6938" s="303" t="s">
        <v>232</v>
      </c>
    </row>
    <row r="6939" spans="119:119" x14ac:dyDescent="0.2">
      <c r="DO6939" s="303" t="s">
        <v>232</v>
      </c>
    </row>
    <row r="6940" spans="119:119" x14ac:dyDescent="0.2">
      <c r="DO6940" s="303" t="s">
        <v>232</v>
      </c>
    </row>
    <row r="6941" spans="119:119" x14ac:dyDescent="0.2">
      <c r="DO6941" s="303" t="s">
        <v>232</v>
      </c>
    </row>
    <row r="6942" spans="119:119" x14ac:dyDescent="0.2">
      <c r="DO6942" s="303" t="s">
        <v>232</v>
      </c>
    </row>
    <row r="6943" spans="119:119" x14ac:dyDescent="0.2">
      <c r="DO6943" s="303" t="s">
        <v>232</v>
      </c>
    </row>
    <row r="6944" spans="119:119" x14ac:dyDescent="0.2">
      <c r="DO6944" s="303" t="s">
        <v>232</v>
      </c>
    </row>
    <row r="6945" spans="119:119" x14ac:dyDescent="0.2">
      <c r="DO6945" s="303" t="s">
        <v>232</v>
      </c>
    </row>
    <row r="6946" spans="119:119" x14ac:dyDescent="0.2">
      <c r="DO6946" s="303" t="s">
        <v>232</v>
      </c>
    </row>
    <row r="6947" spans="119:119" x14ac:dyDescent="0.2">
      <c r="DO6947" s="303" t="s">
        <v>232</v>
      </c>
    </row>
    <row r="6948" spans="119:119" x14ac:dyDescent="0.2">
      <c r="DO6948" s="303" t="s">
        <v>232</v>
      </c>
    </row>
    <row r="6949" spans="119:119" x14ac:dyDescent="0.2">
      <c r="DO6949" s="303" t="s">
        <v>232</v>
      </c>
    </row>
    <row r="6950" spans="119:119" x14ac:dyDescent="0.2">
      <c r="DO6950" s="303" t="s">
        <v>232</v>
      </c>
    </row>
    <row r="6951" spans="119:119" x14ac:dyDescent="0.2">
      <c r="DO6951" s="303" t="s">
        <v>232</v>
      </c>
    </row>
    <row r="6952" spans="119:119" x14ac:dyDescent="0.2">
      <c r="DO6952" s="303" t="s">
        <v>232</v>
      </c>
    </row>
    <row r="6953" spans="119:119" x14ac:dyDescent="0.2">
      <c r="DO6953" s="303" t="s">
        <v>232</v>
      </c>
    </row>
    <row r="6954" spans="119:119" x14ac:dyDescent="0.2">
      <c r="DO6954" s="303" t="s">
        <v>232</v>
      </c>
    </row>
    <row r="6955" spans="119:119" x14ac:dyDescent="0.2">
      <c r="DO6955" s="303" t="s">
        <v>232</v>
      </c>
    </row>
    <row r="6956" spans="119:119" x14ac:dyDescent="0.2">
      <c r="DO6956" s="303" t="s">
        <v>232</v>
      </c>
    </row>
    <row r="6957" spans="119:119" x14ac:dyDescent="0.2">
      <c r="DO6957" s="303" t="s">
        <v>232</v>
      </c>
    </row>
    <row r="6958" spans="119:119" x14ac:dyDescent="0.2">
      <c r="DO6958" s="303" t="s">
        <v>232</v>
      </c>
    </row>
    <row r="6959" spans="119:119" x14ac:dyDescent="0.2">
      <c r="DO6959" s="303" t="s">
        <v>232</v>
      </c>
    </row>
    <row r="6960" spans="119:119" x14ac:dyDescent="0.2">
      <c r="DO6960" s="303" t="s">
        <v>232</v>
      </c>
    </row>
    <row r="6961" spans="119:119" x14ac:dyDescent="0.2">
      <c r="DO6961" s="303" t="s">
        <v>232</v>
      </c>
    </row>
    <row r="6962" spans="119:119" x14ac:dyDescent="0.2">
      <c r="DO6962" s="303" t="s">
        <v>232</v>
      </c>
    </row>
    <row r="6963" spans="119:119" x14ac:dyDescent="0.2">
      <c r="DO6963" s="303" t="s">
        <v>232</v>
      </c>
    </row>
    <row r="6964" spans="119:119" x14ac:dyDescent="0.2">
      <c r="DO6964" s="303" t="s">
        <v>232</v>
      </c>
    </row>
    <row r="6965" spans="119:119" x14ac:dyDescent="0.2">
      <c r="DO6965" s="303" t="s">
        <v>232</v>
      </c>
    </row>
    <row r="6966" spans="119:119" x14ac:dyDescent="0.2">
      <c r="DO6966" s="303" t="s">
        <v>232</v>
      </c>
    </row>
    <row r="6967" spans="119:119" x14ac:dyDescent="0.2">
      <c r="DO6967" s="303" t="s">
        <v>232</v>
      </c>
    </row>
    <row r="6968" spans="119:119" x14ac:dyDescent="0.2">
      <c r="DO6968" s="303" t="s">
        <v>232</v>
      </c>
    </row>
    <row r="6969" spans="119:119" x14ac:dyDescent="0.2">
      <c r="DO6969" s="303" t="s">
        <v>232</v>
      </c>
    </row>
    <row r="6970" spans="119:119" x14ac:dyDescent="0.2">
      <c r="DO6970" s="303" t="s">
        <v>232</v>
      </c>
    </row>
    <row r="6971" spans="119:119" x14ac:dyDescent="0.2">
      <c r="DO6971" s="303" t="s">
        <v>232</v>
      </c>
    </row>
    <row r="6972" spans="119:119" x14ac:dyDescent="0.2">
      <c r="DO6972" s="303" t="s">
        <v>232</v>
      </c>
    </row>
    <row r="6973" spans="119:119" x14ac:dyDescent="0.2">
      <c r="DO6973" s="303" t="s">
        <v>232</v>
      </c>
    </row>
    <row r="6974" spans="119:119" x14ac:dyDescent="0.2">
      <c r="DO6974" s="303" t="s">
        <v>232</v>
      </c>
    </row>
    <row r="6975" spans="119:119" x14ac:dyDescent="0.2">
      <c r="DO6975" s="303" t="s">
        <v>232</v>
      </c>
    </row>
    <row r="6976" spans="119:119" x14ac:dyDescent="0.2">
      <c r="DO6976" s="303" t="s">
        <v>232</v>
      </c>
    </row>
    <row r="6977" spans="119:119" x14ac:dyDescent="0.2">
      <c r="DO6977" s="303" t="s">
        <v>232</v>
      </c>
    </row>
    <row r="6978" spans="119:119" x14ac:dyDescent="0.2">
      <c r="DO6978" s="303" t="s">
        <v>232</v>
      </c>
    </row>
    <row r="6979" spans="119:119" x14ac:dyDescent="0.2">
      <c r="DO6979" s="303" t="s">
        <v>232</v>
      </c>
    </row>
    <row r="6980" spans="119:119" x14ac:dyDescent="0.2">
      <c r="DO6980" s="303" t="s">
        <v>232</v>
      </c>
    </row>
    <row r="6981" spans="119:119" x14ac:dyDescent="0.2">
      <c r="DO6981" s="303" t="s">
        <v>232</v>
      </c>
    </row>
    <row r="6982" spans="119:119" x14ac:dyDescent="0.2">
      <c r="DO6982" s="303" t="s">
        <v>232</v>
      </c>
    </row>
    <row r="6983" spans="119:119" x14ac:dyDescent="0.2">
      <c r="DO6983" s="303" t="s">
        <v>232</v>
      </c>
    </row>
    <row r="6984" spans="119:119" x14ac:dyDescent="0.2">
      <c r="DO6984" s="303" t="s">
        <v>232</v>
      </c>
    </row>
    <row r="6985" spans="119:119" x14ac:dyDescent="0.2">
      <c r="DO6985" s="303" t="s">
        <v>232</v>
      </c>
    </row>
    <row r="6986" spans="119:119" x14ac:dyDescent="0.2">
      <c r="DO6986" s="303" t="s">
        <v>232</v>
      </c>
    </row>
    <row r="6987" spans="119:119" x14ac:dyDescent="0.2">
      <c r="DO6987" s="303" t="s">
        <v>232</v>
      </c>
    </row>
    <row r="6988" spans="119:119" x14ac:dyDescent="0.2">
      <c r="DO6988" s="303" t="s">
        <v>232</v>
      </c>
    </row>
    <row r="6989" spans="119:119" x14ac:dyDescent="0.2">
      <c r="DO6989" s="303" t="s">
        <v>232</v>
      </c>
    </row>
    <row r="6990" spans="119:119" x14ac:dyDescent="0.2">
      <c r="DO6990" s="303" t="s">
        <v>232</v>
      </c>
    </row>
    <row r="6991" spans="119:119" x14ac:dyDescent="0.2">
      <c r="DO6991" s="303" t="s">
        <v>232</v>
      </c>
    </row>
    <row r="6992" spans="119:119" x14ac:dyDescent="0.2">
      <c r="DO6992" s="303" t="s">
        <v>232</v>
      </c>
    </row>
    <row r="6993" spans="119:119" x14ac:dyDescent="0.2">
      <c r="DO6993" s="303" t="s">
        <v>232</v>
      </c>
    </row>
    <row r="6994" spans="119:119" x14ac:dyDescent="0.2">
      <c r="DO6994" s="303" t="s">
        <v>232</v>
      </c>
    </row>
    <row r="6995" spans="119:119" x14ac:dyDescent="0.2">
      <c r="DO6995" s="303" t="s">
        <v>232</v>
      </c>
    </row>
    <row r="6996" spans="119:119" x14ac:dyDescent="0.2">
      <c r="DO6996" s="303" t="s">
        <v>232</v>
      </c>
    </row>
    <row r="6997" spans="119:119" x14ac:dyDescent="0.2">
      <c r="DO6997" s="303" t="s">
        <v>232</v>
      </c>
    </row>
    <row r="6998" spans="119:119" x14ac:dyDescent="0.2">
      <c r="DO6998" s="303" t="s">
        <v>232</v>
      </c>
    </row>
    <row r="6999" spans="119:119" x14ac:dyDescent="0.2">
      <c r="DO6999" s="303" t="s">
        <v>232</v>
      </c>
    </row>
    <row r="7000" spans="119:119" x14ac:dyDescent="0.2">
      <c r="DO7000" s="303" t="s">
        <v>232</v>
      </c>
    </row>
    <row r="7001" spans="119:119" x14ac:dyDescent="0.2">
      <c r="DO7001" s="303" t="s">
        <v>232</v>
      </c>
    </row>
    <row r="7002" spans="119:119" x14ac:dyDescent="0.2">
      <c r="DO7002" s="303" t="s">
        <v>232</v>
      </c>
    </row>
    <row r="7003" spans="119:119" x14ac:dyDescent="0.2">
      <c r="DO7003" s="303" t="s">
        <v>232</v>
      </c>
    </row>
    <row r="7004" spans="119:119" x14ac:dyDescent="0.2">
      <c r="DO7004" s="303" t="s">
        <v>232</v>
      </c>
    </row>
    <row r="7005" spans="119:119" x14ac:dyDescent="0.2">
      <c r="DO7005" s="303" t="s">
        <v>232</v>
      </c>
    </row>
    <row r="7006" spans="119:119" x14ac:dyDescent="0.2">
      <c r="DO7006" s="303" t="s">
        <v>232</v>
      </c>
    </row>
    <row r="7007" spans="119:119" x14ac:dyDescent="0.2">
      <c r="DO7007" s="303" t="s">
        <v>232</v>
      </c>
    </row>
    <row r="7008" spans="119:119" x14ac:dyDescent="0.2">
      <c r="DO7008" s="303" t="s">
        <v>232</v>
      </c>
    </row>
    <row r="7009" spans="119:119" x14ac:dyDescent="0.2">
      <c r="DO7009" s="303" t="s">
        <v>232</v>
      </c>
    </row>
    <row r="7010" spans="119:119" x14ac:dyDescent="0.2">
      <c r="DO7010" s="303" t="s">
        <v>232</v>
      </c>
    </row>
    <row r="7011" spans="119:119" x14ac:dyDescent="0.2">
      <c r="DO7011" s="303" t="s">
        <v>232</v>
      </c>
    </row>
    <row r="7012" spans="119:119" x14ac:dyDescent="0.2">
      <c r="DO7012" s="303" t="s">
        <v>232</v>
      </c>
    </row>
    <row r="7013" spans="119:119" x14ac:dyDescent="0.2">
      <c r="DO7013" s="303" t="s">
        <v>232</v>
      </c>
    </row>
    <row r="7014" spans="119:119" x14ac:dyDescent="0.2">
      <c r="DO7014" s="303" t="s">
        <v>232</v>
      </c>
    </row>
    <row r="7015" spans="119:119" x14ac:dyDescent="0.2">
      <c r="DO7015" s="303" t="s">
        <v>232</v>
      </c>
    </row>
    <row r="7016" spans="119:119" x14ac:dyDescent="0.2">
      <c r="DO7016" s="303" t="s">
        <v>232</v>
      </c>
    </row>
    <row r="7017" spans="119:119" x14ac:dyDescent="0.2">
      <c r="DO7017" s="303" t="s">
        <v>232</v>
      </c>
    </row>
    <row r="7018" spans="119:119" x14ac:dyDescent="0.2">
      <c r="DO7018" s="303" t="s">
        <v>232</v>
      </c>
    </row>
    <row r="7019" spans="119:119" x14ac:dyDescent="0.2">
      <c r="DO7019" s="303" t="s">
        <v>232</v>
      </c>
    </row>
    <row r="7020" spans="119:119" x14ac:dyDescent="0.2">
      <c r="DO7020" s="303" t="s">
        <v>232</v>
      </c>
    </row>
    <row r="7021" spans="119:119" x14ac:dyDescent="0.2">
      <c r="DO7021" s="303" t="s">
        <v>232</v>
      </c>
    </row>
    <row r="7022" spans="119:119" x14ac:dyDescent="0.2">
      <c r="DO7022" s="303" t="s">
        <v>232</v>
      </c>
    </row>
    <row r="7023" spans="119:119" x14ac:dyDescent="0.2">
      <c r="DO7023" s="303" t="s">
        <v>232</v>
      </c>
    </row>
    <row r="7024" spans="119:119" x14ac:dyDescent="0.2">
      <c r="DO7024" s="303" t="s">
        <v>232</v>
      </c>
    </row>
    <row r="7025" spans="119:119" x14ac:dyDescent="0.2">
      <c r="DO7025" s="303" t="s">
        <v>232</v>
      </c>
    </row>
    <row r="7026" spans="119:119" x14ac:dyDescent="0.2">
      <c r="DO7026" s="303" t="s">
        <v>232</v>
      </c>
    </row>
    <row r="7027" spans="119:119" x14ac:dyDescent="0.2">
      <c r="DO7027" s="303" t="s">
        <v>232</v>
      </c>
    </row>
    <row r="7028" spans="119:119" x14ac:dyDescent="0.2">
      <c r="DO7028" s="303" t="s">
        <v>232</v>
      </c>
    </row>
    <row r="7029" spans="119:119" x14ac:dyDescent="0.2">
      <c r="DO7029" s="303" t="s">
        <v>232</v>
      </c>
    </row>
    <row r="7030" spans="119:119" x14ac:dyDescent="0.2">
      <c r="DO7030" s="303" t="s">
        <v>232</v>
      </c>
    </row>
    <row r="7031" spans="119:119" x14ac:dyDescent="0.2">
      <c r="DO7031" s="303" t="s">
        <v>232</v>
      </c>
    </row>
    <row r="7032" spans="119:119" x14ac:dyDescent="0.2">
      <c r="DO7032" s="303" t="s">
        <v>232</v>
      </c>
    </row>
    <row r="7033" spans="119:119" x14ac:dyDescent="0.2">
      <c r="DO7033" s="303" t="s">
        <v>232</v>
      </c>
    </row>
    <row r="7034" spans="119:119" x14ac:dyDescent="0.2">
      <c r="DO7034" s="303" t="s">
        <v>232</v>
      </c>
    </row>
    <row r="7035" spans="119:119" x14ac:dyDescent="0.2">
      <c r="DO7035" s="303" t="s">
        <v>232</v>
      </c>
    </row>
    <row r="7036" spans="119:119" x14ac:dyDescent="0.2">
      <c r="DO7036" s="303" t="s">
        <v>232</v>
      </c>
    </row>
    <row r="7037" spans="119:119" x14ac:dyDescent="0.2">
      <c r="DO7037" s="303" t="s">
        <v>232</v>
      </c>
    </row>
    <row r="7038" spans="119:119" x14ac:dyDescent="0.2">
      <c r="DO7038" s="303" t="s">
        <v>232</v>
      </c>
    </row>
    <row r="7039" spans="119:119" x14ac:dyDescent="0.2">
      <c r="DO7039" s="303" t="s">
        <v>232</v>
      </c>
    </row>
    <row r="7040" spans="119:119" x14ac:dyDescent="0.2">
      <c r="DO7040" s="303" t="s">
        <v>232</v>
      </c>
    </row>
    <row r="7041" spans="119:119" x14ac:dyDescent="0.2">
      <c r="DO7041" s="303" t="s">
        <v>232</v>
      </c>
    </row>
    <row r="7042" spans="119:119" x14ac:dyDescent="0.2">
      <c r="DO7042" s="303" t="s">
        <v>232</v>
      </c>
    </row>
    <row r="7043" spans="119:119" x14ac:dyDescent="0.2">
      <c r="DO7043" s="303" t="s">
        <v>232</v>
      </c>
    </row>
    <row r="7044" spans="119:119" x14ac:dyDescent="0.2">
      <c r="DO7044" s="303" t="s">
        <v>232</v>
      </c>
    </row>
    <row r="7045" spans="119:119" x14ac:dyDescent="0.2">
      <c r="DO7045" s="303" t="s">
        <v>232</v>
      </c>
    </row>
    <row r="7046" spans="119:119" x14ac:dyDescent="0.2">
      <c r="DO7046" s="303" t="s">
        <v>232</v>
      </c>
    </row>
    <row r="7047" spans="119:119" x14ac:dyDescent="0.2">
      <c r="DO7047" s="303" t="s">
        <v>232</v>
      </c>
    </row>
    <row r="7048" spans="119:119" x14ac:dyDescent="0.2">
      <c r="DO7048" s="303" t="s">
        <v>232</v>
      </c>
    </row>
    <row r="7049" spans="119:119" x14ac:dyDescent="0.2">
      <c r="DO7049" s="303" t="s">
        <v>232</v>
      </c>
    </row>
    <row r="7050" spans="119:119" x14ac:dyDescent="0.2">
      <c r="DO7050" s="303" t="s">
        <v>232</v>
      </c>
    </row>
    <row r="7051" spans="119:119" x14ac:dyDescent="0.2">
      <c r="DO7051" s="303" t="s">
        <v>232</v>
      </c>
    </row>
    <row r="7052" spans="119:119" x14ac:dyDescent="0.2">
      <c r="DO7052" s="303" t="s">
        <v>232</v>
      </c>
    </row>
    <row r="7053" spans="119:119" x14ac:dyDescent="0.2">
      <c r="DO7053" s="303" t="s">
        <v>232</v>
      </c>
    </row>
    <row r="7054" spans="119:119" x14ac:dyDescent="0.2">
      <c r="DO7054" s="303" t="s">
        <v>232</v>
      </c>
    </row>
    <row r="7055" spans="119:119" x14ac:dyDescent="0.2">
      <c r="DO7055" s="303" t="s">
        <v>232</v>
      </c>
    </row>
    <row r="7056" spans="119:119" x14ac:dyDescent="0.2">
      <c r="DO7056" s="303" t="s">
        <v>232</v>
      </c>
    </row>
    <row r="7057" spans="119:119" x14ac:dyDescent="0.2">
      <c r="DO7057" s="303" t="s">
        <v>232</v>
      </c>
    </row>
    <row r="7058" spans="119:119" x14ac:dyDescent="0.2">
      <c r="DO7058" s="303" t="s">
        <v>232</v>
      </c>
    </row>
    <row r="7059" spans="119:119" x14ac:dyDescent="0.2">
      <c r="DO7059" s="303" t="s">
        <v>232</v>
      </c>
    </row>
    <row r="7060" spans="119:119" x14ac:dyDescent="0.2">
      <c r="DO7060" s="303" t="s">
        <v>232</v>
      </c>
    </row>
    <row r="7061" spans="119:119" x14ac:dyDescent="0.2">
      <c r="DO7061" s="303" t="s">
        <v>232</v>
      </c>
    </row>
    <row r="7062" spans="119:119" x14ac:dyDescent="0.2">
      <c r="DO7062" s="303" t="s">
        <v>232</v>
      </c>
    </row>
    <row r="7063" spans="119:119" x14ac:dyDescent="0.2">
      <c r="DO7063" s="303" t="s">
        <v>232</v>
      </c>
    </row>
    <row r="7064" spans="119:119" x14ac:dyDescent="0.2">
      <c r="DO7064" s="303" t="s">
        <v>232</v>
      </c>
    </row>
    <row r="7065" spans="119:119" x14ac:dyDescent="0.2">
      <c r="DO7065" s="303" t="s">
        <v>232</v>
      </c>
    </row>
    <row r="7066" spans="119:119" x14ac:dyDescent="0.2">
      <c r="DO7066" s="303" t="s">
        <v>232</v>
      </c>
    </row>
    <row r="7067" spans="119:119" x14ac:dyDescent="0.2">
      <c r="DO7067" s="303" t="s">
        <v>232</v>
      </c>
    </row>
    <row r="7068" spans="119:119" x14ac:dyDescent="0.2">
      <c r="DO7068" s="303" t="s">
        <v>232</v>
      </c>
    </row>
    <row r="7069" spans="119:119" x14ac:dyDescent="0.2">
      <c r="DO7069" s="303" t="s">
        <v>232</v>
      </c>
    </row>
    <row r="7070" spans="119:119" x14ac:dyDescent="0.2">
      <c r="DO7070" s="303" t="s">
        <v>232</v>
      </c>
    </row>
    <row r="7071" spans="119:119" x14ac:dyDescent="0.2">
      <c r="DO7071" s="303" t="s">
        <v>232</v>
      </c>
    </row>
    <row r="7072" spans="119:119" x14ac:dyDescent="0.2">
      <c r="DO7072" s="303" t="s">
        <v>232</v>
      </c>
    </row>
    <row r="7073" spans="119:119" x14ac:dyDescent="0.2">
      <c r="DO7073" s="303" t="s">
        <v>232</v>
      </c>
    </row>
    <row r="7074" spans="119:119" x14ac:dyDescent="0.2">
      <c r="DO7074" s="303" t="s">
        <v>232</v>
      </c>
    </row>
    <row r="7075" spans="119:119" x14ac:dyDescent="0.2">
      <c r="DO7075" s="303" t="s">
        <v>232</v>
      </c>
    </row>
    <row r="7076" spans="119:119" x14ac:dyDescent="0.2">
      <c r="DO7076" s="303" t="s">
        <v>232</v>
      </c>
    </row>
    <row r="7077" spans="119:119" x14ac:dyDescent="0.2">
      <c r="DO7077" s="303" t="s">
        <v>232</v>
      </c>
    </row>
    <row r="7078" spans="119:119" x14ac:dyDescent="0.2">
      <c r="DO7078" s="303" t="s">
        <v>232</v>
      </c>
    </row>
    <row r="7079" spans="119:119" x14ac:dyDescent="0.2">
      <c r="DO7079" s="303" t="s">
        <v>232</v>
      </c>
    </row>
    <row r="7080" spans="119:119" x14ac:dyDescent="0.2">
      <c r="DO7080" s="303" t="s">
        <v>232</v>
      </c>
    </row>
    <row r="7081" spans="119:119" x14ac:dyDescent="0.2">
      <c r="DO7081" s="303" t="s">
        <v>232</v>
      </c>
    </row>
    <row r="7082" spans="119:119" x14ac:dyDescent="0.2">
      <c r="DO7082" s="303" t="s">
        <v>232</v>
      </c>
    </row>
    <row r="7083" spans="119:119" x14ac:dyDescent="0.2">
      <c r="DO7083" s="303" t="s">
        <v>232</v>
      </c>
    </row>
    <row r="7084" spans="119:119" x14ac:dyDescent="0.2">
      <c r="DO7084" s="303" t="s">
        <v>232</v>
      </c>
    </row>
    <row r="7085" spans="119:119" x14ac:dyDescent="0.2">
      <c r="DO7085" s="303" t="s">
        <v>232</v>
      </c>
    </row>
    <row r="7086" spans="119:119" x14ac:dyDescent="0.2">
      <c r="DO7086" s="303" t="s">
        <v>232</v>
      </c>
    </row>
    <row r="7087" spans="119:119" x14ac:dyDescent="0.2">
      <c r="DO7087" s="303" t="s">
        <v>232</v>
      </c>
    </row>
    <row r="7088" spans="119:119" x14ac:dyDescent="0.2">
      <c r="DO7088" s="303" t="s">
        <v>232</v>
      </c>
    </row>
    <row r="7089" spans="119:119" x14ac:dyDescent="0.2">
      <c r="DO7089" s="303" t="s">
        <v>232</v>
      </c>
    </row>
    <row r="7090" spans="119:119" x14ac:dyDescent="0.2">
      <c r="DO7090" s="303" t="s">
        <v>232</v>
      </c>
    </row>
    <row r="7091" spans="119:119" x14ac:dyDescent="0.2">
      <c r="DO7091" s="303" t="s">
        <v>232</v>
      </c>
    </row>
    <row r="7092" spans="119:119" x14ac:dyDescent="0.2">
      <c r="DO7092" s="303" t="s">
        <v>232</v>
      </c>
    </row>
    <row r="7093" spans="119:119" x14ac:dyDescent="0.2">
      <c r="DO7093" s="303" t="s">
        <v>232</v>
      </c>
    </row>
    <row r="7094" spans="119:119" x14ac:dyDescent="0.2">
      <c r="DO7094" s="303" t="s">
        <v>232</v>
      </c>
    </row>
    <row r="7095" spans="119:119" x14ac:dyDescent="0.2">
      <c r="DO7095" s="303" t="s">
        <v>232</v>
      </c>
    </row>
    <row r="7096" spans="119:119" x14ac:dyDescent="0.2">
      <c r="DO7096" s="303" t="s">
        <v>232</v>
      </c>
    </row>
    <row r="7097" spans="119:119" x14ac:dyDescent="0.2">
      <c r="DO7097" s="303" t="s">
        <v>232</v>
      </c>
    </row>
    <row r="7098" spans="119:119" x14ac:dyDescent="0.2">
      <c r="DO7098" s="303" t="s">
        <v>232</v>
      </c>
    </row>
    <row r="7099" spans="119:119" x14ac:dyDescent="0.2">
      <c r="DO7099" s="303" t="s">
        <v>232</v>
      </c>
    </row>
    <row r="7100" spans="119:119" x14ac:dyDescent="0.2">
      <c r="DO7100" s="303" t="s">
        <v>232</v>
      </c>
    </row>
    <row r="7101" spans="119:119" x14ac:dyDescent="0.2">
      <c r="DO7101" s="303" t="s">
        <v>232</v>
      </c>
    </row>
    <row r="7102" spans="119:119" x14ac:dyDescent="0.2">
      <c r="DO7102" s="303" t="s">
        <v>232</v>
      </c>
    </row>
    <row r="7103" spans="119:119" x14ac:dyDescent="0.2">
      <c r="DO7103" s="303" t="s">
        <v>232</v>
      </c>
    </row>
    <row r="7104" spans="119:119" x14ac:dyDescent="0.2">
      <c r="DO7104" s="303" t="s">
        <v>232</v>
      </c>
    </row>
    <row r="7105" spans="119:119" x14ac:dyDescent="0.2">
      <c r="DO7105" s="303" t="s">
        <v>232</v>
      </c>
    </row>
    <row r="7106" spans="119:119" x14ac:dyDescent="0.2">
      <c r="DO7106" s="303" t="s">
        <v>232</v>
      </c>
    </row>
    <row r="7107" spans="119:119" x14ac:dyDescent="0.2">
      <c r="DO7107" s="303" t="s">
        <v>232</v>
      </c>
    </row>
    <row r="7108" spans="119:119" x14ac:dyDescent="0.2">
      <c r="DO7108" s="303" t="s">
        <v>232</v>
      </c>
    </row>
    <row r="7109" spans="119:119" x14ac:dyDescent="0.2">
      <c r="DO7109" s="303" t="s">
        <v>232</v>
      </c>
    </row>
    <row r="7110" spans="119:119" x14ac:dyDescent="0.2">
      <c r="DO7110" s="303" t="s">
        <v>232</v>
      </c>
    </row>
    <row r="7111" spans="119:119" x14ac:dyDescent="0.2">
      <c r="DO7111" s="303" t="s">
        <v>232</v>
      </c>
    </row>
    <row r="7112" spans="119:119" x14ac:dyDescent="0.2">
      <c r="DO7112" s="303" t="s">
        <v>232</v>
      </c>
    </row>
    <row r="7113" spans="119:119" x14ac:dyDescent="0.2">
      <c r="DO7113" s="303" t="s">
        <v>232</v>
      </c>
    </row>
    <row r="7114" spans="119:119" x14ac:dyDescent="0.2">
      <c r="DO7114" s="303" t="s">
        <v>232</v>
      </c>
    </row>
    <row r="7115" spans="119:119" x14ac:dyDescent="0.2">
      <c r="DO7115" s="303" t="s">
        <v>232</v>
      </c>
    </row>
    <row r="7116" spans="119:119" x14ac:dyDescent="0.2">
      <c r="DO7116" s="303" t="s">
        <v>232</v>
      </c>
    </row>
    <row r="7117" spans="119:119" x14ac:dyDescent="0.2">
      <c r="DO7117" s="303" t="s">
        <v>232</v>
      </c>
    </row>
    <row r="7118" spans="119:119" x14ac:dyDescent="0.2">
      <c r="DO7118" s="303" t="s">
        <v>232</v>
      </c>
    </row>
    <row r="7119" spans="119:119" x14ac:dyDescent="0.2">
      <c r="DO7119" s="303" t="s">
        <v>232</v>
      </c>
    </row>
    <row r="7120" spans="119:119" x14ac:dyDescent="0.2">
      <c r="DO7120" s="303" t="s">
        <v>232</v>
      </c>
    </row>
    <row r="7121" spans="119:119" x14ac:dyDescent="0.2">
      <c r="DO7121" s="303" t="s">
        <v>232</v>
      </c>
    </row>
    <row r="7122" spans="119:119" x14ac:dyDescent="0.2">
      <c r="DO7122" s="303" t="s">
        <v>232</v>
      </c>
    </row>
    <row r="7123" spans="119:119" x14ac:dyDescent="0.2">
      <c r="DO7123" s="303" t="s">
        <v>232</v>
      </c>
    </row>
    <row r="7124" spans="119:119" x14ac:dyDescent="0.2">
      <c r="DO7124" s="303" t="s">
        <v>232</v>
      </c>
    </row>
    <row r="7125" spans="119:119" x14ac:dyDescent="0.2">
      <c r="DO7125" s="303" t="s">
        <v>232</v>
      </c>
    </row>
    <row r="7126" spans="119:119" x14ac:dyDescent="0.2">
      <c r="DO7126" s="303" t="s">
        <v>232</v>
      </c>
    </row>
    <row r="7127" spans="119:119" x14ac:dyDescent="0.2">
      <c r="DO7127" s="303" t="s">
        <v>232</v>
      </c>
    </row>
    <row r="7128" spans="119:119" x14ac:dyDescent="0.2">
      <c r="DO7128" s="303" t="s">
        <v>232</v>
      </c>
    </row>
    <row r="7129" spans="119:119" x14ac:dyDescent="0.2">
      <c r="DO7129" s="303" t="s">
        <v>232</v>
      </c>
    </row>
    <row r="7130" spans="119:119" x14ac:dyDescent="0.2">
      <c r="DO7130" s="303" t="s">
        <v>232</v>
      </c>
    </row>
    <row r="7131" spans="119:119" x14ac:dyDescent="0.2">
      <c r="DO7131" s="303" t="s">
        <v>232</v>
      </c>
    </row>
    <row r="7132" spans="119:119" x14ac:dyDescent="0.2">
      <c r="DO7132" s="303" t="s">
        <v>232</v>
      </c>
    </row>
    <row r="7133" spans="119:119" x14ac:dyDescent="0.2">
      <c r="DO7133" s="303" t="s">
        <v>232</v>
      </c>
    </row>
    <row r="7134" spans="119:119" x14ac:dyDescent="0.2">
      <c r="DO7134" s="303" t="s">
        <v>232</v>
      </c>
    </row>
    <row r="7135" spans="119:119" x14ac:dyDescent="0.2">
      <c r="DO7135" s="303" t="s">
        <v>232</v>
      </c>
    </row>
    <row r="7136" spans="119:119" x14ac:dyDescent="0.2">
      <c r="DO7136" s="303" t="s">
        <v>232</v>
      </c>
    </row>
    <row r="7137" spans="119:119" x14ac:dyDescent="0.2">
      <c r="DO7137" s="303" t="s">
        <v>232</v>
      </c>
    </row>
    <row r="7138" spans="119:119" x14ac:dyDescent="0.2">
      <c r="DO7138" s="303" t="s">
        <v>232</v>
      </c>
    </row>
    <row r="7139" spans="119:119" x14ac:dyDescent="0.2">
      <c r="DO7139" s="303" t="s">
        <v>232</v>
      </c>
    </row>
    <row r="7140" spans="119:119" x14ac:dyDescent="0.2">
      <c r="DO7140" s="303" t="s">
        <v>232</v>
      </c>
    </row>
    <row r="7141" spans="119:119" x14ac:dyDescent="0.2">
      <c r="DO7141" s="303" t="s">
        <v>232</v>
      </c>
    </row>
    <row r="7142" spans="119:119" x14ac:dyDescent="0.2">
      <c r="DO7142" s="303" t="s">
        <v>232</v>
      </c>
    </row>
    <row r="7143" spans="119:119" x14ac:dyDescent="0.2">
      <c r="DO7143" s="303" t="s">
        <v>232</v>
      </c>
    </row>
    <row r="7144" spans="119:119" x14ac:dyDescent="0.2">
      <c r="DO7144" s="303" t="s">
        <v>232</v>
      </c>
    </row>
    <row r="7145" spans="119:119" x14ac:dyDescent="0.2">
      <c r="DO7145" s="303" t="s">
        <v>232</v>
      </c>
    </row>
    <row r="7146" spans="119:119" x14ac:dyDescent="0.2">
      <c r="DO7146" s="303" t="s">
        <v>232</v>
      </c>
    </row>
    <row r="7147" spans="119:119" x14ac:dyDescent="0.2">
      <c r="DO7147" s="303" t="s">
        <v>232</v>
      </c>
    </row>
    <row r="7148" spans="119:119" x14ac:dyDescent="0.2">
      <c r="DO7148" s="303" t="s">
        <v>232</v>
      </c>
    </row>
    <row r="7149" spans="119:119" x14ac:dyDescent="0.2">
      <c r="DO7149" s="303" t="s">
        <v>232</v>
      </c>
    </row>
    <row r="7150" spans="119:119" x14ac:dyDescent="0.2">
      <c r="DO7150" s="303" t="s">
        <v>232</v>
      </c>
    </row>
    <row r="7151" spans="119:119" x14ac:dyDescent="0.2">
      <c r="DO7151" s="303" t="s">
        <v>232</v>
      </c>
    </row>
    <row r="7152" spans="119:119" x14ac:dyDescent="0.2">
      <c r="DO7152" s="303" t="s">
        <v>232</v>
      </c>
    </row>
    <row r="7153" spans="119:119" x14ac:dyDescent="0.2">
      <c r="DO7153" s="303" t="s">
        <v>232</v>
      </c>
    </row>
    <row r="7154" spans="119:119" x14ac:dyDescent="0.2">
      <c r="DO7154" s="303" t="s">
        <v>232</v>
      </c>
    </row>
    <row r="7155" spans="119:119" x14ac:dyDescent="0.2">
      <c r="DO7155" s="303" t="s">
        <v>232</v>
      </c>
    </row>
    <row r="7156" spans="119:119" x14ac:dyDescent="0.2">
      <c r="DO7156" s="303" t="s">
        <v>232</v>
      </c>
    </row>
    <row r="7157" spans="119:119" x14ac:dyDescent="0.2">
      <c r="DO7157" s="303" t="s">
        <v>232</v>
      </c>
    </row>
    <row r="7158" spans="119:119" x14ac:dyDescent="0.2">
      <c r="DO7158" s="303" t="s">
        <v>232</v>
      </c>
    </row>
    <row r="7159" spans="119:119" x14ac:dyDescent="0.2">
      <c r="DO7159" s="303" t="s">
        <v>232</v>
      </c>
    </row>
    <row r="7160" spans="119:119" x14ac:dyDescent="0.2">
      <c r="DO7160" s="303" t="s">
        <v>232</v>
      </c>
    </row>
    <row r="7161" spans="119:119" x14ac:dyDescent="0.2">
      <c r="DO7161" s="303" t="s">
        <v>232</v>
      </c>
    </row>
    <row r="7162" spans="119:119" x14ac:dyDescent="0.2">
      <c r="DO7162" s="303" t="s">
        <v>232</v>
      </c>
    </row>
    <row r="7163" spans="119:119" x14ac:dyDescent="0.2">
      <c r="DO7163" s="303" t="s">
        <v>232</v>
      </c>
    </row>
    <row r="7164" spans="119:119" x14ac:dyDescent="0.2">
      <c r="DO7164" s="303" t="s">
        <v>232</v>
      </c>
    </row>
    <row r="7165" spans="119:119" x14ac:dyDescent="0.2">
      <c r="DO7165" s="303" t="s">
        <v>232</v>
      </c>
    </row>
    <row r="7166" spans="119:119" x14ac:dyDescent="0.2">
      <c r="DO7166" s="303" t="s">
        <v>232</v>
      </c>
    </row>
    <row r="7167" spans="119:119" x14ac:dyDescent="0.2">
      <c r="DO7167" s="303" t="s">
        <v>232</v>
      </c>
    </row>
    <row r="7168" spans="119:119" x14ac:dyDescent="0.2">
      <c r="DO7168" s="303" t="s">
        <v>232</v>
      </c>
    </row>
    <row r="7169" spans="119:119" x14ac:dyDescent="0.2">
      <c r="DO7169" s="303" t="s">
        <v>232</v>
      </c>
    </row>
    <row r="7170" spans="119:119" x14ac:dyDescent="0.2">
      <c r="DO7170" s="303" t="s">
        <v>232</v>
      </c>
    </row>
    <row r="7171" spans="119:119" x14ac:dyDescent="0.2">
      <c r="DO7171" s="303" t="s">
        <v>232</v>
      </c>
    </row>
    <row r="7172" spans="119:119" x14ac:dyDescent="0.2">
      <c r="DO7172" s="303" t="s">
        <v>232</v>
      </c>
    </row>
    <row r="7173" spans="119:119" x14ac:dyDescent="0.2">
      <c r="DO7173" s="303" t="s">
        <v>232</v>
      </c>
    </row>
    <row r="7174" spans="119:119" x14ac:dyDescent="0.2">
      <c r="DO7174" s="303" t="s">
        <v>232</v>
      </c>
    </row>
    <row r="7175" spans="119:119" x14ac:dyDescent="0.2">
      <c r="DO7175" s="303" t="s">
        <v>232</v>
      </c>
    </row>
    <row r="7176" spans="119:119" x14ac:dyDescent="0.2">
      <c r="DO7176" s="303" t="s">
        <v>232</v>
      </c>
    </row>
    <row r="7177" spans="119:119" x14ac:dyDescent="0.2">
      <c r="DO7177" s="303" t="s">
        <v>232</v>
      </c>
    </row>
    <row r="7178" spans="119:119" x14ac:dyDescent="0.2">
      <c r="DO7178" s="303" t="s">
        <v>232</v>
      </c>
    </row>
    <row r="7179" spans="119:119" x14ac:dyDescent="0.2">
      <c r="DO7179" s="303" t="s">
        <v>232</v>
      </c>
    </row>
    <row r="7180" spans="119:119" x14ac:dyDescent="0.2">
      <c r="DO7180" s="303" t="s">
        <v>232</v>
      </c>
    </row>
    <row r="7181" spans="119:119" x14ac:dyDescent="0.2">
      <c r="DO7181" s="303" t="s">
        <v>232</v>
      </c>
    </row>
    <row r="7182" spans="119:119" x14ac:dyDescent="0.2">
      <c r="DO7182" s="303" t="s">
        <v>232</v>
      </c>
    </row>
    <row r="7183" spans="119:119" x14ac:dyDescent="0.2">
      <c r="DO7183" s="303" t="s">
        <v>232</v>
      </c>
    </row>
    <row r="7184" spans="119:119" x14ac:dyDescent="0.2">
      <c r="DO7184" s="303" t="s">
        <v>232</v>
      </c>
    </row>
    <row r="7185" spans="119:119" x14ac:dyDescent="0.2">
      <c r="DO7185" s="303" t="s">
        <v>232</v>
      </c>
    </row>
    <row r="7186" spans="119:119" x14ac:dyDescent="0.2">
      <c r="DO7186" s="303" t="s">
        <v>232</v>
      </c>
    </row>
    <row r="7187" spans="119:119" x14ac:dyDescent="0.2">
      <c r="DO7187" s="303" t="s">
        <v>232</v>
      </c>
    </row>
    <row r="7188" spans="119:119" x14ac:dyDescent="0.2">
      <c r="DO7188" s="303" t="s">
        <v>232</v>
      </c>
    </row>
    <row r="7189" spans="119:119" x14ac:dyDescent="0.2">
      <c r="DO7189" s="303" t="s">
        <v>232</v>
      </c>
    </row>
    <row r="7190" spans="119:119" x14ac:dyDescent="0.2">
      <c r="DO7190" s="303" t="s">
        <v>232</v>
      </c>
    </row>
    <row r="7191" spans="119:119" x14ac:dyDescent="0.2">
      <c r="DO7191" s="303" t="s">
        <v>232</v>
      </c>
    </row>
    <row r="7192" spans="119:119" x14ac:dyDescent="0.2">
      <c r="DO7192" s="303" t="s">
        <v>232</v>
      </c>
    </row>
    <row r="7193" spans="119:119" x14ac:dyDescent="0.2">
      <c r="DO7193" s="303" t="s">
        <v>232</v>
      </c>
    </row>
    <row r="7194" spans="119:119" x14ac:dyDescent="0.2">
      <c r="DO7194" s="303" t="s">
        <v>232</v>
      </c>
    </row>
    <row r="7195" spans="119:119" x14ac:dyDescent="0.2">
      <c r="DO7195" s="303" t="s">
        <v>232</v>
      </c>
    </row>
    <row r="7196" spans="119:119" x14ac:dyDescent="0.2">
      <c r="DO7196" s="303" t="s">
        <v>232</v>
      </c>
    </row>
    <row r="7197" spans="119:119" x14ac:dyDescent="0.2">
      <c r="DO7197" s="303" t="s">
        <v>232</v>
      </c>
    </row>
    <row r="7198" spans="119:119" x14ac:dyDescent="0.2">
      <c r="DO7198" s="303" t="s">
        <v>232</v>
      </c>
    </row>
    <row r="7199" spans="119:119" x14ac:dyDescent="0.2">
      <c r="DO7199" s="303" t="s">
        <v>232</v>
      </c>
    </row>
    <row r="7200" spans="119:119" x14ac:dyDescent="0.2">
      <c r="DO7200" s="303" t="s">
        <v>232</v>
      </c>
    </row>
    <row r="7201" spans="119:119" x14ac:dyDescent="0.2">
      <c r="DO7201" s="303" t="s">
        <v>232</v>
      </c>
    </row>
    <row r="7202" spans="119:119" x14ac:dyDescent="0.2">
      <c r="DO7202" s="303" t="s">
        <v>232</v>
      </c>
    </row>
    <row r="7203" spans="119:119" x14ac:dyDescent="0.2">
      <c r="DO7203" s="303" t="s">
        <v>232</v>
      </c>
    </row>
    <row r="7204" spans="119:119" x14ac:dyDescent="0.2">
      <c r="DO7204" s="303" t="s">
        <v>232</v>
      </c>
    </row>
    <row r="7205" spans="119:119" x14ac:dyDescent="0.2">
      <c r="DO7205" s="303" t="s">
        <v>232</v>
      </c>
    </row>
    <row r="7206" spans="119:119" x14ac:dyDescent="0.2">
      <c r="DO7206" s="303" t="s">
        <v>232</v>
      </c>
    </row>
    <row r="7207" spans="119:119" x14ac:dyDescent="0.2">
      <c r="DO7207" s="303" t="s">
        <v>232</v>
      </c>
    </row>
    <row r="7208" spans="119:119" x14ac:dyDescent="0.2">
      <c r="DO7208" s="303" t="s">
        <v>232</v>
      </c>
    </row>
    <row r="7209" spans="119:119" x14ac:dyDescent="0.2">
      <c r="DO7209" s="303" t="s">
        <v>232</v>
      </c>
    </row>
    <row r="7210" spans="119:119" x14ac:dyDescent="0.2">
      <c r="DO7210" s="303" t="s">
        <v>232</v>
      </c>
    </row>
    <row r="7211" spans="119:119" x14ac:dyDescent="0.2">
      <c r="DO7211" s="303" t="s">
        <v>232</v>
      </c>
    </row>
    <row r="7212" spans="119:119" x14ac:dyDescent="0.2">
      <c r="DO7212" s="303" t="s">
        <v>232</v>
      </c>
    </row>
    <row r="7213" spans="119:119" x14ac:dyDescent="0.2">
      <c r="DO7213" s="303" t="s">
        <v>232</v>
      </c>
    </row>
    <row r="7214" spans="119:119" x14ac:dyDescent="0.2">
      <c r="DO7214" s="303" t="s">
        <v>232</v>
      </c>
    </row>
    <row r="7215" spans="119:119" x14ac:dyDescent="0.2">
      <c r="DO7215" s="303" t="s">
        <v>232</v>
      </c>
    </row>
    <row r="7216" spans="119:119" x14ac:dyDescent="0.2">
      <c r="DO7216" s="303" t="s">
        <v>232</v>
      </c>
    </row>
    <row r="7217" spans="119:119" x14ac:dyDescent="0.2">
      <c r="DO7217" s="303" t="s">
        <v>232</v>
      </c>
    </row>
    <row r="7218" spans="119:119" x14ac:dyDescent="0.2">
      <c r="DO7218" s="303" t="s">
        <v>232</v>
      </c>
    </row>
    <row r="7219" spans="119:119" x14ac:dyDescent="0.2">
      <c r="DO7219" s="303" t="s">
        <v>232</v>
      </c>
    </row>
    <row r="7220" spans="119:119" x14ac:dyDescent="0.2">
      <c r="DO7220" s="303" t="s">
        <v>232</v>
      </c>
    </row>
    <row r="7221" spans="119:119" x14ac:dyDescent="0.2">
      <c r="DO7221" s="303" t="s">
        <v>232</v>
      </c>
    </row>
    <row r="7222" spans="119:119" x14ac:dyDescent="0.2">
      <c r="DO7222" s="303" t="s">
        <v>232</v>
      </c>
    </row>
    <row r="7223" spans="119:119" x14ac:dyDescent="0.2">
      <c r="DO7223" s="303" t="s">
        <v>232</v>
      </c>
    </row>
    <row r="7224" spans="119:119" x14ac:dyDescent="0.2">
      <c r="DO7224" s="303" t="s">
        <v>232</v>
      </c>
    </row>
    <row r="7225" spans="119:119" x14ac:dyDescent="0.2">
      <c r="DO7225" s="303" t="s">
        <v>232</v>
      </c>
    </row>
    <row r="7226" spans="119:119" x14ac:dyDescent="0.2">
      <c r="DO7226" s="303" t="s">
        <v>232</v>
      </c>
    </row>
    <row r="7227" spans="119:119" x14ac:dyDescent="0.2">
      <c r="DO7227" s="303" t="s">
        <v>232</v>
      </c>
    </row>
    <row r="7228" spans="119:119" x14ac:dyDescent="0.2">
      <c r="DO7228" s="303" t="s">
        <v>232</v>
      </c>
    </row>
    <row r="7229" spans="119:119" x14ac:dyDescent="0.2">
      <c r="DO7229" s="303" t="s">
        <v>232</v>
      </c>
    </row>
    <row r="7230" spans="119:119" x14ac:dyDescent="0.2">
      <c r="DO7230" s="303" t="s">
        <v>232</v>
      </c>
    </row>
    <row r="7231" spans="119:119" x14ac:dyDescent="0.2">
      <c r="DO7231" s="303" t="s">
        <v>232</v>
      </c>
    </row>
    <row r="7232" spans="119:119" x14ac:dyDescent="0.2">
      <c r="DO7232" s="303" t="s">
        <v>232</v>
      </c>
    </row>
    <row r="7233" spans="119:119" x14ac:dyDescent="0.2">
      <c r="DO7233" s="303" t="s">
        <v>232</v>
      </c>
    </row>
    <row r="7234" spans="119:119" x14ac:dyDescent="0.2">
      <c r="DO7234" s="303" t="s">
        <v>232</v>
      </c>
    </row>
    <row r="7235" spans="119:119" x14ac:dyDescent="0.2">
      <c r="DO7235" s="303" t="s">
        <v>232</v>
      </c>
    </row>
    <row r="7236" spans="119:119" x14ac:dyDescent="0.2">
      <c r="DO7236" s="303" t="s">
        <v>232</v>
      </c>
    </row>
    <row r="7237" spans="119:119" x14ac:dyDescent="0.2">
      <c r="DO7237" s="303" t="s">
        <v>232</v>
      </c>
    </row>
    <row r="7238" spans="119:119" x14ac:dyDescent="0.2">
      <c r="DO7238" s="303" t="s">
        <v>232</v>
      </c>
    </row>
    <row r="7239" spans="119:119" x14ac:dyDescent="0.2">
      <c r="DO7239" s="303" t="s">
        <v>232</v>
      </c>
    </row>
    <row r="7240" spans="119:119" x14ac:dyDescent="0.2">
      <c r="DO7240" s="303" t="s">
        <v>232</v>
      </c>
    </row>
    <row r="7241" spans="119:119" x14ac:dyDescent="0.2">
      <c r="DO7241" s="303" t="s">
        <v>232</v>
      </c>
    </row>
    <row r="7242" spans="119:119" x14ac:dyDescent="0.2">
      <c r="DO7242" s="303" t="s">
        <v>232</v>
      </c>
    </row>
    <row r="7243" spans="119:119" x14ac:dyDescent="0.2">
      <c r="DO7243" s="303" t="s">
        <v>232</v>
      </c>
    </row>
    <row r="7244" spans="119:119" x14ac:dyDescent="0.2">
      <c r="DO7244" s="303" t="s">
        <v>232</v>
      </c>
    </row>
    <row r="7245" spans="119:119" x14ac:dyDescent="0.2">
      <c r="DO7245" s="303" t="s">
        <v>232</v>
      </c>
    </row>
    <row r="7246" spans="119:119" x14ac:dyDescent="0.2">
      <c r="DO7246" s="303" t="s">
        <v>232</v>
      </c>
    </row>
    <row r="7247" spans="119:119" x14ac:dyDescent="0.2">
      <c r="DO7247" s="303" t="s">
        <v>232</v>
      </c>
    </row>
    <row r="7248" spans="119:119" x14ac:dyDescent="0.2">
      <c r="DO7248" s="303" t="s">
        <v>232</v>
      </c>
    </row>
    <row r="7249" spans="119:119" x14ac:dyDescent="0.2">
      <c r="DO7249" s="303" t="s">
        <v>232</v>
      </c>
    </row>
    <row r="7250" spans="119:119" x14ac:dyDescent="0.2">
      <c r="DO7250" s="303" t="s">
        <v>232</v>
      </c>
    </row>
    <row r="7251" spans="119:119" x14ac:dyDescent="0.2">
      <c r="DO7251" s="303" t="s">
        <v>232</v>
      </c>
    </row>
    <row r="7252" spans="119:119" x14ac:dyDescent="0.2">
      <c r="DO7252" s="303" t="s">
        <v>232</v>
      </c>
    </row>
    <row r="7253" spans="119:119" x14ac:dyDescent="0.2">
      <c r="DO7253" s="303" t="s">
        <v>232</v>
      </c>
    </row>
    <row r="7254" spans="119:119" x14ac:dyDescent="0.2">
      <c r="DO7254" s="303" t="s">
        <v>232</v>
      </c>
    </row>
    <row r="7255" spans="119:119" x14ac:dyDescent="0.2">
      <c r="DO7255" s="303" t="s">
        <v>232</v>
      </c>
    </row>
    <row r="7256" spans="119:119" x14ac:dyDescent="0.2">
      <c r="DO7256" s="303" t="s">
        <v>232</v>
      </c>
    </row>
    <row r="7257" spans="119:119" x14ac:dyDescent="0.2">
      <c r="DO7257" s="303" t="s">
        <v>232</v>
      </c>
    </row>
    <row r="7258" spans="119:119" x14ac:dyDescent="0.2">
      <c r="DO7258" s="303" t="s">
        <v>232</v>
      </c>
    </row>
    <row r="7259" spans="119:119" x14ac:dyDescent="0.2">
      <c r="DO7259" s="303" t="s">
        <v>232</v>
      </c>
    </row>
    <row r="7260" spans="119:119" x14ac:dyDescent="0.2">
      <c r="DO7260" s="303" t="s">
        <v>232</v>
      </c>
    </row>
    <row r="7261" spans="119:119" x14ac:dyDescent="0.2">
      <c r="DO7261" s="303" t="s">
        <v>232</v>
      </c>
    </row>
    <row r="7262" spans="119:119" x14ac:dyDescent="0.2">
      <c r="DO7262" s="303" t="s">
        <v>232</v>
      </c>
    </row>
    <row r="7263" spans="119:119" x14ac:dyDescent="0.2">
      <c r="DO7263" s="303" t="s">
        <v>232</v>
      </c>
    </row>
    <row r="7264" spans="119:119" x14ac:dyDescent="0.2">
      <c r="DO7264" s="303" t="s">
        <v>232</v>
      </c>
    </row>
    <row r="7265" spans="119:119" x14ac:dyDescent="0.2">
      <c r="DO7265" s="303" t="s">
        <v>232</v>
      </c>
    </row>
    <row r="7266" spans="119:119" x14ac:dyDescent="0.2">
      <c r="DO7266" s="303" t="s">
        <v>232</v>
      </c>
    </row>
    <row r="7267" spans="119:119" x14ac:dyDescent="0.2">
      <c r="DO7267" s="303" t="s">
        <v>232</v>
      </c>
    </row>
    <row r="7268" spans="119:119" x14ac:dyDescent="0.2">
      <c r="DO7268" s="303" t="s">
        <v>232</v>
      </c>
    </row>
    <row r="7269" spans="119:119" x14ac:dyDescent="0.2">
      <c r="DO7269" s="303" t="s">
        <v>232</v>
      </c>
    </row>
    <row r="7270" spans="119:119" x14ac:dyDescent="0.2">
      <c r="DO7270" s="303" t="s">
        <v>232</v>
      </c>
    </row>
    <row r="7271" spans="119:119" x14ac:dyDescent="0.2">
      <c r="DO7271" s="303" t="s">
        <v>232</v>
      </c>
    </row>
    <row r="7272" spans="119:119" x14ac:dyDescent="0.2">
      <c r="DO7272" s="303" t="s">
        <v>232</v>
      </c>
    </row>
    <row r="7273" spans="119:119" x14ac:dyDescent="0.2">
      <c r="DO7273" s="303" t="s">
        <v>232</v>
      </c>
    </row>
    <row r="7274" spans="119:119" x14ac:dyDescent="0.2">
      <c r="DO7274" s="303" t="s">
        <v>232</v>
      </c>
    </row>
    <row r="7275" spans="119:119" x14ac:dyDescent="0.2">
      <c r="DO7275" s="303" t="s">
        <v>232</v>
      </c>
    </row>
    <row r="7276" spans="119:119" x14ac:dyDescent="0.2">
      <c r="DO7276" s="303" t="s">
        <v>232</v>
      </c>
    </row>
    <row r="7277" spans="119:119" x14ac:dyDescent="0.2">
      <c r="DO7277" s="303" t="s">
        <v>232</v>
      </c>
    </row>
    <row r="7278" spans="119:119" x14ac:dyDescent="0.2">
      <c r="DO7278" s="303" t="s">
        <v>232</v>
      </c>
    </row>
    <row r="7279" spans="119:119" x14ac:dyDescent="0.2">
      <c r="DO7279" s="303" t="s">
        <v>232</v>
      </c>
    </row>
    <row r="7280" spans="119:119" x14ac:dyDescent="0.2">
      <c r="DO7280" s="303" t="s">
        <v>232</v>
      </c>
    </row>
    <row r="7281" spans="119:119" x14ac:dyDescent="0.2">
      <c r="DO7281" s="303" t="s">
        <v>232</v>
      </c>
    </row>
    <row r="7282" spans="119:119" x14ac:dyDescent="0.2">
      <c r="DO7282" s="303" t="s">
        <v>232</v>
      </c>
    </row>
    <row r="7283" spans="119:119" x14ac:dyDescent="0.2">
      <c r="DO7283" s="303" t="s">
        <v>232</v>
      </c>
    </row>
    <row r="7284" spans="119:119" x14ac:dyDescent="0.2">
      <c r="DO7284" s="303" t="s">
        <v>232</v>
      </c>
    </row>
    <row r="7285" spans="119:119" x14ac:dyDescent="0.2">
      <c r="DO7285" s="303" t="s">
        <v>232</v>
      </c>
    </row>
    <row r="7286" spans="119:119" x14ac:dyDescent="0.2">
      <c r="DO7286" s="303" t="s">
        <v>232</v>
      </c>
    </row>
    <row r="7287" spans="119:119" x14ac:dyDescent="0.2">
      <c r="DO7287" s="303" t="s">
        <v>232</v>
      </c>
    </row>
    <row r="7288" spans="119:119" x14ac:dyDescent="0.2">
      <c r="DO7288" s="303" t="s">
        <v>232</v>
      </c>
    </row>
    <row r="7289" spans="119:119" x14ac:dyDescent="0.2">
      <c r="DO7289" s="303" t="s">
        <v>232</v>
      </c>
    </row>
    <row r="7290" spans="119:119" x14ac:dyDescent="0.2">
      <c r="DO7290" s="303" t="s">
        <v>232</v>
      </c>
    </row>
    <row r="7291" spans="119:119" x14ac:dyDescent="0.2">
      <c r="DO7291" s="303" t="s">
        <v>232</v>
      </c>
    </row>
    <row r="7292" spans="119:119" x14ac:dyDescent="0.2">
      <c r="DO7292" s="303" t="s">
        <v>232</v>
      </c>
    </row>
    <row r="7293" spans="119:119" x14ac:dyDescent="0.2">
      <c r="DO7293" s="303" t="s">
        <v>232</v>
      </c>
    </row>
    <row r="7294" spans="119:119" x14ac:dyDescent="0.2">
      <c r="DO7294" s="303" t="s">
        <v>232</v>
      </c>
    </row>
    <row r="7295" spans="119:119" x14ac:dyDescent="0.2">
      <c r="DO7295" s="303" t="s">
        <v>232</v>
      </c>
    </row>
    <row r="7296" spans="119:119" x14ac:dyDescent="0.2">
      <c r="DO7296" s="303" t="s">
        <v>232</v>
      </c>
    </row>
    <row r="7297" spans="119:119" x14ac:dyDescent="0.2">
      <c r="DO7297" s="303" t="s">
        <v>232</v>
      </c>
    </row>
    <row r="7298" spans="119:119" x14ac:dyDescent="0.2">
      <c r="DO7298" s="303" t="s">
        <v>232</v>
      </c>
    </row>
    <row r="7299" spans="119:119" x14ac:dyDescent="0.2">
      <c r="DO7299" s="303" t="s">
        <v>232</v>
      </c>
    </row>
    <row r="7300" spans="119:119" x14ac:dyDescent="0.2">
      <c r="DO7300" s="303" t="s">
        <v>232</v>
      </c>
    </row>
    <row r="7301" spans="119:119" x14ac:dyDescent="0.2">
      <c r="DO7301" s="303" t="s">
        <v>232</v>
      </c>
    </row>
    <row r="7302" spans="119:119" x14ac:dyDescent="0.2">
      <c r="DO7302" s="303" t="s">
        <v>232</v>
      </c>
    </row>
    <row r="7303" spans="119:119" x14ac:dyDescent="0.2">
      <c r="DO7303" s="303" t="s">
        <v>232</v>
      </c>
    </row>
    <row r="7304" spans="119:119" x14ac:dyDescent="0.2">
      <c r="DO7304" s="303" t="s">
        <v>232</v>
      </c>
    </row>
    <row r="7305" spans="119:119" x14ac:dyDescent="0.2">
      <c r="DO7305" s="303" t="s">
        <v>232</v>
      </c>
    </row>
    <row r="7306" spans="119:119" x14ac:dyDescent="0.2">
      <c r="DO7306" s="303" t="s">
        <v>232</v>
      </c>
    </row>
    <row r="7307" spans="119:119" x14ac:dyDescent="0.2">
      <c r="DO7307" s="303" t="s">
        <v>232</v>
      </c>
    </row>
    <row r="7308" spans="119:119" x14ac:dyDescent="0.2">
      <c r="DO7308" s="303" t="s">
        <v>232</v>
      </c>
    </row>
    <row r="7309" spans="119:119" x14ac:dyDescent="0.2">
      <c r="DO7309" s="303" t="s">
        <v>232</v>
      </c>
    </row>
    <row r="7310" spans="119:119" x14ac:dyDescent="0.2">
      <c r="DO7310" s="303" t="s">
        <v>232</v>
      </c>
    </row>
    <row r="7311" spans="119:119" x14ac:dyDescent="0.2">
      <c r="DO7311" s="303" t="s">
        <v>232</v>
      </c>
    </row>
    <row r="7312" spans="119:119" x14ac:dyDescent="0.2">
      <c r="DO7312" s="303" t="s">
        <v>232</v>
      </c>
    </row>
    <row r="7313" spans="119:119" x14ac:dyDescent="0.2">
      <c r="DO7313" s="303" t="s">
        <v>232</v>
      </c>
    </row>
    <row r="7314" spans="119:119" x14ac:dyDescent="0.2">
      <c r="DO7314" s="303" t="s">
        <v>232</v>
      </c>
    </row>
    <row r="7315" spans="119:119" x14ac:dyDescent="0.2">
      <c r="DO7315" s="303" t="s">
        <v>232</v>
      </c>
    </row>
    <row r="7316" spans="119:119" x14ac:dyDescent="0.2">
      <c r="DO7316" s="303" t="s">
        <v>232</v>
      </c>
    </row>
    <row r="7317" spans="119:119" x14ac:dyDescent="0.2">
      <c r="DO7317" s="303" t="s">
        <v>232</v>
      </c>
    </row>
    <row r="7318" spans="119:119" x14ac:dyDescent="0.2">
      <c r="DO7318" s="303" t="s">
        <v>232</v>
      </c>
    </row>
    <row r="7319" spans="119:119" x14ac:dyDescent="0.2">
      <c r="DO7319" s="303" t="s">
        <v>232</v>
      </c>
    </row>
    <row r="7320" spans="119:119" x14ac:dyDescent="0.2">
      <c r="DO7320" s="303" t="s">
        <v>232</v>
      </c>
    </row>
    <row r="7321" spans="119:119" x14ac:dyDescent="0.2">
      <c r="DO7321" s="303" t="s">
        <v>232</v>
      </c>
    </row>
    <row r="7322" spans="119:119" x14ac:dyDescent="0.2">
      <c r="DO7322" s="303" t="s">
        <v>232</v>
      </c>
    </row>
    <row r="7323" spans="119:119" x14ac:dyDescent="0.2">
      <c r="DO7323" s="303" t="s">
        <v>232</v>
      </c>
    </row>
    <row r="7324" spans="119:119" x14ac:dyDescent="0.2">
      <c r="DO7324" s="303" t="s">
        <v>232</v>
      </c>
    </row>
    <row r="7325" spans="119:119" x14ac:dyDescent="0.2">
      <c r="DO7325" s="303" t="s">
        <v>232</v>
      </c>
    </row>
    <row r="7326" spans="119:119" x14ac:dyDescent="0.2">
      <c r="DO7326" s="303" t="s">
        <v>232</v>
      </c>
    </row>
    <row r="7327" spans="119:119" x14ac:dyDescent="0.2">
      <c r="DO7327" s="303" t="s">
        <v>232</v>
      </c>
    </row>
    <row r="7328" spans="119:119" x14ac:dyDescent="0.2">
      <c r="DO7328" s="303" t="s">
        <v>232</v>
      </c>
    </row>
    <row r="7329" spans="119:119" x14ac:dyDescent="0.2">
      <c r="DO7329" s="303" t="s">
        <v>232</v>
      </c>
    </row>
    <row r="7330" spans="119:119" x14ac:dyDescent="0.2">
      <c r="DO7330" s="303" t="s">
        <v>232</v>
      </c>
    </row>
    <row r="7331" spans="119:119" x14ac:dyDescent="0.2">
      <c r="DO7331" s="303" t="s">
        <v>232</v>
      </c>
    </row>
    <row r="7332" spans="119:119" x14ac:dyDescent="0.2">
      <c r="DO7332" s="303" t="s">
        <v>232</v>
      </c>
    </row>
    <row r="7333" spans="119:119" x14ac:dyDescent="0.2">
      <c r="DO7333" s="303" t="s">
        <v>232</v>
      </c>
    </row>
    <row r="7334" spans="119:119" x14ac:dyDescent="0.2">
      <c r="DO7334" s="303" t="s">
        <v>232</v>
      </c>
    </row>
    <row r="7335" spans="119:119" x14ac:dyDescent="0.2">
      <c r="DO7335" s="303" t="s">
        <v>232</v>
      </c>
    </row>
    <row r="7336" spans="119:119" x14ac:dyDescent="0.2">
      <c r="DO7336" s="303" t="s">
        <v>232</v>
      </c>
    </row>
    <row r="7337" spans="119:119" x14ac:dyDescent="0.2">
      <c r="DO7337" s="303" t="s">
        <v>232</v>
      </c>
    </row>
    <row r="7338" spans="119:119" x14ac:dyDescent="0.2">
      <c r="DO7338" s="303" t="s">
        <v>232</v>
      </c>
    </row>
    <row r="7339" spans="119:119" x14ac:dyDescent="0.2">
      <c r="DO7339" s="303" t="s">
        <v>232</v>
      </c>
    </row>
    <row r="7340" spans="119:119" x14ac:dyDescent="0.2">
      <c r="DO7340" s="303" t="s">
        <v>232</v>
      </c>
    </row>
    <row r="7341" spans="119:119" x14ac:dyDescent="0.2">
      <c r="DO7341" s="303" t="s">
        <v>232</v>
      </c>
    </row>
    <row r="7342" spans="119:119" x14ac:dyDescent="0.2">
      <c r="DO7342" s="303" t="s">
        <v>232</v>
      </c>
    </row>
    <row r="7343" spans="119:119" x14ac:dyDescent="0.2">
      <c r="DO7343" s="303" t="s">
        <v>232</v>
      </c>
    </row>
    <row r="7344" spans="119:119" x14ac:dyDescent="0.2">
      <c r="DO7344" s="303" t="s">
        <v>232</v>
      </c>
    </row>
    <row r="7345" spans="119:119" x14ac:dyDescent="0.2">
      <c r="DO7345" s="303" t="s">
        <v>232</v>
      </c>
    </row>
    <row r="7346" spans="119:119" x14ac:dyDescent="0.2">
      <c r="DO7346" s="303" t="s">
        <v>232</v>
      </c>
    </row>
    <row r="7347" spans="119:119" x14ac:dyDescent="0.2">
      <c r="DO7347" s="303" t="s">
        <v>232</v>
      </c>
    </row>
    <row r="7348" spans="119:119" x14ac:dyDescent="0.2">
      <c r="DO7348" s="303" t="s">
        <v>232</v>
      </c>
    </row>
    <row r="7349" spans="119:119" x14ac:dyDescent="0.2">
      <c r="DO7349" s="303" t="s">
        <v>232</v>
      </c>
    </row>
    <row r="7350" spans="119:119" x14ac:dyDescent="0.2">
      <c r="DO7350" s="303" t="s">
        <v>232</v>
      </c>
    </row>
    <row r="7351" spans="119:119" x14ac:dyDescent="0.2">
      <c r="DO7351" s="303" t="s">
        <v>232</v>
      </c>
    </row>
    <row r="7352" spans="119:119" x14ac:dyDescent="0.2">
      <c r="DO7352" s="303" t="s">
        <v>232</v>
      </c>
    </row>
    <row r="7353" spans="119:119" x14ac:dyDescent="0.2">
      <c r="DO7353" s="303" t="s">
        <v>232</v>
      </c>
    </row>
    <row r="7354" spans="119:119" x14ac:dyDescent="0.2">
      <c r="DO7354" s="303" t="s">
        <v>232</v>
      </c>
    </row>
    <row r="7355" spans="119:119" x14ac:dyDescent="0.2">
      <c r="DO7355" s="303" t="s">
        <v>232</v>
      </c>
    </row>
    <row r="7356" spans="119:119" x14ac:dyDescent="0.2">
      <c r="DO7356" s="303" t="s">
        <v>232</v>
      </c>
    </row>
    <row r="7357" spans="119:119" x14ac:dyDescent="0.2">
      <c r="DO7357" s="303" t="s">
        <v>232</v>
      </c>
    </row>
    <row r="7358" spans="119:119" x14ac:dyDescent="0.2">
      <c r="DO7358" s="303" t="s">
        <v>232</v>
      </c>
    </row>
    <row r="7359" spans="119:119" x14ac:dyDescent="0.2">
      <c r="DO7359" s="303" t="s">
        <v>232</v>
      </c>
    </row>
    <row r="7360" spans="119:119" x14ac:dyDescent="0.2">
      <c r="DO7360" s="303" t="s">
        <v>232</v>
      </c>
    </row>
    <row r="7361" spans="119:119" x14ac:dyDescent="0.2">
      <c r="DO7361" s="303" t="s">
        <v>232</v>
      </c>
    </row>
    <row r="7362" spans="119:119" x14ac:dyDescent="0.2">
      <c r="DO7362" s="303" t="s">
        <v>232</v>
      </c>
    </row>
    <row r="7363" spans="119:119" x14ac:dyDescent="0.2">
      <c r="DO7363" s="303" t="s">
        <v>232</v>
      </c>
    </row>
    <row r="7364" spans="119:119" x14ac:dyDescent="0.2">
      <c r="DO7364" s="303" t="s">
        <v>232</v>
      </c>
    </row>
    <row r="7365" spans="119:119" x14ac:dyDescent="0.2">
      <c r="DO7365" s="303" t="s">
        <v>232</v>
      </c>
    </row>
    <row r="7366" spans="119:119" x14ac:dyDescent="0.2">
      <c r="DO7366" s="303" t="s">
        <v>232</v>
      </c>
    </row>
    <row r="7367" spans="119:119" x14ac:dyDescent="0.2">
      <c r="DO7367" s="303" t="s">
        <v>232</v>
      </c>
    </row>
    <row r="7368" spans="119:119" x14ac:dyDescent="0.2">
      <c r="DO7368" s="303" t="s">
        <v>232</v>
      </c>
    </row>
    <row r="7369" spans="119:119" x14ac:dyDescent="0.2">
      <c r="DO7369" s="303" t="s">
        <v>232</v>
      </c>
    </row>
    <row r="7370" spans="119:119" x14ac:dyDescent="0.2">
      <c r="DO7370" s="303" t="s">
        <v>232</v>
      </c>
    </row>
    <row r="7371" spans="119:119" x14ac:dyDescent="0.2">
      <c r="DO7371" s="303" t="s">
        <v>232</v>
      </c>
    </row>
    <row r="7372" spans="119:119" x14ac:dyDescent="0.2">
      <c r="DO7372" s="303" t="s">
        <v>232</v>
      </c>
    </row>
    <row r="7373" spans="119:119" x14ac:dyDescent="0.2">
      <c r="DO7373" s="303" t="s">
        <v>232</v>
      </c>
    </row>
    <row r="7374" spans="119:119" x14ac:dyDescent="0.2">
      <c r="DO7374" s="303" t="s">
        <v>232</v>
      </c>
    </row>
    <row r="7375" spans="119:119" x14ac:dyDescent="0.2">
      <c r="DO7375" s="303" t="s">
        <v>232</v>
      </c>
    </row>
    <row r="7376" spans="119:119" x14ac:dyDescent="0.2">
      <c r="DO7376" s="303" t="s">
        <v>232</v>
      </c>
    </row>
    <row r="7377" spans="119:119" x14ac:dyDescent="0.2">
      <c r="DO7377" s="303" t="s">
        <v>232</v>
      </c>
    </row>
    <row r="7378" spans="119:119" x14ac:dyDescent="0.2">
      <c r="DO7378" s="303" t="s">
        <v>232</v>
      </c>
    </row>
    <row r="7379" spans="119:119" x14ac:dyDescent="0.2">
      <c r="DO7379" s="303" t="s">
        <v>232</v>
      </c>
    </row>
    <row r="7380" spans="119:119" x14ac:dyDescent="0.2">
      <c r="DO7380" s="303" t="s">
        <v>232</v>
      </c>
    </row>
    <row r="7381" spans="119:119" x14ac:dyDescent="0.2">
      <c r="DO7381" s="303" t="s">
        <v>232</v>
      </c>
    </row>
    <row r="7382" spans="119:119" x14ac:dyDescent="0.2">
      <c r="DO7382" s="303" t="s">
        <v>232</v>
      </c>
    </row>
    <row r="7383" spans="119:119" x14ac:dyDescent="0.2">
      <c r="DO7383" s="303" t="s">
        <v>232</v>
      </c>
    </row>
    <row r="7384" spans="119:119" x14ac:dyDescent="0.2">
      <c r="DO7384" s="303" t="s">
        <v>232</v>
      </c>
    </row>
    <row r="7385" spans="119:119" x14ac:dyDescent="0.2">
      <c r="DO7385" s="303" t="s">
        <v>232</v>
      </c>
    </row>
    <row r="7386" spans="119:119" x14ac:dyDescent="0.2">
      <c r="DO7386" s="303" t="s">
        <v>232</v>
      </c>
    </row>
    <row r="7387" spans="119:119" x14ac:dyDescent="0.2">
      <c r="DO7387" s="303" t="s">
        <v>232</v>
      </c>
    </row>
    <row r="7388" spans="119:119" x14ac:dyDescent="0.2">
      <c r="DO7388" s="303" t="s">
        <v>232</v>
      </c>
    </row>
    <row r="7389" spans="119:119" x14ac:dyDescent="0.2">
      <c r="DO7389" s="303" t="s">
        <v>232</v>
      </c>
    </row>
    <row r="7390" spans="119:119" x14ac:dyDescent="0.2">
      <c r="DO7390" s="303" t="s">
        <v>232</v>
      </c>
    </row>
    <row r="7391" spans="119:119" x14ac:dyDescent="0.2">
      <c r="DO7391" s="303" t="s">
        <v>232</v>
      </c>
    </row>
    <row r="7392" spans="119:119" x14ac:dyDescent="0.2">
      <c r="DO7392" s="303" t="s">
        <v>232</v>
      </c>
    </row>
    <row r="7393" spans="119:119" x14ac:dyDescent="0.2">
      <c r="DO7393" s="303" t="s">
        <v>232</v>
      </c>
    </row>
    <row r="7394" spans="119:119" x14ac:dyDescent="0.2">
      <c r="DO7394" s="303" t="s">
        <v>232</v>
      </c>
    </row>
    <row r="7395" spans="119:119" x14ac:dyDescent="0.2">
      <c r="DO7395" s="303" t="s">
        <v>232</v>
      </c>
    </row>
    <row r="7396" spans="119:119" x14ac:dyDescent="0.2">
      <c r="DO7396" s="303" t="s">
        <v>232</v>
      </c>
    </row>
    <row r="7397" spans="119:119" x14ac:dyDescent="0.2">
      <c r="DO7397" s="303" t="s">
        <v>232</v>
      </c>
    </row>
    <row r="7398" spans="119:119" x14ac:dyDescent="0.2">
      <c r="DO7398" s="303" t="s">
        <v>232</v>
      </c>
    </row>
    <row r="7399" spans="119:119" x14ac:dyDescent="0.2">
      <c r="DO7399" s="303" t="s">
        <v>232</v>
      </c>
    </row>
    <row r="7400" spans="119:119" x14ac:dyDescent="0.2">
      <c r="DO7400" s="303" t="s">
        <v>232</v>
      </c>
    </row>
    <row r="7401" spans="119:119" x14ac:dyDescent="0.2">
      <c r="DO7401" s="303" t="s">
        <v>232</v>
      </c>
    </row>
    <row r="7402" spans="119:119" x14ac:dyDescent="0.2">
      <c r="DO7402" s="303" t="s">
        <v>232</v>
      </c>
    </row>
    <row r="7403" spans="119:119" x14ac:dyDescent="0.2">
      <c r="DO7403" s="303" t="s">
        <v>232</v>
      </c>
    </row>
    <row r="7404" spans="119:119" x14ac:dyDescent="0.2">
      <c r="DO7404" s="303" t="s">
        <v>232</v>
      </c>
    </row>
    <row r="7405" spans="119:119" x14ac:dyDescent="0.2">
      <c r="DO7405" s="303" t="s">
        <v>232</v>
      </c>
    </row>
    <row r="7406" spans="119:119" x14ac:dyDescent="0.2">
      <c r="DO7406" s="303" t="s">
        <v>232</v>
      </c>
    </row>
    <row r="7407" spans="119:119" x14ac:dyDescent="0.2">
      <c r="DO7407" s="303" t="s">
        <v>232</v>
      </c>
    </row>
    <row r="7408" spans="119:119" x14ac:dyDescent="0.2">
      <c r="DO7408" s="303" t="s">
        <v>232</v>
      </c>
    </row>
    <row r="7409" spans="119:119" x14ac:dyDescent="0.2">
      <c r="DO7409" s="303" t="s">
        <v>232</v>
      </c>
    </row>
    <row r="7410" spans="119:119" x14ac:dyDescent="0.2">
      <c r="DO7410" s="303" t="s">
        <v>232</v>
      </c>
    </row>
    <row r="7411" spans="119:119" x14ac:dyDescent="0.2">
      <c r="DO7411" s="303" t="s">
        <v>232</v>
      </c>
    </row>
    <row r="7412" spans="119:119" x14ac:dyDescent="0.2">
      <c r="DO7412" s="303" t="s">
        <v>232</v>
      </c>
    </row>
    <row r="7413" spans="119:119" x14ac:dyDescent="0.2">
      <c r="DO7413" s="303" t="s">
        <v>232</v>
      </c>
    </row>
    <row r="7414" spans="119:119" x14ac:dyDescent="0.2">
      <c r="DO7414" s="303" t="s">
        <v>232</v>
      </c>
    </row>
    <row r="7415" spans="119:119" x14ac:dyDescent="0.2">
      <c r="DO7415" s="303" t="s">
        <v>232</v>
      </c>
    </row>
    <row r="7416" spans="119:119" x14ac:dyDescent="0.2">
      <c r="DO7416" s="303" t="s">
        <v>232</v>
      </c>
    </row>
    <row r="7417" spans="119:119" x14ac:dyDescent="0.2">
      <c r="DO7417" s="303" t="s">
        <v>232</v>
      </c>
    </row>
    <row r="7418" spans="119:119" x14ac:dyDescent="0.2">
      <c r="DO7418" s="303" t="s">
        <v>232</v>
      </c>
    </row>
    <row r="7419" spans="119:119" x14ac:dyDescent="0.2">
      <c r="DO7419" s="303" t="s">
        <v>232</v>
      </c>
    </row>
    <row r="7420" spans="119:119" x14ac:dyDescent="0.2">
      <c r="DO7420" s="303" t="s">
        <v>232</v>
      </c>
    </row>
    <row r="7421" spans="119:119" x14ac:dyDescent="0.2">
      <c r="DO7421" s="303" t="s">
        <v>232</v>
      </c>
    </row>
    <row r="7422" spans="119:119" x14ac:dyDescent="0.2">
      <c r="DO7422" s="303" t="s">
        <v>232</v>
      </c>
    </row>
    <row r="7423" spans="119:119" x14ac:dyDescent="0.2">
      <c r="DO7423" s="303" t="s">
        <v>232</v>
      </c>
    </row>
    <row r="7424" spans="119:119" x14ac:dyDescent="0.2">
      <c r="DO7424" s="303" t="s">
        <v>232</v>
      </c>
    </row>
    <row r="7425" spans="119:119" x14ac:dyDescent="0.2">
      <c r="DO7425" s="303" t="s">
        <v>232</v>
      </c>
    </row>
    <row r="7426" spans="119:119" x14ac:dyDescent="0.2">
      <c r="DO7426" s="303" t="s">
        <v>232</v>
      </c>
    </row>
    <row r="7427" spans="119:119" x14ac:dyDescent="0.2">
      <c r="DO7427" s="303" t="s">
        <v>232</v>
      </c>
    </row>
    <row r="7428" spans="119:119" x14ac:dyDescent="0.2">
      <c r="DO7428" s="303" t="s">
        <v>232</v>
      </c>
    </row>
    <row r="7429" spans="119:119" x14ac:dyDescent="0.2">
      <c r="DO7429" s="303" t="s">
        <v>232</v>
      </c>
    </row>
    <row r="7430" spans="119:119" x14ac:dyDescent="0.2">
      <c r="DO7430" s="303" t="s">
        <v>232</v>
      </c>
    </row>
    <row r="7431" spans="119:119" x14ac:dyDescent="0.2">
      <c r="DO7431" s="303" t="s">
        <v>232</v>
      </c>
    </row>
    <row r="7432" spans="119:119" x14ac:dyDescent="0.2">
      <c r="DO7432" s="303" t="s">
        <v>232</v>
      </c>
    </row>
    <row r="7433" spans="119:119" x14ac:dyDescent="0.2">
      <c r="DO7433" s="303" t="s">
        <v>232</v>
      </c>
    </row>
    <row r="7434" spans="119:119" x14ac:dyDescent="0.2">
      <c r="DO7434" s="303" t="s">
        <v>232</v>
      </c>
    </row>
    <row r="7435" spans="119:119" x14ac:dyDescent="0.2">
      <c r="DO7435" s="303" t="s">
        <v>232</v>
      </c>
    </row>
    <row r="7436" spans="119:119" x14ac:dyDescent="0.2">
      <c r="DO7436" s="303" t="s">
        <v>232</v>
      </c>
    </row>
    <row r="7437" spans="119:119" x14ac:dyDescent="0.2">
      <c r="DO7437" s="303" t="s">
        <v>232</v>
      </c>
    </row>
    <row r="7438" spans="119:119" x14ac:dyDescent="0.2">
      <c r="DO7438" s="303" t="s">
        <v>232</v>
      </c>
    </row>
    <row r="7439" spans="119:119" x14ac:dyDescent="0.2">
      <c r="DO7439" s="303" t="s">
        <v>232</v>
      </c>
    </row>
    <row r="7440" spans="119:119" x14ac:dyDescent="0.2">
      <c r="DO7440" s="303" t="s">
        <v>232</v>
      </c>
    </row>
    <row r="7441" spans="119:119" x14ac:dyDescent="0.2">
      <c r="DO7441" s="303" t="s">
        <v>232</v>
      </c>
    </row>
    <row r="7442" spans="119:119" x14ac:dyDescent="0.2">
      <c r="DO7442" s="303" t="s">
        <v>232</v>
      </c>
    </row>
    <row r="7443" spans="119:119" x14ac:dyDescent="0.2">
      <c r="DO7443" s="303" t="s">
        <v>232</v>
      </c>
    </row>
    <row r="7444" spans="119:119" x14ac:dyDescent="0.2">
      <c r="DO7444" s="303" t="s">
        <v>232</v>
      </c>
    </row>
    <row r="7445" spans="119:119" x14ac:dyDescent="0.2">
      <c r="DO7445" s="303" t="s">
        <v>232</v>
      </c>
    </row>
    <row r="7446" spans="119:119" x14ac:dyDescent="0.2">
      <c r="DO7446" s="303" t="s">
        <v>232</v>
      </c>
    </row>
    <row r="7447" spans="119:119" x14ac:dyDescent="0.2">
      <c r="DO7447" s="303" t="s">
        <v>232</v>
      </c>
    </row>
    <row r="7448" spans="119:119" x14ac:dyDescent="0.2">
      <c r="DO7448" s="303" t="s">
        <v>232</v>
      </c>
    </row>
    <row r="7449" spans="119:119" x14ac:dyDescent="0.2">
      <c r="DO7449" s="303" t="s">
        <v>232</v>
      </c>
    </row>
    <row r="7450" spans="119:119" x14ac:dyDescent="0.2">
      <c r="DO7450" s="303" t="s">
        <v>232</v>
      </c>
    </row>
    <row r="7451" spans="119:119" x14ac:dyDescent="0.2">
      <c r="DO7451" s="303" t="s">
        <v>232</v>
      </c>
    </row>
    <row r="7452" spans="119:119" x14ac:dyDescent="0.2">
      <c r="DO7452" s="303" t="s">
        <v>232</v>
      </c>
    </row>
    <row r="7453" spans="119:119" x14ac:dyDescent="0.2">
      <c r="DO7453" s="303" t="s">
        <v>232</v>
      </c>
    </row>
    <row r="7454" spans="119:119" x14ac:dyDescent="0.2">
      <c r="DO7454" s="303" t="s">
        <v>232</v>
      </c>
    </row>
    <row r="7455" spans="119:119" x14ac:dyDescent="0.2">
      <c r="DO7455" s="303" t="s">
        <v>232</v>
      </c>
    </row>
    <row r="7456" spans="119:119" x14ac:dyDescent="0.2">
      <c r="DO7456" s="303" t="s">
        <v>232</v>
      </c>
    </row>
    <row r="7457" spans="119:119" x14ac:dyDescent="0.2">
      <c r="DO7457" s="303" t="s">
        <v>232</v>
      </c>
    </row>
    <row r="7458" spans="119:119" x14ac:dyDescent="0.2">
      <c r="DO7458" s="303" t="s">
        <v>232</v>
      </c>
    </row>
    <row r="7459" spans="119:119" x14ac:dyDescent="0.2">
      <c r="DO7459" s="303" t="s">
        <v>232</v>
      </c>
    </row>
    <row r="7460" spans="119:119" x14ac:dyDescent="0.2">
      <c r="DO7460" s="303" t="s">
        <v>232</v>
      </c>
    </row>
    <row r="7461" spans="119:119" x14ac:dyDescent="0.2">
      <c r="DO7461" s="303" t="s">
        <v>232</v>
      </c>
    </row>
    <row r="7462" spans="119:119" x14ac:dyDescent="0.2">
      <c r="DO7462" s="303" t="s">
        <v>232</v>
      </c>
    </row>
    <row r="7463" spans="119:119" x14ac:dyDescent="0.2">
      <c r="DO7463" s="303" t="s">
        <v>232</v>
      </c>
    </row>
    <row r="7464" spans="119:119" x14ac:dyDescent="0.2">
      <c r="DO7464" s="303" t="s">
        <v>232</v>
      </c>
    </row>
    <row r="7465" spans="119:119" x14ac:dyDescent="0.2">
      <c r="DO7465" s="303" t="s">
        <v>232</v>
      </c>
    </row>
    <row r="7466" spans="119:119" x14ac:dyDescent="0.2">
      <c r="DO7466" s="303" t="s">
        <v>232</v>
      </c>
    </row>
    <row r="7467" spans="119:119" x14ac:dyDescent="0.2">
      <c r="DO7467" s="303" t="s">
        <v>232</v>
      </c>
    </row>
    <row r="7468" spans="119:119" x14ac:dyDescent="0.2">
      <c r="DO7468" s="303" t="s">
        <v>232</v>
      </c>
    </row>
    <row r="7469" spans="119:119" x14ac:dyDescent="0.2">
      <c r="DO7469" s="303" t="s">
        <v>232</v>
      </c>
    </row>
    <row r="7470" spans="119:119" x14ac:dyDescent="0.2">
      <c r="DO7470" s="303" t="s">
        <v>232</v>
      </c>
    </row>
    <row r="7471" spans="119:119" x14ac:dyDescent="0.2">
      <c r="DO7471" s="303" t="s">
        <v>232</v>
      </c>
    </row>
    <row r="7472" spans="119:119" x14ac:dyDescent="0.2">
      <c r="DO7472" s="303" t="s">
        <v>232</v>
      </c>
    </row>
    <row r="7473" spans="119:119" x14ac:dyDescent="0.2">
      <c r="DO7473" s="303" t="s">
        <v>232</v>
      </c>
    </row>
    <row r="7474" spans="119:119" x14ac:dyDescent="0.2">
      <c r="DO7474" s="303" t="s">
        <v>232</v>
      </c>
    </row>
    <row r="7475" spans="119:119" x14ac:dyDescent="0.2">
      <c r="DO7475" s="303" t="s">
        <v>232</v>
      </c>
    </row>
    <row r="7476" spans="119:119" x14ac:dyDescent="0.2">
      <c r="DO7476" s="303" t="s">
        <v>232</v>
      </c>
    </row>
    <row r="7477" spans="119:119" x14ac:dyDescent="0.2">
      <c r="DO7477" s="303" t="s">
        <v>232</v>
      </c>
    </row>
    <row r="7478" spans="119:119" x14ac:dyDescent="0.2">
      <c r="DO7478" s="303" t="s">
        <v>232</v>
      </c>
    </row>
    <row r="7479" spans="119:119" x14ac:dyDescent="0.2">
      <c r="DO7479" s="303" t="s">
        <v>232</v>
      </c>
    </row>
    <row r="7480" spans="119:119" x14ac:dyDescent="0.2">
      <c r="DO7480" s="303" t="s">
        <v>232</v>
      </c>
    </row>
    <row r="7481" spans="119:119" x14ac:dyDescent="0.2">
      <c r="DO7481" s="303" t="s">
        <v>232</v>
      </c>
    </row>
    <row r="7482" spans="119:119" x14ac:dyDescent="0.2">
      <c r="DO7482" s="303" t="s">
        <v>232</v>
      </c>
    </row>
    <row r="7483" spans="119:119" x14ac:dyDescent="0.2">
      <c r="DO7483" s="303" t="s">
        <v>232</v>
      </c>
    </row>
    <row r="7484" spans="119:119" x14ac:dyDescent="0.2">
      <c r="DO7484" s="303" t="s">
        <v>232</v>
      </c>
    </row>
    <row r="7485" spans="119:119" x14ac:dyDescent="0.2">
      <c r="DO7485" s="303" t="s">
        <v>232</v>
      </c>
    </row>
    <row r="7486" spans="119:119" x14ac:dyDescent="0.2">
      <c r="DO7486" s="303" t="s">
        <v>232</v>
      </c>
    </row>
    <row r="7487" spans="119:119" x14ac:dyDescent="0.2">
      <c r="DO7487" s="303" t="s">
        <v>232</v>
      </c>
    </row>
    <row r="7488" spans="119:119" x14ac:dyDescent="0.2">
      <c r="DO7488" s="303" t="s">
        <v>232</v>
      </c>
    </row>
    <row r="7489" spans="119:119" x14ac:dyDescent="0.2">
      <c r="DO7489" s="303" t="s">
        <v>232</v>
      </c>
    </row>
    <row r="7490" spans="119:119" x14ac:dyDescent="0.2">
      <c r="DO7490" s="303" t="s">
        <v>232</v>
      </c>
    </row>
    <row r="7491" spans="119:119" x14ac:dyDescent="0.2">
      <c r="DO7491" s="303" t="s">
        <v>232</v>
      </c>
    </row>
    <row r="7492" spans="119:119" x14ac:dyDescent="0.2">
      <c r="DO7492" s="303" t="s">
        <v>232</v>
      </c>
    </row>
    <row r="7493" spans="119:119" x14ac:dyDescent="0.2">
      <c r="DO7493" s="303" t="s">
        <v>232</v>
      </c>
    </row>
    <row r="7494" spans="119:119" x14ac:dyDescent="0.2">
      <c r="DO7494" s="303" t="s">
        <v>232</v>
      </c>
    </row>
    <row r="7495" spans="119:119" x14ac:dyDescent="0.2">
      <c r="DO7495" s="303" t="s">
        <v>232</v>
      </c>
    </row>
    <row r="7496" spans="119:119" x14ac:dyDescent="0.2">
      <c r="DO7496" s="303" t="s">
        <v>232</v>
      </c>
    </row>
    <row r="7497" spans="119:119" x14ac:dyDescent="0.2">
      <c r="DO7497" s="303" t="s">
        <v>232</v>
      </c>
    </row>
    <row r="7498" spans="119:119" x14ac:dyDescent="0.2">
      <c r="DO7498" s="303" t="s">
        <v>232</v>
      </c>
    </row>
    <row r="7499" spans="119:119" x14ac:dyDescent="0.2">
      <c r="DO7499" s="303" t="s">
        <v>232</v>
      </c>
    </row>
    <row r="7500" spans="119:119" x14ac:dyDescent="0.2">
      <c r="DO7500" s="303" t="s">
        <v>232</v>
      </c>
    </row>
    <row r="7501" spans="119:119" x14ac:dyDescent="0.2">
      <c r="DO7501" s="303" t="s">
        <v>232</v>
      </c>
    </row>
    <row r="7502" spans="119:119" x14ac:dyDescent="0.2">
      <c r="DO7502" s="303" t="s">
        <v>232</v>
      </c>
    </row>
    <row r="7503" spans="119:119" x14ac:dyDescent="0.2">
      <c r="DO7503" s="303" t="s">
        <v>232</v>
      </c>
    </row>
    <row r="7504" spans="119:119" x14ac:dyDescent="0.2">
      <c r="DO7504" s="303" t="s">
        <v>232</v>
      </c>
    </row>
    <row r="7505" spans="119:119" x14ac:dyDescent="0.2">
      <c r="DO7505" s="303" t="s">
        <v>232</v>
      </c>
    </row>
    <row r="7506" spans="119:119" x14ac:dyDescent="0.2">
      <c r="DO7506" s="303" t="s">
        <v>232</v>
      </c>
    </row>
    <row r="7507" spans="119:119" x14ac:dyDescent="0.2">
      <c r="DO7507" s="303" t="s">
        <v>232</v>
      </c>
    </row>
    <row r="7508" spans="119:119" x14ac:dyDescent="0.2">
      <c r="DO7508" s="303" t="s">
        <v>232</v>
      </c>
    </row>
    <row r="7509" spans="119:119" x14ac:dyDescent="0.2">
      <c r="DO7509" s="303" t="s">
        <v>232</v>
      </c>
    </row>
    <row r="7510" spans="119:119" x14ac:dyDescent="0.2">
      <c r="DO7510" s="303" t="s">
        <v>232</v>
      </c>
    </row>
    <row r="7511" spans="119:119" x14ac:dyDescent="0.2">
      <c r="DO7511" s="303" t="s">
        <v>232</v>
      </c>
    </row>
    <row r="7512" spans="119:119" x14ac:dyDescent="0.2">
      <c r="DO7512" s="303" t="s">
        <v>232</v>
      </c>
    </row>
    <row r="7513" spans="119:119" x14ac:dyDescent="0.2">
      <c r="DO7513" s="303" t="s">
        <v>232</v>
      </c>
    </row>
    <row r="7514" spans="119:119" x14ac:dyDescent="0.2">
      <c r="DO7514" s="303" t="s">
        <v>232</v>
      </c>
    </row>
    <row r="7515" spans="119:119" x14ac:dyDescent="0.2">
      <c r="DO7515" s="303" t="s">
        <v>232</v>
      </c>
    </row>
    <row r="7516" spans="119:119" x14ac:dyDescent="0.2">
      <c r="DO7516" s="303" t="s">
        <v>232</v>
      </c>
    </row>
    <row r="7517" spans="119:119" x14ac:dyDescent="0.2">
      <c r="DO7517" s="303" t="s">
        <v>232</v>
      </c>
    </row>
    <row r="7518" spans="119:119" x14ac:dyDescent="0.2">
      <c r="DO7518" s="303" t="s">
        <v>232</v>
      </c>
    </row>
    <row r="7519" spans="119:119" x14ac:dyDescent="0.2">
      <c r="DO7519" s="303" t="s">
        <v>232</v>
      </c>
    </row>
    <row r="7520" spans="119:119" x14ac:dyDescent="0.2">
      <c r="DO7520" s="303" t="s">
        <v>232</v>
      </c>
    </row>
    <row r="7521" spans="119:119" x14ac:dyDescent="0.2">
      <c r="DO7521" s="303" t="s">
        <v>232</v>
      </c>
    </row>
    <row r="7522" spans="119:119" x14ac:dyDescent="0.2">
      <c r="DO7522" s="303" t="s">
        <v>232</v>
      </c>
    </row>
    <row r="7523" spans="119:119" x14ac:dyDescent="0.2">
      <c r="DO7523" s="303" t="s">
        <v>232</v>
      </c>
    </row>
    <row r="7524" spans="119:119" x14ac:dyDescent="0.2">
      <c r="DO7524" s="303" t="s">
        <v>232</v>
      </c>
    </row>
    <row r="7525" spans="119:119" x14ac:dyDescent="0.2">
      <c r="DO7525" s="303" t="s">
        <v>232</v>
      </c>
    </row>
    <row r="7526" spans="119:119" x14ac:dyDescent="0.2">
      <c r="DO7526" s="303" t="s">
        <v>232</v>
      </c>
    </row>
    <row r="7527" spans="119:119" x14ac:dyDescent="0.2">
      <c r="DO7527" s="303" t="s">
        <v>232</v>
      </c>
    </row>
    <row r="7528" spans="119:119" x14ac:dyDescent="0.2">
      <c r="DO7528" s="303" t="s">
        <v>232</v>
      </c>
    </row>
    <row r="7529" spans="119:119" x14ac:dyDescent="0.2">
      <c r="DO7529" s="303" t="s">
        <v>232</v>
      </c>
    </row>
    <row r="7530" spans="119:119" x14ac:dyDescent="0.2">
      <c r="DO7530" s="303" t="s">
        <v>232</v>
      </c>
    </row>
    <row r="7531" spans="119:119" x14ac:dyDescent="0.2">
      <c r="DO7531" s="303" t="s">
        <v>232</v>
      </c>
    </row>
    <row r="7532" spans="119:119" x14ac:dyDescent="0.2">
      <c r="DO7532" s="303" t="s">
        <v>232</v>
      </c>
    </row>
    <row r="7533" spans="119:119" x14ac:dyDescent="0.2">
      <c r="DO7533" s="303" t="s">
        <v>232</v>
      </c>
    </row>
    <row r="7534" spans="119:119" x14ac:dyDescent="0.2">
      <c r="DO7534" s="303" t="s">
        <v>232</v>
      </c>
    </row>
    <row r="7535" spans="119:119" x14ac:dyDescent="0.2">
      <c r="DO7535" s="303" t="s">
        <v>232</v>
      </c>
    </row>
    <row r="7536" spans="119:119" x14ac:dyDescent="0.2">
      <c r="DO7536" s="303" t="s">
        <v>232</v>
      </c>
    </row>
    <row r="7537" spans="119:119" x14ac:dyDescent="0.2">
      <c r="DO7537" s="303" t="s">
        <v>232</v>
      </c>
    </row>
    <row r="7538" spans="119:119" x14ac:dyDescent="0.2">
      <c r="DO7538" s="303" t="s">
        <v>232</v>
      </c>
    </row>
    <row r="7539" spans="119:119" x14ac:dyDescent="0.2">
      <c r="DO7539" s="303" t="s">
        <v>232</v>
      </c>
    </row>
    <row r="7540" spans="119:119" x14ac:dyDescent="0.2">
      <c r="DO7540" s="303" t="s">
        <v>232</v>
      </c>
    </row>
    <row r="7541" spans="119:119" x14ac:dyDescent="0.2">
      <c r="DO7541" s="303" t="s">
        <v>232</v>
      </c>
    </row>
    <row r="7542" spans="119:119" x14ac:dyDescent="0.2">
      <c r="DO7542" s="303" t="s">
        <v>232</v>
      </c>
    </row>
    <row r="7543" spans="119:119" x14ac:dyDescent="0.2">
      <c r="DO7543" s="303" t="s">
        <v>232</v>
      </c>
    </row>
    <row r="7544" spans="119:119" x14ac:dyDescent="0.2">
      <c r="DO7544" s="303" t="s">
        <v>232</v>
      </c>
    </row>
    <row r="7545" spans="119:119" x14ac:dyDescent="0.2">
      <c r="DO7545" s="303" t="s">
        <v>232</v>
      </c>
    </row>
    <row r="7546" spans="119:119" x14ac:dyDescent="0.2">
      <c r="DO7546" s="303" t="s">
        <v>232</v>
      </c>
    </row>
    <row r="7547" spans="119:119" x14ac:dyDescent="0.2">
      <c r="DO7547" s="303" t="s">
        <v>232</v>
      </c>
    </row>
    <row r="7548" spans="119:119" x14ac:dyDescent="0.2">
      <c r="DO7548" s="303" t="s">
        <v>232</v>
      </c>
    </row>
    <row r="7549" spans="119:119" x14ac:dyDescent="0.2">
      <c r="DO7549" s="303" t="s">
        <v>232</v>
      </c>
    </row>
    <row r="7550" spans="119:119" x14ac:dyDescent="0.2">
      <c r="DO7550" s="303" t="s">
        <v>232</v>
      </c>
    </row>
    <row r="7551" spans="119:119" x14ac:dyDescent="0.2">
      <c r="DO7551" s="303" t="s">
        <v>232</v>
      </c>
    </row>
    <row r="7552" spans="119:119" x14ac:dyDescent="0.2">
      <c r="DO7552" s="303" t="s">
        <v>232</v>
      </c>
    </row>
    <row r="7553" spans="119:119" x14ac:dyDescent="0.2">
      <c r="DO7553" s="303" t="s">
        <v>232</v>
      </c>
    </row>
    <row r="7554" spans="119:119" x14ac:dyDescent="0.2">
      <c r="DO7554" s="303" t="s">
        <v>232</v>
      </c>
    </row>
    <row r="7555" spans="119:119" x14ac:dyDescent="0.2">
      <c r="DO7555" s="303" t="s">
        <v>232</v>
      </c>
    </row>
    <row r="7556" spans="119:119" x14ac:dyDescent="0.2">
      <c r="DO7556" s="303" t="s">
        <v>232</v>
      </c>
    </row>
    <row r="7557" spans="119:119" x14ac:dyDescent="0.2">
      <c r="DO7557" s="303" t="s">
        <v>232</v>
      </c>
    </row>
    <row r="7558" spans="119:119" x14ac:dyDescent="0.2">
      <c r="DO7558" s="303" t="s">
        <v>232</v>
      </c>
    </row>
    <row r="7559" spans="119:119" x14ac:dyDescent="0.2">
      <c r="DO7559" s="303" t="s">
        <v>232</v>
      </c>
    </row>
    <row r="7560" spans="119:119" x14ac:dyDescent="0.2">
      <c r="DO7560" s="303" t="s">
        <v>232</v>
      </c>
    </row>
    <row r="7561" spans="119:119" x14ac:dyDescent="0.2">
      <c r="DO7561" s="303" t="s">
        <v>232</v>
      </c>
    </row>
    <row r="7562" spans="119:119" x14ac:dyDescent="0.2">
      <c r="DO7562" s="303" t="s">
        <v>232</v>
      </c>
    </row>
    <row r="7563" spans="119:119" x14ac:dyDescent="0.2">
      <c r="DO7563" s="303" t="s">
        <v>232</v>
      </c>
    </row>
    <row r="7564" spans="119:119" x14ac:dyDescent="0.2">
      <c r="DO7564" s="303" t="s">
        <v>232</v>
      </c>
    </row>
    <row r="7565" spans="119:119" x14ac:dyDescent="0.2">
      <c r="DO7565" s="303" t="s">
        <v>232</v>
      </c>
    </row>
    <row r="7566" spans="119:119" x14ac:dyDescent="0.2">
      <c r="DO7566" s="303" t="s">
        <v>232</v>
      </c>
    </row>
    <row r="7567" spans="119:119" x14ac:dyDescent="0.2">
      <c r="DO7567" s="303" t="s">
        <v>232</v>
      </c>
    </row>
    <row r="7568" spans="119:119" x14ac:dyDescent="0.2">
      <c r="DO7568" s="303" t="s">
        <v>232</v>
      </c>
    </row>
    <row r="7569" spans="119:119" x14ac:dyDescent="0.2">
      <c r="DO7569" s="303" t="s">
        <v>232</v>
      </c>
    </row>
    <row r="7570" spans="119:119" x14ac:dyDescent="0.2">
      <c r="DO7570" s="303" t="s">
        <v>232</v>
      </c>
    </row>
    <row r="7571" spans="119:119" x14ac:dyDescent="0.2">
      <c r="DO7571" s="303" t="s">
        <v>232</v>
      </c>
    </row>
    <row r="7572" spans="119:119" x14ac:dyDescent="0.2">
      <c r="DO7572" s="303" t="s">
        <v>232</v>
      </c>
    </row>
    <row r="7573" spans="119:119" x14ac:dyDescent="0.2">
      <c r="DO7573" s="303" t="s">
        <v>232</v>
      </c>
    </row>
    <row r="7574" spans="119:119" x14ac:dyDescent="0.2">
      <c r="DO7574" s="303" t="s">
        <v>232</v>
      </c>
    </row>
    <row r="7575" spans="119:119" x14ac:dyDescent="0.2">
      <c r="DO7575" s="303" t="s">
        <v>232</v>
      </c>
    </row>
    <row r="7576" spans="119:119" x14ac:dyDescent="0.2">
      <c r="DO7576" s="303" t="s">
        <v>232</v>
      </c>
    </row>
    <row r="7577" spans="119:119" x14ac:dyDescent="0.2">
      <c r="DO7577" s="303" t="s">
        <v>232</v>
      </c>
    </row>
    <row r="7578" spans="119:119" x14ac:dyDescent="0.2">
      <c r="DO7578" s="303" t="s">
        <v>232</v>
      </c>
    </row>
    <row r="7579" spans="119:119" x14ac:dyDescent="0.2">
      <c r="DO7579" s="303" t="s">
        <v>232</v>
      </c>
    </row>
    <row r="7580" spans="119:119" x14ac:dyDescent="0.2">
      <c r="DO7580" s="303" t="s">
        <v>232</v>
      </c>
    </row>
    <row r="7581" spans="119:119" x14ac:dyDescent="0.2">
      <c r="DO7581" s="303" t="s">
        <v>232</v>
      </c>
    </row>
    <row r="7582" spans="119:119" x14ac:dyDescent="0.2">
      <c r="DO7582" s="303" t="s">
        <v>232</v>
      </c>
    </row>
    <row r="7583" spans="119:119" x14ac:dyDescent="0.2">
      <c r="DO7583" s="303" t="s">
        <v>232</v>
      </c>
    </row>
    <row r="7584" spans="119:119" x14ac:dyDescent="0.2">
      <c r="DO7584" s="303" t="s">
        <v>232</v>
      </c>
    </row>
    <row r="7585" spans="119:119" x14ac:dyDescent="0.2">
      <c r="DO7585" s="303" t="s">
        <v>232</v>
      </c>
    </row>
    <row r="7586" spans="119:119" x14ac:dyDescent="0.2">
      <c r="DO7586" s="303" t="s">
        <v>232</v>
      </c>
    </row>
    <row r="7587" spans="119:119" x14ac:dyDescent="0.2">
      <c r="DO7587" s="303" t="s">
        <v>232</v>
      </c>
    </row>
    <row r="7588" spans="119:119" x14ac:dyDescent="0.2">
      <c r="DO7588" s="303" t="s">
        <v>232</v>
      </c>
    </row>
    <row r="7589" spans="119:119" x14ac:dyDescent="0.2">
      <c r="DO7589" s="303" t="s">
        <v>232</v>
      </c>
    </row>
    <row r="7590" spans="119:119" x14ac:dyDescent="0.2">
      <c r="DO7590" s="303" t="s">
        <v>232</v>
      </c>
    </row>
    <row r="7591" spans="119:119" x14ac:dyDescent="0.2">
      <c r="DO7591" s="303" t="s">
        <v>232</v>
      </c>
    </row>
    <row r="7592" spans="119:119" x14ac:dyDescent="0.2">
      <c r="DO7592" s="303" t="s">
        <v>232</v>
      </c>
    </row>
    <row r="7593" spans="119:119" x14ac:dyDescent="0.2">
      <c r="DO7593" s="303" t="s">
        <v>232</v>
      </c>
    </row>
    <row r="7594" spans="119:119" x14ac:dyDescent="0.2">
      <c r="DO7594" s="303" t="s">
        <v>232</v>
      </c>
    </row>
    <row r="7595" spans="119:119" x14ac:dyDescent="0.2">
      <c r="DO7595" s="303" t="s">
        <v>232</v>
      </c>
    </row>
    <row r="7596" spans="119:119" x14ac:dyDescent="0.2">
      <c r="DO7596" s="303" t="s">
        <v>232</v>
      </c>
    </row>
    <row r="7597" spans="119:119" x14ac:dyDescent="0.2">
      <c r="DO7597" s="303" t="s">
        <v>232</v>
      </c>
    </row>
    <row r="7598" spans="119:119" x14ac:dyDescent="0.2">
      <c r="DO7598" s="303" t="s">
        <v>232</v>
      </c>
    </row>
    <row r="7599" spans="119:119" x14ac:dyDescent="0.2">
      <c r="DO7599" s="303" t="s">
        <v>232</v>
      </c>
    </row>
    <row r="7600" spans="119:119" x14ac:dyDescent="0.2">
      <c r="DO7600" s="303" t="s">
        <v>232</v>
      </c>
    </row>
    <row r="7601" spans="119:119" x14ac:dyDescent="0.2">
      <c r="DO7601" s="303" t="s">
        <v>232</v>
      </c>
    </row>
    <row r="7602" spans="119:119" x14ac:dyDescent="0.2">
      <c r="DO7602" s="303" t="s">
        <v>232</v>
      </c>
    </row>
    <row r="7603" spans="119:119" x14ac:dyDescent="0.2">
      <c r="DO7603" s="303" t="s">
        <v>232</v>
      </c>
    </row>
    <row r="7604" spans="119:119" x14ac:dyDescent="0.2">
      <c r="DO7604" s="303" t="s">
        <v>232</v>
      </c>
    </row>
    <row r="7605" spans="119:119" x14ac:dyDescent="0.2">
      <c r="DO7605" s="303" t="s">
        <v>232</v>
      </c>
    </row>
    <row r="7606" spans="119:119" x14ac:dyDescent="0.2">
      <c r="DO7606" s="303" t="s">
        <v>232</v>
      </c>
    </row>
    <row r="7607" spans="119:119" x14ac:dyDescent="0.2">
      <c r="DO7607" s="303" t="s">
        <v>232</v>
      </c>
    </row>
    <row r="7608" spans="119:119" x14ac:dyDescent="0.2">
      <c r="DO7608" s="303" t="s">
        <v>232</v>
      </c>
    </row>
    <row r="7609" spans="119:119" x14ac:dyDescent="0.2">
      <c r="DO7609" s="303" t="s">
        <v>232</v>
      </c>
    </row>
    <row r="7610" spans="119:119" x14ac:dyDescent="0.2">
      <c r="DO7610" s="303" t="s">
        <v>232</v>
      </c>
    </row>
    <row r="7611" spans="119:119" x14ac:dyDescent="0.2">
      <c r="DO7611" s="303" t="s">
        <v>232</v>
      </c>
    </row>
    <row r="7612" spans="119:119" x14ac:dyDescent="0.2">
      <c r="DO7612" s="303" t="s">
        <v>232</v>
      </c>
    </row>
    <row r="7613" spans="119:119" x14ac:dyDescent="0.2">
      <c r="DO7613" s="303" t="s">
        <v>232</v>
      </c>
    </row>
    <row r="7614" spans="119:119" x14ac:dyDescent="0.2">
      <c r="DO7614" s="303" t="s">
        <v>232</v>
      </c>
    </row>
    <row r="7615" spans="119:119" x14ac:dyDescent="0.2">
      <c r="DO7615" s="303" t="s">
        <v>232</v>
      </c>
    </row>
    <row r="7616" spans="119:119" x14ac:dyDescent="0.2">
      <c r="DO7616" s="303" t="s">
        <v>232</v>
      </c>
    </row>
    <row r="7617" spans="119:119" x14ac:dyDescent="0.2">
      <c r="DO7617" s="303" t="s">
        <v>232</v>
      </c>
    </row>
    <row r="7618" spans="119:119" x14ac:dyDescent="0.2">
      <c r="DO7618" s="303" t="s">
        <v>232</v>
      </c>
    </row>
    <row r="7619" spans="119:119" x14ac:dyDescent="0.2">
      <c r="DO7619" s="303" t="s">
        <v>232</v>
      </c>
    </row>
    <row r="7620" spans="119:119" x14ac:dyDescent="0.2">
      <c r="DO7620" s="303" t="s">
        <v>232</v>
      </c>
    </row>
    <row r="7621" spans="119:119" x14ac:dyDescent="0.2">
      <c r="DO7621" s="303" t="s">
        <v>232</v>
      </c>
    </row>
    <row r="7622" spans="119:119" x14ac:dyDescent="0.2">
      <c r="DO7622" s="303" t="s">
        <v>232</v>
      </c>
    </row>
    <row r="7623" spans="119:119" x14ac:dyDescent="0.2">
      <c r="DO7623" s="303" t="s">
        <v>232</v>
      </c>
    </row>
    <row r="7624" spans="119:119" x14ac:dyDescent="0.2">
      <c r="DO7624" s="303" t="s">
        <v>232</v>
      </c>
    </row>
    <row r="7625" spans="119:119" x14ac:dyDescent="0.2">
      <c r="DO7625" s="303" t="s">
        <v>232</v>
      </c>
    </row>
    <row r="7626" spans="119:119" x14ac:dyDescent="0.2">
      <c r="DO7626" s="303" t="s">
        <v>232</v>
      </c>
    </row>
    <row r="7627" spans="119:119" x14ac:dyDescent="0.2">
      <c r="DO7627" s="303" t="s">
        <v>232</v>
      </c>
    </row>
    <row r="7628" spans="119:119" x14ac:dyDescent="0.2">
      <c r="DO7628" s="303" t="s">
        <v>232</v>
      </c>
    </row>
    <row r="7629" spans="119:119" x14ac:dyDescent="0.2">
      <c r="DO7629" s="303" t="s">
        <v>232</v>
      </c>
    </row>
    <row r="7630" spans="119:119" x14ac:dyDescent="0.2">
      <c r="DO7630" s="303" t="s">
        <v>232</v>
      </c>
    </row>
    <row r="7631" spans="119:119" x14ac:dyDescent="0.2">
      <c r="DO7631" s="303" t="s">
        <v>232</v>
      </c>
    </row>
    <row r="7632" spans="119:119" x14ac:dyDescent="0.2">
      <c r="DO7632" s="303" t="s">
        <v>232</v>
      </c>
    </row>
    <row r="7633" spans="119:119" x14ac:dyDescent="0.2">
      <c r="DO7633" s="303" t="s">
        <v>232</v>
      </c>
    </row>
    <row r="7634" spans="119:119" x14ac:dyDescent="0.2">
      <c r="DO7634" s="303" t="s">
        <v>232</v>
      </c>
    </row>
    <row r="7635" spans="119:119" x14ac:dyDescent="0.2">
      <c r="DO7635" s="303" t="s">
        <v>232</v>
      </c>
    </row>
    <row r="7636" spans="119:119" x14ac:dyDescent="0.2">
      <c r="DO7636" s="303" t="s">
        <v>232</v>
      </c>
    </row>
    <row r="7637" spans="119:119" x14ac:dyDescent="0.2">
      <c r="DO7637" s="303" t="s">
        <v>232</v>
      </c>
    </row>
    <row r="7638" spans="119:119" x14ac:dyDescent="0.2">
      <c r="DO7638" s="303" t="s">
        <v>232</v>
      </c>
    </row>
    <row r="7639" spans="119:119" x14ac:dyDescent="0.2">
      <c r="DO7639" s="303" t="s">
        <v>232</v>
      </c>
    </row>
    <row r="7640" spans="119:119" x14ac:dyDescent="0.2">
      <c r="DO7640" s="303" t="s">
        <v>232</v>
      </c>
    </row>
    <row r="7641" spans="119:119" x14ac:dyDescent="0.2">
      <c r="DO7641" s="303" t="s">
        <v>232</v>
      </c>
    </row>
    <row r="7642" spans="119:119" x14ac:dyDescent="0.2">
      <c r="DO7642" s="303" t="s">
        <v>232</v>
      </c>
    </row>
    <row r="7643" spans="119:119" x14ac:dyDescent="0.2">
      <c r="DO7643" s="303" t="s">
        <v>232</v>
      </c>
    </row>
    <row r="7644" spans="119:119" x14ac:dyDescent="0.2">
      <c r="DO7644" s="303" t="s">
        <v>232</v>
      </c>
    </row>
    <row r="7645" spans="119:119" x14ac:dyDescent="0.2">
      <c r="DO7645" s="303" t="s">
        <v>232</v>
      </c>
    </row>
    <row r="7646" spans="119:119" x14ac:dyDescent="0.2">
      <c r="DO7646" s="303" t="s">
        <v>232</v>
      </c>
    </row>
    <row r="7647" spans="119:119" x14ac:dyDescent="0.2">
      <c r="DO7647" s="303" t="s">
        <v>232</v>
      </c>
    </row>
    <row r="7648" spans="119:119" x14ac:dyDescent="0.2">
      <c r="DO7648" s="303" t="s">
        <v>232</v>
      </c>
    </row>
    <row r="7649" spans="119:119" x14ac:dyDescent="0.2">
      <c r="DO7649" s="303" t="s">
        <v>232</v>
      </c>
    </row>
    <row r="7650" spans="119:119" x14ac:dyDescent="0.2">
      <c r="DO7650" s="303" t="s">
        <v>232</v>
      </c>
    </row>
    <row r="7651" spans="119:119" x14ac:dyDescent="0.2">
      <c r="DO7651" s="303" t="s">
        <v>232</v>
      </c>
    </row>
    <row r="7652" spans="119:119" x14ac:dyDescent="0.2">
      <c r="DO7652" s="303" t="s">
        <v>232</v>
      </c>
    </row>
    <row r="7653" spans="119:119" x14ac:dyDescent="0.2">
      <c r="DO7653" s="303" t="s">
        <v>232</v>
      </c>
    </row>
    <row r="7654" spans="119:119" x14ac:dyDescent="0.2">
      <c r="DO7654" s="303" t="s">
        <v>232</v>
      </c>
    </row>
    <row r="7655" spans="119:119" x14ac:dyDescent="0.2">
      <c r="DO7655" s="303" t="s">
        <v>232</v>
      </c>
    </row>
    <row r="7656" spans="119:119" x14ac:dyDescent="0.2">
      <c r="DO7656" s="303" t="s">
        <v>232</v>
      </c>
    </row>
    <row r="7657" spans="119:119" x14ac:dyDescent="0.2">
      <c r="DO7657" s="303" t="s">
        <v>232</v>
      </c>
    </row>
    <row r="7658" spans="119:119" x14ac:dyDescent="0.2">
      <c r="DO7658" s="303" t="s">
        <v>232</v>
      </c>
    </row>
    <row r="7659" spans="119:119" x14ac:dyDescent="0.2">
      <c r="DO7659" s="303" t="s">
        <v>232</v>
      </c>
    </row>
    <row r="7660" spans="119:119" x14ac:dyDescent="0.2">
      <c r="DO7660" s="303" t="s">
        <v>232</v>
      </c>
    </row>
    <row r="7661" spans="119:119" x14ac:dyDescent="0.2">
      <c r="DO7661" s="303" t="s">
        <v>232</v>
      </c>
    </row>
    <row r="7662" spans="119:119" x14ac:dyDescent="0.2">
      <c r="DO7662" s="303" t="s">
        <v>232</v>
      </c>
    </row>
    <row r="7663" spans="119:119" x14ac:dyDescent="0.2">
      <c r="DO7663" s="303" t="s">
        <v>232</v>
      </c>
    </row>
    <row r="7664" spans="119:119" x14ac:dyDescent="0.2">
      <c r="DO7664" s="303" t="s">
        <v>232</v>
      </c>
    </row>
    <row r="7665" spans="119:119" x14ac:dyDescent="0.2">
      <c r="DO7665" s="303" t="s">
        <v>232</v>
      </c>
    </row>
    <row r="7666" spans="119:119" x14ac:dyDescent="0.2">
      <c r="DO7666" s="303" t="s">
        <v>232</v>
      </c>
    </row>
    <row r="7667" spans="119:119" x14ac:dyDescent="0.2">
      <c r="DO7667" s="303" t="s">
        <v>232</v>
      </c>
    </row>
    <row r="7668" spans="119:119" x14ac:dyDescent="0.2">
      <c r="DO7668" s="303" t="s">
        <v>232</v>
      </c>
    </row>
    <row r="7669" spans="119:119" x14ac:dyDescent="0.2">
      <c r="DO7669" s="303" t="s">
        <v>232</v>
      </c>
    </row>
    <row r="7670" spans="119:119" x14ac:dyDescent="0.2">
      <c r="DO7670" s="303" t="s">
        <v>232</v>
      </c>
    </row>
    <row r="7671" spans="119:119" x14ac:dyDescent="0.2">
      <c r="DO7671" s="303" t="s">
        <v>232</v>
      </c>
    </row>
    <row r="7672" spans="119:119" x14ac:dyDescent="0.2">
      <c r="DO7672" s="303" t="s">
        <v>232</v>
      </c>
    </row>
    <row r="7673" spans="119:119" x14ac:dyDescent="0.2">
      <c r="DO7673" s="303" t="s">
        <v>232</v>
      </c>
    </row>
    <row r="7674" spans="119:119" x14ac:dyDescent="0.2">
      <c r="DO7674" s="303" t="s">
        <v>232</v>
      </c>
    </row>
    <row r="7675" spans="119:119" x14ac:dyDescent="0.2">
      <c r="DO7675" s="303" t="s">
        <v>232</v>
      </c>
    </row>
    <row r="7676" spans="119:119" x14ac:dyDescent="0.2">
      <c r="DO7676" s="303" t="s">
        <v>232</v>
      </c>
    </row>
    <row r="7677" spans="119:119" x14ac:dyDescent="0.2">
      <c r="DO7677" s="303" t="s">
        <v>232</v>
      </c>
    </row>
    <row r="7678" spans="119:119" x14ac:dyDescent="0.2">
      <c r="DO7678" s="303" t="s">
        <v>232</v>
      </c>
    </row>
    <row r="7679" spans="119:119" x14ac:dyDescent="0.2">
      <c r="DO7679" s="303" t="s">
        <v>232</v>
      </c>
    </row>
    <row r="7680" spans="119:119" x14ac:dyDescent="0.2">
      <c r="DO7680" s="303" t="s">
        <v>232</v>
      </c>
    </row>
    <row r="7681" spans="119:119" x14ac:dyDescent="0.2">
      <c r="DO7681" s="303" t="s">
        <v>232</v>
      </c>
    </row>
    <row r="7682" spans="119:119" x14ac:dyDescent="0.2">
      <c r="DO7682" s="303" t="s">
        <v>232</v>
      </c>
    </row>
    <row r="7683" spans="119:119" x14ac:dyDescent="0.2">
      <c r="DO7683" s="303" t="s">
        <v>232</v>
      </c>
    </row>
    <row r="7684" spans="119:119" x14ac:dyDescent="0.2">
      <c r="DO7684" s="303" t="s">
        <v>232</v>
      </c>
    </row>
    <row r="7685" spans="119:119" x14ac:dyDescent="0.2">
      <c r="DO7685" s="303" t="s">
        <v>232</v>
      </c>
    </row>
    <row r="7686" spans="119:119" x14ac:dyDescent="0.2">
      <c r="DO7686" s="303" t="s">
        <v>232</v>
      </c>
    </row>
    <row r="7687" spans="119:119" x14ac:dyDescent="0.2">
      <c r="DO7687" s="303" t="s">
        <v>232</v>
      </c>
    </row>
    <row r="7688" spans="119:119" x14ac:dyDescent="0.2">
      <c r="DO7688" s="303" t="s">
        <v>232</v>
      </c>
    </row>
    <row r="7689" spans="119:119" x14ac:dyDescent="0.2">
      <c r="DO7689" s="303" t="s">
        <v>232</v>
      </c>
    </row>
    <row r="7690" spans="119:119" x14ac:dyDescent="0.2">
      <c r="DO7690" s="303" t="s">
        <v>232</v>
      </c>
    </row>
    <row r="7691" spans="119:119" x14ac:dyDescent="0.2">
      <c r="DO7691" s="303" t="s">
        <v>232</v>
      </c>
    </row>
    <row r="7692" spans="119:119" x14ac:dyDescent="0.2">
      <c r="DO7692" s="303" t="s">
        <v>232</v>
      </c>
    </row>
    <row r="7693" spans="119:119" x14ac:dyDescent="0.2">
      <c r="DO7693" s="303" t="s">
        <v>232</v>
      </c>
    </row>
    <row r="7694" spans="119:119" x14ac:dyDescent="0.2">
      <c r="DO7694" s="303" t="s">
        <v>232</v>
      </c>
    </row>
    <row r="7695" spans="119:119" x14ac:dyDescent="0.2">
      <c r="DO7695" s="303" t="s">
        <v>232</v>
      </c>
    </row>
    <row r="7696" spans="119:119" x14ac:dyDescent="0.2">
      <c r="DO7696" s="303" t="s">
        <v>232</v>
      </c>
    </row>
    <row r="7697" spans="119:119" x14ac:dyDescent="0.2">
      <c r="DO7697" s="303" t="s">
        <v>232</v>
      </c>
    </row>
    <row r="7698" spans="119:119" x14ac:dyDescent="0.2">
      <c r="DO7698" s="303" t="s">
        <v>232</v>
      </c>
    </row>
    <row r="7699" spans="119:119" x14ac:dyDescent="0.2">
      <c r="DO7699" s="303" t="s">
        <v>232</v>
      </c>
    </row>
    <row r="7700" spans="119:119" x14ac:dyDescent="0.2">
      <c r="DO7700" s="303" t="s">
        <v>232</v>
      </c>
    </row>
    <row r="7701" spans="119:119" x14ac:dyDescent="0.2">
      <c r="DO7701" s="303" t="s">
        <v>232</v>
      </c>
    </row>
    <row r="7702" spans="119:119" x14ac:dyDescent="0.2">
      <c r="DO7702" s="303" t="s">
        <v>232</v>
      </c>
    </row>
    <row r="7703" spans="119:119" x14ac:dyDescent="0.2">
      <c r="DO7703" s="303" t="s">
        <v>232</v>
      </c>
    </row>
    <row r="7704" spans="119:119" x14ac:dyDescent="0.2">
      <c r="DO7704" s="303" t="s">
        <v>232</v>
      </c>
    </row>
    <row r="7705" spans="119:119" x14ac:dyDescent="0.2">
      <c r="DO7705" s="303" t="s">
        <v>232</v>
      </c>
    </row>
    <row r="7706" spans="119:119" x14ac:dyDescent="0.2">
      <c r="DO7706" s="303" t="s">
        <v>232</v>
      </c>
    </row>
    <row r="7707" spans="119:119" x14ac:dyDescent="0.2">
      <c r="DO7707" s="303" t="s">
        <v>232</v>
      </c>
    </row>
    <row r="7708" spans="119:119" x14ac:dyDescent="0.2">
      <c r="DO7708" s="303" t="s">
        <v>232</v>
      </c>
    </row>
    <row r="7709" spans="119:119" x14ac:dyDescent="0.2">
      <c r="DO7709" s="303" t="s">
        <v>232</v>
      </c>
    </row>
    <row r="7710" spans="119:119" x14ac:dyDescent="0.2">
      <c r="DO7710" s="303" t="s">
        <v>232</v>
      </c>
    </row>
    <row r="7711" spans="119:119" x14ac:dyDescent="0.2">
      <c r="DO7711" s="303" t="s">
        <v>232</v>
      </c>
    </row>
    <row r="7712" spans="119:119" x14ac:dyDescent="0.2">
      <c r="DO7712" s="303" t="s">
        <v>232</v>
      </c>
    </row>
    <row r="7713" spans="119:119" x14ac:dyDescent="0.2">
      <c r="DO7713" s="303" t="s">
        <v>232</v>
      </c>
    </row>
    <row r="7714" spans="119:119" x14ac:dyDescent="0.2">
      <c r="DO7714" s="303" t="s">
        <v>232</v>
      </c>
    </row>
    <row r="7715" spans="119:119" x14ac:dyDescent="0.2">
      <c r="DO7715" s="303" t="s">
        <v>232</v>
      </c>
    </row>
    <row r="7716" spans="119:119" x14ac:dyDescent="0.2">
      <c r="DO7716" s="303" t="s">
        <v>232</v>
      </c>
    </row>
    <row r="7717" spans="119:119" x14ac:dyDescent="0.2">
      <c r="DO7717" s="303" t="s">
        <v>232</v>
      </c>
    </row>
    <row r="7718" spans="119:119" x14ac:dyDescent="0.2">
      <c r="DO7718" s="303" t="s">
        <v>232</v>
      </c>
    </row>
    <row r="7719" spans="119:119" x14ac:dyDescent="0.2">
      <c r="DO7719" s="303" t="s">
        <v>232</v>
      </c>
    </row>
    <row r="7720" spans="119:119" x14ac:dyDescent="0.2">
      <c r="DO7720" s="303" t="s">
        <v>232</v>
      </c>
    </row>
    <row r="7721" spans="119:119" x14ac:dyDescent="0.2">
      <c r="DO7721" s="303" t="s">
        <v>232</v>
      </c>
    </row>
    <row r="7722" spans="119:119" x14ac:dyDescent="0.2">
      <c r="DO7722" s="303" t="s">
        <v>232</v>
      </c>
    </row>
    <row r="7723" spans="119:119" x14ac:dyDescent="0.2">
      <c r="DO7723" s="303" t="s">
        <v>232</v>
      </c>
    </row>
    <row r="7724" spans="119:119" x14ac:dyDescent="0.2">
      <c r="DO7724" s="303" t="s">
        <v>232</v>
      </c>
    </row>
    <row r="7725" spans="119:119" x14ac:dyDescent="0.2">
      <c r="DO7725" s="303" t="s">
        <v>232</v>
      </c>
    </row>
    <row r="7726" spans="119:119" x14ac:dyDescent="0.2">
      <c r="DO7726" s="303" t="s">
        <v>232</v>
      </c>
    </row>
    <row r="7727" spans="119:119" x14ac:dyDescent="0.2">
      <c r="DO7727" s="303" t="s">
        <v>232</v>
      </c>
    </row>
    <row r="7728" spans="119:119" x14ac:dyDescent="0.2">
      <c r="DO7728" s="303" t="s">
        <v>232</v>
      </c>
    </row>
    <row r="7729" spans="119:119" x14ac:dyDescent="0.2">
      <c r="DO7729" s="303" t="s">
        <v>232</v>
      </c>
    </row>
    <row r="7730" spans="119:119" x14ac:dyDescent="0.2">
      <c r="DO7730" s="303" t="s">
        <v>232</v>
      </c>
    </row>
    <row r="7731" spans="119:119" x14ac:dyDescent="0.2">
      <c r="DO7731" s="303" t="s">
        <v>232</v>
      </c>
    </row>
    <row r="7732" spans="119:119" x14ac:dyDescent="0.2">
      <c r="DO7732" s="303" t="s">
        <v>232</v>
      </c>
    </row>
    <row r="7733" spans="119:119" x14ac:dyDescent="0.2">
      <c r="DO7733" s="303" t="s">
        <v>232</v>
      </c>
    </row>
    <row r="7734" spans="119:119" x14ac:dyDescent="0.2">
      <c r="DO7734" s="303" t="s">
        <v>232</v>
      </c>
    </row>
    <row r="7735" spans="119:119" x14ac:dyDescent="0.2">
      <c r="DO7735" s="303" t="s">
        <v>232</v>
      </c>
    </row>
    <row r="7736" spans="119:119" x14ac:dyDescent="0.2">
      <c r="DO7736" s="303" t="s">
        <v>232</v>
      </c>
    </row>
    <row r="7737" spans="119:119" x14ac:dyDescent="0.2">
      <c r="DO7737" s="303" t="s">
        <v>232</v>
      </c>
    </row>
    <row r="7738" spans="119:119" x14ac:dyDescent="0.2">
      <c r="DO7738" s="303" t="s">
        <v>232</v>
      </c>
    </row>
    <row r="7739" spans="119:119" x14ac:dyDescent="0.2">
      <c r="DO7739" s="303" t="s">
        <v>232</v>
      </c>
    </row>
    <row r="7740" spans="119:119" x14ac:dyDescent="0.2">
      <c r="DO7740" s="303" t="s">
        <v>232</v>
      </c>
    </row>
    <row r="7741" spans="119:119" x14ac:dyDescent="0.2">
      <c r="DO7741" s="303" t="s">
        <v>232</v>
      </c>
    </row>
    <row r="7742" spans="119:119" x14ac:dyDescent="0.2">
      <c r="DO7742" s="303" t="s">
        <v>232</v>
      </c>
    </row>
    <row r="7743" spans="119:119" x14ac:dyDescent="0.2">
      <c r="DO7743" s="303" t="s">
        <v>232</v>
      </c>
    </row>
    <row r="7744" spans="119:119" x14ac:dyDescent="0.2">
      <c r="DO7744" s="303" t="s">
        <v>232</v>
      </c>
    </row>
    <row r="7745" spans="119:119" x14ac:dyDescent="0.2">
      <c r="DO7745" s="303" t="s">
        <v>232</v>
      </c>
    </row>
    <row r="7746" spans="119:119" x14ac:dyDescent="0.2">
      <c r="DO7746" s="303" t="s">
        <v>232</v>
      </c>
    </row>
    <row r="7747" spans="119:119" x14ac:dyDescent="0.2">
      <c r="DO7747" s="303" t="s">
        <v>232</v>
      </c>
    </row>
    <row r="7748" spans="119:119" x14ac:dyDescent="0.2">
      <c r="DO7748" s="303" t="s">
        <v>232</v>
      </c>
    </row>
    <row r="7749" spans="119:119" x14ac:dyDescent="0.2">
      <c r="DO7749" s="303" t="s">
        <v>232</v>
      </c>
    </row>
    <row r="7750" spans="119:119" x14ac:dyDescent="0.2">
      <c r="DO7750" s="303" t="s">
        <v>232</v>
      </c>
    </row>
    <row r="7751" spans="119:119" x14ac:dyDescent="0.2">
      <c r="DO7751" s="303" t="s">
        <v>232</v>
      </c>
    </row>
    <row r="7752" spans="119:119" x14ac:dyDescent="0.2">
      <c r="DO7752" s="303" t="s">
        <v>232</v>
      </c>
    </row>
    <row r="7753" spans="119:119" x14ac:dyDescent="0.2">
      <c r="DO7753" s="303" t="s">
        <v>232</v>
      </c>
    </row>
    <row r="7754" spans="119:119" x14ac:dyDescent="0.2">
      <c r="DO7754" s="303" t="s">
        <v>232</v>
      </c>
    </row>
    <row r="7755" spans="119:119" x14ac:dyDescent="0.2">
      <c r="DO7755" s="303" t="s">
        <v>232</v>
      </c>
    </row>
    <row r="7756" spans="119:119" x14ac:dyDescent="0.2">
      <c r="DO7756" s="303" t="s">
        <v>232</v>
      </c>
    </row>
    <row r="7757" spans="119:119" x14ac:dyDescent="0.2">
      <c r="DO7757" s="303" t="s">
        <v>232</v>
      </c>
    </row>
    <row r="7758" spans="119:119" x14ac:dyDescent="0.2">
      <c r="DO7758" s="303" t="s">
        <v>232</v>
      </c>
    </row>
    <row r="7759" spans="119:119" x14ac:dyDescent="0.2">
      <c r="DO7759" s="303" t="s">
        <v>232</v>
      </c>
    </row>
    <row r="7760" spans="119:119" x14ac:dyDescent="0.2">
      <c r="DO7760" s="303" t="s">
        <v>232</v>
      </c>
    </row>
    <row r="7761" spans="119:119" x14ac:dyDescent="0.2">
      <c r="DO7761" s="303" t="s">
        <v>232</v>
      </c>
    </row>
    <row r="7762" spans="119:119" x14ac:dyDescent="0.2">
      <c r="DO7762" s="303" t="s">
        <v>232</v>
      </c>
    </row>
    <row r="7763" spans="119:119" x14ac:dyDescent="0.2">
      <c r="DO7763" s="303" t="s">
        <v>232</v>
      </c>
    </row>
    <row r="7764" spans="119:119" x14ac:dyDescent="0.2">
      <c r="DO7764" s="303" t="s">
        <v>232</v>
      </c>
    </row>
    <row r="7765" spans="119:119" x14ac:dyDescent="0.2">
      <c r="DO7765" s="303" t="s">
        <v>232</v>
      </c>
    </row>
    <row r="7766" spans="119:119" x14ac:dyDescent="0.2">
      <c r="DO7766" s="303" t="s">
        <v>232</v>
      </c>
    </row>
    <row r="7767" spans="119:119" x14ac:dyDescent="0.2">
      <c r="DO7767" s="303" t="s">
        <v>232</v>
      </c>
    </row>
    <row r="7768" spans="119:119" x14ac:dyDescent="0.2">
      <c r="DO7768" s="303" t="s">
        <v>232</v>
      </c>
    </row>
    <row r="7769" spans="119:119" x14ac:dyDescent="0.2">
      <c r="DO7769" s="303" t="s">
        <v>232</v>
      </c>
    </row>
    <row r="7770" spans="119:119" x14ac:dyDescent="0.2">
      <c r="DO7770" s="303" t="s">
        <v>232</v>
      </c>
    </row>
    <row r="7771" spans="119:119" x14ac:dyDescent="0.2">
      <c r="DO7771" s="303" t="s">
        <v>232</v>
      </c>
    </row>
    <row r="7772" spans="119:119" x14ac:dyDescent="0.2">
      <c r="DO7772" s="303" t="s">
        <v>232</v>
      </c>
    </row>
    <row r="7773" spans="119:119" x14ac:dyDescent="0.2">
      <c r="DO7773" s="303" t="s">
        <v>232</v>
      </c>
    </row>
    <row r="7774" spans="119:119" x14ac:dyDescent="0.2">
      <c r="DO7774" s="303" t="s">
        <v>232</v>
      </c>
    </row>
    <row r="7775" spans="119:119" x14ac:dyDescent="0.2">
      <c r="DO7775" s="303" t="s">
        <v>232</v>
      </c>
    </row>
    <row r="7776" spans="119:119" x14ac:dyDescent="0.2">
      <c r="DO7776" s="303" t="s">
        <v>232</v>
      </c>
    </row>
    <row r="7777" spans="119:119" x14ac:dyDescent="0.2">
      <c r="DO7777" s="303" t="s">
        <v>232</v>
      </c>
    </row>
    <row r="7778" spans="119:119" x14ac:dyDescent="0.2">
      <c r="DO7778" s="303" t="s">
        <v>232</v>
      </c>
    </row>
    <row r="7779" spans="119:119" x14ac:dyDescent="0.2">
      <c r="DO7779" s="303" t="s">
        <v>232</v>
      </c>
    </row>
    <row r="7780" spans="119:119" x14ac:dyDescent="0.2">
      <c r="DO7780" s="303" t="s">
        <v>232</v>
      </c>
    </row>
    <row r="7781" spans="119:119" x14ac:dyDescent="0.2">
      <c r="DO7781" s="303" t="s">
        <v>232</v>
      </c>
    </row>
    <row r="7782" spans="119:119" x14ac:dyDescent="0.2">
      <c r="DO7782" s="303" t="s">
        <v>232</v>
      </c>
    </row>
    <row r="7783" spans="119:119" x14ac:dyDescent="0.2">
      <c r="DO7783" s="303" t="s">
        <v>232</v>
      </c>
    </row>
    <row r="7784" spans="119:119" x14ac:dyDescent="0.2">
      <c r="DO7784" s="303" t="s">
        <v>232</v>
      </c>
    </row>
    <row r="7785" spans="119:119" x14ac:dyDescent="0.2">
      <c r="DO7785" s="303" t="s">
        <v>232</v>
      </c>
    </row>
    <row r="7786" spans="119:119" x14ac:dyDescent="0.2">
      <c r="DO7786" s="303" t="s">
        <v>232</v>
      </c>
    </row>
    <row r="7787" spans="119:119" x14ac:dyDescent="0.2">
      <c r="DO7787" s="303" t="s">
        <v>232</v>
      </c>
    </row>
    <row r="7788" spans="119:119" x14ac:dyDescent="0.2">
      <c r="DO7788" s="303" t="s">
        <v>232</v>
      </c>
    </row>
    <row r="7789" spans="119:119" x14ac:dyDescent="0.2">
      <c r="DO7789" s="303" t="s">
        <v>232</v>
      </c>
    </row>
    <row r="7790" spans="119:119" x14ac:dyDescent="0.2">
      <c r="DO7790" s="303" t="s">
        <v>232</v>
      </c>
    </row>
    <row r="7791" spans="119:119" x14ac:dyDescent="0.2">
      <c r="DO7791" s="303" t="s">
        <v>232</v>
      </c>
    </row>
    <row r="7792" spans="119:119" x14ac:dyDescent="0.2">
      <c r="DO7792" s="303" t="s">
        <v>232</v>
      </c>
    </row>
    <row r="7793" spans="119:119" x14ac:dyDescent="0.2">
      <c r="DO7793" s="303" t="s">
        <v>232</v>
      </c>
    </row>
    <row r="7794" spans="119:119" x14ac:dyDescent="0.2">
      <c r="DO7794" s="303" t="s">
        <v>232</v>
      </c>
    </row>
    <row r="7795" spans="119:119" x14ac:dyDescent="0.2">
      <c r="DO7795" s="303" t="s">
        <v>232</v>
      </c>
    </row>
    <row r="7796" spans="119:119" x14ac:dyDescent="0.2">
      <c r="DO7796" s="303" t="s">
        <v>232</v>
      </c>
    </row>
    <row r="7797" spans="119:119" x14ac:dyDescent="0.2">
      <c r="DO7797" s="303" t="s">
        <v>232</v>
      </c>
    </row>
    <row r="7798" spans="119:119" x14ac:dyDescent="0.2">
      <c r="DO7798" s="303" t="s">
        <v>232</v>
      </c>
    </row>
    <row r="7799" spans="119:119" x14ac:dyDescent="0.2">
      <c r="DO7799" s="303" t="s">
        <v>232</v>
      </c>
    </row>
    <row r="7800" spans="119:119" x14ac:dyDescent="0.2">
      <c r="DO7800" s="303" t="s">
        <v>232</v>
      </c>
    </row>
    <row r="7801" spans="119:119" x14ac:dyDescent="0.2">
      <c r="DO7801" s="303" t="s">
        <v>232</v>
      </c>
    </row>
    <row r="7802" spans="119:119" x14ac:dyDescent="0.2">
      <c r="DO7802" s="303" t="s">
        <v>232</v>
      </c>
    </row>
    <row r="7803" spans="119:119" x14ac:dyDescent="0.2">
      <c r="DO7803" s="303" t="s">
        <v>232</v>
      </c>
    </row>
    <row r="7804" spans="119:119" x14ac:dyDescent="0.2">
      <c r="DO7804" s="303" t="s">
        <v>232</v>
      </c>
    </row>
    <row r="7805" spans="119:119" x14ac:dyDescent="0.2">
      <c r="DO7805" s="303" t="s">
        <v>232</v>
      </c>
    </row>
    <row r="7806" spans="119:119" x14ac:dyDescent="0.2">
      <c r="DO7806" s="303" t="s">
        <v>232</v>
      </c>
    </row>
    <row r="7807" spans="119:119" x14ac:dyDescent="0.2">
      <c r="DO7807" s="303" t="s">
        <v>232</v>
      </c>
    </row>
    <row r="7808" spans="119:119" x14ac:dyDescent="0.2">
      <c r="DO7808" s="303" t="s">
        <v>232</v>
      </c>
    </row>
    <row r="7809" spans="119:119" x14ac:dyDescent="0.2">
      <c r="DO7809" s="303" t="s">
        <v>232</v>
      </c>
    </row>
    <row r="7810" spans="119:119" x14ac:dyDescent="0.2">
      <c r="DO7810" s="303" t="s">
        <v>232</v>
      </c>
    </row>
    <row r="7811" spans="119:119" x14ac:dyDescent="0.2">
      <c r="DO7811" s="303" t="s">
        <v>232</v>
      </c>
    </row>
    <row r="7812" spans="119:119" x14ac:dyDescent="0.2">
      <c r="DO7812" s="303" t="s">
        <v>232</v>
      </c>
    </row>
    <row r="7813" spans="119:119" x14ac:dyDescent="0.2">
      <c r="DO7813" s="303" t="s">
        <v>232</v>
      </c>
    </row>
    <row r="7814" spans="119:119" x14ac:dyDescent="0.2">
      <c r="DO7814" s="303" t="s">
        <v>232</v>
      </c>
    </row>
    <row r="7815" spans="119:119" x14ac:dyDescent="0.2">
      <c r="DO7815" s="303" t="s">
        <v>232</v>
      </c>
    </row>
    <row r="7816" spans="119:119" x14ac:dyDescent="0.2">
      <c r="DO7816" s="303" t="s">
        <v>232</v>
      </c>
    </row>
    <row r="7817" spans="119:119" x14ac:dyDescent="0.2">
      <c r="DO7817" s="303" t="s">
        <v>232</v>
      </c>
    </row>
    <row r="7818" spans="119:119" x14ac:dyDescent="0.2">
      <c r="DO7818" s="303" t="s">
        <v>232</v>
      </c>
    </row>
    <row r="7819" spans="119:119" x14ac:dyDescent="0.2">
      <c r="DO7819" s="303" t="s">
        <v>232</v>
      </c>
    </row>
    <row r="7820" spans="119:119" x14ac:dyDescent="0.2">
      <c r="DO7820" s="303" t="s">
        <v>232</v>
      </c>
    </row>
    <row r="7821" spans="119:119" x14ac:dyDescent="0.2">
      <c r="DO7821" s="303" t="s">
        <v>232</v>
      </c>
    </row>
    <row r="7822" spans="119:119" x14ac:dyDescent="0.2">
      <c r="DO7822" s="303" t="s">
        <v>232</v>
      </c>
    </row>
    <row r="7823" spans="119:119" x14ac:dyDescent="0.2">
      <c r="DO7823" s="303" t="s">
        <v>232</v>
      </c>
    </row>
    <row r="7824" spans="119:119" x14ac:dyDescent="0.2">
      <c r="DO7824" s="303" t="s">
        <v>232</v>
      </c>
    </row>
    <row r="7825" spans="119:119" x14ac:dyDescent="0.2">
      <c r="DO7825" s="303" t="s">
        <v>232</v>
      </c>
    </row>
    <row r="7826" spans="119:119" x14ac:dyDescent="0.2">
      <c r="DO7826" s="303" t="s">
        <v>232</v>
      </c>
    </row>
    <row r="7827" spans="119:119" x14ac:dyDescent="0.2">
      <c r="DO7827" s="303" t="s">
        <v>232</v>
      </c>
    </row>
    <row r="7828" spans="119:119" x14ac:dyDescent="0.2">
      <c r="DO7828" s="303" t="s">
        <v>232</v>
      </c>
    </row>
    <row r="7829" spans="119:119" x14ac:dyDescent="0.2">
      <c r="DO7829" s="303" t="s">
        <v>232</v>
      </c>
    </row>
    <row r="7830" spans="119:119" x14ac:dyDescent="0.2">
      <c r="DO7830" s="303" t="s">
        <v>232</v>
      </c>
    </row>
    <row r="7831" spans="119:119" x14ac:dyDescent="0.2">
      <c r="DO7831" s="303" t="s">
        <v>232</v>
      </c>
    </row>
    <row r="7832" spans="119:119" x14ac:dyDescent="0.2">
      <c r="DO7832" s="303" t="s">
        <v>232</v>
      </c>
    </row>
    <row r="7833" spans="119:119" x14ac:dyDescent="0.2">
      <c r="DO7833" s="303" t="s">
        <v>232</v>
      </c>
    </row>
    <row r="7834" spans="119:119" x14ac:dyDescent="0.2">
      <c r="DO7834" s="303" t="s">
        <v>232</v>
      </c>
    </row>
    <row r="7835" spans="119:119" x14ac:dyDescent="0.2">
      <c r="DO7835" s="303" t="s">
        <v>232</v>
      </c>
    </row>
    <row r="7836" spans="119:119" x14ac:dyDescent="0.2">
      <c r="DO7836" s="303" t="s">
        <v>232</v>
      </c>
    </row>
    <row r="7837" spans="119:119" x14ac:dyDescent="0.2">
      <c r="DO7837" s="303" t="s">
        <v>232</v>
      </c>
    </row>
    <row r="7838" spans="119:119" x14ac:dyDescent="0.2">
      <c r="DO7838" s="303" t="s">
        <v>232</v>
      </c>
    </row>
    <row r="7839" spans="119:119" x14ac:dyDescent="0.2">
      <c r="DO7839" s="303" t="s">
        <v>232</v>
      </c>
    </row>
    <row r="7840" spans="119:119" x14ac:dyDescent="0.2">
      <c r="DO7840" s="303" t="s">
        <v>232</v>
      </c>
    </row>
    <row r="7841" spans="119:119" x14ac:dyDescent="0.2">
      <c r="DO7841" s="303" t="s">
        <v>232</v>
      </c>
    </row>
    <row r="7842" spans="119:119" x14ac:dyDescent="0.2">
      <c r="DO7842" s="303" t="s">
        <v>232</v>
      </c>
    </row>
    <row r="7843" spans="119:119" x14ac:dyDescent="0.2">
      <c r="DO7843" s="303" t="s">
        <v>232</v>
      </c>
    </row>
    <row r="7844" spans="119:119" x14ac:dyDescent="0.2">
      <c r="DO7844" s="303" t="s">
        <v>232</v>
      </c>
    </row>
    <row r="7845" spans="119:119" x14ac:dyDescent="0.2">
      <c r="DO7845" s="303" t="s">
        <v>232</v>
      </c>
    </row>
    <row r="7846" spans="119:119" x14ac:dyDescent="0.2">
      <c r="DO7846" s="303" t="s">
        <v>232</v>
      </c>
    </row>
    <row r="7847" spans="119:119" x14ac:dyDescent="0.2">
      <c r="DO7847" s="303" t="s">
        <v>232</v>
      </c>
    </row>
    <row r="7848" spans="119:119" x14ac:dyDescent="0.2">
      <c r="DO7848" s="303" t="s">
        <v>232</v>
      </c>
    </row>
    <row r="7849" spans="119:119" x14ac:dyDescent="0.2">
      <c r="DO7849" s="303" t="s">
        <v>232</v>
      </c>
    </row>
    <row r="7850" spans="119:119" x14ac:dyDescent="0.2">
      <c r="DO7850" s="303" t="s">
        <v>232</v>
      </c>
    </row>
    <row r="7851" spans="119:119" x14ac:dyDescent="0.2">
      <c r="DO7851" s="303" t="s">
        <v>232</v>
      </c>
    </row>
    <row r="7852" spans="119:119" x14ac:dyDescent="0.2">
      <c r="DO7852" s="303" t="s">
        <v>232</v>
      </c>
    </row>
    <row r="7853" spans="119:119" x14ac:dyDescent="0.2">
      <c r="DO7853" s="303" t="s">
        <v>232</v>
      </c>
    </row>
    <row r="7854" spans="119:119" x14ac:dyDescent="0.2">
      <c r="DO7854" s="303" t="s">
        <v>232</v>
      </c>
    </row>
    <row r="7855" spans="119:119" x14ac:dyDescent="0.2">
      <c r="DO7855" s="303" t="s">
        <v>232</v>
      </c>
    </row>
    <row r="7856" spans="119:119" x14ac:dyDescent="0.2">
      <c r="DO7856" s="303" t="s">
        <v>232</v>
      </c>
    </row>
    <row r="7857" spans="119:119" x14ac:dyDescent="0.2">
      <c r="DO7857" s="303" t="s">
        <v>232</v>
      </c>
    </row>
    <row r="7858" spans="119:119" x14ac:dyDescent="0.2">
      <c r="DO7858" s="303" t="s">
        <v>232</v>
      </c>
    </row>
    <row r="7859" spans="119:119" x14ac:dyDescent="0.2">
      <c r="DO7859" s="303" t="s">
        <v>232</v>
      </c>
    </row>
    <row r="7860" spans="119:119" x14ac:dyDescent="0.2">
      <c r="DO7860" s="303" t="s">
        <v>232</v>
      </c>
    </row>
    <row r="7861" spans="119:119" x14ac:dyDescent="0.2">
      <c r="DO7861" s="303" t="s">
        <v>232</v>
      </c>
    </row>
    <row r="7862" spans="119:119" x14ac:dyDescent="0.2">
      <c r="DO7862" s="303" t="s">
        <v>232</v>
      </c>
    </row>
    <row r="7863" spans="119:119" x14ac:dyDescent="0.2">
      <c r="DO7863" s="303" t="s">
        <v>232</v>
      </c>
    </row>
    <row r="7864" spans="119:119" x14ac:dyDescent="0.2">
      <c r="DO7864" s="303" t="s">
        <v>232</v>
      </c>
    </row>
    <row r="7865" spans="119:119" x14ac:dyDescent="0.2">
      <c r="DO7865" s="303" t="s">
        <v>232</v>
      </c>
    </row>
    <row r="7866" spans="119:119" x14ac:dyDescent="0.2">
      <c r="DO7866" s="303" t="s">
        <v>232</v>
      </c>
    </row>
    <row r="7867" spans="119:119" x14ac:dyDescent="0.2">
      <c r="DO7867" s="303" t="s">
        <v>232</v>
      </c>
    </row>
    <row r="7868" spans="119:119" x14ac:dyDescent="0.2">
      <c r="DO7868" s="303" t="s">
        <v>232</v>
      </c>
    </row>
    <row r="7869" spans="119:119" x14ac:dyDescent="0.2">
      <c r="DO7869" s="303" t="s">
        <v>232</v>
      </c>
    </row>
    <row r="7870" spans="119:119" x14ac:dyDescent="0.2">
      <c r="DO7870" s="303" t="s">
        <v>232</v>
      </c>
    </row>
    <row r="7871" spans="119:119" x14ac:dyDescent="0.2">
      <c r="DO7871" s="303" t="s">
        <v>232</v>
      </c>
    </row>
    <row r="7872" spans="119:119" x14ac:dyDescent="0.2">
      <c r="DO7872" s="303" t="s">
        <v>232</v>
      </c>
    </row>
    <row r="7873" spans="119:119" x14ac:dyDescent="0.2">
      <c r="DO7873" s="303" t="s">
        <v>232</v>
      </c>
    </row>
    <row r="7874" spans="119:119" x14ac:dyDescent="0.2">
      <c r="DO7874" s="303" t="s">
        <v>232</v>
      </c>
    </row>
    <row r="7875" spans="119:119" x14ac:dyDescent="0.2">
      <c r="DO7875" s="303" t="s">
        <v>232</v>
      </c>
    </row>
    <row r="7876" spans="119:119" x14ac:dyDescent="0.2">
      <c r="DO7876" s="303" t="s">
        <v>232</v>
      </c>
    </row>
    <row r="7877" spans="119:119" x14ac:dyDescent="0.2">
      <c r="DO7877" s="303" t="s">
        <v>232</v>
      </c>
    </row>
    <row r="7878" spans="119:119" x14ac:dyDescent="0.2">
      <c r="DO7878" s="303" t="s">
        <v>232</v>
      </c>
    </row>
    <row r="7879" spans="119:119" x14ac:dyDescent="0.2">
      <c r="DO7879" s="303" t="s">
        <v>232</v>
      </c>
    </row>
    <row r="7880" spans="119:119" x14ac:dyDescent="0.2">
      <c r="DO7880" s="303" t="s">
        <v>232</v>
      </c>
    </row>
    <row r="7881" spans="119:119" x14ac:dyDescent="0.2">
      <c r="DO7881" s="303" t="s">
        <v>232</v>
      </c>
    </row>
    <row r="7882" spans="119:119" x14ac:dyDescent="0.2">
      <c r="DO7882" s="303" t="s">
        <v>232</v>
      </c>
    </row>
    <row r="7883" spans="119:119" x14ac:dyDescent="0.2">
      <c r="DO7883" s="303" t="s">
        <v>232</v>
      </c>
    </row>
    <row r="7884" spans="119:119" x14ac:dyDescent="0.2">
      <c r="DO7884" s="303" t="s">
        <v>232</v>
      </c>
    </row>
    <row r="7885" spans="119:119" x14ac:dyDescent="0.2">
      <c r="DO7885" s="303" t="s">
        <v>232</v>
      </c>
    </row>
    <row r="7886" spans="119:119" x14ac:dyDescent="0.2">
      <c r="DO7886" s="303" t="s">
        <v>232</v>
      </c>
    </row>
    <row r="7887" spans="119:119" x14ac:dyDescent="0.2">
      <c r="DO7887" s="303" t="s">
        <v>232</v>
      </c>
    </row>
    <row r="7888" spans="119:119" x14ac:dyDescent="0.2">
      <c r="DO7888" s="303" t="s">
        <v>232</v>
      </c>
    </row>
    <row r="7889" spans="119:119" x14ac:dyDescent="0.2">
      <c r="DO7889" s="303" t="s">
        <v>232</v>
      </c>
    </row>
    <row r="7890" spans="119:119" x14ac:dyDescent="0.2">
      <c r="DO7890" s="303" t="s">
        <v>232</v>
      </c>
    </row>
    <row r="7891" spans="119:119" x14ac:dyDescent="0.2">
      <c r="DO7891" s="303" t="s">
        <v>232</v>
      </c>
    </row>
    <row r="7892" spans="119:119" x14ac:dyDescent="0.2">
      <c r="DO7892" s="303" t="s">
        <v>232</v>
      </c>
    </row>
    <row r="7893" spans="119:119" x14ac:dyDescent="0.2">
      <c r="DO7893" s="303" t="s">
        <v>232</v>
      </c>
    </row>
    <row r="7894" spans="119:119" x14ac:dyDescent="0.2">
      <c r="DO7894" s="303" t="s">
        <v>232</v>
      </c>
    </row>
    <row r="7895" spans="119:119" x14ac:dyDescent="0.2">
      <c r="DO7895" s="303" t="s">
        <v>232</v>
      </c>
    </row>
    <row r="7896" spans="119:119" x14ac:dyDescent="0.2">
      <c r="DO7896" s="303" t="s">
        <v>232</v>
      </c>
    </row>
    <row r="7897" spans="119:119" x14ac:dyDescent="0.2">
      <c r="DO7897" s="303" t="s">
        <v>232</v>
      </c>
    </row>
    <row r="7898" spans="119:119" x14ac:dyDescent="0.2">
      <c r="DO7898" s="303" t="s">
        <v>232</v>
      </c>
    </row>
    <row r="7899" spans="119:119" x14ac:dyDescent="0.2">
      <c r="DO7899" s="303" t="s">
        <v>232</v>
      </c>
    </row>
    <row r="7900" spans="119:119" x14ac:dyDescent="0.2">
      <c r="DO7900" s="303" t="s">
        <v>232</v>
      </c>
    </row>
    <row r="7901" spans="119:119" x14ac:dyDescent="0.2">
      <c r="DO7901" s="303" t="s">
        <v>232</v>
      </c>
    </row>
    <row r="7902" spans="119:119" x14ac:dyDescent="0.2">
      <c r="DO7902" s="303" t="s">
        <v>232</v>
      </c>
    </row>
    <row r="7903" spans="119:119" x14ac:dyDescent="0.2">
      <c r="DO7903" s="303" t="s">
        <v>232</v>
      </c>
    </row>
    <row r="7904" spans="119:119" x14ac:dyDescent="0.2">
      <c r="DO7904" s="303" t="s">
        <v>232</v>
      </c>
    </row>
    <row r="7905" spans="119:119" x14ac:dyDescent="0.2">
      <c r="DO7905" s="303" t="s">
        <v>232</v>
      </c>
    </row>
    <row r="7906" spans="119:119" x14ac:dyDescent="0.2">
      <c r="DO7906" s="303" t="s">
        <v>232</v>
      </c>
    </row>
    <row r="7907" spans="119:119" x14ac:dyDescent="0.2">
      <c r="DO7907" s="303" t="s">
        <v>232</v>
      </c>
    </row>
    <row r="7908" spans="119:119" x14ac:dyDescent="0.2">
      <c r="DO7908" s="303" t="s">
        <v>232</v>
      </c>
    </row>
    <row r="7909" spans="119:119" x14ac:dyDescent="0.2">
      <c r="DO7909" s="303" t="s">
        <v>232</v>
      </c>
    </row>
    <row r="7910" spans="119:119" x14ac:dyDescent="0.2">
      <c r="DO7910" s="303" t="s">
        <v>232</v>
      </c>
    </row>
    <row r="7911" spans="119:119" x14ac:dyDescent="0.2">
      <c r="DO7911" s="303" t="s">
        <v>232</v>
      </c>
    </row>
    <row r="7912" spans="119:119" x14ac:dyDescent="0.2">
      <c r="DO7912" s="303" t="s">
        <v>232</v>
      </c>
    </row>
    <row r="7913" spans="119:119" x14ac:dyDescent="0.2">
      <c r="DO7913" s="303" t="s">
        <v>232</v>
      </c>
    </row>
    <row r="7914" spans="119:119" x14ac:dyDescent="0.2">
      <c r="DO7914" s="303" t="s">
        <v>232</v>
      </c>
    </row>
    <row r="7915" spans="119:119" x14ac:dyDescent="0.2">
      <c r="DO7915" s="303" t="s">
        <v>232</v>
      </c>
    </row>
    <row r="7916" spans="119:119" x14ac:dyDescent="0.2">
      <c r="DO7916" s="303" t="s">
        <v>232</v>
      </c>
    </row>
    <row r="7917" spans="119:119" x14ac:dyDescent="0.2">
      <c r="DO7917" s="303" t="s">
        <v>232</v>
      </c>
    </row>
    <row r="7918" spans="119:119" x14ac:dyDescent="0.2">
      <c r="DO7918" s="303" t="s">
        <v>232</v>
      </c>
    </row>
    <row r="7919" spans="119:119" x14ac:dyDescent="0.2">
      <c r="DO7919" s="303" t="s">
        <v>232</v>
      </c>
    </row>
    <row r="7920" spans="119:119" x14ac:dyDescent="0.2">
      <c r="DO7920" s="303" t="s">
        <v>232</v>
      </c>
    </row>
    <row r="7921" spans="119:119" x14ac:dyDescent="0.2">
      <c r="DO7921" s="303" t="s">
        <v>232</v>
      </c>
    </row>
    <row r="7922" spans="119:119" x14ac:dyDescent="0.2">
      <c r="DO7922" s="303" t="s">
        <v>232</v>
      </c>
    </row>
    <row r="7923" spans="119:119" x14ac:dyDescent="0.2">
      <c r="DO7923" s="303" t="s">
        <v>232</v>
      </c>
    </row>
    <row r="7924" spans="119:119" x14ac:dyDescent="0.2">
      <c r="DO7924" s="303" t="s">
        <v>232</v>
      </c>
    </row>
    <row r="7925" spans="119:119" x14ac:dyDescent="0.2">
      <c r="DO7925" s="303" t="s">
        <v>232</v>
      </c>
    </row>
    <row r="7926" spans="119:119" x14ac:dyDescent="0.2">
      <c r="DO7926" s="303" t="s">
        <v>232</v>
      </c>
    </row>
    <row r="7927" spans="119:119" x14ac:dyDescent="0.2">
      <c r="DO7927" s="303" t="s">
        <v>232</v>
      </c>
    </row>
    <row r="7928" spans="119:119" x14ac:dyDescent="0.2">
      <c r="DO7928" s="303" t="s">
        <v>232</v>
      </c>
    </row>
    <row r="7929" spans="119:119" x14ac:dyDescent="0.2">
      <c r="DO7929" s="303" t="s">
        <v>232</v>
      </c>
    </row>
    <row r="7930" spans="119:119" x14ac:dyDescent="0.2">
      <c r="DO7930" s="303" t="s">
        <v>232</v>
      </c>
    </row>
    <row r="7931" spans="119:119" x14ac:dyDescent="0.2">
      <c r="DO7931" s="303" t="s">
        <v>232</v>
      </c>
    </row>
    <row r="7932" spans="119:119" x14ac:dyDescent="0.2">
      <c r="DO7932" s="303" t="s">
        <v>232</v>
      </c>
    </row>
    <row r="7933" spans="119:119" x14ac:dyDescent="0.2">
      <c r="DO7933" s="303" t="s">
        <v>232</v>
      </c>
    </row>
    <row r="7934" spans="119:119" x14ac:dyDescent="0.2">
      <c r="DO7934" s="303" t="s">
        <v>232</v>
      </c>
    </row>
    <row r="7935" spans="119:119" x14ac:dyDescent="0.2">
      <c r="DO7935" s="303" t="s">
        <v>232</v>
      </c>
    </row>
    <row r="7936" spans="119:119" x14ac:dyDescent="0.2">
      <c r="DO7936" s="303" t="s">
        <v>232</v>
      </c>
    </row>
    <row r="7937" spans="119:119" x14ac:dyDescent="0.2">
      <c r="DO7937" s="303" t="s">
        <v>232</v>
      </c>
    </row>
    <row r="7938" spans="119:119" x14ac:dyDescent="0.2">
      <c r="DO7938" s="303" t="s">
        <v>232</v>
      </c>
    </row>
    <row r="7939" spans="119:119" x14ac:dyDescent="0.2">
      <c r="DO7939" s="303" t="s">
        <v>232</v>
      </c>
    </row>
    <row r="7940" spans="119:119" x14ac:dyDescent="0.2">
      <c r="DO7940" s="303" t="s">
        <v>232</v>
      </c>
    </row>
    <row r="7941" spans="119:119" x14ac:dyDescent="0.2">
      <c r="DO7941" s="303" t="s">
        <v>232</v>
      </c>
    </row>
    <row r="7942" spans="119:119" x14ac:dyDescent="0.2">
      <c r="DO7942" s="303" t="s">
        <v>232</v>
      </c>
    </row>
    <row r="7943" spans="119:119" x14ac:dyDescent="0.2">
      <c r="DO7943" s="303" t="s">
        <v>232</v>
      </c>
    </row>
    <row r="7944" spans="119:119" x14ac:dyDescent="0.2">
      <c r="DO7944" s="303" t="s">
        <v>232</v>
      </c>
    </row>
    <row r="7945" spans="119:119" x14ac:dyDescent="0.2">
      <c r="DO7945" s="303" t="s">
        <v>232</v>
      </c>
    </row>
    <row r="7946" spans="119:119" x14ac:dyDescent="0.2">
      <c r="DO7946" s="303" t="s">
        <v>232</v>
      </c>
    </row>
    <row r="7947" spans="119:119" x14ac:dyDescent="0.2">
      <c r="DO7947" s="303" t="s">
        <v>232</v>
      </c>
    </row>
    <row r="7948" spans="119:119" x14ac:dyDescent="0.2">
      <c r="DO7948" s="303" t="s">
        <v>232</v>
      </c>
    </row>
    <row r="7949" spans="119:119" x14ac:dyDescent="0.2">
      <c r="DO7949" s="303" t="s">
        <v>232</v>
      </c>
    </row>
    <row r="7950" spans="119:119" x14ac:dyDescent="0.2">
      <c r="DO7950" s="303" t="s">
        <v>232</v>
      </c>
    </row>
    <row r="7951" spans="119:119" x14ac:dyDescent="0.2">
      <c r="DO7951" s="303" t="s">
        <v>232</v>
      </c>
    </row>
    <row r="7952" spans="119:119" x14ac:dyDescent="0.2">
      <c r="DO7952" s="303" t="s">
        <v>232</v>
      </c>
    </row>
    <row r="7953" spans="119:119" x14ac:dyDescent="0.2">
      <c r="DO7953" s="303" t="s">
        <v>232</v>
      </c>
    </row>
    <row r="7954" spans="119:119" x14ac:dyDescent="0.2">
      <c r="DO7954" s="303" t="s">
        <v>232</v>
      </c>
    </row>
    <row r="7955" spans="119:119" x14ac:dyDescent="0.2">
      <c r="DO7955" s="303" t="s">
        <v>232</v>
      </c>
    </row>
    <row r="7956" spans="119:119" x14ac:dyDescent="0.2">
      <c r="DO7956" s="303" t="s">
        <v>232</v>
      </c>
    </row>
    <row r="7957" spans="119:119" x14ac:dyDescent="0.2">
      <c r="DO7957" s="303" t="s">
        <v>232</v>
      </c>
    </row>
    <row r="7958" spans="119:119" x14ac:dyDescent="0.2">
      <c r="DO7958" s="303" t="s">
        <v>232</v>
      </c>
    </row>
    <row r="7959" spans="119:119" x14ac:dyDescent="0.2">
      <c r="DO7959" s="303" t="s">
        <v>232</v>
      </c>
    </row>
    <row r="7960" spans="119:119" x14ac:dyDescent="0.2">
      <c r="DO7960" s="303" t="s">
        <v>232</v>
      </c>
    </row>
    <row r="7961" spans="119:119" x14ac:dyDescent="0.2">
      <c r="DO7961" s="303" t="s">
        <v>232</v>
      </c>
    </row>
    <row r="7962" spans="119:119" x14ac:dyDescent="0.2">
      <c r="DO7962" s="303" t="s">
        <v>232</v>
      </c>
    </row>
    <row r="7963" spans="119:119" x14ac:dyDescent="0.2">
      <c r="DO7963" s="303" t="s">
        <v>232</v>
      </c>
    </row>
    <row r="7964" spans="119:119" x14ac:dyDescent="0.2">
      <c r="DO7964" s="303" t="s">
        <v>232</v>
      </c>
    </row>
    <row r="7965" spans="119:119" x14ac:dyDescent="0.2">
      <c r="DO7965" s="303" t="s">
        <v>232</v>
      </c>
    </row>
    <row r="7966" spans="119:119" x14ac:dyDescent="0.2">
      <c r="DO7966" s="303" t="s">
        <v>232</v>
      </c>
    </row>
    <row r="7967" spans="119:119" x14ac:dyDescent="0.2">
      <c r="DO7967" s="303" t="s">
        <v>232</v>
      </c>
    </row>
    <row r="7968" spans="119:119" x14ac:dyDescent="0.2">
      <c r="DO7968" s="303" t="s">
        <v>232</v>
      </c>
    </row>
    <row r="7969" spans="119:119" x14ac:dyDescent="0.2">
      <c r="DO7969" s="303" t="s">
        <v>232</v>
      </c>
    </row>
    <row r="7970" spans="119:119" x14ac:dyDescent="0.2">
      <c r="DO7970" s="303" t="s">
        <v>232</v>
      </c>
    </row>
    <row r="7971" spans="119:119" x14ac:dyDescent="0.2">
      <c r="DO7971" s="303" t="s">
        <v>232</v>
      </c>
    </row>
    <row r="7972" spans="119:119" x14ac:dyDescent="0.2">
      <c r="DO7972" s="303" t="s">
        <v>232</v>
      </c>
    </row>
    <row r="7973" spans="119:119" x14ac:dyDescent="0.2">
      <c r="DO7973" s="303" t="s">
        <v>232</v>
      </c>
    </row>
    <row r="7974" spans="119:119" x14ac:dyDescent="0.2">
      <c r="DO7974" s="303" t="s">
        <v>232</v>
      </c>
    </row>
    <row r="7975" spans="119:119" x14ac:dyDescent="0.2">
      <c r="DO7975" s="303" t="s">
        <v>232</v>
      </c>
    </row>
    <row r="7976" spans="119:119" x14ac:dyDescent="0.2">
      <c r="DO7976" s="303" t="s">
        <v>232</v>
      </c>
    </row>
    <row r="7977" spans="119:119" x14ac:dyDescent="0.2">
      <c r="DO7977" s="303" t="s">
        <v>232</v>
      </c>
    </row>
    <row r="7978" spans="119:119" x14ac:dyDescent="0.2">
      <c r="DO7978" s="303" t="s">
        <v>232</v>
      </c>
    </row>
    <row r="7979" spans="119:119" x14ac:dyDescent="0.2">
      <c r="DO7979" s="303" t="s">
        <v>232</v>
      </c>
    </row>
    <row r="7980" spans="119:119" x14ac:dyDescent="0.2">
      <c r="DO7980" s="303" t="s">
        <v>232</v>
      </c>
    </row>
    <row r="7981" spans="119:119" x14ac:dyDescent="0.2">
      <c r="DO7981" s="303" t="s">
        <v>232</v>
      </c>
    </row>
    <row r="7982" spans="119:119" x14ac:dyDescent="0.2">
      <c r="DO7982" s="303" t="s">
        <v>232</v>
      </c>
    </row>
    <row r="7983" spans="119:119" x14ac:dyDescent="0.2">
      <c r="DO7983" s="303" t="s">
        <v>232</v>
      </c>
    </row>
    <row r="7984" spans="119:119" x14ac:dyDescent="0.2">
      <c r="DO7984" s="303" t="s">
        <v>232</v>
      </c>
    </row>
    <row r="7985" spans="119:119" x14ac:dyDescent="0.2">
      <c r="DO7985" s="303" t="s">
        <v>232</v>
      </c>
    </row>
    <row r="7986" spans="119:119" x14ac:dyDescent="0.2">
      <c r="DO7986" s="303" t="s">
        <v>232</v>
      </c>
    </row>
    <row r="7987" spans="119:119" x14ac:dyDescent="0.2">
      <c r="DO7987" s="303" t="s">
        <v>232</v>
      </c>
    </row>
    <row r="7988" spans="119:119" x14ac:dyDescent="0.2">
      <c r="DO7988" s="303" t="s">
        <v>232</v>
      </c>
    </row>
    <row r="7989" spans="119:119" x14ac:dyDescent="0.2">
      <c r="DO7989" s="303" t="s">
        <v>232</v>
      </c>
    </row>
    <row r="7990" spans="119:119" x14ac:dyDescent="0.2">
      <c r="DO7990" s="303" t="s">
        <v>232</v>
      </c>
    </row>
    <row r="7991" spans="119:119" x14ac:dyDescent="0.2">
      <c r="DO7991" s="303" t="s">
        <v>232</v>
      </c>
    </row>
    <row r="7992" spans="119:119" x14ac:dyDescent="0.2">
      <c r="DO7992" s="303" t="s">
        <v>232</v>
      </c>
    </row>
    <row r="7993" spans="119:119" x14ac:dyDescent="0.2">
      <c r="DO7993" s="303" t="s">
        <v>232</v>
      </c>
    </row>
    <row r="7994" spans="119:119" x14ac:dyDescent="0.2">
      <c r="DO7994" s="303" t="s">
        <v>232</v>
      </c>
    </row>
    <row r="7995" spans="119:119" x14ac:dyDescent="0.2">
      <c r="DO7995" s="303" t="s">
        <v>232</v>
      </c>
    </row>
    <row r="7996" spans="119:119" x14ac:dyDescent="0.2">
      <c r="DO7996" s="303" t="s">
        <v>232</v>
      </c>
    </row>
    <row r="7997" spans="119:119" x14ac:dyDescent="0.2">
      <c r="DO7997" s="303" t="s">
        <v>232</v>
      </c>
    </row>
    <row r="7998" spans="119:119" x14ac:dyDescent="0.2">
      <c r="DO7998" s="303" t="s">
        <v>232</v>
      </c>
    </row>
    <row r="7999" spans="119:119" x14ac:dyDescent="0.2">
      <c r="DO7999" s="303" t="s">
        <v>232</v>
      </c>
    </row>
    <row r="8000" spans="119:119" x14ac:dyDescent="0.2">
      <c r="DO8000" s="303" t="s">
        <v>232</v>
      </c>
    </row>
    <row r="8001" spans="119:119" x14ac:dyDescent="0.2">
      <c r="DO8001" s="303" t="s">
        <v>232</v>
      </c>
    </row>
    <row r="8002" spans="119:119" x14ac:dyDescent="0.2">
      <c r="DO8002" s="303" t="s">
        <v>232</v>
      </c>
    </row>
    <row r="8003" spans="119:119" x14ac:dyDescent="0.2">
      <c r="DO8003" s="303" t="s">
        <v>232</v>
      </c>
    </row>
    <row r="8004" spans="119:119" x14ac:dyDescent="0.2">
      <c r="DO8004" s="303" t="s">
        <v>232</v>
      </c>
    </row>
    <row r="8005" spans="119:119" x14ac:dyDescent="0.2">
      <c r="DO8005" s="303" t="s">
        <v>232</v>
      </c>
    </row>
    <row r="8006" spans="119:119" x14ac:dyDescent="0.2">
      <c r="DO8006" s="303" t="s">
        <v>232</v>
      </c>
    </row>
    <row r="8007" spans="119:119" x14ac:dyDescent="0.2">
      <c r="DO8007" s="303" t="s">
        <v>232</v>
      </c>
    </row>
    <row r="8008" spans="119:119" x14ac:dyDescent="0.2">
      <c r="DO8008" s="303" t="s">
        <v>232</v>
      </c>
    </row>
    <row r="8009" spans="119:119" x14ac:dyDescent="0.2">
      <c r="DO8009" s="303" t="s">
        <v>232</v>
      </c>
    </row>
    <row r="8010" spans="119:119" x14ac:dyDescent="0.2">
      <c r="DO8010" s="303" t="s">
        <v>232</v>
      </c>
    </row>
    <row r="8011" spans="119:119" x14ac:dyDescent="0.2">
      <c r="DO8011" s="303" t="s">
        <v>232</v>
      </c>
    </row>
    <row r="8012" spans="119:119" x14ac:dyDescent="0.2">
      <c r="DO8012" s="303" t="s">
        <v>232</v>
      </c>
    </row>
    <row r="8013" spans="119:119" x14ac:dyDescent="0.2">
      <c r="DO8013" s="303" t="s">
        <v>232</v>
      </c>
    </row>
    <row r="8014" spans="119:119" x14ac:dyDescent="0.2">
      <c r="DO8014" s="303" t="s">
        <v>232</v>
      </c>
    </row>
    <row r="8015" spans="119:119" x14ac:dyDescent="0.2">
      <c r="DO8015" s="303" t="s">
        <v>232</v>
      </c>
    </row>
    <row r="8016" spans="119:119" x14ac:dyDescent="0.2">
      <c r="DO8016" s="303" t="s">
        <v>232</v>
      </c>
    </row>
    <row r="8017" spans="119:119" x14ac:dyDescent="0.2">
      <c r="DO8017" s="303" t="s">
        <v>232</v>
      </c>
    </row>
    <row r="8018" spans="119:119" x14ac:dyDescent="0.2">
      <c r="DO8018" s="303" t="s">
        <v>232</v>
      </c>
    </row>
    <row r="8019" spans="119:119" x14ac:dyDescent="0.2">
      <c r="DO8019" s="303" t="s">
        <v>232</v>
      </c>
    </row>
    <row r="8020" spans="119:119" x14ac:dyDescent="0.2">
      <c r="DO8020" s="303" t="s">
        <v>232</v>
      </c>
    </row>
    <row r="8021" spans="119:119" x14ac:dyDescent="0.2">
      <c r="DO8021" s="303" t="s">
        <v>232</v>
      </c>
    </row>
    <row r="8022" spans="119:119" x14ac:dyDescent="0.2">
      <c r="DO8022" s="303" t="s">
        <v>232</v>
      </c>
    </row>
    <row r="8023" spans="119:119" x14ac:dyDescent="0.2">
      <c r="DO8023" s="303" t="s">
        <v>232</v>
      </c>
    </row>
    <row r="8024" spans="119:119" x14ac:dyDescent="0.2">
      <c r="DO8024" s="303" t="s">
        <v>232</v>
      </c>
    </row>
    <row r="8025" spans="119:119" x14ac:dyDescent="0.2">
      <c r="DO8025" s="303" t="s">
        <v>232</v>
      </c>
    </row>
    <row r="8026" spans="119:119" x14ac:dyDescent="0.2">
      <c r="DO8026" s="303" t="s">
        <v>232</v>
      </c>
    </row>
    <row r="8027" spans="119:119" x14ac:dyDescent="0.2">
      <c r="DO8027" s="303" t="s">
        <v>232</v>
      </c>
    </row>
    <row r="8028" spans="119:119" x14ac:dyDescent="0.2">
      <c r="DO8028" s="303" t="s">
        <v>232</v>
      </c>
    </row>
    <row r="8029" spans="119:119" x14ac:dyDescent="0.2">
      <c r="DO8029" s="303" t="s">
        <v>232</v>
      </c>
    </row>
    <row r="8030" spans="119:119" x14ac:dyDescent="0.2">
      <c r="DO8030" s="303" t="s">
        <v>232</v>
      </c>
    </row>
    <row r="8031" spans="119:119" x14ac:dyDescent="0.2">
      <c r="DO8031" s="303" t="s">
        <v>232</v>
      </c>
    </row>
    <row r="8032" spans="119:119" x14ac:dyDescent="0.2">
      <c r="DO8032" s="303" t="s">
        <v>232</v>
      </c>
    </row>
    <row r="8033" spans="119:119" x14ac:dyDescent="0.2">
      <c r="DO8033" s="303" t="s">
        <v>232</v>
      </c>
    </row>
    <row r="8034" spans="119:119" x14ac:dyDescent="0.2">
      <c r="DO8034" s="303" t="s">
        <v>232</v>
      </c>
    </row>
    <row r="8035" spans="119:119" x14ac:dyDescent="0.2">
      <c r="DO8035" s="303" t="s">
        <v>232</v>
      </c>
    </row>
    <row r="8036" spans="119:119" x14ac:dyDescent="0.2">
      <c r="DO8036" s="303" t="s">
        <v>232</v>
      </c>
    </row>
    <row r="8037" spans="119:119" x14ac:dyDescent="0.2">
      <c r="DO8037" s="303" t="s">
        <v>232</v>
      </c>
    </row>
    <row r="8038" spans="119:119" x14ac:dyDescent="0.2">
      <c r="DO8038" s="303" t="s">
        <v>232</v>
      </c>
    </row>
    <row r="8039" spans="119:119" x14ac:dyDescent="0.2">
      <c r="DO8039" s="303" t="s">
        <v>232</v>
      </c>
    </row>
    <row r="8040" spans="119:119" x14ac:dyDescent="0.2">
      <c r="DO8040" s="303" t="s">
        <v>232</v>
      </c>
    </row>
    <row r="8041" spans="119:119" x14ac:dyDescent="0.2">
      <c r="DO8041" s="303" t="s">
        <v>232</v>
      </c>
    </row>
    <row r="8042" spans="119:119" x14ac:dyDescent="0.2">
      <c r="DO8042" s="303" t="s">
        <v>232</v>
      </c>
    </row>
    <row r="8043" spans="119:119" x14ac:dyDescent="0.2">
      <c r="DO8043" s="303" t="s">
        <v>232</v>
      </c>
    </row>
    <row r="8044" spans="119:119" x14ac:dyDescent="0.2">
      <c r="DO8044" s="303" t="s">
        <v>232</v>
      </c>
    </row>
    <row r="8045" spans="119:119" x14ac:dyDescent="0.2">
      <c r="DO8045" s="303" t="s">
        <v>232</v>
      </c>
    </row>
    <row r="8046" spans="119:119" x14ac:dyDescent="0.2">
      <c r="DO8046" s="303" t="s">
        <v>232</v>
      </c>
    </row>
    <row r="8047" spans="119:119" x14ac:dyDescent="0.2">
      <c r="DO8047" s="303" t="s">
        <v>232</v>
      </c>
    </row>
    <row r="8048" spans="119:119" x14ac:dyDescent="0.2">
      <c r="DO8048" s="303" t="s">
        <v>232</v>
      </c>
    </row>
    <row r="8049" spans="119:119" x14ac:dyDescent="0.2">
      <c r="DO8049" s="303" t="s">
        <v>232</v>
      </c>
    </row>
    <row r="8050" spans="119:119" x14ac:dyDescent="0.2">
      <c r="DO8050" s="303" t="s">
        <v>232</v>
      </c>
    </row>
    <row r="8051" spans="119:119" x14ac:dyDescent="0.2">
      <c r="DO8051" s="303" t="s">
        <v>232</v>
      </c>
    </row>
    <row r="8052" spans="119:119" x14ac:dyDescent="0.2">
      <c r="DO8052" s="303" t="s">
        <v>232</v>
      </c>
    </row>
    <row r="8053" spans="119:119" x14ac:dyDescent="0.2">
      <c r="DO8053" s="303" t="s">
        <v>232</v>
      </c>
    </row>
    <row r="8054" spans="119:119" x14ac:dyDescent="0.2">
      <c r="DO8054" s="303" t="s">
        <v>232</v>
      </c>
    </row>
    <row r="8055" spans="119:119" x14ac:dyDescent="0.2">
      <c r="DO8055" s="303" t="s">
        <v>232</v>
      </c>
    </row>
    <row r="8056" spans="119:119" x14ac:dyDescent="0.2">
      <c r="DO8056" s="303" t="s">
        <v>232</v>
      </c>
    </row>
    <row r="8057" spans="119:119" x14ac:dyDescent="0.2">
      <c r="DO8057" s="303" t="s">
        <v>232</v>
      </c>
    </row>
    <row r="8058" spans="119:119" x14ac:dyDescent="0.2">
      <c r="DO8058" s="303" t="s">
        <v>232</v>
      </c>
    </row>
    <row r="8059" spans="119:119" x14ac:dyDescent="0.2">
      <c r="DO8059" s="303" t="s">
        <v>232</v>
      </c>
    </row>
    <row r="8060" spans="119:119" x14ac:dyDescent="0.2">
      <c r="DO8060" s="303" t="s">
        <v>232</v>
      </c>
    </row>
    <row r="8061" spans="119:119" x14ac:dyDescent="0.2">
      <c r="DO8061" s="303" t="s">
        <v>232</v>
      </c>
    </row>
    <row r="8062" spans="119:119" x14ac:dyDescent="0.2">
      <c r="DO8062" s="303" t="s">
        <v>232</v>
      </c>
    </row>
    <row r="8063" spans="119:119" x14ac:dyDescent="0.2">
      <c r="DO8063" s="303" t="s">
        <v>232</v>
      </c>
    </row>
    <row r="8064" spans="119:119" x14ac:dyDescent="0.2">
      <c r="DO8064" s="303" t="s">
        <v>232</v>
      </c>
    </row>
    <row r="8065" spans="119:119" x14ac:dyDescent="0.2">
      <c r="DO8065" s="303" t="s">
        <v>232</v>
      </c>
    </row>
    <row r="8066" spans="119:119" x14ac:dyDescent="0.2">
      <c r="DO8066" s="303" t="s">
        <v>232</v>
      </c>
    </row>
    <row r="8067" spans="119:119" x14ac:dyDescent="0.2">
      <c r="DO8067" s="303" t="s">
        <v>232</v>
      </c>
    </row>
    <row r="8068" spans="119:119" x14ac:dyDescent="0.2">
      <c r="DO8068" s="303" t="s">
        <v>232</v>
      </c>
    </row>
    <row r="8069" spans="119:119" x14ac:dyDescent="0.2">
      <c r="DO8069" s="303" t="s">
        <v>232</v>
      </c>
    </row>
    <row r="8070" spans="119:119" x14ac:dyDescent="0.2">
      <c r="DO8070" s="303" t="s">
        <v>232</v>
      </c>
    </row>
    <row r="8071" spans="119:119" x14ac:dyDescent="0.2">
      <c r="DO8071" s="303" t="s">
        <v>232</v>
      </c>
    </row>
    <row r="8072" spans="119:119" x14ac:dyDescent="0.2">
      <c r="DO8072" s="303" t="s">
        <v>232</v>
      </c>
    </row>
    <row r="8073" spans="119:119" x14ac:dyDescent="0.2">
      <c r="DO8073" s="303" t="s">
        <v>232</v>
      </c>
    </row>
    <row r="8074" spans="119:119" x14ac:dyDescent="0.2">
      <c r="DO8074" s="303" t="s">
        <v>232</v>
      </c>
    </row>
    <row r="8075" spans="119:119" x14ac:dyDescent="0.2">
      <c r="DO8075" s="303" t="s">
        <v>232</v>
      </c>
    </row>
    <row r="8076" spans="119:119" x14ac:dyDescent="0.2">
      <c r="DO8076" s="303" t="s">
        <v>232</v>
      </c>
    </row>
    <row r="8077" spans="119:119" x14ac:dyDescent="0.2">
      <c r="DO8077" s="303" t="s">
        <v>232</v>
      </c>
    </row>
    <row r="8078" spans="119:119" x14ac:dyDescent="0.2">
      <c r="DO8078" s="303" t="s">
        <v>232</v>
      </c>
    </row>
    <row r="8079" spans="119:119" x14ac:dyDescent="0.2">
      <c r="DO8079" s="303" t="s">
        <v>232</v>
      </c>
    </row>
    <row r="8080" spans="119:119" x14ac:dyDescent="0.2">
      <c r="DO8080" s="303" t="s">
        <v>232</v>
      </c>
    </row>
    <row r="8081" spans="119:119" x14ac:dyDescent="0.2">
      <c r="DO8081" s="303" t="s">
        <v>232</v>
      </c>
    </row>
    <row r="8082" spans="119:119" x14ac:dyDescent="0.2">
      <c r="DO8082" s="303" t="s">
        <v>232</v>
      </c>
    </row>
    <row r="8083" spans="119:119" x14ac:dyDescent="0.2">
      <c r="DO8083" s="303" t="s">
        <v>232</v>
      </c>
    </row>
    <row r="8084" spans="119:119" x14ac:dyDescent="0.2">
      <c r="DO8084" s="303" t="s">
        <v>232</v>
      </c>
    </row>
    <row r="8085" spans="119:119" x14ac:dyDescent="0.2">
      <c r="DO8085" s="303" t="s">
        <v>232</v>
      </c>
    </row>
    <row r="8086" spans="119:119" x14ac:dyDescent="0.2">
      <c r="DO8086" s="303" t="s">
        <v>232</v>
      </c>
    </row>
    <row r="8087" spans="119:119" x14ac:dyDescent="0.2">
      <c r="DO8087" s="303" t="s">
        <v>232</v>
      </c>
    </row>
    <row r="8088" spans="119:119" x14ac:dyDescent="0.2">
      <c r="DO8088" s="303" t="s">
        <v>232</v>
      </c>
    </row>
    <row r="8089" spans="119:119" x14ac:dyDescent="0.2">
      <c r="DO8089" s="303" t="s">
        <v>232</v>
      </c>
    </row>
    <row r="8090" spans="119:119" x14ac:dyDescent="0.2">
      <c r="DO8090" s="303" t="s">
        <v>232</v>
      </c>
    </row>
    <row r="8091" spans="119:119" x14ac:dyDescent="0.2">
      <c r="DO8091" s="303" t="s">
        <v>232</v>
      </c>
    </row>
    <row r="8092" spans="119:119" x14ac:dyDescent="0.2">
      <c r="DO8092" s="303" t="s">
        <v>232</v>
      </c>
    </row>
    <row r="8093" spans="119:119" x14ac:dyDescent="0.2">
      <c r="DO8093" s="303" t="s">
        <v>232</v>
      </c>
    </row>
    <row r="8094" spans="119:119" x14ac:dyDescent="0.2">
      <c r="DO8094" s="303" t="s">
        <v>232</v>
      </c>
    </row>
    <row r="8095" spans="119:119" x14ac:dyDescent="0.2">
      <c r="DO8095" s="303" t="s">
        <v>232</v>
      </c>
    </row>
    <row r="8096" spans="119:119" x14ac:dyDescent="0.2">
      <c r="DO8096" s="303" t="s">
        <v>232</v>
      </c>
    </row>
    <row r="8097" spans="119:119" x14ac:dyDescent="0.2">
      <c r="DO8097" s="303" t="s">
        <v>232</v>
      </c>
    </row>
    <row r="8098" spans="119:119" x14ac:dyDescent="0.2">
      <c r="DO8098" s="303" t="s">
        <v>232</v>
      </c>
    </row>
    <row r="8099" spans="119:119" x14ac:dyDescent="0.2">
      <c r="DO8099" s="303" t="s">
        <v>232</v>
      </c>
    </row>
    <row r="8100" spans="119:119" x14ac:dyDescent="0.2">
      <c r="DO8100" s="303" t="s">
        <v>232</v>
      </c>
    </row>
    <row r="8101" spans="119:119" x14ac:dyDescent="0.2">
      <c r="DO8101" s="303" t="s">
        <v>232</v>
      </c>
    </row>
    <row r="8102" spans="119:119" x14ac:dyDescent="0.2">
      <c r="DO8102" s="303" t="s">
        <v>232</v>
      </c>
    </row>
    <row r="8103" spans="119:119" x14ac:dyDescent="0.2">
      <c r="DO8103" s="303" t="s">
        <v>232</v>
      </c>
    </row>
    <row r="8104" spans="119:119" x14ac:dyDescent="0.2">
      <c r="DO8104" s="303" t="s">
        <v>232</v>
      </c>
    </row>
    <row r="8105" spans="119:119" x14ac:dyDescent="0.2">
      <c r="DO8105" s="303" t="s">
        <v>232</v>
      </c>
    </row>
    <row r="8106" spans="119:119" x14ac:dyDescent="0.2">
      <c r="DO8106" s="303" t="s">
        <v>232</v>
      </c>
    </row>
    <row r="8107" spans="119:119" x14ac:dyDescent="0.2">
      <c r="DO8107" s="303" t="s">
        <v>232</v>
      </c>
    </row>
    <row r="8108" spans="119:119" x14ac:dyDescent="0.2">
      <c r="DO8108" s="303" t="s">
        <v>232</v>
      </c>
    </row>
    <row r="8109" spans="119:119" x14ac:dyDescent="0.2">
      <c r="DO8109" s="303" t="s">
        <v>232</v>
      </c>
    </row>
    <row r="8110" spans="119:119" x14ac:dyDescent="0.2">
      <c r="DO8110" s="303" t="s">
        <v>232</v>
      </c>
    </row>
    <row r="8111" spans="119:119" x14ac:dyDescent="0.2">
      <c r="DO8111" s="303" t="s">
        <v>232</v>
      </c>
    </row>
    <row r="8112" spans="119:119" x14ac:dyDescent="0.2">
      <c r="DO8112" s="303" t="s">
        <v>232</v>
      </c>
    </row>
    <row r="8113" spans="119:119" x14ac:dyDescent="0.2">
      <c r="DO8113" s="303" t="s">
        <v>232</v>
      </c>
    </row>
    <row r="8114" spans="119:119" x14ac:dyDescent="0.2">
      <c r="DO8114" s="303" t="s">
        <v>232</v>
      </c>
    </row>
    <row r="8115" spans="119:119" x14ac:dyDescent="0.2">
      <c r="DO8115" s="303" t="s">
        <v>232</v>
      </c>
    </row>
    <row r="8116" spans="119:119" x14ac:dyDescent="0.2">
      <c r="DO8116" s="303" t="s">
        <v>232</v>
      </c>
    </row>
    <row r="8117" spans="119:119" x14ac:dyDescent="0.2">
      <c r="DO8117" s="303" t="s">
        <v>232</v>
      </c>
    </row>
    <row r="8118" spans="119:119" x14ac:dyDescent="0.2">
      <c r="DO8118" s="303" t="s">
        <v>232</v>
      </c>
    </row>
    <row r="8119" spans="119:119" x14ac:dyDescent="0.2">
      <c r="DO8119" s="303" t="s">
        <v>232</v>
      </c>
    </row>
    <row r="8120" spans="119:119" x14ac:dyDescent="0.2">
      <c r="DO8120" s="303" t="s">
        <v>232</v>
      </c>
    </row>
    <row r="8121" spans="119:119" x14ac:dyDescent="0.2">
      <c r="DO8121" s="303" t="s">
        <v>232</v>
      </c>
    </row>
    <row r="8122" spans="119:119" x14ac:dyDescent="0.2">
      <c r="DO8122" s="303" t="s">
        <v>232</v>
      </c>
    </row>
    <row r="8123" spans="119:119" x14ac:dyDescent="0.2">
      <c r="DO8123" s="303" t="s">
        <v>232</v>
      </c>
    </row>
    <row r="8124" spans="119:119" x14ac:dyDescent="0.2">
      <c r="DO8124" s="303" t="s">
        <v>232</v>
      </c>
    </row>
    <row r="8125" spans="119:119" x14ac:dyDescent="0.2">
      <c r="DO8125" s="303" t="s">
        <v>232</v>
      </c>
    </row>
    <row r="8126" spans="119:119" x14ac:dyDescent="0.2">
      <c r="DO8126" s="303" t="s">
        <v>232</v>
      </c>
    </row>
    <row r="8127" spans="119:119" x14ac:dyDescent="0.2">
      <c r="DO8127" s="303" t="s">
        <v>232</v>
      </c>
    </row>
    <row r="8128" spans="119:119" x14ac:dyDescent="0.2">
      <c r="DO8128" s="303" t="s">
        <v>232</v>
      </c>
    </row>
    <row r="8129" spans="119:119" x14ac:dyDescent="0.2">
      <c r="DO8129" s="303" t="s">
        <v>232</v>
      </c>
    </row>
    <row r="8130" spans="119:119" x14ac:dyDescent="0.2">
      <c r="DO8130" s="303" t="s">
        <v>232</v>
      </c>
    </row>
    <row r="8131" spans="119:119" x14ac:dyDescent="0.2">
      <c r="DO8131" s="303" t="s">
        <v>232</v>
      </c>
    </row>
    <row r="8132" spans="119:119" x14ac:dyDescent="0.2">
      <c r="DO8132" s="303" t="s">
        <v>232</v>
      </c>
    </row>
    <row r="8133" spans="119:119" x14ac:dyDescent="0.2">
      <c r="DO8133" s="303" t="s">
        <v>232</v>
      </c>
    </row>
    <row r="8134" spans="119:119" x14ac:dyDescent="0.2">
      <c r="DO8134" s="303" t="s">
        <v>232</v>
      </c>
    </row>
    <row r="8135" spans="119:119" x14ac:dyDescent="0.2">
      <c r="DO8135" s="303" t="s">
        <v>232</v>
      </c>
    </row>
    <row r="8136" spans="119:119" x14ac:dyDescent="0.2">
      <c r="DO8136" s="303" t="s">
        <v>232</v>
      </c>
    </row>
    <row r="8137" spans="119:119" x14ac:dyDescent="0.2">
      <c r="DO8137" s="303" t="s">
        <v>232</v>
      </c>
    </row>
    <row r="8138" spans="119:119" x14ac:dyDescent="0.2">
      <c r="DO8138" s="303" t="s">
        <v>232</v>
      </c>
    </row>
    <row r="8139" spans="119:119" x14ac:dyDescent="0.2">
      <c r="DO8139" s="303" t="s">
        <v>232</v>
      </c>
    </row>
    <row r="8140" spans="119:119" x14ac:dyDescent="0.2">
      <c r="DO8140" s="303" t="s">
        <v>232</v>
      </c>
    </row>
    <row r="8141" spans="119:119" x14ac:dyDescent="0.2">
      <c r="DO8141" s="303" t="s">
        <v>232</v>
      </c>
    </row>
    <row r="8142" spans="119:119" x14ac:dyDescent="0.2">
      <c r="DO8142" s="303" t="s">
        <v>232</v>
      </c>
    </row>
    <row r="8143" spans="119:119" x14ac:dyDescent="0.2">
      <c r="DO8143" s="303" t="s">
        <v>232</v>
      </c>
    </row>
    <row r="8144" spans="119:119" x14ac:dyDescent="0.2">
      <c r="DO8144" s="303" t="s">
        <v>232</v>
      </c>
    </row>
    <row r="8145" spans="119:119" x14ac:dyDescent="0.2">
      <c r="DO8145" s="303" t="s">
        <v>232</v>
      </c>
    </row>
    <row r="8146" spans="119:119" x14ac:dyDescent="0.2">
      <c r="DO8146" s="303" t="s">
        <v>232</v>
      </c>
    </row>
    <row r="8147" spans="119:119" x14ac:dyDescent="0.2">
      <c r="DO8147" s="303" t="s">
        <v>232</v>
      </c>
    </row>
    <row r="8148" spans="119:119" x14ac:dyDescent="0.2">
      <c r="DO8148" s="303" t="s">
        <v>232</v>
      </c>
    </row>
    <row r="8149" spans="119:119" x14ac:dyDescent="0.2">
      <c r="DO8149" s="303" t="s">
        <v>232</v>
      </c>
    </row>
    <row r="8150" spans="119:119" x14ac:dyDescent="0.2">
      <c r="DO8150" s="303" t="s">
        <v>232</v>
      </c>
    </row>
    <row r="8151" spans="119:119" x14ac:dyDescent="0.2">
      <c r="DO8151" s="303" t="s">
        <v>232</v>
      </c>
    </row>
    <row r="8152" spans="119:119" x14ac:dyDescent="0.2">
      <c r="DO8152" s="303" t="s">
        <v>232</v>
      </c>
    </row>
    <row r="8153" spans="119:119" x14ac:dyDescent="0.2">
      <c r="DO8153" s="303" t="s">
        <v>232</v>
      </c>
    </row>
    <row r="8154" spans="119:119" x14ac:dyDescent="0.2">
      <c r="DO8154" s="303" t="s">
        <v>232</v>
      </c>
    </row>
    <row r="8155" spans="119:119" x14ac:dyDescent="0.2">
      <c r="DO8155" s="303" t="s">
        <v>232</v>
      </c>
    </row>
    <row r="8156" spans="119:119" x14ac:dyDescent="0.2">
      <c r="DO8156" s="303" t="s">
        <v>232</v>
      </c>
    </row>
    <row r="8157" spans="119:119" x14ac:dyDescent="0.2">
      <c r="DO8157" s="303" t="s">
        <v>232</v>
      </c>
    </row>
    <row r="8158" spans="119:119" x14ac:dyDescent="0.2">
      <c r="DO8158" s="303" t="s">
        <v>232</v>
      </c>
    </row>
    <row r="8159" spans="119:119" x14ac:dyDescent="0.2">
      <c r="DO8159" s="303" t="s">
        <v>232</v>
      </c>
    </row>
    <row r="8160" spans="119:119" x14ac:dyDescent="0.2">
      <c r="DO8160" s="303" t="s">
        <v>232</v>
      </c>
    </row>
    <row r="8161" spans="119:119" x14ac:dyDescent="0.2">
      <c r="DO8161" s="303" t="s">
        <v>232</v>
      </c>
    </row>
    <row r="8162" spans="119:119" x14ac:dyDescent="0.2">
      <c r="DO8162" s="303" t="s">
        <v>232</v>
      </c>
    </row>
    <row r="8163" spans="119:119" x14ac:dyDescent="0.2">
      <c r="DO8163" s="303" t="s">
        <v>232</v>
      </c>
    </row>
    <row r="8164" spans="119:119" x14ac:dyDescent="0.2">
      <c r="DO8164" s="303" t="s">
        <v>232</v>
      </c>
    </row>
    <row r="8165" spans="119:119" x14ac:dyDescent="0.2">
      <c r="DO8165" s="303" t="s">
        <v>232</v>
      </c>
    </row>
    <row r="8166" spans="119:119" x14ac:dyDescent="0.2">
      <c r="DO8166" s="303" t="s">
        <v>232</v>
      </c>
    </row>
    <row r="8167" spans="119:119" x14ac:dyDescent="0.2">
      <c r="DO8167" s="303" t="s">
        <v>232</v>
      </c>
    </row>
    <row r="8168" spans="119:119" x14ac:dyDescent="0.2">
      <c r="DO8168" s="303" t="s">
        <v>232</v>
      </c>
    </row>
    <row r="8169" spans="119:119" x14ac:dyDescent="0.2">
      <c r="DO8169" s="303" t="s">
        <v>232</v>
      </c>
    </row>
    <row r="8170" spans="119:119" x14ac:dyDescent="0.2">
      <c r="DO8170" s="303" t="s">
        <v>232</v>
      </c>
    </row>
    <row r="8171" spans="119:119" x14ac:dyDescent="0.2">
      <c r="DO8171" s="303" t="s">
        <v>232</v>
      </c>
    </row>
    <row r="8172" spans="119:119" x14ac:dyDescent="0.2">
      <c r="DO8172" s="303" t="s">
        <v>232</v>
      </c>
    </row>
    <row r="8173" spans="119:119" x14ac:dyDescent="0.2">
      <c r="DO8173" s="303" t="s">
        <v>232</v>
      </c>
    </row>
    <row r="8174" spans="119:119" x14ac:dyDescent="0.2">
      <c r="DO8174" s="303" t="s">
        <v>232</v>
      </c>
    </row>
    <row r="8175" spans="119:119" x14ac:dyDescent="0.2">
      <c r="DO8175" s="303" t="s">
        <v>232</v>
      </c>
    </row>
    <row r="8176" spans="119:119" x14ac:dyDescent="0.2">
      <c r="DO8176" s="303" t="s">
        <v>232</v>
      </c>
    </row>
    <row r="8177" spans="119:119" x14ac:dyDescent="0.2">
      <c r="DO8177" s="303" t="s">
        <v>232</v>
      </c>
    </row>
    <row r="8178" spans="119:119" x14ac:dyDescent="0.2">
      <c r="DO8178" s="303" t="s">
        <v>232</v>
      </c>
    </row>
    <row r="8179" spans="119:119" x14ac:dyDescent="0.2">
      <c r="DO8179" s="303" t="s">
        <v>232</v>
      </c>
    </row>
    <row r="8180" spans="119:119" x14ac:dyDescent="0.2">
      <c r="DO8180" s="303" t="s">
        <v>232</v>
      </c>
    </row>
    <row r="8181" spans="119:119" x14ac:dyDescent="0.2">
      <c r="DO8181" s="303" t="s">
        <v>232</v>
      </c>
    </row>
    <row r="8182" spans="119:119" x14ac:dyDescent="0.2">
      <c r="DO8182" s="303" t="s">
        <v>232</v>
      </c>
    </row>
    <row r="8183" spans="119:119" x14ac:dyDescent="0.2">
      <c r="DO8183" s="303" t="s">
        <v>232</v>
      </c>
    </row>
    <row r="8184" spans="119:119" x14ac:dyDescent="0.2">
      <c r="DO8184" s="303" t="s">
        <v>232</v>
      </c>
    </row>
    <row r="8185" spans="119:119" x14ac:dyDescent="0.2">
      <c r="DO8185" s="303" t="s">
        <v>232</v>
      </c>
    </row>
    <row r="8186" spans="119:119" x14ac:dyDescent="0.2">
      <c r="DO8186" s="303" t="s">
        <v>232</v>
      </c>
    </row>
    <row r="8187" spans="119:119" x14ac:dyDescent="0.2">
      <c r="DO8187" s="303" t="s">
        <v>232</v>
      </c>
    </row>
    <row r="8188" spans="119:119" x14ac:dyDescent="0.2">
      <c r="DO8188" s="303" t="s">
        <v>232</v>
      </c>
    </row>
    <row r="8189" spans="119:119" x14ac:dyDescent="0.2">
      <c r="DO8189" s="303" t="s">
        <v>232</v>
      </c>
    </row>
    <row r="8190" spans="119:119" x14ac:dyDescent="0.2">
      <c r="DO8190" s="303" t="s">
        <v>232</v>
      </c>
    </row>
    <row r="8191" spans="119:119" x14ac:dyDescent="0.2">
      <c r="DO8191" s="303" t="s">
        <v>232</v>
      </c>
    </row>
    <row r="8192" spans="119:119" x14ac:dyDescent="0.2">
      <c r="DO8192" s="303" t="s">
        <v>232</v>
      </c>
    </row>
    <row r="8193" spans="119:119" x14ac:dyDescent="0.2">
      <c r="DO8193" s="303" t="s">
        <v>232</v>
      </c>
    </row>
    <row r="8194" spans="119:119" x14ac:dyDescent="0.2">
      <c r="DO8194" s="303" t="s">
        <v>232</v>
      </c>
    </row>
    <row r="8195" spans="119:119" x14ac:dyDescent="0.2">
      <c r="DO8195" s="303" t="s">
        <v>232</v>
      </c>
    </row>
    <row r="8196" spans="119:119" x14ac:dyDescent="0.2">
      <c r="DO8196" s="303" t="s">
        <v>232</v>
      </c>
    </row>
    <row r="8197" spans="119:119" x14ac:dyDescent="0.2">
      <c r="DO8197" s="303" t="s">
        <v>232</v>
      </c>
    </row>
    <row r="8198" spans="119:119" x14ac:dyDescent="0.2">
      <c r="DO8198" s="303" t="s">
        <v>232</v>
      </c>
    </row>
    <row r="8199" spans="119:119" x14ac:dyDescent="0.2">
      <c r="DO8199" s="303" t="s">
        <v>232</v>
      </c>
    </row>
    <row r="8200" spans="119:119" x14ac:dyDescent="0.2">
      <c r="DO8200" s="303" t="s">
        <v>232</v>
      </c>
    </row>
    <row r="8201" spans="119:119" x14ac:dyDescent="0.2">
      <c r="DO8201" s="303" t="s">
        <v>232</v>
      </c>
    </row>
    <row r="8202" spans="119:119" x14ac:dyDescent="0.2">
      <c r="DO8202" s="303" t="s">
        <v>232</v>
      </c>
    </row>
    <row r="8203" spans="119:119" x14ac:dyDescent="0.2">
      <c r="DO8203" s="303" t="s">
        <v>232</v>
      </c>
    </row>
    <row r="8204" spans="119:119" x14ac:dyDescent="0.2">
      <c r="DO8204" s="303" t="s">
        <v>232</v>
      </c>
    </row>
    <row r="8205" spans="119:119" x14ac:dyDescent="0.2">
      <c r="DO8205" s="303" t="s">
        <v>232</v>
      </c>
    </row>
    <row r="8206" spans="119:119" x14ac:dyDescent="0.2">
      <c r="DO8206" s="303" t="s">
        <v>232</v>
      </c>
    </row>
    <row r="8207" spans="119:119" x14ac:dyDescent="0.2">
      <c r="DO8207" s="303" t="s">
        <v>232</v>
      </c>
    </row>
    <row r="8208" spans="119:119" x14ac:dyDescent="0.2">
      <c r="DO8208" s="303" t="s">
        <v>232</v>
      </c>
    </row>
    <row r="8209" spans="119:119" x14ac:dyDescent="0.2">
      <c r="DO8209" s="303" t="s">
        <v>232</v>
      </c>
    </row>
    <row r="8210" spans="119:119" x14ac:dyDescent="0.2">
      <c r="DO8210" s="303" t="s">
        <v>232</v>
      </c>
    </row>
    <row r="8211" spans="119:119" x14ac:dyDescent="0.2">
      <c r="DO8211" s="303" t="s">
        <v>232</v>
      </c>
    </row>
    <row r="8212" spans="119:119" x14ac:dyDescent="0.2">
      <c r="DO8212" s="303" t="s">
        <v>232</v>
      </c>
    </row>
    <row r="8213" spans="119:119" x14ac:dyDescent="0.2">
      <c r="DO8213" s="303" t="s">
        <v>232</v>
      </c>
    </row>
    <row r="8214" spans="119:119" x14ac:dyDescent="0.2">
      <c r="DO8214" s="303" t="s">
        <v>232</v>
      </c>
    </row>
    <row r="8215" spans="119:119" x14ac:dyDescent="0.2">
      <c r="DO8215" s="303" t="s">
        <v>232</v>
      </c>
    </row>
    <row r="8216" spans="119:119" x14ac:dyDescent="0.2">
      <c r="DO8216" s="303" t="s">
        <v>232</v>
      </c>
    </row>
    <row r="8217" spans="119:119" x14ac:dyDescent="0.2">
      <c r="DO8217" s="303" t="s">
        <v>232</v>
      </c>
    </row>
    <row r="8218" spans="119:119" x14ac:dyDescent="0.2">
      <c r="DO8218" s="303" t="s">
        <v>232</v>
      </c>
    </row>
    <row r="8219" spans="119:119" x14ac:dyDescent="0.2">
      <c r="DO8219" s="303" t="s">
        <v>232</v>
      </c>
    </row>
    <row r="8220" spans="119:119" x14ac:dyDescent="0.2">
      <c r="DO8220" s="303" t="s">
        <v>232</v>
      </c>
    </row>
    <row r="8221" spans="119:119" x14ac:dyDescent="0.2">
      <c r="DO8221" s="303" t="s">
        <v>232</v>
      </c>
    </row>
    <row r="8222" spans="119:119" x14ac:dyDescent="0.2">
      <c r="DO8222" s="303" t="s">
        <v>232</v>
      </c>
    </row>
    <row r="8223" spans="119:119" x14ac:dyDescent="0.2">
      <c r="DO8223" s="303" t="s">
        <v>232</v>
      </c>
    </row>
    <row r="8224" spans="119:119" x14ac:dyDescent="0.2">
      <c r="DO8224" s="303" t="s">
        <v>232</v>
      </c>
    </row>
    <row r="8225" spans="119:119" x14ac:dyDescent="0.2">
      <c r="DO8225" s="303" t="s">
        <v>232</v>
      </c>
    </row>
    <row r="8226" spans="119:119" x14ac:dyDescent="0.2">
      <c r="DO8226" s="303" t="s">
        <v>232</v>
      </c>
    </row>
    <row r="8227" spans="119:119" x14ac:dyDescent="0.2">
      <c r="DO8227" s="303" t="s">
        <v>232</v>
      </c>
    </row>
    <row r="8228" spans="119:119" x14ac:dyDescent="0.2">
      <c r="DO8228" s="303" t="s">
        <v>232</v>
      </c>
    </row>
    <row r="8229" spans="119:119" x14ac:dyDescent="0.2">
      <c r="DO8229" s="303" t="s">
        <v>232</v>
      </c>
    </row>
    <row r="8230" spans="119:119" x14ac:dyDescent="0.2">
      <c r="DO8230" s="303" t="s">
        <v>232</v>
      </c>
    </row>
    <row r="8231" spans="119:119" x14ac:dyDescent="0.2">
      <c r="DO8231" s="303" t="s">
        <v>232</v>
      </c>
    </row>
    <row r="8232" spans="119:119" x14ac:dyDescent="0.2">
      <c r="DO8232" s="303" t="s">
        <v>232</v>
      </c>
    </row>
    <row r="8233" spans="119:119" x14ac:dyDescent="0.2">
      <c r="DO8233" s="303" t="s">
        <v>232</v>
      </c>
    </row>
    <row r="8234" spans="119:119" x14ac:dyDescent="0.2">
      <c r="DO8234" s="303" t="s">
        <v>232</v>
      </c>
    </row>
    <row r="8235" spans="119:119" x14ac:dyDescent="0.2">
      <c r="DO8235" s="303" t="s">
        <v>232</v>
      </c>
    </row>
    <row r="8236" spans="119:119" x14ac:dyDescent="0.2">
      <c r="DO8236" s="303" t="s">
        <v>232</v>
      </c>
    </row>
    <row r="8237" spans="119:119" x14ac:dyDescent="0.2">
      <c r="DO8237" s="303" t="s">
        <v>232</v>
      </c>
    </row>
    <row r="8238" spans="119:119" x14ac:dyDescent="0.2">
      <c r="DO8238" s="303" t="s">
        <v>232</v>
      </c>
    </row>
    <row r="8239" spans="119:119" x14ac:dyDescent="0.2">
      <c r="DO8239" s="303" t="s">
        <v>232</v>
      </c>
    </row>
    <row r="8240" spans="119:119" x14ac:dyDescent="0.2">
      <c r="DO8240" s="303" t="s">
        <v>232</v>
      </c>
    </row>
    <row r="8241" spans="119:119" x14ac:dyDescent="0.2">
      <c r="DO8241" s="303" t="s">
        <v>232</v>
      </c>
    </row>
    <row r="8242" spans="119:119" x14ac:dyDescent="0.2">
      <c r="DO8242" s="303" t="s">
        <v>232</v>
      </c>
    </row>
    <row r="8243" spans="119:119" x14ac:dyDescent="0.2">
      <c r="DO8243" s="303" t="s">
        <v>232</v>
      </c>
    </row>
    <row r="8244" spans="119:119" x14ac:dyDescent="0.2">
      <c r="DO8244" s="303" t="s">
        <v>232</v>
      </c>
    </row>
    <row r="8245" spans="119:119" x14ac:dyDescent="0.2">
      <c r="DO8245" s="303" t="s">
        <v>232</v>
      </c>
    </row>
    <row r="8246" spans="119:119" x14ac:dyDescent="0.2">
      <c r="DO8246" s="303" t="s">
        <v>232</v>
      </c>
    </row>
    <row r="8247" spans="119:119" x14ac:dyDescent="0.2">
      <c r="DO8247" s="303" t="s">
        <v>232</v>
      </c>
    </row>
    <row r="8248" spans="119:119" x14ac:dyDescent="0.2">
      <c r="DO8248" s="303" t="s">
        <v>232</v>
      </c>
    </row>
    <row r="8249" spans="119:119" x14ac:dyDescent="0.2">
      <c r="DO8249" s="303" t="s">
        <v>232</v>
      </c>
    </row>
    <row r="8250" spans="119:119" x14ac:dyDescent="0.2">
      <c r="DO8250" s="303" t="s">
        <v>232</v>
      </c>
    </row>
    <row r="8251" spans="119:119" x14ac:dyDescent="0.2">
      <c r="DO8251" s="303" t="s">
        <v>232</v>
      </c>
    </row>
    <row r="8252" spans="119:119" x14ac:dyDescent="0.2">
      <c r="DO8252" s="303" t="s">
        <v>232</v>
      </c>
    </row>
    <row r="8253" spans="119:119" x14ac:dyDescent="0.2">
      <c r="DO8253" s="303" t="s">
        <v>232</v>
      </c>
    </row>
    <row r="8254" spans="119:119" x14ac:dyDescent="0.2">
      <c r="DO8254" s="303" t="s">
        <v>232</v>
      </c>
    </row>
    <row r="8255" spans="119:119" x14ac:dyDescent="0.2">
      <c r="DO8255" s="303" t="s">
        <v>232</v>
      </c>
    </row>
    <row r="8256" spans="119:119" x14ac:dyDescent="0.2">
      <c r="DO8256" s="303" t="s">
        <v>232</v>
      </c>
    </row>
    <row r="8257" spans="119:119" x14ac:dyDescent="0.2">
      <c r="DO8257" s="303" t="s">
        <v>232</v>
      </c>
    </row>
    <row r="8258" spans="119:119" x14ac:dyDescent="0.2">
      <c r="DO8258" s="303" t="s">
        <v>232</v>
      </c>
    </row>
    <row r="8259" spans="119:119" x14ac:dyDescent="0.2">
      <c r="DO8259" s="303" t="s">
        <v>232</v>
      </c>
    </row>
    <row r="8260" spans="119:119" x14ac:dyDescent="0.2">
      <c r="DO8260" s="303" t="s">
        <v>232</v>
      </c>
    </row>
    <row r="8261" spans="119:119" x14ac:dyDescent="0.2">
      <c r="DO8261" s="303" t="s">
        <v>232</v>
      </c>
    </row>
    <row r="8262" spans="119:119" x14ac:dyDescent="0.2">
      <c r="DO8262" s="303" t="s">
        <v>232</v>
      </c>
    </row>
    <row r="8263" spans="119:119" x14ac:dyDescent="0.2">
      <c r="DO8263" s="303" t="s">
        <v>232</v>
      </c>
    </row>
    <row r="8264" spans="119:119" x14ac:dyDescent="0.2">
      <c r="DO8264" s="303" t="s">
        <v>232</v>
      </c>
    </row>
    <row r="8265" spans="119:119" x14ac:dyDescent="0.2">
      <c r="DO8265" s="303" t="s">
        <v>232</v>
      </c>
    </row>
    <row r="8266" spans="119:119" x14ac:dyDescent="0.2">
      <c r="DO8266" s="303" t="s">
        <v>232</v>
      </c>
    </row>
    <row r="8267" spans="119:119" x14ac:dyDescent="0.2">
      <c r="DO8267" s="303" t="s">
        <v>232</v>
      </c>
    </row>
    <row r="8268" spans="119:119" x14ac:dyDescent="0.2">
      <c r="DO8268" s="303" t="s">
        <v>232</v>
      </c>
    </row>
    <row r="8269" spans="119:119" x14ac:dyDescent="0.2">
      <c r="DO8269" s="303" t="s">
        <v>232</v>
      </c>
    </row>
    <row r="8270" spans="119:119" x14ac:dyDescent="0.2">
      <c r="DO8270" s="303" t="s">
        <v>232</v>
      </c>
    </row>
    <row r="8271" spans="119:119" x14ac:dyDescent="0.2">
      <c r="DO8271" s="303" t="s">
        <v>232</v>
      </c>
    </row>
    <row r="8272" spans="119:119" x14ac:dyDescent="0.2">
      <c r="DO8272" s="303" t="s">
        <v>232</v>
      </c>
    </row>
    <row r="8273" spans="119:119" x14ac:dyDescent="0.2">
      <c r="DO8273" s="303" t="s">
        <v>232</v>
      </c>
    </row>
    <row r="8274" spans="119:119" x14ac:dyDescent="0.2">
      <c r="DO8274" s="303" t="s">
        <v>232</v>
      </c>
    </row>
    <row r="8275" spans="119:119" x14ac:dyDescent="0.2">
      <c r="DO8275" s="303" t="s">
        <v>232</v>
      </c>
    </row>
    <row r="8276" spans="119:119" x14ac:dyDescent="0.2">
      <c r="DO8276" s="303" t="s">
        <v>232</v>
      </c>
    </row>
    <row r="8277" spans="119:119" x14ac:dyDescent="0.2">
      <c r="DO8277" s="303" t="s">
        <v>232</v>
      </c>
    </row>
    <row r="8278" spans="119:119" x14ac:dyDescent="0.2">
      <c r="DO8278" s="303" t="s">
        <v>232</v>
      </c>
    </row>
    <row r="8279" spans="119:119" x14ac:dyDescent="0.2">
      <c r="DO8279" s="303" t="s">
        <v>232</v>
      </c>
    </row>
    <row r="8280" spans="119:119" x14ac:dyDescent="0.2">
      <c r="DO8280" s="303" t="s">
        <v>232</v>
      </c>
    </row>
    <row r="8281" spans="119:119" x14ac:dyDescent="0.2">
      <c r="DO8281" s="303" t="s">
        <v>232</v>
      </c>
    </row>
    <row r="8282" spans="119:119" x14ac:dyDescent="0.2">
      <c r="DO8282" s="303" t="s">
        <v>232</v>
      </c>
    </row>
    <row r="8283" spans="119:119" x14ac:dyDescent="0.2">
      <c r="DO8283" s="303" t="s">
        <v>232</v>
      </c>
    </row>
    <row r="8284" spans="119:119" x14ac:dyDescent="0.2">
      <c r="DO8284" s="303" t="s">
        <v>232</v>
      </c>
    </row>
    <row r="8285" spans="119:119" x14ac:dyDescent="0.2">
      <c r="DO8285" s="303" t="s">
        <v>232</v>
      </c>
    </row>
    <row r="8286" spans="119:119" x14ac:dyDescent="0.2">
      <c r="DO8286" s="303" t="s">
        <v>232</v>
      </c>
    </row>
    <row r="8287" spans="119:119" x14ac:dyDescent="0.2">
      <c r="DO8287" s="303" t="s">
        <v>232</v>
      </c>
    </row>
    <row r="8288" spans="119:119" x14ac:dyDescent="0.2">
      <c r="DO8288" s="303" t="s">
        <v>232</v>
      </c>
    </row>
    <row r="8289" spans="119:119" x14ac:dyDescent="0.2">
      <c r="DO8289" s="303" t="s">
        <v>232</v>
      </c>
    </row>
    <row r="8290" spans="119:119" x14ac:dyDescent="0.2">
      <c r="DO8290" s="303" t="s">
        <v>232</v>
      </c>
    </row>
    <row r="8291" spans="119:119" x14ac:dyDescent="0.2">
      <c r="DO8291" s="303" t="s">
        <v>232</v>
      </c>
    </row>
    <row r="8292" spans="119:119" x14ac:dyDescent="0.2">
      <c r="DO8292" s="303" t="s">
        <v>232</v>
      </c>
    </row>
    <row r="8293" spans="119:119" x14ac:dyDescent="0.2">
      <c r="DO8293" s="303" t="s">
        <v>232</v>
      </c>
    </row>
    <row r="8294" spans="119:119" x14ac:dyDescent="0.2">
      <c r="DO8294" s="303" t="s">
        <v>232</v>
      </c>
    </row>
    <row r="8295" spans="119:119" x14ac:dyDescent="0.2">
      <c r="DO8295" s="303" t="s">
        <v>232</v>
      </c>
    </row>
    <row r="8296" spans="119:119" x14ac:dyDescent="0.2">
      <c r="DO8296" s="303" t="s">
        <v>232</v>
      </c>
    </row>
    <row r="8297" spans="119:119" x14ac:dyDescent="0.2">
      <c r="DO8297" s="303" t="s">
        <v>232</v>
      </c>
    </row>
    <row r="8298" spans="119:119" x14ac:dyDescent="0.2">
      <c r="DO8298" s="303" t="s">
        <v>232</v>
      </c>
    </row>
    <row r="8299" spans="119:119" x14ac:dyDescent="0.2">
      <c r="DO8299" s="303" t="s">
        <v>232</v>
      </c>
    </row>
    <row r="8300" spans="119:119" x14ac:dyDescent="0.2">
      <c r="DO8300" s="303" t="s">
        <v>232</v>
      </c>
    </row>
    <row r="8301" spans="119:119" x14ac:dyDescent="0.2">
      <c r="DO8301" s="303" t="s">
        <v>232</v>
      </c>
    </row>
    <row r="8302" spans="119:119" x14ac:dyDescent="0.2">
      <c r="DO8302" s="303" t="s">
        <v>232</v>
      </c>
    </row>
    <row r="8303" spans="119:119" x14ac:dyDescent="0.2">
      <c r="DO8303" s="303" t="s">
        <v>232</v>
      </c>
    </row>
    <row r="8304" spans="119:119" x14ac:dyDescent="0.2">
      <c r="DO8304" s="303" t="s">
        <v>232</v>
      </c>
    </row>
    <row r="8305" spans="119:119" x14ac:dyDescent="0.2">
      <c r="DO8305" s="303" t="s">
        <v>232</v>
      </c>
    </row>
    <row r="8306" spans="119:119" x14ac:dyDescent="0.2">
      <c r="DO8306" s="303" t="s">
        <v>232</v>
      </c>
    </row>
    <row r="8307" spans="119:119" x14ac:dyDescent="0.2">
      <c r="DO8307" s="303" t="s">
        <v>232</v>
      </c>
    </row>
    <row r="8308" spans="119:119" x14ac:dyDescent="0.2">
      <c r="DO8308" s="303" t="s">
        <v>232</v>
      </c>
    </row>
    <row r="8309" spans="119:119" x14ac:dyDescent="0.2">
      <c r="DO8309" s="303" t="s">
        <v>232</v>
      </c>
    </row>
    <row r="8310" spans="119:119" x14ac:dyDescent="0.2">
      <c r="DO8310" s="303" t="s">
        <v>232</v>
      </c>
    </row>
    <row r="8311" spans="119:119" x14ac:dyDescent="0.2">
      <c r="DO8311" s="303" t="s">
        <v>232</v>
      </c>
    </row>
    <row r="8312" spans="119:119" x14ac:dyDescent="0.2">
      <c r="DO8312" s="303" t="s">
        <v>232</v>
      </c>
    </row>
    <row r="8313" spans="119:119" x14ac:dyDescent="0.2">
      <c r="DO8313" s="303" t="s">
        <v>232</v>
      </c>
    </row>
    <row r="8314" spans="119:119" x14ac:dyDescent="0.2">
      <c r="DO8314" s="303" t="s">
        <v>232</v>
      </c>
    </row>
    <row r="8315" spans="119:119" x14ac:dyDescent="0.2">
      <c r="DO8315" s="303" t="s">
        <v>232</v>
      </c>
    </row>
    <row r="8316" spans="119:119" x14ac:dyDescent="0.2">
      <c r="DO8316" s="303" t="s">
        <v>232</v>
      </c>
    </row>
    <row r="8317" spans="119:119" x14ac:dyDescent="0.2">
      <c r="DO8317" s="303" t="s">
        <v>232</v>
      </c>
    </row>
    <row r="8318" spans="119:119" x14ac:dyDescent="0.2">
      <c r="DO8318" s="303" t="s">
        <v>232</v>
      </c>
    </row>
    <row r="8319" spans="119:119" x14ac:dyDescent="0.2">
      <c r="DO8319" s="303" t="s">
        <v>232</v>
      </c>
    </row>
    <row r="8320" spans="119:119" x14ac:dyDescent="0.2">
      <c r="DO8320" s="303" t="s">
        <v>232</v>
      </c>
    </row>
    <row r="8321" spans="119:119" x14ac:dyDescent="0.2">
      <c r="DO8321" s="303" t="s">
        <v>232</v>
      </c>
    </row>
    <row r="8322" spans="119:119" x14ac:dyDescent="0.2">
      <c r="DO8322" s="303" t="s">
        <v>232</v>
      </c>
    </row>
    <row r="8323" spans="119:119" x14ac:dyDescent="0.2">
      <c r="DO8323" s="303" t="s">
        <v>232</v>
      </c>
    </row>
    <row r="8324" spans="119:119" x14ac:dyDescent="0.2">
      <c r="DO8324" s="303" t="s">
        <v>232</v>
      </c>
    </row>
    <row r="8325" spans="119:119" x14ac:dyDescent="0.2">
      <c r="DO8325" s="303" t="s">
        <v>232</v>
      </c>
    </row>
    <row r="8326" spans="119:119" x14ac:dyDescent="0.2">
      <c r="DO8326" s="303" t="s">
        <v>232</v>
      </c>
    </row>
    <row r="8327" spans="119:119" x14ac:dyDescent="0.2">
      <c r="DO8327" s="303" t="s">
        <v>232</v>
      </c>
    </row>
    <row r="8328" spans="119:119" x14ac:dyDescent="0.2">
      <c r="DO8328" s="303" t="s">
        <v>232</v>
      </c>
    </row>
    <row r="8329" spans="119:119" x14ac:dyDescent="0.2">
      <c r="DO8329" s="303" t="s">
        <v>232</v>
      </c>
    </row>
    <row r="8330" spans="119:119" x14ac:dyDescent="0.2">
      <c r="DO8330" s="303" t="s">
        <v>232</v>
      </c>
    </row>
    <row r="8331" spans="119:119" x14ac:dyDescent="0.2">
      <c r="DO8331" s="303" t="s">
        <v>232</v>
      </c>
    </row>
    <row r="8332" spans="119:119" x14ac:dyDescent="0.2">
      <c r="DO8332" s="303" t="s">
        <v>232</v>
      </c>
    </row>
    <row r="8333" spans="119:119" x14ac:dyDescent="0.2">
      <c r="DO8333" s="303" t="s">
        <v>232</v>
      </c>
    </row>
    <row r="8334" spans="119:119" x14ac:dyDescent="0.2">
      <c r="DO8334" s="303" t="s">
        <v>232</v>
      </c>
    </row>
    <row r="8335" spans="119:119" x14ac:dyDescent="0.2">
      <c r="DO8335" s="303" t="s">
        <v>232</v>
      </c>
    </row>
    <row r="8336" spans="119:119" x14ac:dyDescent="0.2">
      <c r="DO8336" s="303" t="s">
        <v>232</v>
      </c>
    </row>
    <row r="8337" spans="119:119" x14ac:dyDescent="0.2">
      <c r="DO8337" s="303" t="s">
        <v>232</v>
      </c>
    </row>
    <row r="8338" spans="119:119" x14ac:dyDescent="0.2">
      <c r="DO8338" s="303" t="s">
        <v>232</v>
      </c>
    </row>
    <row r="8339" spans="119:119" x14ac:dyDescent="0.2">
      <c r="DO8339" s="303" t="s">
        <v>232</v>
      </c>
    </row>
    <row r="8340" spans="119:119" x14ac:dyDescent="0.2">
      <c r="DO8340" s="303" t="s">
        <v>232</v>
      </c>
    </row>
    <row r="8341" spans="119:119" x14ac:dyDescent="0.2">
      <c r="DO8341" s="303" t="s">
        <v>232</v>
      </c>
    </row>
    <row r="8342" spans="119:119" x14ac:dyDescent="0.2">
      <c r="DO8342" s="303" t="s">
        <v>232</v>
      </c>
    </row>
    <row r="8343" spans="119:119" x14ac:dyDescent="0.2">
      <c r="DO8343" s="303" t="s">
        <v>232</v>
      </c>
    </row>
    <row r="8344" spans="119:119" x14ac:dyDescent="0.2">
      <c r="DO8344" s="303" t="s">
        <v>232</v>
      </c>
    </row>
    <row r="8345" spans="119:119" x14ac:dyDescent="0.2">
      <c r="DO8345" s="303" t="s">
        <v>232</v>
      </c>
    </row>
    <row r="8346" spans="119:119" x14ac:dyDescent="0.2">
      <c r="DO8346" s="303" t="s">
        <v>232</v>
      </c>
    </row>
    <row r="8347" spans="119:119" x14ac:dyDescent="0.2">
      <c r="DO8347" s="303" t="s">
        <v>232</v>
      </c>
    </row>
    <row r="8348" spans="119:119" x14ac:dyDescent="0.2">
      <c r="DO8348" s="303" t="s">
        <v>232</v>
      </c>
    </row>
    <row r="8349" spans="119:119" x14ac:dyDescent="0.2">
      <c r="DO8349" s="303" t="s">
        <v>232</v>
      </c>
    </row>
    <row r="8350" spans="119:119" x14ac:dyDescent="0.2">
      <c r="DO8350" s="303" t="s">
        <v>232</v>
      </c>
    </row>
    <row r="8351" spans="119:119" x14ac:dyDescent="0.2">
      <c r="DO8351" s="303" t="s">
        <v>232</v>
      </c>
    </row>
    <row r="8352" spans="119:119" x14ac:dyDescent="0.2">
      <c r="DO8352" s="303" t="s">
        <v>232</v>
      </c>
    </row>
    <row r="8353" spans="119:119" x14ac:dyDescent="0.2">
      <c r="DO8353" s="303" t="s">
        <v>232</v>
      </c>
    </row>
    <row r="8354" spans="119:119" x14ac:dyDescent="0.2">
      <c r="DO8354" s="303" t="s">
        <v>232</v>
      </c>
    </row>
    <row r="8355" spans="119:119" x14ac:dyDescent="0.2">
      <c r="DO8355" s="303" t="s">
        <v>232</v>
      </c>
    </row>
    <row r="8356" spans="119:119" x14ac:dyDescent="0.2">
      <c r="DO8356" s="303" t="s">
        <v>232</v>
      </c>
    </row>
    <row r="8357" spans="119:119" x14ac:dyDescent="0.2">
      <c r="DO8357" s="303" t="s">
        <v>232</v>
      </c>
    </row>
    <row r="8358" spans="119:119" x14ac:dyDescent="0.2">
      <c r="DO8358" s="303" t="s">
        <v>232</v>
      </c>
    </row>
    <row r="8359" spans="119:119" x14ac:dyDescent="0.2">
      <c r="DO8359" s="303" t="s">
        <v>232</v>
      </c>
    </row>
    <row r="8360" spans="119:119" x14ac:dyDescent="0.2">
      <c r="DO8360" s="303" t="s">
        <v>232</v>
      </c>
    </row>
    <row r="8361" spans="119:119" x14ac:dyDescent="0.2">
      <c r="DO8361" s="303" t="s">
        <v>232</v>
      </c>
    </row>
    <row r="8362" spans="119:119" x14ac:dyDescent="0.2">
      <c r="DO8362" s="303" t="s">
        <v>232</v>
      </c>
    </row>
    <row r="8363" spans="119:119" x14ac:dyDescent="0.2">
      <c r="DO8363" s="303" t="s">
        <v>232</v>
      </c>
    </row>
    <row r="8364" spans="119:119" x14ac:dyDescent="0.2">
      <c r="DO8364" s="303" t="s">
        <v>232</v>
      </c>
    </row>
    <row r="8365" spans="119:119" x14ac:dyDescent="0.2">
      <c r="DO8365" s="303" t="s">
        <v>232</v>
      </c>
    </row>
    <row r="8366" spans="119:119" x14ac:dyDescent="0.2">
      <c r="DO8366" s="303" t="s">
        <v>232</v>
      </c>
    </row>
    <row r="8367" spans="119:119" x14ac:dyDescent="0.2">
      <c r="DO8367" s="303" t="s">
        <v>232</v>
      </c>
    </row>
    <row r="8368" spans="119:119" x14ac:dyDescent="0.2">
      <c r="DO8368" s="303" t="s">
        <v>232</v>
      </c>
    </row>
    <row r="8369" spans="119:119" x14ac:dyDescent="0.2">
      <c r="DO8369" s="303" t="s">
        <v>232</v>
      </c>
    </row>
    <row r="8370" spans="119:119" x14ac:dyDescent="0.2">
      <c r="DO8370" s="303" t="s">
        <v>232</v>
      </c>
    </row>
    <row r="8371" spans="119:119" x14ac:dyDescent="0.2">
      <c r="DO8371" s="303" t="s">
        <v>232</v>
      </c>
    </row>
    <row r="8372" spans="119:119" x14ac:dyDescent="0.2">
      <c r="DO8372" s="303" t="s">
        <v>232</v>
      </c>
    </row>
    <row r="8373" spans="119:119" x14ac:dyDescent="0.2">
      <c r="DO8373" s="303" t="s">
        <v>232</v>
      </c>
    </row>
    <row r="8374" spans="119:119" x14ac:dyDescent="0.2">
      <c r="DO8374" s="303" t="s">
        <v>232</v>
      </c>
    </row>
    <row r="8375" spans="119:119" x14ac:dyDescent="0.2">
      <c r="DO8375" s="303" t="s">
        <v>232</v>
      </c>
    </row>
    <row r="8376" spans="119:119" x14ac:dyDescent="0.2">
      <c r="DO8376" s="303" t="s">
        <v>232</v>
      </c>
    </row>
    <row r="8377" spans="119:119" x14ac:dyDescent="0.2">
      <c r="DO8377" s="303" t="s">
        <v>232</v>
      </c>
    </row>
    <row r="8378" spans="119:119" x14ac:dyDescent="0.2">
      <c r="DO8378" s="303" t="s">
        <v>232</v>
      </c>
    </row>
    <row r="8379" spans="119:119" x14ac:dyDescent="0.2">
      <c r="DO8379" s="303" t="s">
        <v>232</v>
      </c>
    </row>
    <row r="8380" spans="119:119" x14ac:dyDescent="0.2">
      <c r="DO8380" s="303" t="s">
        <v>232</v>
      </c>
    </row>
    <row r="8381" spans="119:119" x14ac:dyDescent="0.2">
      <c r="DO8381" s="303" t="s">
        <v>232</v>
      </c>
    </row>
    <row r="8382" spans="119:119" x14ac:dyDescent="0.2">
      <c r="DO8382" s="303" t="s">
        <v>232</v>
      </c>
    </row>
    <row r="8383" spans="119:119" x14ac:dyDescent="0.2">
      <c r="DO8383" s="303" t="s">
        <v>232</v>
      </c>
    </row>
    <row r="8384" spans="119:119" x14ac:dyDescent="0.2">
      <c r="DO8384" s="303" t="s">
        <v>232</v>
      </c>
    </row>
    <row r="8385" spans="119:119" x14ac:dyDescent="0.2">
      <c r="DO8385" s="303" t="s">
        <v>232</v>
      </c>
    </row>
    <row r="8386" spans="119:119" x14ac:dyDescent="0.2">
      <c r="DO8386" s="303" t="s">
        <v>232</v>
      </c>
    </row>
    <row r="8387" spans="119:119" x14ac:dyDescent="0.2">
      <c r="DO8387" s="303" t="s">
        <v>232</v>
      </c>
    </row>
    <row r="8388" spans="119:119" x14ac:dyDescent="0.2">
      <c r="DO8388" s="303" t="s">
        <v>232</v>
      </c>
    </row>
    <row r="8389" spans="119:119" x14ac:dyDescent="0.2">
      <c r="DO8389" s="303" t="s">
        <v>232</v>
      </c>
    </row>
    <row r="8390" spans="119:119" x14ac:dyDescent="0.2">
      <c r="DO8390" s="303" t="s">
        <v>232</v>
      </c>
    </row>
    <row r="8391" spans="119:119" x14ac:dyDescent="0.2">
      <c r="DO8391" s="303" t="s">
        <v>232</v>
      </c>
    </row>
    <row r="8392" spans="119:119" x14ac:dyDescent="0.2">
      <c r="DO8392" s="303" t="s">
        <v>232</v>
      </c>
    </row>
    <row r="8393" spans="119:119" x14ac:dyDescent="0.2">
      <c r="DO8393" s="303" t="s">
        <v>232</v>
      </c>
    </row>
    <row r="8394" spans="119:119" x14ac:dyDescent="0.2">
      <c r="DO8394" s="303" t="s">
        <v>232</v>
      </c>
    </row>
    <row r="8395" spans="119:119" x14ac:dyDescent="0.2">
      <c r="DO8395" s="303" t="s">
        <v>232</v>
      </c>
    </row>
    <row r="8396" spans="119:119" x14ac:dyDescent="0.2">
      <c r="DO8396" s="303" t="s">
        <v>232</v>
      </c>
    </row>
    <row r="8397" spans="119:119" x14ac:dyDescent="0.2">
      <c r="DO8397" s="303" t="s">
        <v>232</v>
      </c>
    </row>
    <row r="8398" spans="119:119" x14ac:dyDescent="0.2">
      <c r="DO8398" s="303" t="s">
        <v>232</v>
      </c>
    </row>
    <row r="8399" spans="119:119" x14ac:dyDescent="0.2">
      <c r="DO8399" s="303" t="s">
        <v>232</v>
      </c>
    </row>
    <row r="8400" spans="119:119" x14ac:dyDescent="0.2">
      <c r="DO8400" s="303" t="s">
        <v>232</v>
      </c>
    </row>
    <row r="8401" spans="119:119" x14ac:dyDescent="0.2">
      <c r="DO8401" s="303" t="s">
        <v>232</v>
      </c>
    </row>
    <row r="8402" spans="119:119" x14ac:dyDescent="0.2">
      <c r="DO8402" s="303" t="s">
        <v>232</v>
      </c>
    </row>
    <row r="8403" spans="119:119" x14ac:dyDescent="0.2">
      <c r="DO8403" s="303" t="s">
        <v>232</v>
      </c>
    </row>
    <row r="8404" spans="119:119" x14ac:dyDescent="0.2">
      <c r="DO8404" s="303" t="s">
        <v>232</v>
      </c>
    </row>
    <row r="8405" spans="119:119" x14ac:dyDescent="0.2">
      <c r="DO8405" s="303" t="s">
        <v>232</v>
      </c>
    </row>
    <row r="8406" spans="119:119" x14ac:dyDescent="0.2">
      <c r="DO8406" s="303" t="s">
        <v>232</v>
      </c>
    </row>
    <row r="8407" spans="119:119" x14ac:dyDescent="0.2">
      <c r="DO8407" s="303" t="s">
        <v>232</v>
      </c>
    </row>
    <row r="8408" spans="119:119" x14ac:dyDescent="0.2">
      <c r="DO8408" s="303" t="s">
        <v>232</v>
      </c>
    </row>
    <row r="8409" spans="119:119" x14ac:dyDescent="0.2">
      <c r="DO8409" s="303" t="s">
        <v>232</v>
      </c>
    </row>
    <row r="8410" spans="119:119" x14ac:dyDescent="0.2">
      <c r="DO8410" s="303" t="s">
        <v>232</v>
      </c>
    </row>
    <row r="8411" spans="119:119" x14ac:dyDescent="0.2">
      <c r="DO8411" s="303" t="s">
        <v>232</v>
      </c>
    </row>
    <row r="8412" spans="119:119" x14ac:dyDescent="0.2">
      <c r="DO8412" s="303" t="s">
        <v>232</v>
      </c>
    </row>
    <row r="8413" spans="119:119" x14ac:dyDescent="0.2">
      <c r="DO8413" s="303" t="s">
        <v>232</v>
      </c>
    </row>
    <row r="8414" spans="119:119" x14ac:dyDescent="0.2">
      <c r="DO8414" s="303" t="s">
        <v>232</v>
      </c>
    </row>
    <row r="8415" spans="119:119" x14ac:dyDescent="0.2">
      <c r="DO8415" s="303" t="s">
        <v>232</v>
      </c>
    </row>
    <row r="8416" spans="119:119" x14ac:dyDescent="0.2">
      <c r="DO8416" s="303" t="s">
        <v>232</v>
      </c>
    </row>
    <row r="8417" spans="119:119" x14ac:dyDescent="0.2">
      <c r="DO8417" s="303" t="s">
        <v>232</v>
      </c>
    </row>
    <row r="8418" spans="119:119" x14ac:dyDescent="0.2">
      <c r="DO8418" s="303" t="s">
        <v>232</v>
      </c>
    </row>
    <row r="8419" spans="119:119" x14ac:dyDescent="0.2">
      <c r="DO8419" s="303" t="s">
        <v>232</v>
      </c>
    </row>
    <row r="8420" spans="119:119" x14ac:dyDescent="0.2">
      <c r="DO8420" s="303" t="s">
        <v>232</v>
      </c>
    </row>
    <row r="8421" spans="119:119" x14ac:dyDescent="0.2">
      <c r="DO8421" s="303" t="s">
        <v>232</v>
      </c>
    </row>
    <row r="8422" spans="119:119" x14ac:dyDescent="0.2">
      <c r="DO8422" s="303" t="s">
        <v>232</v>
      </c>
    </row>
    <row r="8423" spans="119:119" x14ac:dyDescent="0.2">
      <c r="DO8423" s="303" t="s">
        <v>232</v>
      </c>
    </row>
    <row r="8424" spans="119:119" x14ac:dyDescent="0.2">
      <c r="DO8424" s="303" t="s">
        <v>232</v>
      </c>
    </row>
    <row r="8425" spans="119:119" x14ac:dyDescent="0.2">
      <c r="DO8425" s="303" t="s">
        <v>232</v>
      </c>
    </row>
    <row r="8426" spans="119:119" x14ac:dyDescent="0.2">
      <c r="DO8426" s="303" t="s">
        <v>232</v>
      </c>
    </row>
    <row r="8427" spans="119:119" x14ac:dyDescent="0.2">
      <c r="DO8427" s="303" t="s">
        <v>232</v>
      </c>
    </row>
    <row r="8428" spans="119:119" x14ac:dyDescent="0.2">
      <c r="DO8428" s="303" t="s">
        <v>232</v>
      </c>
    </row>
    <row r="8429" spans="119:119" x14ac:dyDescent="0.2">
      <c r="DO8429" s="303" t="s">
        <v>232</v>
      </c>
    </row>
    <row r="8430" spans="119:119" x14ac:dyDescent="0.2">
      <c r="DO8430" s="303" t="s">
        <v>232</v>
      </c>
    </row>
    <row r="8431" spans="119:119" x14ac:dyDescent="0.2">
      <c r="DO8431" s="303" t="s">
        <v>232</v>
      </c>
    </row>
    <row r="8432" spans="119:119" x14ac:dyDescent="0.2">
      <c r="DO8432" s="303" t="s">
        <v>232</v>
      </c>
    </row>
    <row r="8433" spans="119:119" x14ac:dyDescent="0.2">
      <c r="DO8433" s="303" t="s">
        <v>232</v>
      </c>
    </row>
    <row r="8434" spans="119:119" x14ac:dyDescent="0.2">
      <c r="DO8434" s="303" t="s">
        <v>232</v>
      </c>
    </row>
    <row r="8435" spans="119:119" x14ac:dyDescent="0.2">
      <c r="DO8435" s="303" t="s">
        <v>232</v>
      </c>
    </row>
    <row r="8436" spans="119:119" x14ac:dyDescent="0.2">
      <c r="DO8436" s="303" t="s">
        <v>232</v>
      </c>
    </row>
    <row r="8437" spans="119:119" x14ac:dyDescent="0.2">
      <c r="DO8437" s="303" t="s">
        <v>232</v>
      </c>
    </row>
    <row r="8438" spans="119:119" x14ac:dyDescent="0.2">
      <c r="DO8438" s="303" t="s">
        <v>232</v>
      </c>
    </row>
    <row r="8439" spans="119:119" x14ac:dyDescent="0.2">
      <c r="DO8439" s="303" t="s">
        <v>232</v>
      </c>
    </row>
    <row r="8440" spans="119:119" x14ac:dyDescent="0.2">
      <c r="DO8440" s="303" t="s">
        <v>232</v>
      </c>
    </row>
    <row r="8441" spans="119:119" x14ac:dyDescent="0.2">
      <c r="DO8441" s="303" t="s">
        <v>232</v>
      </c>
    </row>
    <row r="8442" spans="119:119" x14ac:dyDescent="0.2">
      <c r="DO8442" s="303" t="s">
        <v>232</v>
      </c>
    </row>
    <row r="8443" spans="119:119" x14ac:dyDescent="0.2">
      <c r="DO8443" s="303" t="s">
        <v>232</v>
      </c>
    </row>
    <row r="8444" spans="119:119" x14ac:dyDescent="0.2">
      <c r="DO8444" s="303" t="s">
        <v>232</v>
      </c>
    </row>
    <row r="8445" spans="119:119" x14ac:dyDescent="0.2">
      <c r="DO8445" s="303" t="s">
        <v>232</v>
      </c>
    </row>
    <row r="8446" spans="119:119" x14ac:dyDescent="0.2">
      <c r="DO8446" s="303" t="s">
        <v>232</v>
      </c>
    </row>
    <row r="8447" spans="119:119" x14ac:dyDescent="0.2">
      <c r="DO8447" s="303" t="s">
        <v>232</v>
      </c>
    </row>
    <row r="8448" spans="119:119" x14ac:dyDescent="0.2">
      <c r="DO8448" s="303" t="s">
        <v>232</v>
      </c>
    </row>
    <row r="8449" spans="119:119" x14ac:dyDescent="0.2">
      <c r="DO8449" s="303" t="s">
        <v>232</v>
      </c>
    </row>
    <row r="8450" spans="119:119" x14ac:dyDescent="0.2">
      <c r="DO8450" s="303" t="s">
        <v>232</v>
      </c>
    </row>
    <row r="8451" spans="119:119" x14ac:dyDescent="0.2">
      <c r="DO8451" s="303" t="s">
        <v>232</v>
      </c>
    </row>
    <row r="8452" spans="119:119" x14ac:dyDescent="0.2">
      <c r="DO8452" s="303" t="s">
        <v>232</v>
      </c>
    </row>
    <row r="8453" spans="119:119" x14ac:dyDescent="0.2">
      <c r="DO8453" s="303" t="s">
        <v>232</v>
      </c>
    </row>
    <row r="8454" spans="119:119" x14ac:dyDescent="0.2">
      <c r="DO8454" s="303" t="s">
        <v>232</v>
      </c>
    </row>
    <row r="8455" spans="119:119" x14ac:dyDescent="0.2">
      <c r="DO8455" s="303" t="s">
        <v>232</v>
      </c>
    </row>
    <row r="8456" spans="119:119" x14ac:dyDescent="0.2">
      <c r="DO8456" s="303" t="s">
        <v>232</v>
      </c>
    </row>
    <row r="8457" spans="119:119" x14ac:dyDescent="0.2">
      <c r="DO8457" s="303" t="s">
        <v>232</v>
      </c>
    </row>
    <row r="8458" spans="119:119" x14ac:dyDescent="0.2">
      <c r="DO8458" s="303" t="s">
        <v>232</v>
      </c>
    </row>
    <row r="8459" spans="119:119" x14ac:dyDescent="0.2">
      <c r="DO8459" s="303" t="s">
        <v>232</v>
      </c>
    </row>
    <row r="8460" spans="119:119" x14ac:dyDescent="0.2">
      <c r="DO8460" s="303" t="s">
        <v>232</v>
      </c>
    </row>
    <row r="8461" spans="119:119" x14ac:dyDescent="0.2">
      <c r="DO8461" s="303" t="s">
        <v>232</v>
      </c>
    </row>
    <row r="8462" spans="119:119" x14ac:dyDescent="0.2">
      <c r="DO8462" s="303" t="s">
        <v>232</v>
      </c>
    </row>
    <row r="8463" spans="119:119" x14ac:dyDescent="0.2">
      <c r="DO8463" s="303" t="s">
        <v>232</v>
      </c>
    </row>
    <row r="8464" spans="119:119" x14ac:dyDescent="0.2">
      <c r="DO8464" s="303" t="s">
        <v>232</v>
      </c>
    </row>
    <row r="8465" spans="119:119" x14ac:dyDescent="0.2">
      <c r="DO8465" s="303" t="s">
        <v>232</v>
      </c>
    </row>
    <row r="8466" spans="119:119" x14ac:dyDescent="0.2">
      <c r="DO8466" s="303" t="s">
        <v>232</v>
      </c>
    </row>
    <row r="8467" spans="119:119" x14ac:dyDescent="0.2">
      <c r="DO8467" s="303" t="s">
        <v>232</v>
      </c>
    </row>
    <row r="8468" spans="119:119" x14ac:dyDescent="0.2">
      <c r="DO8468" s="303" t="s">
        <v>232</v>
      </c>
    </row>
    <row r="8469" spans="119:119" x14ac:dyDescent="0.2">
      <c r="DO8469" s="303" t="s">
        <v>232</v>
      </c>
    </row>
    <row r="8470" spans="119:119" x14ac:dyDescent="0.2">
      <c r="DO8470" s="303" t="s">
        <v>232</v>
      </c>
    </row>
    <row r="8471" spans="119:119" x14ac:dyDescent="0.2">
      <c r="DO8471" s="303" t="s">
        <v>232</v>
      </c>
    </row>
    <row r="8472" spans="119:119" x14ac:dyDescent="0.2">
      <c r="DO8472" s="303" t="s">
        <v>232</v>
      </c>
    </row>
    <row r="8473" spans="119:119" x14ac:dyDescent="0.2">
      <c r="DO8473" s="303" t="s">
        <v>232</v>
      </c>
    </row>
    <row r="8474" spans="119:119" x14ac:dyDescent="0.2">
      <c r="DO8474" s="303" t="s">
        <v>232</v>
      </c>
    </row>
    <row r="8475" spans="119:119" x14ac:dyDescent="0.2">
      <c r="DO8475" s="303" t="s">
        <v>232</v>
      </c>
    </row>
    <row r="8476" spans="119:119" x14ac:dyDescent="0.2">
      <c r="DO8476" s="303" t="s">
        <v>232</v>
      </c>
    </row>
    <row r="8477" spans="119:119" x14ac:dyDescent="0.2">
      <c r="DO8477" s="303" t="s">
        <v>232</v>
      </c>
    </row>
    <row r="8478" spans="119:119" x14ac:dyDescent="0.2">
      <c r="DO8478" s="303" t="s">
        <v>232</v>
      </c>
    </row>
    <row r="8479" spans="119:119" x14ac:dyDescent="0.2">
      <c r="DO8479" s="303" t="s">
        <v>232</v>
      </c>
    </row>
    <row r="8480" spans="119:119" x14ac:dyDescent="0.2">
      <c r="DO8480" s="303" t="s">
        <v>232</v>
      </c>
    </row>
    <row r="8481" spans="119:119" x14ac:dyDescent="0.2">
      <c r="DO8481" s="303" t="s">
        <v>232</v>
      </c>
    </row>
    <row r="8482" spans="119:119" x14ac:dyDescent="0.2">
      <c r="DO8482" s="303" t="s">
        <v>232</v>
      </c>
    </row>
    <row r="8483" spans="119:119" x14ac:dyDescent="0.2">
      <c r="DO8483" s="303" t="s">
        <v>232</v>
      </c>
    </row>
    <row r="8484" spans="119:119" x14ac:dyDescent="0.2">
      <c r="DO8484" s="303" t="s">
        <v>232</v>
      </c>
    </row>
    <row r="8485" spans="119:119" x14ac:dyDescent="0.2">
      <c r="DO8485" s="303" t="s">
        <v>232</v>
      </c>
    </row>
    <row r="8486" spans="119:119" x14ac:dyDescent="0.2">
      <c r="DO8486" s="303" t="s">
        <v>232</v>
      </c>
    </row>
    <row r="8487" spans="119:119" x14ac:dyDescent="0.2">
      <c r="DO8487" s="303" t="s">
        <v>232</v>
      </c>
    </row>
    <row r="8488" spans="119:119" x14ac:dyDescent="0.2">
      <c r="DO8488" s="303" t="s">
        <v>232</v>
      </c>
    </row>
    <row r="8489" spans="119:119" x14ac:dyDescent="0.2">
      <c r="DO8489" s="303" t="s">
        <v>232</v>
      </c>
    </row>
    <row r="8490" spans="119:119" x14ac:dyDescent="0.2">
      <c r="DO8490" s="303" t="s">
        <v>232</v>
      </c>
    </row>
    <row r="8491" spans="119:119" x14ac:dyDescent="0.2">
      <c r="DO8491" s="303" t="s">
        <v>232</v>
      </c>
    </row>
    <row r="8492" spans="119:119" x14ac:dyDescent="0.2">
      <c r="DO8492" s="303" t="s">
        <v>232</v>
      </c>
    </row>
    <row r="8493" spans="119:119" x14ac:dyDescent="0.2">
      <c r="DO8493" s="303" t="s">
        <v>232</v>
      </c>
    </row>
    <row r="8494" spans="119:119" x14ac:dyDescent="0.2">
      <c r="DO8494" s="303" t="s">
        <v>232</v>
      </c>
    </row>
    <row r="8495" spans="119:119" x14ac:dyDescent="0.2">
      <c r="DO8495" s="303" t="s">
        <v>232</v>
      </c>
    </row>
    <row r="8496" spans="119:119" x14ac:dyDescent="0.2">
      <c r="DO8496" s="303" t="s">
        <v>232</v>
      </c>
    </row>
    <row r="8497" spans="119:119" x14ac:dyDescent="0.2">
      <c r="DO8497" s="303" t="s">
        <v>232</v>
      </c>
    </row>
    <row r="8498" spans="119:119" x14ac:dyDescent="0.2">
      <c r="DO8498" s="303" t="s">
        <v>232</v>
      </c>
    </row>
    <row r="8499" spans="119:119" x14ac:dyDescent="0.2">
      <c r="DO8499" s="303" t="s">
        <v>232</v>
      </c>
    </row>
    <row r="8500" spans="119:119" x14ac:dyDescent="0.2">
      <c r="DO8500" s="303" t="s">
        <v>232</v>
      </c>
    </row>
    <row r="8501" spans="119:119" x14ac:dyDescent="0.2">
      <c r="DO8501" s="303" t="s">
        <v>232</v>
      </c>
    </row>
    <row r="8502" spans="119:119" x14ac:dyDescent="0.2">
      <c r="DO8502" s="303" t="s">
        <v>232</v>
      </c>
    </row>
    <row r="8503" spans="119:119" x14ac:dyDescent="0.2">
      <c r="DO8503" s="303" t="s">
        <v>232</v>
      </c>
    </row>
    <row r="8504" spans="119:119" x14ac:dyDescent="0.2">
      <c r="DO8504" s="303" t="s">
        <v>232</v>
      </c>
    </row>
    <row r="8505" spans="119:119" x14ac:dyDescent="0.2">
      <c r="DO8505" s="303" t="s">
        <v>232</v>
      </c>
    </row>
    <row r="8506" spans="119:119" x14ac:dyDescent="0.2">
      <c r="DO8506" s="303" t="s">
        <v>232</v>
      </c>
    </row>
    <row r="8507" spans="119:119" x14ac:dyDescent="0.2">
      <c r="DO8507" s="303" t="s">
        <v>232</v>
      </c>
    </row>
    <row r="8508" spans="119:119" x14ac:dyDescent="0.2">
      <c r="DO8508" s="303" t="s">
        <v>232</v>
      </c>
    </row>
    <row r="8509" spans="119:119" x14ac:dyDescent="0.2">
      <c r="DO8509" s="303" t="s">
        <v>232</v>
      </c>
    </row>
    <row r="8510" spans="119:119" x14ac:dyDescent="0.2">
      <c r="DO8510" s="303" t="s">
        <v>232</v>
      </c>
    </row>
    <row r="8511" spans="119:119" x14ac:dyDescent="0.2">
      <c r="DO8511" s="303" t="s">
        <v>232</v>
      </c>
    </row>
    <row r="8512" spans="119:119" x14ac:dyDescent="0.2">
      <c r="DO8512" s="303" t="s">
        <v>232</v>
      </c>
    </row>
    <row r="8513" spans="119:119" x14ac:dyDescent="0.2">
      <c r="DO8513" s="303" t="s">
        <v>232</v>
      </c>
    </row>
    <row r="8514" spans="119:119" x14ac:dyDescent="0.2">
      <c r="DO8514" s="303" t="s">
        <v>232</v>
      </c>
    </row>
    <row r="8515" spans="119:119" x14ac:dyDescent="0.2">
      <c r="DO8515" s="303" t="s">
        <v>232</v>
      </c>
    </row>
    <row r="8516" spans="119:119" x14ac:dyDescent="0.2">
      <c r="DO8516" s="303" t="s">
        <v>232</v>
      </c>
    </row>
    <row r="8517" spans="119:119" x14ac:dyDescent="0.2">
      <c r="DO8517" s="303" t="s">
        <v>232</v>
      </c>
    </row>
    <row r="8518" spans="119:119" x14ac:dyDescent="0.2">
      <c r="DO8518" s="303" t="s">
        <v>232</v>
      </c>
    </row>
    <row r="8519" spans="119:119" x14ac:dyDescent="0.2">
      <c r="DO8519" s="303" t="s">
        <v>232</v>
      </c>
    </row>
    <row r="8520" spans="119:119" x14ac:dyDescent="0.2">
      <c r="DO8520" s="303" t="s">
        <v>232</v>
      </c>
    </row>
    <row r="8521" spans="119:119" x14ac:dyDescent="0.2">
      <c r="DO8521" s="303" t="s">
        <v>232</v>
      </c>
    </row>
    <row r="8522" spans="119:119" x14ac:dyDescent="0.2">
      <c r="DO8522" s="303" t="s">
        <v>232</v>
      </c>
    </row>
    <row r="8523" spans="119:119" x14ac:dyDescent="0.2">
      <c r="DO8523" s="303" t="s">
        <v>232</v>
      </c>
    </row>
    <row r="8524" spans="119:119" x14ac:dyDescent="0.2">
      <c r="DO8524" s="303" t="s">
        <v>232</v>
      </c>
    </row>
    <row r="8525" spans="119:119" x14ac:dyDescent="0.2">
      <c r="DO8525" s="303" t="s">
        <v>232</v>
      </c>
    </row>
    <row r="8526" spans="119:119" x14ac:dyDescent="0.2">
      <c r="DO8526" s="303" t="s">
        <v>232</v>
      </c>
    </row>
    <row r="8527" spans="119:119" x14ac:dyDescent="0.2">
      <c r="DO8527" s="303" t="s">
        <v>232</v>
      </c>
    </row>
    <row r="8528" spans="119:119" x14ac:dyDescent="0.2">
      <c r="DO8528" s="303" t="s">
        <v>232</v>
      </c>
    </row>
    <row r="8529" spans="119:119" x14ac:dyDescent="0.2">
      <c r="DO8529" s="303" t="s">
        <v>232</v>
      </c>
    </row>
    <row r="8530" spans="119:119" x14ac:dyDescent="0.2">
      <c r="DO8530" s="303" t="s">
        <v>232</v>
      </c>
    </row>
    <row r="8531" spans="119:119" x14ac:dyDescent="0.2">
      <c r="DO8531" s="303" t="s">
        <v>232</v>
      </c>
    </row>
    <row r="8532" spans="119:119" x14ac:dyDescent="0.2">
      <c r="DO8532" s="303" t="s">
        <v>232</v>
      </c>
    </row>
    <row r="8533" spans="119:119" x14ac:dyDescent="0.2">
      <c r="DO8533" s="303" t="s">
        <v>232</v>
      </c>
    </row>
    <row r="8534" spans="119:119" x14ac:dyDescent="0.2">
      <c r="DO8534" s="303" t="s">
        <v>232</v>
      </c>
    </row>
    <row r="8535" spans="119:119" x14ac:dyDescent="0.2">
      <c r="DO8535" s="303" t="s">
        <v>232</v>
      </c>
    </row>
    <row r="8536" spans="119:119" x14ac:dyDescent="0.2">
      <c r="DO8536" s="303" t="s">
        <v>232</v>
      </c>
    </row>
    <row r="8537" spans="119:119" x14ac:dyDescent="0.2">
      <c r="DO8537" s="303" t="s">
        <v>232</v>
      </c>
    </row>
    <row r="8538" spans="119:119" x14ac:dyDescent="0.2">
      <c r="DO8538" s="303" t="s">
        <v>232</v>
      </c>
    </row>
    <row r="8539" spans="119:119" x14ac:dyDescent="0.2">
      <c r="DO8539" s="303" t="s">
        <v>232</v>
      </c>
    </row>
    <row r="8540" spans="119:119" x14ac:dyDescent="0.2">
      <c r="DO8540" s="303" t="s">
        <v>232</v>
      </c>
    </row>
    <row r="8541" spans="119:119" x14ac:dyDescent="0.2">
      <c r="DO8541" s="303" t="s">
        <v>232</v>
      </c>
    </row>
    <row r="8542" spans="119:119" x14ac:dyDescent="0.2">
      <c r="DO8542" s="303" t="s">
        <v>232</v>
      </c>
    </row>
    <row r="8543" spans="119:119" x14ac:dyDescent="0.2">
      <c r="DO8543" s="303" t="s">
        <v>232</v>
      </c>
    </row>
    <row r="8544" spans="119:119" x14ac:dyDescent="0.2">
      <c r="DO8544" s="303" t="s">
        <v>232</v>
      </c>
    </row>
    <row r="8545" spans="119:119" x14ac:dyDescent="0.2">
      <c r="DO8545" s="303" t="s">
        <v>232</v>
      </c>
    </row>
    <row r="8546" spans="119:119" x14ac:dyDescent="0.2">
      <c r="DO8546" s="303" t="s">
        <v>232</v>
      </c>
    </row>
    <row r="8547" spans="119:119" x14ac:dyDescent="0.2">
      <c r="DO8547" s="303" t="s">
        <v>232</v>
      </c>
    </row>
    <row r="8548" spans="119:119" x14ac:dyDescent="0.2">
      <c r="DO8548" s="303" t="s">
        <v>232</v>
      </c>
    </row>
    <row r="8549" spans="119:119" x14ac:dyDescent="0.2">
      <c r="DO8549" s="303" t="s">
        <v>232</v>
      </c>
    </row>
    <row r="8550" spans="119:119" x14ac:dyDescent="0.2">
      <c r="DO8550" s="303" t="s">
        <v>232</v>
      </c>
    </row>
    <row r="8551" spans="119:119" x14ac:dyDescent="0.2">
      <c r="DO8551" s="303" t="s">
        <v>232</v>
      </c>
    </row>
    <row r="8552" spans="119:119" x14ac:dyDescent="0.2">
      <c r="DO8552" s="303" t="s">
        <v>232</v>
      </c>
    </row>
    <row r="8553" spans="119:119" x14ac:dyDescent="0.2">
      <c r="DO8553" s="303" t="s">
        <v>232</v>
      </c>
    </row>
    <row r="8554" spans="119:119" x14ac:dyDescent="0.2">
      <c r="DO8554" s="303" t="s">
        <v>232</v>
      </c>
    </row>
    <row r="8555" spans="119:119" x14ac:dyDescent="0.2">
      <c r="DO8555" s="303" t="s">
        <v>232</v>
      </c>
    </row>
    <row r="8556" spans="119:119" x14ac:dyDescent="0.2">
      <c r="DO8556" s="303" t="s">
        <v>232</v>
      </c>
    </row>
    <row r="8557" spans="119:119" x14ac:dyDescent="0.2">
      <c r="DO8557" s="303" t="s">
        <v>232</v>
      </c>
    </row>
    <row r="8558" spans="119:119" x14ac:dyDescent="0.2">
      <c r="DO8558" s="303" t="s">
        <v>232</v>
      </c>
    </row>
    <row r="8559" spans="119:119" x14ac:dyDescent="0.2">
      <c r="DO8559" s="303" t="s">
        <v>232</v>
      </c>
    </row>
    <row r="8560" spans="119:119" x14ac:dyDescent="0.2">
      <c r="DO8560" s="303" t="s">
        <v>232</v>
      </c>
    </row>
    <row r="8561" spans="119:119" x14ac:dyDescent="0.2">
      <c r="DO8561" s="303" t="s">
        <v>232</v>
      </c>
    </row>
    <row r="8562" spans="119:119" x14ac:dyDescent="0.2">
      <c r="DO8562" s="303" t="s">
        <v>232</v>
      </c>
    </row>
    <row r="8563" spans="119:119" x14ac:dyDescent="0.2">
      <c r="DO8563" s="303" t="s">
        <v>232</v>
      </c>
    </row>
    <row r="8564" spans="119:119" x14ac:dyDescent="0.2">
      <c r="DO8564" s="303" t="s">
        <v>232</v>
      </c>
    </row>
    <row r="8565" spans="119:119" x14ac:dyDescent="0.2">
      <c r="DO8565" s="303" t="s">
        <v>232</v>
      </c>
    </row>
    <row r="8566" spans="119:119" x14ac:dyDescent="0.2">
      <c r="DO8566" s="303" t="s">
        <v>232</v>
      </c>
    </row>
    <row r="8567" spans="119:119" x14ac:dyDescent="0.2">
      <c r="DO8567" s="303" t="s">
        <v>232</v>
      </c>
    </row>
    <row r="8568" spans="119:119" x14ac:dyDescent="0.2">
      <c r="DO8568" s="303" t="s">
        <v>232</v>
      </c>
    </row>
    <row r="8569" spans="119:119" x14ac:dyDescent="0.2">
      <c r="DO8569" s="303" t="s">
        <v>232</v>
      </c>
    </row>
    <row r="8570" spans="119:119" x14ac:dyDescent="0.2">
      <c r="DO8570" s="303" t="s">
        <v>232</v>
      </c>
    </row>
    <row r="8571" spans="119:119" x14ac:dyDescent="0.2">
      <c r="DO8571" s="303" t="s">
        <v>232</v>
      </c>
    </row>
    <row r="8572" spans="119:119" x14ac:dyDescent="0.2">
      <c r="DO8572" s="303" t="s">
        <v>232</v>
      </c>
    </row>
    <row r="8573" spans="119:119" x14ac:dyDescent="0.2">
      <c r="DO8573" s="303" t="s">
        <v>232</v>
      </c>
    </row>
    <row r="8574" spans="119:119" x14ac:dyDescent="0.2">
      <c r="DO8574" s="303" t="s">
        <v>232</v>
      </c>
    </row>
    <row r="8575" spans="119:119" x14ac:dyDescent="0.2">
      <c r="DO8575" s="303" t="s">
        <v>232</v>
      </c>
    </row>
    <row r="8576" spans="119:119" x14ac:dyDescent="0.2">
      <c r="DO8576" s="303" t="s">
        <v>232</v>
      </c>
    </row>
    <row r="8577" spans="119:119" x14ac:dyDescent="0.2">
      <c r="DO8577" s="303" t="s">
        <v>232</v>
      </c>
    </row>
    <row r="8578" spans="119:119" x14ac:dyDescent="0.2">
      <c r="DO8578" s="303" t="s">
        <v>232</v>
      </c>
    </row>
    <row r="8579" spans="119:119" x14ac:dyDescent="0.2">
      <c r="DO8579" s="303" t="s">
        <v>232</v>
      </c>
    </row>
    <row r="8580" spans="119:119" x14ac:dyDescent="0.2">
      <c r="DO8580" s="303" t="s">
        <v>232</v>
      </c>
    </row>
    <row r="8581" spans="119:119" x14ac:dyDescent="0.2">
      <c r="DO8581" s="303" t="s">
        <v>232</v>
      </c>
    </row>
    <row r="8582" spans="119:119" x14ac:dyDescent="0.2">
      <c r="DO8582" s="303" t="s">
        <v>232</v>
      </c>
    </row>
    <row r="8583" spans="119:119" x14ac:dyDescent="0.2">
      <c r="DO8583" s="303" t="s">
        <v>232</v>
      </c>
    </row>
    <row r="8584" spans="119:119" x14ac:dyDescent="0.2">
      <c r="DO8584" s="303" t="s">
        <v>232</v>
      </c>
    </row>
    <row r="8585" spans="119:119" x14ac:dyDescent="0.2">
      <c r="DO8585" s="303" t="s">
        <v>232</v>
      </c>
    </row>
    <row r="8586" spans="119:119" x14ac:dyDescent="0.2">
      <c r="DO8586" s="303" t="s">
        <v>232</v>
      </c>
    </row>
    <row r="8587" spans="119:119" x14ac:dyDescent="0.2">
      <c r="DO8587" s="303" t="s">
        <v>232</v>
      </c>
    </row>
    <row r="8588" spans="119:119" x14ac:dyDescent="0.2">
      <c r="DO8588" s="303" t="s">
        <v>232</v>
      </c>
    </row>
    <row r="8589" spans="119:119" x14ac:dyDescent="0.2">
      <c r="DO8589" s="303" t="s">
        <v>232</v>
      </c>
    </row>
    <row r="8590" spans="119:119" x14ac:dyDescent="0.2">
      <c r="DO8590" s="303" t="s">
        <v>232</v>
      </c>
    </row>
    <row r="8591" spans="119:119" x14ac:dyDescent="0.2">
      <c r="DO8591" s="303" t="s">
        <v>232</v>
      </c>
    </row>
    <row r="8592" spans="119:119" x14ac:dyDescent="0.2">
      <c r="DO8592" s="303" t="s">
        <v>232</v>
      </c>
    </row>
    <row r="8593" spans="119:119" x14ac:dyDescent="0.2">
      <c r="DO8593" s="303" t="s">
        <v>232</v>
      </c>
    </row>
    <row r="8594" spans="119:119" x14ac:dyDescent="0.2">
      <c r="DO8594" s="303" t="s">
        <v>232</v>
      </c>
    </row>
    <row r="8595" spans="119:119" x14ac:dyDescent="0.2">
      <c r="DO8595" s="303" t="s">
        <v>232</v>
      </c>
    </row>
    <row r="8596" spans="119:119" x14ac:dyDescent="0.2">
      <c r="DO8596" s="303" t="s">
        <v>232</v>
      </c>
    </row>
    <row r="8597" spans="119:119" x14ac:dyDescent="0.2">
      <c r="DO8597" s="303" t="s">
        <v>232</v>
      </c>
    </row>
    <row r="8598" spans="119:119" x14ac:dyDescent="0.2">
      <c r="DO8598" s="303" t="s">
        <v>232</v>
      </c>
    </row>
    <row r="8599" spans="119:119" x14ac:dyDescent="0.2">
      <c r="DO8599" s="303" t="s">
        <v>232</v>
      </c>
    </row>
    <row r="8600" spans="119:119" x14ac:dyDescent="0.2">
      <c r="DO8600" s="303" t="s">
        <v>232</v>
      </c>
    </row>
    <row r="8601" spans="119:119" x14ac:dyDescent="0.2">
      <c r="DO8601" s="303" t="s">
        <v>232</v>
      </c>
    </row>
    <row r="8602" spans="119:119" x14ac:dyDescent="0.2">
      <c r="DO8602" s="303" t="s">
        <v>232</v>
      </c>
    </row>
    <row r="8603" spans="119:119" x14ac:dyDescent="0.2">
      <c r="DO8603" s="303" t="s">
        <v>232</v>
      </c>
    </row>
    <row r="8604" spans="119:119" x14ac:dyDescent="0.2">
      <c r="DO8604" s="303" t="s">
        <v>232</v>
      </c>
    </row>
    <row r="8605" spans="119:119" x14ac:dyDescent="0.2">
      <c r="DO8605" s="303" t="s">
        <v>232</v>
      </c>
    </row>
    <row r="8606" spans="119:119" x14ac:dyDescent="0.2">
      <c r="DO8606" s="303" t="s">
        <v>232</v>
      </c>
    </row>
    <row r="8607" spans="119:119" x14ac:dyDescent="0.2">
      <c r="DO8607" s="303" t="s">
        <v>232</v>
      </c>
    </row>
    <row r="8608" spans="119:119" x14ac:dyDescent="0.2">
      <c r="DO8608" s="303" t="s">
        <v>232</v>
      </c>
    </row>
    <row r="8609" spans="119:119" x14ac:dyDescent="0.2">
      <c r="DO8609" s="303" t="s">
        <v>232</v>
      </c>
    </row>
    <row r="8610" spans="119:119" x14ac:dyDescent="0.2">
      <c r="DO8610" s="303" t="s">
        <v>232</v>
      </c>
    </row>
    <row r="8611" spans="119:119" x14ac:dyDescent="0.2">
      <c r="DO8611" s="303" t="s">
        <v>232</v>
      </c>
    </row>
    <row r="8612" spans="119:119" x14ac:dyDescent="0.2">
      <c r="DO8612" s="303" t="s">
        <v>232</v>
      </c>
    </row>
    <row r="8613" spans="119:119" x14ac:dyDescent="0.2">
      <c r="DO8613" s="303" t="s">
        <v>232</v>
      </c>
    </row>
    <row r="8614" spans="119:119" x14ac:dyDescent="0.2">
      <c r="DO8614" s="303" t="s">
        <v>232</v>
      </c>
    </row>
    <row r="8615" spans="119:119" x14ac:dyDescent="0.2">
      <c r="DO8615" s="303" t="s">
        <v>232</v>
      </c>
    </row>
    <row r="8616" spans="119:119" x14ac:dyDescent="0.2">
      <c r="DO8616" s="303" t="s">
        <v>232</v>
      </c>
    </row>
    <row r="8617" spans="119:119" x14ac:dyDescent="0.2">
      <c r="DO8617" s="303" t="s">
        <v>232</v>
      </c>
    </row>
    <row r="8618" spans="119:119" x14ac:dyDescent="0.2">
      <c r="DO8618" s="303" t="s">
        <v>232</v>
      </c>
    </row>
    <row r="8619" spans="119:119" x14ac:dyDescent="0.2">
      <c r="DO8619" s="303" t="s">
        <v>232</v>
      </c>
    </row>
    <row r="8620" spans="119:119" x14ac:dyDescent="0.2">
      <c r="DO8620" s="303" t="s">
        <v>232</v>
      </c>
    </row>
    <row r="8621" spans="119:119" x14ac:dyDescent="0.2">
      <c r="DO8621" s="303" t="s">
        <v>232</v>
      </c>
    </row>
    <row r="8622" spans="119:119" x14ac:dyDescent="0.2">
      <c r="DO8622" s="303" t="s">
        <v>232</v>
      </c>
    </row>
    <row r="8623" spans="119:119" x14ac:dyDescent="0.2">
      <c r="DO8623" s="303" t="s">
        <v>232</v>
      </c>
    </row>
    <row r="8624" spans="119:119" x14ac:dyDescent="0.2">
      <c r="DO8624" s="303" t="s">
        <v>232</v>
      </c>
    </row>
    <row r="8625" spans="119:119" x14ac:dyDescent="0.2">
      <c r="DO8625" s="303" t="s">
        <v>232</v>
      </c>
    </row>
    <row r="8626" spans="119:119" x14ac:dyDescent="0.2">
      <c r="DO8626" s="303" t="s">
        <v>232</v>
      </c>
    </row>
    <row r="8627" spans="119:119" x14ac:dyDescent="0.2">
      <c r="DO8627" s="303" t="s">
        <v>232</v>
      </c>
    </row>
    <row r="8628" spans="119:119" x14ac:dyDescent="0.2">
      <c r="DO8628" s="303" t="s">
        <v>232</v>
      </c>
    </row>
    <row r="8629" spans="119:119" x14ac:dyDescent="0.2">
      <c r="DO8629" s="303" t="s">
        <v>232</v>
      </c>
    </row>
    <row r="8630" spans="119:119" x14ac:dyDescent="0.2">
      <c r="DO8630" s="303" t="s">
        <v>232</v>
      </c>
    </row>
    <row r="8631" spans="119:119" x14ac:dyDescent="0.2">
      <c r="DO8631" s="303" t="s">
        <v>232</v>
      </c>
    </row>
    <row r="8632" spans="119:119" x14ac:dyDescent="0.2">
      <c r="DO8632" s="303" t="s">
        <v>232</v>
      </c>
    </row>
    <row r="8633" spans="119:119" x14ac:dyDescent="0.2">
      <c r="DO8633" s="303" t="s">
        <v>232</v>
      </c>
    </row>
    <row r="8634" spans="119:119" x14ac:dyDescent="0.2">
      <c r="DO8634" s="303" t="s">
        <v>232</v>
      </c>
    </row>
    <row r="8635" spans="119:119" x14ac:dyDescent="0.2">
      <c r="DO8635" s="303" t="s">
        <v>232</v>
      </c>
    </row>
    <row r="8636" spans="119:119" x14ac:dyDescent="0.2">
      <c r="DO8636" s="303" t="s">
        <v>232</v>
      </c>
    </row>
    <row r="8637" spans="119:119" x14ac:dyDescent="0.2">
      <c r="DO8637" s="303" t="s">
        <v>232</v>
      </c>
    </row>
    <row r="8638" spans="119:119" x14ac:dyDescent="0.2">
      <c r="DO8638" s="303" t="s">
        <v>232</v>
      </c>
    </row>
    <row r="8639" spans="119:119" x14ac:dyDescent="0.2">
      <c r="DO8639" s="303" t="s">
        <v>232</v>
      </c>
    </row>
    <row r="8640" spans="119:119" x14ac:dyDescent="0.2">
      <c r="DO8640" s="303" t="s">
        <v>232</v>
      </c>
    </row>
    <row r="8641" spans="119:119" x14ac:dyDescent="0.2">
      <c r="DO8641" s="303" t="s">
        <v>232</v>
      </c>
    </row>
    <row r="8642" spans="119:119" x14ac:dyDescent="0.2">
      <c r="DO8642" s="303" t="s">
        <v>232</v>
      </c>
    </row>
    <row r="8643" spans="119:119" x14ac:dyDescent="0.2">
      <c r="DO8643" s="303" t="s">
        <v>232</v>
      </c>
    </row>
    <row r="8644" spans="119:119" x14ac:dyDescent="0.2">
      <c r="DO8644" s="303" t="s">
        <v>232</v>
      </c>
    </row>
    <row r="8645" spans="119:119" x14ac:dyDescent="0.2">
      <c r="DO8645" s="303" t="s">
        <v>232</v>
      </c>
    </row>
    <row r="8646" spans="119:119" x14ac:dyDescent="0.2">
      <c r="DO8646" s="303" t="s">
        <v>232</v>
      </c>
    </row>
    <row r="8647" spans="119:119" x14ac:dyDescent="0.2">
      <c r="DO8647" s="303" t="s">
        <v>232</v>
      </c>
    </row>
    <row r="8648" spans="119:119" x14ac:dyDescent="0.2">
      <c r="DO8648" s="303" t="s">
        <v>232</v>
      </c>
    </row>
    <row r="8649" spans="119:119" x14ac:dyDescent="0.2">
      <c r="DO8649" s="303" t="s">
        <v>232</v>
      </c>
    </row>
    <row r="8650" spans="119:119" x14ac:dyDescent="0.2">
      <c r="DO8650" s="303" t="s">
        <v>232</v>
      </c>
    </row>
    <row r="8651" spans="119:119" x14ac:dyDescent="0.2">
      <c r="DO8651" s="303" t="s">
        <v>232</v>
      </c>
    </row>
    <row r="8652" spans="119:119" x14ac:dyDescent="0.2">
      <c r="DO8652" s="303" t="s">
        <v>232</v>
      </c>
    </row>
    <row r="8653" spans="119:119" x14ac:dyDescent="0.2">
      <c r="DO8653" s="303" t="s">
        <v>232</v>
      </c>
    </row>
    <row r="8654" spans="119:119" x14ac:dyDescent="0.2">
      <c r="DO8654" s="303" t="s">
        <v>232</v>
      </c>
    </row>
    <row r="8655" spans="119:119" x14ac:dyDescent="0.2">
      <c r="DO8655" s="303" t="s">
        <v>232</v>
      </c>
    </row>
    <row r="8656" spans="119:119" x14ac:dyDescent="0.2">
      <c r="DO8656" s="303" t="s">
        <v>232</v>
      </c>
    </row>
    <row r="8657" spans="119:119" x14ac:dyDescent="0.2">
      <c r="DO8657" s="303" t="s">
        <v>232</v>
      </c>
    </row>
    <row r="8658" spans="119:119" x14ac:dyDescent="0.2">
      <c r="DO8658" s="303" t="s">
        <v>232</v>
      </c>
    </row>
    <row r="8659" spans="119:119" x14ac:dyDescent="0.2">
      <c r="DO8659" s="303" t="s">
        <v>232</v>
      </c>
    </row>
    <row r="8660" spans="119:119" x14ac:dyDescent="0.2">
      <c r="DO8660" s="303" t="s">
        <v>232</v>
      </c>
    </row>
    <row r="8661" spans="119:119" x14ac:dyDescent="0.2">
      <c r="DO8661" s="303" t="s">
        <v>232</v>
      </c>
    </row>
    <row r="8662" spans="119:119" x14ac:dyDescent="0.2">
      <c r="DO8662" s="303" t="s">
        <v>232</v>
      </c>
    </row>
    <row r="8663" spans="119:119" x14ac:dyDescent="0.2">
      <c r="DO8663" s="303" t="s">
        <v>232</v>
      </c>
    </row>
    <row r="8664" spans="119:119" x14ac:dyDescent="0.2">
      <c r="DO8664" s="303" t="s">
        <v>232</v>
      </c>
    </row>
    <row r="8665" spans="119:119" x14ac:dyDescent="0.2">
      <c r="DO8665" s="303" t="s">
        <v>232</v>
      </c>
    </row>
    <row r="8666" spans="119:119" x14ac:dyDescent="0.2">
      <c r="DO8666" s="303" t="s">
        <v>232</v>
      </c>
    </row>
    <row r="8667" spans="119:119" x14ac:dyDescent="0.2">
      <c r="DO8667" s="303" t="s">
        <v>232</v>
      </c>
    </row>
    <row r="8668" spans="119:119" x14ac:dyDescent="0.2">
      <c r="DO8668" s="303" t="s">
        <v>232</v>
      </c>
    </row>
    <row r="8669" spans="119:119" x14ac:dyDescent="0.2">
      <c r="DO8669" s="303" t="s">
        <v>232</v>
      </c>
    </row>
    <row r="8670" spans="119:119" x14ac:dyDescent="0.2">
      <c r="DO8670" s="303" t="s">
        <v>232</v>
      </c>
    </row>
    <row r="8671" spans="119:119" x14ac:dyDescent="0.2">
      <c r="DO8671" s="303" t="s">
        <v>232</v>
      </c>
    </row>
    <row r="8672" spans="119:119" x14ac:dyDescent="0.2">
      <c r="DO8672" s="303" t="s">
        <v>232</v>
      </c>
    </row>
    <row r="8673" spans="119:119" x14ac:dyDescent="0.2">
      <c r="DO8673" s="303" t="s">
        <v>232</v>
      </c>
    </row>
    <row r="8674" spans="119:119" x14ac:dyDescent="0.2">
      <c r="DO8674" s="303" t="s">
        <v>232</v>
      </c>
    </row>
    <row r="8675" spans="119:119" x14ac:dyDescent="0.2">
      <c r="DO8675" s="303" t="s">
        <v>232</v>
      </c>
    </row>
    <row r="8676" spans="119:119" x14ac:dyDescent="0.2">
      <c r="DO8676" s="303" t="s">
        <v>232</v>
      </c>
    </row>
    <row r="8677" spans="119:119" x14ac:dyDescent="0.2">
      <c r="DO8677" s="303" t="s">
        <v>232</v>
      </c>
    </row>
    <row r="8678" spans="119:119" x14ac:dyDescent="0.2">
      <c r="DO8678" s="303" t="s">
        <v>232</v>
      </c>
    </row>
    <row r="8679" spans="119:119" x14ac:dyDescent="0.2">
      <c r="DO8679" s="303" t="s">
        <v>232</v>
      </c>
    </row>
    <row r="8680" spans="119:119" x14ac:dyDescent="0.2">
      <c r="DO8680" s="303" t="s">
        <v>232</v>
      </c>
    </row>
    <row r="8681" spans="119:119" x14ac:dyDescent="0.2">
      <c r="DO8681" s="303" t="s">
        <v>232</v>
      </c>
    </row>
    <row r="8682" spans="119:119" x14ac:dyDescent="0.2">
      <c r="DO8682" s="303" t="s">
        <v>232</v>
      </c>
    </row>
    <row r="8683" spans="119:119" x14ac:dyDescent="0.2">
      <c r="DO8683" s="303" t="s">
        <v>232</v>
      </c>
    </row>
    <row r="8684" spans="119:119" x14ac:dyDescent="0.2">
      <c r="DO8684" s="303" t="s">
        <v>232</v>
      </c>
    </row>
    <row r="8685" spans="119:119" x14ac:dyDescent="0.2">
      <c r="DO8685" s="303" t="s">
        <v>232</v>
      </c>
    </row>
    <row r="8686" spans="119:119" x14ac:dyDescent="0.2">
      <c r="DO8686" s="303" t="s">
        <v>232</v>
      </c>
    </row>
    <row r="8687" spans="119:119" x14ac:dyDescent="0.2">
      <c r="DO8687" s="303" t="s">
        <v>232</v>
      </c>
    </row>
    <row r="8688" spans="119:119" x14ac:dyDescent="0.2">
      <c r="DO8688" s="303" t="s">
        <v>232</v>
      </c>
    </row>
    <row r="8689" spans="119:119" x14ac:dyDescent="0.2">
      <c r="DO8689" s="303" t="s">
        <v>232</v>
      </c>
    </row>
    <row r="8690" spans="119:119" x14ac:dyDescent="0.2">
      <c r="DO8690" s="303" t="s">
        <v>232</v>
      </c>
    </row>
    <row r="8691" spans="119:119" x14ac:dyDescent="0.2">
      <c r="DO8691" s="303" t="s">
        <v>232</v>
      </c>
    </row>
    <row r="8692" spans="119:119" x14ac:dyDescent="0.2">
      <c r="DO8692" s="303" t="s">
        <v>232</v>
      </c>
    </row>
    <row r="8693" spans="119:119" x14ac:dyDescent="0.2">
      <c r="DO8693" s="303" t="s">
        <v>232</v>
      </c>
    </row>
    <row r="8694" spans="119:119" x14ac:dyDescent="0.2">
      <c r="DO8694" s="303" t="s">
        <v>232</v>
      </c>
    </row>
    <row r="8695" spans="119:119" x14ac:dyDescent="0.2">
      <c r="DO8695" s="303" t="s">
        <v>232</v>
      </c>
    </row>
    <row r="8696" spans="119:119" x14ac:dyDescent="0.2">
      <c r="DO8696" s="303" t="s">
        <v>232</v>
      </c>
    </row>
    <row r="8697" spans="119:119" x14ac:dyDescent="0.2">
      <c r="DO8697" s="303" t="s">
        <v>232</v>
      </c>
    </row>
    <row r="8698" spans="119:119" x14ac:dyDescent="0.2">
      <c r="DO8698" s="303" t="s">
        <v>232</v>
      </c>
    </row>
    <row r="8699" spans="119:119" x14ac:dyDescent="0.2">
      <c r="DO8699" s="303" t="s">
        <v>232</v>
      </c>
    </row>
    <row r="8700" spans="119:119" x14ac:dyDescent="0.2">
      <c r="DO8700" s="303" t="s">
        <v>232</v>
      </c>
    </row>
    <row r="8701" spans="119:119" x14ac:dyDescent="0.2">
      <c r="DO8701" s="303" t="s">
        <v>232</v>
      </c>
    </row>
    <row r="8702" spans="119:119" x14ac:dyDescent="0.2">
      <c r="DO8702" s="303" t="s">
        <v>232</v>
      </c>
    </row>
    <row r="8703" spans="119:119" x14ac:dyDescent="0.2">
      <c r="DO8703" s="303" t="s">
        <v>232</v>
      </c>
    </row>
    <row r="8704" spans="119:119" x14ac:dyDescent="0.2">
      <c r="DO8704" s="303" t="s">
        <v>232</v>
      </c>
    </row>
    <row r="8705" spans="119:119" x14ac:dyDescent="0.2">
      <c r="DO8705" s="303" t="s">
        <v>232</v>
      </c>
    </row>
    <row r="8706" spans="119:119" x14ac:dyDescent="0.2">
      <c r="DO8706" s="303" t="s">
        <v>232</v>
      </c>
    </row>
    <row r="8707" spans="119:119" x14ac:dyDescent="0.2">
      <c r="DO8707" s="303" t="s">
        <v>232</v>
      </c>
    </row>
    <row r="8708" spans="119:119" x14ac:dyDescent="0.2">
      <c r="DO8708" s="303" t="s">
        <v>232</v>
      </c>
    </row>
    <row r="8709" spans="119:119" x14ac:dyDescent="0.2">
      <c r="DO8709" s="303" t="s">
        <v>232</v>
      </c>
    </row>
    <row r="8710" spans="119:119" x14ac:dyDescent="0.2">
      <c r="DO8710" s="303" t="s">
        <v>232</v>
      </c>
    </row>
    <row r="8711" spans="119:119" x14ac:dyDescent="0.2">
      <c r="DO8711" s="303" t="s">
        <v>232</v>
      </c>
    </row>
    <row r="8712" spans="119:119" x14ac:dyDescent="0.2">
      <c r="DO8712" s="303" t="s">
        <v>232</v>
      </c>
    </row>
    <row r="8713" spans="119:119" x14ac:dyDescent="0.2">
      <c r="DO8713" s="303" t="s">
        <v>232</v>
      </c>
    </row>
    <row r="8714" spans="119:119" x14ac:dyDescent="0.2">
      <c r="DO8714" s="303" t="s">
        <v>232</v>
      </c>
    </row>
    <row r="8715" spans="119:119" x14ac:dyDescent="0.2">
      <c r="DO8715" s="303" t="s">
        <v>232</v>
      </c>
    </row>
    <row r="8716" spans="119:119" x14ac:dyDescent="0.2">
      <c r="DO8716" s="303" t="s">
        <v>232</v>
      </c>
    </row>
    <row r="8717" spans="119:119" x14ac:dyDescent="0.2">
      <c r="DO8717" s="303" t="s">
        <v>232</v>
      </c>
    </row>
    <row r="8718" spans="119:119" x14ac:dyDescent="0.2">
      <c r="DO8718" s="303" t="s">
        <v>232</v>
      </c>
    </row>
    <row r="8719" spans="119:119" x14ac:dyDescent="0.2">
      <c r="DO8719" s="303" t="s">
        <v>232</v>
      </c>
    </row>
    <row r="8720" spans="119:119" x14ac:dyDescent="0.2">
      <c r="DO8720" s="303" t="s">
        <v>232</v>
      </c>
    </row>
    <row r="8721" spans="119:119" x14ac:dyDescent="0.2">
      <c r="DO8721" s="303" t="s">
        <v>232</v>
      </c>
    </row>
    <row r="8722" spans="119:119" x14ac:dyDescent="0.2">
      <c r="DO8722" s="303" t="s">
        <v>232</v>
      </c>
    </row>
    <row r="8723" spans="119:119" x14ac:dyDescent="0.2">
      <c r="DO8723" s="303" t="s">
        <v>232</v>
      </c>
    </row>
    <row r="8724" spans="119:119" x14ac:dyDescent="0.2">
      <c r="DO8724" s="303" t="s">
        <v>232</v>
      </c>
    </row>
    <row r="8725" spans="119:119" x14ac:dyDescent="0.2">
      <c r="DO8725" s="303" t="s">
        <v>232</v>
      </c>
    </row>
    <row r="8726" spans="119:119" x14ac:dyDescent="0.2">
      <c r="DO8726" s="303" t="s">
        <v>232</v>
      </c>
    </row>
    <row r="8727" spans="119:119" x14ac:dyDescent="0.2">
      <c r="DO8727" s="303" t="s">
        <v>232</v>
      </c>
    </row>
    <row r="8728" spans="119:119" x14ac:dyDescent="0.2">
      <c r="DO8728" s="303" t="s">
        <v>232</v>
      </c>
    </row>
    <row r="8729" spans="119:119" x14ac:dyDescent="0.2">
      <c r="DO8729" s="303" t="s">
        <v>232</v>
      </c>
    </row>
    <row r="8730" spans="119:119" x14ac:dyDescent="0.2">
      <c r="DO8730" s="303" t="s">
        <v>232</v>
      </c>
    </row>
    <row r="8731" spans="119:119" x14ac:dyDescent="0.2">
      <c r="DO8731" s="303" t="s">
        <v>232</v>
      </c>
    </row>
    <row r="8732" spans="119:119" x14ac:dyDescent="0.2">
      <c r="DO8732" s="303" t="s">
        <v>232</v>
      </c>
    </row>
    <row r="8733" spans="119:119" x14ac:dyDescent="0.2">
      <c r="DO8733" s="303" t="s">
        <v>232</v>
      </c>
    </row>
    <row r="8734" spans="119:119" x14ac:dyDescent="0.2">
      <c r="DO8734" s="303" t="s">
        <v>232</v>
      </c>
    </row>
    <row r="8735" spans="119:119" x14ac:dyDescent="0.2">
      <c r="DO8735" s="303" t="s">
        <v>232</v>
      </c>
    </row>
    <row r="8736" spans="119:119" x14ac:dyDescent="0.2">
      <c r="DO8736" s="303" t="s">
        <v>232</v>
      </c>
    </row>
    <row r="8737" spans="119:119" x14ac:dyDescent="0.2">
      <c r="DO8737" s="303" t="s">
        <v>232</v>
      </c>
    </row>
    <row r="8738" spans="119:119" x14ac:dyDescent="0.2">
      <c r="DO8738" s="303" t="s">
        <v>232</v>
      </c>
    </row>
    <row r="8739" spans="119:119" x14ac:dyDescent="0.2">
      <c r="DO8739" s="303" t="s">
        <v>232</v>
      </c>
    </row>
    <row r="8740" spans="119:119" x14ac:dyDescent="0.2">
      <c r="DO8740" s="303" t="s">
        <v>232</v>
      </c>
    </row>
    <row r="8741" spans="119:119" x14ac:dyDescent="0.2">
      <c r="DO8741" s="303" t="s">
        <v>232</v>
      </c>
    </row>
    <row r="8742" spans="119:119" x14ac:dyDescent="0.2">
      <c r="DO8742" s="303" t="s">
        <v>232</v>
      </c>
    </row>
    <row r="8743" spans="119:119" x14ac:dyDescent="0.2">
      <c r="DO8743" s="303" t="s">
        <v>232</v>
      </c>
    </row>
    <row r="8744" spans="119:119" x14ac:dyDescent="0.2">
      <c r="DO8744" s="303" t="s">
        <v>232</v>
      </c>
    </row>
    <row r="8745" spans="119:119" x14ac:dyDescent="0.2">
      <c r="DO8745" s="303" t="s">
        <v>232</v>
      </c>
    </row>
    <row r="8746" spans="119:119" x14ac:dyDescent="0.2">
      <c r="DO8746" s="303" t="s">
        <v>232</v>
      </c>
    </row>
    <row r="8747" spans="119:119" x14ac:dyDescent="0.2">
      <c r="DO8747" s="303" t="s">
        <v>232</v>
      </c>
    </row>
    <row r="8748" spans="119:119" x14ac:dyDescent="0.2">
      <c r="DO8748" s="303" t="s">
        <v>232</v>
      </c>
    </row>
    <row r="8749" spans="119:119" x14ac:dyDescent="0.2">
      <c r="DO8749" s="303" t="s">
        <v>232</v>
      </c>
    </row>
    <row r="8750" spans="119:119" x14ac:dyDescent="0.2">
      <c r="DO8750" s="303" t="s">
        <v>232</v>
      </c>
    </row>
    <row r="8751" spans="119:119" x14ac:dyDescent="0.2">
      <c r="DO8751" s="303" t="s">
        <v>232</v>
      </c>
    </row>
    <row r="8752" spans="119:119" x14ac:dyDescent="0.2">
      <c r="DO8752" s="303" t="s">
        <v>232</v>
      </c>
    </row>
    <row r="8753" spans="119:119" x14ac:dyDescent="0.2">
      <c r="DO8753" s="303" t="s">
        <v>232</v>
      </c>
    </row>
    <row r="8754" spans="119:119" x14ac:dyDescent="0.2">
      <c r="DO8754" s="303" t="s">
        <v>232</v>
      </c>
    </row>
    <row r="8755" spans="119:119" x14ac:dyDescent="0.2">
      <c r="DO8755" s="303" t="s">
        <v>232</v>
      </c>
    </row>
    <row r="8756" spans="119:119" x14ac:dyDescent="0.2">
      <c r="DO8756" s="303" t="s">
        <v>232</v>
      </c>
    </row>
    <row r="8757" spans="119:119" x14ac:dyDescent="0.2">
      <c r="DO8757" s="303" t="s">
        <v>232</v>
      </c>
    </row>
    <row r="8758" spans="119:119" x14ac:dyDescent="0.2">
      <c r="DO8758" s="303" t="s">
        <v>232</v>
      </c>
    </row>
    <row r="8759" spans="119:119" x14ac:dyDescent="0.2">
      <c r="DO8759" s="303" t="s">
        <v>232</v>
      </c>
    </row>
    <row r="8760" spans="119:119" x14ac:dyDescent="0.2">
      <c r="DO8760" s="303" t="s">
        <v>232</v>
      </c>
    </row>
    <row r="8761" spans="119:119" x14ac:dyDescent="0.2">
      <c r="DO8761" s="303" t="s">
        <v>232</v>
      </c>
    </row>
    <row r="8762" spans="119:119" x14ac:dyDescent="0.2">
      <c r="DO8762" s="303" t="s">
        <v>232</v>
      </c>
    </row>
    <row r="8763" spans="119:119" x14ac:dyDescent="0.2">
      <c r="DO8763" s="303" t="s">
        <v>232</v>
      </c>
    </row>
    <row r="8764" spans="119:119" x14ac:dyDescent="0.2">
      <c r="DO8764" s="303" t="s">
        <v>232</v>
      </c>
    </row>
    <row r="8765" spans="119:119" x14ac:dyDescent="0.2">
      <c r="DO8765" s="303" t="s">
        <v>232</v>
      </c>
    </row>
    <row r="8766" spans="119:119" x14ac:dyDescent="0.2">
      <c r="DO8766" s="303" t="s">
        <v>232</v>
      </c>
    </row>
    <row r="8767" spans="119:119" x14ac:dyDescent="0.2">
      <c r="DO8767" s="303" t="s">
        <v>232</v>
      </c>
    </row>
    <row r="8768" spans="119:119" x14ac:dyDescent="0.2">
      <c r="DO8768" s="303" t="s">
        <v>232</v>
      </c>
    </row>
    <row r="8769" spans="119:119" x14ac:dyDescent="0.2">
      <c r="DO8769" s="303" t="s">
        <v>232</v>
      </c>
    </row>
    <row r="8770" spans="119:119" x14ac:dyDescent="0.2">
      <c r="DO8770" s="303" t="s">
        <v>232</v>
      </c>
    </row>
    <row r="8771" spans="119:119" x14ac:dyDescent="0.2">
      <c r="DO8771" s="303" t="s">
        <v>232</v>
      </c>
    </row>
    <row r="8772" spans="119:119" x14ac:dyDescent="0.2">
      <c r="DO8772" s="303" t="s">
        <v>232</v>
      </c>
    </row>
    <row r="8773" spans="119:119" x14ac:dyDescent="0.2">
      <c r="DO8773" s="303" t="s">
        <v>232</v>
      </c>
    </row>
    <row r="8774" spans="119:119" x14ac:dyDescent="0.2">
      <c r="DO8774" s="303" t="s">
        <v>232</v>
      </c>
    </row>
    <row r="8775" spans="119:119" x14ac:dyDescent="0.2">
      <c r="DO8775" s="303" t="s">
        <v>232</v>
      </c>
    </row>
    <row r="8776" spans="119:119" x14ac:dyDescent="0.2">
      <c r="DO8776" s="303" t="s">
        <v>232</v>
      </c>
    </row>
    <row r="8777" spans="119:119" x14ac:dyDescent="0.2">
      <c r="DO8777" s="303" t="s">
        <v>232</v>
      </c>
    </row>
    <row r="8778" spans="119:119" x14ac:dyDescent="0.2">
      <c r="DO8778" s="303" t="s">
        <v>232</v>
      </c>
    </row>
    <row r="8779" spans="119:119" x14ac:dyDescent="0.2">
      <c r="DO8779" s="303" t="s">
        <v>232</v>
      </c>
    </row>
    <row r="8780" spans="119:119" x14ac:dyDescent="0.2">
      <c r="DO8780" s="303" t="s">
        <v>232</v>
      </c>
    </row>
    <row r="8781" spans="119:119" x14ac:dyDescent="0.2">
      <c r="DO8781" s="303" t="s">
        <v>232</v>
      </c>
    </row>
    <row r="8782" spans="119:119" x14ac:dyDescent="0.2">
      <c r="DO8782" s="303" t="s">
        <v>232</v>
      </c>
    </row>
    <row r="8783" spans="119:119" x14ac:dyDescent="0.2">
      <c r="DO8783" s="303" t="s">
        <v>232</v>
      </c>
    </row>
    <row r="8784" spans="119:119" x14ac:dyDescent="0.2">
      <c r="DO8784" s="303" t="s">
        <v>232</v>
      </c>
    </row>
    <row r="8785" spans="119:119" x14ac:dyDescent="0.2">
      <c r="DO8785" s="303" t="s">
        <v>232</v>
      </c>
    </row>
    <row r="8786" spans="119:119" x14ac:dyDescent="0.2">
      <c r="DO8786" s="303" t="s">
        <v>232</v>
      </c>
    </row>
    <row r="8787" spans="119:119" x14ac:dyDescent="0.2">
      <c r="DO8787" s="303" t="s">
        <v>232</v>
      </c>
    </row>
    <row r="8788" spans="119:119" x14ac:dyDescent="0.2">
      <c r="DO8788" s="303" t="s">
        <v>232</v>
      </c>
    </row>
    <row r="8789" spans="119:119" x14ac:dyDescent="0.2">
      <c r="DO8789" s="303" t="s">
        <v>232</v>
      </c>
    </row>
    <row r="8790" spans="119:119" x14ac:dyDescent="0.2">
      <c r="DO8790" s="303" t="s">
        <v>232</v>
      </c>
    </row>
    <row r="8791" spans="119:119" x14ac:dyDescent="0.2">
      <c r="DO8791" s="303" t="s">
        <v>232</v>
      </c>
    </row>
    <row r="8792" spans="119:119" x14ac:dyDescent="0.2">
      <c r="DO8792" s="303" t="s">
        <v>232</v>
      </c>
    </row>
    <row r="8793" spans="119:119" x14ac:dyDescent="0.2">
      <c r="DO8793" s="303" t="s">
        <v>232</v>
      </c>
    </row>
    <row r="8794" spans="119:119" x14ac:dyDescent="0.2">
      <c r="DO8794" s="303" t="s">
        <v>232</v>
      </c>
    </row>
    <row r="8795" spans="119:119" x14ac:dyDescent="0.2">
      <c r="DO8795" s="303" t="s">
        <v>232</v>
      </c>
    </row>
    <row r="8796" spans="119:119" x14ac:dyDescent="0.2">
      <c r="DO8796" s="303" t="s">
        <v>232</v>
      </c>
    </row>
    <row r="8797" spans="119:119" x14ac:dyDescent="0.2">
      <c r="DO8797" s="303" t="s">
        <v>232</v>
      </c>
    </row>
    <row r="8798" spans="119:119" x14ac:dyDescent="0.2">
      <c r="DO8798" s="303" t="s">
        <v>232</v>
      </c>
    </row>
    <row r="8799" spans="119:119" x14ac:dyDescent="0.2">
      <c r="DO8799" s="303" t="s">
        <v>232</v>
      </c>
    </row>
    <row r="8800" spans="119:119" x14ac:dyDescent="0.2">
      <c r="DO8800" s="303" t="s">
        <v>232</v>
      </c>
    </row>
    <row r="8801" spans="119:119" x14ac:dyDescent="0.2">
      <c r="DO8801" s="303" t="s">
        <v>232</v>
      </c>
    </row>
    <row r="8802" spans="119:119" x14ac:dyDescent="0.2">
      <c r="DO8802" s="303" t="s">
        <v>232</v>
      </c>
    </row>
    <row r="8803" spans="119:119" x14ac:dyDescent="0.2">
      <c r="DO8803" s="303" t="s">
        <v>232</v>
      </c>
    </row>
    <row r="8804" spans="119:119" x14ac:dyDescent="0.2">
      <c r="DO8804" s="303" t="s">
        <v>232</v>
      </c>
    </row>
    <row r="8805" spans="119:119" x14ac:dyDescent="0.2">
      <c r="DO8805" s="303" t="s">
        <v>232</v>
      </c>
    </row>
    <row r="8806" spans="119:119" x14ac:dyDescent="0.2">
      <c r="DO8806" s="303" t="s">
        <v>232</v>
      </c>
    </row>
    <row r="8807" spans="119:119" x14ac:dyDescent="0.2">
      <c r="DO8807" s="303" t="s">
        <v>232</v>
      </c>
    </row>
    <row r="8808" spans="119:119" x14ac:dyDescent="0.2">
      <c r="DO8808" s="303" t="s">
        <v>232</v>
      </c>
    </row>
    <row r="8809" spans="119:119" x14ac:dyDescent="0.2">
      <c r="DO8809" s="303" t="s">
        <v>232</v>
      </c>
    </row>
    <row r="8810" spans="119:119" x14ac:dyDescent="0.2">
      <c r="DO8810" s="303" t="s">
        <v>232</v>
      </c>
    </row>
    <row r="8811" spans="119:119" x14ac:dyDescent="0.2">
      <c r="DO8811" s="303" t="s">
        <v>232</v>
      </c>
    </row>
    <row r="8812" spans="119:119" x14ac:dyDescent="0.2">
      <c r="DO8812" s="303" t="s">
        <v>232</v>
      </c>
    </row>
    <row r="8813" spans="119:119" x14ac:dyDescent="0.2">
      <c r="DO8813" s="303" t="s">
        <v>232</v>
      </c>
    </row>
    <row r="8814" spans="119:119" x14ac:dyDescent="0.2">
      <c r="DO8814" s="303" t="s">
        <v>232</v>
      </c>
    </row>
    <row r="8815" spans="119:119" x14ac:dyDescent="0.2">
      <c r="DO8815" s="303" t="s">
        <v>232</v>
      </c>
    </row>
    <row r="8816" spans="119:119" x14ac:dyDescent="0.2">
      <c r="DO8816" s="303" t="s">
        <v>232</v>
      </c>
    </row>
    <row r="8817" spans="119:119" x14ac:dyDescent="0.2">
      <c r="DO8817" s="303" t="s">
        <v>232</v>
      </c>
    </row>
    <row r="8818" spans="119:119" x14ac:dyDescent="0.2">
      <c r="DO8818" s="303" t="s">
        <v>232</v>
      </c>
    </row>
    <row r="8819" spans="119:119" x14ac:dyDescent="0.2">
      <c r="DO8819" s="303" t="s">
        <v>232</v>
      </c>
    </row>
    <row r="8820" spans="119:119" x14ac:dyDescent="0.2">
      <c r="DO8820" s="303" t="s">
        <v>232</v>
      </c>
    </row>
    <row r="8821" spans="119:119" x14ac:dyDescent="0.2">
      <c r="DO8821" s="303" t="s">
        <v>232</v>
      </c>
    </row>
    <row r="8822" spans="119:119" x14ac:dyDescent="0.2">
      <c r="DO8822" s="303" t="s">
        <v>232</v>
      </c>
    </row>
    <row r="8823" spans="119:119" x14ac:dyDescent="0.2">
      <c r="DO8823" s="303" t="s">
        <v>232</v>
      </c>
    </row>
    <row r="8824" spans="119:119" x14ac:dyDescent="0.2">
      <c r="DO8824" s="303" t="s">
        <v>232</v>
      </c>
    </row>
    <row r="8825" spans="119:119" x14ac:dyDescent="0.2">
      <c r="DO8825" s="303" t="s">
        <v>232</v>
      </c>
    </row>
    <row r="8826" spans="119:119" x14ac:dyDescent="0.2">
      <c r="DO8826" s="303" t="s">
        <v>232</v>
      </c>
    </row>
    <row r="8827" spans="119:119" x14ac:dyDescent="0.2">
      <c r="DO8827" s="303" t="s">
        <v>232</v>
      </c>
    </row>
    <row r="8828" spans="119:119" x14ac:dyDescent="0.2">
      <c r="DO8828" s="303" t="s">
        <v>232</v>
      </c>
    </row>
    <row r="8829" spans="119:119" x14ac:dyDescent="0.2">
      <c r="DO8829" s="303" t="s">
        <v>232</v>
      </c>
    </row>
    <row r="8830" spans="119:119" x14ac:dyDescent="0.2">
      <c r="DO8830" s="303" t="s">
        <v>232</v>
      </c>
    </row>
    <row r="8831" spans="119:119" x14ac:dyDescent="0.2">
      <c r="DO8831" s="303" t="s">
        <v>232</v>
      </c>
    </row>
    <row r="8832" spans="119:119" x14ac:dyDescent="0.2">
      <c r="DO8832" s="303" t="s">
        <v>232</v>
      </c>
    </row>
    <row r="8833" spans="119:119" x14ac:dyDescent="0.2">
      <c r="DO8833" s="303" t="s">
        <v>232</v>
      </c>
    </row>
    <row r="8834" spans="119:119" x14ac:dyDescent="0.2">
      <c r="DO8834" s="303" t="s">
        <v>232</v>
      </c>
    </row>
    <row r="8835" spans="119:119" x14ac:dyDescent="0.2">
      <c r="DO8835" s="303" t="s">
        <v>232</v>
      </c>
    </row>
    <row r="8836" spans="119:119" x14ac:dyDescent="0.2">
      <c r="DO8836" s="303" t="s">
        <v>232</v>
      </c>
    </row>
    <row r="8837" spans="119:119" x14ac:dyDescent="0.2">
      <c r="DO8837" s="303" t="s">
        <v>232</v>
      </c>
    </row>
    <row r="8838" spans="119:119" x14ac:dyDescent="0.2">
      <c r="DO8838" s="303" t="s">
        <v>232</v>
      </c>
    </row>
    <row r="8839" spans="119:119" x14ac:dyDescent="0.2">
      <c r="DO8839" s="303" t="s">
        <v>232</v>
      </c>
    </row>
    <row r="8840" spans="119:119" x14ac:dyDescent="0.2">
      <c r="DO8840" s="303" t="s">
        <v>232</v>
      </c>
    </row>
    <row r="8841" spans="119:119" x14ac:dyDescent="0.2">
      <c r="DO8841" s="303" t="s">
        <v>232</v>
      </c>
    </row>
    <row r="8842" spans="119:119" x14ac:dyDescent="0.2">
      <c r="DO8842" s="303" t="s">
        <v>232</v>
      </c>
    </row>
    <row r="8843" spans="119:119" x14ac:dyDescent="0.2">
      <c r="DO8843" s="303" t="s">
        <v>232</v>
      </c>
    </row>
    <row r="8844" spans="119:119" x14ac:dyDescent="0.2">
      <c r="DO8844" s="303" t="s">
        <v>232</v>
      </c>
    </row>
    <row r="8845" spans="119:119" x14ac:dyDescent="0.2">
      <c r="DO8845" s="303" t="s">
        <v>232</v>
      </c>
    </row>
    <row r="8846" spans="119:119" x14ac:dyDescent="0.2">
      <c r="DO8846" s="303" t="s">
        <v>232</v>
      </c>
    </row>
    <row r="8847" spans="119:119" x14ac:dyDescent="0.2">
      <c r="DO8847" s="303" t="s">
        <v>232</v>
      </c>
    </row>
    <row r="8848" spans="119:119" x14ac:dyDescent="0.2">
      <c r="DO8848" s="303" t="s">
        <v>232</v>
      </c>
    </row>
    <row r="8849" spans="119:119" x14ac:dyDescent="0.2">
      <c r="DO8849" s="303" t="s">
        <v>232</v>
      </c>
    </row>
    <row r="8850" spans="119:119" x14ac:dyDescent="0.2">
      <c r="DO8850" s="303" t="s">
        <v>232</v>
      </c>
    </row>
    <row r="8851" spans="119:119" x14ac:dyDescent="0.2">
      <c r="DO8851" s="303" t="s">
        <v>232</v>
      </c>
    </row>
    <row r="8852" spans="119:119" x14ac:dyDescent="0.2">
      <c r="DO8852" s="303" t="s">
        <v>232</v>
      </c>
    </row>
    <row r="8853" spans="119:119" x14ac:dyDescent="0.2">
      <c r="DO8853" s="303" t="s">
        <v>232</v>
      </c>
    </row>
    <row r="8854" spans="119:119" x14ac:dyDescent="0.2">
      <c r="DO8854" s="303" t="s">
        <v>232</v>
      </c>
    </row>
    <row r="8855" spans="119:119" x14ac:dyDescent="0.2">
      <c r="DO8855" s="303" t="s">
        <v>232</v>
      </c>
    </row>
    <row r="8856" spans="119:119" x14ac:dyDescent="0.2">
      <c r="DO8856" s="303" t="s">
        <v>232</v>
      </c>
    </row>
    <row r="8857" spans="119:119" x14ac:dyDescent="0.2">
      <c r="DO8857" s="303" t="s">
        <v>232</v>
      </c>
    </row>
    <row r="8858" spans="119:119" x14ac:dyDescent="0.2">
      <c r="DO8858" s="303" t="s">
        <v>232</v>
      </c>
    </row>
    <row r="8859" spans="119:119" x14ac:dyDescent="0.2">
      <c r="DO8859" s="303" t="s">
        <v>232</v>
      </c>
    </row>
    <row r="8860" spans="119:119" x14ac:dyDescent="0.2">
      <c r="DO8860" s="303" t="s">
        <v>232</v>
      </c>
    </row>
    <row r="8861" spans="119:119" x14ac:dyDescent="0.2">
      <c r="DO8861" s="303" t="s">
        <v>232</v>
      </c>
    </row>
    <row r="8862" spans="119:119" x14ac:dyDescent="0.2">
      <c r="DO8862" s="303" t="s">
        <v>232</v>
      </c>
    </row>
    <row r="8863" spans="119:119" x14ac:dyDescent="0.2">
      <c r="DO8863" s="303" t="s">
        <v>232</v>
      </c>
    </row>
    <row r="8864" spans="119:119" x14ac:dyDescent="0.2">
      <c r="DO8864" s="303" t="s">
        <v>232</v>
      </c>
    </row>
    <row r="8865" spans="119:119" x14ac:dyDescent="0.2">
      <c r="DO8865" s="303" t="s">
        <v>232</v>
      </c>
    </row>
    <row r="8866" spans="119:119" x14ac:dyDescent="0.2">
      <c r="DO8866" s="303" t="s">
        <v>232</v>
      </c>
    </row>
    <row r="8867" spans="119:119" x14ac:dyDescent="0.2">
      <c r="DO8867" s="303" t="s">
        <v>232</v>
      </c>
    </row>
    <row r="8868" spans="119:119" x14ac:dyDescent="0.2">
      <c r="DO8868" s="303" t="s">
        <v>232</v>
      </c>
    </row>
    <row r="8869" spans="119:119" x14ac:dyDescent="0.2">
      <c r="DO8869" s="303" t="s">
        <v>232</v>
      </c>
    </row>
    <row r="8870" spans="119:119" x14ac:dyDescent="0.2">
      <c r="DO8870" s="303" t="s">
        <v>232</v>
      </c>
    </row>
    <row r="8871" spans="119:119" x14ac:dyDescent="0.2">
      <c r="DO8871" s="303" t="s">
        <v>232</v>
      </c>
    </row>
    <row r="8872" spans="119:119" x14ac:dyDescent="0.2">
      <c r="DO8872" s="303" t="s">
        <v>232</v>
      </c>
    </row>
    <row r="8873" spans="119:119" x14ac:dyDescent="0.2">
      <c r="DO8873" s="303" t="s">
        <v>232</v>
      </c>
    </row>
    <row r="8874" spans="119:119" x14ac:dyDescent="0.2">
      <c r="DO8874" s="303" t="s">
        <v>232</v>
      </c>
    </row>
    <row r="8875" spans="119:119" x14ac:dyDescent="0.2">
      <c r="DO8875" s="303" t="s">
        <v>232</v>
      </c>
    </row>
    <row r="8876" spans="119:119" x14ac:dyDescent="0.2">
      <c r="DO8876" s="303" t="s">
        <v>232</v>
      </c>
    </row>
    <row r="8877" spans="119:119" x14ac:dyDescent="0.2">
      <c r="DO8877" s="303" t="s">
        <v>232</v>
      </c>
    </row>
    <row r="8878" spans="119:119" x14ac:dyDescent="0.2">
      <c r="DO8878" s="303" t="s">
        <v>232</v>
      </c>
    </row>
    <row r="8879" spans="119:119" x14ac:dyDescent="0.2">
      <c r="DO8879" s="303" t="s">
        <v>232</v>
      </c>
    </row>
    <row r="8880" spans="119:119" x14ac:dyDescent="0.2">
      <c r="DO8880" s="303" t="s">
        <v>232</v>
      </c>
    </row>
    <row r="8881" spans="119:119" x14ac:dyDescent="0.2">
      <c r="DO8881" s="303" t="s">
        <v>232</v>
      </c>
    </row>
    <row r="8882" spans="119:119" x14ac:dyDescent="0.2">
      <c r="DO8882" s="303" t="s">
        <v>232</v>
      </c>
    </row>
    <row r="8883" spans="119:119" x14ac:dyDescent="0.2">
      <c r="DO8883" s="303" t="s">
        <v>232</v>
      </c>
    </row>
    <row r="8884" spans="119:119" x14ac:dyDescent="0.2">
      <c r="DO8884" s="303" t="s">
        <v>232</v>
      </c>
    </row>
    <row r="8885" spans="119:119" x14ac:dyDescent="0.2">
      <c r="DO8885" s="303" t="s">
        <v>232</v>
      </c>
    </row>
    <row r="8886" spans="119:119" x14ac:dyDescent="0.2">
      <c r="DO8886" s="303" t="s">
        <v>232</v>
      </c>
    </row>
    <row r="8887" spans="119:119" x14ac:dyDescent="0.2">
      <c r="DO8887" s="303" t="s">
        <v>232</v>
      </c>
    </row>
    <row r="8888" spans="119:119" x14ac:dyDescent="0.2">
      <c r="DO8888" s="303" t="s">
        <v>232</v>
      </c>
    </row>
    <row r="8889" spans="119:119" x14ac:dyDescent="0.2">
      <c r="DO8889" s="303" t="s">
        <v>232</v>
      </c>
    </row>
    <row r="8890" spans="119:119" x14ac:dyDescent="0.2">
      <c r="DO8890" s="303" t="s">
        <v>232</v>
      </c>
    </row>
    <row r="8891" spans="119:119" x14ac:dyDescent="0.2">
      <c r="DO8891" s="303" t="s">
        <v>232</v>
      </c>
    </row>
    <row r="8892" spans="119:119" x14ac:dyDescent="0.2">
      <c r="DO8892" s="303" t="s">
        <v>232</v>
      </c>
    </row>
    <row r="8893" spans="119:119" x14ac:dyDescent="0.2">
      <c r="DO8893" s="303" t="s">
        <v>232</v>
      </c>
    </row>
    <row r="8894" spans="119:119" x14ac:dyDescent="0.2">
      <c r="DO8894" s="303" t="s">
        <v>232</v>
      </c>
    </row>
    <row r="8895" spans="119:119" x14ac:dyDescent="0.2">
      <c r="DO8895" s="303" t="s">
        <v>232</v>
      </c>
    </row>
    <row r="8896" spans="119:119" x14ac:dyDescent="0.2">
      <c r="DO8896" s="303" t="s">
        <v>232</v>
      </c>
    </row>
    <row r="8897" spans="119:119" x14ac:dyDescent="0.2">
      <c r="DO8897" s="303" t="s">
        <v>232</v>
      </c>
    </row>
    <row r="8898" spans="119:119" x14ac:dyDescent="0.2">
      <c r="DO8898" s="303" t="s">
        <v>232</v>
      </c>
    </row>
    <row r="8899" spans="119:119" x14ac:dyDescent="0.2">
      <c r="DO8899" s="303" t="s">
        <v>232</v>
      </c>
    </row>
    <row r="8900" spans="119:119" x14ac:dyDescent="0.2">
      <c r="DO8900" s="303" t="s">
        <v>232</v>
      </c>
    </row>
    <row r="8901" spans="119:119" x14ac:dyDescent="0.2">
      <c r="DO8901" s="303" t="s">
        <v>232</v>
      </c>
    </row>
    <row r="8902" spans="119:119" x14ac:dyDescent="0.2">
      <c r="DO8902" s="303" t="s">
        <v>232</v>
      </c>
    </row>
    <row r="8903" spans="119:119" x14ac:dyDescent="0.2">
      <c r="DO8903" s="303" t="s">
        <v>232</v>
      </c>
    </row>
    <row r="8904" spans="119:119" x14ac:dyDescent="0.2">
      <c r="DO8904" s="303" t="s">
        <v>232</v>
      </c>
    </row>
    <row r="8905" spans="119:119" x14ac:dyDescent="0.2">
      <c r="DO8905" s="303" t="s">
        <v>232</v>
      </c>
    </row>
    <row r="8906" spans="119:119" x14ac:dyDescent="0.2">
      <c r="DO8906" s="303" t="s">
        <v>232</v>
      </c>
    </row>
    <row r="8907" spans="119:119" x14ac:dyDescent="0.2">
      <c r="DO8907" s="303" t="s">
        <v>232</v>
      </c>
    </row>
    <row r="8908" spans="119:119" x14ac:dyDescent="0.2">
      <c r="DO8908" s="303" t="s">
        <v>232</v>
      </c>
    </row>
    <row r="8909" spans="119:119" x14ac:dyDescent="0.2">
      <c r="DO8909" s="303" t="s">
        <v>232</v>
      </c>
    </row>
    <row r="8910" spans="119:119" x14ac:dyDescent="0.2">
      <c r="DO8910" s="303" t="s">
        <v>232</v>
      </c>
    </row>
    <row r="8911" spans="119:119" x14ac:dyDescent="0.2">
      <c r="DO8911" s="303" t="s">
        <v>232</v>
      </c>
    </row>
    <row r="8912" spans="119:119" x14ac:dyDescent="0.2">
      <c r="DO8912" s="303" t="s">
        <v>232</v>
      </c>
    </row>
    <row r="8913" spans="119:119" x14ac:dyDescent="0.2">
      <c r="DO8913" s="303" t="s">
        <v>232</v>
      </c>
    </row>
    <row r="8914" spans="119:119" x14ac:dyDescent="0.2">
      <c r="DO8914" s="303" t="s">
        <v>232</v>
      </c>
    </row>
    <row r="8915" spans="119:119" x14ac:dyDescent="0.2">
      <c r="DO8915" s="303" t="s">
        <v>232</v>
      </c>
    </row>
    <row r="8916" spans="119:119" x14ac:dyDescent="0.2">
      <c r="DO8916" s="303" t="s">
        <v>232</v>
      </c>
    </row>
    <row r="8917" spans="119:119" x14ac:dyDescent="0.2">
      <c r="DO8917" s="303" t="s">
        <v>232</v>
      </c>
    </row>
    <row r="8918" spans="119:119" x14ac:dyDescent="0.2">
      <c r="DO8918" s="303" t="s">
        <v>232</v>
      </c>
    </row>
    <row r="8919" spans="119:119" x14ac:dyDescent="0.2">
      <c r="DO8919" s="303" t="s">
        <v>232</v>
      </c>
    </row>
    <row r="8920" spans="119:119" x14ac:dyDescent="0.2">
      <c r="DO8920" s="303" t="s">
        <v>232</v>
      </c>
    </row>
    <row r="8921" spans="119:119" x14ac:dyDescent="0.2">
      <c r="DO8921" s="303" t="s">
        <v>232</v>
      </c>
    </row>
    <row r="8922" spans="119:119" x14ac:dyDescent="0.2">
      <c r="DO8922" s="303" t="s">
        <v>232</v>
      </c>
    </row>
    <row r="8923" spans="119:119" x14ac:dyDescent="0.2">
      <c r="DO8923" s="303" t="s">
        <v>232</v>
      </c>
    </row>
    <row r="8924" spans="119:119" x14ac:dyDescent="0.2">
      <c r="DO8924" s="303" t="s">
        <v>232</v>
      </c>
    </row>
    <row r="8925" spans="119:119" x14ac:dyDescent="0.2">
      <c r="DO8925" s="303" t="s">
        <v>232</v>
      </c>
    </row>
    <row r="8926" spans="119:119" x14ac:dyDescent="0.2">
      <c r="DO8926" s="303" t="s">
        <v>232</v>
      </c>
    </row>
    <row r="8927" spans="119:119" x14ac:dyDescent="0.2">
      <c r="DO8927" s="303" t="s">
        <v>232</v>
      </c>
    </row>
    <row r="8928" spans="119:119" x14ac:dyDescent="0.2">
      <c r="DO8928" s="303" t="s">
        <v>232</v>
      </c>
    </row>
    <row r="8929" spans="119:119" x14ac:dyDescent="0.2">
      <c r="DO8929" s="303" t="s">
        <v>232</v>
      </c>
    </row>
    <row r="8930" spans="119:119" x14ac:dyDescent="0.2">
      <c r="DO8930" s="303" t="s">
        <v>232</v>
      </c>
    </row>
    <row r="8931" spans="119:119" x14ac:dyDescent="0.2">
      <c r="DO8931" s="303" t="s">
        <v>232</v>
      </c>
    </row>
    <row r="8932" spans="119:119" x14ac:dyDescent="0.2">
      <c r="DO8932" s="303" t="s">
        <v>232</v>
      </c>
    </row>
    <row r="8933" spans="119:119" x14ac:dyDescent="0.2">
      <c r="DO8933" s="303" t="s">
        <v>232</v>
      </c>
    </row>
    <row r="8934" spans="119:119" x14ac:dyDescent="0.2">
      <c r="DO8934" s="303" t="s">
        <v>232</v>
      </c>
    </row>
    <row r="8935" spans="119:119" x14ac:dyDescent="0.2">
      <c r="DO8935" s="303" t="s">
        <v>232</v>
      </c>
    </row>
    <row r="8936" spans="119:119" x14ac:dyDescent="0.2">
      <c r="DO8936" s="303" t="s">
        <v>232</v>
      </c>
    </row>
    <row r="8937" spans="119:119" x14ac:dyDescent="0.2">
      <c r="DO8937" s="303" t="s">
        <v>232</v>
      </c>
    </row>
    <row r="8938" spans="119:119" x14ac:dyDescent="0.2">
      <c r="DO8938" s="303" t="s">
        <v>232</v>
      </c>
    </row>
    <row r="8939" spans="119:119" x14ac:dyDescent="0.2">
      <c r="DO8939" s="303" t="s">
        <v>232</v>
      </c>
    </row>
    <row r="8940" spans="119:119" x14ac:dyDescent="0.2">
      <c r="DO8940" s="303" t="s">
        <v>232</v>
      </c>
    </row>
    <row r="8941" spans="119:119" x14ac:dyDescent="0.2">
      <c r="DO8941" s="303" t="s">
        <v>232</v>
      </c>
    </row>
    <row r="8942" spans="119:119" x14ac:dyDescent="0.2">
      <c r="DO8942" s="303" t="s">
        <v>232</v>
      </c>
    </row>
    <row r="8943" spans="119:119" x14ac:dyDescent="0.2">
      <c r="DO8943" s="303" t="s">
        <v>232</v>
      </c>
    </row>
    <row r="8944" spans="119:119" x14ac:dyDescent="0.2">
      <c r="DO8944" s="303" t="s">
        <v>232</v>
      </c>
    </row>
    <row r="8945" spans="119:119" x14ac:dyDescent="0.2">
      <c r="DO8945" s="303" t="s">
        <v>232</v>
      </c>
    </row>
    <row r="8946" spans="119:119" x14ac:dyDescent="0.2">
      <c r="DO8946" s="303" t="s">
        <v>232</v>
      </c>
    </row>
    <row r="8947" spans="119:119" x14ac:dyDescent="0.2">
      <c r="DO8947" s="303" t="s">
        <v>232</v>
      </c>
    </row>
    <row r="8948" spans="119:119" x14ac:dyDescent="0.2">
      <c r="DO8948" s="303" t="s">
        <v>232</v>
      </c>
    </row>
    <row r="8949" spans="119:119" x14ac:dyDescent="0.2">
      <c r="DO8949" s="303" t="s">
        <v>232</v>
      </c>
    </row>
    <row r="8950" spans="119:119" x14ac:dyDescent="0.2">
      <c r="DO8950" s="303" t="s">
        <v>232</v>
      </c>
    </row>
    <row r="8951" spans="119:119" x14ac:dyDescent="0.2">
      <c r="DO8951" s="303" t="s">
        <v>232</v>
      </c>
    </row>
    <row r="8952" spans="119:119" x14ac:dyDescent="0.2">
      <c r="DO8952" s="303" t="s">
        <v>232</v>
      </c>
    </row>
    <row r="8953" spans="119:119" x14ac:dyDescent="0.2">
      <c r="DO8953" s="303" t="s">
        <v>232</v>
      </c>
    </row>
    <row r="8954" spans="119:119" x14ac:dyDescent="0.2">
      <c r="DO8954" s="303" t="s">
        <v>232</v>
      </c>
    </row>
    <row r="8955" spans="119:119" x14ac:dyDescent="0.2">
      <c r="DO8955" s="303" t="s">
        <v>232</v>
      </c>
    </row>
    <row r="8956" spans="119:119" x14ac:dyDescent="0.2">
      <c r="DO8956" s="303" t="s">
        <v>232</v>
      </c>
    </row>
    <row r="8957" spans="119:119" x14ac:dyDescent="0.2">
      <c r="DO8957" s="303" t="s">
        <v>232</v>
      </c>
    </row>
    <row r="8958" spans="119:119" x14ac:dyDescent="0.2">
      <c r="DO8958" s="303" t="s">
        <v>232</v>
      </c>
    </row>
    <row r="8959" spans="119:119" x14ac:dyDescent="0.2">
      <c r="DO8959" s="303" t="s">
        <v>232</v>
      </c>
    </row>
    <row r="8960" spans="119:119" x14ac:dyDescent="0.2">
      <c r="DO8960" s="303" t="s">
        <v>232</v>
      </c>
    </row>
    <row r="8961" spans="119:119" x14ac:dyDescent="0.2">
      <c r="DO8961" s="303" t="s">
        <v>232</v>
      </c>
    </row>
    <row r="8962" spans="119:119" x14ac:dyDescent="0.2">
      <c r="DO8962" s="303" t="s">
        <v>232</v>
      </c>
    </row>
    <row r="8963" spans="119:119" x14ac:dyDescent="0.2">
      <c r="DO8963" s="303" t="s">
        <v>232</v>
      </c>
    </row>
    <row r="8964" spans="119:119" x14ac:dyDescent="0.2">
      <c r="DO8964" s="303" t="s">
        <v>232</v>
      </c>
    </row>
    <row r="8965" spans="119:119" x14ac:dyDescent="0.2">
      <c r="DO8965" s="303" t="s">
        <v>232</v>
      </c>
    </row>
    <row r="8966" spans="119:119" x14ac:dyDescent="0.2">
      <c r="DO8966" s="303" t="s">
        <v>232</v>
      </c>
    </row>
    <row r="8967" spans="119:119" x14ac:dyDescent="0.2">
      <c r="DO8967" s="303" t="s">
        <v>232</v>
      </c>
    </row>
    <row r="8968" spans="119:119" x14ac:dyDescent="0.2">
      <c r="DO8968" s="303" t="s">
        <v>232</v>
      </c>
    </row>
    <row r="8969" spans="119:119" x14ac:dyDescent="0.2">
      <c r="DO8969" s="303" t="s">
        <v>232</v>
      </c>
    </row>
    <row r="8970" spans="119:119" x14ac:dyDescent="0.2">
      <c r="DO8970" s="303" t="s">
        <v>232</v>
      </c>
    </row>
    <row r="8971" spans="119:119" x14ac:dyDescent="0.2">
      <c r="DO8971" s="303" t="s">
        <v>232</v>
      </c>
    </row>
    <row r="8972" spans="119:119" x14ac:dyDescent="0.2">
      <c r="DO8972" s="303" t="s">
        <v>232</v>
      </c>
    </row>
    <row r="8973" spans="119:119" x14ac:dyDescent="0.2">
      <c r="DO8973" s="303" t="s">
        <v>232</v>
      </c>
    </row>
    <row r="8974" spans="119:119" x14ac:dyDescent="0.2">
      <c r="DO8974" s="303" t="s">
        <v>232</v>
      </c>
    </row>
    <row r="8975" spans="119:119" x14ac:dyDescent="0.2">
      <c r="DO8975" s="303" t="s">
        <v>232</v>
      </c>
    </row>
    <row r="8976" spans="119:119" x14ac:dyDescent="0.2">
      <c r="DO8976" s="303" t="s">
        <v>232</v>
      </c>
    </row>
    <row r="8977" spans="119:119" x14ac:dyDescent="0.2">
      <c r="DO8977" s="303" t="s">
        <v>232</v>
      </c>
    </row>
    <row r="8978" spans="119:119" x14ac:dyDescent="0.2">
      <c r="DO8978" s="303" t="s">
        <v>232</v>
      </c>
    </row>
    <row r="8979" spans="119:119" x14ac:dyDescent="0.2">
      <c r="DO8979" s="303" t="s">
        <v>232</v>
      </c>
    </row>
    <row r="8980" spans="119:119" x14ac:dyDescent="0.2">
      <c r="DO8980" s="303" t="s">
        <v>232</v>
      </c>
    </row>
    <row r="8981" spans="119:119" x14ac:dyDescent="0.2">
      <c r="DO8981" s="303" t="s">
        <v>232</v>
      </c>
    </row>
    <row r="8982" spans="119:119" x14ac:dyDescent="0.2">
      <c r="DO8982" s="303" t="s">
        <v>232</v>
      </c>
    </row>
    <row r="8983" spans="119:119" x14ac:dyDescent="0.2">
      <c r="DO8983" s="303" t="s">
        <v>232</v>
      </c>
    </row>
    <row r="8984" spans="119:119" x14ac:dyDescent="0.2">
      <c r="DO8984" s="303" t="s">
        <v>232</v>
      </c>
    </row>
    <row r="8985" spans="119:119" x14ac:dyDescent="0.2">
      <c r="DO8985" s="303" t="s">
        <v>232</v>
      </c>
    </row>
    <row r="8986" spans="119:119" x14ac:dyDescent="0.2">
      <c r="DO8986" s="303" t="s">
        <v>232</v>
      </c>
    </row>
    <row r="8987" spans="119:119" x14ac:dyDescent="0.2">
      <c r="DO8987" s="303" t="s">
        <v>232</v>
      </c>
    </row>
    <row r="8988" spans="119:119" x14ac:dyDescent="0.2">
      <c r="DO8988" s="303" t="s">
        <v>232</v>
      </c>
    </row>
    <row r="8989" spans="119:119" x14ac:dyDescent="0.2">
      <c r="DO8989" s="303" t="s">
        <v>232</v>
      </c>
    </row>
    <row r="8990" spans="119:119" x14ac:dyDescent="0.2">
      <c r="DO8990" s="303" t="s">
        <v>232</v>
      </c>
    </row>
    <row r="8991" spans="119:119" x14ac:dyDescent="0.2">
      <c r="DO8991" s="303" t="s">
        <v>232</v>
      </c>
    </row>
    <row r="8992" spans="119:119" x14ac:dyDescent="0.2">
      <c r="DO8992" s="303" t="s">
        <v>232</v>
      </c>
    </row>
    <row r="8993" spans="119:119" x14ac:dyDescent="0.2">
      <c r="DO8993" s="303" t="s">
        <v>232</v>
      </c>
    </row>
    <row r="8994" spans="119:119" x14ac:dyDescent="0.2">
      <c r="DO8994" s="303" t="s">
        <v>232</v>
      </c>
    </row>
    <row r="8995" spans="119:119" x14ac:dyDescent="0.2">
      <c r="DO8995" s="303" t="s">
        <v>232</v>
      </c>
    </row>
    <row r="8996" spans="119:119" x14ac:dyDescent="0.2">
      <c r="DO8996" s="303" t="s">
        <v>232</v>
      </c>
    </row>
    <row r="8997" spans="119:119" x14ac:dyDescent="0.2">
      <c r="DO8997" s="303" t="s">
        <v>232</v>
      </c>
    </row>
    <row r="8998" spans="119:119" x14ac:dyDescent="0.2">
      <c r="DO8998" s="303" t="s">
        <v>232</v>
      </c>
    </row>
    <row r="8999" spans="119:119" x14ac:dyDescent="0.2">
      <c r="DO8999" s="303" t="s">
        <v>232</v>
      </c>
    </row>
    <row r="9000" spans="119:119" x14ac:dyDescent="0.2">
      <c r="DO9000" s="303" t="s">
        <v>232</v>
      </c>
    </row>
    <row r="9001" spans="119:119" x14ac:dyDescent="0.2">
      <c r="DO9001" s="303" t="s">
        <v>232</v>
      </c>
    </row>
    <row r="9002" spans="119:119" x14ac:dyDescent="0.2">
      <c r="DO9002" s="303" t="s">
        <v>232</v>
      </c>
    </row>
    <row r="9003" spans="119:119" x14ac:dyDescent="0.2">
      <c r="DO9003" s="303" t="s">
        <v>232</v>
      </c>
    </row>
    <row r="9004" spans="119:119" x14ac:dyDescent="0.2">
      <c r="DO9004" s="303" t="s">
        <v>232</v>
      </c>
    </row>
    <row r="9005" spans="119:119" x14ac:dyDescent="0.2">
      <c r="DO9005" s="303" t="s">
        <v>232</v>
      </c>
    </row>
    <row r="9006" spans="119:119" x14ac:dyDescent="0.2">
      <c r="DO9006" s="303" t="s">
        <v>232</v>
      </c>
    </row>
    <row r="9007" spans="119:119" x14ac:dyDescent="0.2">
      <c r="DO9007" s="303" t="s">
        <v>232</v>
      </c>
    </row>
    <row r="9008" spans="119:119" x14ac:dyDescent="0.2">
      <c r="DO9008" s="303" t="s">
        <v>232</v>
      </c>
    </row>
    <row r="9009" spans="119:119" x14ac:dyDescent="0.2">
      <c r="DO9009" s="303" t="s">
        <v>232</v>
      </c>
    </row>
    <row r="9010" spans="119:119" x14ac:dyDescent="0.2">
      <c r="DO9010" s="303" t="s">
        <v>232</v>
      </c>
    </row>
    <row r="9011" spans="119:119" x14ac:dyDescent="0.2">
      <c r="DO9011" s="303" t="s">
        <v>232</v>
      </c>
    </row>
    <row r="9012" spans="119:119" x14ac:dyDescent="0.2">
      <c r="DO9012" s="303" t="s">
        <v>232</v>
      </c>
    </row>
    <row r="9013" spans="119:119" x14ac:dyDescent="0.2">
      <c r="DO9013" s="303" t="s">
        <v>232</v>
      </c>
    </row>
    <row r="9014" spans="119:119" x14ac:dyDescent="0.2">
      <c r="DO9014" s="303" t="s">
        <v>232</v>
      </c>
    </row>
    <row r="9015" spans="119:119" x14ac:dyDescent="0.2">
      <c r="DO9015" s="303" t="s">
        <v>232</v>
      </c>
    </row>
    <row r="9016" spans="119:119" x14ac:dyDescent="0.2">
      <c r="DO9016" s="303" t="s">
        <v>232</v>
      </c>
    </row>
    <row r="9017" spans="119:119" x14ac:dyDescent="0.2">
      <c r="DO9017" s="303" t="s">
        <v>232</v>
      </c>
    </row>
    <row r="9018" spans="119:119" x14ac:dyDescent="0.2">
      <c r="DO9018" s="303" t="s">
        <v>232</v>
      </c>
    </row>
    <row r="9019" spans="119:119" x14ac:dyDescent="0.2">
      <c r="DO9019" s="303" t="s">
        <v>232</v>
      </c>
    </row>
    <row r="9020" spans="119:119" x14ac:dyDescent="0.2">
      <c r="DO9020" s="303" t="s">
        <v>232</v>
      </c>
    </row>
    <row r="9021" spans="119:119" x14ac:dyDescent="0.2">
      <c r="DO9021" s="303" t="s">
        <v>232</v>
      </c>
    </row>
    <row r="9022" spans="119:119" x14ac:dyDescent="0.2">
      <c r="DO9022" s="303" t="s">
        <v>232</v>
      </c>
    </row>
    <row r="9023" spans="119:119" x14ac:dyDescent="0.2">
      <c r="DO9023" s="303" t="s">
        <v>232</v>
      </c>
    </row>
    <row r="9024" spans="119:119" x14ac:dyDescent="0.2">
      <c r="DO9024" s="303" t="s">
        <v>232</v>
      </c>
    </row>
    <row r="9025" spans="119:119" x14ac:dyDescent="0.2">
      <c r="DO9025" s="303" t="s">
        <v>232</v>
      </c>
    </row>
    <row r="9026" spans="119:119" x14ac:dyDescent="0.2">
      <c r="DO9026" s="303" t="s">
        <v>232</v>
      </c>
    </row>
    <row r="9027" spans="119:119" x14ac:dyDescent="0.2">
      <c r="DO9027" s="303" t="s">
        <v>232</v>
      </c>
    </row>
    <row r="9028" spans="119:119" x14ac:dyDescent="0.2">
      <c r="DO9028" s="303" t="s">
        <v>232</v>
      </c>
    </row>
    <row r="9029" spans="119:119" x14ac:dyDescent="0.2">
      <c r="DO9029" s="303" t="s">
        <v>232</v>
      </c>
    </row>
    <row r="9030" spans="119:119" x14ac:dyDescent="0.2">
      <c r="DO9030" s="303" t="s">
        <v>232</v>
      </c>
    </row>
    <row r="9031" spans="119:119" x14ac:dyDescent="0.2">
      <c r="DO9031" s="303" t="s">
        <v>232</v>
      </c>
    </row>
    <row r="9032" spans="119:119" x14ac:dyDescent="0.2">
      <c r="DO9032" s="303" t="s">
        <v>232</v>
      </c>
    </row>
    <row r="9033" spans="119:119" x14ac:dyDescent="0.2">
      <c r="DO9033" s="303" t="s">
        <v>232</v>
      </c>
    </row>
    <row r="9034" spans="119:119" x14ac:dyDescent="0.2">
      <c r="DO9034" s="303" t="s">
        <v>232</v>
      </c>
    </row>
    <row r="9035" spans="119:119" x14ac:dyDescent="0.2">
      <c r="DO9035" s="303" t="s">
        <v>232</v>
      </c>
    </row>
    <row r="9036" spans="119:119" x14ac:dyDescent="0.2">
      <c r="DO9036" s="303" t="s">
        <v>232</v>
      </c>
    </row>
    <row r="9037" spans="119:119" x14ac:dyDescent="0.2">
      <c r="DO9037" s="303" t="s">
        <v>232</v>
      </c>
    </row>
    <row r="9038" spans="119:119" x14ac:dyDescent="0.2">
      <c r="DO9038" s="303" t="s">
        <v>232</v>
      </c>
    </row>
    <row r="9039" spans="119:119" x14ac:dyDescent="0.2">
      <c r="DO9039" s="303" t="s">
        <v>232</v>
      </c>
    </row>
    <row r="9040" spans="119:119" x14ac:dyDescent="0.2">
      <c r="DO9040" s="303" t="s">
        <v>232</v>
      </c>
    </row>
    <row r="9041" spans="119:119" x14ac:dyDescent="0.2">
      <c r="DO9041" s="303" t="s">
        <v>232</v>
      </c>
    </row>
    <row r="9042" spans="119:119" x14ac:dyDescent="0.2">
      <c r="DO9042" s="303" t="s">
        <v>232</v>
      </c>
    </row>
    <row r="9043" spans="119:119" x14ac:dyDescent="0.2">
      <c r="DO9043" s="303" t="s">
        <v>232</v>
      </c>
    </row>
    <row r="9044" spans="119:119" x14ac:dyDescent="0.2">
      <c r="DO9044" s="303" t="s">
        <v>232</v>
      </c>
    </row>
    <row r="9045" spans="119:119" x14ac:dyDescent="0.2">
      <c r="DO9045" s="303" t="s">
        <v>232</v>
      </c>
    </row>
    <row r="9046" spans="119:119" x14ac:dyDescent="0.2">
      <c r="DO9046" s="303" t="s">
        <v>232</v>
      </c>
    </row>
    <row r="9047" spans="119:119" x14ac:dyDescent="0.2">
      <c r="DO9047" s="303" t="s">
        <v>232</v>
      </c>
    </row>
    <row r="9048" spans="119:119" x14ac:dyDescent="0.2">
      <c r="DO9048" s="303" t="s">
        <v>232</v>
      </c>
    </row>
    <row r="9049" spans="119:119" x14ac:dyDescent="0.2">
      <c r="DO9049" s="303" t="s">
        <v>232</v>
      </c>
    </row>
    <row r="9050" spans="119:119" x14ac:dyDescent="0.2">
      <c r="DO9050" s="303" t="s">
        <v>232</v>
      </c>
    </row>
    <row r="9051" spans="119:119" x14ac:dyDescent="0.2">
      <c r="DO9051" s="303" t="s">
        <v>232</v>
      </c>
    </row>
    <row r="9052" spans="119:119" x14ac:dyDescent="0.2">
      <c r="DO9052" s="303" t="s">
        <v>232</v>
      </c>
    </row>
    <row r="9053" spans="119:119" x14ac:dyDescent="0.2">
      <c r="DO9053" s="303" t="s">
        <v>232</v>
      </c>
    </row>
    <row r="9054" spans="119:119" x14ac:dyDescent="0.2">
      <c r="DO9054" s="303" t="s">
        <v>232</v>
      </c>
    </row>
    <row r="9055" spans="119:119" x14ac:dyDescent="0.2">
      <c r="DO9055" s="303" t="s">
        <v>232</v>
      </c>
    </row>
    <row r="9056" spans="119:119" x14ac:dyDescent="0.2">
      <c r="DO9056" s="303" t="s">
        <v>232</v>
      </c>
    </row>
    <row r="9057" spans="119:119" x14ac:dyDescent="0.2">
      <c r="DO9057" s="303" t="s">
        <v>232</v>
      </c>
    </row>
    <row r="9058" spans="119:119" x14ac:dyDescent="0.2">
      <c r="DO9058" s="303" t="s">
        <v>232</v>
      </c>
    </row>
    <row r="9059" spans="119:119" x14ac:dyDescent="0.2">
      <c r="DO9059" s="303" t="s">
        <v>232</v>
      </c>
    </row>
    <row r="9060" spans="119:119" x14ac:dyDescent="0.2">
      <c r="DO9060" s="303" t="s">
        <v>232</v>
      </c>
    </row>
    <row r="9061" spans="119:119" x14ac:dyDescent="0.2">
      <c r="DO9061" s="303" t="s">
        <v>232</v>
      </c>
    </row>
    <row r="9062" spans="119:119" x14ac:dyDescent="0.2">
      <c r="DO9062" s="303" t="s">
        <v>232</v>
      </c>
    </row>
    <row r="9063" spans="119:119" x14ac:dyDescent="0.2">
      <c r="DO9063" s="303" t="s">
        <v>232</v>
      </c>
    </row>
    <row r="9064" spans="119:119" x14ac:dyDescent="0.2">
      <c r="DO9064" s="303" t="s">
        <v>232</v>
      </c>
    </row>
    <row r="9065" spans="119:119" x14ac:dyDescent="0.2">
      <c r="DO9065" s="303" t="s">
        <v>232</v>
      </c>
    </row>
    <row r="9066" spans="119:119" x14ac:dyDescent="0.2">
      <c r="DO9066" s="303" t="s">
        <v>232</v>
      </c>
    </row>
    <row r="9067" spans="119:119" x14ac:dyDescent="0.2">
      <c r="DO9067" s="303" t="s">
        <v>232</v>
      </c>
    </row>
    <row r="9068" spans="119:119" x14ac:dyDescent="0.2">
      <c r="DO9068" s="303" t="s">
        <v>232</v>
      </c>
    </row>
    <row r="9069" spans="119:119" x14ac:dyDescent="0.2">
      <c r="DO9069" s="303" t="s">
        <v>232</v>
      </c>
    </row>
    <row r="9070" spans="119:119" x14ac:dyDescent="0.2">
      <c r="DO9070" s="303" t="s">
        <v>232</v>
      </c>
    </row>
    <row r="9071" spans="119:119" x14ac:dyDescent="0.2">
      <c r="DO9071" s="303" t="s">
        <v>232</v>
      </c>
    </row>
    <row r="9072" spans="119:119" x14ac:dyDescent="0.2">
      <c r="DO9072" s="303" t="s">
        <v>232</v>
      </c>
    </row>
    <row r="9073" spans="119:119" x14ac:dyDescent="0.2">
      <c r="DO9073" s="303" t="s">
        <v>232</v>
      </c>
    </row>
    <row r="9074" spans="119:119" x14ac:dyDescent="0.2">
      <c r="DO9074" s="303" t="s">
        <v>232</v>
      </c>
    </row>
    <row r="9075" spans="119:119" x14ac:dyDescent="0.2">
      <c r="DO9075" s="303" t="s">
        <v>232</v>
      </c>
    </row>
    <row r="9076" spans="119:119" x14ac:dyDescent="0.2">
      <c r="DO9076" s="303" t="s">
        <v>232</v>
      </c>
    </row>
    <row r="9077" spans="119:119" x14ac:dyDescent="0.2">
      <c r="DO9077" s="303" t="s">
        <v>232</v>
      </c>
    </row>
    <row r="9078" spans="119:119" x14ac:dyDescent="0.2">
      <c r="DO9078" s="303" t="s">
        <v>232</v>
      </c>
    </row>
    <row r="9079" spans="119:119" x14ac:dyDescent="0.2">
      <c r="DO9079" s="303" t="s">
        <v>232</v>
      </c>
    </row>
    <row r="9080" spans="119:119" x14ac:dyDescent="0.2">
      <c r="DO9080" s="303" t="s">
        <v>232</v>
      </c>
    </row>
    <row r="9081" spans="119:119" x14ac:dyDescent="0.2">
      <c r="DO9081" s="303" t="s">
        <v>232</v>
      </c>
    </row>
    <row r="9082" spans="119:119" x14ac:dyDescent="0.2">
      <c r="DO9082" s="303" t="s">
        <v>232</v>
      </c>
    </row>
    <row r="9083" spans="119:119" x14ac:dyDescent="0.2">
      <c r="DO9083" s="303" t="s">
        <v>232</v>
      </c>
    </row>
    <row r="9084" spans="119:119" x14ac:dyDescent="0.2">
      <c r="DO9084" s="303" t="s">
        <v>232</v>
      </c>
    </row>
    <row r="9085" spans="119:119" x14ac:dyDescent="0.2">
      <c r="DO9085" s="303" t="s">
        <v>232</v>
      </c>
    </row>
    <row r="9086" spans="119:119" x14ac:dyDescent="0.2">
      <c r="DO9086" s="303" t="s">
        <v>232</v>
      </c>
    </row>
    <row r="9087" spans="119:119" x14ac:dyDescent="0.2">
      <c r="DO9087" s="303" t="s">
        <v>232</v>
      </c>
    </row>
    <row r="9088" spans="119:119" x14ac:dyDescent="0.2">
      <c r="DO9088" s="303" t="s">
        <v>232</v>
      </c>
    </row>
    <row r="9089" spans="119:119" x14ac:dyDescent="0.2">
      <c r="DO9089" s="303" t="s">
        <v>232</v>
      </c>
    </row>
    <row r="9090" spans="119:119" x14ac:dyDescent="0.2">
      <c r="DO9090" s="303" t="s">
        <v>232</v>
      </c>
    </row>
    <row r="9091" spans="119:119" x14ac:dyDescent="0.2">
      <c r="DO9091" s="303" t="s">
        <v>232</v>
      </c>
    </row>
    <row r="9092" spans="119:119" x14ac:dyDescent="0.2">
      <c r="DO9092" s="303" t="s">
        <v>232</v>
      </c>
    </row>
    <row r="9093" spans="119:119" x14ac:dyDescent="0.2">
      <c r="DO9093" s="303" t="s">
        <v>232</v>
      </c>
    </row>
    <row r="9094" spans="119:119" x14ac:dyDescent="0.2">
      <c r="DO9094" s="303" t="s">
        <v>232</v>
      </c>
    </row>
    <row r="9095" spans="119:119" x14ac:dyDescent="0.2">
      <c r="DO9095" s="303" t="s">
        <v>232</v>
      </c>
    </row>
    <row r="9096" spans="119:119" x14ac:dyDescent="0.2">
      <c r="DO9096" s="303" t="s">
        <v>232</v>
      </c>
    </row>
    <row r="9097" spans="119:119" x14ac:dyDescent="0.2">
      <c r="DO9097" s="303" t="s">
        <v>232</v>
      </c>
    </row>
    <row r="9098" spans="119:119" x14ac:dyDescent="0.2">
      <c r="DO9098" s="303" t="s">
        <v>232</v>
      </c>
    </row>
    <row r="9099" spans="119:119" x14ac:dyDescent="0.2">
      <c r="DO9099" s="303" t="s">
        <v>232</v>
      </c>
    </row>
    <row r="9100" spans="119:119" x14ac:dyDescent="0.2">
      <c r="DO9100" s="303" t="s">
        <v>232</v>
      </c>
    </row>
    <row r="9101" spans="119:119" x14ac:dyDescent="0.2">
      <c r="DO9101" s="303" t="s">
        <v>232</v>
      </c>
    </row>
    <row r="9102" spans="119:119" x14ac:dyDescent="0.2">
      <c r="DO9102" s="303" t="s">
        <v>232</v>
      </c>
    </row>
    <row r="9103" spans="119:119" x14ac:dyDescent="0.2">
      <c r="DO9103" s="303" t="s">
        <v>232</v>
      </c>
    </row>
    <row r="9104" spans="119:119" x14ac:dyDescent="0.2">
      <c r="DO9104" s="303" t="s">
        <v>232</v>
      </c>
    </row>
    <row r="9105" spans="119:119" x14ac:dyDescent="0.2">
      <c r="DO9105" s="303" t="s">
        <v>232</v>
      </c>
    </row>
    <row r="9106" spans="119:119" x14ac:dyDescent="0.2">
      <c r="DO9106" s="303" t="s">
        <v>232</v>
      </c>
    </row>
    <row r="9107" spans="119:119" x14ac:dyDescent="0.2">
      <c r="DO9107" s="303" t="s">
        <v>232</v>
      </c>
    </row>
    <row r="9108" spans="119:119" x14ac:dyDescent="0.2">
      <c r="DO9108" s="303" t="s">
        <v>232</v>
      </c>
    </row>
    <row r="9109" spans="119:119" x14ac:dyDescent="0.2">
      <c r="DO9109" s="303" t="s">
        <v>232</v>
      </c>
    </row>
    <row r="9110" spans="119:119" x14ac:dyDescent="0.2">
      <c r="DO9110" s="303" t="s">
        <v>232</v>
      </c>
    </row>
    <row r="9111" spans="119:119" x14ac:dyDescent="0.2">
      <c r="DO9111" s="303" t="s">
        <v>232</v>
      </c>
    </row>
    <row r="9112" spans="119:119" x14ac:dyDescent="0.2">
      <c r="DO9112" s="303" t="s">
        <v>232</v>
      </c>
    </row>
    <row r="9113" spans="119:119" x14ac:dyDescent="0.2">
      <c r="DO9113" s="303" t="s">
        <v>232</v>
      </c>
    </row>
    <row r="9114" spans="119:119" x14ac:dyDescent="0.2">
      <c r="DO9114" s="303" t="s">
        <v>232</v>
      </c>
    </row>
    <row r="9115" spans="119:119" x14ac:dyDescent="0.2">
      <c r="DO9115" s="303" t="s">
        <v>232</v>
      </c>
    </row>
    <row r="9116" spans="119:119" x14ac:dyDescent="0.2">
      <c r="DO9116" s="303" t="s">
        <v>232</v>
      </c>
    </row>
    <row r="9117" spans="119:119" x14ac:dyDescent="0.2">
      <c r="DO9117" s="303" t="s">
        <v>232</v>
      </c>
    </row>
    <row r="9118" spans="119:119" x14ac:dyDescent="0.2">
      <c r="DO9118" s="303" t="s">
        <v>232</v>
      </c>
    </row>
    <row r="9119" spans="119:119" x14ac:dyDescent="0.2">
      <c r="DO9119" s="303" t="s">
        <v>232</v>
      </c>
    </row>
    <row r="9120" spans="119:119" x14ac:dyDescent="0.2">
      <c r="DO9120" s="303" t="s">
        <v>232</v>
      </c>
    </row>
    <row r="9121" spans="119:119" x14ac:dyDescent="0.2">
      <c r="DO9121" s="303" t="s">
        <v>232</v>
      </c>
    </row>
    <row r="9122" spans="119:119" x14ac:dyDescent="0.2">
      <c r="DO9122" s="303" t="s">
        <v>232</v>
      </c>
    </row>
    <row r="9123" spans="119:119" x14ac:dyDescent="0.2">
      <c r="DO9123" s="303" t="s">
        <v>232</v>
      </c>
    </row>
    <row r="9124" spans="119:119" x14ac:dyDescent="0.2">
      <c r="DO9124" s="303" t="s">
        <v>232</v>
      </c>
    </row>
    <row r="9125" spans="119:119" x14ac:dyDescent="0.2">
      <c r="DO9125" s="303" t="s">
        <v>232</v>
      </c>
    </row>
    <row r="9126" spans="119:119" x14ac:dyDescent="0.2">
      <c r="DO9126" s="303" t="s">
        <v>232</v>
      </c>
    </row>
    <row r="9127" spans="119:119" x14ac:dyDescent="0.2">
      <c r="DO9127" s="303" t="s">
        <v>232</v>
      </c>
    </row>
    <row r="9128" spans="119:119" x14ac:dyDescent="0.2">
      <c r="DO9128" s="303" t="s">
        <v>232</v>
      </c>
    </row>
    <row r="9129" spans="119:119" x14ac:dyDescent="0.2">
      <c r="DO9129" s="303" t="s">
        <v>232</v>
      </c>
    </row>
    <row r="9130" spans="119:119" x14ac:dyDescent="0.2">
      <c r="DO9130" s="303" t="s">
        <v>232</v>
      </c>
    </row>
    <row r="9131" spans="119:119" x14ac:dyDescent="0.2">
      <c r="DO9131" s="303" t="s">
        <v>232</v>
      </c>
    </row>
    <row r="9132" spans="119:119" x14ac:dyDescent="0.2">
      <c r="DO9132" s="303" t="s">
        <v>232</v>
      </c>
    </row>
    <row r="9133" spans="119:119" x14ac:dyDescent="0.2">
      <c r="DO9133" s="303" t="s">
        <v>232</v>
      </c>
    </row>
    <row r="9134" spans="119:119" x14ac:dyDescent="0.2">
      <c r="DO9134" s="303" t="s">
        <v>232</v>
      </c>
    </row>
    <row r="9135" spans="119:119" x14ac:dyDescent="0.2">
      <c r="DO9135" s="303" t="s">
        <v>232</v>
      </c>
    </row>
    <row r="9136" spans="119:119" x14ac:dyDescent="0.2">
      <c r="DO9136" s="303" t="s">
        <v>232</v>
      </c>
    </row>
    <row r="9137" spans="119:119" x14ac:dyDescent="0.2">
      <c r="DO9137" s="303" t="s">
        <v>232</v>
      </c>
    </row>
    <row r="9138" spans="119:119" x14ac:dyDescent="0.2">
      <c r="DO9138" s="303" t="s">
        <v>232</v>
      </c>
    </row>
    <row r="9139" spans="119:119" x14ac:dyDescent="0.2">
      <c r="DO9139" s="303" t="s">
        <v>232</v>
      </c>
    </row>
    <row r="9140" spans="119:119" x14ac:dyDescent="0.2">
      <c r="DO9140" s="303" t="s">
        <v>232</v>
      </c>
    </row>
    <row r="9141" spans="119:119" x14ac:dyDescent="0.2">
      <c r="DO9141" s="303" t="s">
        <v>232</v>
      </c>
    </row>
    <row r="9142" spans="119:119" x14ac:dyDescent="0.2">
      <c r="DO9142" s="303" t="s">
        <v>232</v>
      </c>
    </row>
    <row r="9143" spans="119:119" x14ac:dyDescent="0.2">
      <c r="DO9143" s="303" t="s">
        <v>232</v>
      </c>
    </row>
    <row r="9144" spans="119:119" x14ac:dyDescent="0.2">
      <c r="DO9144" s="303" t="s">
        <v>232</v>
      </c>
    </row>
    <row r="9145" spans="119:119" x14ac:dyDescent="0.2">
      <c r="DO9145" s="303" t="s">
        <v>232</v>
      </c>
    </row>
    <row r="9146" spans="119:119" x14ac:dyDescent="0.2">
      <c r="DO9146" s="303" t="s">
        <v>232</v>
      </c>
    </row>
    <row r="9147" spans="119:119" x14ac:dyDescent="0.2">
      <c r="DO9147" s="303" t="s">
        <v>232</v>
      </c>
    </row>
    <row r="9148" spans="119:119" x14ac:dyDescent="0.2">
      <c r="DO9148" s="303" t="s">
        <v>232</v>
      </c>
    </row>
    <row r="9149" spans="119:119" x14ac:dyDescent="0.2">
      <c r="DO9149" s="303" t="s">
        <v>232</v>
      </c>
    </row>
    <row r="9150" spans="119:119" x14ac:dyDescent="0.2">
      <c r="DO9150" s="303" t="s">
        <v>232</v>
      </c>
    </row>
    <row r="9151" spans="119:119" x14ac:dyDescent="0.2">
      <c r="DO9151" s="303" t="s">
        <v>232</v>
      </c>
    </row>
    <row r="9152" spans="119:119" x14ac:dyDescent="0.2">
      <c r="DO9152" s="303" t="s">
        <v>232</v>
      </c>
    </row>
    <row r="9153" spans="119:119" x14ac:dyDescent="0.2">
      <c r="DO9153" s="303" t="s">
        <v>232</v>
      </c>
    </row>
    <row r="9154" spans="119:119" x14ac:dyDescent="0.2">
      <c r="DO9154" s="303" t="s">
        <v>232</v>
      </c>
    </row>
    <row r="9155" spans="119:119" x14ac:dyDescent="0.2">
      <c r="DO9155" s="303" t="s">
        <v>232</v>
      </c>
    </row>
    <row r="9156" spans="119:119" x14ac:dyDescent="0.2">
      <c r="DO9156" s="303" t="s">
        <v>232</v>
      </c>
    </row>
    <row r="9157" spans="119:119" x14ac:dyDescent="0.2">
      <c r="DO9157" s="303" t="s">
        <v>232</v>
      </c>
    </row>
    <row r="9158" spans="119:119" x14ac:dyDescent="0.2">
      <c r="DO9158" s="303" t="s">
        <v>232</v>
      </c>
    </row>
    <row r="9159" spans="119:119" x14ac:dyDescent="0.2">
      <c r="DO9159" s="303" t="s">
        <v>232</v>
      </c>
    </row>
    <row r="9160" spans="119:119" x14ac:dyDescent="0.2">
      <c r="DO9160" s="303" t="s">
        <v>232</v>
      </c>
    </row>
    <row r="9161" spans="119:119" x14ac:dyDescent="0.2">
      <c r="DO9161" s="303" t="s">
        <v>232</v>
      </c>
    </row>
    <row r="9162" spans="119:119" x14ac:dyDescent="0.2">
      <c r="DO9162" s="303" t="s">
        <v>232</v>
      </c>
    </row>
    <row r="9163" spans="119:119" x14ac:dyDescent="0.2">
      <c r="DO9163" s="303" t="s">
        <v>232</v>
      </c>
    </row>
    <row r="9164" spans="119:119" x14ac:dyDescent="0.2">
      <c r="DO9164" s="303" t="s">
        <v>232</v>
      </c>
    </row>
    <row r="9165" spans="119:119" x14ac:dyDescent="0.2">
      <c r="DO9165" s="303" t="s">
        <v>232</v>
      </c>
    </row>
    <row r="9166" spans="119:119" x14ac:dyDescent="0.2">
      <c r="DO9166" s="303" t="s">
        <v>232</v>
      </c>
    </row>
    <row r="9167" spans="119:119" x14ac:dyDescent="0.2">
      <c r="DO9167" s="303" t="s">
        <v>232</v>
      </c>
    </row>
    <row r="9168" spans="119:119" x14ac:dyDescent="0.2">
      <c r="DO9168" s="303" t="s">
        <v>232</v>
      </c>
    </row>
    <row r="9169" spans="119:119" x14ac:dyDescent="0.2">
      <c r="DO9169" s="303" t="s">
        <v>232</v>
      </c>
    </row>
    <row r="9170" spans="119:119" x14ac:dyDescent="0.2">
      <c r="DO9170" s="303" t="s">
        <v>232</v>
      </c>
    </row>
    <row r="9171" spans="119:119" x14ac:dyDescent="0.2">
      <c r="DO9171" s="303" t="s">
        <v>232</v>
      </c>
    </row>
    <row r="9172" spans="119:119" x14ac:dyDescent="0.2">
      <c r="DO9172" s="303" t="s">
        <v>232</v>
      </c>
    </row>
    <row r="9173" spans="119:119" x14ac:dyDescent="0.2">
      <c r="DO9173" s="303" t="s">
        <v>232</v>
      </c>
    </row>
    <row r="9174" spans="119:119" x14ac:dyDescent="0.2">
      <c r="DO9174" s="303" t="s">
        <v>232</v>
      </c>
    </row>
    <row r="9175" spans="119:119" x14ac:dyDescent="0.2">
      <c r="DO9175" s="303" t="s">
        <v>232</v>
      </c>
    </row>
    <row r="9176" spans="119:119" x14ac:dyDescent="0.2">
      <c r="DO9176" s="303" t="s">
        <v>232</v>
      </c>
    </row>
    <row r="9177" spans="119:119" x14ac:dyDescent="0.2">
      <c r="DO9177" s="303" t="s">
        <v>232</v>
      </c>
    </row>
    <row r="9178" spans="119:119" x14ac:dyDescent="0.2">
      <c r="DO9178" s="303" t="s">
        <v>232</v>
      </c>
    </row>
    <row r="9179" spans="119:119" x14ac:dyDescent="0.2">
      <c r="DO9179" s="303" t="s">
        <v>232</v>
      </c>
    </row>
    <row r="9180" spans="119:119" x14ac:dyDescent="0.2">
      <c r="DO9180" s="303" t="s">
        <v>232</v>
      </c>
    </row>
    <row r="9181" spans="119:119" x14ac:dyDescent="0.2">
      <c r="DO9181" s="303" t="s">
        <v>232</v>
      </c>
    </row>
    <row r="9182" spans="119:119" x14ac:dyDescent="0.2">
      <c r="DO9182" s="303" t="s">
        <v>232</v>
      </c>
    </row>
    <row r="9183" spans="119:119" x14ac:dyDescent="0.2">
      <c r="DO9183" s="303" t="s">
        <v>232</v>
      </c>
    </row>
    <row r="9184" spans="119:119" x14ac:dyDescent="0.2">
      <c r="DO9184" s="303" t="s">
        <v>232</v>
      </c>
    </row>
    <row r="9185" spans="119:119" x14ac:dyDescent="0.2">
      <c r="DO9185" s="303" t="s">
        <v>232</v>
      </c>
    </row>
    <row r="9186" spans="119:119" x14ac:dyDescent="0.2">
      <c r="DO9186" s="303" t="s">
        <v>232</v>
      </c>
    </row>
    <row r="9187" spans="119:119" x14ac:dyDescent="0.2">
      <c r="DO9187" s="303" t="s">
        <v>232</v>
      </c>
    </row>
    <row r="9188" spans="119:119" x14ac:dyDescent="0.2">
      <c r="DO9188" s="303" t="s">
        <v>232</v>
      </c>
    </row>
    <row r="9189" spans="119:119" x14ac:dyDescent="0.2">
      <c r="DO9189" s="303" t="s">
        <v>232</v>
      </c>
    </row>
    <row r="9190" spans="119:119" x14ac:dyDescent="0.2">
      <c r="DO9190" s="303" t="s">
        <v>232</v>
      </c>
    </row>
    <row r="9191" spans="119:119" x14ac:dyDescent="0.2">
      <c r="DO9191" s="303" t="s">
        <v>232</v>
      </c>
    </row>
    <row r="9192" spans="119:119" x14ac:dyDescent="0.2">
      <c r="DO9192" s="303" t="s">
        <v>232</v>
      </c>
    </row>
    <row r="9193" spans="119:119" x14ac:dyDescent="0.2">
      <c r="DO9193" s="303" t="s">
        <v>232</v>
      </c>
    </row>
    <row r="9194" spans="119:119" x14ac:dyDescent="0.2">
      <c r="DO9194" s="303" t="s">
        <v>232</v>
      </c>
    </row>
    <row r="9195" spans="119:119" x14ac:dyDescent="0.2">
      <c r="DO9195" s="303" t="s">
        <v>232</v>
      </c>
    </row>
    <row r="9196" spans="119:119" x14ac:dyDescent="0.2">
      <c r="DO9196" s="303" t="s">
        <v>232</v>
      </c>
    </row>
    <row r="9197" spans="119:119" x14ac:dyDescent="0.2">
      <c r="DO9197" s="303" t="s">
        <v>232</v>
      </c>
    </row>
    <row r="9198" spans="119:119" x14ac:dyDescent="0.2">
      <c r="DO9198" s="303" t="s">
        <v>232</v>
      </c>
    </row>
    <row r="9199" spans="119:119" x14ac:dyDescent="0.2">
      <c r="DO9199" s="303" t="s">
        <v>232</v>
      </c>
    </row>
    <row r="9200" spans="119:119" x14ac:dyDescent="0.2">
      <c r="DO9200" s="303" t="s">
        <v>232</v>
      </c>
    </row>
    <row r="9201" spans="119:119" x14ac:dyDescent="0.2">
      <c r="DO9201" s="303" t="s">
        <v>232</v>
      </c>
    </row>
    <row r="9202" spans="119:119" x14ac:dyDescent="0.2">
      <c r="DO9202" s="303" t="s">
        <v>232</v>
      </c>
    </row>
    <row r="9203" spans="119:119" x14ac:dyDescent="0.2">
      <c r="DO9203" s="303" t="s">
        <v>232</v>
      </c>
    </row>
    <row r="9204" spans="119:119" x14ac:dyDescent="0.2">
      <c r="DO9204" s="303" t="s">
        <v>232</v>
      </c>
    </row>
    <row r="9205" spans="119:119" x14ac:dyDescent="0.2">
      <c r="DO9205" s="303" t="s">
        <v>232</v>
      </c>
    </row>
    <row r="9206" spans="119:119" x14ac:dyDescent="0.2">
      <c r="DO9206" s="303" t="s">
        <v>232</v>
      </c>
    </row>
    <row r="9207" spans="119:119" x14ac:dyDescent="0.2">
      <c r="DO9207" s="303" t="s">
        <v>232</v>
      </c>
    </row>
    <row r="9208" spans="119:119" x14ac:dyDescent="0.2">
      <c r="DO9208" s="303" t="s">
        <v>232</v>
      </c>
    </row>
    <row r="9209" spans="119:119" x14ac:dyDescent="0.2">
      <c r="DO9209" s="303" t="s">
        <v>232</v>
      </c>
    </row>
    <row r="9210" spans="119:119" x14ac:dyDescent="0.2">
      <c r="DO9210" s="303" t="s">
        <v>232</v>
      </c>
    </row>
    <row r="9211" spans="119:119" x14ac:dyDescent="0.2">
      <c r="DO9211" s="303" t="s">
        <v>232</v>
      </c>
    </row>
    <row r="9212" spans="119:119" x14ac:dyDescent="0.2">
      <c r="DO9212" s="303" t="s">
        <v>232</v>
      </c>
    </row>
    <row r="9213" spans="119:119" x14ac:dyDescent="0.2">
      <c r="DO9213" s="303" t="s">
        <v>232</v>
      </c>
    </row>
    <row r="9214" spans="119:119" x14ac:dyDescent="0.2">
      <c r="DO9214" s="303" t="s">
        <v>232</v>
      </c>
    </row>
    <row r="9215" spans="119:119" x14ac:dyDescent="0.2">
      <c r="DO9215" s="303" t="s">
        <v>232</v>
      </c>
    </row>
    <row r="9216" spans="119:119" x14ac:dyDescent="0.2">
      <c r="DO9216" s="303" t="s">
        <v>232</v>
      </c>
    </row>
    <row r="9217" spans="119:119" x14ac:dyDescent="0.2">
      <c r="DO9217" s="303" t="s">
        <v>232</v>
      </c>
    </row>
    <row r="9218" spans="119:119" x14ac:dyDescent="0.2">
      <c r="DO9218" s="303" t="s">
        <v>232</v>
      </c>
    </row>
    <row r="9219" spans="119:119" x14ac:dyDescent="0.2">
      <c r="DO9219" s="303" t="s">
        <v>232</v>
      </c>
    </row>
    <row r="9220" spans="119:119" x14ac:dyDescent="0.2">
      <c r="DO9220" s="303" t="s">
        <v>232</v>
      </c>
    </row>
    <row r="9221" spans="119:119" x14ac:dyDescent="0.2">
      <c r="DO9221" s="303" t="s">
        <v>232</v>
      </c>
    </row>
    <row r="9222" spans="119:119" x14ac:dyDescent="0.2">
      <c r="DO9222" s="303" t="s">
        <v>232</v>
      </c>
    </row>
    <row r="9223" spans="119:119" x14ac:dyDescent="0.2">
      <c r="DO9223" s="303" t="s">
        <v>232</v>
      </c>
    </row>
    <row r="9224" spans="119:119" x14ac:dyDescent="0.2">
      <c r="DO9224" s="303" t="s">
        <v>232</v>
      </c>
    </row>
    <row r="9225" spans="119:119" x14ac:dyDescent="0.2">
      <c r="DO9225" s="303" t="s">
        <v>232</v>
      </c>
    </row>
    <row r="9226" spans="119:119" x14ac:dyDescent="0.2">
      <c r="DO9226" s="303" t="s">
        <v>232</v>
      </c>
    </row>
    <row r="9227" spans="119:119" x14ac:dyDescent="0.2">
      <c r="DO9227" s="303" t="s">
        <v>232</v>
      </c>
    </row>
    <row r="9228" spans="119:119" x14ac:dyDescent="0.2">
      <c r="DO9228" s="303" t="s">
        <v>232</v>
      </c>
    </row>
    <row r="9229" spans="119:119" x14ac:dyDescent="0.2">
      <c r="DO9229" s="303" t="s">
        <v>232</v>
      </c>
    </row>
    <row r="9230" spans="119:119" x14ac:dyDescent="0.2">
      <c r="DO9230" s="303" t="s">
        <v>232</v>
      </c>
    </row>
    <row r="9231" spans="119:119" x14ac:dyDescent="0.2">
      <c r="DO9231" s="303" t="s">
        <v>232</v>
      </c>
    </row>
    <row r="9232" spans="119:119" x14ac:dyDescent="0.2">
      <c r="DO9232" s="303" t="s">
        <v>232</v>
      </c>
    </row>
    <row r="9233" spans="119:119" x14ac:dyDescent="0.2">
      <c r="DO9233" s="303" t="s">
        <v>232</v>
      </c>
    </row>
    <row r="9234" spans="119:119" x14ac:dyDescent="0.2">
      <c r="DO9234" s="303" t="s">
        <v>232</v>
      </c>
    </row>
    <row r="9235" spans="119:119" x14ac:dyDescent="0.2">
      <c r="DO9235" s="303" t="s">
        <v>232</v>
      </c>
    </row>
    <row r="9236" spans="119:119" x14ac:dyDescent="0.2">
      <c r="DO9236" s="303" t="s">
        <v>232</v>
      </c>
    </row>
    <row r="9237" spans="119:119" x14ac:dyDescent="0.2">
      <c r="DO9237" s="303" t="s">
        <v>232</v>
      </c>
    </row>
    <row r="9238" spans="119:119" x14ac:dyDescent="0.2">
      <c r="DO9238" s="303" t="s">
        <v>232</v>
      </c>
    </row>
    <row r="9239" spans="119:119" x14ac:dyDescent="0.2">
      <c r="DO9239" s="303" t="s">
        <v>232</v>
      </c>
    </row>
    <row r="9240" spans="119:119" x14ac:dyDescent="0.2">
      <c r="DO9240" s="303" t="s">
        <v>232</v>
      </c>
    </row>
    <row r="9241" spans="119:119" x14ac:dyDescent="0.2">
      <c r="DO9241" s="303" t="s">
        <v>232</v>
      </c>
    </row>
    <row r="9242" spans="119:119" x14ac:dyDescent="0.2">
      <c r="DO9242" s="303" t="s">
        <v>232</v>
      </c>
    </row>
    <row r="9243" spans="119:119" x14ac:dyDescent="0.2">
      <c r="DO9243" s="303" t="s">
        <v>232</v>
      </c>
    </row>
    <row r="9244" spans="119:119" x14ac:dyDescent="0.2">
      <c r="DO9244" s="303" t="s">
        <v>232</v>
      </c>
    </row>
    <row r="9245" spans="119:119" x14ac:dyDescent="0.2">
      <c r="DO9245" s="303" t="s">
        <v>232</v>
      </c>
    </row>
    <row r="9246" spans="119:119" x14ac:dyDescent="0.2">
      <c r="DO9246" s="303" t="s">
        <v>232</v>
      </c>
    </row>
    <row r="9247" spans="119:119" x14ac:dyDescent="0.2">
      <c r="DO9247" s="303" t="s">
        <v>232</v>
      </c>
    </row>
    <row r="9248" spans="119:119" x14ac:dyDescent="0.2">
      <c r="DO9248" s="303" t="s">
        <v>232</v>
      </c>
    </row>
    <row r="9249" spans="119:119" x14ac:dyDescent="0.2">
      <c r="DO9249" s="303" t="s">
        <v>232</v>
      </c>
    </row>
    <row r="9250" spans="119:119" x14ac:dyDescent="0.2">
      <c r="DO9250" s="303" t="s">
        <v>232</v>
      </c>
    </row>
    <row r="9251" spans="119:119" x14ac:dyDescent="0.2">
      <c r="DO9251" s="303" t="s">
        <v>232</v>
      </c>
    </row>
    <row r="9252" spans="119:119" x14ac:dyDescent="0.2">
      <c r="DO9252" s="303" t="s">
        <v>232</v>
      </c>
    </row>
    <row r="9253" spans="119:119" x14ac:dyDescent="0.2">
      <c r="DO9253" s="303" t="s">
        <v>232</v>
      </c>
    </row>
    <row r="9254" spans="119:119" x14ac:dyDescent="0.2">
      <c r="DO9254" s="303" t="s">
        <v>232</v>
      </c>
    </row>
    <row r="9255" spans="119:119" x14ac:dyDescent="0.2">
      <c r="DO9255" s="303" t="s">
        <v>232</v>
      </c>
    </row>
    <row r="9256" spans="119:119" x14ac:dyDescent="0.2">
      <c r="DO9256" s="303" t="s">
        <v>232</v>
      </c>
    </row>
    <row r="9257" spans="119:119" x14ac:dyDescent="0.2">
      <c r="DO9257" s="303" t="s">
        <v>232</v>
      </c>
    </row>
    <row r="9258" spans="119:119" x14ac:dyDescent="0.2">
      <c r="DO9258" s="303" t="s">
        <v>232</v>
      </c>
    </row>
    <row r="9259" spans="119:119" x14ac:dyDescent="0.2">
      <c r="DO9259" s="303" t="s">
        <v>232</v>
      </c>
    </row>
    <row r="9260" spans="119:119" x14ac:dyDescent="0.2">
      <c r="DO9260" s="303" t="s">
        <v>232</v>
      </c>
    </row>
    <row r="9261" spans="119:119" x14ac:dyDescent="0.2">
      <c r="DO9261" s="303" t="s">
        <v>232</v>
      </c>
    </row>
    <row r="9262" spans="119:119" x14ac:dyDescent="0.2">
      <c r="DO9262" s="303" t="s">
        <v>232</v>
      </c>
    </row>
    <row r="9263" spans="119:119" x14ac:dyDescent="0.2">
      <c r="DO9263" s="303" t="s">
        <v>232</v>
      </c>
    </row>
    <row r="9264" spans="119:119" x14ac:dyDescent="0.2">
      <c r="DO9264" s="303" t="s">
        <v>232</v>
      </c>
    </row>
    <row r="9265" spans="119:119" x14ac:dyDescent="0.2">
      <c r="DO9265" s="303" t="s">
        <v>232</v>
      </c>
    </row>
    <row r="9266" spans="119:119" x14ac:dyDescent="0.2">
      <c r="DO9266" s="303" t="s">
        <v>232</v>
      </c>
    </row>
    <row r="9267" spans="119:119" x14ac:dyDescent="0.2">
      <c r="DO9267" s="303" t="s">
        <v>232</v>
      </c>
    </row>
    <row r="9268" spans="119:119" x14ac:dyDescent="0.2">
      <c r="DO9268" s="303" t="s">
        <v>232</v>
      </c>
    </row>
    <row r="9269" spans="119:119" x14ac:dyDescent="0.2">
      <c r="DO9269" s="303" t="s">
        <v>232</v>
      </c>
    </row>
    <row r="9270" spans="119:119" x14ac:dyDescent="0.2">
      <c r="DO9270" s="303" t="s">
        <v>232</v>
      </c>
    </row>
    <row r="9271" spans="119:119" x14ac:dyDescent="0.2">
      <c r="DO9271" s="303" t="s">
        <v>232</v>
      </c>
    </row>
    <row r="9272" spans="119:119" x14ac:dyDescent="0.2">
      <c r="DO9272" s="303" t="s">
        <v>232</v>
      </c>
    </row>
    <row r="9273" spans="119:119" x14ac:dyDescent="0.2">
      <c r="DO9273" s="303" t="s">
        <v>232</v>
      </c>
    </row>
    <row r="9274" spans="119:119" x14ac:dyDescent="0.2">
      <c r="DO9274" s="303" t="s">
        <v>232</v>
      </c>
    </row>
    <row r="9275" spans="119:119" x14ac:dyDescent="0.2">
      <c r="DO9275" s="303" t="s">
        <v>232</v>
      </c>
    </row>
    <row r="9276" spans="119:119" x14ac:dyDescent="0.2">
      <c r="DO9276" s="303" t="s">
        <v>232</v>
      </c>
    </row>
    <row r="9277" spans="119:119" x14ac:dyDescent="0.2">
      <c r="DO9277" s="303" t="s">
        <v>232</v>
      </c>
    </row>
    <row r="9278" spans="119:119" x14ac:dyDescent="0.2">
      <c r="DO9278" s="303" t="s">
        <v>232</v>
      </c>
    </row>
    <row r="9279" spans="119:119" x14ac:dyDescent="0.2">
      <c r="DO9279" s="303" t="s">
        <v>232</v>
      </c>
    </row>
    <row r="9280" spans="119:119" x14ac:dyDescent="0.2">
      <c r="DO9280" s="303" t="s">
        <v>232</v>
      </c>
    </row>
    <row r="9281" spans="119:119" x14ac:dyDescent="0.2">
      <c r="DO9281" s="303" t="s">
        <v>232</v>
      </c>
    </row>
    <row r="9282" spans="119:119" x14ac:dyDescent="0.2">
      <c r="DO9282" s="303" t="s">
        <v>232</v>
      </c>
    </row>
    <row r="9283" spans="119:119" x14ac:dyDescent="0.2">
      <c r="DO9283" s="303" t="s">
        <v>232</v>
      </c>
    </row>
    <row r="9284" spans="119:119" x14ac:dyDescent="0.2">
      <c r="DO9284" s="303" t="s">
        <v>232</v>
      </c>
    </row>
    <row r="9285" spans="119:119" x14ac:dyDescent="0.2">
      <c r="DO9285" s="303" t="s">
        <v>232</v>
      </c>
    </row>
    <row r="9286" spans="119:119" x14ac:dyDescent="0.2">
      <c r="DO9286" s="303" t="s">
        <v>232</v>
      </c>
    </row>
    <row r="9287" spans="119:119" x14ac:dyDescent="0.2">
      <c r="DO9287" s="303" t="s">
        <v>232</v>
      </c>
    </row>
    <row r="9288" spans="119:119" x14ac:dyDescent="0.2">
      <c r="DO9288" s="303" t="s">
        <v>232</v>
      </c>
    </row>
    <row r="9289" spans="119:119" x14ac:dyDescent="0.2">
      <c r="DO9289" s="303" t="s">
        <v>232</v>
      </c>
    </row>
    <row r="9290" spans="119:119" x14ac:dyDescent="0.2">
      <c r="DO9290" s="303" t="s">
        <v>232</v>
      </c>
    </row>
    <row r="9291" spans="119:119" x14ac:dyDescent="0.2">
      <c r="DO9291" s="303" t="s">
        <v>232</v>
      </c>
    </row>
    <row r="9292" spans="119:119" x14ac:dyDescent="0.2">
      <c r="DO9292" s="303" t="s">
        <v>232</v>
      </c>
    </row>
    <row r="9293" spans="119:119" x14ac:dyDescent="0.2">
      <c r="DO9293" s="303" t="s">
        <v>232</v>
      </c>
    </row>
    <row r="9294" spans="119:119" x14ac:dyDescent="0.2">
      <c r="DO9294" s="303" t="s">
        <v>232</v>
      </c>
    </row>
    <row r="9295" spans="119:119" x14ac:dyDescent="0.2">
      <c r="DO9295" s="303" t="s">
        <v>232</v>
      </c>
    </row>
    <row r="9296" spans="119:119" x14ac:dyDescent="0.2">
      <c r="DO9296" s="303" t="s">
        <v>232</v>
      </c>
    </row>
    <row r="9297" spans="119:119" x14ac:dyDescent="0.2">
      <c r="DO9297" s="303" t="s">
        <v>232</v>
      </c>
    </row>
    <row r="9298" spans="119:119" x14ac:dyDescent="0.2">
      <c r="DO9298" s="303" t="s">
        <v>232</v>
      </c>
    </row>
    <row r="9299" spans="119:119" x14ac:dyDescent="0.2">
      <c r="DO9299" s="303" t="s">
        <v>232</v>
      </c>
    </row>
    <row r="9300" spans="119:119" x14ac:dyDescent="0.2">
      <c r="DO9300" s="303" t="s">
        <v>232</v>
      </c>
    </row>
    <row r="9301" spans="119:119" x14ac:dyDescent="0.2">
      <c r="DO9301" s="303" t="s">
        <v>232</v>
      </c>
    </row>
    <row r="9302" spans="119:119" x14ac:dyDescent="0.2">
      <c r="DO9302" s="303" t="s">
        <v>232</v>
      </c>
    </row>
    <row r="9303" spans="119:119" x14ac:dyDescent="0.2">
      <c r="DO9303" s="303" t="s">
        <v>232</v>
      </c>
    </row>
    <row r="9304" spans="119:119" x14ac:dyDescent="0.2">
      <c r="DO9304" s="303" t="s">
        <v>232</v>
      </c>
    </row>
    <row r="9305" spans="119:119" x14ac:dyDescent="0.2">
      <c r="DO9305" s="303" t="s">
        <v>232</v>
      </c>
    </row>
    <row r="9306" spans="119:119" x14ac:dyDescent="0.2">
      <c r="DO9306" s="303" t="s">
        <v>232</v>
      </c>
    </row>
    <row r="9307" spans="119:119" x14ac:dyDescent="0.2">
      <c r="DO9307" s="303" t="s">
        <v>232</v>
      </c>
    </row>
    <row r="9308" spans="119:119" x14ac:dyDescent="0.2">
      <c r="DO9308" s="303" t="s">
        <v>232</v>
      </c>
    </row>
    <row r="9309" spans="119:119" x14ac:dyDescent="0.2">
      <c r="DO9309" s="303" t="s">
        <v>232</v>
      </c>
    </row>
    <row r="9310" spans="119:119" x14ac:dyDescent="0.2">
      <c r="DO9310" s="303" t="s">
        <v>232</v>
      </c>
    </row>
    <row r="9311" spans="119:119" x14ac:dyDescent="0.2">
      <c r="DO9311" s="303" t="s">
        <v>232</v>
      </c>
    </row>
    <row r="9312" spans="119:119" x14ac:dyDescent="0.2">
      <c r="DO9312" s="303" t="s">
        <v>232</v>
      </c>
    </row>
    <row r="9313" spans="119:119" x14ac:dyDescent="0.2">
      <c r="DO9313" s="303" t="s">
        <v>232</v>
      </c>
    </row>
    <row r="9314" spans="119:119" x14ac:dyDescent="0.2">
      <c r="DO9314" s="303" t="s">
        <v>232</v>
      </c>
    </row>
    <row r="9315" spans="119:119" x14ac:dyDescent="0.2">
      <c r="DO9315" s="303" t="s">
        <v>232</v>
      </c>
    </row>
    <row r="9316" spans="119:119" x14ac:dyDescent="0.2">
      <c r="DO9316" s="303" t="s">
        <v>232</v>
      </c>
    </row>
    <row r="9317" spans="119:119" x14ac:dyDescent="0.2">
      <c r="DO9317" s="303" t="s">
        <v>232</v>
      </c>
    </row>
    <row r="9318" spans="119:119" x14ac:dyDescent="0.2">
      <c r="DO9318" s="303" t="s">
        <v>232</v>
      </c>
    </row>
    <row r="9319" spans="119:119" x14ac:dyDescent="0.2">
      <c r="DO9319" s="303" t="s">
        <v>232</v>
      </c>
    </row>
    <row r="9320" spans="119:119" x14ac:dyDescent="0.2">
      <c r="DO9320" s="303" t="s">
        <v>232</v>
      </c>
    </row>
    <row r="9321" spans="119:119" x14ac:dyDescent="0.2">
      <c r="DO9321" s="303" t="s">
        <v>232</v>
      </c>
    </row>
    <row r="9322" spans="119:119" x14ac:dyDescent="0.2">
      <c r="DO9322" s="303" t="s">
        <v>232</v>
      </c>
    </row>
    <row r="9323" spans="119:119" x14ac:dyDescent="0.2">
      <c r="DO9323" s="303" t="s">
        <v>232</v>
      </c>
    </row>
    <row r="9324" spans="119:119" x14ac:dyDescent="0.2">
      <c r="DO9324" s="303" t="s">
        <v>232</v>
      </c>
    </row>
    <row r="9325" spans="119:119" x14ac:dyDescent="0.2">
      <c r="DO9325" s="303" t="s">
        <v>232</v>
      </c>
    </row>
    <row r="9326" spans="119:119" x14ac:dyDescent="0.2">
      <c r="DO9326" s="303" t="s">
        <v>232</v>
      </c>
    </row>
    <row r="9327" spans="119:119" x14ac:dyDescent="0.2">
      <c r="DO9327" s="303" t="s">
        <v>232</v>
      </c>
    </row>
    <row r="9328" spans="119:119" x14ac:dyDescent="0.2">
      <c r="DO9328" s="303" t="s">
        <v>232</v>
      </c>
    </row>
    <row r="9329" spans="119:119" x14ac:dyDescent="0.2">
      <c r="DO9329" s="303" t="s">
        <v>232</v>
      </c>
    </row>
    <row r="9330" spans="119:119" x14ac:dyDescent="0.2">
      <c r="DO9330" s="303" t="s">
        <v>232</v>
      </c>
    </row>
    <row r="9331" spans="119:119" x14ac:dyDescent="0.2">
      <c r="DO9331" s="303" t="s">
        <v>232</v>
      </c>
    </row>
    <row r="9332" spans="119:119" x14ac:dyDescent="0.2">
      <c r="DO9332" s="303" t="s">
        <v>232</v>
      </c>
    </row>
    <row r="9333" spans="119:119" x14ac:dyDescent="0.2">
      <c r="DO9333" s="303" t="s">
        <v>232</v>
      </c>
    </row>
    <row r="9334" spans="119:119" x14ac:dyDescent="0.2">
      <c r="DO9334" s="303" t="s">
        <v>232</v>
      </c>
    </row>
    <row r="9335" spans="119:119" x14ac:dyDescent="0.2">
      <c r="DO9335" s="303" t="s">
        <v>232</v>
      </c>
    </row>
    <row r="9336" spans="119:119" x14ac:dyDescent="0.2">
      <c r="DO9336" s="303" t="s">
        <v>232</v>
      </c>
    </row>
    <row r="9337" spans="119:119" x14ac:dyDescent="0.2">
      <c r="DO9337" s="303" t="s">
        <v>232</v>
      </c>
    </row>
    <row r="9338" spans="119:119" x14ac:dyDescent="0.2">
      <c r="DO9338" s="303" t="s">
        <v>232</v>
      </c>
    </row>
    <row r="9339" spans="119:119" x14ac:dyDescent="0.2">
      <c r="DO9339" s="303" t="s">
        <v>232</v>
      </c>
    </row>
    <row r="9340" spans="119:119" x14ac:dyDescent="0.2">
      <c r="DO9340" s="303" t="s">
        <v>232</v>
      </c>
    </row>
    <row r="9341" spans="119:119" x14ac:dyDescent="0.2">
      <c r="DO9341" s="303" t="s">
        <v>232</v>
      </c>
    </row>
    <row r="9342" spans="119:119" x14ac:dyDescent="0.2">
      <c r="DO9342" s="303" t="s">
        <v>232</v>
      </c>
    </row>
    <row r="9343" spans="119:119" x14ac:dyDescent="0.2">
      <c r="DO9343" s="303" t="s">
        <v>232</v>
      </c>
    </row>
    <row r="9344" spans="119:119" x14ac:dyDescent="0.2">
      <c r="DO9344" s="303" t="s">
        <v>232</v>
      </c>
    </row>
    <row r="9345" spans="119:119" x14ac:dyDescent="0.2">
      <c r="DO9345" s="303" t="s">
        <v>232</v>
      </c>
    </row>
    <row r="9346" spans="119:119" x14ac:dyDescent="0.2">
      <c r="DO9346" s="303" t="s">
        <v>232</v>
      </c>
    </row>
    <row r="9347" spans="119:119" x14ac:dyDescent="0.2">
      <c r="DO9347" s="303" t="s">
        <v>232</v>
      </c>
    </row>
    <row r="9348" spans="119:119" x14ac:dyDescent="0.2">
      <c r="DO9348" s="303" t="s">
        <v>232</v>
      </c>
    </row>
    <row r="9349" spans="119:119" x14ac:dyDescent="0.2">
      <c r="DO9349" s="303" t="s">
        <v>232</v>
      </c>
    </row>
    <row r="9350" spans="119:119" x14ac:dyDescent="0.2">
      <c r="DO9350" s="303" t="s">
        <v>232</v>
      </c>
    </row>
    <row r="9351" spans="119:119" x14ac:dyDescent="0.2">
      <c r="DO9351" s="303" t="s">
        <v>232</v>
      </c>
    </row>
    <row r="9352" spans="119:119" x14ac:dyDescent="0.2">
      <c r="DO9352" s="303" t="s">
        <v>232</v>
      </c>
    </row>
    <row r="9353" spans="119:119" x14ac:dyDescent="0.2">
      <c r="DO9353" s="303" t="s">
        <v>232</v>
      </c>
    </row>
    <row r="9354" spans="119:119" x14ac:dyDescent="0.2">
      <c r="DO9354" s="303" t="s">
        <v>232</v>
      </c>
    </row>
    <row r="9355" spans="119:119" x14ac:dyDescent="0.2">
      <c r="DO9355" s="303" t="s">
        <v>232</v>
      </c>
    </row>
    <row r="9356" spans="119:119" x14ac:dyDescent="0.2">
      <c r="DO9356" s="303" t="s">
        <v>232</v>
      </c>
    </row>
    <row r="9357" spans="119:119" x14ac:dyDescent="0.2">
      <c r="DO9357" s="303" t="s">
        <v>232</v>
      </c>
    </row>
    <row r="9358" spans="119:119" x14ac:dyDescent="0.2">
      <c r="DO9358" s="303" t="s">
        <v>232</v>
      </c>
    </row>
    <row r="9359" spans="119:119" x14ac:dyDescent="0.2">
      <c r="DO9359" s="303" t="s">
        <v>232</v>
      </c>
    </row>
    <row r="9360" spans="119:119" x14ac:dyDescent="0.2">
      <c r="DO9360" s="303" t="s">
        <v>232</v>
      </c>
    </row>
    <row r="9361" spans="119:119" x14ac:dyDescent="0.2">
      <c r="DO9361" s="303" t="s">
        <v>232</v>
      </c>
    </row>
    <row r="9362" spans="119:119" x14ac:dyDescent="0.2">
      <c r="DO9362" s="303" t="s">
        <v>232</v>
      </c>
    </row>
    <row r="9363" spans="119:119" x14ac:dyDescent="0.2">
      <c r="DO9363" s="303" t="s">
        <v>232</v>
      </c>
    </row>
    <row r="9364" spans="119:119" x14ac:dyDescent="0.2">
      <c r="DO9364" s="303" t="s">
        <v>232</v>
      </c>
    </row>
    <row r="9365" spans="119:119" x14ac:dyDescent="0.2">
      <c r="DO9365" s="303" t="s">
        <v>232</v>
      </c>
    </row>
    <row r="9366" spans="119:119" x14ac:dyDescent="0.2">
      <c r="DO9366" s="303" t="s">
        <v>232</v>
      </c>
    </row>
    <row r="9367" spans="119:119" x14ac:dyDescent="0.2">
      <c r="DO9367" s="303" t="s">
        <v>232</v>
      </c>
    </row>
    <row r="9368" spans="119:119" x14ac:dyDescent="0.2">
      <c r="DO9368" s="303" t="s">
        <v>232</v>
      </c>
    </row>
    <row r="9369" spans="119:119" x14ac:dyDescent="0.2">
      <c r="DO9369" s="303" t="s">
        <v>232</v>
      </c>
    </row>
    <row r="9370" spans="119:119" x14ac:dyDescent="0.2">
      <c r="DO9370" s="303" t="s">
        <v>232</v>
      </c>
    </row>
    <row r="9371" spans="119:119" x14ac:dyDescent="0.2">
      <c r="DO9371" s="303" t="s">
        <v>232</v>
      </c>
    </row>
    <row r="9372" spans="119:119" x14ac:dyDescent="0.2">
      <c r="DO9372" s="303" t="s">
        <v>232</v>
      </c>
    </row>
    <row r="9373" spans="119:119" x14ac:dyDescent="0.2">
      <c r="DO9373" s="303" t="s">
        <v>232</v>
      </c>
    </row>
    <row r="9374" spans="119:119" x14ac:dyDescent="0.2">
      <c r="DO9374" s="303" t="s">
        <v>232</v>
      </c>
    </row>
    <row r="9375" spans="119:119" x14ac:dyDescent="0.2">
      <c r="DO9375" s="303" t="s">
        <v>232</v>
      </c>
    </row>
    <row r="9376" spans="119:119" x14ac:dyDescent="0.2">
      <c r="DO9376" s="303" t="s">
        <v>232</v>
      </c>
    </row>
    <row r="9377" spans="119:119" x14ac:dyDescent="0.2">
      <c r="DO9377" s="303" t="s">
        <v>232</v>
      </c>
    </row>
    <row r="9378" spans="119:119" x14ac:dyDescent="0.2">
      <c r="DO9378" s="303" t="s">
        <v>232</v>
      </c>
    </row>
    <row r="9379" spans="119:119" x14ac:dyDescent="0.2">
      <c r="DO9379" s="303" t="s">
        <v>232</v>
      </c>
    </row>
    <row r="9380" spans="119:119" x14ac:dyDescent="0.2">
      <c r="DO9380" s="303" t="s">
        <v>232</v>
      </c>
    </row>
    <row r="9381" spans="119:119" x14ac:dyDescent="0.2">
      <c r="DO9381" s="303" t="s">
        <v>232</v>
      </c>
    </row>
    <row r="9382" spans="119:119" x14ac:dyDescent="0.2">
      <c r="DO9382" s="303" t="s">
        <v>232</v>
      </c>
    </row>
    <row r="9383" spans="119:119" x14ac:dyDescent="0.2">
      <c r="DO9383" s="303" t="s">
        <v>232</v>
      </c>
    </row>
    <row r="9384" spans="119:119" x14ac:dyDescent="0.2">
      <c r="DO9384" s="303" t="s">
        <v>232</v>
      </c>
    </row>
    <row r="9385" spans="119:119" x14ac:dyDescent="0.2">
      <c r="DO9385" s="303" t="s">
        <v>232</v>
      </c>
    </row>
    <row r="9386" spans="119:119" x14ac:dyDescent="0.2">
      <c r="DO9386" s="303" t="s">
        <v>232</v>
      </c>
    </row>
    <row r="9387" spans="119:119" x14ac:dyDescent="0.2">
      <c r="DO9387" s="303" t="s">
        <v>232</v>
      </c>
    </row>
    <row r="9388" spans="119:119" x14ac:dyDescent="0.2">
      <c r="DO9388" s="303" t="s">
        <v>232</v>
      </c>
    </row>
    <row r="9389" spans="119:119" x14ac:dyDescent="0.2">
      <c r="DO9389" s="303" t="s">
        <v>232</v>
      </c>
    </row>
    <row r="9390" spans="119:119" x14ac:dyDescent="0.2">
      <c r="DO9390" s="303" t="s">
        <v>232</v>
      </c>
    </row>
    <row r="9391" spans="119:119" x14ac:dyDescent="0.2">
      <c r="DO9391" s="303" t="s">
        <v>232</v>
      </c>
    </row>
    <row r="9392" spans="119:119" x14ac:dyDescent="0.2">
      <c r="DO9392" s="303" t="s">
        <v>232</v>
      </c>
    </row>
    <row r="9393" spans="119:119" x14ac:dyDescent="0.2">
      <c r="DO9393" s="303" t="s">
        <v>232</v>
      </c>
    </row>
    <row r="9394" spans="119:119" x14ac:dyDescent="0.2">
      <c r="DO9394" s="303" t="s">
        <v>232</v>
      </c>
    </row>
    <row r="9395" spans="119:119" x14ac:dyDescent="0.2">
      <c r="DO9395" s="303" t="s">
        <v>232</v>
      </c>
    </row>
    <row r="9396" spans="119:119" x14ac:dyDescent="0.2">
      <c r="DO9396" s="303" t="s">
        <v>232</v>
      </c>
    </row>
    <row r="9397" spans="119:119" x14ac:dyDescent="0.2">
      <c r="DO9397" s="303" t="s">
        <v>232</v>
      </c>
    </row>
    <row r="9398" spans="119:119" x14ac:dyDescent="0.2">
      <c r="DO9398" s="303" t="s">
        <v>232</v>
      </c>
    </row>
    <row r="9399" spans="119:119" x14ac:dyDescent="0.2">
      <c r="DO9399" s="303" t="s">
        <v>232</v>
      </c>
    </row>
    <row r="9400" spans="119:119" x14ac:dyDescent="0.2">
      <c r="DO9400" s="303" t="s">
        <v>232</v>
      </c>
    </row>
    <row r="9401" spans="119:119" x14ac:dyDescent="0.2">
      <c r="DO9401" s="303" t="s">
        <v>232</v>
      </c>
    </row>
    <row r="9402" spans="119:119" x14ac:dyDescent="0.2">
      <c r="DO9402" s="303" t="s">
        <v>232</v>
      </c>
    </row>
    <row r="9403" spans="119:119" x14ac:dyDescent="0.2">
      <c r="DO9403" s="303" t="s">
        <v>232</v>
      </c>
    </row>
    <row r="9404" spans="119:119" x14ac:dyDescent="0.2">
      <c r="DO9404" s="303" t="s">
        <v>232</v>
      </c>
    </row>
    <row r="9405" spans="119:119" x14ac:dyDescent="0.2">
      <c r="DO9405" s="303" t="s">
        <v>232</v>
      </c>
    </row>
    <row r="9406" spans="119:119" x14ac:dyDescent="0.2">
      <c r="DO9406" s="303" t="s">
        <v>232</v>
      </c>
    </row>
    <row r="9407" spans="119:119" x14ac:dyDescent="0.2">
      <c r="DO9407" s="303" t="s">
        <v>232</v>
      </c>
    </row>
    <row r="9408" spans="119:119" x14ac:dyDescent="0.2">
      <c r="DO9408" s="303" t="s">
        <v>232</v>
      </c>
    </row>
    <row r="9409" spans="119:119" x14ac:dyDescent="0.2">
      <c r="DO9409" s="303" t="s">
        <v>232</v>
      </c>
    </row>
    <row r="9410" spans="119:119" x14ac:dyDescent="0.2">
      <c r="DO9410" s="303" t="s">
        <v>232</v>
      </c>
    </row>
    <row r="9411" spans="119:119" x14ac:dyDescent="0.2">
      <c r="DO9411" s="303" t="s">
        <v>232</v>
      </c>
    </row>
    <row r="9412" spans="119:119" x14ac:dyDescent="0.2">
      <c r="DO9412" s="303" t="s">
        <v>232</v>
      </c>
    </row>
    <row r="9413" spans="119:119" x14ac:dyDescent="0.2">
      <c r="DO9413" s="303" t="s">
        <v>232</v>
      </c>
    </row>
    <row r="9414" spans="119:119" x14ac:dyDescent="0.2">
      <c r="DO9414" s="303" t="s">
        <v>232</v>
      </c>
    </row>
    <row r="9415" spans="119:119" x14ac:dyDescent="0.2">
      <c r="DO9415" s="303" t="s">
        <v>232</v>
      </c>
    </row>
    <row r="9416" spans="119:119" x14ac:dyDescent="0.2">
      <c r="DO9416" s="303" t="s">
        <v>232</v>
      </c>
    </row>
    <row r="9417" spans="119:119" x14ac:dyDescent="0.2">
      <c r="DO9417" s="303" t="s">
        <v>232</v>
      </c>
    </row>
    <row r="9418" spans="119:119" x14ac:dyDescent="0.2">
      <c r="DO9418" s="303" t="s">
        <v>232</v>
      </c>
    </row>
    <row r="9419" spans="119:119" x14ac:dyDescent="0.2">
      <c r="DO9419" s="303" t="s">
        <v>232</v>
      </c>
    </row>
    <row r="9420" spans="119:119" x14ac:dyDescent="0.2">
      <c r="DO9420" s="303" t="s">
        <v>232</v>
      </c>
    </row>
    <row r="9421" spans="119:119" x14ac:dyDescent="0.2">
      <c r="DO9421" s="303" t="s">
        <v>232</v>
      </c>
    </row>
    <row r="9422" spans="119:119" x14ac:dyDescent="0.2">
      <c r="DO9422" s="303" t="s">
        <v>232</v>
      </c>
    </row>
    <row r="9423" spans="119:119" x14ac:dyDescent="0.2">
      <c r="DO9423" s="303" t="s">
        <v>232</v>
      </c>
    </row>
    <row r="9424" spans="119:119" x14ac:dyDescent="0.2">
      <c r="DO9424" s="303" t="s">
        <v>232</v>
      </c>
    </row>
    <row r="9425" spans="119:119" x14ac:dyDescent="0.2">
      <c r="DO9425" s="303" t="s">
        <v>232</v>
      </c>
    </row>
    <row r="9426" spans="119:119" x14ac:dyDescent="0.2">
      <c r="DO9426" s="303" t="s">
        <v>232</v>
      </c>
    </row>
    <row r="9427" spans="119:119" x14ac:dyDescent="0.2">
      <c r="DO9427" s="303" t="s">
        <v>232</v>
      </c>
    </row>
    <row r="9428" spans="119:119" x14ac:dyDescent="0.2">
      <c r="DO9428" s="303" t="s">
        <v>232</v>
      </c>
    </row>
    <row r="9429" spans="119:119" x14ac:dyDescent="0.2">
      <c r="DO9429" s="303" t="s">
        <v>232</v>
      </c>
    </row>
    <row r="9430" spans="119:119" x14ac:dyDescent="0.2">
      <c r="DO9430" s="303" t="s">
        <v>232</v>
      </c>
    </row>
    <row r="9431" spans="119:119" x14ac:dyDescent="0.2">
      <c r="DO9431" s="303" t="s">
        <v>232</v>
      </c>
    </row>
    <row r="9432" spans="119:119" x14ac:dyDescent="0.2">
      <c r="DO9432" s="303" t="s">
        <v>232</v>
      </c>
    </row>
    <row r="9433" spans="119:119" x14ac:dyDescent="0.2">
      <c r="DO9433" s="303" t="s">
        <v>232</v>
      </c>
    </row>
    <row r="9434" spans="119:119" x14ac:dyDescent="0.2">
      <c r="DO9434" s="303" t="s">
        <v>232</v>
      </c>
    </row>
    <row r="9435" spans="119:119" x14ac:dyDescent="0.2">
      <c r="DO9435" s="303" t="s">
        <v>232</v>
      </c>
    </row>
    <row r="9436" spans="119:119" x14ac:dyDescent="0.2">
      <c r="DO9436" s="303" t="s">
        <v>232</v>
      </c>
    </row>
    <row r="9437" spans="119:119" x14ac:dyDescent="0.2">
      <c r="DO9437" s="303" t="s">
        <v>232</v>
      </c>
    </row>
    <row r="9438" spans="119:119" x14ac:dyDescent="0.2">
      <c r="DO9438" s="303" t="s">
        <v>232</v>
      </c>
    </row>
    <row r="9439" spans="119:119" x14ac:dyDescent="0.2">
      <c r="DO9439" s="303" t="s">
        <v>232</v>
      </c>
    </row>
    <row r="9440" spans="119:119" x14ac:dyDescent="0.2">
      <c r="DO9440" s="303" t="s">
        <v>232</v>
      </c>
    </row>
    <row r="9441" spans="119:119" x14ac:dyDescent="0.2">
      <c r="DO9441" s="303" t="s">
        <v>232</v>
      </c>
    </row>
    <row r="9442" spans="119:119" x14ac:dyDescent="0.2">
      <c r="DO9442" s="303" t="s">
        <v>232</v>
      </c>
    </row>
    <row r="9443" spans="119:119" x14ac:dyDescent="0.2">
      <c r="DO9443" s="303" t="s">
        <v>232</v>
      </c>
    </row>
    <row r="9444" spans="119:119" x14ac:dyDescent="0.2">
      <c r="DO9444" s="303" t="s">
        <v>232</v>
      </c>
    </row>
    <row r="9445" spans="119:119" x14ac:dyDescent="0.2">
      <c r="DO9445" s="303" t="s">
        <v>232</v>
      </c>
    </row>
    <row r="9446" spans="119:119" x14ac:dyDescent="0.2">
      <c r="DO9446" s="303" t="s">
        <v>232</v>
      </c>
    </row>
    <row r="9447" spans="119:119" x14ac:dyDescent="0.2">
      <c r="DO9447" s="303" t="s">
        <v>232</v>
      </c>
    </row>
    <row r="9448" spans="119:119" x14ac:dyDescent="0.2">
      <c r="DO9448" s="303" t="s">
        <v>232</v>
      </c>
    </row>
    <row r="9449" spans="119:119" x14ac:dyDescent="0.2">
      <c r="DO9449" s="303" t="s">
        <v>232</v>
      </c>
    </row>
    <row r="9450" spans="119:119" x14ac:dyDescent="0.2">
      <c r="DO9450" s="303" t="s">
        <v>232</v>
      </c>
    </row>
    <row r="9451" spans="119:119" x14ac:dyDescent="0.2">
      <c r="DO9451" s="303" t="s">
        <v>232</v>
      </c>
    </row>
    <row r="9452" spans="119:119" x14ac:dyDescent="0.2">
      <c r="DO9452" s="303" t="s">
        <v>232</v>
      </c>
    </row>
    <row r="9453" spans="119:119" x14ac:dyDescent="0.2">
      <c r="DO9453" s="303" t="s">
        <v>232</v>
      </c>
    </row>
    <row r="9454" spans="119:119" x14ac:dyDescent="0.2">
      <c r="DO9454" s="303" t="s">
        <v>232</v>
      </c>
    </row>
    <row r="9455" spans="119:119" x14ac:dyDescent="0.2">
      <c r="DO9455" s="303" t="s">
        <v>232</v>
      </c>
    </row>
    <row r="9456" spans="119:119" x14ac:dyDescent="0.2">
      <c r="DO9456" s="303" t="s">
        <v>232</v>
      </c>
    </row>
    <row r="9457" spans="119:119" x14ac:dyDescent="0.2">
      <c r="DO9457" s="303" t="s">
        <v>232</v>
      </c>
    </row>
    <row r="9458" spans="119:119" x14ac:dyDescent="0.2">
      <c r="DO9458" s="303" t="s">
        <v>232</v>
      </c>
    </row>
    <row r="9459" spans="119:119" x14ac:dyDescent="0.2">
      <c r="DO9459" s="303" t="s">
        <v>232</v>
      </c>
    </row>
    <row r="9460" spans="119:119" x14ac:dyDescent="0.2">
      <c r="DO9460" s="303" t="s">
        <v>232</v>
      </c>
    </row>
    <row r="9461" spans="119:119" x14ac:dyDescent="0.2">
      <c r="DO9461" s="303" t="s">
        <v>232</v>
      </c>
    </row>
    <row r="9462" spans="119:119" x14ac:dyDescent="0.2">
      <c r="DO9462" s="303" t="s">
        <v>232</v>
      </c>
    </row>
    <row r="9463" spans="119:119" x14ac:dyDescent="0.2">
      <c r="DO9463" s="303" t="s">
        <v>232</v>
      </c>
    </row>
    <row r="9464" spans="119:119" x14ac:dyDescent="0.2">
      <c r="DO9464" s="303" t="s">
        <v>232</v>
      </c>
    </row>
    <row r="9465" spans="119:119" x14ac:dyDescent="0.2">
      <c r="DO9465" s="303" t="s">
        <v>232</v>
      </c>
    </row>
    <row r="9466" spans="119:119" x14ac:dyDescent="0.2">
      <c r="DO9466" s="303" t="s">
        <v>232</v>
      </c>
    </row>
    <row r="9467" spans="119:119" x14ac:dyDescent="0.2">
      <c r="DO9467" s="303" t="s">
        <v>232</v>
      </c>
    </row>
    <row r="9468" spans="119:119" x14ac:dyDescent="0.2">
      <c r="DO9468" s="303" t="s">
        <v>232</v>
      </c>
    </row>
    <row r="9469" spans="119:119" x14ac:dyDescent="0.2">
      <c r="DO9469" s="303" t="s">
        <v>232</v>
      </c>
    </row>
    <row r="9470" spans="119:119" x14ac:dyDescent="0.2">
      <c r="DO9470" s="303" t="s">
        <v>232</v>
      </c>
    </row>
    <row r="9471" spans="119:119" x14ac:dyDescent="0.2">
      <c r="DO9471" s="303" t="s">
        <v>232</v>
      </c>
    </row>
    <row r="9472" spans="119:119" x14ac:dyDescent="0.2">
      <c r="DO9472" s="303" t="s">
        <v>232</v>
      </c>
    </row>
    <row r="9473" spans="119:119" x14ac:dyDescent="0.2">
      <c r="DO9473" s="303" t="s">
        <v>232</v>
      </c>
    </row>
    <row r="9474" spans="119:119" x14ac:dyDescent="0.2">
      <c r="DO9474" s="303" t="s">
        <v>232</v>
      </c>
    </row>
    <row r="9475" spans="119:119" x14ac:dyDescent="0.2">
      <c r="DO9475" s="303" t="s">
        <v>232</v>
      </c>
    </row>
    <row r="9476" spans="119:119" x14ac:dyDescent="0.2">
      <c r="DO9476" s="303" t="s">
        <v>232</v>
      </c>
    </row>
    <row r="9477" spans="119:119" x14ac:dyDescent="0.2">
      <c r="DO9477" s="303" t="s">
        <v>232</v>
      </c>
    </row>
    <row r="9478" spans="119:119" x14ac:dyDescent="0.2">
      <c r="DO9478" s="303" t="s">
        <v>232</v>
      </c>
    </row>
    <row r="9479" spans="119:119" x14ac:dyDescent="0.2">
      <c r="DO9479" s="303" t="s">
        <v>232</v>
      </c>
    </row>
    <row r="9480" spans="119:119" x14ac:dyDescent="0.2">
      <c r="DO9480" s="303" t="s">
        <v>232</v>
      </c>
    </row>
    <row r="9481" spans="119:119" x14ac:dyDescent="0.2">
      <c r="DO9481" s="303" t="s">
        <v>232</v>
      </c>
    </row>
    <row r="9482" spans="119:119" x14ac:dyDescent="0.2">
      <c r="DO9482" s="303" t="s">
        <v>232</v>
      </c>
    </row>
    <row r="9483" spans="119:119" x14ac:dyDescent="0.2">
      <c r="DO9483" s="303" t="s">
        <v>232</v>
      </c>
    </row>
    <row r="9484" spans="119:119" x14ac:dyDescent="0.2">
      <c r="DO9484" s="303" t="s">
        <v>232</v>
      </c>
    </row>
    <row r="9485" spans="119:119" x14ac:dyDescent="0.2">
      <c r="DO9485" s="303" t="s">
        <v>232</v>
      </c>
    </row>
    <row r="9486" spans="119:119" x14ac:dyDescent="0.2">
      <c r="DO9486" s="303" t="s">
        <v>232</v>
      </c>
    </row>
    <row r="9487" spans="119:119" x14ac:dyDescent="0.2">
      <c r="DO9487" s="303" t="s">
        <v>232</v>
      </c>
    </row>
    <row r="9488" spans="119:119" x14ac:dyDescent="0.2">
      <c r="DO9488" s="303" t="s">
        <v>232</v>
      </c>
    </row>
    <row r="9489" spans="119:119" x14ac:dyDescent="0.2">
      <c r="DO9489" s="303" t="s">
        <v>232</v>
      </c>
    </row>
    <row r="9490" spans="119:119" x14ac:dyDescent="0.2">
      <c r="DO9490" s="303" t="s">
        <v>232</v>
      </c>
    </row>
    <row r="9491" spans="119:119" x14ac:dyDescent="0.2">
      <c r="DO9491" s="303" t="s">
        <v>232</v>
      </c>
    </row>
    <row r="9492" spans="119:119" x14ac:dyDescent="0.2">
      <c r="DO9492" s="303" t="s">
        <v>232</v>
      </c>
    </row>
    <row r="9493" spans="119:119" x14ac:dyDescent="0.2">
      <c r="DO9493" s="303" t="s">
        <v>232</v>
      </c>
    </row>
    <row r="9494" spans="119:119" x14ac:dyDescent="0.2">
      <c r="DO9494" s="303" t="s">
        <v>232</v>
      </c>
    </row>
    <row r="9495" spans="119:119" x14ac:dyDescent="0.2">
      <c r="DO9495" s="303" t="s">
        <v>232</v>
      </c>
    </row>
    <row r="9496" spans="119:119" x14ac:dyDescent="0.2">
      <c r="DO9496" s="303" t="s">
        <v>232</v>
      </c>
    </row>
    <row r="9497" spans="119:119" x14ac:dyDescent="0.2">
      <c r="DO9497" s="303" t="s">
        <v>232</v>
      </c>
    </row>
    <row r="9498" spans="119:119" x14ac:dyDescent="0.2">
      <c r="DO9498" s="303" t="s">
        <v>232</v>
      </c>
    </row>
    <row r="9499" spans="119:119" x14ac:dyDescent="0.2">
      <c r="DO9499" s="303" t="s">
        <v>232</v>
      </c>
    </row>
    <row r="9500" spans="119:119" x14ac:dyDescent="0.2">
      <c r="DO9500" s="303" t="s">
        <v>232</v>
      </c>
    </row>
    <row r="9501" spans="119:119" x14ac:dyDescent="0.2">
      <c r="DO9501" s="303" t="s">
        <v>232</v>
      </c>
    </row>
    <row r="9502" spans="119:119" x14ac:dyDescent="0.2">
      <c r="DO9502" s="303" t="s">
        <v>232</v>
      </c>
    </row>
    <row r="9503" spans="119:119" x14ac:dyDescent="0.2">
      <c r="DO9503" s="303" t="s">
        <v>232</v>
      </c>
    </row>
    <row r="9504" spans="119:119" x14ac:dyDescent="0.2">
      <c r="DO9504" s="303" t="s">
        <v>232</v>
      </c>
    </row>
    <row r="9505" spans="119:119" x14ac:dyDescent="0.2">
      <c r="DO9505" s="303" t="s">
        <v>232</v>
      </c>
    </row>
    <row r="9506" spans="119:119" x14ac:dyDescent="0.2">
      <c r="DO9506" s="303" t="s">
        <v>232</v>
      </c>
    </row>
    <row r="9507" spans="119:119" x14ac:dyDescent="0.2">
      <c r="DO9507" s="303" t="s">
        <v>232</v>
      </c>
    </row>
    <row r="9508" spans="119:119" x14ac:dyDescent="0.2">
      <c r="DO9508" s="303" t="s">
        <v>232</v>
      </c>
    </row>
    <row r="9509" spans="119:119" x14ac:dyDescent="0.2">
      <c r="DO9509" s="303" t="s">
        <v>232</v>
      </c>
    </row>
    <row r="9510" spans="119:119" x14ac:dyDescent="0.2">
      <c r="DO9510" s="303" t="s">
        <v>232</v>
      </c>
    </row>
    <row r="9511" spans="119:119" x14ac:dyDescent="0.2">
      <c r="DO9511" s="303" t="s">
        <v>232</v>
      </c>
    </row>
    <row r="9512" spans="119:119" x14ac:dyDescent="0.2">
      <c r="DO9512" s="303" t="s">
        <v>232</v>
      </c>
    </row>
    <row r="9513" spans="119:119" x14ac:dyDescent="0.2">
      <c r="DO9513" s="303" t="s">
        <v>232</v>
      </c>
    </row>
    <row r="9514" spans="119:119" x14ac:dyDescent="0.2">
      <c r="DO9514" s="303" t="s">
        <v>232</v>
      </c>
    </row>
    <row r="9515" spans="119:119" x14ac:dyDescent="0.2">
      <c r="DO9515" s="303" t="s">
        <v>232</v>
      </c>
    </row>
    <row r="9516" spans="119:119" x14ac:dyDescent="0.2">
      <c r="DO9516" s="303" t="s">
        <v>232</v>
      </c>
    </row>
    <row r="9517" spans="119:119" x14ac:dyDescent="0.2">
      <c r="DO9517" s="303" t="s">
        <v>232</v>
      </c>
    </row>
    <row r="9518" spans="119:119" x14ac:dyDescent="0.2">
      <c r="DO9518" s="303" t="s">
        <v>232</v>
      </c>
    </row>
    <row r="9519" spans="119:119" x14ac:dyDescent="0.2">
      <c r="DO9519" s="303" t="s">
        <v>232</v>
      </c>
    </row>
    <row r="9520" spans="119:119" x14ac:dyDescent="0.2">
      <c r="DO9520" s="303" t="s">
        <v>232</v>
      </c>
    </row>
    <row r="9521" spans="119:119" x14ac:dyDescent="0.2">
      <c r="DO9521" s="303" t="s">
        <v>232</v>
      </c>
    </row>
    <row r="9522" spans="119:119" x14ac:dyDescent="0.2">
      <c r="DO9522" s="303" t="s">
        <v>232</v>
      </c>
    </row>
    <row r="9523" spans="119:119" x14ac:dyDescent="0.2">
      <c r="DO9523" s="303" t="s">
        <v>232</v>
      </c>
    </row>
    <row r="9524" spans="119:119" x14ac:dyDescent="0.2">
      <c r="DO9524" s="303" t="s">
        <v>232</v>
      </c>
    </row>
    <row r="9525" spans="119:119" x14ac:dyDescent="0.2">
      <c r="DO9525" s="303" t="s">
        <v>232</v>
      </c>
    </row>
    <row r="9526" spans="119:119" x14ac:dyDescent="0.2">
      <c r="DO9526" s="303" t="s">
        <v>232</v>
      </c>
    </row>
    <row r="9527" spans="119:119" x14ac:dyDescent="0.2">
      <c r="DO9527" s="303" t="s">
        <v>232</v>
      </c>
    </row>
    <row r="9528" spans="119:119" x14ac:dyDescent="0.2">
      <c r="DO9528" s="303" t="s">
        <v>232</v>
      </c>
    </row>
    <row r="9529" spans="119:119" x14ac:dyDescent="0.2">
      <c r="DO9529" s="303" t="s">
        <v>232</v>
      </c>
    </row>
    <row r="9530" spans="119:119" x14ac:dyDescent="0.2">
      <c r="DO9530" s="303" t="s">
        <v>232</v>
      </c>
    </row>
    <row r="9531" spans="119:119" x14ac:dyDescent="0.2">
      <c r="DO9531" s="303" t="s">
        <v>232</v>
      </c>
    </row>
    <row r="9532" spans="119:119" x14ac:dyDescent="0.2">
      <c r="DO9532" s="303" t="s">
        <v>232</v>
      </c>
    </row>
    <row r="9533" spans="119:119" x14ac:dyDescent="0.2">
      <c r="DO9533" s="303" t="s">
        <v>232</v>
      </c>
    </row>
    <row r="9534" spans="119:119" x14ac:dyDescent="0.2">
      <c r="DO9534" s="303" t="s">
        <v>232</v>
      </c>
    </row>
    <row r="9535" spans="119:119" x14ac:dyDescent="0.2">
      <c r="DO9535" s="303" t="s">
        <v>232</v>
      </c>
    </row>
    <row r="9536" spans="119:119" x14ac:dyDescent="0.2">
      <c r="DO9536" s="303" t="s">
        <v>232</v>
      </c>
    </row>
    <row r="9537" spans="119:119" x14ac:dyDescent="0.2">
      <c r="DO9537" s="303" t="s">
        <v>232</v>
      </c>
    </row>
    <row r="9538" spans="119:119" x14ac:dyDescent="0.2">
      <c r="DO9538" s="303" t="s">
        <v>232</v>
      </c>
    </row>
    <row r="9539" spans="119:119" x14ac:dyDescent="0.2">
      <c r="DO9539" s="303" t="s">
        <v>232</v>
      </c>
    </row>
    <row r="9540" spans="119:119" x14ac:dyDescent="0.2">
      <c r="DO9540" s="303" t="s">
        <v>232</v>
      </c>
    </row>
    <row r="9541" spans="119:119" x14ac:dyDescent="0.2">
      <c r="DO9541" s="303" t="s">
        <v>232</v>
      </c>
    </row>
    <row r="9542" spans="119:119" x14ac:dyDescent="0.2">
      <c r="DO9542" s="303" t="s">
        <v>232</v>
      </c>
    </row>
    <row r="9543" spans="119:119" x14ac:dyDescent="0.2">
      <c r="DO9543" s="303" t="s">
        <v>232</v>
      </c>
    </row>
    <row r="9544" spans="119:119" x14ac:dyDescent="0.2">
      <c r="DO9544" s="303" t="s">
        <v>232</v>
      </c>
    </row>
    <row r="9545" spans="119:119" x14ac:dyDescent="0.2">
      <c r="DO9545" s="303" t="s">
        <v>232</v>
      </c>
    </row>
    <row r="9546" spans="119:119" x14ac:dyDescent="0.2">
      <c r="DO9546" s="303" t="s">
        <v>232</v>
      </c>
    </row>
    <row r="9547" spans="119:119" x14ac:dyDescent="0.2">
      <c r="DO9547" s="303" t="s">
        <v>232</v>
      </c>
    </row>
    <row r="9548" spans="119:119" x14ac:dyDescent="0.2">
      <c r="DO9548" s="303" t="s">
        <v>232</v>
      </c>
    </row>
    <row r="9549" spans="119:119" x14ac:dyDescent="0.2">
      <c r="DO9549" s="303" t="s">
        <v>232</v>
      </c>
    </row>
    <row r="9550" spans="119:119" x14ac:dyDescent="0.2">
      <c r="DO9550" s="303" t="s">
        <v>232</v>
      </c>
    </row>
    <row r="9551" spans="119:119" x14ac:dyDescent="0.2">
      <c r="DO9551" s="303" t="s">
        <v>232</v>
      </c>
    </row>
    <row r="9552" spans="119:119" x14ac:dyDescent="0.2">
      <c r="DO9552" s="303" t="s">
        <v>232</v>
      </c>
    </row>
    <row r="9553" spans="119:119" x14ac:dyDescent="0.2">
      <c r="DO9553" s="303" t="s">
        <v>232</v>
      </c>
    </row>
    <row r="9554" spans="119:119" x14ac:dyDescent="0.2">
      <c r="DO9554" s="303" t="s">
        <v>232</v>
      </c>
    </row>
    <row r="9555" spans="119:119" x14ac:dyDescent="0.2">
      <c r="DO9555" s="303" t="s">
        <v>232</v>
      </c>
    </row>
    <row r="9556" spans="119:119" x14ac:dyDescent="0.2">
      <c r="DO9556" s="303" t="s">
        <v>232</v>
      </c>
    </row>
    <row r="9557" spans="119:119" x14ac:dyDescent="0.2">
      <c r="DO9557" s="303" t="s">
        <v>232</v>
      </c>
    </row>
    <row r="9558" spans="119:119" x14ac:dyDescent="0.2">
      <c r="DO9558" s="303" t="s">
        <v>232</v>
      </c>
    </row>
    <row r="9559" spans="119:119" x14ac:dyDescent="0.2">
      <c r="DO9559" s="303" t="s">
        <v>232</v>
      </c>
    </row>
    <row r="9560" spans="119:119" x14ac:dyDescent="0.2">
      <c r="DO9560" s="303" t="s">
        <v>232</v>
      </c>
    </row>
    <row r="9561" spans="119:119" x14ac:dyDescent="0.2">
      <c r="DO9561" s="303" t="s">
        <v>232</v>
      </c>
    </row>
    <row r="9562" spans="119:119" x14ac:dyDescent="0.2">
      <c r="DO9562" s="303" t="s">
        <v>232</v>
      </c>
    </row>
    <row r="9563" spans="119:119" x14ac:dyDescent="0.2">
      <c r="DO9563" s="303" t="s">
        <v>232</v>
      </c>
    </row>
    <row r="9564" spans="119:119" x14ac:dyDescent="0.2">
      <c r="DO9564" s="303" t="s">
        <v>232</v>
      </c>
    </row>
    <row r="9565" spans="119:119" x14ac:dyDescent="0.2">
      <c r="DO9565" s="303" t="s">
        <v>232</v>
      </c>
    </row>
    <row r="9566" spans="119:119" x14ac:dyDescent="0.2">
      <c r="DO9566" s="303" t="s">
        <v>232</v>
      </c>
    </row>
    <row r="9567" spans="119:119" x14ac:dyDescent="0.2">
      <c r="DO9567" s="303" t="s">
        <v>232</v>
      </c>
    </row>
    <row r="9568" spans="119:119" x14ac:dyDescent="0.2">
      <c r="DO9568" s="303" t="s">
        <v>232</v>
      </c>
    </row>
    <row r="9569" spans="119:119" x14ac:dyDescent="0.2">
      <c r="DO9569" s="303" t="s">
        <v>232</v>
      </c>
    </row>
    <row r="9570" spans="119:119" x14ac:dyDescent="0.2">
      <c r="DO9570" s="303" t="s">
        <v>232</v>
      </c>
    </row>
    <row r="9571" spans="119:119" x14ac:dyDescent="0.2">
      <c r="DO9571" s="303" t="s">
        <v>232</v>
      </c>
    </row>
    <row r="9572" spans="119:119" x14ac:dyDescent="0.2">
      <c r="DO9572" s="303" t="s">
        <v>232</v>
      </c>
    </row>
    <row r="9573" spans="119:119" x14ac:dyDescent="0.2">
      <c r="DO9573" s="303" t="s">
        <v>232</v>
      </c>
    </row>
    <row r="9574" spans="119:119" x14ac:dyDescent="0.2">
      <c r="DO9574" s="303" t="s">
        <v>232</v>
      </c>
    </row>
    <row r="9575" spans="119:119" x14ac:dyDescent="0.2">
      <c r="DO9575" s="303" t="s">
        <v>232</v>
      </c>
    </row>
    <row r="9576" spans="119:119" x14ac:dyDescent="0.2">
      <c r="DO9576" s="303" t="s">
        <v>232</v>
      </c>
    </row>
    <row r="9577" spans="119:119" x14ac:dyDescent="0.2">
      <c r="DO9577" s="303" t="s">
        <v>232</v>
      </c>
    </row>
    <row r="9578" spans="119:119" x14ac:dyDescent="0.2">
      <c r="DO9578" s="303" t="s">
        <v>232</v>
      </c>
    </row>
    <row r="9579" spans="119:119" x14ac:dyDescent="0.2">
      <c r="DO9579" s="303" t="s">
        <v>232</v>
      </c>
    </row>
    <row r="9580" spans="119:119" x14ac:dyDescent="0.2">
      <c r="DO9580" s="303" t="s">
        <v>232</v>
      </c>
    </row>
    <row r="9581" spans="119:119" x14ac:dyDescent="0.2">
      <c r="DO9581" s="303" t="s">
        <v>232</v>
      </c>
    </row>
    <row r="9582" spans="119:119" x14ac:dyDescent="0.2">
      <c r="DO9582" s="303" t="s">
        <v>232</v>
      </c>
    </row>
    <row r="9583" spans="119:119" x14ac:dyDescent="0.2">
      <c r="DO9583" s="303" t="s">
        <v>232</v>
      </c>
    </row>
    <row r="9584" spans="119:119" x14ac:dyDescent="0.2">
      <c r="DO9584" s="303" t="s">
        <v>232</v>
      </c>
    </row>
    <row r="9585" spans="119:119" x14ac:dyDescent="0.2">
      <c r="DO9585" s="303" t="s">
        <v>232</v>
      </c>
    </row>
    <row r="9586" spans="119:119" x14ac:dyDescent="0.2">
      <c r="DO9586" s="303" t="s">
        <v>232</v>
      </c>
    </row>
    <row r="9587" spans="119:119" x14ac:dyDescent="0.2">
      <c r="DO9587" s="303" t="s">
        <v>232</v>
      </c>
    </row>
    <row r="9588" spans="119:119" x14ac:dyDescent="0.2">
      <c r="DO9588" s="303" t="s">
        <v>232</v>
      </c>
    </row>
    <row r="9589" spans="119:119" x14ac:dyDescent="0.2">
      <c r="DO9589" s="303" t="s">
        <v>232</v>
      </c>
    </row>
    <row r="9590" spans="119:119" x14ac:dyDescent="0.2">
      <c r="DO9590" s="303" t="s">
        <v>232</v>
      </c>
    </row>
    <row r="9591" spans="119:119" x14ac:dyDescent="0.2">
      <c r="DO9591" s="303" t="s">
        <v>232</v>
      </c>
    </row>
    <row r="9592" spans="119:119" x14ac:dyDescent="0.2">
      <c r="DO9592" s="303" t="s">
        <v>232</v>
      </c>
    </row>
    <row r="9593" spans="119:119" x14ac:dyDescent="0.2">
      <c r="DO9593" s="303" t="s">
        <v>232</v>
      </c>
    </row>
    <row r="9594" spans="119:119" x14ac:dyDescent="0.2">
      <c r="DO9594" s="303" t="s">
        <v>232</v>
      </c>
    </row>
    <row r="9595" spans="119:119" x14ac:dyDescent="0.2">
      <c r="DO9595" s="303" t="s">
        <v>232</v>
      </c>
    </row>
    <row r="9596" spans="119:119" x14ac:dyDescent="0.2">
      <c r="DO9596" s="303" t="s">
        <v>232</v>
      </c>
    </row>
    <row r="9597" spans="119:119" x14ac:dyDescent="0.2">
      <c r="DO9597" s="303" t="s">
        <v>232</v>
      </c>
    </row>
    <row r="9598" spans="119:119" x14ac:dyDescent="0.2">
      <c r="DO9598" s="303" t="s">
        <v>232</v>
      </c>
    </row>
    <row r="9599" spans="119:119" x14ac:dyDescent="0.2">
      <c r="DO9599" s="303" t="s">
        <v>232</v>
      </c>
    </row>
    <row r="9600" spans="119:119" x14ac:dyDescent="0.2">
      <c r="DO9600" s="303" t="s">
        <v>232</v>
      </c>
    </row>
    <row r="9601" spans="119:119" x14ac:dyDescent="0.2">
      <c r="DO9601" s="303" t="s">
        <v>232</v>
      </c>
    </row>
    <row r="9602" spans="119:119" x14ac:dyDescent="0.2">
      <c r="DO9602" s="303" t="s">
        <v>232</v>
      </c>
    </row>
    <row r="9603" spans="119:119" x14ac:dyDescent="0.2">
      <c r="DO9603" s="303" t="s">
        <v>232</v>
      </c>
    </row>
    <row r="9604" spans="119:119" x14ac:dyDescent="0.2">
      <c r="DO9604" s="303" t="s">
        <v>232</v>
      </c>
    </row>
    <row r="9605" spans="119:119" x14ac:dyDescent="0.2">
      <c r="DO9605" s="303" t="s">
        <v>232</v>
      </c>
    </row>
    <row r="9606" spans="119:119" x14ac:dyDescent="0.2">
      <c r="DO9606" s="303" t="s">
        <v>232</v>
      </c>
    </row>
    <row r="9607" spans="119:119" x14ac:dyDescent="0.2">
      <c r="DO9607" s="303" t="s">
        <v>232</v>
      </c>
    </row>
    <row r="9608" spans="119:119" x14ac:dyDescent="0.2">
      <c r="DO9608" s="303" t="s">
        <v>232</v>
      </c>
    </row>
    <row r="9609" spans="119:119" x14ac:dyDescent="0.2">
      <c r="DO9609" s="303" t="s">
        <v>232</v>
      </c>
    </row>
    <row r="9610" spans="119:119" x14ac:dyDescent="0.2">
      <c r="DO9610" s="303" t="s">
        <v>232</v>
      </c>
    </row>
    <row r="9611" spans="119:119" x14ac:dyDescent="0.2">
      <c r="DO9611" s="303" t="s">
        <v>232</v>
      </c>
    </row>
    <row r="9612" spans="119:119" x14ac:dyDescent="0.2">
      <c r="DO9612" s="303" t="s">
        <v>232</v>
      </c>
    </row>
    <row r="9613" spans="119:119" x14ac:dyDescent="0.2">
      <c r="DO9613" s="303" t="s">
        <v>232</v>
      </c>
    </row>
    <row r="9614" spans="119:119" x14ac:dyDescent="0.2">
      <c r="DO9614" s="303" t="s">
        <v>232</v>
      </c>
    </row>
    <row r="9615" spans="119:119" x14ac:dyDescent="0.2">
      <c r="DO9615" s="303" t="s">
        <v>232</v>
      </c>
    </row>
    <row r="9616" spans="119:119" x14ac:dyDescent="0.2">
      <c r="DO9616" s="303" t="s">
        <v>232</v>
      </c>
    </row>
    <row r="9617" spans="119:119" x14ac:dyDescent="0.2">
      <c r="DO9617" s="303" t="s">
        <v>232</v>
      </c>
    </row>
    <row r="9618" spans="119:119" x14ac:dyDescent="0.2">
      <c r="DO9618" s="303" t="s">
        <v>232</v>
      </c>
    </row>
    <row r="9619" spans="119:119" x14ac:dyDescent="0.2">
      <c r="DO9619" s="303" t="s">
        <v>232</v>
      </c>
    </row>
    <row r="9620" spans="119:119" x14ac:dyDescent="0.2">
      <c r="DO9620" s="303" t="s">
        <v>232</v>
      </c>
    </row>
    <row r="9621" spans="119:119" x14ac:dyDescent="0.2">
      <c r="DO9621" s="303" t="s">
        <v>232</v>
      </c>
    </row>
    <row r="9622" spans="119:119" x14ac:dyDescent="0.2">
      <c r="DO9622" s="303" t="s">
        <v>232</v>
      </c>
    </row>
    <row r="9623" spans="119:119" x14ac:dyDescent="0.2">
      <c r="DO9623" s="303" t="s">
        <v>232</v>
      </c>
    </row>
    <row r="9624" spans="119:119" x14ac:dyDescent="0.2">
      <c r="DO9624" s="303" t="s">
        <v>232</v>
      </c>
    </row>
    <row r="9625" spans="119:119" x14ac:dyDescent="0.2">
      <c r="DO9625" s="303" t="s">
        <v>232</v>
      </c>
    </row>
    <row r="9626" spans="119:119" x14ac:dyDescent="0.2">
      <c r="DO9626" s="303" t="s">
        <v>232</v>
      </c>
    </row>
    <row r="9627" spans="119:119" x14ac:dyDescent="0.2">
      <c r="DO9627" s="303" t="s">
        <v>232</v>
      </c>
    </row>
    <row r="9628" spans="119:119" x14ac:dyDescent="0.2">
      <c r="DO9628" s="303" t="s">
        <v>232</v>
      </c>
    </row>
    <row r="9629" spans="119:119" x14ac:dyDescent="0.2">
      <c r="DO9629" s="303" t="s">
        <v>232</v>
      </c>
    </row>
    <row r="9630" spans="119:119" x14ac:dyDescent="0.2">
      <c r="DO9630" s="303" t="s">
        <v>232</v>
      </c>
    </row>
    <row r="9631" spans="119:119" x14ac:dyDescent="0.2">
      <c r="DO9631" s="303" t="s">
        <v>232</v>
      </c>
    </row>
    <row r="9632" spans="119:119" x14ac:dyDescent="0.2">
      <c r="DO9632" s="303" t="s">
        <v>232</v>
      </c>
    </row>
    <row r="9633" spans="119:119" x14ac:dyDescent="0.2">
      <c r="DO9633" s="303" t="s">
        <v>232</v>
      </c>
    </row>
    <row r="9634" spans="119:119" x14ac:dyDescent="0.2">
      <c r="DO9634" s="303" t="s">
        <v>232</v>
      </c>
    </row>
    <row r="9635" spans="119:119" x14ac:dyDescent="0.2">
      <c r="DO9635" s="303" t="s">
        <v>232</v>
      </c>
    </row>
    <row r="9636" spans="119:119" x14ac:dyDescent="0.2">
      <c r="DO9636" s="303" t="s">
        <v>232</v>
      </c>
    </row>
    <row r="9637" spans="119:119" x14ac:dyDescent="0.2">
      <c r="DO9637" s="303" t="s">
        <v>232</v>
      </c>
    </row>
    <row r="9638" spans="119:119" x14ac:dyDescent="0.2">
      <c r="DO9638" s="303" t="s">
        <v>232</v>
      </c>
    </row>
    <row r="9639" spans="119:119" x14ac:dyDescent="0.2">
      <c r="DO9639" s="303" t="s">
        <v>232</v>
      </c>
    </row>
    <row r="9640" spans="119:119" x14ac:dyDescent="0.2">
      <c r="DO9640" s="303" t="s">
        <v>232</v>
      </c>
    </row>
    <row r="9641" spans="119:119" x14ac:dyDescent="0.2">
      <c r="DO9641" s="303" t="s">
        <v>232</v>
      </c>
    </row>
    <row r="9642" spans="119:119" x14ac:dyDescent="0.2">
      <c r="DO9642" s="303" t="s">
        <v>232</v>
      </c>
    </row>
    <row r="9643" spans="119:119" x14ac:dyDescent="0.2">
      <c r="DO9643" s="303" t="s">
        <v>232</v>
      </c>
    </row>
    <row r="9644" spans="119:119" x14ac:dyDescent="0.2">
      <c r="DO9644" s="303" t="s">
        <v>232</v>
      </c>
    </row>
    <row r="9645" spans="119:119" x14ac:dyDescent="0.2">
      <c r="DO9645" s="303" t="s">
        <v>232</v>
      </c>
    </row>
    <row r="9646" spans="119:119" x14ac:dyDescent="0.2">
      <c r="DO9646" s="303" t="s">
        <v>232</v>
      </c>
    </row>
    <row r="9647" spans="119:119" x14ac:dyDescent="0.2">
      <c r="DO9647" s="303" t="s">
        <v>232</v>
      </c>
    </row>
    <row r="9648" spans="119:119" x14ac:dyDescent="0.2">
      <c r="DO9648" s="303" t="s">
        <v>232</v>
      </c>
    </row>
    <row r="9649" spans="119:119" x14ac:dyDescent="0.2">
      <c r="DO9649" s="303" t="s">
        <v>232</v>
      </c>
    </row>
    <row r="9650" spans="119:119" x14ac:dyDescent="0.2">
      <c r="DO9650" s="303" t="s">
        <v>232</v>
      </c>
    </row>
    <row r="9651" spans="119:119" x14ac:dyDescent="0.2">
      <c r="DO9651" s="303" t="s">
        <v>232</v>
      </c>
    </row>
    <row r="9652" spans="119:119" x14ac:dyDescent="0.2">
      <c r="DO9652" s="303" t="s">
        <v>232</v>
      </c>
    </row>
    <row r="9653" spans="119:119" x14ac:dyDescent="0.2">
      <c r="DO9653" s="303" t="s">
        <v>232</v>
      </c>
    </row>
    <row r="9654" spans="119:119" x14ac:dyDescent="0.2">
      <c r="DO9654" s="303" t="s">
        <v>232</v>
      </c>
    </row>
    <row r="9655" spans="119:119" x14ac:dyDescent="0.2">
      <c r="DO9655" s="303" t="s">
        <v>232</v>
      </c>
    </row>
    <row r="9656" spans="119:119" x14ac:dyDescent="0.2">
      <c r="DO9656" s="303" t="s">
        <v>232</v>
      </c>
    </row>
    <row r="9657" spans="119:119" x14ac:dyDescent="0.2">
      <c r="DO9657" s="303" t="s">
        <v>232</v>
      </c>
    </row>
    <row r="9658" spans="119:119" x14ac:dyDescent="0.2">
      <c r="DO9658" s="303" t="s">
        <v>232</v>
      </c>
    </row>
    <row r="9659" spans="119:119" x14ac:dyDescent="0.2">
      <c r="DO9659" s="303" t="s">
        <v>232</v>
      </c>
    </row>
    <row r="9660" spans="119:119" x14ac:dyDescent="0.2">
      <c r="DO9660" s="303" t="s">
        <v>232</v>
      </c>
    </row>
    <row r="9661" spans="119:119" x14ac:dyDescent="0.2">
      <c r="DO9661" s="303" t="s">
        <v>232</v>
      </c>
    </row>
    <row r="9662" spans="119:119" x14ac:dyDescent="0.2">
      <c r="DO9662" s="303" t="s">
        <v>232</v>
      </c>
    </row>
    <row r="9663" spans="119:119" x14ac:dyDescent="0.2">
      <c r="DO9663" s="303" t="s">
        <v>232</v>
      </c>
    </row>
    <row r="9664" spans="119:119" x14ac:dyDescent="0.2">
      <c r="DO9664" s="303" t="s">
        <v>232</v>
      </c>
    </row>
    <row r="9665" spans="119:119" x14ac:dyDescent="0.2">
      <c r="DO9665" s="303" t="s">
        <v>232</v>
      </c>
    </row>
    <row r="9666" spans="119:119" x14ac:dyDescent="0.2">
      <c r="DO9666" s="303" t="s">
        <v>232</v>
      </c>
    </row>
    <row r="9667" spans="119:119" x14ac:dyDescent="0.2">
      <c r="DO9667" s="303" t="s">
        <v>232</v>
      </c>
    </row>
    <row r="9668" spans="119:119" x14ac:dyDescent="0.2">
      <c r="DO9668" s="303" t="s">
        <v>232</v>
      </c>
    </row>
    <row r="9669" spans="119:119" x14ac:dyDescent="0.2">
      <c r="DO9669" s="303" t="s">
        <v>232</v>
      </c>
    </row>
    <row r="9670" spans="119:119" x14ac:dyDescent="0.2">
      <c r="DO9670" s="303" t="s">
        <v>232</v>
      </c>
    </row>
    <row r="9671" spans="119:119" x14ac:dyDescent="0.2">
      <c r="DO9671" s="303" t="s">
        <v>232</v>
      </c>
    </row>
    <row r="9672" spans="119:119" x14ac:dyDescent="0.2">
      <c r="DO9672" s="303" t="s">
        <v>232</v>
      </c>
    </row>
    <row r="9673" spans="119:119" x14ac:dyDescent="0.2">
      <c r="DO9673" s="303" t="s">
        <v>232</v>
      </c>
    </row>
    <row r="9674" spans="119:119" x14ac:dyDescent="0.2">
      <c r="DO9674" s="303" t="s">
        <v>232</v>
      </c>
    </row>
    <row r="9675" spans="119:119" x14ac:dyDescent="0.2">
      <c r="DO9675" s="303" t="s">
        <v>232</v>
      </c>
    </row>
    <row r="9676" spans="119:119" x14ac:dyDescent="0.2">
      <c r="DO9676" s="303" t="s">
        <v>232</v>
      </c>
    </row>
    <row r="9677" spans="119:119" x14ac:dyDescent="0.2">
      <c r="DO9677" s="303" t="s">
        <v>232</v>
      </c>
    </row>
    <row r="9678" spans="119:119" x14ac:dyDescent="0.2">
      <c r="DO9678" s="303" t="s">
        <v>232</v>
      </c>
    </row>
    <row r="9679" spans="119:119" x14ac:dyDescent="0.2">
      <c r="DO9679" s="303" t="s">
        <v>232</v>
      </c>
    </row>
    <row r="9680" spans="119:119" x14ac:dyDescent="0.2">
      <c r="DO9680" s="303" t="s">
        <v>232</v>
      </c>
    </row>
    <row r="9681" spans="119:119" x14ac:dyDescent="0.2">
      <c r="DO9681" s="303" t="s">
        <v>232</v>
      </c>
    </row>
    <row r="9682" spans="119:119" x14ac:dyDescent="0.2">
      <c r="DO9682" s="303" t="s">
        <v>232</v>
      </c>
    </row>
    <row r="9683" spans="119:119" x14ac:dyDescent="0.2">
      <c r="DO9683" s="303" t="s">
        <v>232</v>
      </c>
    </row>
    <row r="9684" spans="119:119" x14ac:dyDescent="0.2">
      <c r="DO9684" s="303" t="s">
        <v>232</v>
      </c>
    </row>
    <row r="9685" spans="119:119" x14ac:dyDescent="0.2">
      <c r="DO9685" s="303" t="s">
        <v>232</v>
      </c>
    </row>
    <row r="9686" spans="119:119" x14ac:dyDescent="0.2">
      <c r="DO9686" s="303" t="s">
        <v>232</v>
      </c>
    </row>
    <row r="9687" spans="119:119" x14ac:dyDescent="0.2">
      <c r="DO9687" s="303" t="s">
        <v>232</v>
      </c>
    </row>
    <row r="9688" spans="119:119" x14ac:dyDescent="0.2">
      <c r="DO9688" s="303" t="s">
        <v>232</v>
      </c>
    </row>
    <row r="9689" spans="119:119" x14ac:dyDescent="0.2">
      <c r="DO9689" s="303" t="s">
        <v>232</v>
      </c>
    </row>
    <row r="9690" spans="119:119" x14ac:dyDescent="0.2">
      <c r="DO9690" s="303" t="s">
        <v>232</v>
      </c>
    </row>
    <row r="9691" spans="119:119" x14ac:dyDescent="0.2">
      <c r="DO9691" s="303" t="s">
        <v>232</v>
      </c>
    </row>
    <row r="9692" spans="119:119" x14ac:dyDescent="0.2">
      <c r="DO9692" s="303" t="s">
        <v>232</v>
      </c>
    </row>
    <row r="9693" spans="119:119" x14ac:dyDescent="0.2">
      <c r="DO9693" s="303" t="s">
        <v>232</v>
      </c>
    </row>
    <row r="9694" spans="119:119" x14ac:dyDescent="0.2">
      <c r="DO9694" s="303" t="s">
        <v>232</v>
      </c>
    </row>
    <row r="9695" spans="119:119" x14ac:dyDescent="0.2">
      <c r="DO9695" s="303" t="s">
        <v>232</v>
      </c>
    </row>
    <row r="9696" spans="119:119" x14ac:dyDescent="0.2">
      <c r="DO9696" s="303" t="s">
        <v>232</v>
      </c>
    </row>
    <row r="9697" spans="119:119" x14ac:dyDescent="0.2">
      <c r="DO9697" s="303" t="s">
        <v>232</v>
      </c>
    </row>
    <row r="9698" spans="119:119" x14ac:dyDescent="0.2">
      <c r="DO9698" s="303" t="s">
        <v>232</v>
      </c>
    </row>
    <row r="9699" spans="119:119" x14ac:dyDescent="0.2">
      <c r="DO9699" s="303" t="s">
        <v>232</v>
      </c>
    </row>
    <row r="9700" spans="119:119" x14ac:dyDescent="0.2">
      <c r="DO9700" s="303" t="s">
        <v>232</v>
      </c>
    </row>
    <row r="9701" spans="119:119" x14ac:dyDescent="0.2">
      <c r="DO9701" s="303" t="s">
        <v>232</v>
      </c>
    </row>
    <row r="9702" spans="119:119" x14ac:dyDescent="0.2">
      <c r="DO9702" s="303" t="s">
        <v>232</v>
      </c>
    </row>
    <row r="9703" spans="119:119" x14ac:dyDescent="0.2">
      <c r="DO9703" s="303" t="s">
        <v>232</v>
      </c>
    </row>
    <row r="9704" spans="119:119" x14ac:dyDescent="0.2">
      <c r="DO9704" s="303" t="s">
        <v>232</v>
      </c>
    </row>
    <row r="9705" spans="119:119" x14ac:dyDescent="0.2">
      <c r="DO9705" s="303" t="s">
        <v>232</v>
      </c>
    </row>
    <row r="9706" spans="119:119" x14ac:dyDescent="0.2">
      <c r="DO9706" s="303" t="s">
        <v>232</v>
      </c>
    </row>
    <row r="9707" spans="119:119" x14ac:dyDescent="0.2">
      <c r="DO9707" s="303" t="s">
        <v>232</v>
      </c>
    </row>
    <row r="9708" spans="119:119" x14ac:dyDescent="0.2">
      <c r="DO9708" s="303" t="s">
        <v>232</v>
      </c>
    </row>
    <row r="9709" spans="119:119" x14ac:dyDescent="0.2">
      <c r="DO9709" s="303" t="s">
        <v>232</v>
      </c>
    </row>
    <row r="9710" spans="119:119" x14ac:dyDescent="0.2">
      <c r="DO9710" s="303" t="s">
        <v>232</v>
      </c>
    </row>
    <row r="9711" spans="119:119" x14ac:dyDescent="0.2">
      <c r="DO9711" s="303" t="s">
        <v>232</v>
      </c>
    </row>
    <row r="9712" spans="119:119" x14ac:dyDescent="0.2">
      <c r="DO9712" s="303" t="s">
        <v>232</v>
      </c>
    </row>
    <row r="9713" spans="119:119" x14ac:dyDescent="0.2">
      <c r="DO9713" s="303" t="s">
        <v>232</v>
      </c>
    </row>
    <row r="9714" spans="119:119" x14ac:dyDescent="0.2">
      <c r="DO9714" s="303" t="s">
        <v>232</v>
      </c>
    </row>
    <row r="9715" spans="119:119" x14ac:dyDescent="0.2">
      <c r="DO9715" s="303" t="s">
        <v>232</v>
      </c>
    </row>
    <row r="9716" spans="119:119" x14ac:dyDescent="0.2">
      <c r="DO9716" s="303" t="s">
        <v>232</v>
      </c>
    </row>
    <row r="9717" spans="119:119" x14ac:dyDescent="0.2">
      <c r="DO9717" s="303" t="s">
        <v>232</v>
      </c>
    </row>
    <row r="9718" spans="119:119" x14ac:dyDescent="0.2">
      <c r="DO9718" s="303" t="s">
        <v>232</v>
      </c>
    </row>
    <row r="9719" spans="119:119" x14ac:dyDescent="0.2">
      <c r="DO9719" s="303" t="s">
        <v>232</v>
      </c>
    </row>
    <row r="9720" spans="119:119" x14ac:dyDescent="0.2">
      <c r="DO9720" s="303" t="s">
        <v>232</v>
      </c>
    </row>
    <row r="9721" spans="119:119" x14ac:dyDescent="0.2">
      <c r="DO9721" s="303" t="s">
        <v>232</v>
      </c>
    </row>
    <row r="9722" spans="119:119" x14ac:dyDescent="0.2">
      <c r="DO9722" s="303" t="s">
        <v>232</v>
      </c>
    </row>
    <row r="9723" spans="119:119" x14ac:dyDescent="0.2">
      <c r="DO9723" s="303" t="s">
        <v>232</v>
      </c>
    </row>
    <row r="9724" spans="119:119" x14ac:dyDescent="0.2">
      <c r="DO9724" s="303" t="s">
        <v>232</v>
      </c>
    </row>
    <row r="9725" spans="119:119" x14ac:dyDescent="0.2">
      <c r="DO9725" s="303" t="s">
        <v>232</v>
      </c>
    </row>
    <row r="9726" spans="119:119" x14ac:dyDescent="0.2">
      <c r="DO9726" s="303" t="s">
        <v>232</v>
      </c>
    </row>
    <row r="9727" spans="119:119" x14ac:dyDescent="0.2">
      <c r="DO9727" s="303" t="s">
        <v>232</v>
      </c>
    </row>
    <row r="9728" spans="119:119" x14ac:dyDescent="0.2">
      <c r="DO9728" s="303" t="s">
        <v>232</v>
      </c>
    </row>
    <row r="9729" spans="119:119" x14ac:dyDescent="0.2">
      <c r="DO9729" s="303" t="s">
        <v>232</v>
      </c>
    </row>
    <row r="9730" spans="119:119" x14ac:dyDescent="0.2">
      <c r="DO9730" s="303" t="s">
        <v>232</v>
      </c>
    </row>
    <row r="9731" spans="119:119" x14ac:dyDescent="0.2">
      <c r="DO9731" s="303" t="s">
        <v>232</v>
      </c>
    </row>
    <row r="9732" spans="119:119" x14ac:dyDescent="0.2">
      <c r="DO9732" s="303" t="s">
        <v>232</v>
      </c>
    </row>
    <row r="9733" spans="119:119" x14ac:dyDescent="0.2">
      <c r="DO9733" s="303" t="s">
        <v>232</v>
      </c>
    </row>
    <row r="9734" spans="119:119" x14ac:dyDescent="0.2">
      <c r="DO9734" s="303" t="s">
        <v>232</v>
      </c>
    </row>
    <row r="9735" spans="119:119" x14ac:dyDescent="0.2">
      <c r="DO9735" s="303" t="s">
        <v>232</v>
      </c>
    </row>
    <row r="9736" spans="119:119" x14ac:dyDescent="0.2">
      <c r="DO9736" s="303" t="s">
        <v>232</v>
      </c>
    </row>
    <row r="9737" spans="119:119" x14ac:dyDescent="0.2">
      <c r="DO9737" s="303" t="s">
        <v>232</v>
      </c>
    </row>
    <row r="9738" spans="119:119" x14ac:dyDescent="0.2">
      <c r="DO9738" s="303" t="s">
        <v>232</v>
      </c>
    </row>
    <row r="9739" spans="119:119" x14ac:dyDescent="0.2">
      <c r="DO9739" s="303" t="s">
        <v>232</v>
      </c>
    </row>
    <row r="9740" spans="119:119" x14ac:dyDescent="0.2">
      <c r="DO9740" s="303" t="s">
        <v>232</v>
      </c>
    </row>
    <row r="9741" spans="119:119" x14ac:dyDescent="0.2">
      <c r="DO9741" s="303" t="s">
        <v>232</v>
      </c>
    </row>
    <row r="9742" spans="119:119" x14ac:dyDescent="0.2">
      <c r="DO9742" s="303" t="s">
        <v>232</v>
      </c>
    </row>
    <row r="9743" spans="119:119" x14ac:dyDescent="0.2">
      <c r="DO9743" s="303" t="s">
        <v>232</v>
      </c>
    </row>
    <row r="9744" spans="119:119" x14ac:dyDescent="0.2">
      <c r="DO9744" s="303" t="s">
        <v>232</v>
      </c>
    </row>
    <row r="9745" spans="119:119" x14ac:dyDescent="0.2">
      <c r="DO9745" s="303" t="s">
        <v>232</v>
      </c>
    </row>
    <row r="9746" spans="119:119" x14ac:dyDescent="0.2">
      <c r="DO9746" s="303" t="s">
        <v>232</v>
      </c>
    </row>
    <row r="9747" spans="119:119" x14ac:dyDescent="0.2">
      <c r="DO9747" s="303" t="s">
        <v>232</v>
      </c>
    </row>
    <row r="9748" spans="119:119" x14ac:dyDescent="0.2">
      <c r="DO9748" s="303" t="s">
        <v>232</v>
      </c>
    </row>
    <row r="9749" spans="119:119" x14ac:dyDescent="0.2">
      <c r="DO9749" s="303" t="s">
        <v>232</v>
      </c>
    </row>
    <row r="9750" spans="119:119" x14ac:dyDescent="0.2">
      <c r="DO9750" s="303" t="s">
        <v>232</v>
      </c>
    </row>
    <row r="9751" spans="119:119" x14ac:dyDescent="0.2">
      <c r="DO9751" s="303" t="s">
        <v>232</v>
      </c>
    </row>
    <row r="9752" spans="119:119" x14ac:dyDescent="0.2">
      <c r="DO9752" s="303" t="s">
        <v>232</v>
      </c>
    </row>
    <row r="9753" spans="119:119" x14ac:dyDescent="0.2">
      <c r="DO9753" s="303" t="s">
        <v>232</v>
      </c>
    </row>
    <row r="9754" spans="119:119" x14ac:dyDescent="0.2">
      <c r="DO9754" s="303" t="s">
        <v>232</v>
      </c>
    </row>
    <row r="9755" spans="119:119" x14ac:dyDescent="0.2">
      <c r="DO9755" s="303" t="s">
        <v>232</v>
      </c>
    </row>
    <row r="9756" spans="119:119" x14ac:dyDescent="0.2">
      <c r="DO9756" s="303" t="s">
        <v>232</v>
      </c>
    </row>
    <row r="9757" spans="119:119" x14ac:dyDescent="0.2">
      <c r="DO9757" s="303" t="s">
        <v>232</v>
      </c>
    </row>
    <row r="9758" spans="119:119" x14ac:dyDescent="0.2">
      <c r="DO9758" s="303" t="s">
        <v>232</v>
      </c>
    </row>
    <row r="9759" spans="119:119" x14ac:dyDescent="0.2">
      <c r="DO9759" s="303" t="s">
        <v>232</v>
      </c>
    </row>
    <row r="9760" spans="119:119" x14ac:dyDescent="0.2">
      <c r="DO9760" s="303" t="s">
        <v>232</v>
      </c>
    </row>
    <row r="9761" spans="119:119" x14ac:dyDescent="0.2">
      <c r="DO9761" s="303" t="s">
        <v>232</v>
      </c>
    </row>
    <row r="9762" spans="119:119" x14ac:dyDescent="0.2">
      <c r="DO9762" s="303" t="s">
        <v>232</v>
      </c>
    </row>
    <row r="9763" spans="119:119" x14ac:dyDescent="0.2">
      <c r="DO9763" s="303" t="s">
        <v>232</v>
      </c>
    </row>
    <row r="9764" spans="119:119" x14ac:dyDescent="0.2">
      <c r="DO9764" s="303" t="s">
        <v>232</v>
      </c>
    </row>
    <row r="9765" spans="119:119" x14ac:dyDescent="0.2">
      <c r="DO9765" s="303" t="s">
        <v>232</v>
      </c>
    </row>
    <row r="9766" spans="119:119" x14ac:dyDescent="0.2">
      <c r="DO9766" s="303" t="s">
        <v>232</v>
      </c>
    </row>
    <row r="9767" spans="119:119" x14ac:dyDescent="0.2">
      <c r="DO9767" s="303" t="s">
        <v>232</v>
      </c>
    </row>
    <row r="9768" spans="119:119" x14ac:dyDescent="0.2">
      <c r="DO9768" s="303" t="s">
        <v>232</v>
      </c>
    </row>
    <row r="9769" spans="119:119" x14ac:dyDescent="0.2">
      <c r="DO9769" s="303" t="s">
        <v>232</v>
      </c>
    </row>
    <row r="9770" spans="119:119" x14ac:dyDescent="0.2">
      <c r="DO9770" s="303" t="s">
        <v>232</v>
      </c>
    </row>
    <row r="9771" spans="119:119" x14ac:dyDescent="0.2">
      <c r="DO9771" s="303" t="s">
        <v>232</v>
      </c>
    </row>
    <row r="9772" spans="119:119" x14ac:dyDescent="0.2">
      <c r="DO9772" s="303" t="s">
        <v>232</v>
      </c>
    </row>
    <row r="9773" spans="119:119" x14ac:dyDescent="0.2">
      <c r="DO9773" s="303" t="s">
        <v>232</v>
      </c>
    </row>
    <row r="9774" spans="119:119" x14ac:dyDescent="0.2">
      <c r="DO9774" s="303" t="s">
        <v>232</v>
      </c>
    </row>
    <row r="9775" spans="119:119" x14ac:dyDescent="0.2">
      <c r="DO9775" s="303" t="s">
        <v>232</v>
      </c>
    </row>
    <row r="9776" spans="119:119" x14ac:dyDescent="0.2">
      <c r="DO9776" s="303" t="s">
        <v>232</v>
      </c>
    </row>
    <row r="9777" spans="119:119" x14ac:dyDescent="0.2">
      <c r="DO9777" s="303" t="s">
        <v>232</v>
      </c>
    </row>
    <row r="9778" spans="119:119" x14ac:dyDescent="0.2">
      <c r="DO9778" s="303" t="s">
        <v>232</v>
      </c>
    </row>
    <row r="9779" spans="119:119" x14ac:dyDescent="0.2">
      <c r="DO9779" s="303" t="s">
        <v>232</v>
      </c>
    </row>
    <row r="9780" spans="119:119" x14ac:dyDescent="0.2">
      <c r="DO9780" s="303" t="s">
        <v>232</v>
      </c>
    </row>
    <row r="9781" spans="119:119" x14ac:dyDescent="0.2">
      <c r="DO9781" s="303" t="s">
        <v>232</v>
      </c>
    </row>
    <row r="9782" spans="119:119" x14ac:dyDescent="0.2">
      <c r="DO9782" s="303" t="s">
        <v>232</v>
      </c>
    </row>
    <row r="9783" spans="119:119" x14ac:dyDescent="0.2">
      <c r="DO9783" s="303" t="s">
        <v>232</v>
      </c>
    </row>
    <row r="9784" spans="119:119" x14ac:dyDescent="0.2">
      <c r="DO9784" s="303" t="s">
        <v>232</v>
      </c>
    </row>
    <row r="9785" spans="119:119" x14ac:dyDescent="0.2">
      <c r="DO9785" s="303" t="s">
        <v>232</v>
      </c>
    </row>
    <row r="9786" spans="119:119" x14ac:dyDescent="0.2">
      <c r="DO9786" s="303" t="s">
        <v>232</v>
      </c>
    </row>
    <row r="9787" spans="119:119" x14ac:dyDescent="0.2">
      <c r="DO9787" s="303" t="s">
        <v>232</v>
      </c>
    </row>
    <row r="9788" spans="119:119" x14ac:dyDescent="0.2">
      <c r="DO9788" s="303" t="s">
        <v>232</v>
      </c>
    </row>
    <row r="9789" spans="119:119" x14ac:dyDescent="0.2">
      <c r="DO9789" s="303" t="s">
        <v>232</v>
      </c>
    </row>
    <row r="9790" spans="119:119" x14ac:dyDescent="0.2">
      <c r="DO9790" s="303" t="s">
        <v>232</v>
      </c>
    </row>
    <row r="9791" spans="119:119" x14ac:dyDescent="0.2">
      <c r="DO9791" s="303" t="s">
        <v>232</v>
      </c>
    </row>
    <row r="9792" spans="119:119" x14ac:dyDescent="0.2">
      <c r="DO9792" s="303" t="s">
        <v>232</v>
      </c>
    </row>
    <row r="9793" spans="119:119" x14ac:dyDescent="0.2">
      <c r="DO9793" s="303" t="s">
        <v>232</v>
      </c>
    </row>
    <row r="9794" spans="119:119" x14ac:dyDescent="0.2">
      <c r="DO9794" s="303" t="s">
        <v>232</v>
      </c>
    </row>
    <row r="9795" spans="119:119" x14ac:dyDescent="0.2">
      <c r="DO9795" s="303" t="s">
        <v>232</v>
      </c>
    </row>
    <row r="9796" spans="119:119" x14ac:dyDescent="0.2">
      <c r="DO9796" s="303" t="s">
        <v>232</v>
      </c>
    </row>
    <row r="9797" spans="119:119" x14ac:dyDescent="0.2">
      <c r="DO9797" s="303" t="s">
        <v>232</v>
      </c>
    </row>
    <row r="9798" spans="119:119" x14ac:dyDescent="0.2">
      <c r="DO9798" s="303" t="s">
        <v>232</v>
      </c>
    </row>
    <row r="9799" spans="119:119" x14ac:dyDescent="0.2">
      <c r="DO9799" s="303" t="s">
        <v>232</v>
      </c>
    </row>
    <row r="9800" spans="119:119" x14ac:dyDescent="0.2">
      <c r="DO9800" s="303" t="s">
        <v>232</v>
      </c>
    </row>
    <row r="9801" spans="119:119" x14ac:dyDescent="0.2">
      <c r="DO9801" s="303" t="s">
        <v>232</v>
      </c>
    </row>
    <row r="9802" spans="119:119" x14ac:dyDescent="0.2">
      <c r="DO9802" s="303" t="s">
        <v>232</v>
      </c>
    </row>
    <row r="9803" spans="119:119" x14ac:dyDescent="0.2">
      <c r="DO9803" s="303" t="s">
        <v>232</v>
      </c>
    </row>
    <row r="9804" spans="119:119" x14ac:dyDescent="0.2">
      <c r="DO9804" s="303" t="s">
        <v>232</v>
      </c>
    </row>
    <row r="9805" spans="119:119" x14ac:dyDescent="0.2">
      <c r="DO9805" s="303" t="s">
        <v>232</v>
      </c>
    </row>
    <row r="9806" spans="119:119" x14ac:dyDescent="0.2">
      <c r="DO9806" s="303" t="s">
        <v>232</v>
      </c>
    </row>
    <row r="9807" spans="119:119" x14ac:dyDescent="0.2">
      <c r="DO9807" s="303" t="s">
        <v>232</v>
      </c>
    </row>
    <row r="9808" spans="119:119" x14ac:dyDescent="0.2">
      <c r="DO9808" s="303" t="s">
        <v>232</v>
      </c>
    </row>
    <row r="9809" spans="119:119" x14ac:dyDescent="0.2">
      <c r="DO9809" s="303" t="s">
        <v>232</v>
      </c>
    </row>
    <row r="9810" spans="119:119" x14ac:dyDescent="0.2">
      <c r="DO9810" s="303" t="s">
        <v>232</v>
      </c>
    </row>
    <row r="9811" spans="119:119" x14ac:dyDescent="0.2">
      <c r="DO9811" s="303" t="s">
        <v>232</v>
      </c>
    </row>
    <row r="9812" spans="119:119" x14ac:dyDescent="0.2">
      <c r="DO9812" s="303" t="s">
        <v>232</v>
      </c>
    </row>
    <row r="9813" spans="119:119" x14ac:dyDescent="0.2">
      <c r="DO9813" s="303" t="s">
        <v>232</v>
      </c>
    </row>
    <row r="9814" spans="119:119" x14ac:dyDescent="0.2">
      <c r="DO9814" s="303" t="s">
        <v>232</v>
      </c>
    </row>
    <row r="9815" spans="119:119" x14ac:dyDescent="0.2">
      <c r="DO9815" s="303" t="s">
        <v>232</v>
      </c>
    </row>
    <row r="9816" spans="119:119" x14ac:dyDescent="0.2">
      <c r="DO9816" s="303" t="s">
        <v>232</v>
      </c>
    </row>
    <row r="9817" spans="119:119" x14ac:dyDescent="0.2">
      <c r="DO9817" s="303" t="s">
        <v>232</v>
      </c>
    </row>
    <row r="9818" spans="119:119" x14ac:dyDescent="0.2">
      <c r="DO9818" s="303" t="s">
        <v>232</v>
      </c>
    </row>
    <row r="9819" spans="119:119" x14ac:dyDescent="0.2">
      <c r="DO9819" s="303" t="s">
        <v>232</v>
      </c>
    </row>
    <row r="9820" spans="119:119" x14ac:dyDescent="0.2">
      <c r="DO9820" s="303" t="s">
        <v>232</v>
      </c>
    </row>
    <row r="9821" spans="119:119" x14ac:dyDescent="0.2">
      <c r="DO9821" s="303" t="s">
        <v>232</v>
      </c>
    </row>
    <row r="9822" spans="119:119" x14ac:dyDescent="0.2">
      <c r="DO9822" s="303" t="s">
        <v>232</v>
      </c>
    </row>
    <row r="9823" spans="119:119" x14ac:dyDescent="0.2">
      <c r="DO9823" s="303" t="s">
        <v>232</v>
      </c>
    </row>
    <row r="9824" spans="119:119" x14ac:dyDescent="0.2">
      <c r="DO9824" s="303" t="s">
        <v>232</v>
      </c>
    </row>
    <row r="9825" spans="119:119" x14ac:dyDescent="0.2">
      <c r="DO9825" s="303" t="s">
        <v>232</v>
      </c>
    </row>
    <row r="9826" spans="119:119" x14ac:dyDescent="0.2">
      <c r="DO9826" s="303" t="s">
        <v>232</v>
      </c>
    </row>
    <row r="9827" spans="119:119" x14ac:dyDescent="0.2">
      <c r="DO9827" s="303" t="s">
        <v>232</v>
      </c>
    </row>
    <row r="9828" spans="119:119" x14ac:dyDescent="0.2">
      <c r="DO9828" s="303" t="s">
        <v>232</v>
      </c>
    </row>
    <row r="9829" spans="119:119" x14ac:dyDescent="0.2">
      <c r="DO9829" s="303" t="s">
        <v>232</v>
      </c>
    </row>
    <row r="9830" spans="119:119" x14ac:dyDescent="0.2">
      <c r="DO9830" s="303" t="s">
        <v>232</v>
      </c>
    </row>
    <row r="9831" spans="119:119" x14ac:dyDescent="0.2">
      <c r="DO9831" s="303" t="s">
        <v>232</v>
      </c>
    </row>
    <row r="9832" spans="119:119" x14ac:dyDescent="0.2">
      <c r="DO9832" s="303" t="s">
        <v>232</v>
      </c>
    </row>
    <row r="9833" spans="119:119" x14ac:dyDescent="0.2">
      <c r="DO9833" s="303" t="s">
        <v>232</v>
      </c>
    </row>
    <row r="9834" spans="119:119" x14ac:dyDescent="0.2">
      <c r="DO9834" s="303" t="s">
        <v>232</v>
      </c>
    </row>
    <row r="9835" spans="119:119" x14ac:dyDescent="0.2">
      <c r="DO9835" s="303" t="s">
        <v>232</v>
      </c>
    </row>
    <row r="9836" spans="119:119" x14ac:dyDescent="0.2">
      <c r="DO9836" s="303" t="s">
        <v>232</v>
      </c>
    </row>
    <row r="9837" spans="119:119" x14ac:dyDescent="0.2">
      <c r="DO9837" s="303" t="s">
        <v>232</v>
      </c>
    </row>
    <row r="9838" spans="119:119" x14ac:dyDescent="0.2">
      <c r="DO9838" s="303" t="s">
        <v>232</v>
      </c>
    </row>
    <row r="9839" spans="119:119" x14ac:dyDescent="0.2">
      <c r="DO9839" s="303" t="s">
        <v>232</v>
      </c>
    </row>
    <row r="9840" spans="119:119" x14ac:dyDescent="0.2">
      <c r="DO9840" s="303" t="s">
        <v>232</v>
      </c>
    </row>
    <row r="9841" spans="119:119" x14ac:dyDescent="0.2">
      <c r="DO9841" s="303" t="s">
        <v>232</v>
      </c>
    </row>
    <row r="9842" spans="119:119" x14ac:dyDescent="0.2">
      <c r="DO9842" s="303" t="s">
        <v>232</v>
      </c>
    </row>
    <row r="9843" spans="119:119" x14ac:dyDescent="0.2">
      <c r="DO9843" s="303" t="s">
        <v>232</v>
      </c>
    </row>
    <row r="9844" spans="119:119" x14ac:dyDescent="0.2">
      <c r="DO9844" s="303" t="s">
        <v>232</v>
      </c>
    </row>
    <row r="9845" spans="119:119" x14ac:dyDescent="0.2">
      <c r="DO9845" s="303" t="s">
        <v>232</v>
      </c>
    </row>
    <row r="9846" spans="119:119" x14ac:dyDescent="0.2">
      <c r="DO9846" s="303" t="s">
        <v>232</v>
      </c>
    </row>
    <row r="9847" spans="119:119" x14ac:dyDescent="0.2">
      <c r="DO9847" s="303" t="s">
        <v>232</v>
      </c>
    </row>
    <row r="9848" spans="119:119" x14ac:dyDescent="0.2">
      <c r="DO9848" s="303" t="s">
        <v>232</v>
      </c>
    </row>
    <row r="9849" spans="119:119" x14ac:dyDescent="0.2">
      <c r="DO9849" s="303" t="s">
        <v>232</v>
      </c>
    </row>
    <row r="9850" spans="119:119" x14ac:dyDescent="0.2">
      <c r="DO9850" s="303" t="s">
        <v>232</v>
      </c>
    </row>
    <row r="9851" spans="119:119" x14ac:dyDescent="0.2">
      <c r="DO9851" s="303" t="s">
        <v>232</v>
      </c>
    </row>
    <row r="9852" spans="119:119" x14ac:dyDescent="0.2">
      <c r="DO9852" s="303" t="s">
        <v>232</v>
      </c>
    </row>
    <row r="9853" spans="119:119" x14ac:dyDescent="0.2">
      <c r="DO9853" s="303" t="s">
        <v>232</v>
      </c>
    </row>
    <row r="9854" spans="119:119" x14ac:dyDescent="0.2">
      <c r="DO9854" s="303" t="s">
        <v>232</v>
      </c>
    </row>
    <row r="9855" spans="119:119" x14ac:dyDescent="0.2">
      <c r="DO9855" s="303" t="s">
        <v>232</v>
      </c>
    </row>
    <row r="9856" spans="119:119" x14ac:dyDescent="0.2">
      <c r="DO9856" s="303" t="s">
        <v>232</v>
      </c>
    </row>
    <row r="9857" spans="119:119" x14ac:dyDescent="0.2">
      <c r="DO9857" s="303" t="s">
        <v>232</v>
      </c>
    </row>
    <row r="9858" spans="119:119" x14ac:dyDescent="0.2">
      <c r="DO9858" s="303" t="s">
        <v>232</v>
      </c>
    </row>
    <row r="9859" spans="119:119" x14ac:dyDescent="0.2">
      <c r="DO9859" s="303" t="s">
        <v>232</v>
      </c>
    </row>
    <row r="9860" spans="119:119" x14ac:dyDescent="0.2">
      <c r="DO9860" s="303" t="s">
        <v>232</v>
      </c>
    </row>
    <row r="9861" spans="119:119" x14ac:dyDescent="0.2">
      <c r="DO9861" s="303" t="s">
        <v>232</v>
      </c>
    </row>
    <row r="9862" spans="119:119" x14ac:dyDescent="0.2">
      <c r="DO9862" s="303" t="s">
        <v>232</v>
      </c>
    </row>
    <row r="9863" spans="119:119" x14ac:dyDescent="0.2">
      <c r="DO9863" s="303" t="s">
        <v>232</v>
      </c>
    </row>
    <row r="9864" spans="119:119" x14ac:dyDescent="0.2">
      <c r="DO9864" s="303" t="s">
        <v>232</v>
      </c>
    </row>
    <row r="9865" spans="119:119" x14ac:dyDescent="0.2">
      <c r="DO9865" s="303" t="s">
        <v>232</v>
      </c>
    </row>
    <row r="9866" spans="119:119" x14ac:dyDescent="0.2">
      <c r="DO9866" s="303" t="s">
        <v>232</v>
      </c>
    </row>
    <row r="9867" spans="119:119" x14ac:dyDescent="0.2">
      <c r="DO9867" s="303" t="s">
        <v>232</v>
      </c>
    </row>
    <row r="9868" spans="119:119" x14ac:dyDescent="0.2">
      <c r="DO9868" s="303" t="s">
        <v>232</v>
      </c>
    </row>
    <row r="9869" spans="119:119" x14ac:dyDescent="0.2">
      <c r="DO9869" s="303" t="s">
        <v>232</v>
      </c>
    </row>
    <row r="9870" spans="119:119" x14ac:dyDescent="0.2">
      <c r="DO9870" s="303" t="s">
        <v>232</v>
      </c>
    </row>
    <row r="9871" spans="119:119" x14ac:dyDescent="0.2">
      <c r="DO9871" s="303" t="s">
        <v>232</v>
      </c>
    </row>
    <row r="9872" spans="119:119" x14ac:dyDescent="0.2">
      <c r="DO9872" s="303" t="s">
        <v>232</v>
      </c>
    </row>
    <row r="9873" spans="119:119" x14ac:dyDescent="0.2">
      <c r="DO9873" s="303" t="s">
        <v>232</v>
      </c>
    </row>
    <row r="9874" spans="119:119" x14ac:dyDescent="0.2">
      <c r="DO9874" s="303" t="s">
        <v>232</v>
      </c>
    </row>
    <row r="9875" spans="119:119" x14ac:dyDescent="0.2">
      <c r="DO9875" s="303" t="s">
        <v>232</v>
      </c>
    </row>
    <row r="9876" spans="119:119" x14ac:dyDescent="0.2">
      <c r="DO9876" s="303" t="s">
        <v>232</v>
      </c>
    </row>
    <row r="9877" spans="119:119" x14ac:dyDescent="0.2">
      <c r="DO9877" s="303" t="s">
        <v>232</v>
      </c>
    </row>
    <row r="9878" spans="119:119" x14ac:dyDescent="0.2">
      <c r="DO9878" s="303" t="s">
        <v>232</v>
      </c>
    </row>
    <row r="9879" spans="119:119" x14ac:dyDescent="0.2">
      <c r="DO9879" s="303" t="s">
        <v>232</v>
      </c>
    </row>
    <row r="9880" spans="119:119" x14ac:dyDescent="0.2">
      <c r="DO9880" s="303" t="s">
        <v>232</v>
      </c>
    </row>
    <row r="9881" spans="119:119" x14ac:dyDescent="0.2">
      <c r="DO9881" s="303" t="s">
        <v>232</v>
      </c>
    </row>
    <row r="9882" spans="119:119" x14ac:dyDescent="0.2">
      <c r="DO9882" s="303" t="s">
        <v>232</v>
      </c>
    </row>
    <row r="9883" spans="119:119" x14ac:dyDescent="0.2">
      <c r="DO9883" s="303" t="s">
        <v>232</v>
      </c>
    </row>
    <row r="9884" spans="119:119" x14ac:dyDescent="0.2">
      <c r="DO9884" s="303" t="s">
        <v>232</v>
      </c>
    </row>
    <row r="9885" spans="119:119" x14ac:dyDescent="0.2">
      <c r="DO9885" s="303" t="s">
        <v>232</v>
      </c>
    </row>
    <row r="9886" spans="119:119" x14ac:dyDescent="0.2">
      <c r="DO9886" s="303" t="s">
        <v>232</v>
      </c>
    </row>
    <row r="9887" spans="119:119" x14ac:dyDescent="0.2">
      <c r="DO9887" s="303" t="s">
        <v>232</v>
      </c>
    </row>
    <row r="9888" spans="119:119" x14ac:dyDescent="0.2">
      <c r="DO9888" s="303" t="s">
        <v>232</v>
      </c>
    </row>
    <row r="9889" spans="119:119" x14ac:dyDescent="0.2">
      <c r="DO9889" s="303" t="s">
        <v>232</v>
      </c>
    </row>
    <row r="9890" spans="119:119" x14ac:dyDescent="0.2">
      <c r="DO9890" s="303" t="s">
        <v>232</v>
      </c>
    </row>
    <row r="9891" spans="119:119" x14ac:dyDescent="0.2">
      <c r="DO9891" s="303" t="s">
        <v>232</v>
      </c>
    </row>
    <row r="9892" spans="119:119" x14ac:dyDescent="0.2">
      <c r="DO9892" s="303" t="s">
        <v>232</v>
      </c>
    </row>
    <row r="9893" spans="119:119" x14ac:dyDescent="0.2">
      <c r="DO9893" s="303" t="s">
        <v>232</v>
      </c>
    </row>
    <row r="9894" spans="119:119" x14ac:dyDescent="0.2">
      <c r="DO9894" s="303" t="s">
        <v>232</v>
      </c>
    </row>
    <row r="9895" spans="119:119" x14ac:dyDescent="0.2">
      <c r="DO9895" s="303" t="s">
        <v>232</v>
      </c>
    </row>
    <row r="9896" spans="119:119" x14ac:dyDescent="0.2">
      <c r="DO9896" s="303" t="s">
        <v>232</v>
      </c>
    </row>
    <row r="9897" spans="119:119" x14ac:dyDescent="0.2">
      <c r="DO9897" s="303" t="s">
        <v>232</v>
      </c>
    </row>
    <row r="9898" spans="119:119" x14ac:dyDescent="0.2">
      <c r="DO9898" s="303" t="s">
        <v>232</v>
      </c>
    </row>
    <row r="9899" spans="119:119" x14ac:dyDescent="0.2">
      <c r="DO9899" s="303" t="s">
        <v>232</v>
      </c>
    </row>
    <row r="9900" spans="119:119" x14ac:dyDescent="0.2">
      <c r="DO9900" s="303" t="s">
        <v>232</v>
      </c>
    </row>
    <row r="9901" spans="119:119" x14ac:dyDescent="0.2">
      <c r="DO9901" s="303" t="s">
        <v>232</v>
      </c>
    </row>
    <row r="9902" spans="119:119" x14ac:dyDescent="0.2">
      <c r="DO9902" s="303" t="s">
        <v>232</v>
      </c>
    </row>
    <row r="9903" spans="119:119" x14ac:dyDescent="0.2">
      <c r="DO9903" s="303" t="s">
        <v>232</v>
      </c>
    </row>
    <row r="9904" spans="119:119" x14ac:dyDescent="0.2">
      <c r="DO9904" s="303" t="s">
        <v>232</v>
      </c>
    </row>
    <row r="9905" spans="119:119" x14ac:dyDescent="0.2">
      <c r="DO9905" s="303" t="s">
        <v>232</v>
      </c>
    </row>
    <row r="9906" spans="119:119" x14ac:dyDescent="0.2">
      <c r="DO9906" s="303" t="s">
        <v>232</v>
      </c>
    </row>
    <row r="9907" spans="119:119" x14ac:dyDescent="0.2">
      <c r="DO9907" s="303" t="s">
        <v>232</v>
      </c>
    </row>
    <row r="9908" spans="119:119" x14ac:dyDescent="0.2">
      <c r="DO9908" s="303" t="s">
        <v>232</v>
      </c>
    </row>
    <row r="9909" spans="119:119" x14ac:dyDescent="0.2">
      <c r="DO9909" s="303" t="s">
        <v>232</v>
      </c>
    </row>
    <row r="9910" spans="119:119" x14ac:dyDescent="0.2">
      <c r="DO9910" s="303" t="s">
        <v>232</v>
      </c>
    </row>
    <row r="9911" spans="119:119" x14ac:dyDescent="0.2">
      <c r="DO9911" s="303" t="s">
        <v>232</v>
      </c>
    </row>
    <row r="9912" spans="119:119" x14ac:dyDescent="0.2">
      <c r="DO9912" s="303" t="s">
        <v>232</v>
      </c>
    </row>
    <row r="9913" spans="119:119" x14ac:dyDescent="0.2">
      <c r="DO9913" s="303" t="s">
        <v>232</v>
      </c>
    </row>
    <row r="9914" spans="119:119" x14ac:dyDescent="0.2">
      <c r="DO9914" s="303" t="s">
        <v>232</v>
      </c>
    </row>
    <row r="9915" spans="119:119" x14ac:dyDescent="0.2">
      <c r="DO9915" s="303" t="s">
        <v>232</v>
      </c>
    </row>
    <row r="9916" spans="119:119" x14ac:dyDescent="0.2">
      <c r="DO9916" s="303" t="s">
        <v>232</v>
      </c>
    </row>
    <row r="9917" spans="119:119" x14ac:dyDescent="0.2">
      <c r="DO9917" s="303" t="s">
        <v>232</v>
      </c>
    </row>
    <row r="9918" spans="119:119" x14ac:dyDescent="0.2">
      <c r="DO9918" s="303" t="s">
        <v>232</v>
      </c>
    </row>
    <row r="9919" spans="119:119" x14ac:dyDescent="0.2">
      <c r="DO9919" s="303" t="s">
        <v>232</v>
      </c>
    </row>
    <row r="9920" spans="119:119" x14ac:dyDescent="0.2">
      <c r="DO9920" s="303" t="s">
        <v>232</v>
      </c>
    </row>
    <row r="9921" spans="119:119" x14ac:dyDescent="0.2">
      <c r="DO9921" s="303" t="s">
        <v>232</v>
      </c>
    </row>
    <row r="9922" spans="119:119" x14ac:dyDescent="0.2">
      <c r="DO9922" s="303" t="s">
        <v>232</v>
      </c>
    </row>
    <row r="9923" spans="119:119" x14ac:dyDescent="0.2">
      <c r="DO9923" s="303" t="s">
        <v>232</v>
      </c>
    </row>
    <row r="9924" spans="119:119" x14ac:dyDescent="0.2">
      <c r="DO9924" s="303" t="s">
        <v>232</v>
      </c>
    </row>
    <row r="9925" spans="119:119" x14ac:dyDescent="0.2">
      <c r="DO9925" s="303" t="s">
        <v>232</v>
      </c>
    </row>
    <row r="9926" spans="119:119" x14ac:dyDescent="0.2">
      <c r="DO9926" s="303" t="s">
        <v>232</v>
      </c>
    </row>
    <row r="9927" spans="119:119" x14ac:dyDescent="0.2">
      <c r="DO9927" s="303" t="s">
        <v>232</v>
      </c>
    </row>
    <row r="9928" spans="119:119" x14ac:dyDescent="0.2">
      <c r="DO9928" s="303" t="s">
        <v>232</v>
      </c>
    </row>
    <row r="9929" spans="119:119" x14ac:dyDescent="0.2">
      <c r="DO9929" s="303" t="s">
        <v>232</v>
      </c>
    </row>
    <row r="9930" spans="119:119" x14ac:dyDescent="0.2">
      <c r="DO9930" s="303" t="s">
        <v>232</v>
      </c>
    </row>
    <row r="9931" spans="119:119" x14ac:dyDescent="0.2">
      <c r="DO9931" s="303" t="s">
        <v>232</v>
      </c>
    </row>
    <row r="9932" spans="119:119" x14ac:dyDescent="0.2">
      <c r="DO9932" s="303" t="s">
        <v>232</v>
      </c>
    </row>
    <row r="9933" spans="119:119" x14ac:dyDescent="0.2">
      <c r="DO9933" s="303" t="s">
        <v>232</v>
      </c>
    </row>
    <row r="9934" spans="119:119" x14ac:dyDescent="0.2">
      <c r="DO9934" s="303" t="s">
        <v>232</v>
      </c>
    </row>
    <row r="9935" spans="119:119" x14ac:dyDescent="0.2">
      <c r="DO9935" s="303" t="s">
        <v>232</v>
      </c>
    </row>
    <row r="9936" spans="119:119" x14ac:dyDescent="0.2">
      <c r="DO9936" s="303" t="s">
        <v>232</v>
      </c>
    </row>
    <row r="9937" spans="119:119" x14ac:dyDescent="0.2">
      <c r="DO9937" s="303" t="s">
        <v>232</v>
      </c>
    </row>
    <row r="9938" spans="119:119" x14ac:dyDescent="0.2">
      <c r="DO9938" s="303" t="s">
        <v>232</v>
      </c>
    </row>
    <row r="9939" spans="119:119" x14ac:dyDescent="0.2">
      <c r="DO9939" s="303" t="s">
        <v>232</v>
      </c>
    </row>
    <row r="9940" spans="119:119" x14ac:dyDescent="0.2">
      <c r="DO9940" s="303" t="s">
        <v>232</v>
      </c>
    </row>
    <row r="9941" spans="119:119" x14ac:dyDescent="0.2">
      <c r="DO9941" s="303" t="s">
        <v>232</v>
      </c>
    </row>
    <row r="9942" spans="119:119" x14ac:dyDescent="0.2">
      <c r="DO9942" s="303" t="s">
        <v>232</v>
      </c>
    </row>
    <row r="9943" spans="119:119" x14ac:dyDescent="0.2">
      <c r="DO9943" s="303" t="s">
        <v>232</v>
      </c>
    </row>
    <row r="9944" spans="119:119" x14ac:dyDescent="0.2">
      <c r="DO9944" s="303" t="s">
        <v>232</v>
      </c>
    </row>
    <row r="9945" spans="119:119" x14ac:dyDescent="0.2">
      <c r="DO9945" s="303" t="s">
        <v>232</v>
      </c>
    </row>
    <row r="9946" spans="119:119" x14ac:dyDescent="0.2">
      <c r="DO9946" s="303" t="s">
        <v>232</v>
      </c>
    </row>
    <row r="9947" spans="119:119" x14ac:dyDescent="0.2">
      <c r="DO9947" s="303" t="s">
        <v>232</v>
      </c>
    </row>
    <row r="9948" spans="119:119" x14ac:dyDescent="0.2">
      <c r="DO9948" s="303" t="s">
        <v>232</v>
      </c>
    </row>
    <row r="9949" spans="119:119" x14ac:dyDescent="0.2">
      <c r="DO9949" s="303" t="s">
        <v>232</v>
      </c>
    </row>
    <row r="9950" spans="119:119" x14ac:dyDescent="0.2">
      <c r="DO9950" s="303" t="s">
        <v>232</v>
      </c>
    </row>
    <row r="9951" spans="119:119" x14ac:dyDescent="0.2">
      <c r="DO9951" s="303" t="s">
        <v>232</v>
      </c>
    </row>
    <row r="9952" spans="119:119" x14ac:dyDescent="0.2">
      <c r="DO9952" s="303" t="s">
        <v>232</v>
      </c>
    </row>
    <row r="9953" spans="119:119" x14ac:dyDescent="0.2">
      <c r="DO9953" s="303" t="s">
        <v>232</v>
      </c>
    </row>
    <row r="9954" spans="119:119" x14ac:dyDescent="0.2">
      <c r="DO9954" s="303" t="s">
        <v>232</v>
      </c>
    </row>
    <row r="9955" spans="119:119" x14ac:dyDescent="0.2">
      <c r="DO9955" s="303" t="s">
        <v>232</v>
      </c>
    </row>
    <row r="9956" spans="119:119" x14ac:dyDescent="0.2">
      <c r="DO9956" s="303" t="s">
        <v>232</v>
      </c>
    </row>
    <row r="9957" spans="119:119" x14ac:dyDescent="0.2">
      <c r="DO9957" s="303" t="s">
        <v>232</v>
      </c>
    </row>
    <row r="9958" spans="119:119" x14ac:dyDescent="0.2">
      <c r="DO9958" s="303" t="s">
        <v>232</v>
      </c>
    </row>
    <row r="9959" spans="119:119" x14ac:dyDescent="0.2">
      <c r="DO9959" s="303" t="s">
        <v>232</v>
      </c>
    </row>
    <row r="9960" spans="119:119" x14ac:dyDescent="0.2">
      <c r="DO9960" s="303" t="s">
        <v>232</v>
      </c>
    </row>
    <row r="9961" spans="119:119" x14ac:dyDescent="0.2">
      <c r="DO9961" s="303" t="s">
        <v>232</v>
      </c>
    </row>
    <row r="9962" spans="119:119" x14ac:dyDescent="0.2">
      <c r="DO9962" s="303" t="s">
        <v>232</v>
      </c>
    </row>
    <row r="9963" spans="119:119" x14ac:dyDescent="0.2">
      <c r="DO9963" s="303" t="s">
        <v>232</v>
      </c>
    </row>
    <row r="9964" spans="119:119" x14ac:dyDescent="0.2">
      <c r="DO9964" s="303" t="s">
        <v>232</v>
      </c>
    </row>
    <row r="9965" spans="119:119" x14ac:dyDescent="0.2">
      <c r="DO9965" s="303" t="s">
        <v>232</v>
      </c>
    </row>
    <row r="9966" spans="119:119" x14ac:dyDescent="0.2">
      <c r="DO9966" s="303" t="s">
        <v>232</v>
      </c>
    </row>
    <row r="9967" spans="119:119" x14ac:dyDescent="0.2">
      <c r="DO9967" s="303" t="s">
        <v>232</v>
      </c>
    </row>
    <row r="9968" spans="119:119" x14ac:dyDescent="0.2">
      <c r="DO9968" s="303" t="s">
        <v>232</v>
      </c>
    </row>
    <row r="9969" spans="119:119" x14ac:dyDescent="0.2">
      <c r="DO9969" s="303" t="s">
        <v>232</v>
      </c>
    </row>
    <row r="9970" spans="119:119" x14ac:dyDescent="0.2">
      <c r="DO9970" s="303" t="s">
        <v>232</v>
      </c>
    </row>
    <row r="9971" spans="119:119" x14ac:dyDescent="0.2">
      <c r="DO9971" s="303" t="s">
        <v>232</v>
      </c>
    </row>
    <row r="9972" spans="119:119" x14ac:dyDescent="0.2">
      <c r="DO9972" s="303" t="s">
        <v>232</v>
      </c>
    </row>
    <row r="9973" spans="119:119" x14ac:dyDescent="0.2">
      <c r="DO9973" s="303" t="s">
        <v>232</v>
      </c>
    </row>
    <row r="9974" spans="119:119" x14ac:dyDescent="0.2">
      <c r="DO9974" s="303" t="s">
        <v>232</v>
      </c>
    </row>
    <row r="9975" spans="119:119" x14ac:dyDescent="0.2">
      <c r="DO9975" s="303" t="s">
        <v>232</v>
      </c>
    </row>
    <row r="9976" spans="119:119" x14ac:dyDescent="0.2">
      <c r="DO9976" s="303" t="s">
        <v>232</v>
      </c>
    </row>
    <row r="9977" spans="119:119" x14ac:dyDescent="0.2">
      <c r="DO9977" s="303" t="s">
        <v>232</v>
      </c>
    </row>
    <row r="9978" spans="119:119" x14ac:dyDescent="0.2">
      <c r="DO9978" s="303" t="s">
        <v>232</v>
      </c>
    </row>
    <row r="9979" spans="119:119" x14ac:dyDescent="0.2">
      <c r="DO9979" s="303" t="s">
        <v>232</v>
      </c>
    </row>
    <row r="9980" spans="119:119" x14ac:dyDescent="0.2">
      <c r="DO9980" s="303" t="s">
        <v>232</v>
      </c>
    </row>
    <row r="9981" spans="119:119" x14ac:dyDescent="0.2">
      <c r="DO9981" s="303" t="s">
        <v>232</v>
      </c>
    </row>
    <row r="9982" spans="119:119" x14ac:dyDescent="0.2">
      <c r="DO9982" s="303" t="s">
        <v>232</v>
      </c>
    </row>
    <row r="9983" spans="119:119" x14ac:dyDescent="0.2">
      <c r="DO9983" s="303" t="s">
        <v>232</v>
      </c>
    </row>
    <row r="9984" spans="119:119" x14ac:dyDescent="0.2">
      <c r="DO9984" s="303" t="s">
        <v>232</v>
      </c>
    </row>
    <row r="9985" spans="119:119" x14ac:dyDescent="0.2">
      <c r="DO9985" s="303" t="s">
        <v>232</v>
      </c>
    </row>
    <row r="9986" spans="119:119" x14ac:dyDescent="0.2">
      <c r="DO9986" s="303" t="s">
        <v>232</v>
      </c>
    </row>
    <row r="9987" spans="119:119" x14ac:dyDescent="0.2">
      <c r="DO9987" s="303" t="s">
        <v>232</v>
      </c>
    </row>
    <row r="9988" spans="119:119" x14ac:dyDescent="0.2">
      <c r="DO9988" s="303" t="s">
        <v>232</v>
      </c>
    </row>
    <row r="9989" spans="119:119" x14ac:dyDescent="0.2">
      <c r="DO9989" s="303" t="s">
        <v>232</v>
      </c>
    </row>
    <row r="9990" spans="119:119" x14ac:dyDescent="0.2">
      <c r="DO9990" s="303" t="s">
        <v>232</v>
      </c>
    </row>
    <row r="9991" spans="119:119" x14ac:dyDescent="0.2">
      <c r="DO9991" s="303" t="s">
        <v>232</v>
      </c>
    </row>
    <row r="9992" spans="119:119" x14ac:dyDescent="0.2">
      <c r="DO9992" s="303" t="s">
        <v>232</v>
      </c>
    </row>
    <row r="9993" spans="119:119" x14ac:dyDescent="0.2">
      <c r="DO9993" s="303" t="s">
        <v>232</v>
      </c>
    </row>
    <row r="9994" spans="119:119" x14ac:dyDescent="0.2">
      <c r="DO9994" s="303" t="s">
        <v>232</v>
      </c>
    </row>
    <row r="9995" spans="119:119" x14ac:dyDescent="0.2">
      <c r="DO9995" s="303" t="s">
        <v>232</v>
      </c>
    </row>
    <row r="9996" spans="119:119" x14ac:dyDescent="0.2">
      <c r="DO9996" s="303" t="s">
        <v>232</v>
      </c>
    </row>
    <row r="9997" spans="119:119" x14ac:dyDescent="0.2">
      <c r="DO9997" s="303" t="s">
        <v>232</v>
      </c>
    </row>
    <row r="9998" spans="119:119" x14ac:dyDescent="0.2">
      <c r="DO9998" s="303" t="s">
        <v>232</v>
      </c>
    </row>
    <row r="9999" spans="119:119" x14ac:dyDescent="0.2">
      <c r="DO9999" s="303" t="s">
        <v>232</v>
      </c>
    </row>
    <row r="10000" spans="119:119" x14ac:dyDescent="0.2">
      <c r="DO10000" s="303" t="s">
        <v>232</v>
      </c>
    </row>
    <row r="10001" spans="119:119" x14ac:dyDescent="0.2">
      <c r="DO10001" s="303" t="s">
        <v>232</v>
      </c>
    </row>
    <row r="10002" spans="119:119" x14ac:dyDescent="0.2">
      <c r="DO10002" s="303" t="s">
        <v>232</v>
      </c>
    </row>
    <row r="10003" spans="119:119" x14ac:dyDescent="0.2">
      <c r="DO10003" s="303" t="s">
        <v>232</v>
      </c>
    </row>
    <row r="10004" spans="119:119" x14ac:dyDescent="0.2">
      <c r="DO10004" s="303" t="s">
        <v>232</v>
      </c>
    </row>
    <row r="10005" spans="119:119" x14ac:dyDescent="0.2">
      <c r="DO10005" s="303" t="s">
        <v>232</v>
      </c>
    </row>
    <row r="10006" spans="119:119" x14ac:dyDescent="0.2">
      <c r="DO10006" s="303" t="s">
        <v>232</v>
      </c>
    </row>
    <row r="10007" spans="119:119" x14ac:dyDescent="0.2">
      <c r="DO10007" s="303" t="s">
        <v>232</v>
      </c>
    </row>
    <row r="10008" spans="119:119" x14ac:dyDescent="0.2">
      <c r="DO10008" s="303" t="s">
        <v>232</v>
      </c>
    </row>
    <row r="10009" spans="119:119" x14ac:dyDescent="0.2">
      <c r="DO10009" s="303" t="s">
        <v>232</v>
      </c>
    </row>
    <row r="10010" spans="119:119" x14ac:dyDescent="0.2">
      <c r="DO10010" s="303" t="s">
        <v>232</v>
      </c>
    </row>
    <row r="10011" spans="119:119" x14ac:dyDescent="0.2">
      <c r="DO10011" s="303" t="s">
        <v>232</v>
      </c>
    </row>
    <row r="10012" spans="119:119" x14ac:dyDescent="0.2">
      <c r="DO10012" s="303" t="s">
        <v>232</v>
      </c>
    </row>
    <row r="10013" spans="119:119" x14ac:dyDescent="0.2">
      <c r="DO10013" s="303" t="s">
        <v>232</v>
      </c>
    </row>
    <row r="10014" spans="119:119" x14ac:dyDescent="0.2">
      <c r="DO10014" s="303" t="s">
        <v>232</v>
      </c>
    </row>
    <row r="10015" spans="119:119" x14ac:dyDescent="0.2">
      <c r="DO10015" s="303" t="s">
        <v>232</v>
      </c>
    </row>
    <row r="10016" spans="119:119" x14ac:dyDescent="0.2">
      <c r="DO10016" s="303" t="s">
        <v>232</v>
      </c>
    </row>
    <row r="10017" spans="119:119" x14ac:dyDescent="0.2">
      <c r="DO10017" s="303" t="s">
        <v>232</v>
      </c>
    </row>
    <row r="10018" spans="119:119" x14ac:dyDescent="0.2">
      <c r="DO10018" s="303" t="s">
        <v>232</v>
      </c>
    </row>
    <row r="10019" spans="119:119" x14ac:dyDescent="0.2">
      <c r="DO10019" s="303" t="s">
        <v>232</v>
      </c>
    </row>
    <row r="10020" spans="119:119" x14ac:dyDescent="0.2">
      <c r="DO10020" s="303" t="s">
        <v>232</v>
      </c>
    </row>
    <row r="10021" spans="119:119" x14ac:dyDescent="0.2">
      <c r="DO10021" s="303" t="s">
        <v>232</v>
      </c>
    </row>
    <row r="10022" spans="119:119" x14ac:dyDescent="0.2">
      <c r="DO10022" s="303" t="s">
        <v>232</v>
      </c>
    </row>
    <row r="10023" spans="119:119" x14ac:dyDescent="0.2">
      <c r="DO10023" s="303" t="s">
        <v>232</v>
      </c>
    </row>
    <row r="10024" spans="119:119" x14ac:dyDescent="0.2">
      <c r="DO10024" s="303" t="s">
        <v>232</v>
      </c>
    </row>
    <row r="10025" spans="119:119" x14ac:dyDescent="0.2">
      <c r="DO10025" s="303" t="s">
        <v>232</v>
      </c>
    </row>
    <row r="10026" spans="119:119" x14ac:dyDescent="0.2">
      <c r="DO10026" s="303" t="s">
        <v>232</v>
      </c>
    </row>
    <row r="10027" spans="119:119" x14ac:dyDescent="0.2">
      <c r="DO10027" s="303" t="s">
        <v>232</v>
      </c>
    </row>
    <row r="10028" spans="119:119" x14ac:dyDescent="0.2">
      <c r="DO10028" s="303" t="s">
        <v>232</v>
      </c>
    </row>
    <row r="10029" spans="119:119" x14ac:dyDescent="0.2">
      <c r="DO10029" s="303" t="s">
        <v>232</v>
      </c>
    </row>
    <row r="10030" spans="119:119" x14ac:dyDescent="0.2">
      <c r="DO10030" s="303" t="s">
        <v>232</v>
      </c>
    </row>
    <row r="10031" spans="119:119" x14ac:dyDescent="0.2">
      <c r="DO10031" s="303" t="s">
        <v>232</v>
      </c>
    </row>
    <row r="10032" spans="119:119" x14ac:dyDescent="0.2">
      <c r="DO10032" s="303" t="s">
        <v>232</v>
      </c>
    </row>
    <row r="10033" spans="119:119" x14ac:dyDescent="0.2">
      <c r="DO10033" s="303" t="s">
        <v>232</v>
      </c>
    </row>
    <row r="10034" spans="119:119" x14ac:dyDescent="0.2">
      <c r="DO10034" s="303" t="s">
        <v>232</v>
      </c>
    </row>
    <row r="10035" spans="119:119" x14ac:dyDescent="0.2">
      <c r="DO10035" s="303" t="s">
        <v>232</v>
      </c>
    </row>
    <row r="10036" spans="119:119" x14ac:dyDescent="0.2">
      <c r="DO10036" s="303" t="s">
        <v>232</v>
      </c>
    </row>
    <row r="10037" spans="119:119" x14ac:dyDescent="0.2">
      <c r="DO10037" s="303" t="s">
        <v>232</v>
      </c>
    </row>
    <row r="10038" spans="119:119" x14ac:dyDescent="0.2">
      <c r="DO10038" s="303" t="s">
        <v>232</v>
      </c>
    </row>
    <row r="10039" spans="119:119" x14ac:dyDescent="0.2">
      <c r="DO10039" s="303" t="s">
        <v>232</v>
      </c>
    </row>
    <row r="10040" spans="119:119" x14ac:dyDescent="0.2">
      <c r="DO10040" s="303" t="s">
        <v>232</v>
      </c>
    </row>
    <row r="10041" spans="119:119" x14ac:dyDescent="0.2">
      <c r="DO10041" s="303" t="s">
        <v>232</v>
      </c>
    </row>
    <row r="10042" spans="119:119" x14ac:dyDescent="0.2">
      <c r="DO10042" s="303" t="s">
        <v>232</v>
      </c>
    </row>
    <row r="10043" spans="119:119" x14ac:dyDescent="0.2">
      <c r="DO10043" s="303" t="s">
        <v>232</v>
      </c>
    </row>
    <row r="10044" spans="119:119" x14ac:dyDescent="0.2">
      <c r="DO10044" s="303" t="s">
        <v>232</v>
      </c>
    </row>
    <row r="10045" spans="119:119" x14ac:dyDescent="0.2">
      <c r="DO10045" s="303" t="s">
        <v>232</v>
      </c>
    </row>
    <row r="10046" spans="119:119" x14ac:dyDescent="0.2">
      <c r="DO10046" s="303" t="s">
        <v>232</v>
      </c>
    </row>
    <row r="10047" spans="119:119" x14ac:dyDescent="0.2">
      <c r="DO10047" s="303" t="s">
        <v>232</v>
      </c>
    </row>
    <row r="10048" spans="119:119" x14ac:dyDescent="0.2">
      <c r="DO10048" s="303" t="s">
        <v>232</v>
      </c>
    </row>
    <row r="10049" spans="119:119" x14ac:dyDescent="0.2">
      <c r="DO10049" s="303" t="s">
        <v>232</v>
      </c>
    </row>
    <row r="10050" spans="119:119" x14ac:dyDescent="0.2">
      <c r="DO10050" s="303" t="s">
        <v>232</v>
      </c>
    </row>
    <row r="10051" spans="119:119" x14ac:dyDescent="0.2">
      <c r="DO10051" s="303" t="s">
        <v>232</v>
      </c>
    </row>
    <row r="10052" spans="119:119" x14ac:dyDescent="0.2">
      <c r="DO10052" s="303" t="s">
        <v>232</v>
      </c>
    </row>
    <row r="10053" spans="119:119" x14ac:dyDescent="0.2">
      <c r="DO10053" s="303" t="s">
        <v>232</v>
      </c>
    </row>
    <row r="10054" spans="119:119" x14ac:dyDescent="0.2">
      <c r="DO10054" s="303" t="s">
        <v>232</v>
      </c>
    </row>
    <row r="10055" spans="119:119" x14ac:dyDescent="0.2">
      <c r="DO10055" s="303" t="s">
        <v>232</v>
      </c>
    </row>
    <row r="10056" spans="119:119" x14ac:dyDescent="0.2">
      <c r="DO10056" s="303" t="s">
        <v>232</v>
      </c>
    </row>
    <row r="10057" spans="119:119" x14ac:dyDescent="0.2">
      <c r="DO10057" s="303" t="s">
        <v>232</v>
      </c>
    </row>
    <row r="10058" spans="119:119" x14ac:dyDescent="0.2">
      <c r="DO10058" s="303" t="s">
        <v>232</v>
      </c>
    </row>
    <row r="10059" spans="119:119" x14ac:dyDescent="0.2">
      <c r="DO10059" s="303" t="s">
        <v>232</v>
      </c>
    </row>
    <row r="10060" spans="119:119" x14ac:dyDescent="0.2">
      <c r="DO10060" s="303" t="s">
        <v>232</v>
      </c>
    </row>
    <row r="10061" spans="119:119" x14ac:dyDescent="0.2">
      <c r="DO10061" s="303" t="s">
        <v>232</v>
      </c>
    </row>
    <row r="10062" spans="119:119" x14ac:dyDescent="0.2">
      <c r="DO10062" s="303" t="s">
        <v>232</v>
      </c>
    </row>
    <row r="10063" spans="119:119" x14ac:dyDescent="0.2">
      <c r="DO10063" s="303" t="s">
        <v>232</v>
      </c>
    </row>
    <row r="10064" spans="119:119" x14ac:dyDescent="0.2">
      <c r="DO10064" s="303" t="s">
        <v>232</v>
      </c>
    </row>
    <row r="10065" spans="119:119" x14ac:dyDescent="0.2">
      <c r="DO10065" s="303" t="s">
        <v>232</v>
      </c>
    </row>
    <row r="10066" spans="119:119" x14ac:dyDescent="0.2">
      <c r="DO10066" s="303" t="s">
        <v>232</v>
      </c>
    </row>
    <row r="10067" spans="119:119" x14ac:dyDescent="0.2">
      <c r="DO10067" s="303" t="s">
        <v>232</v>
      </c>
    </row>
    <row r="10068" spans="119:119" x14ac:dyDescent="0.2">
      <c r="DO10068" s="303" t="s">
        <v>232</v>
      </c>
    </row>
    <row r="10069" spans="119:119" x14ac:dyDescent="0.2">
      <c r="DO10069" s="303" t="s">
        <v>232</v>
      </c>
    </row>
    <row r="10070" spans="119:119" x14ac:dyDescent="0.2">
      <c r="DO10070" s="303" t="s">
        <v>232</v>
      </c>
    </row>
    <row r="10071" spans="119:119" x14ac:dyDescent="0.2">
      <c r="DO10071" s="303" t="s">
        <v>232</v>
      </c>
    </row>
    <row r="10072" spans="119:119" x14ac:dyDescent="0.2">
      <c r="DO10072" s="303" t="s">
        <v>232</v>
      </c>
    </row>
    <row r="10073" spans="119:119" x14ac:dyDescent="0.2">
      <c r="DO10073" s="303" t="s">
        <v>232</v>
      </c>
    </row>
    <row r="10074" spans="119:119" x14ac:dyDescent="0.2">
      <c r="DO10074" s="303" t="s">
        <v>232</v>
      </c>
    </row>
    <row r="10075" spans="119:119" x14ac:dyDescent="0.2">
      <c r="DO10075" s="303" t="s">
        <v>232</v>
      </c>
    </row>
    <row r="10076" spans="119:119" x14ac:dyDescent="0.2">
      <c r="DO10076" s="303" t="s">
        <v>232</v>
      </c>
    </row>
    <row r="10077" spans="119:119" x14ac:dyDescent="0.2">
      <c r="DO10077" s="303" t="s">
        <v>232</v>
      </c>
    </row>
    <row r="10078" spans="119:119" x14ac:dyDescent="0.2">
      <c r="DO10078" s="303" t="s">
        <v>232</v>
      </c>
    </row>
    <row r="10079" spans="119:119" x14ac:dyDescent="0.2">
      <c r="DO10079" s="303" t="s">
        <v>232</v>
      </c>
    </row>
    <row r="10080" spans="119:119" x14ac:dyDescent="0.2">
      <c r="DO10080" s="303" t="s">
        <v>232</v>
      </c>
    </row>
    <row r="10081" spans="119:119" x14ac:dyDescent="0.2">
      <c r="DO10081" s="303" t="s">
        <v>232</v>
      </c>
    </row>
    <row r="10082" spans="119:119" x14ac:dyDescent="0.2">
      <c r="DO10082" s="303" t="s">
        <v>232</v>
      </c>
    </row>
    <row r="10083" spans="119:119" x14ac:dyDescent="0.2">
      <c r="DO10083" s="303" t="s">
        <v>232</v>
      </c>
    </row>
    <row r="10084" spans="119:119" x14ac:dyDescent="0.2">
      <c r="DO10084" s="303" t="s">
        <v>232</v>
      </c>
    </row>
    <row r="10085" spans="119:119" x14ac:dyDescent="0.2">
      <c r="DO10085" s="303" t="s">
        <v>232</v>
      </c>
    </row>
    <row r="10086" spans="119:119" x14ac:dyDescent="0.2">
      <c r="DO10086" s="303" t="s">
        <v>232</v>
      </c>
    </row>
    <row r="10087" spans="119:119" x14ac:dyDescent="0.2">
      <c r="DO10087" s="303" t="s">
        <v>232</v>
      </c>
    </row>
    <row r="10088" spans="119:119" x14ac:dyDescent="0.2">
      <c r="DO10088" s="303" t="s">
        <v>232</v>
      </c>
    </row>
    <row r="10089" spans="119:119" x14ac:dyDescent="0.2">
      <c r="DO10089" s="303" t="s">
        <v>232</v>
      </c>
    </row>
    <row r="10090" spans="119:119" x14ac:dyDescent="0.2">
      <c r="DO10090" s="303" t="s">
        <v>232</v>
      </c>
    </row>
    <row r="10091" spans="119:119" x14ac:dyDescent="0.2">
      <c r="DO10091" s="303" t="s">
        <v>232</v>
      </c>
    </row>
    <row r="10092" spans="119:119" x14ac:dyDescent="0.2">
      <c r="DO10092" s="303" t="s">
        <v>232</v>
      </c>
    </row>
    <row r="10093" spans="119:119" x14ac:dyDescent="0.2">
      <c r="DO10093" s="303" t="s">
        <v>232</v>
      </c>
    </row>
    <row r="10094" spans="119:119" x14ac:dyDescent="0.2">
      <c r="DO10094" s="303" t="s">
        <v>232</v>
      </c>
    </row>
    <row r="10095" spans="119:119" x14ac:dyDescent="0.2">
      <c r="DO10095" s="303" t="s">
        <v>232</v>
      </c>
    </row>
    <row r="10096" spans="119:119" x14ac:dyDescent="0.2">
      <c r="DO10096" s="303" t="s">
        <v>232</v>
      </c>
    </row>
    <row r="10097" spans="119:119" x14ac:dyDescent="0.2">
      <c r="DO10097" s="303" t="s">
        <v>232</v>
      </c>
    </row>
    <row r="10098" spans="119:119" x14ac:dyDescent="0.2">
      <c r="DO10098" s="303" t="s">
        <v>232</v>
      </c>
    </row>
    <row r="10099" spans="119:119" x14ac:dyDescent="0.2">
      <c r="DO10099" s="303" t="s">
        <v>232</v>
      </c>
    </row>
    <row r="10100" spans="119:119" x14ac:dyDescent="0.2">
      <c r="DO10100" s="303" t="s">
        <v>232</v>
      </c>
    </row>
    <row r="10101" spans="119:119" x14ac:dyDescent="0.2">
      <c r="DO10101" s="303" t="s">
        <v>232</v>
      </c>
    </row>
    <row r="10102" spans="119:119" x14ac:dyDescent="0.2">
      <c r="DO10102" s="303" t="s">
        <v>232</v>
      </c>
    </row>
    <row r="10103" spans="119:119" x14ac:dyDescent="0.2">
      <c r="DO10103" s="303" t="s">
        <v>232</v>
      </c>
    </row>
    <row r="10104" spans="119:119" x14ac:dyDescent="0.2">
      <c r="DO10104" s="303" t="s">
        <v>232</v>
      </c>
    </row>
    <row r="10105" spans="119:119" x14ac:dyDescent="0.2">
      <c r="DO10105" s="303" t="s">
        <v>232</v>
      </c>
    </row>
    <row r="10106" spans="119:119" x14ac:dyDescent="0.2">
      <c r="DO10106" s="303" t="s">
        <v>232</v>
      </c>
    </row>
    <row r="10107" spans="119:119" x14ac:dyDescent="0.2">
      <c r="DO10107" s="303" t="s">
        <v>232</v>
      </c>
    </row>
    <row r="10108" spans="119:119" x14ac:dyDescent="0.2">
      <c r="DO10108" s="303" t="s">
        <v>232</v>
      </c>
    </row>
    <row r="10109" spans="119:119" x14ac:dyDescent="0.2">
      <c r="DO10109" s="303" t="s">
        <v>232</v>
      </c>
    </row>
    <row r="10110" spans="119:119" x14ac:dyDescent="0.2">
      <c r="DO10110" s="303" t="s">
        <v>232</v>
      </c>
    </row>
    <row r="10111" spans="119:119" x14ac:dyDescent="0.2">
      <c r="DO10111" s="303" t="s">
        <v>232</v>
      </c>
    </row>
    <row r="10112" spans="119:119" x14ac:dyDescent="0.2">
      <c r="DO10112" s="303" t="s">
        <v>232</v>
      </c>
    </row>
    <row r="10113" spans="119:119" x14ac:dyDescent="0.2">
      <c r="DO10113" s="303" t="s">
        <v>232</v>
      </c>
    </row>
    <row r="10114" spans="119:119" x14ac:dyDescent="0.2">
      <c r="DO10114" s="303" t="s">
        <v>232</v>
      </c>
    </row>
    <row r="10115" spans="119:119" x14ac:dyDescent="0.2">
      <c r="DO10115" s="303" t="s">
        <v>232</v>
      </c>
    </row>
    <row r="10116" spans="119:119" x14ac:dyDescent="0.2">
      <c r="DO10116" s="303" t="s">
        <v>232</v>
      </c>
    </row>
    <row r="10117" spans="119:119" x14ac:dyDescent="0.2">
      <c r="DO10117" s="303" t="s">
        <v>232</v>
      </c>
    </row>
    <row r="10118" spans="119:119" x14ac:dyDescent="0.2">
      <c r="DO10118" s="303" t="s">
        <v>232</v>
      </c>
    </row>
    <row r="10119" spans="119:119" x14ac:dyDescent="0.2">
      <c r="DO10119" s="303" t="s">
        <v>232</v>
      </c>
    </row>
    <row r="10120" spans="119:119" x14ac:dyDescent="0.2">
      <c r="DO10120" s="303" t="s">
        <v>232</v>
      </c>
    </row>
    <row r="10121" spans="119:119" x14ac:dyDescent="0.2">
      <c r="DO10121" s="303" t="s">
        <v>232</v>
      </c>
    </row>
    <row r="10122" spans="119:119" x14ac:dyDescent="0.2">
      <c r="DO10122" s="303" t="s">
        <v>232</v>
      </c>
    </row>
    <row r="10123" spans="119:119" x14ac:dyDescent="0.2">
      <c r="DO10123" s="303" t="s">
        <v>232</v>
      </c>
    </row>
    <row r="10124" spans="119:119" x14ac:dyDescent="0.2">
      <c r="DO10124" s="303" t="s">
        <v>232</v>
      </c>
    </row>
    <row r="10125" spans="119:119" x14ac:dyDescent="0.2">
      <c r="DO10125" s="303" t="s">
        <v>232</v>
      </c>
    </row>
    <row r="10126" spans="119:119" x14ac:dyDescent="0.2">
      <c r="DO10126" s="303" t="s">
        <v>232</v>
      </c>
    </row>
    <row r="10127" spans="119:119" x14ac:dyDescent="0.2">
      <c r="DO10127" s="303" t="s">
        <v>232</v>
      </c>
    </row>
    <row r="10128" spans="119:119" x14ac:dyDescent="0.2">
      <c r="DO10128" s="303" t="s">
        <v>232</v>
      </c>
    </row>
    <row r="10129" spans="119:119" x14ac:dyDescent="0.2">
      <c r="DO10129" s="303" t="s">
        <v>232</v>
      </c>
    </row>
    <row r="10130" spans="119:119" x14ac:dyDescent="0.2">
      <c r="DO10130" s="303" t="s">
        <v>232</v>
      </c>
    </row>
    <row r="10131" spans="119:119" x14ac:dyDescent="0.2">
      <c r="DO10131" s="303" t="s">
        <v>232</v>
      </c>
    </row>
    <row r="10132" spans="119:119" x14ac:dyDescent="0.2">
      <c r="DO10132" s="303" t="s">
        <v>232</v>
      </c>
    </row>
    <row r="10133" spans="119:119" x14ac:dyDescent="0.2">
      <c r="DO10133" s="303" t="s">
        <v>232</v>
      </c>
    </row>
    <row r="10134" spans="119:119" x14ac:dyDescent="0.2">
      <c r="DO10134" s="303" t="s">
        <v>232</v>
      </c>
    </row>
    <row r="10135" spans="119:119" x14ac:dyDescent="0.2">
      <c r="DO10135" s="303" t="s">
        <v>232</v>
      </c>
    </row>
    <row r="10136" spans="119:119" x14ac:dyDescent="0.2">
      <c r="DO10136" s="303" t="s">
        <v>232</v>
      </c>
    </row>
    <row r="10137" spans="119:119" x14ac:dyDescent="0.2">
      <c r="DO10137" s="303" t="s">
        <v>232</v>
      </c>
    </row>
    <row r="10138" spans="119:119" x14ac:dyDescent="0.2">
      <c r="DO10138" s="303" t="s">
        <v>232</v>
      </c>
    </row>
    <row r="10139" spans="119:119" x14ac:dyDescent="0.2">
      <c r="DO10139" s="303" t="s">
        <v>232</v>
      </c>
    </row>
    <row r="10140" spans="119:119" x14ac:dyDescent="0.2">
      <c r="DO10140" s="303" t="s">
        <v>232</v>
      </c>
    </row>
    <row r="10141" spans="119:119" x14ac:dyDescent="0.2">
      <c r="DO10141" s="303" t="s">
        <v>232</v>
      </c>
    </row>
    <row r="10142" spans="119:119" x14ac:dyDescent="0.2">
      <c r="DO10142" s="303" t="s">
        <v>232</v>
      </c>
    </row>
    <row r="10143" spans="119:119" x14ac:dyDescent="0.2">
      <c r="DO10143" s="303" t="s">
        <v>232</v>
      </c>
    </row>
    <row r="10144" spans="119:119" x14ac:dyDescent="0.2">
      <c r="DO10144" s="303" t="s">
        <v>232</v>
      </c>
    </row>
    <row r="10145" spans="119:119" x14ac:dyDescent="0.2">
      <c r="DO10145" s="303" t="s">
        <v>232</v>
      </c>
    </row>
    <row r="10146" spans="119:119" x14ac:dyDescent="0.2">
      <c r="DO10146" s="303" t="s">
        <v>232</v>
      </c>
    </row>
    <row r="10147" spans="119:119" x14ac:dyDescent="0.2">
      <c r="DO10147" s="303" t="s">
        <v>232</v>
      </c>
    </row>
    <row r="10148" spans="119:119" x14ac:dyDescent="0.2">
      <c r="DO10148" s="303" t="s">
        <v>232</v>
      </c>
    </row>
    <row r="10149" spans="119:119" x14ac:dyDescent="0.2">
      <c r="DO10149" s="303" t="s">
        <v>232</v>
      </c>
    </row>
    <row r="10150" spans="119:119" x14ac:dyDescent="0.2">
      <c r="DO10150" s="303" t="s">
        <v>232</v>
      </c>
    </row>
    <row r="10151" spans="119:119" x14ac:dyDescent="0.2">
      <c r="DO10151" s="303" t="s">
        <v>232</v>
      </c>
    </row>
    <row r="10152" spans="119:119" x14ac:dyDescent="0.2">
      <c r="DO10152" s="303" t="s">
        <v>232</v>
      </c>
    </row>
    <row r="10153" spans="119:119" x14ac:dyDescent="0.2">
      <c r="DO10153" s="303" t="s">
        <v>232</v>
      </c>
    </row>
    <row r="10154" spans="119:119" x14ac:dyDescent="0.2">
      <c r="DO10154" s="303" t="s">
        <v>232</v>
      </c>
    </row>
    <row r="10155" spans="119:119" x14ac:dyDescent="0.2">
      <c r="DO10155" s="303" t="s">
        <v>232</v>
      </c>
    </row>
    <row r="10156" spans="119:119" x14ac:dyDescent="0.2">
      <c r="DO10156" s="303" t="s">
        <v>232</v>
      </c>
    </row>
    <row r="10157" spans="119:119" x14ac:dyDescent="0.2">
      <c r="DO10157" s="303" t="s">
        <v>232</v>
      </c>
    </row>
    <row r="10158" spans="119:119" x14ac:dyDescent="0.2">
      <c r="DO10158" s="303" t="s">
        <v>232</v>
      </c>
    </row>
    <row r="10159" spans="119:119" x14ac:dyDescent="0.2">
      <c r="DO10159" s="303" t="s">
        <v>232</v>
      </c>
    </row>
    <row r="10160" spans="119:119" x14ac:dyDescent="0.2">
      <c r="DO10160" s="303" t="s">
        <v>232</v>
      </c>
    </row>
    <row r="10161" spans="119:119" x14ac:dyDescent="0.2">
      <c r="DO10161" s="303" t="s">
        <v>232</v>
      </c>
    </row>
    <row r="10162" spans="119:119" x14ac:dyDescent="0.2">
      <c r="DO10162" s="303" t="s">
        <v>232</v>
      </c>
    </row>
    <row r="10163" spans="119:119" x14ac:dyDescent="0.2">
      <c r="DO10163" s="303" t="s">
        <v>232</v>
      </c>
    </row>
    <row r="10164" spans="119:119" x14ac:dyDescent="0.2">
      <c r="DO10164" s="303" t="s">
        <v>232</v>
      </c>
    </row>
    <row r="10165" spans="119:119" x14ac:dyDescent="0.2">
      <c r="DO10165" s="303" t="s">
        <v>232</v>
      </c>
    </row>
    <row r="10166" spans="119:119" x14ac:dyDescent="0.2">
      <c r="DO10166" s="303" t="s">
        <v>232</v>
      </c>
    </row>
    <row r="10167" spans="119:119" x14ac:dyDescent="0.2">
      <c r="DO10167" s="303" t="s">
        <v>232</v>
      </c>
    </row>
    <row r="10168" spans="119:119" x14ac:dyDescent="0.2">
      <c r="DO10168" s="303" t="s">
        <v>232</v>
      </c>
    </row>
    <row r="10169" spans="119:119" x14ac:dyDescent="0.2">
      <c r="DO10169" s="303" t="s">
        <v>232</v>
      </c>
    </row>
    <row r="10170" spans="119:119" x14ac:dyDescent="0.2">
      <c r="DO10170" s="303" t="s">
        <v>232</v>
      </c>
    </row>
    <row r="10171" spans="119:119" x14ac:dyDescent="0.2">
      <c r="DO10171" s="303" t="s">
        <v>232</v>
      </c>
    </row>
    <row r="10172" spans="119:119" x14ac:dyDescent="0.2">
      <c r="DO10172" s="303" t="s">
        <v>232</v>
      </c>
    </row>
    <row r="10173" spans="119:119" x14ac:dyDescent="0.2">
      <c r="DO10173" s="303" t="s">
        <v>232</v>
      </c>
    </row>
    <row r="10174" spans="119:119" x14ac:dyDescent="0.2">
      <c r="DO10174" s="303" t="s">
        <v>232</v>
      </c>
    </row>
    <row r="10175" spans="119:119" x14ac:dyDescent="0.2">
      <c r="DO10175" s="303" t="s">
        <v>232</v>
      </c>
    </row>
    <row r="10176" spans="119:119" x14ac:dyDescent="0.2">
      <c r="DO10176" s="303" t="s">
        <v>232</v>
      </c>
    </row>
    <row r="10177" spans="119:119" x14ac:dyDescent="0.2">
      <c r="DO10177" s="303" t="s">
        <v>232</v>
      </c>
    </row>
    <row r="10178" spans="119:119" x14ac:dyDescent="0.2">
      <c r="DO10178" s="303" t="s">
        <v>232</v>
      </c>
    </row>
    <row r="10179" spans="119:119" x14ac:dyDescent="0.2">
      <c r="DO10179" s="303" t="s">
        <v>232</v>
      </c>
    </row>
    <row r="10180" spans="119:119" x14ac:dyDescent="0.2">
      <c r="DO10180" s="303" t="s">
        <v>232</v>
      </c>
    </row>
    <row r="10181" spans="119:119" x14ac:dyDescent="0.2">
      <c r="DO10181" s="303" t="s">
        <v>232</v>
      </c>
    </row>
    <row r="10182" spans="119:119" x14ac:dyDescent="0.2">
      <c r="DO10182" s="303" t="s">
        <v>232</v>
      </c>
    </row>
    <row r="10183" spans="119:119" x14ac:dyDescent="0.2">
      <c r="DO10183" s="303" t="s">
        <v>232</v>
      </c>
    </row>
    <row r="10184" spans="119:119" x14ac:dyDescent="0.2">
      <c r="DO10184" s="303" t="s">
        <v>232</v>
      </c>
    </row>
    <row r="10185" spans="119:119" x14ac:dyDescent="0.2">
      <c r="DO10185" s="303" t="s">
        <v>232</v>
      </c>
    </row>
    <row r="10186" spans="119:119" x14ac:dyDescent="0.2">
      <c r="DO10186" s="303" t="s">
        <v>232</v>
      </c>
    </row>
    <row r="10187" spans="119:119" x14ac:dyDescent="0.2">
      <c r="DO10187" s="303" t="s">
        <v>232</v>
      </c>
    </row>
    <row r="10188" spans="119:119" x14ac:dyDescent="0.2">
      <c r="DO10188" s="303" t="s">
        <v>232</v>
      </c>
    </row>
    <row r="10189" spans="119:119" x14ac:dyDescent="0.2">
      <c r="DO10189" s="303" t="s">
        <v>232</v>
      </c>
    </row>
    <row r="10190" spans="119:119" x14ac:dyDescent="0.2">
      <c r="DO10190" s="303" t="s">
        <v>232</v>
      </c>
    </row>
    <row r="10191" spans="119:119" x14ac:dyDescent="0.2">
      <c r="DO10191" s="303" t="s">
        <v>232</v>
      </c>
    </row>
    <row r="10192" spans="119:119" x14ac:dyDescent="0.2">
      <c r="DO10192" s="303" t="s">
        <v>232</v>
      </c>
    </row>
    <row r="10193" spans="119:119" x14ac:dyDescent="0.2">
      <c r="DO10193" s="303" t="s">
        <v>232</v>
      </c>
    </row>
    <row r="10194" spans="119:119" x14ac:dyDescent="0.2">
      <c r="DO10194" s="303" t="s">
        <v>232</v>
      </c>
    </row>
    <row r="10195" spans="119:119" x14ac:dyDescent="0.2">
      <c r="DO10195" s="303" t="s">
        <v>232</v>
      </c>
    </row>
    <row r="10196" spans="119:119" x14ac:dyDescent="0.2">
      <c r="DO10196" s="303" t="s">
        <v>232</v>
      </c>
    </row>
    <row r="10197" spans="119:119" x14ac:dyDescent="0.2">
      <c r="DO10197" s="303" t="s">
        <v>232</v>
      </c>
    </row>
    <row r="10198" spans="119:119" x14ac:dyDescent="0.2">
      <c r="DO10198" s="303" t="s">
        <v>232</v>
      </c>
    </row>
    <row r="10199" spans="119:119" x14ac:dyDescent="0.2">
      <c r="DO10199" s="303" t="s">
        <v>232</v>
      </c>
    </row>
    <row r="10200" spans="119:119" x14ac:dyDescent="0.2">
      <c r="DO10200" s="303" t="s">
        <v>232</v>
      </c>
    </row>
    <row r="10201" spans="119:119" x14ac:dyDescent="0.2">
      <c r="DO10201" s="303" t="s">
        <v>232</v>
      </c>
    </row>
    <row r="10202" spans="119:119" x14ac:dyDescent="0.2">
      <c r="DO10202" s="303" t="s">
        <v>232</v>
      </c>
    </row>
    <row r="10203" spans="119:119" x14ac:dyDescent="0.2">
      <c r="DO10203" s="303" t="s">
        <v>232</v>
      </c>
    </row>
    <row r="10204" spans="119:119" x14ac:dyDescent="0.2">
      <c r="DO10204" s="303" t="s">
        <v>232</v>
      </c>
    </row>
    <row r="10205" spans="119:119" x14ac:dyDescent="0.2">
      <c r="DO10205" s="303" t="s">
        <v>232</v>
      </c>
    </row>
    <row r="10206" spans="119:119" x14ac:dyDescent="0.2">
      <c r="DO10206" s="303" t="s">
        <v>232</v>
      </c>
    </row>
    <row r="10207" spans="119:119" x14ac:dyDescent="0.2">
      <c r="DO10207" s="303" t="s">
        <v>232</v>
      </c>
    </row>
    <row r="10208" spans="119:119" x14ac:dyDescent="0.2">
      <c r="DO10208" s="303" t="s">
        <v>232</v>
      </c>
    </row>
    <row r="10209" spans="119:119" x14ac:dyDescent="0.2">
      <c r="DO10209" s="303" t="s">
        <v>232</v>
      </c>
    </row>
    <row r="10210" spans="119:119" x14ac:dyDescent="0.2">
      <c r="DO10210" s="303" t="s">
        <v>232</v>
      </c>
    </row>
    <row r="10211" spans="119:119" x14ac:dyDescent="0.2">
      <c r="DO10211" s="303" t="s">
        <v>232</v>
      </c>
    </row>
    <row r="10212" spans="119:119" x14ac:dyDescent="0.2">
      <c r="DO10212" s="303" t="s">
        <v>232</v>
      </c>
    </row>
    <row r="10213" spans="119:119" x14ac:dyDescent="0.2">
      <c r="DO10213" s="303" t="s">
        <v>232</v>
      </c>
    </row>
    <row r="10214" spans="119:119" x14ac:dyDescent="0.2">
      <c r="DO10214" s="303" t="s">
        <v>232</v>
      </c>
    </row>
    <row r="10215" spans="119:119" x14ac:dyDescent="0.2">
      <c r="DO10215" s="303" t="s">
        <v>232</v>
      </c>
    </row>
    <row r="10216" spans="119:119" x14ac:dyDescent="0.2">
      <c r="DO10216" s="303" t="s">
        <v>232</v>
      </c>
    </row>
    <row r="10217" spans="119:119" x14ac:dyDescent="0.2">
      <c r="DO10217" s="303" t="s">
        <v>232</v>
      </c>
    </row>
    <row r="10218" spans="119:119" x14ac:dyDescent="0.2">
      <c r="DO10218" s="303" t="s">
        <v>232</v>
      </c>
    </row>
    <row r="10219" spans="119:119" x14ac:dyDescent="0.2">
      <c r="DO10219" s="303" t="s">
        <v>232</v>
      </c>
    </row>
    <row r="10220" spans="119:119" x14ac:dyDescent="0.2">
      <c r="DO10220" s="303" t="s">
        <v>232</v>
      </c>
    </row>
    <row r="10221" spans="119:119" x14ac:dyDescent="0.2">
      <c r="DO10221" s="303" t="s">
        <v>232</v>
      </c>
    </row>
    <row r="10222" spans="119:119" x14ac:dyDescent="0.2">
      <c r="DO10222" s="303" t="s">
        <v>232</v>
      </c>
    </row>
    <row r="10223" spans="119:119" x14ac:dyDescent="0.2">
      <c r="DO10223" s="303" t="s">
        <v>232</v>
      </c>
    </row>
    <row r="10224" spans="119:119" x14ac:dyDescent="0.2">
      <c r="DO10224" s="303" t="s">
        <v>232</v>
      </c>
    </row>
    <row r="10225" spans="119:119" x14ac:dyDescent="0.2">
      <c r="DO10225" s="303" t="s">
        <v>232</v>
      </c>
    </row>
    <row r="10226" spans="119:119" x14ac:dyDescent="0.2">
      <c r="DO10226" s="303" t="s">
        <v>232</v>
      </c>
    </row>
    <row r="10227" spans="119:119" x14ac:dyDescent="0.2">
      <c r="DO10227" s="303" t="s">
        <v>232</v>
      </c>
    </row>
    <row r="10228" spans="119:119" x14ac:dyDescent="0.2">
      <c r="DO10228" s="303" t="s">
        <v>232</v>
      </c>
    </row>
    <row r="10229" spans="119:119" x14ac:dyDescent="0.2">
      <c r="DO10229" s="303" t="s">
        <v>232</v>
      </c>
    </row>
    <row r="10230" spans="119:119" x14ac:dyDescent="0.2">
      <c r="DO10230" s="303" t="s">
        <v>232</v>
      </c>
    </row>
    <row r="10231" spans="119:119" x14ac:dyDescent="0.2">
      <c r="DO10231" s="303" t="s">
        <v>232</v>
      </c>
    </row>
    <row r="10232" spans="119:119" x14ac:dyDescent="0.2">
      <c r="DO10232" s="303" t="s">
        <v>232</v>
      </c>
    </row>
    <row r="10233" spans="119:119" x14ac:dyDescent="0.2">
      <c r="DO10233" s="303" t="s">
        <v>232</v>
      </c>
    </row>
    <row r="10234" spans="119:119" x14ac:dyDescent="0.2">
      <c r="DO10234" s="303" t="s">
        <v>232</v>
      </c>
    </row>
    <row r="10235" spans="119:119" x14ac:dyDescent="0.2">
      <c r="DO10235" s="303" t="s">
        <v>232</v>
      </c>
    </row>
    <row r="10236" spans="119:119" x14ac:dyDescent="0.2">
      <c r="DO10236" s="303" t="s">
        <v>232</v>
      </c>
    </row>
    <row r="10237" spans="119:119" x14ac:dyDescent="0.2">
      <c r="DO10237" s="303" t="s">
        <v>232</v>
      </c>
    </row>
    <row r="10238" spans="119:119" x14ac:dyDescent="0.2">
      <c r="DO10238" s="303" t="s">
        <v>232</v>
      </c>
    </row>
    <row r="10239" spans="119:119" x14ac:dyDescent="0.2">
      <c r="DO10239" s="303" t="s">
        <v>232</v>
      </c>
    </row>
    <row r="10240" spans="119:119" x14ac:dyDescent="0.2">
      <c r="DO10240" s="303" t="s">
        <v>232</v>
      </c>
    </row>
    <row r="10241" spans="119:119" x14ac:dyDescent="0.2">
      <c r="DO10241" s="303" t="s">
        <v>232</v>
      </c>
    </row>
    <row r="10242" spans="119:119" x14ac:dyDescent="0.2">
      <c r="DO10242" s="303" t="s">
        <v>232</v>
      </c>
    </row>
    <row r="10243" spans="119:119" x14ac:dyDescent="0.2">
      <c r="DO10243" s="303" t="s">
        <v>232</v>
      </c>
    </row>
    <row r="10244" spans="119:119" x14ac:dyDescent="0.2">
      <c r="DO10244" s="303" t="s">
        <v>232</v>
      </c>
    </row>
    <row r="10245" spans="119:119" x14ac:dyDescent="0.2">
      <c r="DO10245" s="303" t="s">
        <v>232</v>
      </c>
    </row>
    <row r="10246" spans="119:119" x14ac:dyDescent="0.2">
      <c r="DO10246" s="303" t="s">
        <v>232</v>
      </c>
    </row>
    <row r="10247" spans="119:119" x14ac:dyDescent="0.2">
      <c r="DO10247" s="303" t="s">
        <v>232</v>
      </c>
    </row>
    <row r="10248" spans="119:119" x14ac:dyDescent="0.2">
      <c r="DO10248" s="303" t="s">
        <v>232</v>
      </c>
    </row>
    <row r="10249" spans="119:119" x14ac:dyDescent="0.2">
      <c r="DO10249" s="303" t="s">
        <v>232</v>
      </c>
    </row>
    <row r="10250" spans="119:119" x14ac:dyDescent="0.2">
      <c r="DO10250" s="303" t="s">
        <v>232</v>
      </c>
    </row>
    <row r="10251" spans="119:119" x14ac:dyDescent="0.2">
      <c r="DO10251" s="303" t="s">
        <v>232</v>
      </c>
    </row>
    <row r="10252" spans="119:119" x14ac:dyDescent="0.2">
      <c r="DO10252" s="303" t="s">
        <v>232</v>
      </c>
    </row>
    <row r="10253" spans="119:119" x14ac:dyDescent="0.2">
      <c r="DO10253" s="303" t="s">
        <v>232</v>
      </c>
    </row>
    <row r="10254" spans="119:119" x14ac:dyDescent="0.2">
      <c r="DO10254" s="303" t="s">
        <v>232</v>
      </c>
    </row>
    <row r="10255" spans="119:119" x14ac:dyDescent="0.2">
      <c r="DO10255" s="303" t="s">
        <v>232</v>
      </c>
    </row>
    <row r="10256" spans="119:119" x14ac:dyDescent="0.2">
      <c r="DO10256" s="303" t="s">
        <v>232</v>
      </c>
    </row>
    <row r="10257" spans="119:119" x14ac:dyDescent="0.2">
      <c r="DO10257" s="303" t="s">
        <v>232</v>
      </c>
    </row>
    <row r="10258" spans="119:119" x14ac:dyDescent="0.2">
      <c r="DO10258" s="303" t="s">
        <v>232</v>
      </c>
    </row>
    <row r="10259" spans="119:119" x14ac:dyDescent="0.2">
      <c r="DO10259" s="303" t="s">
        <v>232</v>
      </c>
    </row>
    <row r="10260" spans="119:119" x14ac:dyDescent="0.2">
      <c r="DO10260" s="303" t="s">
        <v>232</v>
      </c>
    </row>
    <row r="10261" spans="119:119" x14ac:dyDescent="0.2">
      <c r="DO10261" s="303" t="s">
        <v>232</v>
      </c>
    </row>
    <row r="10262" spans="119:119" x14ac:dyDescent="0.2">
      <c r="DO10262" s="303" t="s">
        <v>232</v>
      </c>
    </row>
    <row r="10263" spans="119:119" x14ac:dyDescent="0.2">
      <c r="DO10263" s="303" t="s">
        <v>232</v>
      </c>
    </row>
    <row r="10264" spans="119:119" x14ac:dyDescent="0.2">
      <c r="DO10264" s="303" t="s">
        <v>232</v>
      </c>
    </row>
    <row r="10265" spans="119:119" x14ac:dyDescent="0.2">
      <c r="DO10265" s="303" t="s">
        <v>232</v>
      </c>
    </row>
    <row r="10266" spans="119:119" x14ac:dyDescent="0.2">
      <c r="DO10266" s="303" t="s">
        <v>232</v>
      </c>
    </row>
    <row r="10267" spans="119:119" x14ac:dyDescent="0.2">
      <c r="DO10267" s="303" t="s">
        <v>232</v>
      </c>
    </row>
    <row r="10268" spans="119:119" x14ac:dyDescent="0.2">
      <c r="DO10268" s="303" t="s">
        <v>232</v>
      </c>
    </row>
    <row r="10269" spans="119:119" x14ac:dyDescent="0.2">
      <c r="DO10269" s="303" t="s">
        <v>232</v>
      </c>
    </row>
    <row r="10270" spans="119:119" x14ac:dyDescent="0.2">
      <c r="DO10270" s="303" t="s">
        <v>232</v>
      </c>
    </row>
    <row r="10271" spans="119:119" x14ac:dyDescent="0.2">
      <c r="DO10271" s="303" t="s">
        <v>232</v>
      </c>
    </row>
    <row r="10272" spans="119:119" x14ac:dyDescent="0.2">
      <c r="DO10272" s="303" t="s">
        <v>232</v>
      </c>
    </row>
    <row r="10273" spans="119:119" x14ac:dyDescent="0.2">
      <c r="DO10273" s="303" t="s">
        <v>232</v>
      </c>
    </row>
    <row r="10274" spans="119:119" x14ac:dyDescent="0.2">
      <c r="DO10274" s="303" t="s">
        <v>232</v>
      </c>
    </row>
    <row r="10275" spans="119:119" x14ac:dyDescent="0.2">
      <c r="DO10275" s="303" t="s">
        <v>232</v>
      </c>
    </row>
    <row r="10276" spans="119:119" x14ac:dyDescent="0.2">
      <c r="DO10276" s="303" t="s">
        <v>232</v>
      </c>
    </row>
    <row r="10277" spans="119:119" x14ac:dyDescent="0.2">
      <c r="DO10277" s="303" t="s">
        <v>232</v>
      </c>
    </row>
    <row r="10278" spans="119:119" x14ac:dyDescent="0.2">
      <c r="DO10278" s="303" t="s">
        <v>232</v>
      </c>
    </row>
    <row r="10279" spans="119:119" x14ac:dyDescent="0.2">
      <c r="DO10279" s="303" t="s">
        <v>232</v>
      </c>
    </row>
    <row r="10280" spans="119:119" x14ac:dyDescent="0.2">
      <c r="DO10280" s="303" t="s">
        <v>232</v>
      </c>
    </row>
    <row r="10281" spans="119:119" x14ac:dyDescent="0.2">
      <c r="DO10281" s="303" t="s">
        <v>232</v>
      </c>
    </row>
    <row r="10282" spans="119:119" x14ac:dyDescent="0.2">
      <c r="DO10282" s="303" t="s">
        <v>232</v>
      </c>
    </row>
    <row r="10283" spans="119:119" x14ac:dyDescent="0.2">
      <c r="DO10283" s="303" t="s">
        <v>232</v>
      </c>
    </row>
    <row r="10284" spans="119:119" x14ac:dyDescent="0.2">
      <c r="DO10284" s="303" t="s">
        <v>232</v>
      </c>
    </row>
    <row r="10285" spans="119:119" x14ac:dyDescent="0.2">
      <c r="DO10285" s="303" t="s">
        <v>232</v>
      </c>
    </row>
    <row r="10286" spans="119:119" x14ac:dyDescent="0.2">
      <c r="DO10286" s="303" t="s">
        <v>232</v>
      </c>
    </row>
    <row r="10287" spans="119:119" x14ac:dyDescent="0.2">
      <c r="DO10287" s="303" t="s">
        <v>232</v>
      </c>
    </row>
    <row r="10288" spans="119:119" x14ac:dyDescent="0.2">
      <c r="DO10288" s="303" t="s">
        <v>232</v>
      </c>
    </row>
    <row r="10289" spans="119:119" x14ac:dyDescent="0.2">
      <c r="DO10289" s="303" t="s">
        <v>232</v>
      </c>
    </row>
    <row r="10290" spans="119:119" x14ac:dyDescent="0.2">
      <c r="DO10290" s="303" t="s">
        <v>232</v>
      </c>
    </row>
    <row r="10291" spans="119:119" x14ac:dyDescent="0.2">
      <c r="DO10291" s="303" t="s">
        <v>232</v>
      </c>
    </row>
    <row r="10292" spans="119:119" x14ac:dyDescent="0.2">
      <c r="DO10292" s="303" t="s">
        <v>232</v>
      </c>
    </row>
    <row r="10293" spans="119:119" x14ac:dyDescent="0.2">
      <c r="DO10293" s="303" t="s">
        <v>232</v>
      </c>
    </row>
    <row r="10294" spans="119:119" x14ac:dyDescent="0.2">
      <c r="DO10294" s="303" t="s">
        <v>232</v>
      </c>
    </row>
    <row r="10295" spans="119:119" x14ac:dyDescent="0.2">
      <c r="DO10295" s="303" t="s">
        <v>232</v>
      </c>
    </row>
    <row r="10296" spans="119:119" x14ac:dyDescent="0.2">
      <c r="DO10296" s="303" t="s">
        <v>232</v>
      </c>
    </row>
    <row r="10297" spans="119:119" x14ac:dyDescent="0.2">
      <c r="DO10297" s="303" t="s">
        <v>232</v>
      </c>
    </row>
    <row r="10298" spans="119:119" x14ac:dyDescent="0.2">
      <c r="DO10298" s="303" t="s">
        <v>232</v>
      </c>
    </row>
    <row r="10299" spans="119:119" x14ac:dyDescent="0.2">
      <c r="DO10299" s="303" t="s">
        <v>232</v>
      </c>
    </row>
    <row r="10300" spans="119:119" x14ac:dyDescent="0.2">
      <c r="DO10300" s="303" t="s">
        <v>232</v>
      </c>
    </row>
    <row r="10301" spans="119:119" x14ac:dyDescent="0.2">
      <c r="DO10301" s="303" t="s">
        <v>232</v>
      </c>
    </row>
    <row r="10302" spans="119:119" x14ac:dyDescent="0.2">
      <c r="DO10302" s="303" t="s">
        <v>232</v>
      </c>
    </row>
    <row r="10303" spans="119:119" x14ac:dyDescent="0.2">
      <c r="DO10303" s="303" t="s">
        <v>232</v>
      </c>
    </row>
    <row r="10304" spans="119:119" x14ac:dyDescent="0.2">
      <c r="DO10304" s="303" t="s">
        <v>232</v>
      </c>
    </row>
    <row r="10305" spans="119:119" x14ac:dyDescent="0.2">
      <c r="DO10305" s="303" t="s">
        <v>232</v>
      </c>
    </row>
    <row r="10306" spans="119:119" x14ac:dyDescent="0.2">
      <c r="DO10306" s="303" t="s">
        <v>232</v>
      </c>
    </row>
    <row r="10307" spans="119:119" x14ac:dyDescent="0.2">
      <c r="DO10307" s="303" t="s">
        <v>232</v>
      </c>
    </row>
    <row r="10308" spans="119:119" x14ac:dyDescent="0.2">
      <c r="DO10308" s="303" t="s">
        <v>232</v>
      </c>
    </row>
    <row r="10309" spans="119:119" x14ac:dyDescent="0.2">
      <c r="DO10309" s="303" t="s">
        <v>232</v>
      </c>
    </row>
    <row r="10310" spans="119:119" x14ac:dyDescent="0.2">
      <c r="DO10310" s="303" t="s">
        <v>232</v>
      </c>
    </row>
    <row r="10311" spans="119:119" x14ac:dyDescent="0.2">
      <c r="DO10311" s="303" t="s">
        <v>232</v>
      </c>
    </row>
    <row r="10312" spans="119:119" x14ac:dyDescent="0.2">
      <c r="DO10312" s="303" t="s">
        <v>232</v>
      </c>
    </row>
    <row r="10313" spans="119:119" x14ac:dyDescent="0.2">
      <c r="DO10313" s="303" t="s">
        <v>232</v>
      </c>
    </row>
    <row r="10314" spans="119:119" x14ac:dyDescent="0.2">
      <c r="DO10314" s="303" t="s">
        <v>232</v>
      </c>
    </row>
    <row r="10315" spans="119:119" x14ac:dyDescent="0.2">
      <c r="DO10315" s="303" t="s">
        <v>232</v>
      </c>
    </row>
    <row r="10316" spans="119:119" x14ac:dyDescent="0.2">
      <c r="DO10316" s="303" t="s">
        <v>232</v>
      </c>
    </row>
    <row r="10317" spans="119:119" x14ac:dyDescent="0.2">
      <c r="DO10317" s="303" t="s">
        <v>232</v>
      </c>
    </row>
    <row r="10318" spans="119:119" x14ac:dyDescent="0.2">
      <c r="DO10318" s="303" t="s">
        <v>232</v>
      </c>
    </row>
    <row r="10319" spans="119:119" x14ac:dyDescent="0.2">
      <c r="DO10319" s="303" t="s">
        <v>232</v>
      </c>
    </row>
    <row r="10320" spans="119:119" x14ac:dyDescent="0.2">
      <c r="DO10320" s="303" t="s">
        <v>232</v>
      </c>
    </row>
    <row r="10321" spans="119:119" x14ac:dyDescent="0.2">
      <c r="DO10321" s="303" t="s">
        <v>232</v>
      </c>
    </row>
    <row r="10322" spans="119:119" x14ac:dyDescent="0.2">
      <c r="DO10322" s="303" t="s">
        <v>232</v>
      </c>
    </row>
    <row r="10323" spans="119:119" x14ac:dyDescent="0.2">
      <c r="DO10323" s="303" t="s">
        <v>232</v>
      </c>
    </row>
    <row r="10324" spans="119:119" x14ac:dyDescent="0.2">
      <c r="DO10324" s="303" t="s">
        <v>232</v>
      </c>
    </row>
    <row r="10325" spans="119:119" x14ac:dyDescent="0.2">
      <c r="DO10325" s="303" t="s">
        <v>232</v>
      </c>
    </row>
    <row r="10326" spans="119:119" x14ac:dyDescent="0.2">
      <c r="DO10326" s="303" t="s">
        <v>232</v>
      </c>
    </row>
    <row r="10327" spans="119:119" x14ac:dyDescent="0.2">
      <c r="DO10327" s="303" t="s">
        <v>232</v>
      </c>
    </row>
    <row r="10328" spans="119:119" x14ac:dyDescent="0.2">
      <c r="DO10328" s="303" t="s">
        <v>232</v>
      </c>
    </row>
    <row r="10329" spans="119:119" x14ac:dyDescent="0.2">
      <c r="DO10329" s="303" t="s">
        <v>232</v>
      </c>
    </row>
    <row r="10330" spans="119:119" x14ac:dyDescent="0.2">
      <c r="DO10330" s="303" t="s">
        <v>232</v>
      </c>
    </row>
    <row r="10331" spans="119:119" x14ac:dyDescent="0.2">
      <c r="DO10331" s="303" t="s">
        <v>232</v>
      </c>
    </row>
    <row r="10332" spans="119:119" x14ac:dyDescent="0.2">
      <c r="DO10332" s="303" t="s">
        <v>232</v>
      </c>
    </row>
    <row r="10333" spans="119:119" x14ac:dyDescent="0.2">
      <c r="DO10333" s="303" t="s">
        <v>232</v>
      </c>
    </row>
    <row r="10334" spans="119:119" x14ac:dyDescent="0.2">
      <c r="DO10334" s="303" t="s">
        <v>232</v>
      </c>
    </row>
    <row r="10335" spans="119:119" x14ac:dyDescent="0.2">
      <c r="DO10335" s="303" t="s">
        <v>232</v>
      </c>
    </row>
    <row r="10336" spans="119:119" x14ac:dyDescent="0.2">
      <c r="DO10336" s="303" t="s">
        <v>232</v>
      </c>
    </row>
    <row r="10337" spans="119:119" x14ac:dyDescent="0.2">
      <c r="DO10337" s="303" t="s">
        <v>232</v>
      </c>
    </row>
    <row r="10338" spans="119:119" x14ac:dyDescent="0.2">
      <c r="DO10338" s="303" t="s">
        <v>232</v>
      </c>
    </row>
    <row r="10339" spans="119:119" x14ac:dyDescent="0.2">
      <c r="DO10339" s="303" t="s">
        <v>232</v>
      </c>
    </row>
    <row r="10340" spans="119:119" x14ac:dyDescent="0.2">
      <c r="DO10340" s="303" t="s">
        <v>232</v>
      </c>
    </row>
    <row r="10341" spans="119:119" x14ac:dyDescent="0.2">
      <c r="DO10341" s="303" t="s">
        <v>232</v>
      </c>
    </row>
    <row r="10342" spans="119:119" x14ac:dyDescent="0.2">
      <c r="DO10342" s="303" t="s">
        <v>232</v>
      </c>
    </row>
    <row r="10343" spans="119:119" x14ac:dyDescent="0.2">
      <c r="DO10343" s="303" t="s">
        <v>232</v>
      </c>
    </row>
    <row r="10344" spans="119:119" x14ac:dyDescent="0.2">
      <c r="DO10344" s="303" t="s">
        <v>232</v>
      </c>
    </row>
    <row r="10345" spans="119:119" x14ac:dyDescent="0.2">
      <c r="DO10345" s="303" t="s">
        <v>232</v>
      </c>
    </row>
    <row r="10346" spans="119:119" x14ac:dyDescent="0.2">
      <c r="DO10346" s="303" t="s">
        <v>232</v>
      </c>
    </row>
    <row r="10347" spans="119:119" x14ac:dyDescent="0.2">
      <c r="DO10347" s="303" t="s">
        <v>232</v>
      </c>
    </row>
    <row r="10348" spans="119:119" x14ac:dyDescent="0.2">
      <c r="DO10348" s="303" t="s">
        <v>232</v>
      </c>
    </row>
    <row r="10349" spans="119:119" x14ac:dyDescent="0.2">
      <c r="DO10349" s="303" t="s">
        <v>232</v>
      </c>
    </row>
    <row r="10350" spans="119:119" x14ac:dyDescent="0.2">
      <c r="DO10350" s="303" t="s">
        <v>232</v>
      </c>
    </row>
    <row r="10351" spans="119:119" x14ac:dyDescent="0.2">
      <c r="DO10351" s="303" t="s">
        <v>232</v>
      </c>
    </row>
    <row r="10352" spans="119:119" x14ac:dyDescent="0.2">
      <c r="DO10352" s="303" t="s">
        <v>232</v>
      </c>
    </row>
    <row r="10353" spans="119:119" x14ac:dyDescent="0.2">
      <c r="DO10353" s="303" t="s">
        <v>232</v>
      </c>
    </row>
    <row r="10354" spans="119:119" x14ac:dyDescent="0.2">
      <c r="DO10354" s="303" t="s">
        <v>232</v>
      </c>
    </row>
    <row r="10355" spans="119:119" x14ac:dyDescent="0.2">
      <c r="DO10355" s="303" t="s">
        <v>232</v>
      </c>
    </row>
    <row r="10356" spans="119:119" x14ac:dyDescent="0.2">
      <c r="DO10356" s="303" t="s">
        <v>232</v>
      </c>
    </row>
    <row r="10357" spans="119:119" x14ac:dyDescent="0.2">
      <c r="DO10357" s="303" t="s">
        <v>232</v>
      </c>
    </row>
    <row r="10358" spans="119:119" x14ac:dyDescent="0.2">
      <c r="DO10358" s="303" t="s">
        <v>232</v>
      </c>
    </row>
    <row r="10359" spans="119:119" x14ac:dyDescent="0.2">
      <c r="DO10359" s="303" t="s">
        <v>232</v>
      </c>
    </row>
    <row r="10360" spans="119:119" x14ac:dyDescent="0.2">
      <c r="DO10360" s="303" t="s">
        <v>232</v>
      </c>
    </row>
    <row r="10361" spans="119:119" x14ac:dyDescent="0.2">
      <c r="DO10361" s="303" t="s">
        <v>232</v>
      </c>
    </row>
    <row r="10362" spans="119:119" x14ac:dyDescent="0.2">
      <c r="DO10362" s="303" t="s">
        <v>232</v>
      </c>
    </row>
    <row r="10363" spans="119:119" x14ac:dyDescent="0.2">
      <c r="DO10363" s="303" t="s">
        <v>232</v>
      </c>
    </row>
    <row r="10364" spans="119:119" x14ac:dyDescent="0.2">
      <c r="DO10364" s="303" t="s">
        <v>232</v>
      </c>
    </row>
    <row r="10365" spans="119:119" x14ac:dyDescent="0.2">
      <c r="DO10365" s="303" t="s">
        <v>232</v>
      </c>
    </row>
    <row r="10366" spans="119:119" x14ac:dyDescent="0.2">
      <c r="DO10366" s="303" t="s">
        <v>232</v>
      </c>
    </row>
    <row r="10367" spans="119:119" x14ac:dyDescent="0.2">
      <c r="DO10367" s="303" t="s">
        <v>232</v>
      </c>
    </row>
    <row r="10368" spans="119:119" x14ac:dyDescent="0.2">
      <c r="DO10368" s="303" t="s">
        <v>232</v>
      </c>
    </row>
    <row r="10369" spans="119:119" x14ac:dyDescent="0.2">
      <c r="DO10369" s="303" t="s">
        <v>232</v>
      </c>
    </row>
    <row r="10370" spans="119:119" x14ac:dyDescent="0.2">
      <c r="DO10370" s="303" t="s">
        <v>232</v>
      </c>
    </row>
    <row r="10371" spans="119:119" x14ac:dyDescent="0.2">
      <c r="DO10371" s="303" t="s">
        <v>232</v>
      </c>
    </row>
    <row r="10372" spans="119:119" x14ac:dyDescent="0.2">
      <c r="DO10372" s="303" t="s">
        <v>232</v>
      </c>
    </row>
    <row r="10373" spans="119:119" x14ac:dyDescent="0.2">
      <c r="DO10373" s="303" t="s">
        <v>232</v>
      </c>
    </row>
    <row r="10374" spans="119:119" x14ac:dyDescent="0.2">
      <c r="DO10374" s="303" t="s">
        <v>232</v>
      </c>
    </row>
    <row r="10375" spans="119:119" x14ac:dyDescent="0.2">
      <c r="DO10375" s="303" t="s">
        <v>232</v>
      </c>
    </row>
    <row r="10376" spans="119:119" x14ac:dyDescent="0.2">
      <c r="DO10376" s="303" t="s">
        <v>232</v>
      </c>
    </row>
    <row r="10377" spans="119:119" x14ac:dyDescent="0.2">
      <c r="DO10377" s="303" t="s">
        <v>232</v>
      </c>
    </row>
    <row r="10378" spans="119:119" x14ac:dyDescent="0.2">
      <c r="DO10378" s="303" t="s">
        <v>232</v>
      </c>
    </row>
    <row r="10379" spans="119:119" x14ac:dyDescent="0.2">
      <c r="DO10379" s="303" t="s">
        <v>232</v>
      </c>
    </row>
    <row r="10380" spans="119:119" x14ac:dyDescent="0.2">
      <c r="DO10380" s="303" t="s">
        <v>232</v>
      </c>
    </row>
    <row r="10381" spans="119:119" x14ac:dyDescent="0.2">
      <c r="DO10381" s="303" t="s">
        <v>232</v>
      </c>
    </row>
    <row r="10382" spans="119:119" x14ac:dyDescent="0.2">
      <c r="DO10382" s="303" t="s">
        <v>232</v>
      </c>
    </row>
    <row r="10383" spans="119:119" x14ac:dyDescent="0.2">
      <c r="DO10383" s="303" t="s">
        <v>232</v>
      </c>
    </row>
    <row r="10384" spans="119:119" x14ac:dyDescent="0.2">
      <c r="DO10384" s="303" t="s">
        <v>232</v>
      </c>
    </row>
    <row r="10385" spans="119:119" x14ac:dyDescent="0.2">
      <c r="DO10385" s="303" t="s">
        <v>232</v>
      </c>
    </row>
    <row r="10386" spans="119:119" x14ac:dyDescent="0.2">
      <c r="DO10386" s="303" t="s">
        <v>232</v>
      </c>
    </row>
    <row r="10387" spans="119:119" x14ac:dyDescent="0.2">
      <c r="DO10387" s="303" t="s">
        <v>232</v>
      </c>
    </row>
    <row r="10388" spans="119:119" x14ac:dyDescent="0.2">
      <c r="DO10388" s="303" t="s">
        <v>232</v>
      </c>
    </row>
    <row r="10389" spans="119:119" x14ac:dyDescent="0.2">
      <c r="DO10389" s="303" t="s">
        <v>232</v>
      </c>
    </row>
    <row r="10390" spans="119:119" x14ac:dyDescent="0.2">
      <c r="DO10390" s="303" t="s">
        <v>232</v>
      </c>
    </row>
    <row r="10391" spans="119:119" x14ac:dyDescent="0.2">
      <c r="DO10391" s="303" t="s">
        <v>232</v>
      </c>
    </row>
    <row r="10392" spans="119:119" x14ac:dyDescent="0.2">
      <c r="DO10392" s="303" t="s">
        <v>232</v>
      </c>
    </row>
    <row r="10393" spans="119:119" x14ac:dyDescent="0.2">
      <c r="DO10393" s="303" t="s">
        <v>232</v>
      </c>
    </row>
    <row r="10394" spans="119:119" x14ac:dyDescent="0.2">
      <c r="DO10394" s="303" t="s">
        <v>232</v>
      </c>
    </row>
    <row r="10395" spans="119:119" x14ac:dyDescent="0.2">
      <c r="DO10395" s="303" t="s">
        <v>232</v>
      </c>
    </row>
    <row r="10396" spans="119:119" x14ac:dyDescent="0.2">
      <c r="DO10396" s="303" t="s">
        <v>232</v>
      </c>
    </row>
    <row r="10397" spans="119:119" x14ac:dyDescent="0.2">
      <c r="DO10397" s="303" t="s">
        <v>232</v>
      </c>
    </row>
    <row r="10398" spans="119:119" x14ac:dyDescent="0.2">
      <c r="DO10398" s="303" t="s">
        <v>232</v>
      </c>
    </row>
    <row r="10399" spans="119:119" x14ac:dyDescent="0.2">
      <c r="DO10399" s="303" t="s">
        <v>232</v>
      </c>
    </row>
    <row r="10400" spans="119:119" x14ac:dyDescent="0.2">
      <c r="DO10400" s="303" t="s">
        <v>232</v>
      </c>
    </row>
    <row r="10401" spans="119:119" x14ac:dyDescent="0.2">
      <c r="DO10401" s="303" t="s">
        <v>232</v>
      </c>
    </row>
    <row r="10402" spans="119:119" x14ac:dyDescent="0.2">
      <c r="DO10402" s="303" t="s">
        <v>232</v>
      </c>
    </row>
    <row r="10403" spans="119:119" x14ac:dyDescent="0.2">
      <c r="DO10403" s="303" t="s">
        <v>232</v>
      </c>
    </row>
    <row r="10404" spans="119:119" x14ac:dyDescent="0.2">
      <c r="DO10404" s="303" t="s">
        <v>232</v>
      </c>
    </row>
    <row r="10405" spans="119:119" x14ac:dyDescent="0.2">
      <c r="DO10405" s="303" t="s">
        <v>232</v>
      </c>
    </row>
    <row r="10406" spans="119:119" x14ac:dyDescent="0.2">
      <c r="DO10406" s="303" t="s">
        <v>232</v>
      </c>
    </row>
    <row r="10407" spans="119:119" x14ac:dyDescent="0.2">
      <c r="DO10407" s="303" t="s">
        <v>232</v>
      </c>
    </row>
    <row r="10408" spans="119:119" x14ac:dyDescent="0.2">
      <c r="DO10408" s="303" t="s">
        <v>232</v>
      </c>
    </row>
    <row r="10409" spans="119:119" x14ac:dyDescent="0.2">
      <c r="DO10409" s="303" t="s">
        <v>232</v>
      </c>
    </row>
    <row r="10410" spans="119:119" x14ac:dyDescent="0.2">
      <c r="DO10410" s="303" t="s">
        <v>232</v>
      </c>
    </row>
    <row r="10411" spans="119:119" x14ac:dyDescent="0.2">
      <c r="DO10411" s="303" t="s">
        <v>232</v>
      </c>
    </row>
    <row r="10412" spans="119:119" x14ac:dyDescent="0.2">
      <c r="DO10412" s="303" t="s">
        <v>232</v>
      </c>
    </row>
    <row r="10413" spans="119:119" x14ac:dyDescent="0.2">
      <c r="DO10413" s="303" t="s">
        <v>232</v>
      </c>
    </row>
    <row r="10414" spans="119:119" x14ac:dyDescent="0.2">
      <c r="DO10414" s="303" t="s">
        <v>232</v>
      </c>
    </row>
    <row r="10415" spans="119:119" x14ac:dyDescent="0.2">
      <c r="DO10415" s="303" t="s">
        <v>232</v>
      </c>
    </row>
    <row r="10416" spans="119:119" x14ac:dyDescent="0.2">
      <c r="DO10416" s="303" t="s">
        <v>232</v>
      </c>
    </row>
    <row r="10417" spans="119:119" x14ac:dyDescent="0.2">
      <c r="DO10417" s="303" t="s">
        <v>232</v>
      </c>
    </row>
    <row r="10418" spans="119:119" x14ac:dyDescent="0.2">
      <c r="DO10418" s="303" t="s">
        <v>232</v>
      </c>
    </row>
    <row r="10419" spans="119:119" x14ac:dyDescent="0.2">
      <c r="DO10419" s="303" t="s">
        <v>232</v>
      </c>
    </row>
    <row r="10420" spans="119:119" x14ac:dyDescent="0.2">
      <c r="DO10420" s="303" t="s">
        <v>232</v>
      </c>
    </row>
    <row r="10421" spans="119:119" x14ac:dyDescent="0.2">
      <c r="DO10421" s="303" t="s">
        <v>232</v>
      </c>
    </row>
    <row r="10422" spans="119:119" x14ac:dyDescent="0.2">
      <c r="DO10422" s="303" t="s">
        <v>232</v>
      </c>
    </row>
    <row r="10423" spans="119:119" x14ac:dyDescent="0.2">
      <c r="DO10423" s="303" t="s">
        <v>232</v>
      </c>
    </row>
    <row r="10424" spans="119:119" x14ac:dyDescent="0.2">
      <c r="DO10424" s="303" t="s">
        <v>232</v>
      </c>
    </row>
    <row r="10425" spans="119:119" x14ac:dyDescent="0.2">
      <c r="DO10425" s="303" t="s">
        <v>232</v>
      </c>
    </row>
    <row r="10426" spans="119:119" x14ac:dyDescent="0.2">
      <c r="DO10426" s="303" t="s">
        <v>232</v>
      </c>
    </row>
    <row r="10427" spans="119:119" x14ac:dyDescent="0.2">
      <c r="DO10427" s="303" t="s">
        <v>232</v>
      </c>
    </row>
    <row r="10428" spans="119:119" x14ac:dyDescent="0.2">
      <c r="DO10428" s="303" t="s">
        <v>232</v>
      </c>
    </row>
    <row r="10429" spans="119:119" x14ac:dyDescent="0.2">
      <c r="DO10429" s="303" t="s">
        <v>232</v>
      </c>
    </row>
    <row r="10430" spans="119:119" x14ac:dyDescent="0.2">
      <c r="DO10430" s="303" t="s">
        <v>232</v>
      </c>
    </row>
    <row r="10431" spans="119:119" x14ac:dyDescent="0.2">
      <c r="DO10431" s="303" t="s">
        <v>232</v>
      </c>
    </row>
    <row r="10432" spans="119:119" x14ac:dyDescent="0.2">
      <c r="DO10432" s="303" t="s">
        <v>232</v>
      </c>
    </row>
    <row r="10433" spans="119:119" x14ac:dyDescent="0.2">
      <c r="DO10433" s="303" t="s">
        <v>232</v>
      </c>
    </row>
    <row r="10434" spans="119:119" x14ac:dyDescent="0.2">
      <c r="DO10434" s="303" t="s">
        <v>232</v>
      </c>
    </row>
    <row r="10435" spans="119:119" x14ac:dyDescent="0.2">
      <c r="DO10435" s="303" t="s">
        <v>232</v>
      </c>
    </row>
    <row r="10436" spans="119:119" x14ac:dyDescent="0.2">
      <c r="DO10436" s="303" t="s">
        <v>232</v>
      </c>
    </row>
    <row r="10437" spans="119:119" x14ac:dyDescent="0.2">
      <c r="DO10437" s="303" t="s">
        <v>232</v>
      </c>
    </row>
    <row r="10438" spans="119:119" x14ac:dyDescent="0.2">
      <c r="DO10438" s="303" t="s">
        <v>232</v>
      </c>
    </row>
    <row r="10439" spans="119:119" x14ac:dyDescent="0.2">
      <c r="DO10439" s="303" t="s">
        <v>232</v>
      </c>
    </row>
    <row r="10440" spans="119:119" x14ac:dyDescent="0.2">
      <c r="DO10440" s="303" t="s">
        <v>232</v>
      </c>
    </row>
    <row r="10441" spans="119:119" x14ac:dyDescent="0.2">
      <c r="DO10441" s="303" t="s">
        <v>232</v>
      </c>
    </row>
    <row r="10442" spans="119:119" x14ac:dyDescent="0.2">
      <c r="DO10442" s="303" t="s">
        <v>232</v>
      </c>
    </row>
    <row r="10443" spans="119:119" x14ac:dyDescent="0.2">
      <c r="DO10443" s="303" t="s">
        <v>232</v>
      </c>
    </row>
    <row r="10444" spans="119:119" x14ac:dyDescent="0.2">
      <c r="DO10444" s="303" t="s">
        <v>232</v>
      </c>
    </row>
    <row r="10445" spans="119:119" x14ac:dyDescent="0.2">
      <c r="DO10445" s="303" t="s">
        <v>232</v>
      </c>
    </row>
    <row r="10446" spans="119:119" x14ac:dyDescent="0.2">
      <c r="DO10446" s="303" t="s">
        <v>232</v>
      </c>
    </row>
    <row r="10447" spans="119:119" x14ac:dyDescent="0.2">
      <c r="DO10447" s="303" t="s">
        <v>232</v>
      </c>
    </row>
    <row r="10448" spans="119:119" x14ac:dyDescent="0.2">
      <c r="DO10448" s="303" t="s">
        <v>232</v>
      </c>
    </row>
    <row r="10449" spans="119:119" x14ac:dyDescent="0.2">
      <c r="DO10449" s="303" t="s">
        <v>232</v>
      </c>
    </row>
    <row r="10450" spans="119:119" x14ac:dyDescent="0.2">
      <c r="DO10450" s="303" t="s">
        <v>232</v>
      </c>
    </row>
    <row r="10451" spans="119:119" x14ac:dyDescent="0.2">
      <c r="DO10451" s="303" t="s">
        <v>232</v>
      </c>
    </row>
    <row r="10452" spans="119:119" x14ac:dyDescent="0.2">
      <c r="DO10452" s="303" t="s">
        <v>232</v>
      </c>
    </row>
    <row r="10453" spans="119:119" x14ac:dyDescent="0.2">
      <c r="DO10453" s="303" t="s">
        <v>232</v>
      </c>
    </row>
    <row r="10454" spans="119:119" x14ac:dyDescent="0.2">
      <c r="DO10454" s="303" t="s">
        <v>232</v>
      </c>
    </row>
    <row r="10455" spans="119:119" x14ac:dyDescent="0.2">
      <c r="DO10455" s="303" t="s">
        <v>232</v>
      </c>
    </row>
    <row r="10456" spans="119:119" x14ac:dyDescent="0.2">
      <c r="DO10456" s="303" t="s">
        <v>232</v>
      </c>
    </row>
    <row r="10457" spans="119:119" x14ac:dyDescent="0.2">
      <c r="DO10457" s="303" t="s">
        <v>232</v>
      </c>
    </row>
    <row r="10458" spans="119:119" x14ac:dyDescent="0.2">
      <c r="DO10458" s="303" t="s">
        <v>232</v>
      </c>
    </row>
    <row r="10459" spans="119:119" x14ac:dyDescent="0.2">
      <c r="DO10459" s="303" t="s">
        <v>232</v>
      </c>
    </row>
    <row r="10460" spans="119:119" x14ac:dyDescent="0.2">
      <c r="DO10460" s="303" t="s">
        <v>232</v>
      </c>
    </row>
    <row r="10461" spans="119:119" x14ac:dyDescent="0.2">
      <c r="DO10461" s="303" t="s">
        <v>232</v>
      </c>
    </row>
    <row r="10462" spans="119:119" x14ac:dyDescent="0.2">
      <c r="DO10462" s="303" t="s">
        <v>232</v>
      </c>
    </row>
    <row r="10463" spans="119:119" x14ac:dyDescent="0.2">
      <c r="DO10463" s="303" t="s">
        <v>232</v>
      </c>
    </row>
    <row r="10464" spans="119:119" x14ac:dyDescent="0.2">
      <c r="DO10464" s="303" t="s">
        <v>232</v>
      </c>
    </row>
    <row r="10465" spans="119:119" x14ac:dyDescent="0.2">
      <c r="DO10465" s="303" t="s">
        <v>232</v>
      </c>
    </row>
    <row r="10466" spans="119:119" x14ac:dyDescent="0.2">
      <c r="DO10466" s="303" t="s">
        <v>232</v>
      </c>
    </row>
    <row r="10467" spans="119:119" x14ac:dyDescent="0.2">
      <c r="DO10467" s="303" t="s">
        <v>232</v>
      </c>
    </row>
    <row r="10468" spans="119:119" x14ac:dyDescent="0.2">
      <c r="DO10468" s="303" t="s">
        <v>232</v>
      </c>
    </row>
    <row r="10469" spans="119:119" x14ac:dyDescent="0.2">
      <c r="DO10469" s="303" t="s">
        <v>232</v>
      </c>
    </row>
    <row r="10470" spans="119:119" x14ac:dyDescent="0.2">
      <c r="DO10470" s="303" t="s">
        <v>232</v>
      </c>
    </row>
    <row r="10471" spans="119:119" x14ac:dyDescent="0.2">
      <c r="DO10471" s="303" t="s">
        <v>232</v>
      </c>
    </row>
    <row r="10472" spans="119:119" x14ac:dyDescent="0.2">
      <c r="DO10472" s="303" t="s">
        <v>232</v>
      </c>
    </row>
    <row r="10473" spans="119:119" x14ac:dyDescent="0.2">
      <c r="DO10473" s="303" t="s">
        <v>232</v>
      </c>
    </row>
    <row r="10474" spans="119:119" x14ac:dyDescent="0.2">
      <c r="DO10474" s="303" t="s">
        <v>232</v>
      </c>
    </row>
    <row r="10475" spans="119:119" x14ac:dyDescent="0.2">
      <c r="DO10475" s="303" t="s">
        <v>232</v>
      </c>
    </row>
    <row r="10476" spans="119:119" x14ac:dyDescent="0.2">
      <c r="DO10476" s="303" t="s">
        <v>232</v>
      </c>
    </row>
    <row r="10477" spans="119:119" x14ac:dyDescent="0.2">
      <c r="DO10477" s="303" t="s">
        <v>232</v>
      </c>
    </row>
    <row r="10478" spans="119:119" x14ac:dyDescent="0.2">
      <c r="DO10478" s="303" t="s">
        <v>232</v>
      </c>
    </row>
    <row r="10479" spans="119:119" x14ac:dyDescent="0.2">
      <c r="DO10479" s="303" t="s">
        <v>232</v>
      </c>
    </row>
    <row r="10480" spans="119:119" x14ac:dyDescent="0.2">
      <c r="DO10480" s="303" t="s">
        <v>232</v>
      </c>
    </row>
    <row r="10481" spans="119:119" x14ac:dyDescent="0.2">
      <c r="DO10481" s="303" t="s">
        <v>232</v>
      </c>
    </row>
    <row r="10482" spans="119:119" x14ac:dyDescent="0.2">
      <c r="DO10482" s="303" t="s">
        <v>232</v>
      </c>
    </row>
    <row r="10483" spans="119:119" x14ac:dyDescent="0.2">
      <c r="DO10483" s="303" t="s">
        <v>232</v>
      </c>
    </row>
    <row r="10484" spans="119:119" x14ac:dyDescent="0.2">
      <c r="DO10484" s="303" t="s">
        <v>232</v>
      </c>
    </row>
    <row r="10485" spans="119:119" x14ac:dyDescent="0.2">
      <c r="DO10485" s="303" t="s">
        <v>232</v>
      </c>
    </row>
    <row r="10486" spans="119:119" x14ac:dyDescent="0.2">
      <c r="DO10486" s="303" t="s">
        <v>232</v>
      </c>
    </row>
    <row r="10487" spans="119:119" x14ac:dyDescent="0.2">
      <c r="DO10487" s="303" t="s">
        <v>232</v>
      </c>
    </row>
    <row r="10488" spans="119:119" x14ac:dyDescent="0.2">
      <c r="DO10488" s="303" t="s">
        <v>232</v>
      </c>
    </row>
    <row r="10489" spans="119:119" x14ac:dyDescent="0.2">
      <c r="DO10489" s="303" t="s">
        <v>232</v>
      </c>
    </row>
    <row r="10490" spans="119:119" x14ac:dyDescent="0.2">
      <c r="DO10490" s="303" t="s">
        <v>232</v>
      </c>
    </row>
    <row r="10491" spans="119:119" x14ac:dyDescent="0.2">
      <c r="DO10491" s="303" t="s">
        <v>232</v>
      </c>
    </row>
    <row r="10492" spans="119:119" x14ac:dyDescent="0.2">
      <c r="DO10492" s="303" t="s">
        <v>232</v>
      </c>
    </row>
    <row r="10493" spans="119:119" x14ac:dyDescent="0.2">
      <c r="DO10493" s="303" t="s">
        <v>232</v>
      </c>
    </row>
    <row r="10494" spans="119:119" x14ac:dyDescent="0.2">
      <c r="DO10494" s="303" t="s">
        <v>232</v>
      </c>
    </row>
    <row r="10495" spans="119:119" x14ac:dyDescent="0.2">
      <c r="DO10495" s="303" t="s">
        <v>232</v>
      </c>
    </row>
    <row r="10496" spans="119:119" x14ac:dyDescent="0.2">
      <c r="DO10496" s="303" t="s">
        <v>232</v>
      </c>
    </row>
    <row r="10497" spans="119:119" x14ac:dyDescent="0.2">
      <c r="DO10497" s="303" t="s">
        <v>232</v>
      </c>
    </row>
    <row r="10498" spans="119:119" x14ac:dyDescent="0.2">
      <c r="DO10498" s="303" t="s">
        <v>232</v>
      </c>
    </row>
    <row r="10499" spans="119:119" x14ac:dyDescent="0.2">
      <c r="DO10499" s="303" t="s">
        <v>232</v>
      </c>
    </row>
    <row r="10500" spans="119:119" x14ac:dyDescent="0.2">
      <c r="DO10500" s="303" t="s">
        <v>232</v>
      </c>
    </row>
    <row r="10501" spans="119:119" x14ac:dyDescent="0.2">
      <c r="DO10501" s="303" t="s">
        <v>232</v>
      </c>
    </row>
    <row r="10502" spans="119:119" x14ac:dyDescent="0.2">
      <c r="DO10502" s="303" t="s">
        <v>232</v>
      </c>
    </row>
    <row r="10503" spans="119:119" x14ac:dyDescent="0.2">
      <c r="DO10503" s="303" t="s">
        <v>232</v>
      </c>
    </row>
    <row r="10504" spans="119:119" x14ac:dyDescent="0.2">
      <c r="DO10504" s="303" t="s">
        <v>232</v>
      </c>
    </row>
    <row r="10505" spans="119:119" x14ac:dyDescent="0.2">
      <c r="DO10505" s="303" t="s">
        <v>232</v>
      </c>
    </row>
    <row r="10506" spans="119:119" x14ac:dyDescent="0.2">
      <c r="DO10506" s="303" t="s">
        <v>232</v>
      </c>
    </row>
    <row r="10507" spans="119:119" x14ac:dyDescent="0.2">
      <c r="DO10507" s="303" t="s">
        <v>232</v>
      </c>
    </row>
    <row r="10508" spans="119:119" x14ac:dyDescent="0.2">
      <c r="DO10508" s="303" t="s">
        <v>232</v>
      </c>
    </row>
    <row r="10509" spans="119:119" x14ac:dyDescent="0.2">
      <c r="DO10509" s="303" t="s">
        <v>232</v>
      </c>
    </row>
    <row r="10510" spans="119:119" x14ac:dyDescent="0.2">
      <c r="DO10510" s="303" t="s">
        <v>232</v>
      </c>
    </row>
    <row r="10511" spans="119:119" x14ac:dyDescent="0.2">
      <c r="DO10511" s="303" t="s">
        <v>232</v>
      </c>
    </row>
    <row r="10512" spans="119:119" x14ac:dyDescent="0.2">
      <c r="DO10512" s="303" t="s">
        <v>232</v>
      </c>
    </row>
    <row r="10513" spans="119:119" x14ac:dyDescent="0.2">
      <c r="DO10513" s="303" t="s">
        <v>232</v>
      </c>
    </row>
    <row r="10514" spans="119:119" x14ac:dyDescent="0.2">
      <c r="DO10514" s="303" t="s">
        <v>232</v>
      </c>
    </row>
    <row r="10515" spans="119:119" x14ac:dyDescent="0.2">
      <c r="DO10515" s="303" t="s">
        <v>232</v>
      </c>
    </row>
    <row r="10516" spans="119:119" x14ac:dyDescent="0.2">
      <c r="DO10516" s="303" t="s">
        <v>232</v>
      </c>
    </row>
    <row r="10517" spans="119:119" x14ac:dyDescent="0.2">
      <c r="DO10517" s="303" t="s">
        <v>232</v>
      </c>
    </row>
    <row r="10518" spans="119:119" x14ac:dyDescent="0.2">
      <c r="DO10518" s="303" t="s">
        <v>232</v>
      </c>
    </row>
    <row r="10519" spans="119:119" x14ac:dyDescent="0.2">
      <c r="DO10519" s="303" t="s">
        <v>232</v>
      </c>
    </row>
    <row r="10520" spans="119:119" x14ac:dyDescent="0.2">
      <c r="DO10520" s="303" t="s">
        <v>232</v>
      </c>
    </row>
    <row r="10521" spans="119:119" x14ac:dyDescent="0.2">
      <c r="DO10521" s="303" t="s">
        <v>232</v>
      </c>
    </row>
    <row r="10522" spans="119:119" x14ac:dyDescent="0.2">
      <c r="DO10522" s="303" t="s">
        <v>232</v>
      </c>
    </row>
    <row r="10523" spans="119:119" x14ac:dyDescent="0.2">
      <c r="DO10523" s="303" t="s">
        <v>232</v>
      </c>
    </row>
    <row r="10524" spans="119:119" x14ac:dyDescent="0.2">
      <c r="DO10524" s="303" t="s">
        <v>232</v>
      </c>
    </row>
    <row r="10525" spans="119:119" x14ac:dyDescent="0.2">
      <c r="DO10525" s="303" t="s">
        <v>232</v>
      </c>
    </row>
    <row r="10526" spans="119:119" x14ac:dyDescent="0.2">
      <c r="DO10526" s="303" t="s">
        <v>232</v>
      </c>
    </row>
    <row r="10527" spans="119:119" x14ac:dyDescent="0.2">
      <c r="DO10527" s="303" t="s">
        <v>232</v>
      </c>
    </row>
    <row r="10528" spans="119:119" x14ac:dyDescent="0.2">
      <c r="DO10528" s="303" t="s">
        <v>232</v>
      </c>
    </row>
    <row r="10529" spans="119:119" x14ac:dyDescent="0.2">
      <c r="DO10529" s="303" t="s">
        <v>232</v>
      </c>
    </row>
    <row r="10530" spans="119:119" x14ac:dyDescent="0.2">
      <c r="DO10530" s="303" t="s">
        <v>232</v>
      </c>
    </row>
    <row r="10531" spans="119:119" x14ac:dyDescent="0.2">
      <c r="DO10531" s="303" t="s">
        <v>232</v>
      </c>
    </row>
    <row r="10532" spans="119:119" x14ac:dyDescent="0.2">
      <c r="DO10532" s="303" t="s">
        <v>232</v>
      </c>
    </row>
    <row r="10533" spans="119:119" x14ac:dyDescent="0.2">
      <c r="DO10533" s="303" t="s">
        <v>232</v>
      </c>
    </row>
    <row r="10534" spans="119:119" x14ac:dyDescent="0.2">
      <c r="DO10534" s="303" t="s">
        <v>232</v>
      </c>
    </row>
    <row r="10535" spans="119:119" x14ac:dyDescent="0.2">
      <c r="DO10535" s="303" t="s">
        <v>232</v>
      </c>
    </row>
    <row r="10536" spans="119:119" x14ac:dyDescent="0.2">
      <c r="DO10536" s="303" t="s">
        <v>232</v>
      </c>
    </row>
    <row r="10537" spans="119:119" x14ac:dyDescent="0.2">
      <c r="DO10537" s="303" t="s">
        <v>232</v>
      </c>
    </row>
    <row r="10538" spans="119:119" x14ac:dyDescent="0.2">
      <c r="DO10538" s="303" t="s">
        <v>232</v>
      </c>
    </row>
    <row r="10539" spans="119:119" x14ac:dyDescent="0.2">
      <c r="DO10539" s="303" t="s">
        <v>232</v>
      </c>
    </row>
    <row r="10540" spans="119:119" x14ac:dyDescent="0.2">
      <c r="DO10540" s="303" t="s">
        <v>232</v>
      </c>
    </row>
    <row r="10541" spans="119:119" x14ac:dyDescent="0.2">
      <c r="DO10541" s="303" t="s">
        <v>232</v>
      </c>
    </row>
    <row r="10542" spans="119:119" x14ac:dyDescent="0.2">
      <c r="DO10542" s="303" t="s">
        <v>232</v>
      </c>
    </row>
    <row r="10543" spans="119:119" x14ac:dyDescent="0.2">
      <c r="DO10543" s="303" t="s">
        <v>232</v>
      </c>
    </row>
    <row r="10544" spans="119:119" x14ac:dyDescent="0.2">
      <c r="DO10544" s="303" t="s">
        <v>232</v>
      </c>
    </row>
    <row r="10545" spans="119:119" x14ac:dyDescent="0.2">
      <c r="DO10545" s="303" t="s">
        <v>232</v>
      </c>
    </row>
    <row r="10546" spans="119:119" x14ac:dyDescent="0.2">
      <c r="DO10546" s="303" t="s">
        <v>232</v>
      </c>
    </row>
    <row r="10547" spans="119:119" x14ac:dyDescent="0.2">
      <c r="DO10547" s="303" t="s">
        <v>232</v>
      </c>
    </row>
    <row r="10548" spans="119:119" x14ac:dyDescent="0.2">
      <c r="DO10548" s="303" t="s">
        <v>232</v>
      </c>
    </row>
    <row r="10549" spans="119:119" x14ac:dyDescent="0.2">
      <c r="DO10549" s="303" t="s">
        <v>232</v>
      </c>
    </row>
    <row r="10550" spans="119:119" x14ac:dyDescent="0.2">
      <c r="DO10550" s="303" t="s">
        <v>232</v>
      </c>
    </row>
    <row r="10551" spans="119:119" x14ac:dyDescent="0.2">
      <c r="DO10551" s="303" t="s">
        <v>232</v>
      </c>
    </row>
    <row r="10552" spans="119:119" x14ac:dyDescent="0.2">
      <c r="DO10552" s="303" t="s">
        <v>232</v>
      </c>
    </row>
    <row r="10553" spans="119:119" x14ac:dyDescent="0.2">
      <c r="DO10553" s="303" t="s">
        <v>232</v>
      </c>
    </row>
    <row r="10554" spans="119:119" x14ac:dyDescent="0.2">
      <c r="DO10554" s="303" t="s">
        <v>232</v>
      </c>
    </row>
    <row r="10555" spans="119:119" x14ac:dyDescent="0.2">
      <c r="DO10555" s="303" t="s">
        <v>232</v>
      </c>
    </row>
    <row r="10556" spans="119:119" x14ac:dyDescent="0.2">
      <c r="DO10556" s="303" t="s">
        <v>232</v>
      </c>
    </row>
    <row r="10557" spans="119:119" x14ac:dyDescent="0.2">
      <c r="DO10557" s="303" t="s">
        <v>232</v>
      </c>
    </row>
    <row r="10558" spans="119:119" x14ac:dyDescent="0.2">
      <c r="DO10558" s="303" t="s">
        <v>232</v>
      </c>
    </row>
    <row r="10559" spans="119:119" x14ac:dyDescent="0.2">
      <c r="DO10559" s="303" t="s">
        <v>232</v>
      </c>
    </row>
    <row r="10560" spans="119:119" x14ac:dyDescent="0.2">
      <c r="DO10560" s="303" t="s">
        <v>232</v>
      </c>
    </row>
    <row r="10561" spans="119:119" x14ac:dyDescent="0.2">
      <c r="DO10561" s="303" t="s">
        <v>232</v>
      </c>
    </row>
    <row r="10562" spans="119:119" x14ac:dyDescent="0.2">
      <c r="DO10562" s="303" t="s">
        <v>232</v>
      </c>
    </row>
    <row r="10563" spans="119:119" x14ac:dyDescent="0.2">
      <c r="DO10563" s="303" t="s">
        <v>232</v>
      </c>
    </row>
    <row r="10564" spans="119:119" x14ac:dyDescent="0.2">
      <c r="DO10564" s="303" t="s">
        <v>232</v>
      </c>
    </row>
    <row r="10565" spans="119:119" x14ac:dyDescent="0.2">
      <c r="DO10565" s="303" t="s">
        <v>232</v>
      </c>
    </row>
    <row r="10566" spans="119:119" x14ac:dyDescent="0.2">
      <c r="DO10566" s="303" t="s">
        <v>232</v>
      </c>
    </row>
    <row r="10567" spans="119:119" x14ac:dyDescent="0.2">
      <c r="DO10567" s="303" t="s">
        <v>232</v>
      </c>
    </row>
    <row r="10568" spans="119:119" x14ac:dyDescent="0.2">
      <c r="DO10568" s="303" t="s">
        <v>232</v>
      </c>
    </row>
    <row r="10569" spans="119:119" x14ac:dyDescent="0.2">
      <c r="DO10569" s="303" t="s">
        <v>232</v>
      </c>
    </row>
    <row r="10570" spans="119:119" x14ac:dyDescent="0.2">
      <c r="DO10570" s="303" t="s">
        <v>232</v>
      </c>
    </row>
    <row r="10571" spans="119:119" x14ac:dyDescent="0.2">
      <c r="DO10571" s="303" t="s">
        <v>232</v>
      </c>
    </row>
    <row r="10572" spans="119:119" x14ac:dyDescent="0.2">
      <c r="DO10572" s="303" t="s">
        <v>232</v>
      </c>
    </row>
    <row r="10573" spans="119:119" x14ac:dyDescent="0.2">
      <c r="DO10573" s="303" t="s">
        <v>232</v>
      </c>
    </row>
    <row r="10574" spans="119:119" x14ac:dyDescent="0.2">
      <c r="DO10574" s="303" t="s">
        <v>232</v>
      </c>
    </row>
    <row r="10575" spans="119:119" x14ac:dyDescent="0.2">
      <c r="DO10575" s="303" t="s">
        <v>232</v>
      </c>
    </row>
    <row r="10576" spans="119:119" x14ac:dyDescent="0.2">
      <c r="DO10576" s="303" t="s">
        <v>232</v>
      </c>
    </row>
    <row r="10577" spans="119:119" x14ac:dyDescent="0.2">
      <c r="DO10577" s="303" t="s">
        <v>232</v>
      </c>
    </row>
    <row r="10578" spans="119:119" x14ac:dyDescent="0.2">
      <c r="DO10578" s="303" t="s">
        <v>232</v>
      </c>
    </row>
    <row r="10579" spans="119:119" x14ac:dyDescent="0.2">
      <c r="DO10579" s="303" t="s">
        <v>232</v>
      </c>
    </row>
    <row r="10580" spans="119:119" x14ac:dyDescent="0.2">
      <c r="DO10580" s="303" t="s">
        <v>232</v>
      </c>
    </row>
    <row r="10581" spans="119:119" x14ac:dyDescent="0.2">
      <c r="DO10581" s="303" t="s">
        <v>232</v>
      </c>
    </row>
    <row r="10582" spans="119:119" x14ac:dyDescent="0.2">
      <c r="DO10582" s="303" t="s">
        <v>232</v>
      </c>
    </row>
    <row r="10583" spans="119:119" x14ac:dyDescent="0.2">
      <c r="DO10583" s="303" t="s">
        <v>232</v>
      </c>
    </row>
    <row r="10584" spans="119:119" x14ac:dyDescent="0.2">
      <c r="DO10584" s="303" t="s">
        <v>232</v>
      </c>
    </row>
    <row r="10585" spans="119:119" x14ac:dyDescent="0.2">
      <c r="DO10585" s="303" t="s">
        <v>232</v>
      </c>
    </row>
    <row r="10586" spans="119:119" x14ac:dyDescent="0.2">
      <c r="DO10586" s="303" t="s">
        <v>232</v>
      </c>
    </row>
    <row r="10587" spans="119:119" x14ac:dyDescent="0.2">
      <c r="DO10587" s="303" t="s">
        <v>232</v>
      </c>
    </row>
    <row r="10588" spans="119:119" x14ac:dyDescent="0.2">
      <c r="DO10588" s="303" t="s">
        <v>232</v>
      </c>
    </row>
    <row r="10589" spans="119:119" x14ac:dyDescent="0.2">
      <c r="DO10589" s="303" t="s">
        <v>232</v>
      </c>
    </row>
    <row r="10590" spans="119:119" x14ac:dyDescent="0.2">
      <c r="DO10590" s="303" t="s">
        <v>232</v>
      </c>
    </row>
    <row r="10591" spans="119:119" x14ac:dyDescent="0.2">
      <c r="DO10591" s="303" t="s">
        <v>232</v>
      </c>
    </row>
    <row r="10592" spans="119:119" x14ac:dyDescent="0.2">
      <c r="DO10592" s="303" t="s">
        <v>232</v>
      </c>
    </row>
    <row r="10593" spans="119:119" x14ac:dyDescent="0.2">
      <c r="DO10593" s="303" t="s">
        <v>232</v>
      </c>
    </row>
    <row r="10594" spans="119:119" x14ac:dyDescent="0.2">
      <c r="DO10594" s="303" t="s">
        <v>232</v>
      </c>
    </row>
    <row r="10595" spans="119:119" x14ac:dyDescent="0.2">
      <c r="DO10595" s="303" t="s">
        <v>232</v>
      </c>
    </row>
    <row r="10596" spans="119:119" x14ac:dyDescent="0.2">
      <c r="DO10596" s="303" t="s">
        <v>232</v>
      </c>
    </row>
    <row r="10597" spans="119:119" x14ac:dyDescent="0.2">
      <c r="DO10597" s="303" t="s">
        <v>232</v>
      </c>
    </row>
    <row r="10598" spans="119:119" x14ac:dyDescent="0.2">
      <c r="DO10598" s="303" t="s">
        <v>232</v>
      </c>
    </row>
    <row r="10599" spans="119:119" x14ac:dyDescent="0.2">
      <c r="DO10599" s="303" t="s">
        <v>232</v>
      </c>
    </row>
    <row r="10600" spans="119:119" x14ac:dyDescent="0.2">
      <c r="DO10600" s="303" t="s">
        <v>232</v>
      </c>
    </row>
    <row r="10601" spans="119:119" x14ac:dyDescent="0.2">
      <c r="DO10601" s="303" t="s">
        <v>232</v>
      </c>
    </row>
    <row r="10602" spans="119:119" x14ac:dyDescent="0.2">
      <c r="DO10602" s="303" t="s">
        <v>232</v>
      </c>
    </row>
    <row r="10603" spans="119:119" x14ac:dyDescent="0.2">
      <c r="DO10603" s="303" t="s">
        <v>232</v>
      </c>
    </row>
    <row r="10604" spans="119:119" x14ac:dyDescent="0.2">
      <c r="DO10604" s="303" t="s">
        <v>232</v>
      </c>
    </row>
    <row r="10605" spans="119:119" x14ac:dyDescent="0.2">
      <c r="DO10605" s="303" t="s">
        <v>232</v>
      </c>
    </row>
    <row r="10606" spans="119:119" x14ac:dyDescent="0.2">
      <c r="DO10606" s="303" t="s">
        <v>232</v>
      </c>
    </row>
    <row r="10607" spans="119:119" x14ac:dyDescent="0.2">
      <c r="DO10607" s="303" t="s">
        <v>232</v>
      </c>
    </row>
    <row r="10608" spans="119:119" x14ac:dyDescent="0.2">
      <c r="DO10608" s="303" t="s">
        <v>232</v>
      </c>
    </row>
    <row r="10609" spans="119:119" x14ac:dyDescent="0.2">
      <c r="DO10609" s="303" t="s">
        <v>232</v>
      </c>
    </row>
    <row r="10610" spans="119:119" x14ac:dyDescent="0.2">
      <c r="DO10610" s="303" t="s">
        <v>232</v>
      </c>
    </row>
    <row r="10611" spans="119:119" x14ac:dyDescent="0.2">
      <c r="DO10611" s="303" t="s">
        <v>232</v>
      </c>
    </row>
    <row r="10612" spans="119:119" x14ac:dyDescent="0.2">
      <c r="DO10612" s="303" t="s">
        <v>232</v>
      </c>
    </row>
    <row r="10613" spans="119:119" x14ac:dyDescent="0.2">
      <c r="DO10613" s="303" t="s">
        <v>232</v>
      </c>
    </row>
    <row r="10614" spans="119:119" x14ac:dyDescent="0.2">
      <c r="DO10614" s="303" t="s">
        <v>232</v>
      </c>
    </row>
    <row r="10615" spans="119:119" x14ac:dyDescent="0.2">
      <c r="DO10615" s="303" t="s">
        <v>232</v>
      </c>
    </row>
    <row r="10616" spans="119:119" x14ac:dyDescent="0.2">
      <c r="DO10616" s="303" t="s">
        <v>232</v>
      </c>
    </row>
    <row r="10617" spans="119:119" x14ac:dyDescent="0.2">
      <c r="DO10617" s="303" t="s">
        <v>232</v>
      </c>
    </row>
    <row r="10618" spans="119:119" x14ac:dyDescent="0.2">
      <c r="DO10618" s="303" t="s">
        <v>232</v>
      </c>
    </row>
    <row r="10619" spans="119:119" x14ac:dyDescent="0.2">
      <c r="DO10619" s="303" t="s">
        <v>232</v>
      </c>
    </row>
    <row r="10620" spans="119:119" x14ac:dyDescent="0.2">
      <c r="DO10620" s="303" t="s">
        <v>232</v>
      </c>
    </row>
    <row r="10621" spans="119:119" x14ac:dyDescent="0.2">
      <c r="DO10621" s="303" t="s">
        <v>232</v>
      </c>
    </row>
    <row r="10622" spans="119:119" x14ac:dyDescent="0.2">
      <c r="DO10622" s="303" t="s">
        <v>232</v>
      </c>
    </row>
    <row r="10623" spans="119:119" x14ac:dyDescent="0.2">
      <c r="DO10623" s="303" t="s">
        <v>232</v>
      </c>
    </row>
    <row r="10624" spans="119:119" x14ac:dyDescent="0.2">
      <c r="DO10624" s="303" t="s">
        <v>232</v>
      </c>
    </row>
    <row r="10625" spans="119:119" x14ac:dyDescent="0.2">
      <c r="DO10625" s="303" t="s">
        <v>232</v>
      </c>
    </row>
    <row r="10626" spans="119:119" x14ac:dyDescent="0.2">
      <c r="DO10626" s="303" t="s">
        <v>232</v>
      </c>
    </row>
    <row r="10627" spans="119:119" x14ac:dyDescent="0.2">
      <c r="DO10627" s="303" t="s">
        <v>232</v>
      </c>
    </row>
    <row r="10628" spans="119:119" x14ac:dyDescent="0.2">
      <c r="DO10628" s="303" t="s">
        <v>232</v>
      </c>
    </row>
    <row r="10629" spans="119:119" x14ac:dyDescent="0.2">
      <c r="DO10629" s="303" t="s">
        <v>232</v>
      </c>
    </row>
    <row r="10630" spans="119:119" x14ac:dyDescent="0.2">
      <c r="DO10630" s="303" t="s">
        <v>232</v>
      </c>
    </row>
    <row r="10631" spans="119:119" x14ac:dyDescent="0.2">
      <c r="DO10631" s="303" t="s">
        <v>232</v>
      </c>
    </row>
    <row r="10632" spans="119:119" x14ac:dyDescent="0.2">
      <c r="DO10632" s="303" t="s">
        <v>232</v>
      </c>
    </row>
    <row r="10633" spans="119:119" x14ac:dyDescent="0.2">
      <c r="DO10633" s="303" t="s">
        <v>232</v>
      </c>
    </row>
    <row r="10634" spans="119:119" x14ac:dyDescent="0.2">
      <c r="DO10634" s="303" t="s">
        <v>232</v>
      </c>
    </row>
    <row r="10635" spans="119:119" x14ac:dyDescent="0.2">
      <c r="DO10635" s="303" t="s">
        <v>232</v>
      </c>
    </row>
    <row r="10636" spans="119:119" x14ac:dyDescent="0.2">
      <c r="DO10636" s="303" t="s">
        <v>232</v>
      </c>
    </row>
    <row r="10637" spans="119:119" x14ac:dyDescent="0.2">
      <c r="DO10637" s="303" t="s">
        <v>232</v>
      </c>
    </row>
    <row r="10638" spans="119:119" x14ac:dyDescent="0.2">
      <c r="DO10638" s="303" t="s">
        <v>232</v>
      </c>
    </row>
    <row r="10639" spans="119:119" x14ac:dyDescent="0.2">
      <c r="DO10639" s="303" t="s">
        <v>232</v>
      </c>
    </row>
    <row r="10640" spans="119:119" x14ac:dyDescent="0.2">
      <c r="DO10640" s="303" t="s">
        <v>232</v>
      </c>
    </row>
    <row r="10641" spans="119:119" x14ac:dyDescent="0.2">
      <c r="DO10641" s="303" t="s">
        <v>232</v>
      </c>
    </row>
    <row r="10642" spans="119:119" x14ac:dyDescent="0.2">
      <c r="DO10642" s="303" t="s">
        <v>232</v>
      </c>
    </row>
    <row r="10643" spans="119:119" x14ac:dyDescent="0.2">
      <c r="DO10643" s="303" t="s">
        <v>232</v>
      </c>
    </row>
    <row r="10644" spans="119:119" x14ac:dyDescent="0.2">
      <c r="DO10644" s="303" t="s">
        <v>232</v>
      </c>
    </row>
    <row r="10645" spans="119:119" x14ac:dyDescent="0.2">
      <c r="DO10645" s="303" t="s">
        <v>232</v>
      </c>
    </row>
    <row r="10646" spans="119:119" x14ac:dyDescent="0.2">
      <c r="DO10646" s="303" t="s">
        <v>232</v>
      </c>
    </row>
    <row r="10647" spans="119:119" x14ac:dyDescent="0.2">
      <c r="DO10647" s="303" t="s">
        <v>232</v>
      </c>
    </row>
    <row r="10648" spans="119:119" x14ac:dyDescent="0.2">
      <c r="DO10648" s="303" t="s">
        <v>232</v>
      </c>
    </row>
    <row r="10649" spans="119:119" x14ac:dyDescent="0.2">
      <c r="DO10649" s="303" t="s">
        <v>232</v>
      </c>
    </row>
    <row r="10650" spans="119:119" x14ac:dyDescent="0.2">
      <c r="DO10650" s="303" t="s">
        <v>232</v>
      </c>
    </row>
    <row r="10651" spans="119:119" x14ac:dyDescent="0.2">
      <c r="DO10651" s="303" t="s">
        <v>232</v>
      </c>
    </row>
    <row r="10652" spans="119:119" x14ac:dyDescent="0.2">
      <c r="DO10652" s="303" t="s">
        <v>232</v>
      </c>
    </row>
    <row r="10653" spans="119:119" x14ac:dyDescent="0.2">
      <c r="DO10653" s="303" t="s">
        <v>232</v>
      </c>
    </row>
    <row r="10654" spans="119:119" x14ac:dyDescent="0.2">
      <c r="DO10654" s="303" t="s">
        <v>232</v>
      </c>
    </row>
    <row r="10655" spans="119:119" x14ac:dyDescent="0.2">
      <c r="DO10655" s="303" t="s">
        <v>232</v>
      </c>
    </row>
    <row r="10656" spans="119:119" x14ac:dyDescent="0.2">
      <c r="DO10656" s="303" t="s">
        <v>232</v>
      </c>
    </row>
    <row r="10657" spans="119:119" x14ac:dyDescent="0.2">
      <c r="DO10657" s="303" t="s">
        <v>232</v>
      </c>
    </row>
    <row r="10658" spans="119:119" x14ac:dyDescent="0.2">
      <c r="DO10658" s="303" t="s">
        <v>232</v>
      </c>
    </row>
    <row r="10659" spans="119:119" x14ac:dyDescent="0.2">
      <c r="DO10659" s="303" t="s">
        <v>232</v>
      </c>
    </row>
    <row r="10660" spans="119:119" x14ac:dyDescent="0.2">
      <c r="DO10660" s="303" t="s">
        <v>232</v>
      </c>
    </row>
    <row r="10661" spans="119:119" x14ac:dyDescent="0.2">
      <c r="DO10661" s="303" t="s">
        <v>232</v>
      </c>
    </row>
    <row r="10662" spans="119:119" x14ac:dyDescent="0.2">
      <c r="DO10662" s="303" t="s">
        <v>232</v>
      </c>
    </row>
    <row r="10663" spans="119:119" x14ac:dyDescent="0.2">
      <c r="DO10663" s="303" t="s">
        <v>232</v>
      </c>
    </row>
    <row r="10664" spans="119:119" x14ac:dyDescent="0.2">
      <c r="DO10664" s="303" t="s">
        <v>232</v>
      </c>
    </row>
    <row r="10665" spans="119:119" x14ac:dyDescent="0.2">
      <c r="DO10665" s="303" t="s">
        <v>232</v>
      </c>
    </row>
    <row r="10666" spans="119:119" x14ac:dyDescent="0.2">
      <c r="DO10666" s="303" t="s">
        <v>232</v>
      </c>
    </row>
    <row r="10667" spans="119:119" x14ac:dyDescent="0.2">
      <c r="DO10667" s="303" t="s">
        <v>232</v>
      </c>
    </row>
    <row r="10668" spans="119:119" x14ac:dyDescent="0.2">
      <c r="DO10668" s="303" t="s">
        <v>232</v>
      </c>
    </row>
    <row r="10669" spans="119:119" x14ac:dyDescent="0.2">
      <c r="DO10669" s="303" t="s">
        <v>232</v>
      </c>
    </row>
    <row r="10670" spans="119:119" x14ac:dyDescent="0.2">
      <c r="DO10670" s="303" t="s">
        <v>232</v>
      </c>
    </row>
    <row r="10671" spans="119:119" x14ac:dyDescent="0.2">
      <c r="DO10671" s="303" t="s">
        <v>232</v>
      </c>
    </row>
    <row r="10672" spans="119:119" x14ac:dyDescent="0.2">
      <c r="DO10672" s="303" t="s">
        <v>232</v>
      </c>
    </row>
    <row r="10673" spans="119:119" x14ac:dyDescent="0.2">
      <c r="DO10673" s="303" t="s">
        <v>232</v>
      </c>
    </row>
    <row r="10674" spans="119:119" x14ac:dyDescent="0.2">
      <c r="DO10674" s="303" t="s">
        <v>232</v>
      </c>
    </row>
    <row r="10675" spans="119:119" x14ac:dyDescent="0.2">
      <c r="DO10675" s="303" t="s">
        <v>232</v>
      </c>
    </row>
    <row r="10676" spans="119:119" x14ac:dyDescent="0.2">
      <c r="DO10676" s="303" t="s">
        <v>232</v>
      </c>
    </row>
    <row r="10677" spans="119:119" x14ac:dyDescent="0.2">
      <c r="DO10677" s="303" t="s">
        <v>232</v>
      </c>
    </row>
    <row r="10678" spans="119:119" x14ac:dyDescent="0.2">
      <c r="DO10678" s="303" t="s">
        <v>232</v>
      </c>
    </row>
    <row r="10679" spans="119:119" x14ac:dyDescent="0.2">
      <c r="DO10679" s="303" t="s">
        <v>232</v>
      </c>
    </row>
    <row r="10680" spans="119:119" x14ac:dyDescent="0.2">
      <c r="DO10680" s="303" t="s">
        <v>232</v>
      </c>
    </row>
    <row r="10681" spans="119:119" x14ac:dyDescent="0.2">
      <c r="DO10681" s="303" t="s">
        <v>232</v>
      </c>
    </row>
    <row r="10682" spans="119:119" x14ac:dyDescent="0.2">
      <c r="DO10682" s="303" t="s">
        <v>232</v>
      </c>
    </row>
    <row r="10683" spans="119:119" x14ac:dyDescent="0.2">
      <c r="DO10683" s="303" t="s">
        <v>232</v>
      </c>
    </row>
    <row r="10684" spans="119:119" x14ac:dyDescent="0.2">
      <c r="DO10684" s="303" t="s">
        <v>232</v>
      </c>
    </row>
    <row r="10685" spans="119:119" x14ac:dyDescent="0.2">
      <c r="DO10685" s="303" t="s">
        <v>232</v>
      </c>
    </row>
    <row r="10686" spans="119:119" x14ac:dyDescent="0.2">
      <c r="DO10686" s="303" t="s">
        <v>232</v>
      </c>
    </row>
    <row r="10687" spans="119:119" x14ac:dyDescent="0.2">
      <c r="DO10687" s="303" t="s">
        <v>232</v>
      </c>
    </row>
    <row r="10688" spans="119:119" x14ac:dyDescent="0.2">
      <c r="DO10688" s="303" t="s">
        <v>232</v>
      </c>
    </row>
    <row r="10689" spans="119:119" x14ac:dyDescent="0.2">
      <c r="DO10689" s="303" t="s">
        <v>232</v>
      </c>
    </row>
    <row r="10690" spans="119:119" x14ac:dyDescent="0.2">
      <c r="DO10690" s="303" t="s">
        <v>232</v>
      </c>
    </row>
    <row r="10691" spans="119:119" x14ac:dyDescent="0.2">
      <c r="DO10691" s="303" t="s">
        <v>232</v>
      </c>
    </row>
    <row r="10692" spans="119:119" x14ac:dyDescent="0.2">
      <c r="DO10692" s="303" t="s">
        <v>232</v>
      </c>
    </row>
    <row r="10693" spans="119:119" x14ac:dyDescent="0.2">
      <c r="DO10693" s="303" t="s">
        <v>232</v>
      </c>
    </row>
    <row r="10694" spans="119:119" x14ac:dyDescent="0.2">
      <c r="DO10694" s="303" t="s">
        <v>232</v>
      </c>
    </row>
    <row r="10695" spans="119:119" x14ac:dyDescent="0.2">
      <c r="DO10695" s="303" t="s">
        <v>232</v>
      </c>
    </row>
    <row r="10696" spans="119:119" x14ac:dyDescent="0.2">
      <c r="DO10696" s="303" t="s">
        <v>232</v>
      </c>
    </row>
    <row r="10697" spans="119:119" x14ac:dyDescent="0.2">
      <c r="DO10697" s="303" t="s">
        <v>232</v>
      </c>
    </row>
    <row r="10698" spans="119:119" x14ac:dyDescent="0.2">
      <c r="DO10698" s="303" t="s">
        <v>232</v>
      </c>
    </row>
    <row r="10699" spans="119:119" x14ac:dyDescent="0.2">
      <c r="DO10699" s="303" t="s">
        <v>232</v>
      </c>
    </row>
    <row r="10700" spans="119:119" x14ac:dyDescent="0.2">
      <c r="DO10700" s="303" t="s">
        <v>232</v>
      </c>
    </row>
    <row r="10701" spans="119:119" x14ac:dyDescent="0.2">
      <c r="DO10701" s="303" t="s">
        <v>232</v>
      </c>
    </row>
    <row r="10702" spans="119:119" x14ac:dyDescent="0.2">
      <c r="DO10702" s="303" t="s">
        <v>232</v>
      </c>
    </row>
    <row r="10703" spans="119:119" x14ac:dyDescent="0.2">
      <c r="DO10703" s="303" t="s">
        <v>232</v>
      </c>
    </row>
    <row r="10704" spans="119:119" x14ac:dyDescent="0.2">
      <c r="DO10704" s="303" t="s">
        <v>232</v>
      </c>
    </row>
    <row r="10705" spans="119:119" x14ac:dyDescent="0.2">
      <c r="DO10705" s="303" t="s">
        <v>232</v>
      </c>
    </row>
    <row r="10706" spans="119:119" x14ac:dyDescent="0.2">
      <c r="DO10706" s="303" t="s">
        <v>232</v>
      </c>
    </row>
    <row r="10707" spans="119:119" x14ac:dyDescent="0.2">
      <c r="DO10707" s="303" t="s">
        <v>232</v>
      </c>
    </row>
    <row r="10708" spans="119:119" x14ac:dyDescent="0.2">
      <c r="DO10708" s="303" t="s">
        <v>232</v>
      </c>
    </row>
    <row r="10709" spans="119:119" x14ac:dyDescent="0.2">
      <c r="DO10709" s="303" t="s">
        <v>232</v>
      </c>
    </row>
    <row r="10710" spans="119:119" x14ac:dyDescent="0.2">
      <c r="DO10710" s="303" t="s">
        <v>232</v>
      </c>
    </row>
    <row r="10711" spans="119:119" x14ac:dyDescent="0.2">
      <c r="DO10711" s="303" t="s">
        <v>232</v>
      </c>
    </row>
    <row r="10712" spans="119:119" x14ac:dyDescent="0.2">
      <c r="DO10712" s="303" t="s">
        <v>232</v>
      </c>
    </row>
    <row r="10713" spans="119:119" x14ac:dyDescent="0.2">
      <c r="DO10713" s="303" t="s">
        <v>232</v>
      </c>
    </row>
    <row r="10714" spans="119:119" x14ac:dyDescent="0.2">
      <c r="DO10714" s="303" t="s">
        <v>232</v>
      </c>
    </row>
    <row r="10715" spans="119:119" x14ac:dyDescent="0.2">
      <c r="DO10715" s="303" t="s">
        <v>232</v>
      </c>
    </row>
    <row r="10716" spans="119:119" x14ac:dyDescent="0.2">
      <c r="DO10716" s="303" t="s">
        <v>232</v>
      </c>
    </row>
    <row r="10717" spans="119:119" x14ac:dyDescent="0.2">
      <c r="DO10717" s="303" t="s">
        <v>232</v>
      </c>
    </row>
    <row r="10718" spans="119:119" x14ac:dyDescent="0.2">
      <c r="DO10718" s="303" t="s">
        <v>232</v>
      </c>
    </row>
    <row r="10719" spans="119:119" x14ac:dyDescent="0.2">
      <c r="DO10719" s="303" t="s">
        <v>232</v>
      </c>
    </row>
    <row r="10720" spans="119:119" x14ac:dyDescent="0.2">
      <c r="DO10720" s="303" t="s">
        <v>232</v>
      </c>
    </row>
    <row r="10721" spans="119:119" x14ac:dyDescent="0.2">
      <c r="DO10721" s="303" t="s">
        <v>232</v>
      </c>
    </row>
    <row r="10722" spans="119:119" x14ac:dyDescent="0.2">
      <c r="DO10722" s="303" t="s">
        <v>232</v>
      </c>
    </row>
    <row r="10723" spans="119:119" x14ac:dyDescent="0.2">
      <c r="DO10723" s="303" t="s">
        <v>232</v>
      </c>
    </row>
    <row r="10724" spans="119:119" x14ac:dyDescent="0.2">
      <c r="DO10724" s="303" t="s">
        <v>232</v>
      </c>
    </row>
    <row r="10725" spans="119:119" x14ac:dyDescent="0.2">
      <c r="DO10725" s="303" t="s">
        <v>232</v>
      </c>
    </row>
    <row r="10726" spans="119:119" x14ac:dyDescent="0.2">
      <c r="DO10726" s="303" t="s">
        <v>232</v>
      </c>
    </row>
    <row r="10727" spans="119:119" x14ac:dyDescent="0.2">
      <c r="DO10727" s="303" t="s">
        <v>232</v>
      </c>
    </row>
    <row r="10728" spans="119:119" x14ac:dyDescent="0.2">
      <c r="DO10728" s="303" t="s">
        <v>232</v>
      </c>
    </row>
    <row r="10729" spans="119:119" x14ac:dyDescent="0.2">
      <c r="DO10729" s="303" t="s">
        <v>232</v>
      </c>
    </row>
    <row r="10730" spans="119:119" x14ac:dyDescent="0.2">
      <c r="DO10730" s="303" t="s">
        <v>232</v>
      </c>
    </row>
    <row r="10731" spans="119:119" x14ac:dyDescent="0.2">
      <c r="DO10731" s="303" t="s">
        <v>232</v>
      </c>
    </row>
    <row r="10732" spans="119:119" x14ac:dyDescent="0.2">
      <c r="DO10732" s="303" t="s">
        <v>232</v>
      </c>
    </row>
    <row r="10733" spans="119:119" x14ac:dyDescent="0.2">
      <c r="DO10733" s="303" t="s">
        <v>232</v>
      </c>
    </row>
    <row r="10734" spans="119:119" x14ac:dyDescent="0.2">
      <c r="DO10734" s="303" t="s">
        <v>232</v>
      </c>
    </row>
    <row r="10735" spans="119:119" x14ac:dyDescent="0.2">
      <c r="DO10735" s="303" t="s">
        <v>232</v>
      </c>
    </row>
    <row r="10736" spans="119:119" x14ac:dyDescent="0.2">
      <c r="DO10736" s="303" t="s">
        <v>232</v>
      </c>
    </row>
    <row r="10737" spans="119:119" x14ac:dyDescent="0.2">
      <c r="DO10737" s="303" t="s">
        <v>232</v>
      </c>
    </row>
    <row r="10738" spans="119:119" x14ac:dyDescent="0.2">
      <c r="DO10738" s="303" t="s">
        <v>232</v>
      </c>
    </row>
    <row r="10739" spans="119:119" x14ac:dyDescent="0.2">
      <c r="DO10739" s="303" t="s">
        <v>232</v>
      </c>
    </row>
    <row r="10740" spans="119:119" x14ac:dyDescent="0.2">
      <c r="DO10740" s="303" t="s">
        <v>232</v>
      </c>
    </row>
    <row r="10741" spans="119:119" x14ac:dyDescent="0.2">
      <c r="DO10741" s="303" t="s">
        <v>232</v>
      </c>
    </row>
    <row r="10742" spans="119:119" x14ac:dyDescent="0.2">
      <c r="DO10742" s="303" t="s">
        <v>232</v>
      </c>
    </row>
    <row r="10743" spans="119:119" x14ac:dyDescent="0.2">
      <c r="DO10743" s="303" t="s">
        <v>232</v>
      </c>
    </row>
    <row r="10744" spans="119:119" x14ac:dyDescent="0.2">
      <c r="DO10744" s="303" t="s">
        <v>232</v>
      </c>
    </row>
    <row r="10745" spans="119:119" x14ac:dyDescent="0.2">
      <c r="DO10745" s="303" t="s">
        <v>232</v>
      </c>
    </row>
    <row r="10746" spans="119:119" x14ac:dyDescent="0.2">
      <c r="DO10746" s="303" t="s">
        <v>232</v>
      </c>
    </row>
    <row r="10747" spans="119:119" x14ac:dyDescent="0.2">
      <c r="DO10747" s="303" t="s">
        <v>232</v>
      </c>
    </row>
    <row r="10748" spans="119:119" x14ac:dyDescent="0.2">
      <c r="DO10748" s="303" t="s">
        <v>232</v>
      </c>
    </row>
    <row r="10749" spans="119:119" x14ac:dyDescent="0.2">
      <c r="DO10749" s="303" t="s">
        <v>232</v>
      </c>
    </row>
    <row r="10750" spans="119:119" x14ac:dyDescent="0.2">
      <c r="DO10750" s="303" t="s">
        <v>232</v>
      </c>
    </row>
    <row r="10751" spans="119:119" x14ac:dyDescent="0.2">
      <c r="DO10751" s="303" t="s">
        <v>232</v>
      </c>
    </row>
    <row r="10752" spans="119:119" x14ac:dyDescent="0.2">
      <c r="DO10752" s="303" t="s">
        <v>232</v>
      </c>
    </row>
    <row r="10753" spans="119:119" x14ac:dyDescent="0.2">
      <c r="DO10753" s="303" t="s">
        <v>232</v>
      </c>
    </row>
    <row r="10754" spans="119:119" x14ac:dyDescent="0.2">
      <c r="DO10754" s="303" t="s">
        <v>232</v>
      </c>
    </row>
    <row r="10755" spans="119:119" x14ac:dyDescent="0.2">
      <c r="DO10755" s="303" t="s">
        <v>232</v>
      </c>
    </row>
    <row r="10756" spans="119:119" x14ac:dyDescent="0.2">
      <c r="DO10756" s="303" t="s">
        <v>232</v>
      </c>
    </row>
    <row r="10757" spans="119:119" x14ac:dyDescent="0.2">
      <c r="DO10757" s="303" t="s">
        <v>232</v>
      </c>
    </row>
    <row r="10758" spans="119:119" x14ac:dyDescent="0.2">
      <c r="DO10758" s="303" t="s">
        <v>232</v>
      </c>
    </row>
    <row r="10759" spans="119:119" x14ac:dyDescent="0.2">
      <c r="DO10759" s="303" t="s">
        <v>232</v>
      </c>
    </row>
    <row r="10760" spans="119:119" x14ac:dyDescent="0.2">
      <c r="DO10760" s="303" t="s">
        <v>232</v>
      </c>
    </row>
    <row r="10761" spans="119:119" x14ac:dyDescent="0.2">
      <c r="DO10761" s="303" t="s">
        <v>232</v>
      </c>
    </row>
    <row r="10762" spans="119:119" x14ac:dyDescent="0.2">
      <c r="DO10762" s="303" t="s">
        <v>232</v>
      </c>
    </row>
    <row r="10763" spans="119:119" x14ac:dyDescent="0.2">
      <c r="DO10763" s="303" t="s">
        <v>232</v>
      </c>
    </row>
    <row r="10764" spans="119:119" x14ac:dyDescent="0.2">
      <c r="DO10764" s="303" t="s">
        <v>232</v>
      </c>
    </row>
    <row r="10765" spans="119:119" x14ac:dyDescent="0.2">
      <c r="DO10765" s="303" t="s">
        <v>232</v>
      </c>
    </row>
    <row r="10766" spans="119:119" x14ac:dyDescent="0.2">
      <c r="DO10766" s="303" t="s">
        <v>232</v>
      </c>
    </row>
    <row r="10767" spans="119:119" x14ac:dyDescent="0.2">
      <c r="DO10767" s="303" t="s">
        <v>232</v>
      </c>
    </row>
    <row r="10768" spans="119:119" x14ac:dyDescent="0.2">
      <c r="DO10768" s="303" t="s">
        <v>232</v>
      </c>
    </row>
    <row r="10769" spans="119:119" x14ac:dyDescent="0.2">
      <c r="DO10769" s="303" t="s">
        <v>232</v>
      </c>
    </row>
    <row r="10770" spans="119:119" x14ac:dyDescent="0.2">
      <c r="DO10770" s="303" t="s">
        <v>232</v>
      </c>
    </row>
    <row r="10771" spans="119:119" x14ac:dyDescent="0.2">
      <c r="DO10771" s="303" t="s">
        <v>232</v>
      </c>
    </row>
    <row r="10772" spans="119:119" x14ac:dyDescent="0.2">
      <c r="DO10772" s="303" t="s">
        <v>232</v>
      </c>
    </row>
    <row r="10773" spans="119:119" x14ac:dyDescent="0.2">
      <c r="DO10773" s="303" t="s">
        <v>232</v>
      </c>
    </row>
    <row r="10774" spans="119:119" x14ac:dyDescent="0.2">
      <c r="DO10774" s="303" t="s">
        <v>232</v>
      </c>
    </row>
    <row r="10775" spans="119:119" x14ac:dyDescent="0.2">
      <c r="DO10775" s="303" t="s">
        <v>232</v>
      </c>
    </row>
    <row r="10776" spans="119:119" x14ac:dyDescent="0.2">
      <c r="DO10776" s="303" t="s">
        <v>232</v>
      </c>
    </row>
    <row r="10777" spans="119:119" x14ac:dyDescent="0.2">
      <c r="DO10777" s="303" t="s">
        <v>232</v>
      </c>
    </row>
    <row r="10778" spans="119:119" x14ac:dyDescent="0.2">
      <c r="DO10778" s="303" t="s">
        <v>232</v>
      </c>
    </row>
    <row r="10779" spans="119:119" x14ac:dyDescent="0.2">
      <c r="DO10779" s="303" t="s">
        <v>232</v>
      </c>
    </row>
    <row r="10780" spans="119:119" x14ac:dyDescent="0.2">
      <c r="DO10780" s="303" t="s">
        <v>232</v>
      </c>
    </row>
    <row r="10781" spans="119:119" x14ac:dyDescent="0.2">
      <c r="DO10781" s="303" t="s">
        <v>232</v>
      </c>
    </row>
    <row r="10782" spans="119:119" x14ac:dyDescent="0.2">
      <c r="DO10782" s="303" t="s">
        <v>232</v>
      </c>
    </row>
    <row r="10783" spans="119:119" x14ac:dyDescent="0.2">
      <c r="DO10783" s="303" t="s">
        <v>232</v>
      </c>
    </row>
    <row r="10784" spans="119:119" x14ac:dyDescent="0.2">
      <c r="DO10784" s="303" t="s">
        <v>232</v>
      </c>
    </row>
    <row r="10785" spans="119:119" x14ac:dyDescent="0.2">
      <c r="DO10785" s="303" t="s">
        <v>232</v>
      </c>
    </row>
    <row r="10786" spans="119:119" x14ac:dyDescent="0.2">
      <c r="DO10786" s="303" t="s">
        <v>232</v>
      </c>
    </row>
    <row r="10787" spans="119:119" x14ac:dyDescent="0.2">
      <c r="DO10787" s="303" t="s">
        <v>232</v>
      </c>
    </row>
    <row r="10788" spans="119:119" x14ac:dyDescent="0.2">
      <c r="DO10788" s="303" t="s">
        <v>232</v>
      </c>
    </row>
    <row r="10789" spans="119:119" x14ac:dyDescent="0.2">
      <c r="DO10789" s="303" t="s">
        <v>232</v>
      </c>
    </row>
    <row r="10790" spans="119:119" x14ac:dyDescent="0.2">
      <c r="DO10790" s="303" t="s">
        <v>232</v>
      </c>
    </row>
    <row r="10791" spans="119:119" x14ac:dyDescent="0.2">
      <c r="DO10791" s="303" t="s">
        <v>232</v>
      </c>
    </row>
    <row r="10792" spans="119:119" x14ac:dyDescent="0.2">
      <c r="DO10792" s="303" t="s">
        <v>232</v>
      </c>
    </row>
    <row r="10793" spans="119:119" x14ac:dyDescent="0.2">
      <c r="DO10793" s="303" t="s">
        <v>232</v>
      </c>
    </row>
    <row r="10794" spans="119:119" x14ac:dyDescent="0.2">
      <c r="DO10794" s="303" t="s">
        <v>232</v>
      </c>
    </row>
    <row r="10795" spans="119:119" x14ac:dyDescent="0.2">
      <c r="DO10795" s="303" t="s">
        <v>232</v>
      </c>
    </row>
    <row r="10796" spans="119:119" x14ac:dyDescent="0.2">
      <c r="DO10796" s="303" t="s">
        <v>232</v>
      </c>
    </row>
    <row r="10797" spans="119:119" x14ac:dyDescent="0.2">
      <c r="DO10797" s="303" t="s">
        <v>232</v>
      </c>
    </row>
    <row r="10798" spans="119:119" x14ac:dyDescent="0.2">
      <c r="DO10798" s="303" t="s">
        <v>232</v>
      </c>
    </row>
    <row r="10799" spans="119:119" x14ac:dyDescent="0.2">
      <c r="DO10799" s="303" t="s">
        <v>232</v>
      </c>
    </row>
    <row r="10800" spans="119:119" x14ac:dyDescent="0.2">
      <c r="DO10800" s="303" t="s">
        <v>232</v>
      </c>
    </row>
    <row r="10801" spans="119:119" x14ac:dyDescent="0.2">
      <c r="DO10801" s="303" t="s">
        <v>232</v>
      </c>
    </row>
    <row r="10802" spans="119:119" x14ac:dyDescent="0.2">
      <c r="DO10802" s="303" t="s">
        <v>232</v>
      </c>
    </row>
    <row r="10803" spans="119:119" x14ac:dyDescent="0.2">
      <c r="DO10803" s="303" t="s">
        <v>232</v>
      </c>
    </row>
    <row r="10804" spans="119:119" x14ac:dyDescent="0.2">
      <c r="DO10804" s="303" t="s">
        <v>232</v>
      </c>
    </row>
    <row r="10805" spans="119:119" x14ac:dyDescent="0.2">
      <c r="DO10805" s="303" t="s">
        <v>232</v>
      </c>
    </row>
    <row r="10806" spans="119:119" x14ac:dyDescent="0.2">
      <c r="DO10806" s="303" t="s">
        <v>232</v>
      </c>
    </row>
    <row r="10807" spans="119:119" x14ac:dyDescent="0.2">
      <c r="DO10807" s="303" t="s">
        <v>232</v>
      </c>
    </row>
    <row r="10808" spans="119:119" x14ac:dyDescent="0.2">
      <c r="DO10808" s="303" t="s">
        <v>232</v>
      </c>
    </row>
    <row r="10809" spans="119:119" x14ac:dyDescent="0.2">
      <c r="DO10809" s="303" t="s">
        <v>232</v>
      </c>
    </row>
    <row r="10810" spans="119:119" x14ac:dyDescent="0.2">
      <c r="DO10810" s="303" t="s">
        <v>232</v>
      </c>
    </row>
    <row r="10811" spans="119:119" x14ac:dyDescent="0.2">
      <c r="DO10811" s="303" t="s">
        <v>232</v>
      </c>
    </row>
    <row r="10812" spans="119:119" x14ac:dyDescent="0.2">
      <c r="DO10812" s="303" t="s">
        <v>232</v>
      </c>
    </row>
    <row r="10813" spans="119:119" x14ac:dyDescent="0.2">
      <c r="DO10813" s="303" t="s">
        <v>232</v>
      </c>
    </row>
    <row r="10814" spans="119:119" x14ac:dyDescent="0.2">
      <c r="DO10814" s="303" t="s">
        <v>232</v>
      </c>
    </row>
    <row r="10815" spans="119:119" x14ac:dyDescent="0.2">
      <c r="DO10815" s="303" t="s">
        <v>232</v>
      </c>
    </row>
    <row r="10816" spans="119:119" x14ac:dyDescent="0.2">
      <c r="DO10816" s="303" t="s">
        <v>232</v>
      </c>
    </row>
    <row r="10817" spans="119:119" x14ac:dyDescent="0.2">
      <c r="DO10817" s="303" t="s">
        <v>232</v>
      </c>
    </row>
    <row r="10818" spans="119:119" x14ac:dyDescent="0.2">
      <c r="DO10818" s="303" t="s">
        <v>232</v>
      </c>
    </row>
    <row r="10819" spans="119:119" x14ac:dyDescent="0.2">
      <c r="DO10819" s="303" t="s">
        <v>232</v>
      </c>
    </row>
    <row r="10820" spans="119:119" x14ac:dyDescent="0.2">
      <c r="DO10820" s="303" t="s">
        <v>232</v>
      </c>
    </row>
    <row r="10821" spans="119:119" x14ac:dyDescent="0.2">
      <c r="DO10821" s="303" t="s">
        <v>232</v>
      </c>
    </row>
    <row r="10822" spans="119:119" x14ac:dyDescent="0.2">
      <c r="DO10822" s="303" t="s">
        <v>232</v>
      </c>
    </row>
    <row r="10823" spans="119:119" x14ac:dyDescent="0.2">
      <c r="DO10823" s="303" t="s">
        <v>232</v>
      </c>
    </row>
    <row r="10824" spans="119:119" x14ac:dyDescent="0.2">
      <c r="DO10824" s="303" t="s">
        <v>232</v>
      </c>
    </row>
    <row r="10825" spans="119:119" x14ac:dyDescent="0.2">
      <c r="DO10825" s="303" t="s">
        <v>232</v>
      </c>
    </row>
    <row r="10826" spans="119:119" x14ac:dyDescent="0.2">
      <c r="DO10826" s="303" t="s">
        <v>232</v>
      </c>
    </row>
    <row r="10827" spans="119:119" x14ac:dyDescent="0.2">
      <c r="DO10827" s="303" t="s">
        <v>232</v>
      </c>
    </row>
    <row r="10828" spans="119:119" x14ac:dyDescent="0.2">
      <c r="DO10828" s="303" t="s">
        <v>232</v>
      </c>
    </row>
    <row r="10829" spans="119:119" x14ac:dyDescent="0.2">
      <c r="DO10829" s="303" t="s">
        <v>232</v>
      </c>
    </row>
    <row r="10830" spans="119:119" x14ac:dyDescent="0.2">
      <c r="DO10830" s="303" t="s">
        <v>232</v>
      </c>
    </row>
    <row r="10831" spans="119:119" x14ac:dyDescent="0.2">
      <c r="DO10831" s="303" t="s">
        <v>232</v>
      </c>
    </row>
    <row r="10832" spans="119:119" x14ac:dyDescent="0.2">
      <c r="DO10832" s="303" t="s">
        <v>232</v>
      </c>
    </row>
    <row r="10833" spans="119:119" x14ac:dyDescent="0.2">
      <c r="DO10833" s="303" t="s">
        <v>232</v>
      </c>
    </row>
    <row r="10834" spans="119:119" x14ac:dyDescent="0.2">
      <c r="DO10834" s="303" t="s">
        <v>232</v>
      </c>
    </row>
    <row r="10835" spans="119:119" x14ac:dyDescent="0.2">
      <c r="DO10835" s="303" t="s">
        <v>232</v>
      </c>
    </row>
    <row r="10836" spans="119:119" x14ac:dyDescent="0.2">
      <c r="DO10836" s="303" t="s">
        <v>232</v>
      </c>
    </row>
    <row r="10837" spans="119:119" x14ac:dyDescent="0.2">
      <c r="DO10837" s="303" t="s">
        <v>232</v>
      </c>
    </row>
    <row r="10838" spans="119:119" x14ac:dyDescent="0.2">
      <c r="DO10838" s="303" t="s">
        <v>232</v>
      </c>
    </row>
    <row r="10839" spans="119:119" x14ac:dyDescent="0.2">
      <c r="DO10839" s="303" t="s">
        <v>232</v>
      </c>
    </row>
    <row r="10840" spans="119:119" x14ac:dyDescent="0.2">
      <c r="DO10840" s="303" t="s">
        <v>232</v>
      </c>
    </row>
    <row r="10841" spans="119:119" x14ac:dyDescent="0.2">
      <c r="DO10841" s="303" t="s">
        <v>232</v>
      </c>
    </row>
    <row r="10842" spans="119:119" x14ac:dyDescent="0.2">
      <c r="DO10842" s="303" t="s">
        <v>232</v>
      </c>
    </row>
    <row r="10843" spans="119:119" x14ac:dyDescent="0.2">
      <c r="DO10843" s="303" t="s">
        <v>232</v>
      </c>
    </row>
    <row r="10844" spans="119:119" x14ac:dyDescent="0.2">
      <c r="DO10844" s="303" t="s">
        <v>232</v>
      </c>
    </row>
    <row r="10845" spans="119:119" x14ac:dyDescent="0.2">
      <c r="DO10845" s="303" t="s">
        <v>232</v>
      </c>
    </row>
    <row r="10846" spans="119:119" x14ac:dyDescent="0.2">
      <c r="DO10846" s="303" t="s">
        <v>232</v>
      </c>
    </row>
    <row r="10847" spans="119:119" x14ac:dyDescent="0.2">
      <c r="DO10847" s="303" t="s">
        <v>232</v>
      </c>
    </row>
    <row r="10848" spans="119:119" x14ac:dyDescent="0.2">
      <c r="DO10848" s="303" t="s">
        <v>232</v>
      </c>
    </row>
    <row r="10849" spans="119:119" x14ac:dyDescent="0.2">
      <c r="DO10849" s="303" t="s">
        <v>232</v>
      </c>
    </row>
    <row r="10850" spans="119:119" x14ac:dyDescent="0.2">
      <c r="DO10850" s="303" t="s">
        <v>232</v>
      </c>
    </row>
    <row r="10851" spans="119:119" x14ac:dyDescent="0.2">
      <c r="DO10851" s="303" t="s">
        <v>232</v>
      </c>
    </row>
    <row r="10852" spans="119:119" x14ac:dyDescent="0.2">
      <c r="DO10852" s="303" t="s">
        <v>232</v>
      </c>
    </row>
    <row r="10853" spans="119:119" x14ac:dyDescent="0.2">
      <c r="DO10853" s="303" t="s">
        <v>232</v>
      </c>
    </row>
    <row r="10854" spans="119:119" x14ac:dyDescent="0.2">
      <c r="DO10854" s="303" t="s">
        <v>232</v>
      </c>
    </row>
    <row r="10855" spans="119:119" x14ac:dyDescent="0.2">
      <c r="DO10855" s="303" t="s">
        <v>232</v>
      </c>
    </row>
    <row r="10856" spans="119:119" x14ac:dyDescent="0.2">
      <c r="DO10856" s="303" t="s">
        <v>232</v>
      </c>
    </row>
    <row r="10857" spans="119:119" x14ac:dyDescent="0.2">
      <c r="DO10857" s="303" t="s">
        <v>232</v>
      </c>
    </row>
    <row r="10858" spans="119:119" x14ac:dyDescent="0.2">
      <c r="DO10858" s="303" t="s">
        <v>232</v>
      </c>
    </row>
    <row r="10859" spans="119:119" x14ac:dyDescent="0.2">
      <c r="DO10859" s="303" t="s">
        <v>232</v>
      </c>
    </row>
    <row r="10860" spans="119:119" x14ac:dyDescent="0.2">
      <c r="DO10860" s="303" t="s">
        <v>232</v>
      </c>
    </row>
    <row r="10861" spans="119:119" x14ac:dyDescent="0.2">
      <c r="DO10861" s="303" t="s">
        <v>232</v>
      </c>
    </row>
    <row r="10862" spans="119:119" x14ac:dyDescent="0.2">
      <c r="DO10862" s="303" t="s">
        <v>232</v>
      </c>
    </row>
    <row r="10863" spans="119:119" x14ac:dyDescent="0.2">
      <c r="DO10863" s="303" t="s">
        <v>232</v>
      </c>
    </row>
    <row r="10864" spans="119:119" x14ac:dyDescent="0.2">
      <c r="DO10864" s="303" t="s">
        <v>232</v>
      </c>
    </row>
    <row r="10865" spans="119:119" x14ac:dyDescent="0.2">
      <c r="DO10865" s="303" t="s">
        <v>232</v>
      </c>
    </row>
    <row r="10866" spans="119:119" x14ac:dyDescent="0.2">
      <c r="DO10866" s="303" t="s">
        <v>232</v>
      </c>
    </row>
    <row r="10867" spans="119:119" x14ac:dyDescent="0.2">
      <c r="DO10867" s="303" t="s">
        <v>232</v>
      </c>
    </row>
    <row r="10868" spans="119:119" x14ac:dyDescent="0.2">
      <c r="DO10868" s="303" t="s">
        <v>232</v>
      </c>
    </row>
    <row r="10869" spans="119:119" x14ac:dyDescent="0.2">
      <c r="DO10869" s="303" t="s">
        <v>232</v>
      </c>
    </row>
    <row r="10870" spans="119:119" x14ac:dyDescent="0.2">
      <c r="DO10870" s="303" t="s">
        <v>232</v>
      </c>
    </row>
    <row r="10871" spans="119:119" x14ac:dyDescent="0.2">
      <c r="DO10871" s="303" t="s">
        <v>232</v>
      </c>
    </row>
    <row r="10872" spans="119:119" x14ac:dyDescent="0.2">
      <c r="DO10872" s="303" t="s">
        <v>232</v>
      </c>
    </row>
    <row r="10873" spans="119:119" x14ac:dyDescent="0.2">
      <c r="DO10873" s="303" t="s">
        <v>232</v>
      </c>
    </row>
    <row r="10874" spans="119:119" x14ac:dyDescent="0.2">
      <c r="DO10874" s="303" t="s">
        <v>232</v>
      </c>
    </row>
    <row r="10875" spans="119:119" x14ac:dyDescent="0.2">
      <c r="DO10875" s="303" t="s">
        <v>232</v>
      </c>
    </row>
    <row r="10876" spans="119:119" x14ac:dyDescent="0.2">
      <c r="DO10876" s="303" t="s">
        <v>232</v>
      </c>
    </row>
    <row r="10877" spans="119:119" x14ac:dyDescent="0.2">
      <c r="DO10877" s="303" t="s">
        <v>232</v>
      </c>
    </row>
    <row r="10878" spans="119:119" x14ac:dyDescent="0.2">
      <c r="DO10878" s="303" t="s">
        <v>232</v>
      </c>
    </row>
    <row r="10879" spans="119:119" x14ac:dyDescent="0.2">
      <c r="DO10879" s="303" t="s">
        <v>232</v>
      </c>
    </row>
    <row r="10880" spans="119:119" x14ac:dyDescent="0.2">
      <c r="DO10880" s="303" t="s">
        <v>232</v>
      </c>
    </row>
    <row r="10881" spans="119:119" x14ac:dyDescent="0.2">
      <c r="DO10881" s="303" t="s">
        <v>232</v>
      </c>
    </row>
    <row r="10882" spans="119:119" x14ac:dyDescent="0.2">
      <c r="DO10882" s="303" t="s">
        <v>232</v>
      </c>
    </row>
    <row r="10883" spans="119:119" x14ac:dyDescent="0.2">
      <c r="DO10883" s="303" t="s">
        <v>232</v>
      </c>
    </row>
    <row r="10884" spans="119:119" x14ac:dyDescent="0.2">
      <c r="DO10884" s="303" t="s">
        <v>232</v>
      </c>
    </row>
    <row r="10885" spans="119:119" x14ac:dyDescent="0.2">
      <c r="DO10885" s="303" t="s">
        <v>232</v>
      </c>
    </row>
    <row r="10886" spans="119:119" x14ac:dyDescent="0.2">
      <c r="DO10886" s="303" t="s">
        <v>232</v>
      </c>
    </row>
    <row r="10887" spans="119:119" x14ac:dyDescent="0.2">
      <c r="DO10887" s="303" t="s">
        <v>232</v>
      </c>
    </row>
    <row r="10888" spans="119:119" x14ac:dyDescent="0.2">
      <c r="DO10888" s="303" t="s">
        <v>232</v>
      </c>
    </row>
    <row r="10889" spans="119:119" x14ac:dyDescent="0.2">
      <c r="DO10889" s="303" t="s">
        <v>232</v>
      </c>
    </row>
    <row r="10890" spans="119:119" x14ac:dyDescent="0.2">
      <c r="DO10890" s="303" t="s">
        <v>232</v>
      </c>
    </row>
    <row r="10891" spans="119:119" x14ac:dyDescent="0.2">
      <c r="DO10891" s="303" t="s">
        <v>232</v>
      </c>
    </row>
    <row r="10892" spans="119:119" x14ac:dyDescent="0.2">
      <c r="DO10892" s="303" t="s">
        <v>232</v>
      </c>
    </row>
    <row r="10893" spans="119:119" x14ac:dyDescent="0.2">
      <c r="DO10893" s="303" t="s">
        <v>232</v>
      </c>
    </row>
    <row r="10894" spans="119:119" x14ac:dyDescent="0.2">
      <c r="DO10894" s="303" t="s">
        <v>232</v>
      </c>
    </row>
    <row r="10895" spans="119:119" x14ac:dyDescent="0.2">
      <c r="DO10895" s="303" t="s">
        <v>232</v>
      </c>
    </row>
    <row r="10896" spans="119:119" x14ac:dyDescent="0.2">
      <c r="DO10896" s="303" t="s">
        <v>232</v>
      </c>
    </row>
    <row r="10897" spans="119:119" x14ac:dyDescent="0.2">
      <c r="DO10897" s="303" t="s">
        <v>232</v>
      </c>
    </row>
    <row r="10898" spans="119:119" x14ac:dyDescent="0.2">
      <c r="DO10898" s="303" t="s">
        <v>232</v>
      </c>
    </row>
    <row r="10899" spans="119:119" x14ac:dyDescent="0.2">
      <c r="DO10899" s="303" t="s">
        <v>232</v>
      </c>
    </row>
    <row r="10900" spans="119:119" x14ac:dyDescent="0.2">
      <c r="DO10900" s="303" t="s">
        <v>232</v>
      </c>
    </row>
    <row r="10901" spans="119:119" x14ac:dyDescent="0.2">
      <c r="DO10901" s="303" t="s">
        <v>232</v>
      </c>
    </row>
    <row r="10902" spans="119:119" x14ac:dyDescent="0.2">
      <c r="DO10902" s="303" t="s">
        <v>232</v>
      </c>
    </row>
    <row r="10903" spans="119:119" x14ac:dyDescent="0.2">
      <c r="DO10903" s="303" t="s">
        <v>232</v>
      </c>
    </row>
    <row r="10904" spans="119:119" x14ac:dyDescent="0.2">
      <c r="DO10904" s="303" t="s">
        <v>232</v>
      </c>
    </row>
    <row r="10905" spans="119:119" x14ac:dyDescent="0.2">
      <c r="DO10905" s="303" t="s">
        <v>232</v>
      </c>
    </row>
    <row r="10906" spans="119:119" x14ac:dyDescent="0.2">
      <c r="DO10906" s="303" t="s">
        <v>232</v>
      </c>
    </row>
    <row r="10907" spans="119:119" x14ac:dyDescent="0.2">
      <c r="DO10907" s="303" t="s">
        <v>232</v>
      </c>
    </row>
    <row r="10908" spans="119:119" x14ac:dyDescent="0.2">
      <c r="DO10908" s="303" t="s">
        <v>232</v>
      </c>
    </row>
    <row r="10909" spans="119:119" x14ac:dyDescent="0.2">
      <c r="DO10909" s="303" t="s">
        <v>232</v>
      </c>
    </row>
    <row r="10910" spans="119:119" x14ac:dyDescent="0.2">
      <c r="DO10910" s="303" t="s">
        <v>232</v>
      </c>
    </row>
    <row r="10911" spans="119:119" x14ac:dyDescent="0.2">
      <c r="DO10911" s="303" t="s">
        <v>232</v>
      </c>
    </row>
    <row r="10912" spans="119:119" x14ac:dyDescent="0.2">
      <c r="DO10912" s="303" t="s">
        <v>232</v>
      </c>
    </row>
    <row r="10913" spans="119:119" x14ac:dyDescent="0.2">
      <c r="DO10913" s="303" t="s">
        <v>232</v>
      </c>
    </row>
    <row r="10914" spans="119:119" x14ac:dyDescent="0.2">
      <c r="DO10914" s="303" t="s">
        <v>232</v>
      </c>
    </row>
    <row r="10915" spans="119:119" x14ac:dyDescent="0.2">
      <c r="DO10915" s="303" t="s">
        <v>232</v>
      </c>
    </row>
    <row r="10916" spans="119:119" x14ac:dyDescent="0.2">
      <c r="DO10916" s="303" t="s">
        <v>232</v>
      </c>
    </row>
    <row r="10917" spans="119:119" x14ac:dyDescent="0.2">
      <c r="DO10917" s="303" t="s">
        <v>232</v>
      </c>
    </row>
    <row r="10918" spans="119:119" x14ac:dyDescent="0.2">
      <c r="DO10918" s="303" t="s">
        <v>232</v>
      </c>
    </row>
    <row r="10919" spans="119:119" x14ac:dyDescent="0.2">
      <c r="DO10919" s="303" t="s">
        <v>232</v>
      </c>
    </row>
    <row r="10920" spans="119:119" x14ac:dyDescent="0.2">
      <c r="DO10920" s="303" t="s">
        <v>232</v>
      </c>
    </row>
    <row r="10921" spans="119:119" x14ac:dyDescent="0.2">
      <c r="DO10921" s="303" t="s">
        <v>232</v>
      </c>
    </row>
    <row r="10922" spans="119:119" x14ac:dyDescent="0.2">
      <c r="DO10922" s="303" t="s">
        <v>232</v>
      </c>
    </row>
    <row r="10923" spans="119:119" x14ac:dyDescent="0.2">
      <c r="DO10923" s="303" t="s">
        <v>232</v>
      </c>
    </row>
    <row r="10924" spans="119:119" x14ac:dyDescent="0.2">
      <c r="DO10924" s="303" t="s">
        <v>232</v>
      </c>
    </row>
    <row r="10925" spans="119:119" x14ac:dyDescent="0.2">
      <c r="DO10925" s="303" t="s">
        <v>232</v>
      </c>
    </row>
    <row r="10926" spans="119:119" x14ac:dyDescent="0.2">
      <c r="DO10926" s="303" t="s">
        <v>232</v>
      </c>
    </row>
    <row r="10927" spans="119:119" x14ac:dyDescent="0.2">
      <c r="DO10927" s="303" t="s">
        <v>232</v>
      </c>
    </row>
    <row r="10928" spans="119:119" x14ac:dyDescent="0.2">
      <c r="DO10928" s="303" t="s">
        <v>232</v>
      </c>
    </row>
    <row r="10929" spans="119:119" x14ac:dyDescent="0.2">
      <c r="DO10929" s="303" t="s">
        <v>232</v>
      </c>
    </row>
    <row r="10930" spans="119:119" x14ac:dyDescent="0.2">
      <c r="DO10930" s="303" t="s">
        <v>232</v>
      </c>
    </row>
    <row r="10931" spans="119:119" x14ac:dyDescent="0.2">
      <c r="DO10931" s="303" t="s">
        <v>232</v>
      </c>
    </row>
    <row r="10932" spans="119:119" x14ac:dyDescent="0.2">
      <c r="DO10932" s="303" t="s">
        <v>232</v>
      </c>
    </row>
    <row r="10933" spans="119:119" x14ac:dyDescent="0.2">
      <c r="DO10933" s="303" t="s">
        <v>232</v>
      </c>
    </row>
    <row r="10934" spans="119:119" x14ac:dyDescent="0.2">
      <c r="DO10934" s="303" t="s">
        <v>232</v>
      </c>
    </row>
    <row r="10935" spans="119:119" x14ac:dyDescent="0.2">
      <c r="DO10935" s="303" t="s">
        <v>232</v>
      </c>
    </row>
    <row r="10936" spans="119:119" x14ac:dyDescent="0.2">
      <c r="DO10936" s="303" t="s">
        <v>232</v>
      </c>
    </row>
    <row r="10937" spans="119:119" x14ac:dyDescent="0.2">
      <c r="DO10937" s="303" t="s">
        <v>232</v>
      </c>
    </row>
    <row r="10938" spans="119:119" x14ac:dyDescent="0.2">
      <c r="DO10938" s="303" t="s">
        <v>232</v>
      </c>
    </row>
    <row r="10939" spans="119:119" x14ac:dyDescent="0.2">
      <c r="DO10939" s="303" t="s">
        <v>232</v>
      </c>
    </row>
    <row r="10940" spans="119:119" x14ac:dyDescent="0.2">
      <c r="DO10940" s="303" t="s">
        <v>232</v>
      </c>
    </row>
    <row r="10941" spans="119:119" x14ac:dyDescent="0.2">
      <c r="DO10941" s="303" t="s">
        <v>232</v>
      </c>
    </row>
    <row r="10942" spans="119:119" x14ac:dyDescent="0.2">
      <c r="DO10942" s="303" t="s">
        <v>232</v>
      </c>
    </row>
    <row r="10943" spans="119:119" x14ac:dyDescent="0.2">
      <c r="DO10943" s="303" t="s">
        <v>232</v>
      </c>
    </row>
    <row r="10944" spans="119:119" x14ac:dyDescent="0.2">
      <c r="DO10944" s="303" t="s">
        <v>232</v>
      </c>
    </row>
    <row r="10945" spans="119:119" x14ac:dyDescent="0.2">
      <c r="DO10945" s="303" t="s">
        <v>232</v>
      </c>
    </row>
    <row r="10946" spans="119:119" x14ac:dyDescent="0.2">
      <c r="DO10946" s="303" t="s">
        <v>232</v>
      </c>
    </row>
    <row r="10947" spans="119:119" x14ac:dyDescent="0.2">
      <c r="DO10947" s="303" t="s">
        <v>232</v>
      </c>
    </row>
    <row r="10948" spans="119:119" x14ac:dyDescent="0.2">
      <c r="DO10948" s="303" t="s">
        <v>232</v>
      </c>
    </row>
    <row r="10949" spans="119:119" x14ac:dyDescent="0.2">
      <c r="DO10949" s="303" t="s">
        <v>232</v>
      </c>
    </row>
    <row r="10950" spans="119:119" x14ac:dyDescent="0.2">
      <c r="DO10950" s="303" t="s">
        <v>232</v>
      </c>
    </row>
    <row r="10951" spans="119:119" x14ac:dyDescent="0.2">
      <c r="DO10951" s="303" t="s">
        <v>232</v>
      </c>
    </row>
    <row r="10952" spans="119:119" x14ac:dyDescent="0.2">
      <c r="DO10952" s="303" t="s">
        <v>232</v>
      </c>
    </row>
    <row r="10953" spans="119:119" x14ac:dyDescent="0.2">
      <c r="DO10953" s="303" t="s">
        <v>232</v>
      </c>
    </row>
    <row r="10954" spans="119:119" x14ac:dyDescent="0.2">
      <c r="DO10954" s="303" t="s">
        <v>232</v>
      </c>
    </row>
    <row r="10955" spans="119:119" x14ac:dyDescent="0.2">
      <c r="DO10955" s="303" t="s">
        <v>232</v>
      </c>
    </row>
    <row r="10956" spans="119:119" x14ac:dyDescent="0.2">
      <c r="DO10956" s="303" t="s">
        <v>232</v>
      </c>
    </row>
    <row r="10957" spans="119:119" x14ac:dyDescent="0.2">
      <c r="DO10957" s="303" t="s">
        <v>232</v>
      </c>
    </row>
    <row r="10958" spans="119:119" x14ac:dyDescent="0.2">
      <c r="DO10958" s="303" t="s">
        <v>232</v>
      </c>
    </row>
    <row r="10959" spans="119:119" x14ac:dyDescent="0.2">
      <c r="DO10959" s="303" t="s">
        <v>232</v>
      </c>
    </row>
    <row r="10960" spans="119:119" x14ac:dyDescent="0.2">
      <c r="DO10960" s="303" t="s">
        <v>232</v>
      </c>
    </row>
    <row r="10961" spans="119:119" x14ac:dyDescent="0.2">
      <c r="DO10961" s="303" t="s">
        <v>232</v>
      </c>
    </row>
    <row r="10962" spans="119:119" x14ac:dyDescent="0.2">
      <c r="DO10962" s="303" t="s">
        <v>232</v>
      </c>
    </row>
    <row r="10963" spans="119:119" x14ac:dyDescent="0.2">
      <c r="DO10963" s="303" t="s">
        <v>232</v>
      </c>
    </row>
    <row r="10964" spans="119:119" x14ac:dyDescent="0.2">
      <c r="DO10964" s="303" t="s">
        <v>232</v>
      </c>
    </row>
    <row r="10965" spans="119:119" x14ac:dyDescent="0.2">
      <c r="DO10965" s="303" t="s">
        <v>232</v>
      </c>
    </row>
    <row r="10966" spans="119:119" x14ac:dyDescent="0.2">
      <c r="DO10966" s="303" t="s">
        <v>232</v>
      </c>
    </row>
    <row r="10967" spans="119:119" x14ac:dyDescent="0.2">
      <c r="DO10967" s="303" t="s">
        <v>232</v>
      </c>
    </row>
    <row r="10968" spans="119:119" x14ac:dyDescent="0.2">
      <c r="DO10968" s="303" t="s">
        <v>232</v>
      </c>
    </row>
    <row r="10969" spans="119:119" x14ac:dyDescent="0.2">
      <c r="DO10969" s="303" t="s">
        <v>232</v>
      </c>
    </row>
    <row r="10970" spans="119:119" x14ac:dyDescent="0.2">
      <c r="DO10970" s="303" t="s">
        <v>232</v>
      </c>
    </row>
    <row r="10971" spans="119:119" x14ac:dyDescent="0.2">
      <c r="DO10971" s="303" t="s">
        <v>232</v>
      </c>
    </row>
    <row r="10972" spans="119:119" x14ac:dyDescent="0.2">
      <c r="DO10972" s="303" t="s">
        <v>232</v>
      </c>
    </row>
    <row r="10973" spans="119:119" x14ac:dyDescent="0.2">
      <c r="DO10973" s="303" t="s">
        <v>232</v>
      </c>
    </row>
    <row r="10974" spans="119:119" x14ac:dyDescent="0.2">
      <c r="DO10974" s="303" t="s">
        <v>232</v>
      </c>
    </row>
    <row r="10975" spans="119:119" x14ac:dyDescent="0.2">
      <c r="DO10975" s="303" t="s">
        <v>232</v>
      </c>
    </row>
    <row r="10976" spans="119:119" x14ac:dyDescent="0.2">
      <c r="DO10976" s="303" t="s">
        <v>232</v>
      </c>
    </row>
    <row r="10977" spans="119:119" x14ac:dyDescent="0.2">
      <c r="DO10977" s="303" t="s">
        <v>232</v>
      </c>
    </row>
    <row r="10978" spans="119:119" x14ac:dyDescent="0.2">
      <c r="DO10978" s="303" t="s">
        <v>232</v>
      </c>
    </row>
    <row r="10979" spans="119:119" x14ac:dyDescent="0.2">
      <c r="DO10979" s="303" t="s">
        <v>232</v>
      </c>
    </row>
    <row r="10980" spans="119:119" x14ac:dyDescent="0.2">
      <c r="DO10980" s="303" t="s">
        <v>232</v>
      </c>
    </row>
    <row r="10981" spans="119:119" x14ac:dyDescent="0.2">
      <c r="DO10981" s="303" t="s">
        <v>232</v>
      </c>
    </row>
    <row r="10982" spans="119:119" x14ac:dyDescent="0.2">
      <c r="DO10982" s="303" t="s">
        <v>232</v>
      </c>
    </row>
    <row r="10983" spans="119:119" x14ac:dyDescent="0.2">
      <c r="DO10983" s="303" t="s">
        <v>232</v>
      </c>
    </row>
    <row r="10984" spans="119:119" x14ac:dyDescent="0.2">
      <c r="DO10984" s="303" t="s">
        <v>232</v>
      </c>
    </row>
    <row r="10985" spans="119:119" x14ac:dyDescent="0.2">
      <c r="DO10985" s="303" t="s">
        <v>232</v>
      </c>
    </row>
    <row r="10986" spans="119:119" x14ac:dyDescent="0.2">
      <c r="DO10986" s="303" t="s">
        <v>232</v>
      </c>
    </row>
    <row r="10987" spans="119:119" x14ac:dyDescent="0.2">
      <c r="DO10987" s="303" t="s">
        <v>232</v>
      </c>
    </row>
    <row r="10988" spans="119:119" x14ac:dyDescent="0.2">
      <c r="DO10988" s="303" t="s">
        <v>232</v>
      </c>
    </row>
    <row r="10989" spans="119:119" x14ac:dyDescent="0.2">
      <c r="DO10989" s="303" t="s">
        <v>232</v>
      </c>
    </row>
    <row r="10990" spans="119:119" x14ac:dyDescent="0.2">
      <c r="DO10990" s="303" t="s">
        <v>232</v>
      </c>
    </row>
    <row r="10991" spans="119:119" x14ac:dyDescent="0.2">
      <c r="DO10991" s="303" t="s">
        <v>232</v>
      </c>
    </row>
    <row r="10992" spans="119:119" x14ac:dyDescent="0.2">
      <c r="DO10992" s="303" t="s">
        <v>232</v>
      </c>
    </row>
    <row r="10993" spans="119:119" x14ac:dyDescent="0.2">
      <c r="DO10993" s="303" t="s">
        <v>232</v>
      </c>
    </row>
    <row r="10994" spans="119:119" x14ac:dyDescent="0.2">
      <c r="DO10994" s="303" t="s">
        <v>232</v>
      </c>
    </row>
    <row r="10995" spans="119:119" x14ac:dyDescent="0.2">
      <c r="DO10995" s="303" t="s">
        <v>232</v>
      </c>
    </row>
    <row r="10996" spans="119:119" x14ac:dyDescent="0.2">
      <c r="DO10996" s="303" t="s">
        <v>232</v>
      </c>
    </row>
    <row r="10997" spans="119:119" x14ac:dyDescent="0.2">
      <c r="DO10997" s="303" t="s">
        <v>232</v>
      </c>
    </row>
    <row r="10998" spans="119:119" x14ac:dyDescent="0.2">
      <c r="DO10998" s="303" t="s">
        <v>232</v>
      </c>
    </row>
    <row r="10999" spans="119:119" x14ac:dyDescent="0.2">
      <c r="DO10999" s="303" t="s">
        <v>232</v>
      </c>
    </row>
    <row r="11000" spans="119:119" x14ac:dyDescent="0.2">
      <c r="DO11000" s="303" t="s">
        <v>232</v>
      </c>
    </row>
    <row r="11001" spans="119:119" x14ac:dyDescent="0.2">
      <c r="DO11001" s="303" t="s">
        <v>232</v>
      </c>
    </row>
    <row r="11002" spans="119:119" x14ac:dyDescent="0.2">
      <c r="DO11002" s="303" t="s">
        <v>232</v>
      </c>
    </row>
    <row r="11003" spans="119:119" x14ac:dyDescent="0.2">
      <c r="DO11003" s="303" t="s">
        <v>232</v>
      </c>
    </row>
    <row r="11004" spans="119:119" x14ac:dyDescent="0.2">
      <c r="DO11004" s="303" t="s">
        <v>232</v>
      </c>
    </row>
    <row r="11005" spans="119:119" x14ac:dyDescent="0.2">
      <c r="DO11005" s="303" t="s">
        <v>232</v>
      </c>
    </row>
    <row r="11006" spans="119:119" x14ac:dyDescent="0.2">
      <c r="DO11006" s="303" t="s">
        <v>232</v>
      </c>
    </row>
    <row r="11007" spans="119:119" x14ac:dyDescent="0.2">
      <c r="DO11007" s="303" t="s">
        <v>232</v>
      </c>
    </row>
    <row r="11008" spans="119:119" x14ac:dyDescent="0.2">
      <c r="DO11008" s="303" t="s">
        <v>232</v>
      </c>
    </row>
    <row r="11009" spans="119:119" x14ac:dyDescent="0.2">
      <c r="DO11009" s="303" t="s">
        <v>232</v>
      </c>
    </row>
    <row r="11010" spans="119:119" x14ac:dyDescent="0.2">
      <c r="DO11010" s="303" t="s">
        <v>232</v>
      </c>
    </row>
    <row r="11011" spans="119:119" x14ac:dyDescent="0.2">
      <c r="DO11011" s="303" t="s">
        <v>232</v>
      </c>
    </row>
    <row r="11012" spans="119:119" x14ac:dyDescent="0.2">
      <c r="DO11012" s="303" t="s">
        <v>232</v>
      </c>
    </row>
    <row r="11013" spans="119:119" x14ac:dyDescent="0.2">
      <c r="DO11013" s="303" t="s">
        <v>232</v>
      </c>
    </row>
    <row r="11014" spans="119:119" x14ac:dyDescent="0.2">
      <c r="DO11014" s="303" t="s">
        <v>232</v>
      </c>
    </row>
    <row r="11015" spans="119:119" x14ac:dyDescent="0.2">
      <c r="DO11015" s="303" t="s">
        <v>232</v>
      </c>
    </row>
    <row r="11016" spans="119:119" x14ac:dyDescent="0.2">
      <c r="DO11016" s="303" t="s">
        <v>232</v>
      </c>
    </row>
    <row r="11017" spans="119:119" x14ac:dyDescent="0.2">
      <c r="DO11017" s="303" t="s">
        <v>232</v>
      </c>
    </row>
    <row r="11018" spans="119:119" x14ac:dyDescent="0.2">
      <c r="DO11018" s="303" t="s">
        <v>232</v>
      </c>
    </row>
    <row r="11019" spans="119:119" x14ac:dyDescent="0.2">
      <c r="DO11019" s="303" t="s">
        <v>232</v>
      </c>
    </row>
    <row r="11020" spans="119:119" x14ac:dyDescent="0.2">
      <c r="DO11020" s="303" t="s">
        <v>232</v>
      </c>
    </row>
    <row r="11021" spans="119:119" x14ac:dyDescent="0.2">
      <c r="DO11021" s="303" t="s">
        <v>232</v>
      </c>
    </row>
    <row r="11022" spans="119:119" x14ac:dyDescent="0.2">
      <c r="DO11022" s="303" t="s">
        <v>232</v>
      </c>
    </row>
    <row r="11023" spans="119:119" x14ac:dyDescent="0.2">
      <c r="DO11023" s="303" t="s">
        <v>232</v>
      </c>
    </row>
    <row r="11024" spans="119:119" x14ac:dyDescent="0.2">
      <c r="DO11024" s="303" t="s">
        <v>232</v>
      </c>
    </row>
    <row r="11025" spans="119:119" x14ac:dyDescent="0.2">
      <c r="DO11025" s="303" t="s">
        <v>232</v>
      </c>
    </row>
    <row r="11026" spans="119:119" x14ac:dyDescent="0.2">
      <c r="DO11026" s="303" t="s">
        <v>232</v>
      </c>
    </row>
    <row r="11027" spans="119:119" x14ac:dyDescent="0.2">
      <c r="DO11027" s="303" t="s">
        <v>232</v>
      </c>
    </row>
    <row r="11028" spans="119:119" x14ac:dyDescent="0.2">
      <c r="DO11028" s="303" t="s">
        <v>232</v>
      </c>
    </row>
    <row r="11029" spans="119:119" x14ac:dyDescent="0.2">
      <c r="DO11029" s="303" t="s">
        <v>232</v>
      </c>
    </row>
    <row r="11030" spans="119:119" x14ac:dyDescent="0.2">
      <c r="DO11030" s="303" t="s">
        <v>232</v>
      </c>
    </row>
    <row r="11031" spans="119:119" x14ac:dyDescent="0.2">
      <c r="DO11031" s="303" t="s">
        <v>232</v>
      </c>
    </row>
    <row r="11032" spans="119:119" x14ac:dyDescent="0.2">
      <c r="DO11032" s="303" t="s">
        <v>232</v>
      </c>
    </row>
    <row r="11033" spans="119:119" x14ac:dyDescent="0.2">
      <c r="DO11033" s="303" t="s">
        <v>232</v>
      </c>
    </row>
    <row r="11034" spans="119:119" x14ac:dyDescent="0.2">
      <c r="DO11034" s="303" t="s">
        <v>232</v>
      </c>
    </row>
    <row r="11035" spans="119:119" x14ac:dyDescent="0.2">
      <c r="DO11035" s="303" t="s">
        <v>232</v>
      </c>
    </row>
    <row r="11036" spans="119:119" x14ac:dyDescent="0.2">
      <c r="DO11036" s="303" t="s">
        <v>232</v>
      </c>
    </row>
    <row r="11037" spans="119:119" x14ac:dyDescent="0.2">
      <c r="DO11037" s="303" t="s">
        <v>232</v>
      </c>
    </row>
    <row r="11038" spans="119:119" x14ac:dyDescent="0.2">
      <c r="DO11038" s="303" t="s">
        <v>232</v>
      </c>
    </row>
    <row r="11039" spans="119:119" x14ac:dyDescent="0.2">
      <c r="DO11039" s="303" t="s">
        <v>232</v>
      </c>
    </row>
    <row r="11040" spans="119:119" x14ac:dyDescent="0.2">
      <c r="DO11040" s="303" t="s">
        <v>232</v>
      </c>
    </row>
    <row r="11041" spans="119:119" x14ac:dyDescent="0.2">
      <c r="DO11041" s="303" t="s">
        <v>232</v>
      </c>
    </row>
    <row r="11042" spans="119:119" x14ac:dyDescent="0.2">
      <c r="DO11042" s="303" t="s">
        <v>232</v>
      </c>
    </row>
    <row r="11043" spans="119:119" x14ac:dyDescent="0.2">
      <c r="DO11043" s="303" t="s">
        <v>232</v>
      </c>
    </row>
    <row r="11044" spans="119:119" x14ac:dyDescent="0.2">
      <c r="DO11044" s="303" t="s">
        <v>232</v>
      </c>
    </row>
    <row r="11045" spans="119:119" x14ac:dyDescent="0.2">
      <c r="DO11045" s="303" t="s">
        <v>232</v>
      </c>
    </row>
    <row r="11046" spans="119:119" x14ac:dyDescent="0.2">
      <c r="DO11046" s="303" t="s">
        <v>232</v>
      </c>
    </row>
    <row r="11047" spans="119:119" x14ac:dyDescent="0.2">
      <c r="DO11047" s="303" t="s">
        <v>232</v>
      </c>
    </row>
    <row r="11048" spans="119:119" x14ac:dyDescent="0.2">
      <c r="DO11048" s="303" t="s">
        <v>232</v>
      </c>
    </row>
    <row r="11049" spans="119:119" x14ac:dyDescent="0.2">
      <c r="DO11049" s="303" t="s">
        <v>232</v>
      </c>
    </row>
    <row r="11050" spans="119:119" x14ac:dyDescent="0.2">
      <c r="DO11050" s="303" t="s">
        <v>232</v>
      </c>
    </row>
    <row r="11051" spans="119:119" x14ac:dyDescent="0.2">
      <c r="DO11051" s="303" t="s">
        <v>232</v>
      </c>
    </row>
    <row r="11052" spans="119:119" x14ac:dyDescent="0.2">
      <c r="DO11052" s="303" t="s">
        <v>232</v>
      </c>
    </row>
    <row r="11053" spans="119:119" x14ac:dyDescent="0.2">
      <c r="DO11053" s="303" t="s">
        <v>232</v>
      </c>
    </row>
    <row r="11054" spans="119:119" x14ac:dyDescent="0.2">
      <c r="DO11054" s="303" t="s">
        <v>232</v>
      </c>
    </row>
    <row r="11055" spans="119:119" x14ac:dyDescent="0.2">
      <c r="DO11055" s="303" t="s">
        <v>232</v>
      </c>
    </row>
    <row r="11056" spans="119:119" x14ac:dyDescent="0.2">
      <c r="DO11056" s="303" t="s">
        <v>232</v>
      </c>
    </row>
    <row r="11057" spans="119:119" x14ac:dyDescent="0.2">
      <c r="DO11057" s="303" t="s">
        <v>232</v>
      </c>
    </row>
    <row r="11058" spans="119:119" x14ac:dyDescent="0.2">
      <c r="DO11058" s="303" t="s">
        <v>232</v>
      </c>
    </row>
    <row r="11059" spans="119:119" x14ac:dyDescent="0.2">
      <c r="DO11059" s="303" t="s">
        <v>232</v>
      </c>
    </row>
    <row r="11060" spans="119:119" x14ac:dyDescent="0.2">
      <c r="DO11060" s="303" t="s">
        <v>232</v>
      </c>
    </row>
    <row r="11061" spans="119:119" x14ac:dyDescent="0.2">
      <c r="DO11061" s="303" t="s">
        <v>232</v>
      </c>
    </row>
    <row r="11062" spans="119:119" x14ac:dyDescent="0.2">
      <c r="DO11062" s="303" t="s">
        <v>232</v>
      </c>
    </row>
    <row r="11063" spans="119:119" x14ac:dyDescent="0.2">
      <c r="DO11063" s="303" t="s">
        <v>232</v>
      </c>
    </row>
    <row r="11064" spans="119:119" x14ac:dyDescent="0.2">
      <c r="DO11064" s="303" t="s">
        <v>232</v>
      </c>
    </row>
    <row r="11065" spans="119:119" x14ac:dyDescent="0.2">
      <c r="DO11065" s="303" t="s">
        <v>232</v>
      </c>
    </row>
    <row r="11066" spans="119:119" x14ac:dyDescent="0.2">
      <c r="DO11066" s="303" t="s">
        <v>232</v>
      </c>
    </row>
    <row r="11067" spans="119:119" x14ac:dyDescent="0.2">
      <c r="DO11067" s="303" t="s">
        <v>232</v>
      </c>
    </row>
    <row r="11068" spans="119:119" x14ac:dyDescent="0.2">
      <c r="DO11068" s="303" t="s">
        <v>232</v>
      </c>
    </row>
    <row r="11069" spans="119:119" x14ac:dyDescent="0.2">
      <c r="DO11069" s="303" t="s">
        <v>232</v>
      </c>
    </row>
    <row r="11070" spans="119:119" x14ac:dyDescent="0.2">
      <c r="DO11070" s="303" t="s">
        <v>232</v>
      </c>
    </row>
    <row r="11071" spans="119:119" x14ac:dyDescent="0.2">
      <c r="DO11071" s="303" t="s">
        <v>232</v>
      </c>
    </row>
    <row r="11072" spans="119:119" x14ac:dyDescent="0.2">
      <c r="DO11072" s="303" t="s">
        <v>232</v>
      </c>
    </row>
    <row r="11073" spans="119:119" x14ac:dyDescent="0.2">
      <c r="DO11073" s="303" t="s">
        <v>232</v>
      </c>
    </row>
    <row r="11074" spans="119:119" x14ac:dyDescent="0.2">
      <c r="DO11074" s="303" t="s">
        <v>232</v>
      </c>
    </row>
    <row r="11075" spans="119:119" x14ac:dyDescent="0.2">
      <c r="DO11075" s="303" t="s">
        <v>232</v>
      </c>
    </row>
    <row r="11076" spans="119:119" x14ac:dyDescent="0.2">
      <c r="DO11076" s="303" t="s">
        <v>232</v>
      </c>
    </row>
    <row r="11077" spans="119:119" x14ac:dyDescent="0.2">
      <c r="DO11077" s="303" t="s">
        <v>232</v>
      </c>
    </row>
    <row r="11078" spans="119:119" x14ac:dyDescent="0.2">
      <c r="DO11078" s="303" t="s">
        <v>232</v>
      </c>
    </row>
    <row r="11079" spans="119:119" x14ac:dyDescent="0.2">
      <c r="DO11079" s="303" t="s">
        <v>232</v>
      </c>
    </row>
    <row r="11080" spans="119:119" x14ac:dyDescent="0.2">
      <c r="DO11080" s="303" t="s">
        <v>232</v>
      </c>
    </row>
    <row r="11081" spans="119:119" x14ac:dyDescent="0.2">
      <c r="DO11081" s="303" t="s">
        <v>232</v>
      </c>
    </row>
    <row r="11082" spans="119:119" x14ac:dyDescent="0.2">
      <c r="DO11082" s="303" t="s">
        <v>232</v>
      </c>
    </row>
    <row r="11083" spans="119:119" x14ac:dyDescent="0.2">
      <c r="DO11083" s="303" t="s">
        <v>232</v>
      </c>
    </row>
    <row r="11084" spans="119:119" x14ac:dyDescent="0.2">
      <c r="DO11084" s="303" t="s">
        <v>232</v>
      </c>
    </row>
    <row r="11085" spans="119:119" x14ac:dyDescent="0.2">
      <c r="DO11085" s="303" t="s">
        <v>232</v>
      </c>
    </row>
    <row r="11086" spans="119:119" x14ac:dyDescent="0.2">
      <c r="DO11086" s="303" t="s">
        <v>232</v>
      </c>
    </row>
    <row r="11087" spans="119:119" x14ac:dyDescent="0.2">
      <c r="DO11087" s="303" t="s">
        <v>232</v>
      </c>
    </row>
    <row r="11088" spans="119:119" x14ac:dyDescent="0.2">
      <c r="DO11088" s="303" t="s">
        <v>232</v>
      </c>
    </row>
    <row r="11089" spans="119:119" x14ac:dyDescent="0.2">
      <c r="DO11089" s="303" t="s">
        <v>232</v>
      </c>
    </row>
    <row r="11090" spans="119:119" x14ac:dyDescent="0.2">
      <c r="DO11090" s="303" t="s">
        <v>232</v>
      </c>
    </row>
    <row r="11091" spans="119:119" x14ac:dyDescent="0.2">
      <c r="DO11091" s="303" t="s">
        <v>232</v>
      </c>
    </row>
    <row r="11092" spans="119:119" x14ac:dyDescent="0.2">
      <c r="DO11092" s="303" t="s">
        <v>232</v>
      </c>
    </row>
    <row r="11093" spans="119:119" x14ac:dyDescent="0.2">
      <c r="DO11093" s="303" t="s">
        <v>232</v>
      </c>
    </row>
    <row r="11094" spans="119:119" x14ac:dyDescent="0.2">
      <c r="DO11094" s="303" t="s">
        <v>232</v>
      </c>
    </row>
    <row r="11095" spans="119:119" x14ac:dyDescent="0.2">
      <c r="DO11095" s="303" t="s">
        <v>232</v>
      </c>
    </row>
    <row r="11096" spans="119:119" x14ac:dyDescent="0.2">
      <c r="DO11096" s="303" t="s">
        <v>232</v>
      </c>
    </row>
    <row r="11097" spans="119:119" x14ac:dyDescent="0.2">
      <c r="DO11097" s="303" t="s">
        <v>232</v>
      </c>
    </row>
    <row r="11098" spans="119:119" x14ac:dyDescent="0.2">
      <c r="DO11098" s="303" t="s">
        <v>232</v>
      </c>
    </row>
    <row r="11099" spans="119:119" x14ac:dyDescent="0.2">
      <c r="DO11099" s="303" t="s">
        <v>232</v>
      </c>
    </row>
    <row r="11100" spans="119:119" x14ac:dyDescent="0.2">
      <c r="DO11100" s="303" t="s">
        <v>232</v>
      </c>
    </row>
    <row r="11101" spans="119:119" x14ac:dyDescent="0.2">
      <c r="DO11101" s="303" t="s">
        <v>232</v>
      </c>
    </row>
    <row r="11102" spans="119:119" x14ac:dyDescent="0.2">
      <c r="DO11102" s="303" t="s">
        <v>232</v>
      </c>
    </row>
    <row r="11103" spans="119:119" x14ac:dyDescent="0.2">
      <c r="DO11103" s="303" t="s">
        <v>232</v>
      </c>
    </row>
    <row r="11104" spans="119:119" x14ac:dyDescent="0.2">
      <c r="DO11104" s="303" t="s">
        <v>232</v>
      </c>
    </row>
    <row r="11105" spans="119:119" x14ac:dyDescent="0.2">
      <c r="DO11105" s="303" t="s">
        <v>232</v>
      </c>
    </row>
    <row r="11106" spans="119:119" x14ac:dyDescent="0.2">
      <c r="DO11106" s="303" t="s">
        <v>232</v>
      </c>
    </row>
    <row r="11107" spans="119:119" x14ac:dyDescent="0.2">
      <c r="DO11107" s="303" t="s">
        <v>232</v>
      </c>
    </row>
    <row r="11108" spans="119:119" x14ac:dyDescent="0.2">
      <c r="DO11108" s="303" t="s">
        <v>232</v>
      </c>
    </row>
    <row r="11109" spans="119:119" x14ac:dyDescent="0.2">
      <c r="DO11109" s="303" t="s">
        <v>232</v>
      </c>
    </row>
    <row r="11110" spans="119:119" x14ac:dyDescent="0.2">
      <c r="DO11110" s="303" t="s">
        <v>232</v>
      </c>
    </row>
    <row r="11111" spans="119:119" x14ac:dyDescent="0.2">
      <c r="DO11111" s="303" t="s">
        <v>232</v>
      </c>
    </row>
    <row r="11112" spans="119:119" x14ac:dyDescent="0.2">
      <c r="DO11112" s="303" t="s">
        <v>232</v>
      </c>
    </row>
    <row r="11113" spans="119:119" x14ac:dyDescent="0.2">
      <c r="DO11113" s="303" t="s">
        <v>232</v>
      </c>
    </row>
    <row r="11114" spans="119:119" x14ac:dyDescent="0.2">
      <c r="DO11114" s="303" t="s">
        <v>232</v>
      </c>
    </row>
    <row r="11115" spans="119:119" x14ac:dyDescent="0.2">
      <c r="DO11115" s="303" t="s">
        <v>232</v>
      </c>
    </row>
    <row r="11116" spans="119:119" x14ac:dyDescent="0.2">
      <c r="DO11116" s="303" t="s">
        <v>232</v>
      </c>
    </row>
    <row r="11117" spans="119:119" x14ac:dyDescent="0.2">
      <c r="DO11117" s="303" t="s">
        <v>232</v>
      </c>
    </row>
    <row r="11118" spans="119:119" x14ac:dyDescent="0.2">
      <c r="DO11118" s="303" t="s">
        <v>232</v>
      </c>
    </row>
    <row r="11119" spans="119:119" x14ac:dyDescent="0.2">
      <c r="DO11119" s="303" t="s">
        <v>232</v>
      </c>
    </row>
    <row r="11120" spans="119:119" x14ac:dyDescent="0.2">
      <c r="DO11120" s="303" t="s">
        <v>232</v>
      </c>
    </row>
    <row r="11121" spans="119:119" x14ac:dyDescent="0.2">
      <c r="DO11121" s="303" t="s">
        <v>232</v>
      </c>
    </row>
    <row r="11122" spans="119:119" x14ac:dyDescent="0.2">
      <c r="DO11122" s="303" t="s">
        <v>232</v>
      </c>
    </row>
    <row r="11123" spans="119:119" x14ac:dyDescent="0.2">
      <c r="DO11123" s="303" t="s">
        <v>232</v>
      </c>
    </row>
    <row r="11124" spans="119:119" x14ac:dyDescent="0.2">
      <c r="DO11124" s="303" t="s">
        <v>232</v>
      </c>
    </row>
    <row r="11125" spans="119:119" x14ac:dyDescent="0.2">
      <c r="DO11125" s="303" t="s">
        <v>232</v>
      </c>
    </row>
    <row r="11126" spans="119:119" x14ac:dyDescent="0.2">
      <c r="DO11126" s="303" t="s">
        <v>232</v>
      </c>
    </row>
    <row r="11127" spans="119:119" x14ac:dyDescent="0.2">
      <c r="DO11127" s="303" t="s">
        <v>232</v>
      </c>
    </row>
    <row r="11128" spans="119:119" x14ac:dyDescent="0.2">
      <c r="DO11128" s="303" t="s">
        <v>232</v>
      </c>
    </row>
    <row r="11129" spans="119:119" x14ac:dyDescent="0.2">
      <c r="DO11129" s="303" t="s">
        <v>232</v>
      </c>
    </row>
    <row r="11130" spans="119:119" x14ac:dyDescent="0.2">
      <c r="DO11130" s="303" t="s">
        <v>232</v>
      </c>
    </row>
    <row r="11131" spans="119:119" x14ac:dyDescent="0.2">
      <c r="DO11131" s="303" t="s">
        <v>232</v>
      </c>
    </row>
    <row r="11132" spans="119:119" x14ac:dyDescent="0.2">
      <c r="DO11132" s="303" t="s">
        <v>232</v>
      </c>
    </row>
    <row r="11133" spans="119:119" x14ac:dyDescent="0.2">
      <c r="DO11133" s="303" t="s">
        <v>232</v>
      </c>
    </row>
    <row r="11134" spans="119:119" x14ac:dyDescent="0.2">
      <c r="DO11134" s="303" t="s">
        <v>232</v>
      </c>
    </row>
    <row r="11135" spans="119:119" x14ac:dyDescent="0.2">
      <c r="DO11135" s="303" t="s">
        <v>232</v>
      </c>
    </row>
    <row r="11136" spans="119:119" x14ac:dyDescent="0.2">
      <c r="DO11136" s="303" t="s">
        <v>232</v>
      </c>
    </row>
    <row r="11137" spans="119:119" x14ac:dyDescent="0.2">
      <c r="DO11137" s="303" t="s">
        <v>232</v>
      </c>
    </row>
    <row r="11138" spans="119:119" x14ac:dyDescent="0.2">
      <c r="DO11138" s="303" t="s">
        <v>232</v>
      </c>
    </row>
    <row r="11139" spans="119:119" x14ac:dyDescent="0.2">
      <c r="DO11139" s="303" t="s">
        <v>232</v>
      </c>
    </row>
    <row r="11140" spans="119:119" x14ac:dyDescent="0.2">
      <c r="DO11140" s="303" t="s">
        <v>232</v>
      </c>
    </row>
    <row r="11141" spans="119:119" x14ac:dyDescent="0.2">
      <c r="DO11141" s="303" t="s">
        <v>232</v>
      </c>
    </row>
    <row r="11142" spans="119:119" x14ac:dyDescent="0.2">
      <c r="DO11142" s="303" t="s">
        <v>232</v>
      </c>
    </row>
    <row r="11143" spans="119:119" x14ac:dyDescent="0.2">
      <c r="DO11143" s="303" t="s">
        <v>232</v>
      </c>
    </row>
    <row r="11144" spans="119:119" x14ac:dyDescent="0.2">
      <c r="DO11144" s="303" t="s">
        <v>232</v>
      </c>
    </row>
    <row r="11145" spans="119:119" x14ac:dyDescent="0.2">
      <c r="DO11145" s="303" t="s">
        <v>232</v>
      </c>
    </row>
    <row r="11146" spans="119:119" x14ac:dyDescent="0.2">
      <c r="DO11146" s="303" t="s">
        <v>232</v>
      </c>
    </row>
    <row r="11147" spans="119:119" x14ac:dyDescent="0.2">
      <c r="DO11147" s="303" t="s">
        <v>232</v>
      </c>
    </row>
    <row r="11148" spans="119:119" x14ac:dyDescent="0.2">
      <c r="DO11148" s="303" t="s">
        <v>232</v>
      </c>
    </row>
    <row r="11149" spans="119:119" x14ac:dyDescent="0.2">
      <c r="DO11149" s="303" t="s">
        <v>232</v>
      </c>
    </row>
    <row r="11150" spans="119:119" x14ac:dyDescent="0.2">
      <c r="DO11150" s="303" t="s">
        <v>232</v>
      </c>
    </row>
    <row r="11151" spans="119:119" x14ac:dyDescent="0.2">
      <c r="DO11151" s="303" t="s">
        <v>232</v>
      </c>
    </row>
    <row r="11152" spans="119:119" x14ac:dyDescent="0.2">
      <c r="DO11152" s="303" t="s">
        <v>232</v>
      </c>
    </row>
    <row r="11153" spans="119:119" x14ac:dyDescent="0.2">
      <c r="DO11153" s="303" t="s">
        <v>232</v>
      </c>
    </row>
    <row r="11154" spans="119:119" x14ac:dyDescent="0.2">
      <c r="DO11154" s="303" t="s">
        <v>232</v>
      </c>
    </row>
    <row r="11155" spans="119:119" x14ac:dyDescent="0.2">
      <c r="DO11155" s="303" t="s">
        <v>232</v>
      </c>
    </row>
    <row r="11156" spans="119:119" x14ac:dyDescent="0.2">
      <c r="DO11156" s="303" t="s">
        <v>232</v>
      </c>
    </row>
    <row r="11157" spans="119:119" x14ac:dyDescent="0.2">
      <c r="DO11157" s="303" t="s">
        <v>232</v>
      </c>
    </row>
    <row r="11158" spans="119:119" x14ac:dyDescent="0.2">
      <c r="DO11158" s="303" t="s">
        <v>232</v>
      </c>
    </row>
    <row r="11159" spans="119:119" x14ac:dyDescent="0.2">
      <c r="DO11159" s="303" t="s">
        <v>232</v>
      </c>
    </row>
    <row r="11160" spans="119:119" x14ac:dyDescent="0.2">
      <c r="DO11160" s="303" t="s">
        <v>232</v>
      </c>
    </row>
    <row r="11161" spans="119:119" x14ac:dyDescent="0.2">
      <c r="DO11161" s="303" t="s">
        <v>232</v>
      </c>
    </row>
    <row r="11162" spans="119:119" x14ac:dyDescent="0.2">
      <c r="DO11162" s="303" t="s">
        <v>232</v>
      </c>
    </row>
    <row r="11163" spans="119:119" x14ac:dyDescent="0.2">
      <c r="DO11163" s="303" t="s">
        <v>232</v>
      </c>
    </row>
    <row r="11164" spans="119:119" x14ac:dyDescent="0.2">
      <c r="DO11164" s="303" t="s">
        <v>232</v>
      </c>
    </row>
    <row r="11165" spans="119:119" x14ac:dyDescent="0.2">
      <c r="DO11165" s="303" t="s">
        <v>232</v>
      </c>
    </row>
    <row r="11166" spans="119:119" x14ac:dyDescent="0.2">
      <c r="DO11166" s="303" t="s">
        <v>232</v>
      </c>
    </row>
    <row r="11167" spans="119:119" x14ac:dyDescent="0.2">
      <c r="DO11167" s="303" t="s">
        <v>232</v>
      </c>
    </row>
    <row r="11168" spans="119:119" x14ac:dyDescent="0.2">
      <c r="DO11168" s="303" t="s">
        <v>232</v>
      </c>
    </row>
    <row r="11169" spans="119:119" x14ac:dyDescent="0.2">
      <c r="DO11169" s="303" t="s">
        <v>232</v>
      </c>
    </row>
    <row r="11170" spans="119:119" x14ac:dyDescent="0.2">
      <c r="DO11170" s="303" t="s">
        <v>232</v>
      </c>
    </row>
    <row r="11171" spans="119:119" x14ac:dyDescent="0.2">
      <c r="DO11171" s="303" t="s">
        <v>232</v>
      </c>
    </row>
    <row r="11172" spans="119:119" x14ac:dyDescent="0.2">
      <c r="DO11172" s="303" t="s">
        <v>232</v>
      </c>
    </row>
    <row r="11173" spans="119:119" x14ac:dyDescent="0.2">
      <c r="DO11173" s="303" t="s">
        <v>232</v>
      </c>
    </row>
    <row r="11174" spans="119:119" x14ac:dyDescent="0.2">
      <c r="DO11174" s="303" t="s">
        <v>232</v>
      </c>
    </row>
    <row r="11175" spans="119:119" x14ac:dyDescent="0.2">
      <c r="DO11175" s="303" t="s">
        <v>232</v>
      </c>
    </row>
    <row r="11176" spans="119:119" x14ac:dyDescent="0.2">
      <c r="DO11176" s="303" t="s">
        <v>232</v>
      </c>
    </row>
    <row r="11177" spans="119:119" x14ac:dyDescent="0.2">
      <c r="DO11177" s="303" t="s">
        <v>232</v>
      </c>
    </row>
    <row r="11178" spans="119:119" x14ac:dyDescent="0.2">
      <c r="DO11178" s="303" t="s">
        <v>232</v>
      </c>
    </row>
    <row r="11179" spans="119:119" x14ac:dyDescent="0.2">
      <c r="DO11179" s="303" t="s">
        <v>232</v>
      </c>
    </row>
    <row r="11180" spans="119:119" x14ac:dyDescent="0.2">
      <c r="DO11180" s="303" t="s">
        <v>232</v>
      </c>
    </row>
    <row r="11181" spans="119:119" x14ac:dyDescent="0.2">
      <c r="DO11181" s="303" t="s">
        <v>232</v>
      </c>
    </row>
    <row r="11182" spans="119:119" x14ac:dyDescent="0.2">
      <c r="DO11182" s="303" t="s">
        <v>232</v>
      </c>
    </row>
    <row r="11183" spans="119:119" x14ac:dyDescent="0.2">
      <c r="DO11183" s="303" t="s">
        <v>232</v>
      </c>
    </row>
    <row r="11184" spans="119:119" x14ac:dyDescent="0.2">
      <c r="DO11184" s="303" t="s">
        <v>232</v>
      </c>
    </row>
    <row r="11185" spans="119:119" x14ac:dyDescent="0.2">
      <c r="DO11185" s="303" t="s">
        <v>232</v>
      </c>
    </row>
    <row r="11186" spans="119:119" x14ac:dyDescent="0.2">
      <c r="DO11186" s="303" t="s">
        <v>232</v>
      </c>
    </row>
    <row r="11187" spans="119:119" x14ac:dyDescent="0.2">
      <c r="DO11187" s="303" t="s">
        <v>232</v>
      </c>
    </row>
    <row r="11188" spans="119:119" x14ac:dyDescent="0.2">
      <c r="DO11188" s="303" t="s">
        <v>232</v>
      </c>
    </row>
    <row r="11189" spans="119:119" x14ac:dyDescent="0.2">
      <c r="DO11189" s="303" t="s">
        <v>232</v>
      </c>
    </row>
    <row r="11190" spans="119:119" x14ac:dyDescent="0.2">
      <c r="DO11190" s="303" t="s">
        <v>232</v>
      </c>
    </row>
    <row r="11191" spans="119:119" x14ac:dyDescent="0.2">
      <c r="DO11191" s="303" t="s">
        <v>232</v>
      </c>
    </row>
    <row r="11192" spans="119:119" x14ac:dyDescent="0.2">
      <c r="DO11192" s="303" t="s">
        <v>232</v>
      </c>
    </row>
    <row r="11193" spans="119:119" x14ac:dyDescent="0.2">
      <c r="DO11193" s="303" t="s">
        <v>232</v>
      </c>
    </row>
    <row r="11194" spans="119:119" x14ac:dyDescent="0.2">
      <c r="DO11194" s="303" t="s">
        <v>232</v>
      </c>
    </row>
    <row r="11195" spans="119:119" x14ac:dyDescent="0.2">
      <c r="DO11195" s="303" t="s">
        <v>232</v>
      </c>
    </row>
    <row r="11196" spans="119:119" x14ac:dyDescent="0.2">
      <c r="DO11196" s="303" t="s">
        <v>232</v>
      </c>
    </row>
    <row r="11197" spans="119:119" x14ac:dyDescent="0.2">
      <c r="DO11197" s="303" t="s">
        <v>232</v>
      </c>
    </row>
    <row r="11198" spans="119:119" x14ac:dyDescent="0.2">
      <c r="DO11198" s="303" t="s">
        <v>232</v>
      </c>
    </row>
    <row r="11199" spans="119:119" x14ac:dyDescent="0.2">
      <c r="DO11199" s="303" t="s">
        <v>232</v>
      </c>
    </row>
    <row r="11200" spans="119:119" x14ac:dyDescent="0.2">
      <c r="DO11200" s="303" t="s">
        <v>232</v>
      </c>
    </row>
    <row r="11201" spans="119:119" x14ac:dyDescent="0.2">
      <c r="DO11201" s="303" t="s">
        <v>232</v>
      </c>
    </row>
    <row r="11202" spans="119:119" x14ac:dyDescent="0.2">
      <c r="DO11202" s="303" t="s">
        <v>232</v>
      </c>
    </row>
    <row r="11203" spans="119:119" x14ac:dyDescent="0.2">
      <c r="DO11203" s="303" t="s">
        <v>232</v>
      </c>
    </row>
    <row r="11204" spans="119:119" x14ac:dyDescent="0.2">
      <c r="DO11204" s="303" t="s">
        <v>232</v>
      </c>
    </row>
    <row r="11205" spans="119:119" x14ac:dyDescent="0.2">
      <c r="DO11205" s="303" t="s">
        <v>232</v>
      </c>
    </row>
    <row r="11206" spans="119:119" x14ac:dyDescent="0.2">
      <c r="DO11206" s="303" t="s">
        <v>232</v>
      </c>
    </row>
    <row r="11207" spans="119:119" x14ac:dyDescent="0.2">
      <c r="DO11207" s="303" t="s">
        <v>232</v>
      </c>
    </row>
    <row r="11208" spans="119:119" x14ac:dyDescent="0.2">
      <c r="DO11208" s="303" t="s">
        <v>232</v>
      </c>
    </row>
    <row r="11209" spans="119:119" x14ac:dyDescent="0.2">
      <c r="DO11209" s="303" t="s">
        <v>232</v>
      </c>
    </row>
    <row r="11210" spans="119:119" x14ac:dyDescent="0.2">
      <c r="DO11210" s="303" t="s">
        <v>232</v>
      </c>
    </row>
    <row r="11211" spans="119:119" x14ac:dyDescent="0.2">
      <c r="DO11211" s="303" t="s">
        <v>232</v>
      </c>
    </row>
    <row r="11212" spans="119:119" x14ac:dyDescent="0.2">
      <c r="DO11212" s="303" t="s">
        <v>232</v>
      </c>
    </row>
    <row r="11213" spans="119:119" x14ac:dyDescent="0.2">
      <c r="DO11213" s="303" t="s">
        <v>232</v>
      </c>
    </row>
    <row r="11214" spans="119:119" x14ac:dyDescent="0.2">
      <c r="DO11214" s="303" t="s">
        <v>232</v>
      </c>
    </row>
    <row r="11215" spans="119:119" x14ac:dyDescent="0.2">
      <c r="DO11215" s="303" t="s">
        <v>232</v>
      </c>
    </row>
    <row r="11216" spans="119:119" x14ac:dyDescent="0.2">
      <c r="DO11216" s="303" t="s">
        <v>232</v>
      </c>
    </row>
    <row r="11217" spans="119:119" x14ac:dyDescent="0.2">
      <c r="DO11217" s="303" t="s">
        <v>232</v>
      </c>
    </row>
    <row r="11218" spans="119:119" x14ac:dyDescent="0.2">
      <c r="DO11218" s="303" t="s">
        <v>232</v>
      </c>
    </row>
    <row r="11219" spans="119:119" x14ac:dyDescent="0.2">
      <c r="DO11219" s="303" t="s">
        <v>232</v>
      </c>
    </row>
    <row r="11220" spans="119:119" x14ac:dyDescent="0.2">
      <c r="DO11220" s="303" t="s">
        <v>232</v>
      </c>
    </row>
    <row r="11221" spans="119:119" x14ac:dyDescent="0.2">
      <c r="DO11221" s="303" t="s">
        <v>232</v>
      </c>
    </row>
    <row r="11222" spans="119:119" x14ac:dyDescent="0.2">
      <c r="DO11222" s="303" t="s">
        <v>232</v>
      </c>
    </row>
    <row r="11223" spans="119:119" x14ac:dyDescent="0.2">
      <c r="DO11223" s="303" t="s">
        <v>232</v>
      </c>
    </row>
    <row r="11224" spans="119:119" x14ac:dyDescent="0.2">
      <c r="DO11224" s="303" t="s">
        <v>232</v>
      </c>
    </row>
    <row r="11225" spans="119:119" x14ac:dyDescent="0.2">
      <c r="DO11225" s="303" t="s">
        <v>232</v>
      </c>
    </row>
    <row r="11226" spans="119:119" x14ac:dyDescent="0.2">
      <c r="DO11226" s="303" t="s">
        <v>232</v>
      </c>
    </row>
    <row r="11227" spans="119:119" x14ac:dyDescent="0.2">
      <c r="DO11227" s="303" t="s">
        <v>232</v>
      </c>
    </row>
    <row r="11228" spans="119:119" x14ac:dyDescent="0.2">
      <c r="DO11228" s="303" t="s">
        <v>232</v>
      </c>
    </row>
    <row r="11229" spans="119:119" x14ac:dyDescent="0.2">
      <c r="DO11229" s="303" t="s">
        <v>232</v>
      </c>
    </row>
    <row r="11230" spans="119:119" x14ac:dyDescent="0.2">
      <c r="DO11230" s="303" t="s">
        <v>232</v>
      </c>
    </row>
    <row r="11231" spans="119:119" x14ac:dyDescent="0.2">
      <c r="DO11231" s="303" t="s">
        <v>232</v>
      </c>
    </row>
    <row r="11232" spans="119:119" x14ac:dyDescent="0.2">
      <c r="DO11232" s="303" t="s">
        <v>232</v>
      </c>
    </row>
    <row r="11233" spans="119:119" x14ac:dyDescent="0.2">
      <c r="DO11233" s="303" t="s">
        <v>232</v>
      </c>
    </row>
    <row r="11234" spans="119:119" x14ac:dyDescent="0.2">
      <c r="DO11234" s="303" t="s">
        <v>232</v>
      </c>
    </row>
    <row r="11235" spans="119:119" x14ac:dyDescent="0.2">
      <c r="DO11235" s="303" t="s">
        <v>232</v>
      </c>
    </row>
    <row r="11236" spans="119:119" x14ac:dyDescent="0.2">
      <c r="DO11236" s="303" t="s">
        <v>232</v>
      </c>
    </row>
    <row r="11237" spans="119:119" x14ac:dyDescent="0.2">
      <c r="DO11237" s="303" t="s">
        <v>232</v>
      </c>
    </row>
    <row r="11238" spans="119:119" x14ac:dyDescent="0.2">
      <c r="DO11238" s="303" t="s">
        <v>232</v>
      </c>
    </row>
    <row r="11239" spans="119:119" x14ac:dyDescent="0.2">
      <c r="DO11239" s="303" t="s">
        <v>232</v>
      </c>
    </row>
    <row r="11240" spans="119:119" x14ac:dyDescent="0.2">
      <c r="DO11240" s="303" t="s">
        <v>232</v>
      </c>
    </row>
    <row r="11241" spans="119:119" x14ac:dyDescent="0.2">
      <c r="DO11241" s="303" t="s">
        <v>232</v>
      </c>
    </row>
    <row r="11242" spans="119:119" x14ac:dyDescent="0.2">
      <c r="DO11242" s="303" t="s">
        <v>232</v>
      </c>
    </row>
    <row r="11243" spans="119:119" x14ac:dyDescent="0.2">
      <c r="DO11243" s="303" t="s">
        <v>232</v>
      </c>
    </row>
    <row r="11244" spans="119:119" x14ac:dyDescent="0.2">
      <c r="DO11244" s="303" t="s">
        <v>232</v>
      </c>
    </row>
    <row r="11245" spans="119:119" x14ac:dyDescent="0.2">
      <c r="DO11245" s="303" t="s">
        <v>232</v>
      </c>
    </row>
    <row r="11246" spans="119:119" x14ac:dyDescent="0.2">
      <c r="DO11246" s="303" t="s">
        <v>232</v>
      </c>
    </row>
    <row r="11247" spans="119:119" x14ac:dyDescent="0.2">
      <c r="DO11247" s="303" t="s">
        <v>232</v>
      </c>
    </row>
    <row r="11248" spans="119:119" x14ac:dyDescent="0.2">
      <c r="DO11248" s="303" t="s">
        <v>232</v>
      </c>
    </row>
    <row r="11249" spans="119:119" x14ac:dyDescent="0.2">
      <c r="DO11249" s="303" t="s">
        <v>232</v>
      </c>
    </row>
    <row r="11250" spans="119:119" x14ac:dyDescent="0.2">
      <c r="DO11250" s="303" t="s">
        <v>232</v>
      </c>
    </row>
    <row r="11251" spans="119:119" x14ac:dyDescent="0.2">
      <c r="DO11251" s="303" t="s">
        <v>232</v>
      </c>
    </row>
    <row r="11252" spans="119:119" x14ac:dyDescent="0.2">
      <c r="DO11252" s="303" t="s">
        <v>232</v>
      </c>
    </row>
    <row r="11253" spans="119:119" x14ac:dyDescent="0.2">
      <c r="DO11253" s="303" t="s">
        <v>232</v>
      </c>
    </row>
    <row r="11254" spans="119:119" x14ac:dyDescent="0.2">
      <c r="DO11254" s="303" t="s">
        <v>232</v>
      </c>
    </row>
    <row r="11255" spans="119:119" x14ac:dyDescent="0.2">
      <c r="DO11255" s="303" t="s">
        <v>232</v>
      </c>
    </row>
    <row r="11256" spans="119:119" x14ac:dyDescent="0.2">
      <c r="DO11256" s="303" t="s">
        <v>232</v>
      </c>
    </row>
    <row r="11257" spans="119:119" x14ac:dyDescent="0.2">
      <c r="DO11257" s="303" t="s">
        <v>232</v>
      </c>
    </row>
    <row r="11258" spans="119:119" x14ac:dyDescent="0.2">
      <c r="DO11258" s="303" t="s">
        <v>232</v>
      </c>
    </row>
    <row r="11259" spans="119:119" x14ac:dyDescent="0.2">
      <c r="DO11259" s="303" t="s">
        <v>232</v>
      </c>
    </row>
    <row r="11260" spans="119:119" x14ac:dyDescent="0.2">
      <c r="DO11260" s="303" t="s">
        <v>232</v>
      </c>
    </row>
    <row r="11261" spans="119:119" x14ac:dyDescent="0.2">
      <c r="DO11261" s="303" t="s">
        <v>232</v>
      </c>
    </row>
    <row r="11262" spans="119:119" x14ac:dyDescent="0.2">
      <c r="DO11262" s="303" t="s">
        <v>232</v>
      </c>
    </row>
    <row r="11263" spans="119:119" x14ac:dyDescent="0.2">
      <c r="DO11263" s="303" t="s">
        <v>232</v>
      </c>
    </row>
    <row r="11264" spans="119:119" x14ac:dyDescent="0.2">
      <c r="DO11264" s="303" t="s">
        <v>232</v>
      </c>
    </row>
    <row r="11265" spans="119:119" x14ac:dyDescent="0.2">
      <c r="DO11265" s="303" t="s">
        <v>232</v>
      </c>
    </row>
    <row r="11266" spans="119:119" x14ac:dyDescent="0.2">
      <c r="DO11266" s="303" t="s">
        <v>232</v>
      </c>
    </row>
    <row r="11267" spans="119:119" x14ac:dyDescent="0.2">
      <c r="DO11267" s="303" t="s">
        <v>232</v>
      </c>
    </row>
    <row r="11268" spans="119:119" x14ac:dyDescent="0.2">
      <c r="DO11268" s="303" t="s">
        <v>232</v>
      </c>
    </row>
    <row r="11269" spans="119:119" x14ac:dyDescent="0.2">
      <c r="DO11269" s="303" t="s">
        <v>232</v>
      </c>
    </row>
    <row r="11270" spans="119:119" x14ac:dyDescent="0.2">
      <c r="DO11270" s="303" t="s">
        <v>232</v>
      </c>
    </row>
    <row r="11271" spans="119:119" x14ac:dyDescent="0.2">
      <c r="DO11271" s="303" t="s">
        <v>232</v>
      </c>
    </row>
    <row r="11272" spans="119:119" x14ac:dyDescent="0.2">
      <c r="DO11272" s="303" t="s">
        <v>232</v>
      </c>
    </row>
    <row r="11273" spans="119:119" x14ac:dyDescent="0.2">
      <c r="DO11273" s="303" t="s">
        <v>232</v>
      </c>
    </row>
    <row r="11274" spans="119:119" x14ac:dyDescent="0.2">
      <c r="DO11274" s="303" t="s">
        <v>232</v>
      </c>
    </row>
    <row r="11275" spans="119:119" x14ac:dyDescent="0.2">
      <c r="DO11275" s="303" t="s">
        <v>232</v>
      </c>
    </row>
    <row r="11276" spans="119:119" x14ac:dyDescent="0.2">
      <c r="DO11276" s="303" t="s">
        <v>232</v>
      </c>
    </row>
    <row r="11277" spans="119:119" x14ac:dyDescent="0.2">
      <c r="DO11277" s="303" t="s">
        <v>232</v>
      </c>
    </row>
    <row r="11278" spans="119:119" x14ac:dyDescent="0.2">
      <c r="DO11278" s="303" t="s">
        <v>232</v>
      </c>
    </row>
    <row r="11279" spans="119:119" x14ac:dyDescent="0.2">
      <c r="DO11279" s="303" t="s">
        <v>232</v>
      </c>
    </row>
    <row r="11280" spans="119:119" x14ac:dyDescent="0.2">
      <c r="DO11280" s="303" t="s">
        <v>232</v>
      </c>
    </row>
    <row r="11281" spans="119:119" x14ac:dyDescent="0.2">
      <c r="DO11281" s="303" t="s">
        <v>232</v>
      </c>
    </row>
    <row r="11282" spans="119:119" x14ac:dyDescent="0.2">
      <c r="DO11282" s="303" t="s">
        <v>232</v>
      </c>
    </row>
    <row r="11283" spans="119:119" x14ac:dyDescent="0.2">
      <c r="DO11283" s="303" t="s">
        <v>232</v>
      </c>
    </row>
    <row r="11284" spans="119:119" x14ac:dyDescent="0.2">
      <c r="DO11284" s="303" t="s">
        <v>232</v>
      </c>
    </row>
    <row r="11285" spans="119:119" x14ac:dyDescent="0.2">
      <c r="DO11285" s="303" t="s">
        <v>232</v>
      </c>
    </row>
    <row r="11286" spans="119:119" x14ac:dyDescent="0.2">
      <c r="DO11286" s="303" t="s">
        <v>232</v>
      </c>
    </row>
    <row r="11287" spans="119:119" x14ac:dyDescent="0.2">
      <c r="DO11287" s="303" t="s">
        <v>232</v>
      </c>
    </row>
    <row r="11288" spans="119:119" x14ac:dyDescent="0.2">
      <c r="DO11288" s="303" t="s">
        <v>232</v>
      </c>
    </row>
    <row r="11289" spans="119:119" x14ac:dyDescent="0.2">
      <c r="DO11289" s="303" t="s">
        <v>232</v>
      </c>
    </row>
    <row r="11290" spans="119:119" x14ac:dyDescent="0.2">
      <c r="DO11290" s="303" t="s">
        <v>232</v>
      </c>
    </row>
    <row r="11291" spans="119:119" x14ac:dyDescent="0.2">
      <c r="DO11291" s="303" t="s">
        <v>232</v>
      </c>
    </row>
    <row r="11292" spans="119:119" x14ac:dyDescent="0.2">
      <c r="DO11292" s="303" t="s">
        <v>232</v>
      </c>
    </row>
    <row r="11293" spans="119:119" x14ac:dyDescent="0.2">
      <c r="DO11293" s="303" t="s">
        <v>232</v>
      </c>
    </row>
    <row r="11294" spans="119:119" x14ac:dyDescent="0.2">
      <c r="DO11294" s="303" t="s">
        <v>232</v>
      </c>
    </row>
    <row r="11295" spans="119:119" x14ac:dyDescent="0.2">
      <c r="DO11295" s="303" t="s">
        <v>232</v>
      </c>
    </row>
    <row r="11296" spans="119:119" x14ac:dyDescent="0.2">
      <c r="DO11296" s="303" t="s">
        <v>232</v>
      </c>
    </row>
    <row r="11297" spans="119:119" x14ac:dyDescent="0.2">
      <c r="DO11297" s="303" t="s">
        <v>232</v>
      </c>
    </row>
    <row r="11298" spans="119:119" x14ac:dyDescent="0.2">
      <c r="DO11298" s="303" t="s">
        <v>232</v>
      </c>
    </row>
    <row r="11299" spans="119:119" x14ac:dyDescent="0.2">
      <c r="DO11299" s="303" t="s">
        <v>232</v>
      </c>
    </row>
    <row r="11300" spans="119:119" x14ac:dyDescent="0.2">
      <c r="DO11300" s="303" t="s">
        <v>232</v>
      </c>
    </row>
    <row r="11301" spans="119:119" x14ac:dyDescent="0.2">
      <c r="DO11301" s="303" t="s">
        <v>232</v>
      </c>
    </row>
    <row r="11302" spans="119:119" x14ac:dyDescent="0.2">
      <c r="DO11302" s="303" t="s">
        <v>232</v>
      </c>
    </row>
    <row r="11303" spans="119:119" x14ac:dyDescent="0.2">
      <c r="DO11303" s="303" t="s">
        <v>232</v>
      </c>
    </row>
    <row r="11304" spans="119:119" x14ac:dyDescent="0.2">
      <c r="DO11304" s="303" t="s">
        <v>232</v>
      </c>
    </row>
    <row r="11305" spans="119:119" x14ac:dyDescent="0.2">
      <c r="DO11305" s="303" t="s">
        <v>232</v>
      </c>
    </row>
    <row r="11306" spans="119:119" x14ac:dyDescent="0.2">
      <c r="DO11306" s="303" t="s">
        <v>232</v>
      </c>
    </row>
    <row r="11307" spans="119:119" x14ac:dyDescent="0.2">
      <c r="DO11307" s="303" t="s">
        <v>232</v>
      </c>
    </row>
    <row r="11308" spans="119:119" x14ac:dyDescent="0.2">
      <c r="DO11308" s="303" t="s">
        <v>232</v>
      </c>
    </row>
    <row r="11309" spans="119:119" x14ac:dyDescent="0.2">
      <c r="DO11309" s="303" t="s">
        <v>232</v>
      </c>
    </row>
    <row r="11310" spans="119:119" x14ac:dyDescent="0.2">
      <c r="DO11310" s="303" t="s">
        <v>232</v>
      </c>
    </row>
    <row r="11311" spans="119:119" x14ac:dyDescent="0.2">
      <c r="DO11311" s="303" t="s">
        <v>232</v>
      </c>
    </row>
    <row r="11312" spans="119:119" x14ac:dyDescent="0.2">
      <c r="DO11312" s="303" t="s">
        <v>232</v>
      </c>
    </row>
    <row r="11313" spans="119:119" x14ac:dyDescent="0.2">
      <c r="DO11313" s="303" t="s">
        <v>232</v>
      </c>
    </row>
    <row r="11314" spans="119:119" x14ac:dyDescent="0.2">
      <c r="DO11314" s="303" t="s">
        <v>232</v>
      </c>
    </row>
    <row r="11315" spans="119:119" x14ac:dyDescent="0.2">
      <c r="DO11315" s="303" t="s">
        <v>232</v>
      </c>
    </row>
    <row r="11316" spans="119:119" x14ac:dyDescent="0.2">
      <c r="DO11316" s="303" t="s">
        <v>232</v>
      </c>
    </row>
    <row r="11317" spans="119:119" x14ac:dyDescent="0.2">
      <c r="DO11317" s="303" t="s">
        <v>232</v>
      </c>
    </row>
    <row r="11318" spans="119:119" x14ac:dyDescent="0.2">
      <c r="DO11318" s="303" t="s">
        <v>232</v>
      </c>
    </row>
    <row r="11319" spans="119:119" x14ac:dyDescent="0.2">
      <c r="DO11319" s="303" t="s">
        <v>232</v>
      </c>
    </row>
    <row r="11320" spans="119:119" x14ac:dyDescent="0.2">
      <c r="DO11320" s="303" t="s">
        <v>232</v>
      </c>
    </row>
    <row r="11321" spans="119:119" x14ac:dyDescent="0.2">
      <c r="DO11321" s="303" t="s">
        <v>232</v>
      </c>
    </row>
    <row r="11322" spans="119:119" x14ac:dyDescent="0.2">
      <c r="DO11322" s="303" t="s">
        <v>232</v>
      </c>
    </row>
    <row r="11323" spans="119:119" x14ac:dyDescent="0.2">
      <c r="DO11323" s="303" t="s">
        <v>232</v>
      </c>
    </row>
    <row r="11324" spans="119:119" x14ac:dyDescent="0.2">
      <c r="DO11324" s="303" t="s">
        <v>232</v>
      </c>
    </row>
    <row r="11325" spans="119:119" x14ac:dyDescent="0.2">
      <c r="DO11325" s="303" t="s">
        <v>232</v>
      </c>
    </row>
    <row r="11326" spans="119:119" x14ac:dyDescent="0.2">
      <c r="DO11326" s="303" t="s">
        <v>232</v>
      </c>
    </row>
    <row r="11327" spans="119:119" x14ac:dyDescent="0.2">
      <c r="DO11327" s="303" t="s">
        <v>232</v>
      </c>
    </row>
    <row r="11328" spans="119:119" x14ac:dyDescent="0.2">
      <c r="DO11328" s="303" t="s">
        <v>232</v>
      </c>
    </row>
    <row r="11329" spans="119:119" x14ac:dyDescent="0.2">
      <c r="DO11329" s="303" t="s">
        <v>232</v>
      </c>
    </row>
    <row r="11330" spans="119:119" x14ac:dyDescent="0.2">
      <c r="DO11330" s="303" t="s">
        <v>232</v>
      </c>
    </row>
    <row r="11331" spans="119:119" x14ac:dyDescent="0.2">
      <c r="DO11331" s="303" t="s">
        <v>232</v>
      </c>
    </row>
    <row r="11332" spans="119:119" x14ac:dyDescent="0.2">
      <c r="DO11332" s="303" t="s">
        <v>232</v>
      </c>
    </row>
    <row r="11333" spans="119:119" x14ac:dyDescent="0.2">
      <c r="DO11333" s="303" t="s">
        <v>232</v>
      </c>
    </row>
    <row r="11334" spans="119:119" x14ac:dyDescent="0.2">
      <c r="DO11334" s="303" t="s">
        <v>232</v>
      </c>
    </row>
    <row r="11335" spans="119:119" x14ac:dyDescent="0.2">
      <c r="DO11335" s="303" t="s">
        <v>232</v>
      </c>
    </row>
    <row r="11336" spans="119:119" x14ac:dyDescent="0.2">
      <c r="DO11336" s="303" t="s">
        <v>232</v>
      </c>
    </row>
    <row r="11337" spans="119:119" x14ac:dyDescent="0.2">
      <c r="DO11337" s="303" t="s">
        <v>232</v>
      </c>
    </row>
    <row r="11338" spans="119:119" x14ac:dyDescent="0.2">
      <c r="DO11338" s="303" t="s">
        <v>232</v>
      </c>
    </row>
    <row r="11339" spans="119:119" x14ac:dyDescent="0.2">
      <c r="DO11339" s="303" t="s">
        <v>232</v>
      </c>
    </row>
    <row r="11340" spans="119:119" x14ac:dyDescent="0.2">
      <c r="DO11340" s="303" t="s">
        <v>232</v>
      </c>
    </row>
    <row r="11341" spans="119:119" x14ac:dyDescent="0.2">
      <c r="DO11341" s="303" t="s">
        <v>232</v>
      </c>
    </row>
    <row r="11342" spans="119:119" x14ac:dyDescent="0.2">
      <c r="DO11342" s="303" t="s">
        <v>232</v>
      </c>
    </row>
    <row r="11343" spans="119:119" x14ac:dyDescent="0.2">
      <c r="DO11343" s="303" t="s">
        <v>232</v>
      </c>
    </row>
    <row r="11344" spans="119:119" x14ac:dyDescent="0.2">
      <c r="DO11344" s="303" t="s">
        <v>232</v>
      </c>
    </row>
    <row r="11345" spans="119:119" x14ac:dyDescent="0.2">
      <c r="DO11345" s="303" t="s">
        <v>232</v>
      </c>
    </row>
    <row r="11346" spans="119:119" x14ac:dyDescent="0.2">
      <c r="DO11346" s="303" t="s">
        <v>232</v>
      </c>
    </row>
    <row r="11347" spans="119:119" x14ac:dyDescent="0.2">
      <c r="DO11347" s="303" t="s">
        <v>232</v>
      </c>
    </row>
    <row r="11348" spans="119:119" x14ac:dyDescent="0.2">
      <c r="DO11348" s="303" t="s">
        <v>232</v>
      </c>
    </row>
    <row r="11349" spans="119:119" x14ac:dyDescent="0.2">
      <c r="DO11349" s="303" t="s">
        <v>232</v>
      </c>
    </row>
    <row r="11350" spans="119:119" x14ac:dyDescent="0.2">
      <c r="DO11350" s="303" t="s">
        <v>232</v>
      </c>
    </row>
    <row r="11351" spans="119:119" x14ac:dyDescent="0.2">
      <c r="DO11351" s="303" t="s">
        <v>232</v>
      </c>
    </row>
    <row r="11352" spans="119:119" x14ac:dyDescent="0.2">
      <c r="DO11352" s="303" t="s">
        <v>232</v>
      </c>
    </row>
    <row r="11353" spans="119:119" x14ac:dyDescent="0.2">
      <c r="DO11353" s="303" t="s">
        <v>232</v>
      </c>
    </row>
    <row r="11354" spans="119:119" x14ac:dyDescent="0.2">
      <c r="DO11354" s="303" t="s">
        <v>232</v>
      </c>
    </row>
    <row r="11355" spans="119:119" x14ac:dyDescent="0.2">
      <c r="DO11355" s="303" t="s">
        <v>232</v>
      </c>
    </row>
    <row r="11356" spans="119:119" x14ac:dyDescent="0.2">
      <c r="DO11356" s="303" t="s">
        <v>232</v>
      </c>
    </row>
    <row r="11357" spans="119:119" x14ac:dyDescent="0.2">
      <c r="DO11357" s="303" t="s">
        <v>232</v>
      </c>
    </row>
    <row r="11358" spans="119:119" x14ac:dyDescent="0.2">
      <c r="DO11358" s="303" t="s">
        <v>232</v>
      </c>
    </row>
    <row r="11359" spans="119:119" x14ac:dyDescent="0.2">
      <c r="DO11359" s="303" t="s">
        <v>232</v>
      </c>
    </row>
    <row r="11360" spans="119:119" x14ac:dyDescent="0.2">
      <c r="DO11360" s="303" t="s">
        <v>232</v>
      </c>
    </row>
    <row r="11361" spans="119:119" x14ac:dyDescent="0.2">
      <c r="DO11361" s="303" t="s">
        <v>232</v>
      </c>
    </row>
    <row r="11362" spans="119:119" x14ac:dyDescent="0.2">
      <c r="DO11362" s="303" t="s">
        <v>232</v>
      </c>
    </row>
    <row r="11363" spans="119:119" x14ac:dyDescent="0.2">
      <c r="DO11363" s="303" t="s">
        <v>232</v>
      </c>
    </row>
    <row r="11364" spans="119:119" x14ac:dyDescent="0.2">
      <c r="DO11364" s="303" t="s">
        <v>232</v>
      </c>
    </row>
    <row r="11365" spans="119:119" x14ac:dyDescent="0.2">
      <c r="DO11365" s="303" t="s">
        <v>232</v>
      </c>
    </row>
    <row r="11366" spans="119:119" x14ac:dyDescent="0.2">
      <c r="DO11366" s="303" t="s">
        <v>232</v>
      </c>
    </row>
    <row r="11367" spans="119:119" x14ac:dyDescent="0.2">
      <c r="DO11367" s="303" t="s">
        <v>232</v>
      </c>
    </row>
    <row r="11368" spans="119:119" x14ac:dyDescent="0.2">
      <c r="DO11368" s="303" t="s">
        <v>232</v>
      </c>
    </row>
    <row r="11369" spans="119:119" x14ac:dyDescent="0.2">
      <c r="DO11369" s="303" t="s">
        <v>232</v>
      </c>
    </row>
    <row r="11370" spans="119:119" x14ac:dyDescent="0.2">
      <c r="DO11370" s="303" t="s">
        <v>232</v>
      </c>
    </row>
    <row r="11371" spans="119:119" x14ac:dyDescent="0.2">
      <c r="DO11371" s="303" t="s">
        <v>232</v>
      </c>
    </row>
    <row r="11372" spans="119:119" x14ac:dyDescent="0.2">
      <c r="DO11372" s="303" t="s">
        <v>232</v>
      </c>
    </row>
    <row r="11373" spans="119:119" x14ac:dyDescent="0.2">
      <c r="DO11373" s="303" t="s">
        <v>232</v>
      </c>
    </row>
    <row r="11374" spans="119:119" x14ac:dyDescent="0.2">
      <c r="DO11374" s="303" t="s">
        <v>232</v>
      </c>
    </row>
    <row r="11375" spans="119:119" x14ac:dyDescent="0.2">
      <c r="DO11375" s="303" t="s">
        <v>232</v>
      </c>
    </row>
    <row r="11376" spans="119:119" x14ac:dyDescent="0.2">
      <c r="DO11376" s="303" t="s">
        <v>232</v>
      </c>
    </row>
    <row r="11377" spans="119:119" x14ac:dyDescent="0.2">
      <c r="DO11377" s="303" t="s">
        <v>232</v>
      </c>
    </row>
    <row r="11378" spans="119:119" x14ac:dyDescent="0.2">
      <c r="DO11378" s="303" t="s">
        <v>232</v>
      </c>
    </row>
    <row r="11379" spans="119:119" x14ac:dyDescent="0.2">
      <c r="DO11379" s="303" t="s">
        <v>232</v>
      </c>
    </row>
    <row r="11380" spans="119:119" x14ac:dyDescent="0.2">
      <c r="DO11380" s="303" t="s">
        <v>232</v>
      </c>
    </row>
    <row r="11381" spans="119:119" x14ac:dyDescent="0.2">
      <c r="DO11381" s="303" t="s">
        <v>232</v>
      </c>
    </row>
    <row r="11382" spans="119:119" x14ac:dyDescent="0.2">
      <c r="DO11382" s="303" t="s">
        <v>232</v>
      </c>
    </row>
    <row r="11383" spans="119:119" x14ac:dyDescent="0.2">
      <c r="DO11383" s="303" t="s">
        <v>232</v>
      </c>
    </row>
    <row r="11384" spans="119:119" x14ac:dyDescent="0.2">
      <c r="DO11384" s="303" t="s">
        <v>232</v>
      </c>
    </row>
    <row r="11385" spans="119:119" x14ac:dyDescent="0.2">
      <c r="DO11385" s="303" t="s">
        <v>232</v>
      </c>
    </row>
    <row r="11386" spans="119:119" x14ac:dyDescent="0.2">
      <c r="DO11386" s="303" t="s">
        <v>232</v>
      </c>
    </row>
    <row r="11387" spans="119:119" x14ac:dyDescent="0.2">
      <c r="DO11387" s="303" t="s">
        <v>232</v>
      </c>
    </row>
    <row r="11388" spans="119:119" x14ac:dyDescent="0.2">
      <c r="DO11388" s="303" t="s">
        <v>232</v>
      </c>
    </row>
    <row r="11389" spans="119:119" x14ac:dyDescent="0.2">
      <c r="DO11389" s="303" t="s">
        <v>232</v>
      </c>
    </row>
    <row r="11390" spans="119:119" x14ac:dyDescent="0.2">
      <c r="DO11390" s="303" t="s">
        <v>232</v>
      </c>
    </row>
    <row r="11391" spans="119:119" x14ac:dyDescent="0.2">
      <c r="DO11391" s="303" t="s">
        <v>232</v>
      </c>
    </row>
    <row r="11392" spans="119:119" x14ac:dyDescent="0.2">
      <c r="DO11392" s="303" t="s">
        <v>232</v>
      </c>
    </row>
    <row r="11393" spans="119:119" x14ac:dyDescent="0.2">
      <c r="DO11393" s="303" t="s">
        <v>232</v>
      </c>
    </row>
    <row r="11394" spans="119:119" x14ac:dyDescent="0.2">
      <c r="DO11394" s="303" t="s">
        <v>232</v>
      </c>
    </row>
    <row r="11395" spans="119:119" x14ac:dyDescent="0.2">
      <c r="DO11395" s="303" t="s">
        <v>232</v>
      </c>
    </row>
    <row r="11396" spans="119:119" x14ac:dyDescent="0.2">
      <c r="DO11396" s="303" t="s">
        <v>232</v>
      </c>
    </row>
    <row r="11397" spans="119:119" x14ac:dyDescent="0.2">
      <c r="DO11397" s="303" t="s">
        <v>232</v>
      </c>
    </row>
    <row r="11398" spans="119:119" x14ac:dyDescent="0.2">
      <c r="DO11398" s="303" t="s">
        <v>232</v>
      </c>
    </row>
    <row r="11399" spans="119:119" x14ac:dyDescent="0.2">
      <c r="DO11399" s="303" t="s">
        <v>232</v>
      </c>
    </row>
    <row r="11400" spans="119:119" x14ac:dyDescent="0.2">
      <c r="DO11400" s="303" t="s">
        <v>232</v>
      </c>
    </row>
    <row r="11401" spans="119:119" x14ac:dyDescent="0.2">
      <c r="DO11401" s="303" t="s">
        <v>232</v>
      </c>
    </row>
    <row r="11402" spans="119:119" x14ac:dyDescent="0.2">
      <c r="DO11402" s="303" t="s">
        <v>232</v>
      </c>
    </row>
    <row r="11403" spans="119:119" x14ac:dyDescent="0.2">
      <c r="DO11403" s="303" t="s">
        <v>232</v>
      </c>
    </row>
    <row r="11404" spans="119:119" x14ac:dyDescent="0.2">
      <c r="DO11404" s="303" t="s">
        <v>232</v>
      </c>
    </row>
    <row r="11405" spans="119:119" x14ac:dyDescent="0.2">
      <c r="DO11405" s="303" t="s">
        <v>232</v>
      </c>
    </row>
    <row r="11406" spans="119:119" x14ac:dyDescent="0.2">
      <c r="DO11406" s="303" t="s">
        <v>232</v>
      </c>
    </row>
    <row r="11407" spans="119:119" x14ac:dyDescent="0.2">
      <c r="DO11407" s="303" t="s">
        <v>232</v>
      </c>
    </row>
    <row r="11408" spans="119:119" x14ac:dyDescent="0.2">
      <c r="DO11408" s="303" t="s">
        <v>232</v>
      </c>
    </row>
    <row r="11409" spans="119:119" x14ac:dyDescent="0.2">
      <c r="DO11409" s="303" t="s">
        <v>232</v>
      </c>
    </row>
    <row r="11410" spans="119:119" x14ac:dyDescent="0.2">
      <c r="DO11410" s="303" t="s">
        <v>232</v>
      </c>
    </row>
    <row r="11411" spans="119:119" x14ac:dyDescent="0.2">
      <c r="DO11411" s="303" t="s">
        <v>232</v>
      </c>
    </row>
    <row r="11412" spans="119:119" x14ac:dyDescent="0.2">
      <c r="DO11412" s="303" t="s">
        <v>232</v>
      </c>
    </row>
    <row r="11413" spans="119:119" x14ac:dyDescent="0.2">
      <c r="DO11413" s="303" t="s">
        <v>232</v>
      </c>
    </row>
    <row r="11414" spans="119:119" x14ac:dyDescent="0.2">
      <c r="DO11414" s="303" t="s">
        <v>232</v>
      </c>
    </row>
    <row r="11415" spans="119:119" x14ac:dyDescent="0.2">
      <c r="DO11415" s="303" t="s">
        <v>232</v>
      </c>
    </row>
    <row r="11416" spans="119:119" x14ac:dyDescent="0.2">
      <c r="DO11416" s="303" t="s">
        <v>232</v>
      </c>
    </row>
    <row r="11417" spans="119:119" x14ac:dyDescent="0.2">
      <c r="DO11417" s="303" t="s">
        <v>232</v>
      </c>
    </row>
    <row r="11418" spans="119:119" x14ac:dyDescent="0.2">
      <c r="DO11418" s="303" t="s">
        <v>232</v>
      </c>
    </row>
    <row r="11419" spans="119:119" x14ac:dyDescent="0.2">
      <c r="DO11419" s="303" t="s">
        <v>232</v>
      </c>
    </row>
    <row r="11420" spans="119:119" x14ac:dyDescent="0.2">
      <c r="DO11420" s="303" t="s">
        <v>232</v>
      </c>
    </row>
    <row r="11421" spans="119:119" x14ac:dyDescent="0.2">
      <c r="DO11421" s="303" t="s">
        <v>232</v>
      </c>
    </row>
    <row r="11422" spans="119:119" x14ac:dyDescent="0.2">
      <c r="DO11422" s="303" t="s">
        <v>232</v>
      </c>
    </row>
    <row r="11423" spans="119:119" x14ac:dyDescent="0.2">
      <c r="DO11423" s="303" t="s">
        <v>232</v>
      </c>
    </row>
    <row r="11424" spans="119:119" x14ac:dyDescent="0.2">
      <c r="DO11424" s="303" t="s">
        <v>232</v>
      </c>
    </row>
    <row r="11425" spans="119:119" x14ac:dyDescent="0.2">
      <c r="DO11425" s="303" t="s">
        <v>232</v>
      </c>
    </row>
    <row r="11426" spans="119:119" x14ac:dyDescent="0.2">
      <c r="DO11426" s="303" t="s">
        <v>232</v>
      </c>
    </row>
    <row r="11427" spans="119:119" x14ac:dyDescent="0.2">
      <c r="DO11427" s="303" t="s">
        <v>232</v>
      </c>
    </row>
    <row r="11428" spans="119:119" x14ac:dyDescent="0.2">
      <c r="DO11428" s="303" t="s">
        <v>232</v>
      </c>
    </row>
    <row r="11429" spans="119:119" x14ac:dyDescent="0.2">
      <c r="DO11429" s="303" t="s">
        <v>232</v>
      </c>
    </row>
    <row r="11430" spans="119:119" x14ac:dyDescent="0.2">
      <c r="DO11430" s="303" t="s">
        <v>232</v>
      </c>
    </row>
    <row r="11431" spans="119:119" x14ac:dyDescent="0.2">
      <c r="DO11431" s="303" t="s">
        <v>232</v>
      </c>
    </row>
    <row r="11432" spans="119:119" x14ac:dyDescent="0.2">
      <c r="DO11432" s="303" t="s">
        <v>232</v>
      </c>
    </row>
    <row r="11433" spans="119:119" x14ac:dyDescent="0.2">
      <c r="DO11433" s="303" t="s">
        <v>232</v>
      </c>
    </row>
    <row r="11434" spans="119:119" x14ac:dyDescent="0.2">
      <c r="DO11434" s="303" t="s">
        <v>232</v>
      </c>
    </row>
    <row r="11435" spans="119:119" x14ac:dyDescent="0.2">
      <c r="DO11435" s="303" t="s">
        <v>232</v>
      </c>
    </row>
    <row r="11436" spans="119:119" x14ac:dyDescent="0.2">
      <c r="DO11436" s="303" t="s">
        <v>232</v>
      </c>
    </row>
    <row r="11437" spans="119:119" x14ac:dyDescent="0.2">
      <c r="DO11437" s="303" t="s">
        <v>232</v>
      </c>
    </row>
    <row r="11438" spans="119:119" x14ac:dyDescent="0.2">
      <c r="DO11438" s="303" t="s">
        <v>232</v>
      </c>
    </row>
    <row r="11439" spans="119:119" x14ac:dyDescent="0.2">
      <c r="DO11439" s="303" t="s">
        <v>232</v>
      </c>
    </row>
    <row r="11440" spans="119:119" x14ac:dyDescent="0.2">
      <c r="DO11440" s="303" t="s">
        <v>232</v>
      </c>
    </row>
    <row r="11441" spans="119:119" x14ac:dyDescent="0.2">
      <c r="DO11441" s="303" t="s">
        <v>232</v>
      </c>
    </row>
    <row r="11442" spans="119:119" x14ac:dyDescent="0.2">
      <c r="DO11442" s="303" t="s">
        <v>232</v>
      </c>
    </row>
    <row r="11443" spans="119:119" x14ac:dyDescent="0.2">
      <c r="DO11443" s="303" t="s">
        <v>232</v>
      </c>
    </row>
    <row r="11444" spans="119:119" x14ac:dyDescent="0.2">
      <c r="DO11444" s="303" t="s">
        <v>232</v>
      </c>
    </row>
    <row r="11445" spans="119:119" x14ac:dyDescent="0.2">
      <c r="DO11445" s="303" t="s">
        <v>232</v>
      </c>
    </row>
    <row r="11446" spans="119:119" x14ac:dyDescent="0.2">
      <c r="DO11446" s="303" t="s">
        <v>232</v>
      </c>
    </row>
    <row r="11447" spans="119:119" x14ac:dyDescent="0.2">
      <c r="DO11447" s="303" t="s">
        <v>232</v>
      </c>
    </row>
    <row r="11448" spans="119:119" x14ac:dyDescent="0.2">
      <c r="DO11448" s="303" t="s">
        <v>232</v>
      </c>
    </row>
    <row r="11449" spans="119:119" x14ac:dyDescent="0.2">
      <c r="DO11449" s="303" t="s">
        <v>232</v>
      </c>
    </row>
    <row r="11450" spans="119:119" x14ac:dyDescent="0.2">
      <c r="DO11450" s="303" t="s">
        <v>232</v>
      </c>
    </row>
    <row r="11451" spans="119:119" x14ac:dyDescent="0.2">
      <c r="DO11451" s="303" t="s">
        <v>232</v>
      </c>
    </row>
    <row r="11452" spans="119:119" x14ac:dyDescent="0.2">
      <c r="DO11452" s="303" t="s">
        <v>232</v>
      </c>
    </row>
    <row r="11453" spans="119:119" x14ac:dyDescent="0.2">
      <c r="DO11453" s="303" t="s">
        <v>232</v>
      </c>
    </row>
    <row r="11454" spans="119:119" x14ac:dyDescent="0.2">
      <c r="DO11454" s="303" t="s">
        <v>232</v>
      </c>
    </row>
    <row r="11455" spans="119:119" x14ac:dyDescent="0.2">
      <c r="DO11455" s="303" t="s">
        <v>232</v>
      </c>
    </row>
    <row r="11456" spans="119:119" x14ac:dyDescent="0.2">
      <c r="DO11456" s="303" t="s">
        <v>232</v>
      </c>
    </row>
    <row r="11457" spans="119:119" x14ac:dyDescent="0.2">
      <c r="DO11457" s="303" t="s">
        <v>232</v>
      </c>
    </row>
    <row r="11458" spans="119:119" x14ac:dyDescent="0.2">
      <c r="DO11458" s="303" t="s">
        <v>232</v>
      </c>
    </row>
    <row r="11459" spans="119:119" x14ac:dyDescent="0.2">
      <c r="DO11459" s="303" t="s">
        <v>232</v>
      </c>
    </row>
    <row r="11460" spans="119:119" x14ac:dyDescent="0.2">
      <c r="DO11460" s="303" t="s">
        <v>232</v>
      </c>
    </row>
    <row r="11461" spans="119:119" x14ac:dyDescent="0.2">
      <c r="DO11461" s="303" t="s">
        <v>232</v>
      </c>
    </row>
    <row r="11462" spans="119:119" x14ac:dyDescent="0.2">
      <c r="DO11462" s="303" t="s">
        <v>232</v>
      </c>
    </row>
    <row r="11463" spans="119:119" x14ac:dyDescent="0.2">
      <c r="DO11463" s="303" t="s">
        <v>232</v>
      </c>
    </row>
    <row r="11464" spans="119:119" x14ac:dyDescent="0.2">
      <c r="DO11464" s="303" t="s">
        <v>232</v>
      </c>
    </row>
    <row r="11465" spans="119:119" x14ac:dyDescent="0.2">
      <c r="DO11465" s="303" t="s">
        <v>232</v>
      </c>
    </row>
    <row r="11466" spans="119:119" x14ac:dyDescent="0.2">
      <c r="DO11466" s="303" t="s">
        <v>232</v>
      </c>
    </row>
    <row r="11467" spans="119:119" x14ac:dyDescent="0.2">
      <c r="DO11467" s="303" t="s">
        <v>232</v>
      </c>
    </row>
    <row r="11468" spans="119:119" x14ac:dyDescent="0.2">
      <c r="DO11468" s="303" t="s">
        <v>232</v>
      </c>
    </row>
    <row r="11469" spans="119:119" x14ac:dyDescent="0.2">
      <c r="DO11469" s="303" t="s">
        <v>232</v>
      </c>
    </row>
    <row r="11470" spans="119:119" x14ac:dyDescent="0.2">
      <c r="DO11470" s="303" t="s">
        <v>232</v>
      </c>
    </row>
    <row r="11471" spans="119:119" x14ac:dyDescent="0.2">
      <c r="DO11471" s="303" t="s">
        <v>232</v>
      </c>
    </row>
    <row r="11472" spans="119:119" x14ac:dyDescent="0.2">
      <c r="DO11472" s="303" t="s">
        <v>232</v>
      </c>
    </row>
    <row r="11473" spans="119:119" x14ac:dyDescent="0.2">
      <c r="DO11473" s="303" t="s">
        <v>232</v>
      </c>
    </row>
    <row r="11474" spans="119:119" x14ac:dyDescent="0.2">
      <c r="DO11474" s="303" t="s">
        <v>232</v>
      </c>
    </row>
    <row r="11475" spans="119:119" x14ac:dyDescent="0.2">
      <c r="DO11475" s="303" t="s">
        <v>232</v>
      </c>
    </row>
    <row r="11476" spans="119:119" x14ac:dyDescent="0.2">
      <c r="DO11476" s="303" t="s">
        <v>232</v>
      </c>
    </row>
    <row r="11477" spans="119:119" x14ac:dyDescent="0.2">
      <c r="DO11477" s="303" t="s">
        <v>232</v>
      </c>
    </row>
    <row r="11478" spans="119:119" x14ac:dyDescent="0.2">
      <c r="DO11478" s="303" t="s">
        <v>232</v>
      </c>
    </row>
    <row r="11479" spans="119:119" x14ac:dyDescent="0.2">
      <c r="DO11479" s="303" t="s">
        <v>232</v>
      </c>
    </row>
    <row r="11480" spans="119:119" x14ac:dyDescent="0.2">
      <c r="DO11480" s="303" t="s">
        <v>232</v>
      </c>
    </row>
    <row r="11481" spans="119:119" x14ac:dyDescent="0.2">
      <c r="DO11481" s="303" t="s">
        <v>232</v>
      </c>
    </row>
    <row r="11482" spans="119:119" x14ac:dyDescent="0.2">
      <c r="DO11482" s="303" t="s">
        <v>232</v>
      </c>
    </row>
    <row r="11483" spans="119:119" x14ac:dyDescent="0.2">
      <c r="DO11483" s="303" t="s">
        <v>232</v>
      </c>
    </row>
    <row r="11484" spans="119:119" x14ac:dyDescent="0.2">
      <c r="DO11484" s="303" t="s">
        <v>232</v>
      </c>
    </row>
    <row r="11485" spans="119:119" x14ac:dyDescent="0.2">
      <c r="DO11485" s="303" t="s">
        <v>232</v>
      </c>
    </row>
    <row r="11486" spans="119:119" x14ac:dyDescent="0.2">
      <c r="DO11486" s="303" t="s">
        <v>232</v>
      </c>
    </row>
    <row r="11487" spans="119:119" x14ac:dyDescent="0.2">
      <c r="DO11487" s="303" t="s">
        <v>232</v>
      </c>
    </row>
    <row r="11488" spans="119:119" x14ac:dyDescent="0.2">
      <c r="DO11488" s="303" t="s">
        <v>232</v>
      </c>
    </row>
    <row r="11489" spans="119:119" x14ac:dyDescent="0.2">
      <c r="DO11489" s="303" t="s">
        <v>232</v>
      </c>
    </row>
    <row r="11490" spans="119:119" x14ac:dyDescent="0.2">
      <c r="DO11490" s="303" t="s">
        <v>232</v>
      </c>
    </row>
    <row r="11491" spans="119:119" x14ac:dyDescent="0.2">
      <c r="DO11491" s="303" t="s">
        <v>232</v>
      </c>
    </row>
    <row r="11492" spans="119:119" x14ac:dyDescent="0.2">
      <c r="DO11492" s="303" t="s">
        <v>232</v>
      </c>
    </row>
    <row r="11493" spans="119:119" x14ac:dyDescent="0.2">
      <c r="DO11493" s="303" t="s">
        <v>232</v>
      </c>
    </row>
    <row r="11494" spans="119:119" x14ac:dyDescent="0.2">
      <c r="DO11494" s="303" t="s">
        <v>232</v>
      </c>
    </row>
    <row r="11495" spans="119:119" x14ac:dyDescent="0.2">
      <c r="DO11495" s="303" t="s">
        <v>232</v>
      </c>
    </row>
    <row r="11496" spans="119:119" x14ac:dyDescent="0.2">
      <c r="DO11496" s="303" t="s">
        <v>232</v>
      </c>
    </row>
    <row r="11497" spans="119:119" x14ac:dyDescent="0.2">
      <c r="DO11497" s="303" t="s">
        <v>232</v>
      </c>
    </row>
    <row r="11498" spans="119:119" x14ac:dyDescent="0.2">
      <c r="DO11498" s="303" t="s">
        <v>232</v>
      </c>
    </row>
    <row r="11499" spans="119:119" x14ac:dyDescent="0.2">
      <c r="DO11499" s="303" t="s">
        <v>232</v>
      </c>
    </row>
    <row r="11500" spans="119:119" x14ac:dyDescent="0.2">
      <c r="DO11500" s="303" t="s">
        <v>232</v>
      </c>
    </row>
    <row r="11501" spans="119:119" x14ac:dyDescent="0.2">
      <c r="DO11501" s="303" t="s">
        <v>232</v>
      </c>
    </row>
    <row r="11502" spans="119:119" x14ac:dyDescent="0.2">
      <c r="DO11502" s="303" t="s">
        <v>232</v>
      </c>
    </row>
    <row r="11503" spans="119:119" x14ac:dyDescent="0.2">
      <c r="DO11503" s="303" t="s">
        <v>232</v>
      </c>
    </row>
    <row r="11504" spans="119:119" x14ac:dyDescent="0.2">
      <c r="DO11504" s="303" t="s">
        <v>232</v>
      </c>
    </row>
    <row r="11505" spans="119:119" x14ac:dyDescent="0.2">
      <c r="DO11505" s="303" t="s">
        <v>232</v>
      </c>
    </row>
    <row r="11506" spans="119:119" x14ac:dyDescent="0.2">
      <c r="DO11506" s="303" t="s">
        <v>232</v>
      </c>
    </row>
    <row r="11507" spans="119:119" x14ac:dyDescent="0.2">
      <c r="DO11507" s="303" t="s">
        <v>232</v>
      </c>
    </row>
    <row r="11508" spans="119:119" x14ac:dyDescent="0.2">
      <c r="DO11508" s="303" t="s">
        <v>232</v>
      </c>
    </row>
    <row r="11509" spans="119:119" x14ac:dyDescent="0.2">
      <c r="DO11509" s="303" t="s">
        <v>232</v>
      </c>
    </row>
    <row r="11510" spans="119:119" x14ac:dyDescent="0.2">
      <c r="DO11510" s="303" t="s">
        <v>232</v>
      </c>
    </row>
    <row r="11511" spans="119:119" x14ac:dyDescent="0.2">
      <c r="DO11511" s="303" t="s">
        <v>232</v>
      </c>
    </row>
    <row r="11512" spans="119:119" x14ac:dyDescent="0.2">
      <c r="DO11512" s="303" t="s">
        <v>232</v>
      </c>
    </row>
    <row r="11513" spans="119:119" x14ac:dyDescent="0.2">
      <c r="DO11513" s="303" t="s">
        <v>232</v>
      </c>
    </row>
    <row r="11514" spans="119:119" x14ac:dyDescent="0.2">
      <c r="DO11514" s="303" t="s">
        <v>232</v>
      </c>
    </row>
    <row r="11515" spans="119:119" x14ac:dyDescent="0.2">
      <c r="DO11515" s="303" t="s">
        <v>232</v>
      </c>
    </row>
    <row r="11516" spans="119:119" x14ac:dyDescent="0.2">
      <c r="DO11516" s="303" t="s">
        <v>232</v>
      </c>
    </row>
    <row r="11517" spans="119:119" x14ac:dyDescent="0.2">
      <c r="DO11517" s="303" t="s">
        <v>232</v>
      </c>
    </row>
    <row r="11518" spans="119:119" x14ac:dyDescent="0.2">
      <c r="DO11518" s="303" t="s">
        <v>232</v>
      </c>
    </row>
    <row r="11519" spans="119:119" x14ac:dyDescent="0.2">
      <c r="DO11519" s="303" t="s">
        <v>232</v>
      </c>
    </row>
    <row r="11520" spans="119:119" x14ac:dyDescent="0.2">
      <c r="DO11520" s="303" t="s">
        <v>232</v>
      </c>
    </row>
    <row r="11521" spans="119:119" x14ac:dyDescent="0.2">
      <c r="DO11521" s="303" t="s">
        <v>232</v>
      </c>
    </row>
    <row r="11522" spans="119:119" x14ac:dyDescent="0.2">
      <c r="DO11522" s="303" t="s">
        <v>232</v>
      </c>
    </row>
    <row r="11523" spans="119:119" x14ac:dyDescent="0.2">
      <c r="DO11523" s="303" t="s">
        <v>232</v>
      </c>
    </row>
    <row r="11524" spans="119:119" x14ac:dyDescent="0.2">
      <c r="DO11524" s="303" t="s">
        <v>232</v>
      </c>
    </row>
    <row r="11525" spans="119:119" x14ac:dyDescent="0.2">
      <c r="DO11525" s="303" t="s">
        <v>232</v>
      </c>
    </row>
    <row r="11526" spans="119:119" x14ac:dyDescent="0.2">
      <c r="DO11526" s="303" t="s">
        <v>232</v>
      </c>
    </row>
    <row r="11527" spans="119:119" x14ac:dyDescent="0.2">
      <c r="DO11527" s="303" t="s">
        <v>232</v>
      </c>
    </row>
    <row r="11528" spans="119:119" x14ac:dyDescent="0.2">
      <c r="DO11528" s="303" t="s">
        <v>232</v>
      </c>
    </row>
    <row r="11529" spans="119:119" x14ac:dyDescent="0.2">
      <c r="DO11529" s="303" t="s">
        <v>232</v>
      </c>
    </row>
    <row r="11530" spans="119:119" x14ac:dyDescent="0.2">
      <c r="DO11530" s="303" t="s">
        <v>232</v>
      </c>
    </row>
    <row r="11531" spans="119:119" x14ac:dyDescent="0.2">
      <c r="DO11531" s="303" t="s">
        <v>232</v>
      </c>
    </row>
    <row r="11532" spans="119:119" x14ac:dyDescent="0.2">
      <c r="DO11532" s="303" t="s">
        <v>232</v>
      </c>
    </row>
    <row r="11533" spans="119:119" x14ac:dyDescent="0.2">
      <c r="DO11533" s="303" t="s">
        <v>232</v>
      </c>
    </row>
    <row r="11534" spans="119:119" x14ac:dyDescent="0.2">
      <c r="DO11534" s="303" t="s">
        <v>232</v>
      </c>
    </row>
    <row r="11535" spans="119:119" x14ac:dyDescent="0.2">
      <c r="DO11535" s="303" t="s">
        <v>232</v>
      </c>
    </row>
    <row r="11536" spans="119:119" x14ac:dyDescent="0.2">
      <c r="DO11536" s="303" t="s">
        <v>232</v>
      </c>
    </row>
    <row r="11537" spans="119:119" x14ac:dyDescent="0.2">
      <c r="DO11537" s="303" t="s">
        <v>232</v>
      </c>
    </row>
    <row r="11538" spans="119:119" x14ac:dyDescent="0.2">
      <c r="DO11538" s="303" t="s">
        <v>232</v>
      </c>
    </row>
    <row r="11539" spans="119:119" x14ac:dyDescent="0.2">
      <c r="DO11539" s="303" t="s">
        <v>232</v>
      </c>
    </row>
    <row r="11540" spans="119:119" x14ac:dyDescent="0.2">
      <c r="DO11540" s="303" t="s">
        <v>232</v>
      </c>
    </row>
    <row r="11541" spans="119:119" x14ac:dyDescent="0.2">
      <c r="DO11541" s="303" t="s">
        <v>232</v>
      </c>
    </row>
    <row r="11542" spans="119:119" x14ac:dyDescent="0.2">
      <c r="DO11542" s="303" t="s">
        <v>232</v>
      </c>
    </row>
    <row r="11543" spans="119:119" x14ac:dyDescent="0.2">
      <c r="DO11543" s="303" t="s">
        <v>232</v>
      </c>
    </row>
    <row r="11544" spans="119:119" x14ac:dyDescent="0.2">
      <c r="DO11544" s="303" t="s">
        <v>232</v>
      </c>
    </row>
    <row r="11545" spans="119:119" x14ac:dyDescent="0.2">
      <c r="DO11545" s="303" t="s">
        <v>232</v>
      </c>
    </row>
    <row r="11546" spans="119:119" x14ac:dyDescent="0.2">
      <c r="DO11546" s="303" t="s">
        <v>232</v>
      </c>
    </row>
    <row r="11547" spans="119:119" x14ac:dyDescent="0.2">
      <c r="DO11547" s="303" t="s">
        <v>232</v>
      </c>
    </row>
    <row r="11548" spans="119:119" x14ac:dyDescent="0.2">
      <c r="DO11548" s="303" t="s">
        <v>232</v>
      </c>
    </row>
    <row r="11549" spans="119:119" x14ac:dyDescent="0.2">
      <c r="DO11549" s="303" t="s">
        <v>232</v>
      </c>
    </row>
    <row r="11550" spans="119:119" x14ac:dyDescent="0.2">
      <c r="DO11550" s="303" t="s">
        <v>232</v>
      </c>
    </row>
    <row r="11551" spans="119:119" x14ac:dyDescent="0.2">
      <c r="DO11551" s="303" t="s">
        <v>232</v>
      </c>
    </row>
    <row r="11552" spans="119:119" x14ac:dyDescent="0.2">
      <c r="DO11552" s="303" t="s">
        <v>232</v>
      </c>
    </row>
    <row r="11553" spans="119:119" x14ac:dyDescent="0.2">
      <c r="DO11553" s="303" t="s">
        <v>232</v>
      </c>
    </row>
    <row r="11554" spans="119:119" x14ac:dyDescent="0.2">
      <c r="DO11554" s="303" t="s">
        <v>232</v>
      </c>
    </row>
    <row r="11555" spans="119:119" x14ac:dyDescent="0.2">
      <c r="DO11555" s="303" t="s">
        <v>232</v>
      </c>
    </row>
    <row r="11556" spans="119:119" x14ac:dyDescent="0.2">
      <c r="DO11556" s="303" t="s">
        <v>232</v>
      </c>
    </row>
    <row r="11557" spans="119:119" x14ac:dyDescent="0.2">
      <c r="DO11557" s="303" t="s">
        <v>232</v>
      </c>
    </row>
    <row r="11558" spans="119:119" x14ac:dyDescent="0.2">
      <c r="DO11558" s="303" t="s">
        <v>232</v>
      </c>
    </row>
    <row r="11559" spans="119:119" x14ac:dyDescent="0.2">
      <c r="DO11559" s="303" t="s">
        <v>232</v>
      </c>
    </row>
    <row r="11560" spans="119:119" x14ac:dyDescent="0.2">
      <c r="DO11560" s="303" t="s">
        <v>232</v>
      </c>
    </row>
    <row r="11561" spans="119:119" x14ac:dyDescent="0.2">
      <c r="DO11561" s="303" t="s">
        <v>232</v>
      </c>
    </row>
    <row r="11562" spans="119:119" x14ac:dyDescent="0.2">
      <c r="DO11562" s="303" t="s">
        <v>232</v>
      </c>
    </row>
    <row r="11563" spans="119:119" x14ac:dyDescent="0.2">
      <c r="DO11563" s="303" t="s">
        <v>232</v>
      </c>
    </row>
    <row r="11564" spans="119:119" x14ac:dyDescent="0.2">
      <c r="DO11564" s="303" t="s">
        <v>232</v>
      </c>
    </row>
    <row r="11565" spans="119:119" x14ac:dyDescent="0.2">
      <c r="DO11565" s="303" t="s">
        <v>232</v>
      </c>
    </row>
    <row r="11566" spans="119:119" x14ac:dyDescent="0.2">
      <c r="DO11566" s="303" t="s">
        <v>232</v>
      </c>
    </row>
    <row r="11567" spans="119:119" x14ac:dyDescent="0.2">
      <c r="DO11567" s="303" t="s">
        <v>232</v>
      </c>
    </row>
    <row r="11568" spans="119:119" x14ac:dyDescent="0.2">
      <c r="DO11568" s="303" t="s">
        <v>232</v>
      </c>
    </row>
    <row r="11569" spans="119:119" x14ac:dyDescent="0.2">
      <c r="DO11569" s="303" t="s">
        <v>232</v>
      </c>
    </row>
    <row r="11570" spans="119:119" x14ac:dyDescent="0.2">
      <c r="DO11570" s="303" t="s">
        <v>232</v>
      </c>
    </row>
    <row r="11571" spans="119:119" x14ac:dyDescent="0.2">
      <c r="DO11571" s="303" t="s">
        <v>232</v>
      </c>
    </row>
    <row r="11572" spans="119:119" x14ac:dyDescent="0.2">
      <c r="DO11572" s="303" t="s">
        <v>232</v>
      </c>
    </row>
    <row r="11573" spans="119:119" x14ac:dyDescent="0.2">
      <c r="DO11573" s="303" t="s">
        <v>232</v>
      </c>
    </row>
    <row r="11574" spans="119:119" x14ac:dyDescent="0.2">
      <c r="DO11574" s="303" t="s">
        <v>232</v>
      </c>
    </row>
    <row r="11575" spans="119:119" x14ac:dyDescent="0.2">
      <c r="DO11575" s="303" t="s">
        <v>232</v>
      </c>
    </row>
    <row r="11576" spans="119:119" x14ac:dyDescent="0.2">
      <c r="DO11576" s="303" t="s">
        <v>232</v>
      </c>
    </row>
    <row r="11577" spans="119:119" x14ac:dyDescent="0.2">
      <c r="DO11577" s="303" t="s">
        <v>232</v>
      </c>
    </row>
    <row r="11578" spans="119:119" x14ac:dyDescent="0.2">
      <c r="DO11578" s="303" t="s">
        <v>232</v>
      </c>
    </row>
    <row r="11579" spans="119:119" x14ac:dyDescent="0.2">
      <c r="DO11579" s="303" t="s">
        <v>232</v>
      </c>
    </row>
    <row r="11580" spans="119:119" x14ac:dyDescent="0.2">
      <c r="DO11580" s="303" t="s">
        <v>232</v>
      </c>
    </row>
    <row r="11581" spans="119:119" x14ac:dyDescent="0.2">
      <c r="DO11581" s="303" t="s">
        <v>232</v>
      </c>
    </row>
    <row r="11582" spans="119:119" x14ac:dyDescent="0.2">
      <c r="DO11582" s="303" t="s">
        <v>232</v>
      </c>
    </row>
    <row r="11583" spans="119:119" x14ac:dyDescent="0.2">
      <c r="DO11583" s="303" t="s">
        <v>232</v>
      </c>
    </row>
    <row r="11584" spans="119:119" x14ac:dyDescent="0.2">
      <c r="DO11584" s="303" t="s">
        <v>232</v>
      </c>
    </row>
    <row r="11585" spans="119:119" x14ac:dyDescent="0.2">
      <c r="DO11585" s="303" t="s">
        <v>232</v>
      </c>
    </row>
    <row r="11586" spans="119:119" x14ac:dyDescent="0.2">
      <c r="DO11586" s="303" t="s">
        <v>232</v>
      </c>
    </row>
    <row r="11587" spans="119:119" x14ac:dyDescent="0.2">
      <c r="DO11587" s="303" t="s">
        <v>232</v>
      </c>
    </row>
    <row r="11588" spans="119:119" x14ac:dyDescent="0.2">
      <c r="DO11588" s="303" t="s">
        <v>232</v>
      </c>
    </row>
    <row r="11589" spans="119:119" x14ac:dyDescent="0.2">
      <c r="DO11589" s="303" t="s">
        <v>232</v>
      </c>
    </row>
    <row r="11590" spans="119:119" x14ac:dyDescent="0.2">
      <c r="DO11590" s="303" t="s">
        <v>232</v>
      </c>
    </row>
    <row r="11591" spans="119:119" x14ac:dyDescent="0.2">
      <c r="DO11591" s="303" t="s">
        <v>232</v>
      </c>
    </row>
    <row r="11592" spans="119:119" x14ac:dyDescent="0.2">
      <c r="DO11592" s="303" t="s">
        <v>232</v>
      </c>
    </row>
    <row r="11593" spans="119:119" x14ac:dyDescent="0.2">
      <c r="DO11593" s="303" t="s">
        <v>232</v>
      </c>
    </row>
    <row r="11594" spans="119:119" x14ac:dyDescent="0.2">
      <c r="DO11594" s="303" t="s">
        <v>232</v>
      </c>
    </row>
    <row r="11595" spans="119:119" x14ac:dyDescent="0.2">
      <c r="DO11595" s="303" t="s">
        <v>232</v>
      </c>
    </row>
    <row r="11596" spans="119:119" x14ac:dyDescent="0.2">
      <c r="DO11596" s="303" t="s">
        <v>232</v>
      </c>
    </row>
    <row r="11597" spans="119:119" x14ac:dyDescent="0.2">
      <c r="DO11597" s="303" t="s">
        <v>232</v>
      </c>
    </row>
    <row r="11598" spans="119:119" x14ac:dyDescent="0.2">
      <c r="DO11598" s="303" t="s">
        <v>232</v>
      </c>
    </row>
    <row r="11599" spans="119:119" x14ac:dyDescent="0.2">
      <c r="DO11599" s="303" t="s">
        <v>232</v>
      </c>
    </row>
    <row r="11600" spans="119:119" x14ac:dyDescent="0.2">
      <c r="DO11600" s="303" t="s">
        <v>232</v>
      </c>
    </row>
    <row r="11601" spans="119:119" x14ac:dyDescent="0.2">
      <c r="DO11601" s="303" t="s">
        <v>232</v>
      </c>
    </row>
    <row r="11602" spans="119:119" x14ac:dyDescent="0.2">
      <c r="DO11602" s="303" t="s">
        <v>232</v>
      </c>
    </row>
    <row r="11603" spans="119:119" x14ac:dyDescent="0.2">
      <c r="DO11603" s="303" t="s">
        <v>232</v>
      </c>
    </row>
    <row r="11604" spans="119:119" x14ac:dyDescent="0.2">
      <c r="DO11604" s="303" t="s">
        <v>232</v>
      </c>
    </row>
    <row r="11605" spans="119:119" x14ac:dyDescent="0.2">
      <c r="DO11605" s="303" t="s">
        <v>232</v>
      </c>
    </row>
    <row r="11606" spans="119:119" x14ac:dyDescent="0.2">
      <c r="DO11606" s="303" t="s">
        <v>232</v>
      </c>
    </row>
    <row r="11607" spans="119:119" x14ac:dyDescent="0.2">
      <c r="DO11607" s="303" t="s">
        <v>232</v>
      </c>
    </row>
    <row r="11608" spans="119:119" x14ac:dyDescent="0.2">
      <c r="DO11608" s="303" t="s">
        <v>232</v>
      </c>
    </row>
    <row r="11609" spans="119:119" x14ac:dyDescent="0.2">
      <c r="DO11609" s="303" t="s">
        <v>232</v>
      </c>
    </row>
    <row r="11610" spans="119:119" x14ac:dyDescent="0.2">
      <c r="DO11610" s="303" t="s">
        <v>232</v>
      </c>
    </row>
    <row r="11611" spans="119:119" x14ac:dyDescent="0.2">
      <c r="DO11611" s="303" t="s">
        <v>232</v>
      </c>
    </row>
    <row r="11612" spans="119:119" x14ac:dyDescent="0.2">
      <c r="DO11612" s="303" t="s">
        <v>232</v>
      </c>
    </row>
    <row r="11613" spans="119:119" x14ac:dyDescent="0.2">
      <c r="DO11613" s="303" t="s">
        <v>232</v>
      </c>
    </row>
    <row r="11614" spans="119:119" x14ac:dyDescent="0.2">
      <c r="DO11614" s="303" t="s">
        <v>232</v>
      </c>
    </row>
    <row r="11615" spans="119:119" x14ac:dyDescent="0.2">
      <c r="DO11615" s="303" t="s">
        <v>232</v>
      </c>
    </row>
    <row r="11616" spans="119:119" x14ac:dyDescent="0.2">
      <c r="DO11616" s="303" t="s">
        <v>232</v>
      </c>
    </row>
    <row r="11617" spans="119:119" x14ac:dyDescent="0.2">
      <c r="DO11617" s="303" t="s">
        <v>232</v>
      </c>
    </row>
    <row r="11618" spans="119:119" x14ac:dyDescent="0.2">
      <c r="DO11618" s="303" t="s">
        <v>232</v>
      </c>
    </row>
    <row r="11619" spans="119:119" x14ac:dyDescent="0.2">
      <c r="DO11619" s="303" t="s">
        <v>232</v>
      </c>
    </row>
    <row r="11620" spans="119:119" x14ac:dyDescent="0.2">
      <c r="DO11620" s="303" t="s">
        <v>232</v>
      </c>
    </row>
    <row r="11621" spans="119:119" x14ac:dyDescent="0.2">
      <c r="DO11621" s="303" t="s">
        <v>232</v>
      </c>
    </row>
    <row r="11622" spans="119:119" x14ac:dyDescent="0.2">
      <c r="DO11622" s="303" t="s">
        <v>232</v>
      </c>
    </row>
    <row r="11623" spans="119:119" x14ac:dyDescent="0.2">
      <c r="DO11623" s="303" t="s">
        <v>232</v>
      </c>
    </row>
    <row r="11624" spans="119:119" x14ac:dyDescent="0.2">
      <c r="DO11624" s="303" t="s">
        <v>232</v>
      </c>
    </row>
    <row r="11625" spans="119:119" x14ac:dyDescent="0.2">
      <c r="DO11625" s="303" t="s">
        <v>232</v>
      </c>
    </row>
    <row r="11626" spans="119:119" x14ac:dyDescent="0.2">
      <c r="DO11626" s="303" t="s">
        <v>232</v>
      </c>
    </row>
    <row r="11627" spans="119:119" x14ac:dyDescent="0.2">
      <c r="DO11627" s="303" t="s">
        <v>232</v>
      </c>
    </row>
    <row r="11628" spans="119:119" x14ac:dyDescent="0.2">
      <c r="DO11628" s="303" t="s">
        <v>232</v>
      </c>
    </row>
    <row r="11629" spans="119:119" x14ac:dyDescent="0.2">
      <c r="DO11629" s="303" t="s">
        <v>232</v>
      </c>
    </row>
    <row r="11630" spans="119:119" x14ac:dyDescent="0.2">
      <c r="DO11630" s="303" t="s">
        <v>232</v>
      </c>
    </row>
    <row r="11631" spans="119:119" x14ac:dyDescent="0.2">
      <c r="DO11631" s="303" t="s">
        <v>232</v>
      </c>
    </row>
    <row r="11632" spans="119:119" x14ac:dyDescent="0.2">
      <c r="DO11632" s="303" t="s">
        <v>232</v>
      </c>
    </row>
    <row r="11633" spans="119:119" x14ac:dyDescent="0.2">
      <c r="DO11633" s="303" t="s">
        <v>232</v>
      </c>
    </row>
    <row r="11634" spans="119:119" x14ac:dyDescent="0.2">
      <c r="DO11634" s="303" t="s">
        <v>232</v>
      </c>
    </row>
    <row r="11635" spans="119:119" x14ac:dyDescent="0.2">
      <c r="DO11635" s="303" t="s">
        <v>232</v>
      </c>
    </row>
    <row r="11636" spans="119:119" x14ac:dyDescent="0.2">
      <c r="DO11636" s="303" t="s">
        <v>232</v>
      </c>
    </row>
    <row r="11637" spans="119:119" x14ac:dyDescent="0.2">
      <c r="DO11637" s="303" t="s">
        <v>232</v>
      </c>
    </row>
    <row r="11638" spans="119:119" x14ac:dyDescent="0.2">
      <c r="DO11638" s="303" t="s">
        <v>232</v>
      </c>
    </row>
    <row r="11639" spans="119:119" x14ac:dyDescent="0.2">
      <c r="DO11639" s="303" t="s">
        <v>232</v>
      </c>
    </row>
    <row r="11640" spans="119:119" x14ac:dyDescent="0.2">
      <c r="DO11640" s="303" t="s">
        <v>232</v>
      </c>
    </row>
    <row r="11641" spans="119:119" x14ac:dyDescent="0.2">
      <c r="DO11641" s="303" t="s">
        <v>232</v>
      </c>
    </row>
    <row r="11642" spans="119:119" x14ac:dyDescent="0.2">
      <c r="DO11642" s="303" t="s">
        <v>232</v>
      </c>
    </row>
    <row r="11643" spans="119:119" x14ac:dyDescent="0.2">
      <c r="DO11643" s="303" t="s">
        <v>232</v>
      </c>
    </row>
    <row r="11644" spans="119:119" x14ac:dyDescent="0.2">
      <c r="DO11644" s="303" t="s">
        <v>232</v>
      </c>
    </row>
    <row r="11645" spans="119:119" x14ac:dyDescent="0.2">
      <c r="DO11645" s="303" t="s">
        <v>232</v>
      </c>
    </row>
    <row r="11646" spans="119:119" x14ac:dyDescent="0.2">
      <c r="DO11646" s="303" t="s">
        <v>232</v>
      </c>
    </row>
    <row r="11647" spans="119:119" x14ac:dyDescent="0.2">
      <c r="DO11647" s="303" t="s">
        <v>232</v>
      </c>
    </row>
    <row r="11648" spans="119:119" x14ac:dyDescent="0.2">
      <c r="DO11648" s="303" t="s">
        <v>232</v>
      </c>
    </row>
    <row r="11649" spans="119:119" x14ac:dyDescent="0.2">
      <c r="DO11649" s="303" t="s">
        <v>232</v>
      </c>
    </row>
    <row r="11650" spans="119:119" x14ac:dyDescent="0.2">
      <c r="DO11650" s="303" t="s">
        <v>232</v>
      </c>
    </row>
    <row r="11651" spans="119:119" x14ac:dyDescent="0.2">
      <c r="DO11651" s="303" t="s">
        <v>232</v>
      </c>
    </row>
    <row r="11652" spans="119:119" x14ac:dyDescent="0.2">
      <c r="DO11652" s="303" t="s">
        <v>232</v>
      </c>
    </row>
    <row r="11653" spans="119:119" x14ac:dyDescent="0.2">
      <c r="DO11653" s="303" t="s">
        <v>232</v>
      </c>
    </row>
    <row r="11654" spans="119:119" x14ac:dyDescent="0.2">
      <c r="DO11654" s="303" t="s">
        <v>232</v>
      </c>
    </row>
    <row r="11655" spans="119:119" x14ac:dyDescent="0.2">
      <c r="DO11655" s="303" t="s">
        <v>232</v>
      </c>
    </row>
    <row r="11656" spans="119:119" x14ac:dyDescent="0.2">
      <c r="DO11656" s="303" t="s">
        <v>232</v>
      </c>
    </row>
    <row r="11657" spans="119:119" x14ac:dyDescent="0.2">
      <c r="DO11657" s="303" t="s">
        <v>232</v>
      </c>
    </row>
    <row r="11658" spans="119:119" x14ac:dyDescent="0.2">
      <c r="DO11658" s="303" t="s">
        <v>232</v>
      </c>
    </row>
    <row r="11659" spans="119:119" x14ac:dyDescent="0.2">
      <c r="DO11659" s="303" t="s">
        <v>232</v>
      </c>
    </row>
    <row r="11660" spans="119:119" x14ac:dyDescent="0.2">
      <c r="DO11660" s="303" t="s">
        <v>232</v>
      </c>
    </row>
    <row r="11661" spans="119:119" x14ac:dyDescent="0.2">
      <c r="DO11661" s="303" t="s">
        <v>232</v>
      </c>
    </row>
    <row r="11662" spans="119:119" x14ac:dyDescent="0.2">
      <c r="DO11662" s="303" t="s">
        <v>232</v>
      </c>
    </row>
    <row r="11663" spans="119:119" x14ac:dyDescent="0.2">
      <c r="DO11663" s="303" t="s">
        <v>232</v>
      </c>
    </row>
    <row r="11664" spans="119:119" x14ac:dyDescent="0.2">
      <c r="DO11664" s="303" t="s">
        <v>232</v>
      </c>
    </row>
    <row r="11665" spans="119:119" x14ac:dyDescent="0.2">
      <c r="DO11665" s="303" t="s">
        <v>232</v>
      </c>
    </row>
    <row r="11666" spans="119:119" x14ac:dyDescent="0.2">
      <c r="DO11666" s="303" t="s">
        <v>232</v>
      </c>
    </row>
    <row r="11667" spans="119:119" x14ac:dyDescent="0.2">
      <c r="DO11667" s="303" t="s">
        <v>232</v>
      </c>
    </row>
    <row r="11668" spans="119:119" x14ac:dyDescent="0.2">
      <c r="DO11668" s="303" t="s">
        <v>232</v>
      </c>
    </row>
    <row r="11669" spans="119:119" x14ac:dyDescent="0.2">
      <c r="DO11669" s="303" t="s">
        <v>232</v>
      </c>
    </row>
    <row r="11670" spans="119:119" x14ac:dyDescent="0.2">
      <c r="DO11670" s="303" t="s">
        <v>232</v>
      </c>
    </row>
    <row r="11671" spans="119:119" x14ac:dyDescent="0.2">
      <c r="DO11671" s="303" t="s">
        <v>232</v>
      </c>
    </row>
    <row r="11672" spans="119:119" x14ac:dyDescent="0.2">
      <c r="DO11672" s="303" t="s">
        <v>232</v>
      </c>
    </row>
    <row r="11673" spans="119:119" x14ac:dyDescent="0.2">
      <c r="DO11673" s="303" t="s">
        <v>232</v>
      </c>
    </row>
    <row r="11674" spans="119:119" x14ac:dyDescent="0.2">
      <c r="DO11674" s="303" t="s">
        <v>232</v>
      </c>
    </row>
    <row r="11675" spans="119:119" x14ac:dyDescent="0.2">
      <c r="DO11675" s="303" t="s">
        <v>232</v>
      </c>
    </row>
    <row r="11676" spans="119:119" x14ac:dyDescent="0.2">
      <c r="DO11676" s="303" t="s">
        <v>232</v>
      </c>
    </row>
    <row r="11677" spans="119:119" x14ac:dyDescent="0.2">
      <c r="DO11677" s="303" t="s">
        <v>232</v>
      </c>
    </row>
    <row r="11678" spans="119:119" x14ac:dyDescent="0.2">
      <c r="DO11678" s="303" t="s">
        <v>232</v>
      </c>
    </row>
    <row r="11679" spans="119:119" x14ac:dyDescent="0.2">
      <c r="DO11679" s="303" t="s">
        <v>232</v>
      </c>
    </row>
    <row r="11680" spans="119:119" x14ac:dyDescent="0.2">
      <c r="DO11680" s="303" t="s">
        <v>232</v>
      </c>
    </row>
    <row r="11681" spans="119:119" x14ac:dyDescent="0.2">
      <c r="DO11681" s="303" t="s">
        <v>232</v>
      </c>
    </row>
    <row r="11682" spans="119:119" x14ac:dyDescent="0.2">
      <c r="DO11682" s="303" t="s">
        <v>232</v>
      </c>
    </row>
    <row r="11683" spans="119:119" x14ac:dyDescent="0.2">
      <c r="DO11683" s="303" t="s">
        <v>232</v>
      </c>
    </row>
    <row r="11684" spans="119:119" x14ac:dyDescent="0.2">
      <c r="DO11684" s="303" t="s">
        <v>232</v>
      </c>
    </row>
    <row r="11685" spans="119:119" x14ac:dyDescent="0.2">
      <c r="DO11685" s="303" t="s">
        <v>232</v>
      </c>
    </row>
    <row r="11686" spans="119:119" x14ac:dyDescent="0.2">
      <c r="DO11686" s="303" t="s">
        <v>232</v>
      </c>
    </row>
    <row r="11687" spans="119:119" x14ac:dyDescent="0.2">
      <c r="DO11687" s="303" t="s">
        <v>232</v>
      </c>
    </row>
    <row r="11688" spans="119:119" x14ac:dyDescent="0.2">
      <c r="DO11688" s="303" t="s">
        <v>232</v>
      </c>
    </row>
    <row r="11689" spans="119:119" x14ac:dyDescent="0.2">
      <c r="DO11689" s="303" t="s">
        <v>232</v>
      </c>
    </row>
    <row r="11690" spans="119:119" x14ac:dyDescent="0.2">
      <c r="DO11690" s="303" t="s">
        <v>232</v>
      </c>
    </row>
    <row r="11691" spans="119:119" x14ac:dyDescent="0.2">
      <c r="DO11691" s="303" t="s">
        <v>232</v>
      </c>
    </row>
    <row r="11692" spans="119:119" x14ac:dyDescent="0.2">
      <c r="DO11692" s="303" t="s">
        <v>232</v>
      </c>
    </row>
    <row r="11693" spans="119:119" x14ac:dyDescent="0.2">
      <c r="DO11693" s="303" t="s">
        <v>232</v>
      </c>
    </row>
    <row r="11694" spans="119:119" x14ac:dyDescent="0.2">
      <c r="DO11694" s="303" t="s">
        <v>232</v>
      </c>
    </row>
    <row r="11695" spans="119:119" x14ac:dyDescent="0.2">
      <c r="DO11695" s="303" t="s">
        <v>232</v>
      </c>
    </row>
    <row r="11696" spans="119:119" x14ac:dyDescent="0.2">
      <c r="DO11696" s="303" t="s">
        <v>232</v>
      </c>
    </row>
    <row r="11697" spans="119:119" x14ac:dyDescent="0.2">
      <c r="DO11697" s="303" t="s">
        <v>232</v>
      </c>
    </row>
    <row r="11698" spans="119:119" x14ac:dyDescent="0.2">
      <c r="DO11698" s="303" t="s">
        <v>232</v>
      </c>
    </row>
    <row r="11699" spans="119:119" x14ac:dyDescent="0.2">
      <c r="DO11699" s="303" t="s">
        <v>232</v>
      </c>
    </row>
    <row r="11700" spans="119:119" x14ac:dyDescent="0.2">
      <c r="DO11700" s="303" t="s">
        <v>232</v>
      </c>
    </row>
    <row r="11701" spans="119:119" x14ac:dyDescent="0.2">
      <c r="DO11701" s="303" t="s">
        <v>232</v>
      </c>
    </row>
    <row r="11702" spans="119:119" x14ac:dyDescent="0.2">
      <c r="DO11702" s="303" t="s">
        <v>232</v>
      </c>
    </row>
    <row r="11703" spans="119:119" x14ac:dyDescent="0.2">
      <c r="DO11703" s="303" t="s">
        <v>232</v>
      </c>
    </row>
    <row r="11704" spans="119:119" x14ac:dyDescent="0.2">
      <c r="DO11704" s="303" t="s">
        <v>232</v>
      </c>
    </row>
    <row r="11705" spans="119:119" x14ac:dyDescent="0.2">
      <c r="DO11705" s="303" t="s">
        <v>232</v>
      </c>
    </row>
    <row r="11706" spans="119:119" x14ac:dyDescent="0.2">
      <c r="DO11706" s="303" t="s">
        <v>232</v>
      </c>
    </row>
    <row r="11707" spans="119:119" x14ac:dyDescent="0.2">
      <c r="DO11707" s="303" t="s">
        <v>232</v>
      </c>
    </row>
    <row r="11708" spans="119:119" x14ac:dyDescent="0.2">
      <c r="DO11708" s="303" t="s">
        <v>232</v>
      </c>
    </row>
    <row r="11709" spans="119:119" x14ac:dyDescent="0.2">
      <c r="DO11709" s="303" t="s">
        <v>232</v>
      </c>
    </row>
    <row r="11710" spans="119:119" x14ac:dyDescent="0.2">
      <c r="DO11710" s="303" t="s">
        <v>232</v>
      </c>
    </row>
    <row r="11711" spans="119:119" x14ac:dyDescent="0.2">
      <c r="DO11711" s="303" t="s">
        <v>232</v>
      </c>
    </row>
    <row r="11712" spans="119:119" x14ac:dyDescent="0.2">
      <c r="DO11712" s="303" t="s">
        <v>232</v>
      </c>
    </row>
    <row r="11713" spans="119:119" x14ac:dyDescent="0.2">
      <c r="DO11713" s="303" t="s">
        <v>232</v>
      </c>
    </row>
    <row r="11714" spans="119:119" x14ac:dyDescent="0.2">
      <c r="DO11714" s="303" t="s">
        <v>232</v>
      </c>
    </row>
    <row r="11715" spans="119:119" x14ac:dyDescent="0.2">
      <c r="DO11715" s="303" t="s">
        <v>232</v>
      </c>
    </row>
    <row r="11716" spans="119:119" x14ac:dyDescent="0.2">
      <c r="DO11716" s="303" t="s">
        <v>232</v>
      </c>
    </row>
    <row r="11717" spans="119:119" x14ac:dyDescent="0.2">
      <c r="DO11717" s="303" t="s">
        <v>232</v>
      </c>
    </row>
    <row r="11718" spans="119:119" x14ac:dyDescent="0.2">
      <c r="DO11718" s="303" t="s">
        <v>232</v>
      </c>
    </row>
    <row r="11719" spans="119:119" x14ac:dyDescent="0.2">
      <c r="DO11719" s="303" t="s">
        <v>232</v>
      </c>
    </row>
    <row r="11720" spans="119:119" x14ac:dyDescent="0.2">
      <c r="DO11720" s="303" t="s">
        <v>232</v>
      </c>
    </row>
    <row r="11721" spans="119:119" x14ac:dyDescent="0.2">
      <c r="DO11721" s="303" t="s">
        <v>232</v>
      </c>
    </row>
    <row r="11722" spans="119:119" x14ac:dyDescent="0.2">
      <c r="DO11722" s="303" t="s">
        <v>232</v>
      </c>
    </row>
    <row r="11723" spans="119:119" x14ac:dyDescent="0.2">
      <c r="DO11723" s="303" t="s">
        <v>232</v>
      </c>
    </row>
    <row r="11724" spans="119:119" x14ac:dyDescent="0.2">
      <c r="DO11724" s="303" t="s">
        <v>232</v>
      </c>
    </row>
    <row r="11725" spans="119:119" x14ac:dyDescent="0.2">
      <c r="DO11725" s="303" t="s">
        <v>232</v>
      </c>
    </row>
    <row r="11726" spans="119:119" x14ac:dyDescent="0.2">
      <c r="DO11726" s="303" t="s">
        <v>232</v>
      </c>
    </row>
    <row r="11727" spans="119:119" x14ac:dyDescent="0.2">
      <c r="DO11727" s="303" t="s">
        <v>232</v>
      </c>
    </row>
    <row r="11728" spans="119:119" x14ac:dyDescent="0.2">
      <c r="DO11728" s="303" t="s">
        <v>232</v>
      </c>
    </row>
    <row r="11729" spans="119:119" x14ac:dyDescent="0.2">
      <c r="DO11729" s="303" t="s">
        <v>232</v>
      </c>
    </row>
    <row r="11730" spans="119:119" x14ac:dyDescent="0.2">
      <c r="DO11730" s="303" t="s">
        <v>232</v>
      </c>
    </row>
    <row r="11731" spans="119:119" x14ac:dyDescent="0.2">
      <c r="DO11731" s="303" t="s">
        <v>232</v>
      </c>
    </row>
    <row r="11732" spans="119:119" x14ac:dyDescent="0.2">
      <c r="DO11732" s="303" t="s">
        <v>232</v>
      </c>
    </row>
    <row r="11733" spans="119:119" x14ac:dyDescent="0.2">
      <c r="DO11733" s="303" t="s">
        <v>232</v>
      </c>
    </row>
    <row r="11734" spans="119:119" x14ac:dyDescent="0.2">
      <c r="DO11734" s="303" t="s">
        <v>232</v>
      </c>
    </row>
    <row r="11735" spans="119:119" x14ac:dyDescent="0.2">
      <c r="DO11735" s="303" t="s">
        <v>232</v>
      </c>
    </row>
    <row r="11736" spans="119:119" x14ac:dyDescent="0.2">
      <c r="DO11736" s="303" t="s">
        <v>232</v>
      </c>
    </row>
    <row r="11737" spans="119:119" x14ac:dyDescent="0.2">
      <c r="DO11737" s="303" t="s">
        <v>232</v>
      </c>
    </row>
    <row r="11738" spans="119:119" x14ac:dyDescent="0.2">
      <c r="DO11738" s="303" t="s">
        <v>232</v>
      </c>
    </row>
    <row r="11739" spans="119:119" x14ac:dyDescent="0.2">
      <c r="DO11739" s="303" t="s">
        <v>232</v>
      </c>
    </row>
    <row r="11740" spans="119:119" x14ac:dyDescent="0.2">
      <c r="DO11740" s="303" t="s">
        <v>232</v>
      </c>
    </row>
    <row r="11741" spans="119:119" x14ac:dyDescent="0.2">
      <c r="DO11741" s="303" t="s">
        <v>232</v>
      </c>
    </row>
    <row r="11742" spans="119:119" x14ac:dyDescent="0.2">
      <c r="DO11742" s="303" t="s">
        <v>232</v>
      </c>
    </row>
    <row r="11743" spans="119:119" x14ac:dyDescent="0.2">
      <c r="DO11743" s="303" t="s">
        <v>232</v>
      </c>
    </row>
    <row r="11744" spans="119:119" x14ac:dyDescent="0.2">
      <c r="DO11744" s="303" t="s">
        <v>232</v>
      </c>
    </row>
    <row r="11745" spans="119:119" x14ac:dyDescent="0.2">
      <c r="DO11745" s="303" t="s">
        <v>232</v>
      </c>
    </row>
    <row r="11746" spans="119:119" x14ac:dyDescent="0.2">
      <c r="DO11746" s="303" t="s">
        <v>232</v>
      </c>
    </row>
    <row r="11747" spans="119:119" x14ac:dyDescent="0.2">
      <c r="DO11747" s="303" t="s">
        <v>232</v>
      </c>
    </row>
    <row r="11748" spans="119:119" x14ac:dyDescent="0.2">
      <c r="DO11748" s="303" t="s">
        <v>232</v>
      </c>
    </row>
    <row r="11749" spans="119:119" x14ac:dyDescent="0.2">
      <c r="DO11749" s="303" t="s">
        <v>232</v>
      </c>
    </row>
    <row r="11750" spans="119:119" x14ac:dyDescent="0.2">
      <c r="DO11750" s="303" t="s">
        <v>232</v>
      </c>
    </row>
    <row r="11751" spans="119:119" x14ac:dyDescent="0.2">
      <c r="DO11751" s="303" t="s">
        <v>232</v>
      </c>
    </row>
    <row r="11752" spans="119:119" x14ac:dyDescent="0.2">
      <c r="DO11752" s="303" t="s">
        <v>232</v>
      </c>
    </row>
    <row r="11753" spans="119:119" x14ac:dyDescent="0.2">
      <c r="DO11753" s="303" t="s">
        <v>232</v>
      </c>
    </row>
    <row r="11754" spans="119:119" x14ac:dyDescent="0.2">
      <c r="DO11754" s="303" t="s">
        <v>232</v>
      </c>
    </row>
    <row r="11755" spans="119:119" x14ac:dyDescent="0.2">
      <c r="DO11755" s="303" t="s">
        <v>232</v>
      </c>
    </row>
    <row r="11756" spans="119:119" x14ac:dyDescent="0.2">
      <c r="DO11756" s="303" t="s">
        <v>232</v>
      </c>
    </row>
    <row r="11757" spans="119:119" x14ac:dyDescent="0.2">
      <c r="DO11757" s="303" t="s">
        <v>232</v>
      </c>
    </row>
    <row r="11758" spans="119:119" x14ac:dyDescent="0.2">
      <c r="DO11758" s="303" t="s">
        <v>232</v>
      </c>
    </row>
    <row r="11759" spans="119:119" x14ac:dyDescent="0.2">
      <c r="DO11759" s="303" t="s">
        <v>232</v>
      </c>
    </row>
    <row r="11760" spans="119:119" x14ac:dyDescent="0.2">
      <c r="DO11760" s="303" t="s">
        <v>232</v>
      </c>
    </row>
    <row r="11761" spans="119:119" x14ac:dyDescent="0.2">
      <c r="DO11761" s="303" t="s">
        <v>232</v>
      </c>
    </row>
    <row r="11762" spans="119:119" x14ac:dyDescent="0.2">
      <c r="DO11762" s="303" t="s">
        <v>232</v>
      </c>
    </row>
    <row r="11763" spans="119:119" x14ac:dyDescent="0.2">
      <c r="DO11763" s="303" t="s">
        <v>232</v>
      </c>
    </row>
    <row r="11764" spans="119:119" x14ac:dyDescent="0.2">
      <c r="DO11764" s="303" t="s">
        <v>232</v>
      </c>
    </row>
    <row r="11765" spans="119:119" x14ac:dyDescent="0.2">
      <c r="DO11765" s="303" t="s">
        <v>232</v>
      </c>
    </row>
    <row r="11766" spans="119:119" x14ac:dyDescent="0.2">
      <c r="DO11766" s="303" t="s">
        <v>232</v>
      </c>
    </row>
    <row r="11767" spans="119:119" x14ac:dyDescent="0.2">
      <c r="DO11767" s="303" t="s">
        <v>232</v>
      </c>
    </row>
    <row r="11768" spans="119:119" x14ac:dyDescent="0.2">
      <c r="DO11768" s="303" t="s">
        <v>232</v>
      </c>
    </row>
    <row r="11769" spans="119:119" x14ac:dyDescent="0.2">
      <c r="DO11769" s="303" t="s">
        <v>232</v>
      </c>
    </row>
    <row r="11770" spans="119:119" x14ac:dyDescent="0.2">
      <c r="DO11770" s="303" t="s">
        <v>232</v>
      </c>
    </row>
    <row r="11771" spans="119:119" x14ac:dyDescent="0.2">
      <c r="DO11771" s="303" t="s">
        <v>232</v>
      </c>
    </row>
    <row r="11772" spans="119:119" x14ac:dyDescent="0.2">
      <c r="DO11772" s="303" t="s">
        <v>232</v>
      </c>
    </row>
    <row r="11773" spans="119:119" x14ac:dyDescent="0.2">
      <c r="DO11773" s="303" t="s">
        <v>232</v>
      </c>
    </row>
    <row r="11774" spans="119:119" x14ac:dyDescent="0.2">
      <c r="DO11774" s="303" t="s">
        <v>232</v>
      </c>
    </row>
    <row r="11775" spans="119:119" x14ac:dyDescent="0.2">
      <c r="DO11775" s="303" t="s">
        <v>232</v>
      </c>
    </row>
    <row r="11776" spans="119:119" x14ac:dyDescent="0.2">
      <c r="DO11776" s="303" t="s">
        <v>232</v>
      </c>
    </row>
    <row r="11777" spans="119:119" x14ac:dyDescent="0.2">
      <c r="DO11777" s="303" t="s">
        <v>232</v>
      </c>
    </row>
    <row r="11778" spans="119:119" x14ac:dyDescent="0.2">
      <c r="DO11778" s="303" t="s">
        <v>232</v>
      </c>
    </row>
    <row r="11779" spans="119:119" x14ac:dyDescent="0.2">
      <c r="DO11779" s="303" t="s">
        <v>232</v>
      </c>
    </row>
    <row r="11780" spans="119:119" x14ac:dyDescent="0.2">
      <c r="DO11780" s="303" t="s">
        <v>232</v>
      </c>
    </row>
    <row r="11781" spans="119:119" x14ac:dyDescent="0.2">
      <c r="DO11781" s="303" t="s">
        <v>232</v>
      </c>
    </row>
    <row r="11782" spans="119:119" x14ac:dyDescent="0.2">
      <c r="DO11782" s="303" t="s">
        <v>232</v>
      </c>
    </row>
    <row r="11783" spans="119:119" x14ac:dyDescent="0.2">
      <c r="DO11783" s="303" t="s">
        <v>232</v>
      </c>
    </row>
    <row r="11784" spans="119:119" x14ac:dyDescent="0.2">
      <c r="DO11784" s="303" t="s">
        <v>232</v>
      </c>
    </row>
    <row r="11785" spans="119:119" x14ac:dyDescent="0.2">
      <c r="DO11785" s="303" t="s">
        <v>232</v>
      </c>
    </row>
    <row r="11786" spans="119:119" x14ac:dyDescent="0.2">
      <c r="DO11786" s="303" t="s">
        <v>232</v>
      </c>
    </row>
    <row r="11787" spans="119:119" x14ac:dyDescent="0.2">
      <c r="DO11787" s="303" t="s">
        <v>232</v>
      </c>
    </row>
    <row r="11788" spans="119:119" x14ac:dyDescent="0.2">
      <c r="DO11788" s="303" t="s">
        <v>232</v>
      </c>
    </row>
    <row r="11789" spans="119:119" x14ac:dyDescent="0.2">
      <c r="DO11789" s="303" t="s">
        <v>232</v>
      </c>
    </row>
    <row r="11790" spans="119:119" x14ac:dyDescent="0.2">
      <c r="DO11790" s="303" t="s">
        <v>232</v>
      </c>
    </row>
    <row r="11791" spans="119:119" x14ac:dyDescent="0.2">
      <c r="DO11791" s="303" t="s">
        <v>232</v>
      </c>
    </row>
    <row r="11792" spans="119:119" x14ac:dyDescent="0.2">
      <c r="DO11792" s="303" t="s">
        <v>232</v>
      </c>
    </row>
    <row r="11793" spans="119:119" x14ac:dyDescent="0.2">
      <c r="DO11793" s="303" t="s">
        <v>232</v>
      </c>
    </row>
    <row r="11794" spans="119:119" x14ac:dyDescent="0.2">
      <c r="DO11794" s="303" t="s">
        <v>232</v>
      </c>
    </row>
    <row r="11795" spans="119:119" x14ac:dyDescent="0.2">
      <c r="DO11795" s="303" t="s">
        <v>232</v>
      </c>
    </row>
    <row r="11796" spans="119:119" x14ac:dyDescent="0.2">
      <c r="DO11796" s="303" t="s">
        <v>232</v>
      </c>
    </row>
    <row r="11797" spans="119:119" x14ac:dyDescent="0.2">
      <c r="DO11797" s="303" t="s">
        <v>232</v>
      </c>
    </row>
    <row r="11798" spans="119:119" x14ac:dyDescent="0.2">
      <c r="DO11798" s="303" t="s">
        <v>232</v>
      </c>
    </row>
    <row r="11799" spans="119:119" x14ac:dyDescent="0.2">
      <c r="DO11799" s="303" t="s">
        <v>232</v>
      </c>
    </row>
    <row r="11800" spans="119:119" x14ac:dyDescent="0.2">
      <c r="DO11800" s="303" t="s">
        <v>232</v>
      </c>
    </row>
    <row r="11801" spans="119:119" x14ac:dyDescent="0.2">
      <c r="DO11801" s="303" t="s">
        <v>232</v>
      </c>
    </row>
    <row r="11802" spans="119:119" x14ac:dyDescent="0.2">
      <c r="DO11802" s="303" t="s">
        <v>232</v>
      </c>
    </row>
    <row r="11803" spans="119:119" x14ac:dyDescent="0.2">
      <c r="DO11803" s="303" t="s">
        <v>232</v>
      </c>
    </row>
    <row r="11804" spans="119:119" x14ac:dyDescent="0.2">
      <c r="DO11804" s="303" t="s">
        <v>232</v>
      </c>
    </row>
    <row r="11805" spans="119:119" x14ac:dyDescent="0.2">
      <c r="DO11805" s="303" t="s">
        <v>232</v>
      </c>
    </row>
    <row r="11806" spans="119:119" x14ac:dyDescent="0.2">
      <c r="DO11806" s="303" t="s">
        <v>232</v>
      </c>
    </row>
    <row r="11807" spans="119:119" x14ac:dyDescent="0.2">
      <c r="DO11807" s="303" t="s">
        <v>232</v>
      </c>
    </row>
    <row r="11808" spans="119:119" x14ac:dyDescent="0.2">
      <c r="DO11808" s="303" t="s">
        <v>232</v>
      </c>
    </row>
    <row r="11809" spans="119:119" x14ac:dyDescent="0.2">
      <c r="DO11809" s="303" t="s">
        <v>232</v>
      </c>
    </row>
    <row r="11810" spans="119:119" x14ac:dyDescent="0.2">
      <c r="DO11810" s="303" t="s">
        <v>232</v>
      </c>
    </row>
    <row r="11811" spans="119:119" x14ac:dyDescent="0.2">
      <c r="DO11811" s="303" t="s">
        <v>232</v>
      </c>
    </row>
    <row r="11812" spans="119:119" x14ac:dyDescent="0.2">
      <c r="DO11812" s="303" t="s">
        <v>232</v>
      </c>
    </row>
    <row r="11813" spans="119:119" x14ac:dyDescent="0.2">
      <c r="DO11813" s="303" t="s">
        <v>232</v>
      </c>
    </row>
    <row r="11814" spans="119:119" x14ac:dyDescent="0.2">
      <c r="DO11814" s="303" t="s">
        <v>232</v>
      </c>
    </row>
    <row r="11815" spans="119:119" x14ac:dyDescent="0.2">
      <c r="DO11815" s="303" t="s">
        <v>232</v>
      </c>
    </row>
    <row r="11816" spans="119:119" x14ac:dyDescent="0.2">
      <c r="DO11816" s="303" t="s">
        <v>232</v>
      </c>
    </row>
    <row r="11817" spans="119:119" x14ac:dyDescent="0.2">
      <c r="DO11817" s="303" t="s">
        <v>232</v>
      </c>
    </row>
    <row r="11818" spans="119:119" x14ac:dyDescent="0.2">
      <c r="DO11818" s="303" t="s">
        <v>232</v>
      </c>
    </row>
    <row r="11819" spans="119:119" x14ac:dyDescent="0.2">
      <c r="DO11819" s="303" t="s">
        <v>232</v>
      </c>
    </row>
    <row r="11820" spans="119:119" x14ac:dyDescent="0.2">
      <c r="DO11820" s="303" t="s">
        <v>232</v>
      </c>
    </row>
    <row r="11821" spans="119:119" x14ac:dyDescent="0.2">
      <c r="DO11821" s="303" t="s">
        <v>232</v>
      </c>
    </row>
    <row r="11822" spans="119:119" x14ac:dyDescent="0.2">
      <c r="DO11822" s="303" t="s">
        <v>232</v>
      </c>
    </row>
    <row r="11823" spans="119:119" x14ac:dyDescent="0.2">
      <c r="DO11823" s="303" t="s">
        <v>232</v>
      </c>
    </row>
    <row r="11824" spans="119:119" x14ac:dyDescent="0.2">
      <c r="DO11824" s="303" t="s">
        <v>232</v>
      </c>
    </row>
    <row r="11825" spans="119:119" x14ac:dyDescent="0.2">
      <c r="DO11825" s="303" t="s">
        <v>232</v>
      </c>
    </row>
    <row r="11826" spans="119:119" x14ac:dyDescent="0.2">
      <c r="DO11826" s="303" t="s">
        <v>232</v>
      </c>
    </row>
    <row r="11827" spans="119:119" x14ac:dyDescent="0.2">
      <c r="DO11827" s="303" t="s">
        <v>232</v>
      </c>
    </row>
    <row r="11828" spans="119:119" x14ac:dyDescent="0.2">
      <c r="DO11828" s="303" t="s">
        <v>232</v>
      </c>
    </row>
    <row r="11829" spans="119:119" x14ac:dyDescent="0.2">
      <c r="DO11829" s="303" t="s">
        <v>232</v>
      </c>
    </row>
    <row r="11830" spans="119:119" x14ac:dyDescent="0.2">
      <c r="DO11830" s="303" t="s">
        <v>232</v>
      </c>
    </row>
    <row r="11831" spans="119:119" x14ac:dyDescent="0.2">
      <c r="DO11831" s="303" t="s">
        <v>232</v>
      </c>
    </row>
    <row r="11832" spans="119:119" x14ac:dyDescent="0.2">
      <c r="DO11832" s="303" t="s">
        <v>232</v>
      </c>
    </row>
    <row r="11833" spans="119:119" x14ac:dyDescent="0.2">
      <c r="DO11833" s="303" t="s">
        <v>232</v>
      </c>
    </row>
    <row r="11834" spans="119:119" x14ac:dyDescent="0.2">
      <c r="DO11834" s="303" t="s">
        <v>232</v>
      </c>
    </row>
    <row r="11835" spans="119:119" x14ac:dyDescent="0.2">
      <c r="DO11835" s="303" t="s">
        <v>232</v>
      </c>
    </row>
    <row r="11836" spans="119:119" x14ac:dyDescent="0.2">
      <c r="DO11836" s="303" t="s">
        <v>232</v>
      </c>
    </row>
    <row r="11837" spans="119:119" x14ac:dyDescent="0.2">
      <c r="DO11837" s="303" t="s">
        <v>232</v>
      </c>
    </row>
    <row r="11838" spans="119:119" x14ac:dyDescent="0.2">
      <c r="DO11838" s="303" t="s">
        <v>232</v>
      </c>
    </row>
    <row r="11839" spans="119:119" x14ac:dyDescent="0.2">
      <c r="DO11839" s="303" t="s">
        <v>232</v>
      </c>
    </row>
    <row r="11840" spans="119:119" x14ac:dyDescent="0.2">
      <c r="DO11840" s="303" t="s">
        <v>232</v>
      </c>
    </row>
    <row r="11841" spans="119:119" x14ac:dyDescent="0.2">
      <c r="DO11841" s="303" t="s">
        <v>232</v>
      </c>
    </row>
    <row r="11842" spans="119:119" x14ac:dyDescent="0.2">
      <c r="DO11842" s="303" t="s">
        <v>232</v>
      </c>
    </row>
    <row r="11843" spans="119:119" x14ac:dyDescent="0.2">
      <c r="DO11843" s="303" t="s">
        <v>232</v>
      </c>
    </row>
    <row r="11844" spans="119:119" x14ac:dyDescent="0.2">
      <c r="DO11844" s="303" t="s">
        <v>232</v>
      </c>
    </row>
    <row r="11845" spans="119:119" x14ac:dyDescent="0.2">
      <c r="DO11845" s="303" t="s">
        <v>232</v>
      </c>
    </row>
    <row r="11846" spans="119:119" x14ac:dyDescent="0.2">
      <c r="DO11846" s="303" t="s">
        <v>232</v>
      </c>
    </row>
    <row r="11847" spans="119:119" x14ac:dyDescent="0.2">
      <c r="DO11847" s="303" t="s">
        <v>232</v>
      </c>
    </row>
    <row r="11848" spans="119:119" x14ac:dyDescent="0.2">
      <c r="DO11848" s="303" t="s">
        <v>232</v>
      </c>
    </row>
    <row r="11849" spans="119:119" x14ac:dyDescent="0.2">
      <c r="DO11849" s="303" t="s">
        <v>232</v>
      </c>
    </row>
    <row r="11850" spans="119:119" x14ac:dyDescent="0.2">
      <c r="DO11850" s="303" t="s">
        <v>232</v>
      </c>
    </row>
    <row r="11851" spans="119:119" x14ac:dyDescent="0.2">
      <c r="DO11851" s="303" t="s">
        <v>232</v>
      </c>
    </row>
    <row r="11852" spans="119:119" x14ac:dyDescent="0.2">
      <c r="DO11852" s="303" t="s">
        <v>232</v>
      </c>
    </row>
    <row r="11853" spans="119:119" x14ac:dyDescent="0.2">
      <c r="DO11853" s="303" t="s">
        <v>232</v>
      </c>
    </row>
    <row r="11854" spans="119:119" x14ac:dyDescent="0.2">
      <c r="DO11854" s="303" t="s">
        <v>232</v>
      </c>
    </row>
    <row r="11855" spans="119:119" x14ac:dyDescent="0.2">
      <c r="DO11855" s="303" t="s">
        <v>232</v>
      </c>
    </row>
    <row r="11856" spans="119:119" x14ac:dyDescent="0.2">
      <c r="DO11856" s="303" t="s">
        <v>232</v>
      </c>
    </row>
    <row r="11857" spans="119:119" x14ac:dyDescent="0.2">
      <c r="DO11857" s="303" t="s">
        <v>232</v>
      </c>
    </row>
    <row r="11858" spans="119:119" x14ac:dyDescent="0.2">
      <c r="DO11858" s="303" t="s">
        <v>232</v>
      </c>
    </row>
    <row r="11859" spans="119:119" x14ac:dyDescent="0.2">
      <c r="DO11859" s="303" t="s">
        <v>232</v>
      </c>
    </row>
    <row r="11860" spans="119:119" x14ac:dyDescent="0.2">
      <c r="DO11860" s="303" t="s">
        <v>232</v>
      </c>
    </row>
    <row r="11861" spans="119:119" x14ac:dyDescent="0.2">
      <c r="DO11861" s="303" t="s">
        <v>232</v>
      </c>
    </row>
    <row r="11862" spans="119:119" x14ac:dyDescent="0.2">
      <c r="DO11862" s="303" t="s">
        <v>232</v>
      </c>
    </row>
    <row r="11863" spans="119:119" x14ac:dyDescent="0.2">
      <c r="DO11863" s="303" t="s">
        <v>232</v>
      </c>
    </row>
    <row r="11864" spans="119:119" x14ac:dyDescent="0.2">
      <c r="DO11864" s="303" t="s">
        <v>232</v>
      </c>
    </row>
    <row r="11865" spans="119:119" x14ac:dyDescent="0.2">
      <c r="DO11865" s="303" t="s">
        <v>232</v>
      </c>
    </row>
    <row r="11866" spans="119:119" x14ac:dyDescent="0.2">
      <c r="DO11866" s="303" t="s">
        <v>232</v>
      </c>
    </row>
    <row r="11867" spans="119:119" x14ac:dyDescent="0.2">
      <c r="DO11867" s="303" t="s">
        <v>232</v>
      </c>
    </row>
    <row r="11868" spans="119:119" x14ac:dyDescent="0.2">
      <c r="DO11868" s="303" t="s">
        <v>232</v>
      </c>
    </row>
    <row r="11869" spans="119:119" x14ac:dyDescent="0.2">
      <c r="DO11869" s="303" t="s">
        <v>232</v>
      </c>
    </row>
    <row r="11870" spans="119:119" x14ac:dyDescent="0.2">
      <c r="DO11870" s="303" t="s">
        <v>232</v>
      </c>
    </row>
    <row r="11871" spans="119:119" x14ac:dyDescent="0.2">
      <c r="DO11871" s="303" t="s">
        <v>232</v>
      </c>
    </row>
    <row r="11872" spans="119:119" x14ac:dyDescent="0.2">
      <c r="DO11872" s="303" t="s">
        <v>232</v>
      </c>
    </row>
    <row r="11873" spans="119:119" x14ac:dyDescent="0.2">
      <c r="DO11873" s="303" t="s">
        <v>232</v>
      </c>
    </row>
    <row r="11874" spans="119:119" x14ac:dyDescent="0.2">
      <c r="DO11874" s="303" t="s">
        <v>232</v>
      </c>
    </row>
    <row r="11875" spans="119:119" x14ac:dyDescent="0.2">
      <c r="DO11875" s="303" t="s">
        <v>232</v>
      </c>
    </row>
    <row r="11876" spans="119:119" x14ac:dyDescent="0.2">
      <c r="DO11876" s="303" t="s">
        <v>232</v>
      </c>
    </row>
    <row r="11877" spans="119:119" x14ac:dyDescent="0.2">
      <c r="DO11877" s="303" t="s">
        <v>232</v>
      </c>
    </row>
    <row r="11878" spans="119:119" x14ac:dyDescent="0.2">
      <c r="DO11878" s="303" t="s">
        <v>232</v>
      </c>
    </row>
    <row r="11879" spans="119:119" x14ac:dyDescent="0.2">
      <c r="DO11879" s="303" t="s">
        <v>232</v>
      </c>
    </row>
    <row r="11880" spans="119:119" x14ac:dyDescent="0.2">
      <c r="DO11880" s="303" t="s">
        <v>232</v>
      </c>
    </row>
    <row r="11881" spans="119:119" x14ac:dyDescent="0.2">
      <c r="DO11881" s="303" t="s">
        <v>232</v>
      </c>
    </row>
    <row r="11882" spans="119:119" x14ac:dyDescent="0.2">
      <c r="DO11882" s="303" t="s">
        <v>232</v>
      </c>
    </row>
    <row r="11883" spans="119:119" x14ac:dyDescent="0.2">
      <c r="DO11883" s="303" t="s">
        <v>232</v>
      </c>
    </row>
    <row r="11884" spans="119:119" x14ac:dyDescent="0.2">
      <c r="DO11884" s="303" t="s">
        <v>232</v>
      </c>
    </row>
    <row r="11885" spans="119:119" x14ac:dyDescent="0.2">
      <c r="DO11885" s="303" t="s">
        <v>232</v>
      </c>
    </row>
    <row r="11886" spans="119:119" x14ac:dyDescent="0.2">
      <c r="DO11886" s="303" t="s">
        <v>232</v>
      </c>
    </row>
    <row r="11887" spans="119:119" x14ac:dyDescent="0.2">
      <c r="DO11887" s="303" t="s">
        <v>232</v>
      </c>
    </row>
    <row r="11888" spans="119:119" x14ac:dyDescent="0.2">
      <c r="DO11888" s="303" t="s">
        <v>232</v>
      </c>
    </row>
    <row r="11889" spans="119:119" x14ac:dyDescent="0.2">
      <c r="DO11889" s="303" t="s">
        <v>232</v>
      </c>
    </row>
    <row r="11890" spans="119:119" x14ac:dyDescent="0.2">
      <c r="DO11890" s="303" t="s">
        <v>232</v>
      </c>
    </row>
    <row r="11891" spans="119:119" x14ac:dyDescent="0.2">
      <c r="DO11891" s="303" t="s">
        <v>232</v>
      </c>
    </row>
    <row r="11892" spans="119:119" x14ac:dyDescent="0.2">
      <c r="DO11892" s="303" t="s">
        <v>232</v>
      </c>
    </row>
    <row r="11893" spans="119:119" x14ac:dyDescent="0.2">
      <c r="DO11893" s="303" t="s">
        <v>232</v>
      </c>
    </row>
    <row r="11894" spans="119:119" x14ac:dyDescent="0.2">
      <c r="DO11894" s="303" t="s">
        <v>232</v>
      </c>
    </row>
    <row r="11895" spans="119:119" x14ac:dyDescent="0.2">
      <c r="DO11895" s="303" t="s">
        <v>232</v>
      </c>
    </row>
    <row r="11896" spans="119:119" x14ac:dyDescent="0.2">
      <c r="DO11896" s="303" t="s">
        <v>232</v>
      </c>
    </row>
    <row r="11897" spans="119:119" x14ac:dyDescent="0.2">
      <c r="DO11897" s="303" t="s">
        <v>232</v>
      </c>
    </row>
    <row r="11898" spans="119:119" x14ac:dyDescent="0.2">
      <c r="DO11898" s="303" t="s">
        <v>232</v>
      </c>
    </row>
    <row r="11899" spans="119:119" x14ac:dyDescent="0.2">
      <c r="DO11899" s="303" t="s">
        <v>232</v>
      </c>
    </row>
    <row r="11900" spans="119:119" x14ac:dyDescent="0.2">
      <c r="DO11900" s="303" t="s">
        <v>232</v>
      </c>
    </row>
    <row r="11901" spans="119:119" x14ac:dyDescent="0.2">
      <c r="DO11901" s="303" t="s">
        <v>232</v>
      </c>
    </row>
    <row r="11902" spans="119:119" x14ac:dyDescent="0.2">
      <c r="DO11902" s="303" t="s">
        <v>232</v>
      </c>
    </row>
    <row r="11903" spans="119:119" x14ac:dyDescent="0.2">
      <c r="DO11903" s="303" t="s">
        <v>232</v>
      </c>
    </row>
    <row r="11904" spans="119:119" x14ac:dyDescent="0.2">
      <c r="DO11904" s="303" t="s">
        <v>232</v>
      </c>
    </row>
    <row r="11905" spans="119:119" x14ac:dyDescent="0.2">
      <c r="DO11905" s="303" t="s">
        <v>232</v>
      </c>
    </row>
    <row r="11906" spans="119:119" x14ac:dyDescent="0.2">
      <c r="DO11906" s="303" t="s">
        <v>232</v>
      </c>
    </row>
    <row r="11907" spans="119:119" x14ac:dyDescent="0.2">
      <c r="DO11907" s="303" t="s">
        <v>232</v>
      </c>
    </row>
    <row r="11908" spans="119:119" x14ac:dyDescent="0.2">
      <c r="DO11908" s="303" t="s">
        <v>232</v>
      </c>
    </row>
    <row r="11909" spans="119:119" x14ac:dyDescent="0.2">
      <c r="DO11909" s="303" t="s">
        <v>232</v>
      </c>
    </row>
    <row r="11910" spans="119:119" x14ac:dyDescent="0.2">
      <c r="DO11910" s="303" t="s">
        <v>232</v>
      </c>
    </row>
    <row r="11911" spans="119:119" x14ac:dyDescent="0.2">
      <c r="DO11911" s="303" t="s">
        <v>232</v>
      </c>
    </row>
    <row r="11912" spans="119:119" x14ac:dyDescent="0.2">
      <c r="DO11912" s="303" t="s">
        <v>232</v>
      </c>
    </row>
    <row r="11913" spans="119:119" x14ac:dyDescent="0.2">
      <c r="DO11913" s="303" t="s">
        <v>232</v>
      </c>
    </row>
    <row r="11914" spans="119:119" x14ac:dyDescent="0.2">
      <c r="DO11914" s="303" t="s">
        <v>232</v>
      </c>
    </row>
    <row r="11915" spans="119:119" x14ac:dyDescent="0.2">
      <c r="DO11915" s="303" t="s">
        <v>232</v>
      </c>
    </row>
    <row r="11916" spans="119:119" x14ac:dyDescent="0.2">
      <c r="DO11916" s="303" t="s">
        <v>232</v>
      </c>
    </row>
    <row r="11917" spans="119:119" x14ac:dyDescent="0.2">
      <c r="DO11917" s="303" t="s">
        <v>232</v>
      </c>
    </row>
    <row r="11918" spans="119:119" x14ac:dyDescent="0.2">
      <c r="DO11918" s="303" t="s">
        <v>232</v>
      </c>
    </row>
    <row r="11919" spans="119:119" x14ac:dyDescent="0.2">
      <c r="DO11919" s="303" t="s">
        <v>232</v>
      </c>
    </row>
    <row r="11920" spans="119:119" x14ac:dyDescent="0.2">
      <c r="DO11920" s="303" t="s">
        <v>232</v>
      </c>
    </row>
    <row r="11921" spans="119:119" x14ac:dyDescent="0.2">
      <c r="DO11921" s="303" t="s">
        <v>232</v>
      </c>
    </row>
    <row r="11922" spans="119:119" x14ac:dyDescent="0.2">
      <c r="DO11922" s="303" t="s">
        <v>232</v>
      </c>
    </row>
    <row r="11923" spans="119:119" x14ac:dyDescent="0.2">
      <c r="DO11923" s="303" t="s">
        <v>232</v>
      </c>
    </row>
    <row r="11924" spans="119:119" x14ac:dyDescent="0.2">
      <c r="DO11924" s="303" t="s">
        <v>232</v>
      </c>
    </row>
    <row r="11925" spans="119:119" x14ac:dyDescent="0.2">
      <c r="DO11925" s="303" t="s">
        <v>232</v>
      </c>
    </row>
    <row r="11926" spans="119:119" x14ac:dyDescent="0.2">
      <c r="DO11926" s="303" t="s">
        <v>232</v>
      </c>
    </row>
    <row r="11927" spans="119:119" x14ac:dyDescent="0.2">
      <c r="DO11927" s="303" t="s">
        <v>232</v>
      </c>
    </row>
    <row r="11928" spans="119:119" x14ac:dyDescent="0.2">
      <c r="DO11928" s="303" t="s">
        <v>232</v>
      </c>
    </row>
    <row r="11929" spans="119:119" x14ac:dyDescent="0.2">
      <c r="DO11929" s="303" t="s">
        <v>232</v>
      </c>
    </row>
    <row r="11930" spans="119:119" x14ac:dyDescent="0.2">
      <c r="DO11930" s="303" t="s">
        <v>232</v>
      </c>
    </row>
    <row r="11931" spans="119:119" x14ac:dyDescent="0.2">
      <c r="DO11931" s="303" t="s">
        <v>232</v>
      </c>
    </row>
    <row r="11932" spans="119:119" x14ac:dyDescent="0.2">
      <c r="DO11932" s="303" t="s">
        <v>232</v>
      </c>
    </row>
    <row r="11933" spans="119:119" x14ac:dyDescent="0.2">
      <c r="DO11933" s="303" t="s">
        <v>232</v>
      </c>
    </row>
    <row r="11934" spans="119:119" x14ac:dyDescent="0.2">
      <c r="DO11934" s="303" t="s">
        <v>232</v>
      </c>
    </row>
    <row r="11935" spans="119:119" x14ac:dyDescent="0.2">
      <c r="DO11935" s="303" t="s">
        <v>232</v>
      </c>
    </row>
    <row r="11936" spans="119:119" x14ac:dyDescent="0.2">
      <c r="DO11936" s="303" t="s">
        <v>232</v>
      </c>
    </row>
    <row r="11937" spans="119:119" x14ac:dyDescent="0.2">
      <c r="DO11937" s="303" t="s">
        <v>232</v>
      </c>
    </row>
    <row r="11938" spans="119:119" x14ac:dyDescent="0.2">
      <c r="DO11938" s="303" t="s">
        <v>232</v>
      </c>
    </row>
    <row r="11939" spans="119:119" x14ac:dyDescent="0.2">
      <c r="DO11939" s="303" t="s">
        <v>232</v>
      </c>
    </row>
    <row r="11940" spans="119:119" x14ac:dyDescent="0.2">
      <c r="DO11940" s="303" t="s">
        <v>232</v>
      </c>
    </row>
    <row r="11941" spans="119:119" x14ac:dyDescent="0.2">
      <c r="DO11941" s="303" t="s">
        <v>232</v>
      </c>
    </row>
    <row r="11942" spans="119:119" x14ac:dyDescent="0.2">
      <c r="DO11942" s="303" t="s">
        <v>232</v>
      </c>
    </row>
    <row r="11943" spans="119:119" x14ac:dyDescent="0.2">
      <c r="DO11943" s="303" t="s">
        <v>232</v>
      </c>
    </row>
    <row r="11944" spans="119:119" x14ac:dyDescent="0.2">
      <c r="DO11944" s="303" t="s">
        <v>232</v>
      </c>
    </row>
    <row r="11945" spans="119:119" x14ac:dyDescent="0.2">
      <c r="DO11945" s="303" t="s">
        <v>232</v>
      </c>
    </row>
    <row r="11946" spans="119:119" x14ac:dyDescent="0.2">
      <c r="DO11946" s="303" t="s">
        <v>232</v>
      </c>
    </row>
    <row r="11947" spans="119:119" x14ac:dyDescent="0.2">
      <c r="DO11947" s="303" t="s">
        <v>232</v>
      </c>
    </row>
    <row r="11948" spans="119:119" x14ac:dyDescent="0.2">
      <c r="DO11948" s="303" t="s">
        <v>232</v>
      </c>
    </row>
    <row r="11949" spans="119:119" x14ac:dyDescent="0.2">
      <c r="DO11949" s="303" t="s">
        <v>232</v>
      </c>
    </row>
    <row r="11950" spans="119:119" x14ac:dyDescent="0.2">
      <c r="DO11950" s="303" t="s">
        <v>232</v>
      </c>
    </row>
    <row r="11951" spans="119:119" x14ac:dyDescent="0.2">
      <c r="DO11951" s="303" t="s">
        <v>232</v>
      </c>
    </row>
    <row r="11952" spans="119:119" x14ac:dyDescent="0.2">
      <c r="DO11952" s="303" t="s">
        <v>232</v>
      </c>
    </row>
    <row r="11953" spans="119:119" x14ac:dyDescent="0.2">
      <c r="DO11953" s="303" t="s">
        <v>232</v>
      </c>
    </row>
    <row r="11954" spans="119:119" x14ac:dyDescent="0.2">
      <c r="DO11954" s="303" t="s">
        <v>232</v>
      </c>
    </row>
    <row r="11955" spans="119:119" x14ac:dyDescent="0.2">
      <c r="DO11955" s="303" t="s">
        <v>232</v>
      </c>
    </row>
    <row r="11956" spans="119:119" x14ac:dyDescent="0.2">
      <c r="DO11956" s="303" t="s">
        <v>232</v>
      </c>
    </row>
    <row r="11957" spans="119:119" x14ac:dyDescent="0.2">
      <c r="DO11957" s="303" t="s">
        <v>232</v>
      </c>
    </row>
    <row r="11958" spans="119:119" x14ac:dyDescent="0.2">
      <c r="DO11958" s="303" t="s">
        <v>232</v>
      </c>
    </row>
    <row r="11959" spans="119:119" x14ac:dyDescent="0.2">
      <c r="DO11959" s="303" t="s">
        <v>232</v>
      </c>
    </row>
    <row r="11960" spans="119:119" x14ac:dyDescent="0.2">
      <c r="DO11960" s="303" t="s">
        <v>232</v>
      </c>
    </row>
    <row r="11961" spans="119:119" x14ac:dyDescent="0.2">
      <c r="DO11961" s="303" t="s">
        <v>232</v>
      </c>
    </row>
    <row r="11962" spans="119:119" x14ac:dyDescent="0.2">
      <c r="DO11962" s="303" t="s">
        <v>232</v>
      </c>
    </row>
    <row r="11963" spans="119:119" x14ac:dyDescent="0.2">
      <c r="DO11963" s="303" t="s">
        <v>232</v>
      </c>
    </row>
    <row r="11964" spans="119:119" x14ac:dyDescent="0.2">
      <c r="DO11964" s="303" t="s">
        <v>232</v>
      </c>
    </row>
    <row r="11965" spans="119:119" x14ac:dyDescent="0.2">
      <c r="DO11965" s="303" t="s">
        <v>232</v>
      </c>
    </row>
    <row r="11966" spans="119:119" x14ac:dyDescent="0.2">
      <c r="DO11966" s="303" t="s">
        <v>232</v>
      </c>
    </row>
    <row r="11967" spans="119:119" x14ac:dyDescent="0.2">
      <c r="DO11967" s="303" t="s">
        <v>232</v>
      </c>
    </row>
    <row r="11968" spans="119:119" x14ac:dyDescent="0.2">
      <c r="DO11968" s="303" t="s">
        <v>232</v>
      </c>
    </row>
    <row r="11969" spans="119:119" x14ac:dyDescent="0.2">
      <c r="DO11969" s="303" t="s">
        <v>232</v>
      </c>
    </row>
    <row r="11970" spans="119:119" x14ac:dyDescent="0.2">
      <c r="DO11970" s="303" t="s">
        <v>232</v>
      </c>
    </row>
    <row r="11971" spans="119:119" x14ac:dyDescent="0.2">
      <c r="DO11971" s="303" t="s">
        <v>232</v>
      </c>
    </row>
    <row r="11972" spans="119:119" x14ac:dyDescent="0.2">
      <c r="DO11972" s="303" t="s">
        <v>232</v>
      </c>
    </row>
    <row r="11973" spans="119:119" x14ac:dyDescent="0.2">
      <c r="DO11973" s="303" t="s">
        <v>232</v>
      </c>
    </row>
    <row r="11974" spans="119:119" x14ac:dyDescent="0.2">
      <c r="DO11974" s="303" t="s">
        <v>232</v>
      </c>
    </row>
    <row r="11975" spans="119:119" x14ac:dyDescent="0.2">
      <c r="DO11975" s="303" t="s">
        <v>232</v>
      </c>
    </row>
    <row r="11976" spans="119:119" x14ac:dyDescent="0.2">
      <c r="DO11976" s="303" t="s">
        <v>232</v>
      </c>
    </row>
    <row r="11977" spans="119:119" x14ac:dyDescent="0.2">
      <c r="DO11977" s="303" t="s">
        <v>232</v>
      </c>
    </row>
    <row r="11978" spans="119:119" x14ac:dyDescent="0.2">
      <c r="DO11978" s="303" t="s">
        <v>232</v>
      </c>
    </row>
    <row r="11979" spans="119:119" x14ac:dyDescent="0.2">
      <c r="DO11979" s="303" t="s">
        <v>232</v>
      </c>
    </row>
    <row r="11980" spans="119:119" x14ac:dyDescent="0.2">
      <c r="DO11980" s="303" t="s">
        <v>232</v>
      </c>
    </row>
    <row r="11981" spans="119:119" x14ac:dyDescent="0.2">
      <c r="DO11981" s="303" t="s">
        <v>232</v>
      </c>
    </row>
    <row r="11982" spans="119:119" x14ac:dyDescent="0.2">
      <c r="DO11982" s="303" t="s">
        <v>232</v>
      </c>
    </row>
    <row r="11983" spans="119:119" x14ac:dyDescent="0.2">
      <c r="DO11983" s="303" t="s">
        <v>232</v>
      </c>
    </row>
    <row r="11984" spans="119:119" x14ac:dyDescent="0.2">
      <c r="DO11984" s="303" t="s">
        <v>232</v>
      </c>
    </row>
    <row r="11985" spans="119:119" x14ac:dyDescent="0.2">
      <c r="DO11985" s="303" t="s">
        <v>232</v>
      </c>
    </row>
    <row r="11986" spans="119:119" x14ac:dyDescent="0.2">
      <c r="DO11986" s="303" t="s">
        <v>232</v>
      </c>
    </row>
    <row r="11987" spans="119:119" x14ac:dyDescent="0.2">
      <c r="DO11987" s="303" t="s">
        <v>232</v>
      </c>
    </row>
    <row r="11988" spans="119:119" x14ac:dyDescent="0.2">
      <c r="DO11988" s="303" t="s">
        <v>232</v>
      </c>
    </row>
    <row r="11989" spans="119:119" x14ac:dyDescent="0.2">
      <c r="DO11989" s="303" t="s">
        <v>232</v>
      </c>
    </row>
    <row r="11990" spans="119:119" x14ac:dyDescent="0.2">
      <c r="DO11990" s="303" t="s">
        <v>232</v>
      </c>
    </row>
    <row r="11991" spans="119:119" x14ac:dyDescent="0.2">
      <c r="DO11991" s="303" t="s">
        <v>232</v>
      </c>
    </row>
    <row r="11992" spans="119:119" x14ac:dyDescent="0.2">
      <c r="DO11992" s="303" t="s">
        <v>232</v>
      </c>
    </row>
    <row r="11993" spans="119:119" x14ac:dyDescent="0.2">
      <c r="DO11993" s="303" t="s">
        <v>232</v>
      </c>
    </row>
    <row r="11994" spans="119:119" x14ac:dyDescent="0.2">
      <c r="DO11994" s="303" t="s">
        <v>232</v>
      </c>
    </row>
    <row r="11995" spans="119:119" x14ac:dyDescent="0.2">
      <c r="DO11995" s="303" t="s">
        <v>232</v>
      </c>
    </row>
    <row r="11996" spans="119:119" x14ac:dyDescent="0.2">
      <c r="DO11996" s="303" t="s">
        <v>232</v>
      </c>
    </row>
    <row r="11997" spans="119:119" x14ac:dyDescent="0.2">
      <c r="DO11997" s="303" t="s">
        <v>232</v>
      </c>
    </row>
    <row r="11998" spans="119:119" x14ac:dyDescent="0.2">
      <c r="DO11998" s="303" t="s">
        <v>232</v>
      </c>
    </row>
    <row r="11999" spans="119:119" x14ac:dyDescent="0.2">
      <c r="DO11999" s="303" t="s">
        <v>232</v>
      </c>
    </row>
    <row r="12000" spans="119:119" x14ac:dyDescent="0.2">
      <c r="DO12000" s="303" t="s">
        <v>232</v>
      </c>
    </row>
    <row r="12001" spans="119:119" x14ac:dyDescent="0.2">
      <c r="DO12001" s="303" t="s">
        <v>232</v>
      </c>
    </row>
    <row r="12002" spans="119:119" x14ac:dyDescent="0.2">
      <c r="DO12002" s="303" t="s">
        <v>232</v>
      </c>
    </row>
    <row r="12003" spans="119:119" x14ac:dyDescent="0.2">
      <c r="DO12003" s="303" t="s">
        <v>232</v>
      </c>
    </row>
    <row r="12004" spans="119:119" x14ac:dyDescent="0.2">
      <c r="DO12004" s="303" t="s">
        <v>232</v>
      </c>
    </row>
    <row r="12005" spans="119:119" x14ac:dyDescent="0.2">
      <c r="DO12005" s="303" t="s">
        <v>232</v>
      </c>
    </row>
    <row r="12006" spans="119:119" x14ac:dyDescent="0.2">
      <c r="DO12006" s="303" t="s">
        <v>232</v>
      </c>
    </row>
    <row r="12007" spans="119:119" x14ac:dyDescent="0.2">
      <c r="DO12007" s="303" t="s">
        <v>232</v>
      </c>
    </row>
    <row r="12008" spans="119:119" x14ac:dyDescent="0.2">
      <c r="DO12008" s="303" t="s">
        <v>232</v>
      </c>
    </row>
    <row r="12009" spans="119:119" x14ac:dyDescent="0.2">
      <c r="DO12009" s="303" t="s">
        <v>232</v>
      </c>
    </row>
    <row r="12010" spans="119:119" x14ac:dyDescent="0.2">
      <c r="DO12010" s="303" t="s">
        <v>232</v>
      </c>
    </row>
    <row r="12011" spans="119:119" x14ac:dyDescent="0.2">
      <c r="DO12011" s="303" t="s">
        <v>232</v>
      </c>
    </row>
    <row r="12012" spans="119:119" x14ac:dyDescent="0.2">
      <c r="DO12012" s="303" t="s">
        <v>232</v>
      </c>
    </row>
    <row r="12013" spans="119:119" x14ac:dyDescent="0.2">
      <c r="DO12013" s="303" t="s">
        <v>232</v>
      </c>
    </row>
    <row r="12014" spans="119:119" x14ac:dyDescent="0.2">
      <c r="DO12014" s="303" t="s">
        <v>232</v>
      </c>
    </row>
    <row r="12015" spans="119:119" x14ac:dyDescent="0.2">
      <c r="DO12015" s="303" t="s">
        <v>232</v>
      </c>
    </row>
    <row r="12016" spans="119:119" x14ac:dyDescent="0.2">
      <c r="DO12016" s="303" t="s">
        <v>232</v>
      </c>
    </row>
    <row r="12017" spans="119:119" x14ac:dyDescent="0.2">
      <c r="DO12017" s="303" t="s">
        <v>232</v>
      </c>
    </row>
    <row r="12018" spans="119:119" x14ac:dyDescent="0.2">
      <c r="DO12018" s="303" t="s">
        <v>232</v>
      </c>
    </row>
    <row r="12019" spans="119:119" x14ac:dyDescent="0.2">
      <c r="DO12019" s="303" t="s">
        <v>232</v>
      </c>
    </row>
    <row r="12020" spans="119:119" x14ac:dyDescent="0.2">
      <c r="DO12020" s="303" t="s">
        <v>232</v>
      </c>
    </row>
    <row r="12021" spans="119:119" x14ac:dyDescent="0.2">
      <c r="DO12021" s="303" t="s">
        <v>232</v>
      </c>
    </row>
    <row r="12022" spans="119:119" x14ac:dyDescent="0.2">
      <c r="DO12022" s="303" t="s">
        <v>232</v>
      </c>
    </row>
    <row r="12023" spans="119:119" x14ac:dyDescent="0.2">
      <c r="DO12023" s="303" t="s">
        <v>232</v>
      </c>
    </row>
    <row r="12024" spans="119:119" x14ac:dyDescent="0.2">
      <c r="DO12024" s="303" t="s">
        <v>232</v>
      </c>
    </row>
    <row r="12025" spans="119:119" x14ac:dyDescent="0.2">
      <c r="DO12025" s="303" t="s">
        <v>232</v>
      </c>
    </row>
    <row r="12026" spans="119:119" x14ac:dyDescent="0.2">
      <c r="DO12026" s="303" t="s">
        <v>232</v>
      </c>
    </row>
    <row r="12027" spans="119:119" x14ac:dyDescent="0.2">
      <c r="DO12027" s="303" t="s">
        <v>232</v>
      </c>
    </row>
    <row r="12028" spans="119:119" x14ac:dyDescent="0.2">
      <c r="DO12028" s="303" t="s">
        <v>232</v>
      </c>
    </row>
    <row r="12029" spans="119:119" x14ac:dyDescent="0.2">
      <c r="DO12029" s="303" t="s">
        <v>232</v>
      </c>
    </row>
    <row r="12030" spans="119:119" x14ac:dyDescent="0.2">
      <c r="DO12030" s="303" t="s">
        <v>232</v>
      </c>
    </row>
    <row r="12031" spans="119:119" x14ac:dyDescent="0.2">
      <c r="DO12031" s="303" t="s">
        <v>232</v>
      </c>
    </row>
    <row r="12032" spans="119:119" x14ac:dyDescent="0.2">
      <c r="DO12032" s="303" t="s">
        <v>232</v>
      </c>
    </row>
    <row r="12033" spans="119:119" x14ac:dyDescent="0.2">
      <c r="DO12033" s="303" t="s">
        <v>232</v>
      </c>
    </row>
    <row r="12034" spans="119:119" x14ac:dyDescent="0.2">
      <c r="DO12034" s="303" t="s">
        <v>232</v>
      </c>
    </row>
    <row r="12035" spans="119:119" x14ac:dyDescent="0.2">
      <c r="DO12035" s="303" t="s">
        <v>232</v>
      </c>
    </row>
    <row r="12036" spans="119:119" x14ac:dyDescent="0.2">
      <c r="DO12036" s="303" t="s">
        <v>232</v>
      </c>
    </row>
    <row r="12037" spans="119:119" x14ac:dyDescent="0.2">
      <c r="DO12037" s="303" t="s">
        <v>232</v>
      </c>
    </row>
    <row r="12038" spans="119:119" x14ac:dyDescent="0.2">
      <c r="DO12038" s="303" t="s">
        <v>232</v>
      </c>
    </row>
    <row r="12039" spans="119:119" x14ac:dyDescent="0.2">
      <c r="DO12039" s="303" t="s">
        <v>232</v>
      </c>
    </row>
    <row r="12040" spans="119:119" x14ac:dyDescent="0.2">
      <c r="DO12040" s="303" t="s">
        <v>232</v>
      </c>
    </row>
    <row r="12041" spans="119:119" x14ac:dyDescent="0.2">
      <c r="DO12041" s="303" t="s">
        <v>232</v>
      </c>
    </row>
    <row r="12042" spans="119:119" x14ac:dyDescent="0.2">
      <c r="DO12042" s="303" t="s">
        <v>232</v>
      </c>
    </row>
    <row r="12043" spans="119:119" x14ac:dyDescent="0.2">
      <c r="DO12043" s="303" t="s">
        <v>232</v>
      </c>
    </row>
    <row r="12044" spans="119:119" x14ac:dyDescent="0.2">
      <c r="DO12044" s="303" t="s">
        <v>232</v>
      </c>
    </row>
    <row r="12045" spans="119:119" x14ac:dyDescent="0.2">
      <c r="DO12045" s="303" t="s">
        <v>232</v>
      </c>
    </row>
    <row r="12046" spans="119:119" x14ac:dyDescent="0.2">
      <c r="DO12046" s="303" t="s">
        <v>232</v>
      </c>
    </row>
    <row r="12047" spans="119:119" x14ac:dyDescent="0.2">
      <c r="DO12047" s="303" t="s">
        <v>232</v>
      </c>
    </row>
    <row r="12048" spans="119:119" x14ac:dyDescent="0.2">
      <c r="DO12048" s="303" t="s">
        <v>232</v>
      </c>
    </row>
    <row r="12049" spans="119:119" x14ac:dyDescent="0.2">
      <c r="DO12049" s="303" t="s">
        <v>232</v>
      </c>
    </row>
    <row r="12050" spans="119:119" x14ac:dyDescent="0.2">
      <c r="DO12050" s="303" t="s">
        <v>232</v>
      </c>
    </row>
    <row r="12051" spans="119:119" x14ac:dyDescent="0.2">
      <c r="DO12051" s="303" t="s">
        <v>232</v>
      </c>
    </row>
    <row r="12052" spans="119:119" x14ac:dyDescent="0.2">
      <c r="DO12052" s="303" t="s">
        <v>232</v>
      </c>
    </row>
    <row r="12053" spans="119:119" x14ac:dyDescent="0.2">
      <c r="DO12053" s="303" t="s">
        <v>232</v>
      </c>
    </row>
    <row r="12054" spans="119:119" x14ac:dyDescent="0.2">
      <c r="DO12054" s="303" t="s">
        <v>232</v>
      </c>
    </row>
    <row r="12055" spans="119:119" x14ac:dyDescent="0.2">
      <c r="DO12055" s="303" t="s">
        <v>232</v>
      </c>
    </row>
    <row r="12056" spans="119:119" x14ac:dyDescent="0.2">
      <c r="DO12056" s="303" t="s">
        <v>232</v>
      </c>
    </row>
    <row r="12057" spans="119:119" x14ac:dyDescent="0.2">
      <c r="DO12057" s="303" t="s">
        <v>232</v>
      </c>
    </row>
    <row r="12058" spans="119:119" x14ac:dyDescent="0.2">
      <c r="DO12058" s="303" t="s">
        <v>232</v>
      </c>
    </row>
    <row r="12059" spans="119:119" x14ac:dyDescent="0.2">
      <c r="DO12059" s="303" t="s">
        <v>232</v>
      </c>
    </row>
    <row r="12060" spans="119:119" x14ac:dyDescent="0.2">
      <c r="DO12060" s="303" t="s">
        <v>232</v>
      </c>
    </row>
    <row r="12061" spans="119:119" x14ac:dyDescent="0.2">
      <c r="DO12061" s="303" t="s">
        <v>232</v>
      </c>
    </row>
    <row r="12062" spans="119:119" x14ac:dyDescent="0.2">
      <c r="DO12062" s="303" t="s">
        <v>232</v>
      </c>
    </row>
    <row r="12063" spans="119:119" x14ac:dyDescent="0.2">
      <c r="DO12063" s="303" t="s">
        <v>232</v>
      </c>
    </row>
    <row r="12064" spans="119:119" x14ac:dyDescent="0.2">
      <c r="DO12064" s="303" t="s">
        <v>232</v>
      </c>
    </row>
    <row r="12065" spans="119:119" x14ac:dyDescent="0.2">
      <c r="DO12065" s="303" t="s">
        <v>232</v>
      </c>
    </row>
    <row r="12066" spans="119:119" x14ac:dyDescent="0.2">
      <c r="DO12066" s="303" t="s">
        <v>232</v>
      </c>
    </row>
    <row r="12067" spans="119:119" x14ac:dyDescent="0.2">
      <c r="DO12067" s="303" t="s">
        <v>232</v>
      </c>
    </row>
    <row r="12068" spans="119:119" x14ac:dyDescent="0.2">
      <c r="DO12068" s="303" t="s">
        <v>232</v>
      </c>
    </row>
    <row r="12069" spans="119:119" x14ac:dyDescent="0.2">
      <c r="DO12069" s="303" t="s">
        <v>232</v>
      </c>
    </row>
    <row r="12070" spans="119:119" x14ac:dyDescent="0.2">
      <c r="DO12070" s="303" t="s">
        <v>232</v>
      </c>
    </row>
    <row r="12071" spans="119:119" x14ac:dyDescent="0.2">
      <c r="DO12071" s="303" t="s">
        <v>232</v>
      </c>
    </row>
    <row r="12072" spans="119:119" x14ac:dyDescent="0.2">
      <c r="DO12072" s="303" t="s">
        <v>232</v>
      </c>
    </row>
    <row r="12073" spans="119:119" x14ac:dyDescent="0.2">
      <c r="DO12073" s="303" t="s">
        <v>232</v>
      </c>
    </row>
    <row r="12074" spans="119:119" x14ac:dyDescent="0.2">
      <c r="DO12074" s="303" t="s">
        <v>232</v>
      </c>
    </row>
    <row r="12075" spans="119:119" x14ac:dyDescent="0.2">
      <c r="DO12075" s="303" t="s">
        <v>232</v>
      </c>
    </row>
    <row r="12076" spans="119:119" x14ac:dyDescent="0.2">
      <c r="DO12076" s="303" t="s">
        <v>232</v>
      </c>
    </row>
    <row r="12077" spans="119:119" x14ac:dyDescent="0.2">
      <c r="DO12077" s="303" t="s">
        <v>232</v>
      </c>
    </row>
    <row r="12078" spans="119:119" x14ac:dyDescent="0.2">
      <c r="DO12078" s="303" t="s">
        <v>232</v>
      </c>
    </row>
    <row r="12079" spans="119:119" x14ac:dyDescent="0.2">
      <c r="DO12079" s="303" t="s">
        <v>232</v>
      </c>
    </row>
    <row r="12080" spans="119:119" x14ac:dyDescent="0.2">
      <c r="DO12080" s="303" t="s">
        <v>232</v>
      </c>
    </row>
    <row r="12081" spans="119:119" x14ac:dyDescent="0.2">
      <c r="DO12081" s="303" t="s">
        <v>232</v>
      </c>
    </row>
    <row r="12082" spans="119:119" x14ac:dyDescent="0.2">
      <c r="DO12082" s="303" t="s">
        <v>232</v>
      </c>
    </row>
    <row r="12083" spans="119:119" x14ac:dyDescent="0.2">
      <c r="DO12083" s="303" t="s">
        <v>232</v>
      </c>
    </row>
    <row r="12084" spans="119:119" x14ac:dyDescent="0.2">
      <c r="DO12084" s="303" t="s">
        <v>232</v>
      </c>
    </row>
    <row r="12085" spans="119:119" x14ac:dyDescent="0.2">
      <c r="DO12085" s="303" t="s">
        <v>232</v>
      </c>
    </row>
    <row r="12086" spans="119:119" x14ac:dyDescent="0.2">
      <c r="DO12086" s="303" t="s">
        <v>232</v>
      </c>
    </row>
    <row r="12087" spans="119:119" x14ac:dyDescent="0.2">
      <c r="DO12087" s="303" t="s">
        <v>232</v>
      </c>
    </row>
    <row r="12088" spans="119:119" x14ac:dyDescent="0.2">
      <c r="DO12088" s="303" t="s">
        <v>232</v>
      </c>
    </row>
    <row r="12089" spans="119:119" x14ac:dyDescent="0.2">
      <c r="DO12089" s="303" t="s">
        <v>232</v>
      </c>
    </row>
    <row r="12090" spans="119:119" x14ac:dyDescent="0.2">
      <c r="DO12090" s="303" t="s">
        <v>232</v>
      </c>
    </row>
    <row r="12091" spans="119:119" x14ac:dyDescent="0.2">
      <c r="DO12091" s="303" t="s">
        <v>232</v>
      </c>
    </row>
    <row r="12092" spans="119:119" x14ac:dyDescent="0.2">
      <c r="DO12092" s="303" t="s">
        <v>232</v>
      </c>
    </row>
    <row r="12093" spans="119:119" x14ac:dyDescent="0.2">
      <c r="DO12093" s="303" t="s">
        <v>232</v>
      </c>
    </row>
    <row r="12094" spans="119:119" x14ac:dyDescent="0.2">
      <c r="DO12094" s="303" t="s">
        <v>232</v>
      </c>
    </row>
    <row r="12095" spans="119:119" x14ac:dyDescent="0.2">
      <c r="DO12095" s="303" t="s">
        <v>232</v>
      </c>
    </row>
    <row r="12096" spans="119:119" x14ac:dyDescent="0.2">
      <c r="DO12096" s="303" t="s">
        <v>232</v>
      </c>
    </row>
    <row r="12097" spans="119:119" x14ac:dyDescent="0.2">
      <c r="DO12097" s="303" t="s">
        <v>232</v>
      </c>
    </row>
    <row r="12098" spans="119:119" x14ac:dyDescent="0.2">
      <c r="DO12098" s="303" t="s">
        <v>232</v>
      </c>
    </row>
    <row r="12099" spans="119:119" x14ac:dyDescent="0.2">
      <c r="DO12099" s="303" t="s">
        <v>232</v>
      </c>
    </row>
    <row r="12100" spans="119:119" x14ac:dyDescent="0.2">
      <c r="DO12100" s="303" t="s">
        <v>232</v>
      </c>
    </row>
    <row r="12101" spans="119:119" x14ac:dyDescent="0.2">
      <c r="DO12101" s="303" t="s">
        <v>232</v>
      </c>
    </row>
    <row r="12102" spans="119:119" x14ac:dyDescent="0.2">
      <c r="DO12102" s="303" t="s">
        <v>232</v>
      </c>
    </row>
    <row r="12103" spans="119:119" x14ac:dyDescent="0.2">
      <c r="DO12103" s="303" t="s">
        <v>232</v>
      </c>
    </row>
    <row r="12104" spans="119:119" x14ac:dyDescent="0.2">
      <c r="DO12104" s="303" t="s">
        <v>232</v>
      </c>
    </row>
    <row r="12105" spans="119:119" x14ac:dyDescent="0.2">
      <c r="DO12105" s="303" t="s">
        <v>232</v>
      </c>
    </row>
    <row r="12106" spans="119:119" x14ac:dyDescent="0.2">
      <c r="DO12106" s="303" t="s">
        <v>232</v>
      </c>
    </row>
    <row r="12107" spans="119:119" x14ac:dyDescent="0.2">
      <c r="DO12107" s="303" t="s">
        <v>232</v>
      </c>
    </row>
    <row r="12108" spans="119:119" x14ac:dyDescent="0.2">
      <c r="DO12108" s="303" t="s">
        <v>232</v>
      </c>
    </row>
    <row r="12109" spans="119:119" x14ac:dyDescent="0.2">
      <c r="DO12109" s="303" t="s">
        <v>232</v>
      </c>
    </row>
    <row r="12110" spans="119:119" x14ac:dyDescent="0.2">
      <c r="DO12110" s="303" t="s">
        <v>232</v>
      </c>
    </row>
    <row r="12111" spans="119:119" x14ac:dyDescent="0.2">
      <c r="DO12111" s="303" t="s">
        <v>232</v>
      </c>
    </row>
    <row r="12112" spans="119:119" x14ac:dyDescent="0.2">
      <c r="DO12112" s="303" t="s">
        <v>232</v>
      </c>
    </row>
    <row r="12113" spans="119:119" x14ac:dyDescent="0.2">
      <c r="DO12113" s="303" t="s">
        <v>232</v>
      </c>
    </row>
    <row r="12114" spans="119:119" x14ac:dyDescent="0.2">
      <c r="DO12114" s="303" t="s">
        <v>232</v>
      </c>
    </row>
    <row r="12115" spans="119:119" x14ac:dyDescent="0.2">
      <c r="DO12115" s="303" t="s">
        <v>232</v>
      </c>
    </row>
    <row r="12116" spans="119:119" x14ac:dyDescent="0.2">
      <c r="DO12116" s="303" t="s">
        <v>232</v>
      </c>
    </row>
    <row r="12117" spans="119:119" x14ac:dyDescent="0.2">
      <c r="DO12117" s="303" t="s">
        <v>232</v>
      </c>
    </row>
    <row r="12118" spans="119:119" x14ac:dyDescent="0.2">
      <c r="DO12118" s="303" t="s">
        <v>232</v>
      </c>
    </row>
    <row r="12119" spans="119:119" x14ac:dyDescent="0.2">
      <c r="DO12119" s="303" t="s">
        <v>232</v>
      </c>
    </row>
    <row r="12120" spans="119:119" x14ac:dyDescent="0.2">
      <c r="DO12120" s="303" t="s">
        <v>232</v>
      </c>
    </row>
    <row r="12121" spans="119:119" x14ac:dyDescent="0.2">
      <c r="DO12121" s="303" t="s">
        <v>232</v>
      </c>
    </row>
    <row r="12122" spans="119:119" x14ac:dyDescent="0.2">
      <c r="DO12122" s="303" t="s">
        <v>232</v>
      </c>
    </row>
    <row r="12123" spans="119:119" x14ac:dyDescent="0.2">
      <c r="DO12123" s="303" t="s">
        <v>232</v>
      </c>
    </row>
    <row r="12124" spans="119:119" x14ac:dyDescent="0.2">
      <c r="DO12124" s="303" t="s">
        <v>232</v>
      </c>
    </row>
    <row r="12125" spans="119:119" x14ac:dyDescent="0.2">
      <c r="DO12125" s="303" t="s">
        <v>232</v>
      </c>
    </row>
    <row r="12126" spans="119:119" x14ac:dyDescent="0.2">
      <c r="DO12126" s="303" t="s">
        <v>232</v>
      </c>
    </row>
    <row r="12127" spans="119:119" x14ac:dyDescent="0.2">
      <c r="DO12127" s="303" t="s">
        <v>232</v>
      </c>
    </row>
    <row r="12128" spans="119:119" x14ac:dyDescent="0.2">
      <c r="DO12128" s="303" t="s">
        <v>232</v>
      </c>
    </row>
    <row r="12129" spans="119:119" x14ac:dyDescent="0.2">
      <c r="DO12129" s="303" t="s">
        <v>232</v>
      </c>
    </row>
    <row r="12130" spans="119:119" x14ac:dyDescent="0.2">
      <c r="DO12130" s="303" t="s">
        <v>232</v>
      </c>
    </row>
    <row r="12131" spans="119:119" x14ac:dyDescent="0.2">
      <c r="DO12131" s="303" t="s">
        <v>232</v>
      </c>
    </row>
    <row r="12132" spans="119:119" x14ac:dyDescent="0.2">
      <c r="DO12132" s="303" t="s">
        <v>232</v>
      </c>
    </row>
    <row r="12133" spans="119:119" x14ac:dyDescent="0.2">
      <c r="DO12133" s="303" t="s">
        <v>232</v>
      </c>
    </row>
    <row r="12134" spans="119:119" x14ac:dyDescent="0.2">
      <c r="DO12134" s="303" t="s">
        <v>232</v>
      </c>
    </row>
    <row r="12135" spans="119:119" x14ac:dyDescent="0.2">
      <c r="DO12135" s="303" t="s">
        <v>232</v>
      </c>
    </row>
    <row r="12136" spans="119:119" x14ac:dyDescent="0.2">
      <c r="DO12136" s="303" t="s">
        <v>232</v>
      </c>
    </row>
    <row r="12137" spans="119:119" x14ac:dyDescent="0.2">
      <c r="DO12137" s="303" t="s">
        <v>232</v>
      </c>
    </row>
    <row r="12138" spans="119:119" x14ac:dyDescent="0.2">
      <c r="DO12138" s="303" t="s">
        <v>232</v>
      </c>
    </row>
    <row r="12139" spans="119:119" x14ac:dyDescent="0.2">
      <c r="DO12139" s="303" t="s">
        <v>232</v>
      </c>
    </row>
    <row r="12140" spans="119:119" x14ac:dyDescent="0.2">
      <c r="DO12140" s="303" t="s">
        <v>232</v>
      </c>
    </row>
    <row r="12141" spans="119:119" x14ac:dyDescent="0.2">
      <c r="DO12141" s="303" t="s">
        <v>232</v>
      </c>
    </row>
    <row r="12142" spans="119:119" x14ac:dyDescent="0.2">
      <c r="DO12142" s="303" t="s">
        <v>232</v>
      </c>
    </row>
    <row r="12143" spans="119:119" x14ac:dyDescent="0.2">
      <c r="DO12143" s="303" t="s">
        <v>232</v>
      </c>
    </row>
    <row r="12144" spans="119:119" x14ac:dyDescent="0.2">
      <c r="DO12144" s="303" t="s">
        <v>232</v>
      </c>
    </row>
    <row r="12145" spans="119:119" x14ac:dyDescent="0.2">
      <c r="DO12145" s="303" t="s">
        <v>232</v>
      </c>
    </row>
    <row r="12146" spans="119:119" x14ac:dyDescent="0.2">
      <c r="DO12146" s="303" t="s">
        <v>232</v>
      </c>
    </row>
    <row r="12147" spans="119:119" x14ac:dyDescent="0.2">
      <c r="DO12147" s="303" t="s">
        <v>232</v>
      </c>
    </row>
    <row r="12148" spans="119:119" x14ac:dyDescent="0.2">
      <c r="DO12148" s="303" t="s">
        <v>232</v>
      </c>
    </row>
    <row r="12149" spans="119:119" x14ac:dyDescent="0.2">
      <c r="DO12149" s="303" t="s">
        <v>232</v>
      </c>
    </row>
    <row r="12150" spans="119:119" x14ac:dyDescent="0.2">
      <c r="DO12150" s="303" t="s">
        <v>232</v>
      </c>
    </row>
    <row r="12151" spans="119:119" x14ac:dyDescent="0.2">
      <c r="DO12151" s="303" t="s">
        <v>232</v>
      </c>
    </row>
    <row r="12152" spans="119:119" x14ac:dyDescent="0.2">
      <c r="DO12152" s="303" t="s">
        <v>232</v>
      </c>
    </row>
    <row r="12153" spans="119:119" x14ac:dyDescent="0.2">
      <c r="DO12153" s="303" t="s">
        <v>232</v>
      </c>
    </row>
    <row r="12154" spans="119:119" x14ac:dyDescent="0.2">
      <c r="DO12154" s="303" t="s">
        <v>232</v>
      </c>
    </row>
    <row r="12155" spans="119:119" x14ac:dyDescent="0.2">
      <c r="DO12155" s="303" t="s">
        <v>232</v>
      </c>
    </row>
    <row r="12156" spans="119:119" x14ac:dyDescent="0.2">
      <c r="DO12156" s="303" t="s">
        <v>232</v>
      </c>
    </row>
    <row r="12157" spans="119:119" x14ac:dyDescent="0.2">
      <c r="DO12157" s="303" t="s">
        <v>232</v>
      </c>
    </row>
    <row r="12158" spans="119:119" x14ac:dyDescent="0.2">
      <c r="DO12158" s="303" t="s">
        <v>232</v>
      </c>
    </row>
    <row r="12159" spans="119:119" x14ac:dyDescent="0.2">
      <c r="DO12159" s="303" t="s">
        <v>232</v>
      </c>
    </row>
    <row r="12160" spans="119:119" x14ac:dyDescent="0.2">
      <c r="DO12160" s="303" t="s">
        <v>232</v>
      </c>
    </row>
    <row r="12161" spans="119:119" x14ac:dyDescent="0.2">
      <c r="DO12161" s="303" t="s">
        <v>232</v>
      </c>
    </row>
    <row r="12162" spans="119:119" x14ac:dyDescent="0.2">
      <c r="DO12162" s="303" t="s">
        <v>232</v>
      </c>
    </row>
    <row r="12163" spans="119:119" x14ac:dyDescent="0.2">
      <c r="DO12163" s="303" t="s">
        <v>232</v>
      </c>
    </row>
    <row r="12164" spans="119:119" x14ac:dyDescent="0.2">
      <c r="DO12164" s="303" t="s">
        <v>232</v>
      </c>
    </row>
    <row r="12165" spans="119:119" x14ac:dyDescent="0.2">
      <c r="DO12165" s="303" t="s">
        <v>232</v>
      </c>
    </row>
    <row r="12166" spans="119:119" x14ac:dyDescent="0.2">
      <c r="DO12166" s="303" t="s">
        <v>232</v>
      </c>
    </row>
    <row r="12167" spans="119:119" x14ac:dyDescent="0.2">
      <c r="DO12167" s="303" t="s">
        <v>232</v>
      </c>
    </row>
    <row r="12168" spans="119:119" x14ac:dyDescent="0.2">
      <c r="DO12168" s="303" t="s">
        <v>232</v>
      </c>
    </row>
    <row r="12169" spans="119:119" x14ac:dyDescent="0.2">
      <c r="DO12169" s="303" t="s">
        <v>232</v>
      </c>
    </row>
    <row r="12170" spans="119:119" x14ac:dyDescent="0.2">
      <c r="DO12170" s="303" t="s">
        <v>232</v>
      </c>
    </row>
    <row r="12171" spans="119:119" x14ac:dyDescent="0.2">
      <c r="DO12171" s="303" t="s">
        <v>232</v>
      </c>
    </row>
    <row r="12172" spans="119:119" x14ac:dyDescent="0.2">
      <c r="DO12172" s="303" t="s">
        <v>232</v>
      </c>
    </row>
    <row r="12173" spans="119:119" x14ac:dyDescent="0.2">
      <c r="DO12173" s="303" t="s">
        <v>232</v>
      </c>
    </row>
    <row r="12174" spans="119:119" x14ac:dyDescent="0.2">
      <c r="DO12174" s="303" t="s">
        <v>232</v>
      </c>
    </row>
    <row r="12175" spans="119:119" x14ac:dyDescent="0.2">
      <c r="DO12175" s="303" t="s">
        <v>232</v>
      </c>
    </row>
    <row r="12176" spans="119:119" x14ac:dyDescent="0.2">
      <c r="DO12176" s="303" t="s">
        <v>232</v>
      </c>
    </row>
    <row r="12177" spans="119:119" x14ac:dyDescent="0.2">
      <c r="DO12177" s="303" t="s">
        <v>232</v>
      </c>
    </row>
    <row r="12178" spans="119:119" x14ac:dyDescent="0.2">
      <c r="DO12178" s="303" t="s">
        <v>232</v>
      </c>
    </row>
    <row r="12179" spans="119:119" x14ac:dyDescent="0.2">
      <c r="DO12179" s="303" t="s">
        <v>232</v>
      </c>
    </row>
    <row r="12180" spans="119:119" x14ac:dyDescent="0.2">
      <c r="DO12180" s="303" t="s">
        <v>232</v>
      </c>
    </row>
    <row r="12181" spans="119:119" x14ac:dyDescent="0.2">
      <c r="DO12181" s="303" t="s">
        <v>232</v>
      </c>
    </row>
    <row r="12182" spans="119:119" x14ac:dyDescent="0.2">
      <c r="DO12182" s="303" t="s">
        <v>232</v>
      </c>
    </row>
    <row r="12183" spans="119:119" x14ac:dyDescent="0.2">
      <c r="DO12183" s="303" t="s">
        <v>232</v>
      </c>
    </row>
    <row r="12184" spans="119:119" x14ac:dyDescent="0.2">
      <c r="DO12184" s="303" t="s">
        <v>232</v>
      </c>
    </row>
    <row r="12185" spans="119:119" x14ac:dyDescent="0.2">
      <c r="DO12185" s="303" t="s">
        <v>232</v>
      </c>
    </row>
    <row r="12186" spans="119:119" x14ac:dyDescent="0.2">
      <c r="DO12186" s="303" t="s">
        <v>232</v>
      </c>
    </row>
    <row r="12187" spans="119:119" x14ac:dyDescent="0.2">
      <c r="DO12187" s="303" t="s">
        <v>232</v>
      </c>
    </row>
    <row r="12188" spans="119:119" x14ac:dyDescent="0.2">
      <c r="DO12188" s="303" t="s">
        <v>232</v>
      </c>
    </row>
    <row r="12189" spans="119:119" x14ac:dyDescent="0.2">
      <c r="DO12189" s="303" t="s">
        <v>232</v>
      </c>
    </row>
    <row r="12190" spans="119:119" x14ac:dyDescent="0.2">
      <c r="DO12190" s="303" t="s">
        <v>232</v>
      </c>
    </row>
    <row r="12191" spans="119:119" x14ac:dyDescent="0.2">
      <c r="DO12191" s="303" t="s">
        <v>232</v>
      </c>
    </row>
    <row r="12192" spans="119:119" x14ac:dyDescent="0.2">
      <c r="DO12192" s="303" t="s">
        <v>232</v>
      </c>
    </row>
    <row r="12193" spans="119:119" x14ac:dyDescent="0.2">
      <c r="DO12193" s="303" t="s">
        <v>232</v>
      </c>
    </row>
    <row r="12194" spans="119:119" x14ac:dyDescent="0.2">
      <c r="DO12194" s="303" t="s">
        <v>232</v>
      </c>
    </row>
    <row r="12195" spans="119:119" x14ac:dyDescent="0.2">
      <c r="DO12195" s="303" t="s">
        <v>232</v>
      </c>
    </row>
    <row r="12196" spans="119:119" x14ac:dyDescent="0.2">
      <c r="DO12196" s="303" t="s">
        <v>232</v>
      </c>
    </row>
    <row r="12197" spans="119:119" x14ac:dyDescent="0.2">
      <c r="DO12197" s="303" t="s">
        <v>232</v>
      </c>
    </row>
    <row r="12198" spans="119:119" x14ac:dyDescent="0.2">
      <c r="DO12198" s="303" t="s">
        <v>232</v>
      </c>
    </row>
    <row r="12199" spans="119:119" x14ac:dyDescent="0.2">
      <c r="DO12199" s="303" t="s">
        <v>232</v>
      </c>
    </row>
    <row r="12200" spans="119:119" x14ac:dyDescent="0.2">
      <c r="DO12200" s="303" t="s">
        <v>232</v>
      </c>
    </row>
    <row r="12201" spans="119:119" x14ac:dyDescent="0.2">
      <c r="DO12201" s="303" t="s">
        <v>232</v>
      </c>
    </row>
    <row r="12202" spans="119:119" x14ac:dyDescent="0.2">
      <c r="DO12202" s="303" t="s">
        <v>232</v>
      </c>
    </row>
    <row r="12203" spans="119:119" x14ac:dyDescent="0.2">
      <c r="DO12203" s="303" t="s">
        <v>232</v>
      </c>
    </row>
    <row r="12204" spans="119:119" x14ac:dyDescent="0.2">
      <c r="DO12204" s="303" t="s">
        <v>232</v>
      </c>
    </row>
    <row r="12205" spans="119:119" x14ac:dyDescent="0.2">
      <c r="DO12205" s="303" t="s">
        <v>232</v>
      </c>
    </row>
    <row r="12206" spans="119:119" x14ac:dyDescent="0.2">
      <c r="DO12206" s="303" t="s">
        <v>232</v>
      </c>
    </row>
    <row r="12207" spans="119:119" x14ac:dyDescent="0.2">
      <c r="DO12207" s="303" t="s">
        <v>232</v>
      </c>
    </row>
    <row r="12208" spans="119:119" x14ac:dyDescent="0.2">
      <c r="DO12208" s="303" t="s">
        <v>232</v>
      </c>
    </row>
    <row r="12209" spans="119:119" x14ac:dyDescent="0.2">
      <c r="DO12209" s="303" t="s">
        <v>232</v>
      </c>
    </row>
    <row r="12210" spans="119:119" x14ac:dyDescent="0.2">
      <c r="DO12210" s="303" t="s">
        <v>232</v>
      </c>
    </row>
    <row r="12211" spans="119:119" x14ac:dyDescent="0.2">
      <c r="DO12211" s="303" t="s">
        <v>232</v>
      </c>
    </row>
    <row r="12212" spans="119:119" x14ac:dyDescent="0.2">
      <c r="DO12212" s="303" t="s">
        <v>232</v>
      </c>
    </row>
    <row r="12213" spans="119:119" x14ac:dyDescent="0.2">
      <c r="DO12213" s="303" t="s">
        <v>232</v>
      </c>
    </row>
    <row r="12214" spans="119:119" x14ac:dyDescent="0.2">
      <c r="DO12214" s="303" t="s">
        <v>232</v>
      </c>
    </row>
    <row r="12215" spans="119:119" x14ac:dyDescent="0.2">
      <c r="DO12215" s="303" t="s">
        <v>232</v>
      </c>
    </row>
    <row r="12216" spans="119:119" x14ac:dyDescent="0.2">
      <c r="DO12216" s="303" t="s">
        <v>232</v>
      </c>
    </row>
    <row r="12217" spans="119:119" x14ac:dyDescent="0.2">
      <c r="DO12217" s="303" t="s">
        <v>232</v>
      </c>
    </row>
    <row r="12218" spans="119:119" x14ac:dyDescent="0.2">
      <c r="DO12218" s="303" t="s">
        <v>232</v>
      </c>
    </row>
    <row r="12219" spans="119:119" x14ac:dyDescent="0.2">
      <c r="DO12219" s="303" t="s">
        <v>232</v>
      </c>
    </row>
    <row r="12220" spans="119:119" x14ac:dyDescent="0.2">
      <c r="DO12220" s="303" t="s">
        <v>232</v>
      </c>
    </row>
    <row r="12221" spans="119:119" x14ac:dyDescent="0.2">
      <c r="DO12221" s="303" t="s">
        <v>232</v>
      </c>
    </row>
    <row r="12222" spans="119:119" x14ac:dyDescent="0.2">
      <c r="DO12222" s="303" t="s">
        <v>232</v>
      </c>
    </row>
    <row r="12223" spans="119:119" x14ac:dyDescent="0.2">
      <c r="DO12223" s="303" t="s">
        <v>232</v>
      </c>
    </row>
    <row r="12224" spans="119:119" x14ac:dyDescent="0.2">
      <c r="DO12224" s="303" t="s">
        <v>232</v>
      </c>
    </row>
    <row r="12225" spans="119:119" x14ac:dyDescent="0.2">
      <c r="DO12225" s="303" t="s">
        <v>232</v>
      </c>
    </row>
    <row r="12226" spans="119:119" x14ac:dyDescent="0.2">
      <c r="DO12226" s="303" t="s">
        <v>232</v>
      </c>
    </row>
    <row r="12227" spans="119:119" x14ac:dyDescent="0.2">
      <c r="DO12227" s="303" t="s">
        <v>232</v>
      </c>
    </row>
    <row r="12228" spans="119:119" x14ac:dyDescent="0.2">
      <c r="DO12228" s="303" t="s">
        <v>232</v>
      </c>
    </row>
    <row r="12229" spans="119:119" x14ac:dyDescent="0.2">
      <c r="DO12229" s="303" t="s">
        <v>232</v>
      </c>
    </row>
    <row r="12230" spans="119:119" x14ac:dyDescent="0.2">
      <c r="DO12230" s="303" t="s">
        <v>232</v>
      </c>
    </row>
    <row r="12231" spans="119:119" x14ac:dyDescent="0.2">
      <c r="DO12231" s="303" t="s">
        <v>232</v>
      </c>
    </row>
    <row r="12232" spans="119:119" x14ac:dyDescent="0.2">
      <c r="DO12232" s="303" t="s">
        <v>232</v>
      </c>
    </row>
    <row r="12233" spans="119:119" x14ac:dyDescent="0.2">
      <c r="DO12233" s="303" t="s">
        <v>232</v>
      </c>
    </row>
    <row r="12234" spans="119:119" x14ac:dyDescent="0.2">
      <c r="DO12234" s="303" t="s">
        <v>232</v>
      </c>
    </row>
    <row r="12235" spans="119:119" x14ac:dyDescent="0.2">
      <c r="DO12235" s="303" t="s">
        <v>232</v>
      </c>
    </row>
    <row r="12236" spans="119:119" x14ac:dyDescent="0.2">
      <c r="DO12236" s="303" t="s">
        <v>232</v>
      </c>
    </row>
    <row r="12237" spans="119:119" x14ac:dyDescent="0.2">
      <c r="DO12237" s="303" t="s">
        <v>232</v>
      </c>
    </row>
    <row r="12238" spans="119:119" x14ac:dyDescent="0.2">
      <c r="DO12238" s="303" t="s">
        <v>232</v>
      </c>
    </row>
    <row r="12239" spans="119:119" x14ac:dyDescent="0.2">
      <c r="DO12239" s="303" t="s">
        <v>232</v>
      </c>
    </row>
    <row r="12240" spans="119:119" x14ac:dyDescent="0.2">
      <c r="DO12240" s="303" t="s">
        <v>232</v>
      </c>
    </row>
    <row r="12241" spans="119:119" x14ac:dyDescent="0.2">
      <c r="DO12241" s="303" t="s">
        <v>232</v>
      </c>
    </row>
    <row r="12242" spans="119:119" x14ac:dyDescent="0.2">
      <c r="DO12242" s="303" t="s">
        <v>232</v>
      </c>
    </row>
    <row r="12243" spans="119:119" x14ac:dyDescent="0.2">
      <c r="DO12243" s="303" t="s">
        <v>232</v>
      </c>
    </row>
    <row r="12244" spans="119:119" x14ac:dyDescent="0.2">
      <c r="DO12244" s="303" t="s">
        <v>232</v>
      </c>
    </row>
    <row r="12245" spans="119:119" x14ac:dyDescent="0.2">
      <c r="DO12245" s="303" t="s">
        <v>232</v>
      </c>
    </row>
    <row r="12246" spans="119:119" x14ac:dyDescent="0.2">
      <c r="DO12246" s="303" t="s">
        <v>232</v>
      </c>
    </row>
    <row r="12247" spans="119:119" x14ac:dyDescent="0.2">
      <c r="DO12247" s="303" t="s">
        <v>232</v>
      </c>
    </row>
    <row r="12248" spans="119:119" x14ac:dyDescent="0.2">
      <c r="DO12248" s="303" t="s">
        <v>232</v>
      </c>
    </row>
    <row r="12249" spans="119:119" x14ac:dyDescent="0.2">
      <c r="DO12249" s="303" t="s">
        <v>232</v>
      </c>
    </row>
    <row r="12250" spans="119:119" x14ac:dyDescent="0.2">
      <c r="DO12250" s="303" t="s">
        <v>232</v>
      </c>
    </row>
    <row r="12251" spans="119:119" x14ac:dyDescent="0.2">
      <c r="DO12251" s="303" t="s">
        <v>232</v>
      </c>
    </row>
    <row r="12252" spans="119:119" x14ac:dyDescent="0.2">
      <c r="DO12252" s="303" t="s">
        <v>232</v>
      </c>
    </row>
    <row r="12253" spans="119:119" x14ac:dyDescent="0.2">
      <c r="DO12253" s="303" t="s">
        <v>232</v>
      </c>
    </row>
    <row r="12254" spans="119:119" x14ac:dyDescent="0.2">
      <c r="DO12254" s="303" t="s">
        <v>232</v>
      </c>
    </row>
    <row r="12255" spans="119:119" x14ac:dyDescent="0.2">
      <c r="DO12255" s="303" t="s">
        <v>232</v>
      </c>
    </row>
    <row r="12256" spans="119:119" x14ac:dyDescent="0.2">
      <c r="DO12256" s="303" t="s">
        <v>232</v>
      </c>
    </row>
    <row r="12257" spans="119:119" x14ac:dyDescent="0.2">
      <c r="DO12257" s="303" t="s">
        <v>232</v>
      </c>
    </row>
    <row r="12258" spans="119:119" x14ac:dyDescent="0.2">
      <c r="DO12258" s="303" t="s">
        <v>232</v>
      </c>
    </row>
    <row r="12259" spans="119:119" x14ac:dyDescent="0.2">
      <c r="DO12259" s="303" t="s">
        <v>232</v>
      </c>
    </row>
    <row r="12260" spans="119:119" x14ac:dyDescent="0.2">
      <c r="DO12260" s="303" t="s">
        <v>232</v>
      </c>
    </row>
    <row r="12261" spans="119:119" x14ac:dyDescent="0.2">
      <c r="DO12261" s="303" t="s">
        <v>232</v>
      </c>
    </row>
    <row r="12262" spans="119:119" x14ac:dyDescent="0.2">
      <c r="DO12262" s="303" t="s">
        <v>232</v>
      </c>
    </row>
    <row r="12263" spans="119:119" x14ac:dyDescent="0.2">
      <c r="DO12263" s="303" t="s">
        <v>232</v>
      </c>
    </row>
    <row r="12264" spans="119:119" x14ac:dyDescent="0.2">
      <c r="DO12264" s="303" t="s">
        <v>232</v>
      </c>
    </row>
    <row r="12265" spans="119:119" x14ac:dyDescent="0.2">
      <c r="DO12265" s="303" t="s">
        <v>232</v>
      </c>
    </row>
    <row r="12266" spans="119:119" x14ac:dyDescent="0.2">
      <c r="DO12266" s="303" t="s">
        <v>232</v>
      </c>
    </row>
    <row r="12267" spans="119:119" x14ac:dyDescent="0.2">
      <c r="DO12267" s="303" t="s">
        <v>232</v>
      </c>
    </row>
    <row r="12268" spans="119:119" x14ac:dyDescent="0.2">
      <c r="DO12268" s="303" t="s">
        <v>232</v>
      </c>
    </row>
    <row r="12269" spans="119:119" x14ac:dyDescent="0.2">
      <c r="DO12269" s="303" t="s">
        <v>232</v>
      </c>
    </row>
    <row r="12270" spans="119:119" x14ac:dyDescent="0.2">
      <c r="DO12270" s="303" t="s">
        <v>232</v>
      </c>
    </row>
    <row r="12271" spans="119:119" x14ac:dyDescent="0.2">
      <c r="DO12271" s="303" t="s">
        <v>232</v>
      </c>
    </row>
    <row r="12272" spans="119:119" x14ac:dyDescent="0.2">
      <c r="DO12272" s="303" t="s">
        <v>232</v>
      </c>
    </row>
    <row r="12273" spans="119:119" x14ac:dyDescent="0.2">
      <c r="DO12273" s="303" t="s">
        <v>232</v>
      </c>
    </row>
    <row r="12274" spans="119:119" x14ac:dyDescent="0.2">
      <c r="DO12274" s="303" t="s">
        <v>232</v>
      </c>
    </row>
    <row r="12275" spans="119:119" x14ac:dyDescent="0.2">
      <c r="DO12275" s="303" t="s">
        <v>232</v>
      </c>
    </row>
    <row r="12276" spans="119:119" x14ac:dyDescent="0.2">
      <c r="DO12276" s="303" t="s">
        <v>232</v>
      </c>
    </row>
    <row r="12277" spans="119:119" x14ac:dyDescent="0.2">
      <c r="DO12277" s="303" t="s">
        <v>232</v>
      </c>
    </row>
    <row r="12278" spans="119:119" x14ac:dyDescent="0.2">
      <c r="DO12278" s="303" t="s">
        <v>232</v>
      </c>
    </row>
    <row r="12279" spans="119:119" x14ac:dyDescent="0.2">
      <c r="DO12279" s="303" t="s">
        <v>232</v>
      </c>
    </row>
    <row r="12280" spans="119:119" x14ac:dyDescent="0.2">
      <c r="DO12280" s="303" t="s">
        <v>232</v>
      </c>
    </row>
    <row r="12281" spans="119:119" x14ac:dyDescent="0.2">
      <c r="DO12281" s="303" t="s">
        <v>232</v>
      </c>
    </row>
    <row r="12282" spans="119:119" x14ac:dyDescent="0.2">
      <c r="DO12282" s="303" t="s">
        <v>232</v>
      </c>
    </row>
    <row r="12283" spans="119:119" x14ac:dyDescent="0.2">
      <c r="DO12283" s="303" t="s">
        <v>232</v>
      </c>
    </row>
    <row r="12284" spans="119:119" x14ac:dyDescent="0.2">
      <c r="DO12284" s="303" t="s">
        <v>232</v>
      </c>
    </row>
    <row r="12285" spans="119:119" x14ac:dyDescent="0.2">
      <c r="DO12285" s="303" t="s">
        <v>232</v>
      </c>
    </row>
    <row r="12286" spans="119:119" x14ac:dyDescent="0.2">
      <c r="DO12286" s="303" t="s">
        <v>232</v>
      </c>
    </row>
    <row r="12287" spans="119:119" x14ac:dyDescent="0.2">
      <c r="DO12287" s="303" t="s">
        <v>232</v>
      </c>
    </row>
    <row r="12288" spans="119:119" x14ac:dyDescent="0.2">
      <c r="DO12288" s="303" t="s">
        <v>232</v>
      </c>
    </row>
    <row r="12289" spans="119:119" x14ac:dyDescent="0.2">
      <c r="DO12289" s="303" t="s">
        <v>232</v>
      </c>
    </row>
    <row r="12290" spans="119:119" x14ac:dyDescent="0.2">
      <c r="DO12290" s="303" t="s">
        <v>232</v>
      </c>
    </row>
    <row r="12291" spans="119:119" x14ac:dyDescent="0.2">
      <c r="DO12291" s="303" t="s">
        <v>232</v>
      </c>
    </row>
    <row r="12292" spans="119:119" x14ac:dyDescent="0.2">
      <c r="DO12292" s="303" t="s">
        <v>232</v>
      </c>
    </row>
    <row r="12293" spans="119:119" x14ac:dyDescent="0.2">
      <c r="DO12293" s="303" t="s">
        <v>232</v>
      </c>
    </row>
    <row r="12294" spans="119:119" x14ac:dyDescent="0.2">
      <c r="DO12294" s="303" t="s">
        <v>232</v>
      </c>
    </row>
    <row r="12295" spans="119:119" x14ac:dyDescent="0.2">
      <c r="DO12295" s="303" t="s">
        <v>232</v>
      </c>
    </row>
    <row r="12296" spans="119:119" x14ac:dyDescent="0.2">
      <c r="DO12296" s="303" t="s">
        <v>232</v>
      </c>
    </row>
    <row r="12297" spans="119:119" x14ac:dyDescent="0.2">
      <c r="DO12297" s="303" t="s">
        <v>232</v>
      </c>
    </row>
    <row r="12298" spans="119:119" x14ac:dyDescent="0.2">
      <c r="DO12298" s="303" t="s">
        <v>232</v>
      </c>
    </row>
    <row r="12299" spans="119:119" x14ac:dyDescent="0.2">
      <c r="DO12299" s="303" t="s">
        <v>232</v>
      </c>
    </row>
    <row r="12300" spans="119:119" x14ac:dyDescent="0.2">
      <c r="DO12300" s="303" t="s">
        <v>232</v>
      </c>
    </row>
    <row r="12301" spans="119:119" x14ac:dyDescent="0.2">
      <c r="DO12301" s="303" t="s">
        <v>232</v>
      </c>
    </row>
    <row r="12302" spans="119:119" x14ac:dyDescent="0.2">
      <c r="DO12302" s="303" t="s">
        <v>232</v>
      </c>
    </row>
    <row r="12303" spans="119:119" x14ac:dyDescent="0.2">
      <c r="DO12303" s="303" t="s">
        <v>232</v>
      </c>
    </row>
    <row r="12304" spans="119:119" x14ac:dyDescent="0.2">
      <c r="DO12304" s="303" t="s">
        <v>232</v>
      </c>
    </row>
    <row r="12305" spans="119:119" x14ac:dyDescent="0.2">
      <c r="DO12305" s="303" t="s">
        <v>232</v>
      </c>
    </row>
    <row r="12306" spans="119:119" x14ac:dyDescent="0.2">
      <c r="DO12306" s="303" t="s">
        <v>232</v>
      </c>
    </row>
    <row r="12307" spans="119:119" x14ac:dyDescent="0.2">
      <c r="DO12307" s="303" t="s">
        <v>232</v>
      </c>
    </row>
    <row r="12308" spans="119:119" x14ac:dyDescent="0.2">
      <c r="DO12308" s="303" t="s">
        <v>232</v>
      </c>
    </row>
    <row r="12309" spans="119:119" x14ac:dyDescent="0.2">
      <c r="DO12309" s="303" t="s">
        <v>232</v>
      </c>
    </row>
    <row r="12310" spans="119:119" x14ac:dyDescent="0.2">
      <c r="DO12310" s="303" t="s">
        <v>232</v>
      </c>
    </row>
    <row r="12311" spans="119:119" x14ac:dyDescent="0.2">
      <c r="DO12311" s="303" t="s">
        <v>232</v>
      </c>
    </row>
    <row r="12312" spans="119:119" x14ac:dyDescent="0.2">
      <c r="DO12312" s="303" t="s">
        <v>232</v>
      </c>
    </row>
    <row r="12313" spans="119:119" x14ac:dyDescent="0.2">
      <c r="DO12313" s="303" t="s">
        <v>232</v>
      </c>
    </row>
    <row r="12314" spans="119:119" x14ac:dyDescent="0.2">
      <c r="DO12314" s="303" t="s">
        <v>232</v>
      </c>
    </row>
    <row r="12315" spans="119:119" x14ac:dyDescent="0.2">
      <c r="DO12315" s="303" t="s">
        <v>232</v>
      </c>
    </row>
    <row r="12316" spans="119:119" x14ac:dyDescent="0.2">
      <c r="DO12316" s="303" t="s">
        <v>232</v>
      </c>
    </row>
    <row r="12317" spans="119:119" x14ac:dyDescent="0.2">
      <c r="DO12317" s="303" t="s">
        <v>232</v>
      </c>
    </row>
    <row r="12318" spans="119:119" x14ac:dyDescent="0.2">
      <c r="DO12318" s="303" t="s">
        <v>232</v>
      </c>
    </row>
    <row r="12319" spans="119:119" x14ac:dyDescent="0.2">
      <c r="DO12319" s="303" t="s">
        <v>232</v>
      </c>
    </row>
    <row r="12320" spans="119:119" x14ac:dyDescent="0.2">
      <c r="DO12320" s="303" t="s">
        <v>232</v>
      </c>
    </row>
    <row r="12321" spans="119:119" x14ac:dyDescent="0.2">
      <c r="DO12321" s="303" t="s">
        <v>232</v>
      </c>
    </row>
    <row r="12322" spans="119:119" x14ac:dyDescent="0.2">
      <c r="DO12322" s="303" t="s">
        <v>232</v>
      </c>
    </row>
    <row r="12323" spans="119:119" x14ac:dyDescent="0.2">
      <c r="DO12323" s="303" t="s">
        <v>232</v>
      </c>
    </row>
    <row r="12324" spans="119:119" x14ac:dyDescent="0.2">
      <c r="DO12324" s="303" t="s">
        <v>232</v>
      </c>
    </row>
    <row r="12325" spans="119:119" x14ac:dyDescent="0.2">
      <c r="DO12325" s="303" t="s">
        <v>232</v>
      </c>
    </row>
    <row r="12326" spans="119:119" x14ac:dyDescent="0.2">
      <c r="DO12326" s="303" t="s">
        <v>232</v>
      </c>
    </row>
    <row r="12327" spans="119:119" x14ac:dyDescent="0.2">
      <c r="DO12327" s="303" t="s">
        <v>232</v>
      </c>
    </row>
    <row r="12328" spans="119:119" x14ac:dyDescent="0.2">
      <c r="DO12328" s="303" t="s">
        <v>232</v>
      </c>
    </row>
    <row r="12329" spans="119:119" x14ac:dyDescent="0.2">
      <c r="DO12329" s="303" t="s">
        <v>232</v>
      </c>
    </row>
    <row r="12330" spans="119:119" x14ac:dyDescent="0.2">
      <c r="DO12330" s="303" t="s">
        <v>232</v>
      </c>
    </row>
    <row r="12331" spans="119:119" x14ac:dyDescent="0.2">
      <c r="DO12331" s="303" t="s">
        <v>232</v>
      </c>
    </row>
    <row r="12332" spans="119:119" x14ac:dyDescent="0.2">
      <c r="DO12332" s="303" t="s">
        <v>232</v>
      </c>
    </row>
    <row r="12333" spans="119:119" x14ac:dyDescent="0.2">
      <c r="DO12333" s="303" t="s">
        <v>232</v>
      </c>
    </row>
    <row r="12334" spans="119:119" x14ac:dyDescent="0.2">
      <c r="DO12334" s="303" t="s">
        <v>232</v>
      </c>
    </row>
    <row r="12335" spans="119:119" x14ac:dyDescent="0.2">
      <c r="DO12335" s="303" t="s">
        <v>232</v>
      </c>
    </row>
    <row r="12336" spans="119:119" x14ac:dyDescent="0.2">
      <c r="DO12336" s="303" t="s">
        <v>232</v>
      </c>
    </row>
    <row r="12337" spans="119:119" x14ac:dyDescent="0.2">
      <c r="DO12337" s="303" t="s">
        <v>232</v>
      </c>
    </row>
    <row r="12338" spans="119:119" x14ac:dyDescent="0.2">
      <c r="DO12338" s="303" t="s">
        <v>232</v>
      </c>
    </row>
    <row r="12339" spans="119:119" x14ac:dyDescent="0.2">
      <c r="DO12339" s="303" t="s">
        <v>232</v>
      </c>
    </row>
    <row r="12340" spans="119:119" x14ac:dyDescent="0.2">
      <c r="DO12340" s="303" t="s">
        <v>232</v>
      </c>
    </row>
    <row r="12341" spans="119:119" x14ac:dyDescent="0.2">
      <c r="DO12341" s="303" t="s">
        <v>232</v>
      </c>
    </row>
    <row r="12342" spans="119:119" x14ac:dyDescent="0.2">
      <c r="DO12342" s="303" t="s">
        <v>232</v>
      </c>
    </row>
    <row r="12343" spans="119:119" x14ac:dyDescent="0.2">
      <c r="DO12343" s="303" t="s">
        <v>232</v>
      </c>
    </row>
    <row r="12344" spans="119:119" x14ac:dyDescent="0.2">
      <c r="DO12344" s="303" t="s">
        <v>232</v>
      </c>
    </row>
    <row r="12345" spans="119:119" x14ac:dyDescent="0.2">
      <c r="DO12345" s="303" t="s">
        <v>232</v>
      </c>
    </row>
    <row r="12346" spans="119:119" x14ac:dyDescent="0.2">
      <c r="DO12346" s="303" t="s">
        <v>232</v>
      </c>
    </row>
    <row r="12347" spans="119:119" x14ac:dyDescent="0.2">
      <c r="DO12347" s="303" t="s">
        <v>232</v>
      </c>
    </row>
    <row r="12348" spans="119:119" x14ac:dyDescent="0.2">
      <c r="DO12348" s="303" t="s">
        <v>232</v>
      </c>
    </row>
    <row r="12349" spans="119:119" x14ac:dyDescent="0.2">
      <c r="DO12349" s="303" t="s">
        <v>232</v>
      </c>
    </row>
    <row r="12350" spans="119:119" x14ac:dyDescent="0.2">
      <c r="DO12350" s="303" t="s">
        <v>232</v>
      </c>
    </row>
    <row r="12351" spans="119:119" x14ac:dyDescent="0.2">
      <c r="DO12351" s="303" t="s">
        <v>232</v>
      </c>
    </row>
    <row r="12352" spans="119:119" x14ac:dyDescent="0.2">
      <c r="DO12352" s="303" t="s">
        <v>232</v>
      </c>
    </row>
    <row r="12353" spans="119:119" x14ac:dyDescent="0.2">
      <c r="DO12353" s="303" t="s">
        <v>232</v>
      </c>
    </row>
    <row r="12354" spans="119:119" x14ac:dyDescent="0.2">
      <c r="DO12354" s="303" t="s">
        <v>232</v>
      </c>
    </row>
    <row r="12355" spans="119:119" x14ac:dyDescent="0.2">
      <c r="DO12355" s="303" t="s">
        <v>232</v>
      </c>
    </row>
    <row r="12356" spans="119:119" x14ac:dyDescent="0.2">
      <c r="DO12356" s="303" t="s">
        <v>232</v>
      </c>
    </row>
    <row r="12357" spans="119:119" x14ac:dyDescent="0.2">
      <c r="DO12357" s="303" t="s">
        <v>232</v>
      </c>
    </row>
    <row r="12358" spans="119:119" x14ac:dyDescent="0.2">
      <c r="DO12358" s="303" t="s">
        <v>232</v>
      </c>
    </row>
    <row r="12359" spans="119:119" x14ac:dyDescent="0.2">
      <c r="DO12359" s="303" t="s">
        <v>232</v>
      </c>
    </row>
    <row r="12360" spans="119:119" x14ac:dyDescent="0.2">
      <c r="DO12360" s="303" t="s">
        <v>232</v>
      </c>
    </row>
    <row r="12361" spans="119:119" x14ac:dyDescent="0.2">
      <c r="DO12361" s="303" t="s">
        <v>232</v>
      </c>
    </row>
    <row r="12362" spans="119:119" x14ac:dyDescent="0.2">
      <c r="DO12362" s="303" t="s">
        <v>232</v>
      </c>
    </row>
    <row r="12363" spans="119:119" x14ac:dyDescent="0.2">
      <c r="DO12363" s="303" t="s">
        <v>232</v>
      </c>
    </row>
    <row r="12364" spans="119:119" x14ac:dyDescent="0.2">
      <c r="DO12364" s="303" t="s">
        <v>232</v>
      </c>
    </row>
    <row r="12365" spans="119:119" x14ac:dyDescent="0.2">
      <c r="DO12365" s="303" t="s">
        <v>232</v>
      </c>
    </row>
    <row r="12366" spans="119:119" x14ac:dyDescent="0.2">
      <c r="DO12366" s="303" t="s">
        <v>232</v>
      </c>
    </row>
    <row r="12367" spans="119:119" x14ac:dyDescent="0.2">
      <c r="DO12367" s="303" t="s">
        <v>232</v>
      </c>
    </row>
    <row r="12368" spans="119:119" x14ac:dyDescent="0.2">
      <c r="DO12368" s="303" t="s">
        <v>232</v>
      </c>
    </row>
    <row r="12369" spans="119:119" x14ac:dyDescent="0.2">
      <c r="DO12369" s="303" t="s">
        <v>232</v>
      </c>
    </row>
    <row r="12370" spans="119:119" x14ac:dyDescent="0.2">
      <c r="DO12370" s="303" t="s">
        <v>232</v>
      </c>
    </row>
    <row r="12371" spans="119:119" x14ac:dyDescent="0.2">
      <c r="DO12371" s="303" t="s">
        <v>232</v>
      </c>
    </row>
    <row r="12372" spans="119:119" x14ac:dyDescent="0.2">
      <c r="DO12372" s="303" t="s">
        <v>232</v>
      </c>
    </row>
    <row r="12373" spans="119:119" x14ac:dyDescent="0.2">
      <c r="DO12373" s="303" t="s">
        <v>232</v>
      </c>
    </row>
    <row r="12374" spans="119:119" x14ac:dyDescent="0.2">
      <c r="DO12374" s="303" t="s">
        <v>232</v>
      </c>
    </row>
    <row r="12375" spans="119:119" x14ac:dyDescent="0.2">
      <c r="DO12375" s="303" t="s">
        <v>232</v>
      </c>
    </row>
    <row r="12376" spans="119:119" x14ac:dyDescent="0.2">
      <c r="DO12376" s="303" t="s">
        <v>232</v>
      </c>
    </row>
    <row r="12377" spans="119:119" x14ac:dyDescent="0.2">
      <c r="DO12377" s="303" t="s">
        <v>232</v>
      </c>
    </row>
    <row r="12378" spans="119:119" x14ac:dyDescent="0.2">
      <c r="DO12378" s="303" t="s">
        <v>232</v>
      </c>
    </row>
    <row r="12379" spans="119:119" x14ac:dyDescent="0.2">
      <c r="DO12379" s="303" t="s">
        <v>232</v>
      </c>
    </row>
    <row r="12380" spans="119:119" x14ac:dyDescent="0.2">
      <c r="DO12380" s="303" t="s">
        <v>232</v>
      </c>
    </row>
    <row r="12381" spans="119:119" x14ac:dyDescent="0.2">
      <c r="DO12381" s="303" t="s">
        <v>232</v>
      </c>
    </row>
    <row r="12382" spans="119:119" x14ac:dyDescent="0.2">
      <c r="DO12382" s="303" t="s">
        <v>232</v>
      </c>
    </row>
    <row r="12383" spans="119:119" x14ac:dyDescent="0.2">
      <c r="DO12383" s="303" t="s">
        <v>232</v>
      </c>
    </row>
    <row r="12384" spans="119:119" x14ac:dyDescent="0.2">
      <c r="DO12384" s="303" t="s">
        <v>232</v>
      </c>
    </row>
    <row r="12385" spans="119:119" x14ac:dyDescent="0.2">
      <c r="DO12385" s="303" t="s">
        <v>232</v>
      </c>
    </row>
    <row r="12386" spans="119:119" x14ac:dyDescent="0.2">
      <c r="DO12386" s="303" t="s">
        <v>232</v>
      </c>
    </row>
    <row r="12387" spans="119:119" x14ac:dyDescent="0.2">
      <c r="DO12387" s="303" t="s">
        <v>232</v>
      </c>
    </row>
    <row r="12388" spans="119:119" x14ac:dyDescent="0.2">
      <c r="DO12388" s="303" t="s">
        <v>232</v>
      </c>
    </row>
    <row r="12389" spans="119:119" x14ac:dyDescent="0.2">
      <c r="DO12389" s="303" t="s">
        <v>232</v>
      </c>
    </row>
    <row r="12390" spans="119:119" x14ac:dyDescent="0.2">
      <c r="DO12390" s="303" t="s">
        <v>232</v>
      </c>
    </row>
    <row r="12391" spans="119:119" x14ac:dyDescent="0.2">
      <c r="DO12391" s="303" t="s">
        <v>232</v>
      </c>
    </row>
    <row r="12392" spans="119:119" x14ac:dyDescent="0.2">
      <c r="DO12392" s="303" t="s">
        <v>232</v>
      </c>
    </row>
    <row r="12393" spans="119:119" x14ac:dyDescent="0.2">
      <c r="DO12393" s="303" t="s">
        <v>232</v>
      </c>
    </row>
    <row r="12394" spans="119:119" x14ac:dyDescent="0.2">
      <c r="DO12394" s="303" t="s">
        <v>232</v>
      </c>
    </row>
    <row r="12395" spans="119:119" x14ac:dyDescent="0.2">
      <c r="DO12395" s="303" t="s">
        <v>232</v>
      </c>
    </row>
    <row r="12396" spans="119:119" x14ac:dyDescent="0.2">
      <c r="DO12396" s="303" t="s">
        <v>232</v>
      </c>
    </row>
    <row r="12397" spans="119:119" x14ac:dyDescent="0.2">
      <c r="DO12397" s="303" t="s">
        <v>232</v>
      </c>
    </row>
    <row r="12398" spans="119:119" x14ac:dyDescent="0.2">
      <c r="DO12398" s="303" t="s">
        <v>232</v>
      </c>
    </row>
    <row r="12399" spans="119:119" x14ac:dyDescent="0.2">
      <c r="DO12399" s="303" t="s">
        <v>232</v>
      </c>
    </row>
    <row r="12400" spans="119:119" x14ac:dyDescent="0.2">
      <c r="DO12400" s="303" t="s">
        <v>232</v>
      </c>
    </row>
    <row r="12401" spans="119:119" x14ac:dyDescent="0.2">
      <c r="DO12401" s="303" t="s">
        <v>232</v>
      </c>
    </row>
    <row r="12402" spans="119:119" x14ac:dyDescent="0.2">
      <c r="DO12402" s="303" t="s">
        <v>232</v>
      </c>
    </row>
    <row r="12403" spans="119:119" x14ac:dyDescent="0.2">
      <c r="DO12403" s="303" t="s">
        <v>232</v>
      </c>
    </row>
    <row r="12404" spans="119:119" x14ac:dyDescent="0.2">
      <c r="DO12404" s="303" t="s">
        <v>232</v>
      </c>
    </row>
    <row r="12405" spans="119:119" x14ac:dyDescent="0.2">
      <c r="DO12405" s="303" t="s">
        <v>232</v>
      </c>
    </row>
    <row r="12406" spans="119:119" x14ac:dyDescent="0.2">
      <c r="DO12406" s="303" t="s">
        <v>232</v>
      </c>
    </row>
    <row r="12407" spans="119:119" x14ac:dyDescent="0.2">
      <c r="DO12407" s="303" t="s">
        <v>232</v>
      </c>
    </row>
    <row r="12408" spans="119:119" x14ac:dyDescent="0.2">
      <c r="DO12408" s="303" t="s">
        <v>232</v>
      </c>
    </row>
    <row r="12409" spans="119:119" x14ac:dyDescent="0.2">
      <c r="DO12409" s="303" t="s">
        <v>232</v>
      </c>
    </row>
    <row r="12410" spans="119:119" x14ac:dyDescent="0.2">
      <c r="DO12410" s="303" t="s">
        <v>232</v>
      </c>
    </row>
    <row r="12411" spans="119:119" x14ac:dyDescent="0.2">
      <c r="DO12411" s="303" t="s">
        <v>232</v>
      </c>
    </row>
    <row r="12412" spans="119:119" x14ac:dyDescent="0.2">
      <c r="DO12412" s="303" t="s">
        <v>232</v>
      </c>
    </row>
    <row r="12413" spans="119:119" x14ac:dyDescent="0.2">
      <c r="DO12413" s="303" t="s">
        <v>232</v>
      </c>
    </row>
    <row r="12414" spans="119:119" x14ac:dyDescent="0.2">
      <c r="DO12414" s="303" t="s">
        <v>232</v>
      </c>
    </row>
    <row r="12415" spans="119:119" x14ac:dyDescent="0.2">
      <c r="DO12415" s="303" t="s">
        <v>232</v>
      </c>
    </row>
    <row r="12416" spans="119:119" x14ac:dyDescent="0.2">
      <c r="DO12416" s="303" t="s">
        <v>232</v>
      </c>
    </row>
    <row r="12417" spans="119:119" x14ac:dyDescent="0.2">
      <c r="DO12417" s="303" t="s">
        <v>232</v>
      </c>
    </row>
    <row r="12418" spans="119:119" x14ac:dyDescent="0.2">
      <c r="DO12418" s="303" t="s">
        <v>232</v>
      </c>
    </row>
    <row r="12419" spans="119:119" x14ac:dyDescent="0.2">
      <c r="DO12419" s="303" t="s">
        <v>232</v>
      </c>
    </row>
    <row r="12420" spans="119:119" x14ac:dyDescent="0.2">
      <c r="DO12420" s="303" t="s">
        <v>232</v>
      </c>
    </row>
    <row r="12421" spans="119:119" x14ac:dyDescent="0.2">
      <c r="DO12421" s="303" t="s">
        <v>232</v>
      </c>
    </row>
    <row r="12422" spans="119:119" x14ac:dyDescent="0.2">
      <c r="DO12422" s="303" t="s">
        <v>232</v>
      </c>
    </row>
    <row r="12423" spans="119:119" x14ac:dyDescent="0.2">
      <c r="DO12423" s="303" t="s">
        <v>232</v>
      </c>
    </row>
    <row r="12424" spans="119:119" x14ac:dyDescent="0.2">
      <c r="DO12424" s="303" t="s">
        <v>232</v>
      </c>
    </row>
    <row r="12425" spans="119:119" x14ac:dyDescent="0.2">
      <c r="DO12425" s="303" t="s">
        <v>232</v>
      </c>
    </row>
    <row r="12426" spans="119:119" x14ac:dyDescent="0.2">
      <c r="DO12426" s="303" t="s">
        <v>232</v>
      </c>
    </row>
    <row r="12427" spans="119:119" x14ac:dyDescent="0.2">
      <c r="DO12427" s="303" t="s">
        <v>232</v>
      </c>
    </row>
    <row r="12428" spans="119:119" x14ac:dyDescent="0.2">
      <c r="DO12428" s="303" t="s">
        <v>232</v>
      </c>
    </row>
    <row r="12429" spans="119:119" x14ac:dyDescent="0.2">
      <c r="DO12429" s="303" t="s">
        <v>232</v>
      </c>
    </row>
    <row r="12430" spans="119:119" x14ac:dyDescent="0.2">
      <c r="DO12430" s="303" t="s">
        <v>232</v>
      </c>
    </row>
    <row r="12431" spans="119:119" x14ac:dyDescent="0.2">
      <c r="DO12431" s="303" t="s">
        <v>232</v>
      </c>
    </row>
    <row r="12432" spans="119:119" x14ac:dyDescent="0.2">
      <c r="DO12432" s="303" t="s">
        <v>232</v>
      </c>
    </row>
    <row r="12433" spans="119:119" x14ac:dyDescent="0.2">
      <c r="DO12433" s="303" t="s">
        <v>232</v>
      </c>
    </row>
    <row r="12434" spans="119:119" x14ac:dyDescent="0.2">
      <c r="DO12434" s="303" t="s">
        <v>232</v>
      </c>
    </row>
    <row r="12435" spans="119:119" x14ac:dyDescent="0.2">
      <c r="DO12435" s="303" t="s">
        <v>232</v>
      </c>
    </row>
    <row r="12436" spans="119:119" x14ac:dyDescent="0.2">
      <c r="DO12436" s="303" t="s">
        <v>232</v>
      </c>
    </row>
    <row r="12437" spans="119:119" x14ac:dyDescent="0.2">
      <c r="DO12437" s="303" t="s">
        <v>232</v>
      </c>
    </row>
    <row r="12438" spans="119:119" x14ac:dyDescent="0.2">
      <c r="DO12438" s="303" t="s">
        <v>232</v>
      </c>
    </row>
    <row r="12439" spans="119:119" x14ac:dyDescent="0.2">
      <c r="DO12439" s="303" t="s">
        <v>232</v>
      </c>
    </row>
    <row r="12440" spans="119:119" x14ac:dyDescent="0.2">
      <c r="DO12440" s="303" t="s">
        <v>232</v>
      </c>
    </row>
    <row r="12441" spans="119:119" x14ac:dyDescent="0.2">
      <c r="DO12441" s="303" t="s">
        <v>232</v>
      </c>
    </row>
    <row r="12442" spans="119:119" x14ac:dyDescent="0.2">
      <c r="DO12442" s="303" t="s">
        <v>232</v>
      </c>
    </row>
    <row r="12443" spans="119:119" x14ac:dyDescent="0.2">
      <c r="DO12443" s="303" t="s">
        <v>232</v>
      </c>
    </row>
    <row r="12444" spans="119:119" x14ac:dyDescent="0.2">
      <c r="DO12444" s="303" t="s">
        <v>232</v>
      </c>
    </row>
    <row r="12445" spans="119:119" x14ac:dyDescent="0.2">
      <c r="DO12445" s="303" t="s">
        <v>232</v>
      </c>
    </row>
    <row r="12446" spans="119:119" x14ac:dyDescent="0.2">
      <c r="DO12446" s="303" t="s">
        <v>232</v>
      </c>
    </row>
    <row r="12447" spans="119:119" x14ac:dyDescent="0.2">
      <c r="DO12447" s="303" t="s">
        <v>232</v>
      </c>
    </row>
    <row r="12448" spans="119:119" x14ac:dyDescent="0.2">
      <c r="DO12448" s="303" t="s">
        <v>232</v>
      </c>
    </row>
    <row r="12449" spans="119:119" x14ac:dyDescent="0.2">
      <c r="DO12449" s="303" t="s">
        <v>232</v>
      </c>
    </row>
    <row r="12450" spans="119:119" x14ac:dyDescent="0.2">
      <c r="DO12450" s="303" t="s">
        <v>232</v>
      </c>
    </row>
    <row r="12451" spans="119:119" x14ac:dyDescent="0.2">
      <c r="DO12451" s="303" t="s">
        <v>232</v>
      </c>
    </row>
    <row r="12452" spans="119:119" x14ac:dyDescent="0.2">
      <c r="DO12452" s="303" t="s">
        <v>232</v>
      </c>
    </row>
    <row r="12453" spans="119:119" x14ac:dyDescent="0.2">
      <c r="DO12453" s="303" t="s">
        <v>232</v>
      </c>
    </row>
    <row r="12454" spans="119:119" x14ac:dyDescent="0.2">
      <c r="DO12454" s="303" t="s">
        <v>232</v>
      </c>
    </row>
    <row r="12455" spans="119:119" x14ac:dyDescent="0.2">
      <c r="DO12455" s="303" t="s">
        <v>232</v>
      </c>
    </row>
    <row r="12456" spans="119:119" x14ac:dyDescent="0.2">
      <c r="DO12456" s="303" t="s">
        <v>232</v>
      </c>
    </row>
    <row r="12457" spans="119:119" x14ac:dyDescent="0.2">
      <c r="DO12457" s="303" t="s">
        <v>232</v>
      </c>
    </row>
    <row r="12458" spans="119:119" x14ac:dyDescent="0.2">
      <c r="DO12458" s="303" t="s">
        <v>232</v>
      </c>
    </row>
    <row r="12459" spans="119:119" x14ac:dyDescent="0.2">
      <c r="DO12459" s="303" t="s">
        <v>232</v>
      </c>
    </row>
    <row r="12460" spans="119:119" x14ac:dyDescent="0.2">
      <c r="DO12460" s="303" t="s">
        <v>232</v>
      </c>
    </row>
    <row r="12461" spans="119:119" x14ac:dyDescent="0.2">
      <c r="DO12461" s="303" t="s">
        <v>232</v>
      </c>
    </row>
    <row r="12462" spans="119:119" x14ac:dyDescent="0.2">
      <c r="DO12462" s="303" t="s">
        <v>232</v>
      </c>
    </row>
    <row r="12463" spans="119:119" x14ac:dyDescent="0.2">
      <c r="DO12463" s="303" t="s">
        <v>232</v>
      </c>
    </row>
    <row r="12464" spans="119:119" x14ac:dyDescent="0.2">
      <c r="DO12464" s="303" t="s">
        <v>232</v>
      </c>
    </row>
    <row r="12465" spans="119:119" x14ac:dyDescent="0.2">
      <c r="DO12465" s="303" t="s">
        <v>232</v>
      </c>
    </row>
    <row r="12466" spans="119:119" x14ac:dyDescent="0.2">
      <c r="DO12466" s="303" t="s">
        <v>232</v>
      </c>
    </row>
    <row r="12467" spans="119:119" x14ac:dyDescent="0.2">
      <c r="DO12467" s="303" t="s">
        <v>232</v>
      </c>
    </row>
    <row r="12468" spans="119:119" x14ac:dyDescent="0.2">
      <c r="DO12468" s="303" t="s">
        <v>232</v>
      </c>
    </row>
    <row r="12469" spans="119:119" x14ac:dyDescent="0.2">
      <c r="DO12469" s="303" t="s">
        <v>232</v>
      </c>
    </row>
    <row r="12470" spans="119:119" x14ac:dyDescent="0.2">
      <c r="DO12470" s="303" t="s">
        <v>232</v>
      </c>
    </row>
    <row r="12471" spans="119:119" x14ac:dyDescent="0.2">
      <c r="DO12471" s="303" t="s">
        <v>232</v>
      </c>
    </row>
    <row r="12472" spans="119:119" x14ac:dyDescent="0.2">
      <c r="DO12472" s="303" t="s">
        <v>232</v>
      </c>
    </row>
    <row r="12473" spans="119:119" x14ac:dyDescent="0.2">
      <c r="DO12473" s="303" t="s">
        <v>232</v>
      </c>
    </row>
    <row r="12474" spans="119:119" x14ac:dyDescent="0.2">
      <c r="DO12474" s="303" t="s">
        <v>232</v>
      </c>
    </row>
    <row r="12475" spans="119:119" x14ac:dyDescent="0.2">
      <c r="DO12475" s="303" t="s">
        <v>232</v>
      </c>
    </row>
    <row r="12476" spans="119:119" x14ac:dyDescent="0.2">
      <c r="DO12476" s="303" t="s">
        <v>232</v>
      </c>
    </row>
    <row r="12477" spans="119:119" x14ac:dyDescent="0.2">
      <c r="DO12477" s="303" t="s">
        <v>232</v>
      </c>
    </row>
    <row r="12478" spans="119:119" x14ac:dyDescent="0.2">
      <c r="DO12478" s="303" t="s">
        <v>232</v>
      </c>
    </row>
    <row r="12479" spans="119:119" x14ac:dyDescent="0.2">
      <c r="DO12479" s="303" t="s">
        <v>232</v>
      </c>
    </row>
    <row r="12480" spans="119:119" x14ac:dyDescent="0.2">
      <c r="DO12480" s="303" t="s">
        <v>232</v>
      </c>
    </row>
    <row r="12481" spans="119:119" x14ac:dyDescent="0.2">
      <c r="DO12481" s="303" t="s">
        <v>232</v>
      </c>
    </row>
    <row r="12482" spans="119:119" x14ac:dyDescent="0.2">
      <c r="DO12482" s="303" t="s">
        <v>232</v>
      </c>
    </row>
    <row r="12483" spans="119:119" x14ac:dyDescent="0.2">
      <c r="DO12483" s="303" t="s">
        <v>232</v>
      </c>
    </row>
    <row r="12484" spans="119:119" x14ac:dyDescent="0.2">
      <c r="DO12484" s="303" t="s">
        <v>232</v>
      </c>
    </row>
    <row r="12485" spans="119:119" x14ac:dyDescent="0.2">
      <c r="DO12485" s="303" t="s">
        <v>232</v>
      </c>
    </row>
    <row r="12486" spans="119:119" x14ac:dyDescent="0.2">
      <c r="DO12486" s="303" t="s">
        <v>232</v>
      </c>
    </row>
    <row r="12487" spans="119:119" x14ac:dyDescent="0.2">
      <c r="DO12487" s="303" t="s">
        <v>232</v>
      </c>
    </row>
    <row r="12488" spans="119:119" x14ac:dyDescent="0.2">
      <c r="DO12488" s="303" t="s">
        <v>232</v>
      </c>
    </row>
    <row r="12489" spans="119:119" x14ac:dyDescent="0.2">
      <c r="DO12489" s="303" t="s">
        <v>232</v>
      </c>
    </row>
    <row r="12490" spans="119:119" x14ac:dyDescent="0.2">
      <c r="DO12490" s="303" t="s">
        <v>232</v>
      </c>
    </row>
    <row r="12491" spans="119:119" x14ac:dyDescent="0.2">
      <c r="DO12491" s="303" t="s">
        <v>232</v>
      </c>
    </row>
    <row r="12492" spans="119:119" x14ac:dyDescent="0.2">
      <c r="DO12492" s="303" t="s">
        <v>232</v>
      </c>
    </row>
    <row r="12493" spans="119:119" x14ac:dyDescent="0.2">
      <c r="DO12493" s="303" t="s">
        <v>232</v>
      </c>
    </row>
    <row r="12494" spans="119:119" x14ac:dyDescent="0.2">
      <c r="DO12494" s="303" t="s">
        <v>232</v>
      </c>
    </row>
    <row r="12495" spans="119:119" x14ac:dyDescent="0.2">
      <c r="DO12495" s="303" t="s">
        <v>232</v>
      </c>
    </row>
    <row r="12496" spans="119:119" x14ac:dyDescent="0.2">
      <c r="DO12496" s="303" t="s">
        <v>232</v>
      </c>
    </row>
    <row r="12497" spans="119:119" x14ac:dyDescent="0.2">
      <c r="DO12497" s="303" t="s">
        <v>232</v>
      </c>
    </row>
    <row r="12498" spans="119:119" x14ac:dyDescent="0.2">
      <c r="DO12498" s="303" t="s">
        <v>232</v>
      </c>
    </row>
    <row r="12499" spans="119:119" x14ac:dyDescent="0.2">
      <c r="DO12499" s="303" t="s">
        <v>232</v>
      </c>
    </row>
    <row r="12500" spans="119:119" x14ac:dyDescent="0.2">
      <c r="DO12500" s="303" t="s">
        <v>232</v>
      </c>
    </row>
    <row r="12501" spans="119:119" x14ac:dyDescent="0.2">
      <c r="DO12501" s="303" t="s">
        <v>232</v>
      </c>
    </row>
    <row r="12502" spans="119:119" x14ac:dyDescent="0.2">
      <c r="DO12502" s="303" t="s">
        <v>232</v>
      </c>
    </row>
    <row r="12503" spans="119:119" x14ac:dyDescent="0.2">
      <c r="DO12503" s="303" t="s">
        <v>232</v>
      </c>
    </row>
    <row r="12504" spans="119:119" x14ac:dyDescent="0.2">
      <c r="DO12504" s="303" t="s">
        <v>232</v>
      </c>
    </row>
    <row r="12505" spans="119:119" x14ac:dyDescent="0.2">
      <c r="DO12505" s="303" t="s">
        <v>232</v>
      </c>
    </row>
    <row r="12506" spans="119:119" x14ac:dyDescent="0.2">
      <c r="DO12506" s="303" t="s">
        <v>232</v>
      </c>
    </row>
    <row r="12507" spans="119:119" x14ac:dyDescent="0.2">
      <c r="DO12507" s="303" t="s">
        <v>232</v>
      </c>
    </row>
    <row r="12508" spans="119:119" x14ac:dyDescent="0.2">
      <c r="DO12508" s="303" t="s">
        <v>232</v>
      </c>
    </row>
    <row r="12509" spans="119:119" x14ac:dyDescent="0.2">
      <c r="DO12509" s="303" t="s">
        <v>232</v>
      </c>
    </row>
    <row r="12510" spans="119:119" x14ac:dyDescent="0.2">
      <c r="DO12510" s="303" t="s">
        <v>232</v>
      </c>
    </row>
    <row r="12511" spans="119:119" x14ac:dyDescent="0.2">
      <c r="DO12511" s="303" t="s">
        <v>232</v>
      </c>
    </row>
    <row r="12512" spans="119:119" x14ac:dyDescent="0.2">
      <c r="DO12512" s="303" t="s">
        <v>232</v>
      </c>
    </row>
    <row r="12513" spans="119:119" x14ac:dyDescent="0.2">
      <c r="DO12513" s="303" t="s">
        <v>232</v>
      </c>
    </row>
    <row r="12514" spans="119:119" x14ac:dyDescent="0.2">
      <c r="DO12514" s="303" t="s">
        <v>232</v>
      </c>
    </row>
    <row r="12515" spans="119:119" x14ac:dyDescent="0.2">
      <c r="DO12515" s="303" t="s">
        <v>232</v>
      </c>
    </row>
    <row r="12516" spans="119:119" x14ac:dyDescent="0.2">
      <c r="DO12516" s="303" t="s">
        <v>232</v>
      </c>
    </row>
    <row r="12517" spans="119:119" x14ac:dyDescent="0.2">
      <c r="DO12517" s="303" t="s">
        <v>232</v>
      </c>
    </row>
    <row r="12518" spans="119:119" x14ac:dyDescent="0.2">
      <c r="DO12518" s="303" t="s">
        <v>232</v>
      </c>
    </row>
    <row r="12519" spans="119:119" x14ac:dyDescent="0.2">
      <c r="DO12519" s="303" t="s">
        <v>232</v>
      </c>
    </row>
    <row r="12520" spans="119:119" x14ac:dyDescent="0.2">
      <c r="DO12520" s="303" t="s">
        <v>232</v>
      </c>
    </row>
    <row r="12521" spans="119:119" x14ac:dyDescent="0.2">
      <c r="DO12521" s="303" t="s">
        <v>232</v>
      </c>
    </row>
    <row r="12522" spans="119:119" x14ac:dyDescent="0.2">
      <c r="DO12522" s="303" t="s">
        <v>232</v>
      </c>
    </row>
    <row r="12523" spans="119:119" x14ac:dyDescent="0.2">
      <c r="DO12523" s="303" t="s">
        <v>232</v>
      </c>
    </row>
    <row r="12524" spans="119:119" x14ac:dyDescent="0.2">
      <c r="DO12524" s="303" t="s">
        <v>232</v>
      </c>
    </row>
    <row r="12525" spans="119:119" x14ac:dyDescent="0.2">
      <c r="DO12525" s="303" t="s">
        <v>232</v>
      </c>
    </row>
    <row r="12526" spans="119:119" x14ac:dyDescent="0.2">
      <c r="DO12526" s="303" t="s">
        <v>232</v>
      </c>
    </row>
    <row r="12527" spans="119:119" x14ac:dyDescent="0.2">
      <c r="DO12527" s="303" t="s">
        <v>232</v>
      </c>
    </row>
    <row r="12528" spans="119:119" x14ac:dyDescent="0.2">
      <c r="DO12528" s="303" t="s">
        <v>232</v>
      </c>
    </row>
    <row r="12529" spans="119:119" x14ac:dyDescent="0.2">
      <c r="DO12529" s="303" t="s">
        <v>232</v>
      </c>
    </row>
    <row r="12530" spans="119:119" x14ac:dyDescent="0.2">
      <c r="DO12530" s="303" t="s">
        <v>232</v>
      </c>
    </row>
    <row r="12531" spans="119:119" x14ac:dyDescent="0.2">
      <c r="DO12531" s="303" t="s">
        <v>232</v>
      </c>
    </row>
    <row r="12532" spans="119:119" x14ac:dyDescent="0.2">
      <c r="DO12532" s="303" t="s">
        <v>232</v>
      </c>
    </row>
    <row r="12533" spans="119:119" x14ac:dyDescent="0.2">
      <c r="DO12533" s="303" t="s">
        <v>232</v>
      </c>
    </row>
    <row r="12534" spans="119:119" x14ac:dyDescent="0.2">
      <c r="DO12534" s="303" t="s">
        <v>232</v>
      </c>
    </row>
    <row r="12535" spans="119:119" x14ac:dyDescent="0.2">
      <c r="DO12535" s="303" t="s">
        <v>232</v>
      </c>
    </row>
    <row r="12536" spans="119:119" x14ac:dyDescent="0.2">
      <c r="DO12536" s="303" t="s">
        <v>232</v>
      </c>
    </row>
    <row r="12537" spans="119:119" x14ac:dyDescent="0.2">
      <c r="DO12537" s="303" t="s">
        <v>232</v>
      </c>
    </row>
    <row r="12538" spans="119:119" x14ac:dyDescent="0.2">
      <c r="DO12538" s="303" t="s">
        <v>232</v>
      </c>
    </row>
    <row r="12539" spans="119:119" x14ac:dyDescent="0.2">
      <c r="DO12539" s="303" t="s">
        <v>232</v>
      </c>
    </row>
    <row r="12540" spans="119:119" x14ac:dyDescent="0.2">
      <c r="DO12540" s="303" t="s">
        <v>232</v>
      </c>
    </row>
    <row r="12541" spans="119:119" x14ac:dyDescent="0.2">
      <c r="DO12541" s="303" t="s">
        <v>232</v>
      </c>
    </row>
    <row r="12542" spans="119:119" x14ac:dyDescent="0.2">
      <c r="DO12542" s="303" t="s">
        <v>232</v>
      </c>
    </row>
    <row r="12543" spans="119:119" x14ac:dyDescent="0.2">
      <c r="DO12543" s="303" t="s">
        <v>232</v>
      </c>
    </row>
    <row r="12544" spans="119:119" x14ac:dyDescent="0.2">
      <c r="DO12544" s="303" t="s">
        <v>232</v>
      </c>
    </row>
    <row r="12545" spans="119:119" x14ac:dyDescent="0.2">
      <c r="DO12545" s="303" t="s">
        <v>232</v>
      </c>
    </row>
    <row r="12546" spans="119:119" x14ac:dyDescent="0.2">
      <c r="DO12546" s="303" t="s">
        <v>232</v>
      </c>
    </row>
    <row r="12547" spans="119:119" x14ac:dyDescent="0.2">
      <c r="DO12547" s="303" t="s">
        <v>232</v>
      </c>
    </row>
    <row r="12548" spans="119:119" x14ac:dyDescent="0.2">
      <c r="DO12548" s="303" t="s">
        <v>232</v>
      </c>
    </row>
    <row r="12549" spans="119:119" x14ac:dyDescent="0.2">
      <c r="DO12549" s="303" t="s">
        <v>232</v>
      </c>
    </row>
    <row r="12550" spans="119:119" x14ac:dyDescent="0.2">
      <c r="DO12550" s="303" t="s">
        <v>232</v>
      </c>
    </row>
    <row r="12551" spans="119:119" x14ac:dyDescent="0.2">
      <c r="DO12551" s="303" t="s">
        <v>232</v>
      </c>
    </row>
    <row r="12552" spans="119:119" x14ac:dyDescent="0.2">
      <c r="DO12552" s="303" t="s">
        <v>232</v>
      </c>
    </row>
    <row r="12553" spans="119:119" x14ac:dyDescent="0.2">
      <c r="DO12553" s="303" t="s">
        <v>232</v>
      </c>
    </row>
    <row r="12554" spans="119:119" x14ac:dyDescent="0.2">
      <c r="DO12554" s="303" t="s">
        <v>232</v>
      </c>
    </row>
    <row r="12555" spans="119:119" x14ac:dyDescent="0.2">
      <c r="DO12555" s="303" t="s">
        <v>232</v>
      </c>
    </row>
    <row r="12556" spans="119:119" x14ac:dyDescent="0.2">
      <c r="DO12556" s="303" t="s">
        <v>232</v>
      </c>
    </row>
    <row r="12557" spans="119:119" x14ac:dyDescent="0.2">
      <c r="DO12557" s="303" t="s">
        <v>232</v>
      </c>
    </row>
    <row r="12558" spans="119:119" x14ac:dyDescent="0.2">
      <c r="DO12558" s="303" t="s">
        <v>232</v>
      </c>
    </row>
    <row r="12559" spans="119:119" x14ac:dyDescent="0.2">
      <c r="DO12559" s="303" t="s">
        <v>232</v>
      </c>
    </row>
    <row r="12560" spans="119:119" x14ac:dyDescent="0.2">
      <c r="DO12560" s="303" t="s">
        <v>232</v>
      </c>
    </row>
    <row r="12561" spans="119:119" x14ac:dyDescent="0.2">
      <c r="DO12561" s="303" t="s">
        <v>232</v>
      </c>
    </row>
    <row r="12562" spans="119:119" x14ac:dyDescent="0.2">
      <c r="DO12562" s="303" t="s">
        <v>232</v>
      </c>
    </row>
    <row r="12563" spans="119:119" x14ac:dyDescent="0.2">
      <c r="DO12563" s="303" t="s">
        <v>232</v>
      </c>
    </row>
    <row r="12564" spans="119:119" x14ac:dyDescent="0.2">
      <c r="DO12564" s="303" t="s">
        <v>232</v>
      </c>
    </row>
    <row r="12565" spans="119:119" x14ac:dyDescent="0.2">
      <c r="DO12565" s="303" t="s">
        <v>232</v>
      </c>
    </row>
    <row r="12566" spans="119:119" x14ac:dyDescent="0.2">
      <c r="DO12566" s="303" t="s">
        <v>232</v>
      </c>
    </row>
    <row r="12567" spans="119:119" x14ac:dyDescent="0.2">
      <c r="DO12567" s="303" t="s">
        <v>232</v>
      </c>
    </row>
    <row r="12568" spans="119:119" x14ac:dyDescent="0.2">
      <c r="DO12568" s="303" t="s">
        <v>232</v>
      </c>
    </row>
    <row r="12569" spans="119:119" x14ac:dyDescent="0.2">
      <c r="DO12569" s="303" t="s">
        <v>232</v>
      </c>
    </row>
    <row r="12570" spans="119:119" x14ac:dyDescent="0.2">
      <c r="DO12570" s="303" t="s">
        <v>232</v>
      </c>
    </row>
    <row r="12571" spans="119:119" x14ac:dyDescent="0.2">
      <c r="DO12571" s="303" t="s">
        <v>232</v>
      </c>
    </row>
    <row r="12572" spans="119:119" x14ac:dyDescent="0.2">
      <c r="DO12572" s="303" t="s">
        <v>232</v>
      </c>
    </row>
    <row r="12573" spans="119:119" x14ac:dyDescent="0.2">
      <c r="DO12573" s="303" t="s">
        <v>232</v>
      </c>
    </row>
    <row r="12574" spans="119:119" x14ac:dyDescent="0.2">
      <c r="DO12574" s="303" t="s">
        <v>232</v>
      </c>
    </row>
    <row r="12575" spans="119:119" x14ac:dyDescent="0.2">
      <c r="DO12575" s="303" t="s">
        <v>232</v>
      </c>
    </row>
    <row r="12576" spans="119:119" x14ac:dyDescent="0.2">
      <c r="DO12576" s="303" t="s">
        <v>232</v>
      </c>
    </row>
    <row r="12577" spans="119:119" x14ac:dyDescent="0.2">
      <c r="DO12577" s="303" t="s">
        <v>232</v>
      </c>
    </row>
    <row r="12578" spans="119:119" x14ac:dyDescent="0.2">
      <c r="DO12578" s="303" t="s">
        <v>232</v>
      </c>
    </row>
    <row r="12579" spans="119:119" x14ac:dyDescent="0.2">
      <c r="DO12579" s="303" t="s">
        <v>232</v>
      </c>
    </row>
    <row r="12580" spans="119:119" x14ac:dyDescent="0.2">
      <c r="DO12580" s="303" t="s">
        <v>232</v>
      </c>
    </row>
    <row r="12581" spans="119:119" x14ac:dyDescent="0.2">
      <c r="DO12581" s="303" t="s">
        <v>232</v>
      </c>
    </row>
    <row r="12582" spans="119:119" x14ac:dyDescent="0.2">
      <c r="DO12582" s="303" t="s">
        <v>232</v>
      </c>
    </row>
    <row r="12583" spans="119:119" x14ac:dyDescent="0.2">
      <c r="DO12583" s="303" t="s">
        <v>232</v>
      </c>
    </row>
    <row r="12584" spans="119:119" x14ac:dyDescent="0.2">
      <c r="DO12584" s="303" t="s">
        <v>232</v>
      </c>
    </row>
    <row r="12585" spans="119:119" x14ac:dyDescent="0.2">
      <c r="DO12585" s="303" t="s">
        <v>232</v>
      </c>
    </row>
    <row r="12586" spans="119:119" x14ac:dyDescent="0.2">
      <c r="DO12586" s="303" t="s">
        <v>232</v>
      </c>
    </row>
    <row r="12587" spans="119:119" x14ac:dyDescent="0.2">
      <c r="DO12587" s="303" t="s">
        <v>232</v>
      </c>
    </row>
    <row r="12588" spans="119:119" x14ac:dyDescent="0.2">
      <c r="DO12588" s="303" t="s">
        <v>232</v>
      </c>
    </row>
    <row r="12589" spans="119:119" x14ac:dyDescent="0.2">
      <c r="DO12589" s="303" t="s">
        <v>232</v>
      </c>
    </row>
    <row r="12590" spans="119:119" x14ac:dyDescent="0.2">
      <c r="DO12590" s="303" t="s">
        <v>232</v>
      </c>
    </row>
    <row r="12591" spans="119:119" x14ac:dyDescent="0.2">
      <c r="DO12591" s="303" t="s">
        <v>232</v>
      </c>
    </row>
    <row r="12592" spans="119:119" x14ac:dyDescent="0.2">
      <c r="DO12592" s="303" t="s">
        <v>232</v>
      </c>
    </row>
    <row r="12593" spans="119:119" x14ac:dyDescent="0.2">
      <c r="DO12593" s="303" t="s">
        <v>232</v>
      </c>
    </row>
    <row r="12594" spans="119:119" x14ac:dyDescent="0.2">
      <c r="DO12594" s="303" t="s">
        <v>232</v>
      </c>
    </row>
    <row r="12595" spans="119:119" x14ac:dyDescent="0.2">
      <c r="DO12595" s="303" t="s">
        <v>232</v>
      </c>
    </row>
    <row r="12596" spans="119:119" x14ac:dyDescent="0.2">
      <c r="DO12596" s="303" t="s">
        <v>232</v>
      </c>
    </row>
    <row r="12597" spans="119:119" x14ac:dyDescent="0.2">
      <c r="DO12597" s="303" t="s">
        <v>232</v>
      </c>
    </row>
    <row r="12598" spans="119:119" x14ac:dyDescent="0.2">
      <c r="DO12598" s="303" t="s">
        <v>232</v>
      </c>
    </row>
    <row r="12599" spans="119:119" x14ac:dyDescent="0.2">
      <c r="DO12599" s="303" t="s">
        <v>232</v>
      </c>
    </row>
    <row r="12600" spans="119:119" x14ac:dyDescent="0.2">
      <c r="DO12600" s="303" t="s">
        <v>232</v>
      </c>
    </row>
    <row r="12601" spans="119:119" x14ac:dyDescent="0.2">
      <c r="DO12601" s="303" t="s">
        <v>232</v>
      </c>
    </row>
    <row r="12602" spans="119:119" x14ac:dyDescent="0.2">
      <c r="DO12602" s="303" t="s">
        <v>232</v>
      </c>
    </row>
    <row r="12603" spans="119:119" x14ac:dyDescent="0.2">
      <c r="DO12603" s="303" t="s">
        <v>232</v>
      </c>
    </row>
    <row r="12604" spans="119:119" x14ac:dyDescent="0.2">
      <c r="DO12604" s="303" t="s">
        <v>232</v>
      </c>
    </row>
    <row r="12605" spans="119:119" x14ac:dyDescent="0.2">
      <c r="DO12605" s="303" t="s">
        <v>232</v>
      </c>
    </row>
    <row r="12606" spans="119:119" x14ac:dyDescent="0.2">
      <c r="DO12606" s="303" t="s">
        <v>232</v>
      </c>
    </row>
    <row r="12607" spans="119:119" x14ac:dyDescent="0.2">
      <c r="DO12607" s="303" t="s">
        <v>232</v>
      </c>
    </row>
    <row r="12608" spans="119:119" x14ac:dyDescent="0.2">
      <c r="DO12608" s="303" t="s">
        <v>232</v>
      </c>
    </row>
    <row r="12609" spans="119:119" x14ac:dyDescent="0.2">
      <c r="DO12609" s="303" t="s">
        <v>232</v>
      </c>
    </row>
    <row r="12610" spans="119:119" x14ac:dyDescent="0.2">
      <c r="DO12610" s="303" t="s">
        <v>232</v>
      </c>
    </row>
    <row r="12611" spans="119:119" x14ac:dyDescent="0.2">
      <c r="DO12611" s="303" t="s">
        <v>232</v>
      </c>
    </row>
    <row r="12612" spans="119:119" x14ac:dyDescent="0.2">
      <c r="DO12612" s="303" t="s">
        <v>232</v>
      </c>
    </row>
    <row r="12613" spans="119:119" x14ac:dyDescent="0.2">
      <c r="DO12613" s="303" t="s">
        <v>232</v>
      </c>
    </row>
    <row r="12614" spans="119:119" x14ac:dyDescent="0.2">
      <c r="DO12614" s="303" t="s">
        <v>232</v>
      </c>
    </row>
    <row r="12615" spans="119:119" x14ac:dyDescent="0.2">
      <c r="DO12615" s="303" t="s">
        <v>232</v>
      </c>
    </row>
    <row r="12616" spans="119:119" x14ac:dyDescent="0.2">
      <c r="DO12616" s="303" t="s">
        <v>232</v>
      </c>
    </row>
    <row r="12617" spans="119:119" x14ac:dyDescent="0.2">
      <c r="DO12617" s="303" t="s">
        <v>232</v>
      </c>
    </row>
    <row r="12618" spans="119:119" x14ac:dyDescent="0.2">
      <c r="DO12618" s="303" t="s">
        <v>232</v>
      </c>
    </row>
    <row r="12619" spans="119:119" x14ac:dyDescent="0.2">
      <c r="DO12619" s="303" t="s">
        <v>232</v>
      </c>
    </row>
    <row r="12620" spans="119:119" x14ac:dyDescent="0.2">
      <c r="DO12620" s="303" t="s">
        <v>232</v>
      </c>
    </row>
    <row r="12621" spans="119:119" x14ac:dyDescent="0.2">
      <c r="DO12621" s="303" t="s">
        <v>232</v>
      </c>
    </row>
    <row r="12622" spans="119:119" x14ac:dyDescent="0.2">
      <c r="DO12622" s="303" t="s">
        <v>232</v>
      </c>
    </row>
    <row r="12623" spans="119:119" x14ac:dyDescent="0.2">
      <c r="DO12623" s="303" t="s">
        <v>232</v>
      </c>
    </row>
    <row r="12624" spans="119:119" x14ac:dyDescent="0.2">
      <c r="DO12624" s="303" t="s">
        <v>232</v>
      </c>
    </row>
    <row r="12625" spans="119:119" x14ac:dyDescent="0.2">
      <c r="DO12625" s="303" t="s">
        <v>232</v>
      </c>
    </row>
    <row r="12626" spans="119:119" x14ac:dyDescent="0.2">
      <c r="DO12626" s="303" t="s">
        <v>232</v>
      </c>
    </row>
    <row r="12627" spans="119:119" x14ac:dyDescent="0.2">
      <c r="DO12627" s="303" t="s">
        <v>232</v>
      </c>
    </row>
    <row r="12628" spans="119:119" x14ac:dyDescent="0.2">
      <c r="DO12628" s="303" t="s">
        <v>232</v>
      </c>
    </row>
    <row r="12629" spans="119:119" x14ac:dyDescent="0.2">
      <c r="DO12629" s="303" t="s">
        <v>232</v>
      </c>
    </row>
    <row r="12630" spans="119:119" x14ac:dyDescent="0.2">
      <c r="DO12630" s="303" t="s">
        <v>232</v>
      </c>
    </row>
    <row r="12631" spans="119:119" x14ac:dyDescent="0.2">
      <c r="DO12631" s="303" t="s">
        <v>232</v>
      </c>
    </row>
    <row r="12632" spans="119:119" x14ac:dyDescent="0.2">
      <c r="DO12632" s="303" t="s">
        <v>232</v>
      </c>
    </row>
    <row r="12633" spans="119:119" x14ac:dyDescent="0.2">
      <c r="DO12633" s="303" t="s">
        <v>232</v>
      </c>
    </row>
    <row r="12634" spans="119:119" x14ac:dyDescent="0.2">
      <c r="DO12634" s="303" t="s">
        <v>232</v>
      </c>
    </row>
    <row r="12635" spans="119:119" x14ac:dyDescent="0.2">
      <c r="DO12635" s="303" t="s">
        <v>232</v>
      </c>
    </row>
    <row r="12636" spans="119:119" x14ac:dyDescent="0.2">
      <c r="DO12636" s="303" t="s">
        <v>232</v>
      </c>
    </row>
    <row r="12637" spans="119:119" x14ac:dyDescent="0.2">
      <c r="DO12637" s="303" t="s">
        <v>232</v>
      </c>
    </row>
    <row r="12638" spans="119:119" x14ac:dyDescent="0.2">
      <c r="DO12638" s="303" t="s">
        <v>232</v>
      </c>
    </row>
    <row r="12639" spans="119:119" x14ac:dyDescent="0.2">
      <c r="DO12639" s="303" t="s">
        <v>232</v>
      </c>
    </row>
    <row r="12640" spans="119:119" x14ac:dyDescent="0.2">
      <c r="DO12640" s="303" t="s">
        <v>232</v>
      </c>
    </row>
    <row r="12641" spans="119:119" x14ac:dyDescent="0.2">
      <c r="DO12641" s="303" t="s">
        <v>232</v>
      </c>
    </row>
    <row r="12642" spans="119:119" x14ac:dyDescent="0.2">
      <c r="DO12642" s="303" t="s">
        <v>232</v>
      </c>
    </row>
    <row r="12643" spans="119:119" x14ac:dyDescent="0.2">
      <c r="DO12643" s="303" t="s">
        <v>232</v>
      </c>
    </row>
    <row r="12644" spans="119:119" x14ac:dyDescent="0.2">
      <c r="DO12644" s="303" t="s">
        <v>232</v>
      </c>
    </row>
    <row r="12645" spans="119:119" x14ac:dyDescent="0.2">
      <c r="DO12645" s="303" t="s">
        <v>232</v>
      </c>
    </row>
    <row r="12646" spans="119:119" x14ac:dyDescent="0.2">
      <c r="DO12646" s="303" t="s">
        <v>232</v>
      </c>
    </row>
    <row r="12647" spans="119:119" x14ac:dyDescent="0.2">
      <c r="DO12647" s="303" t="s">
        <v>232</v>
      </c>
    </row>
    <row r="12648" spans="119:119" x14ac:dyDescent="0.2">
      <c r="DO12648" s="303" t="s">
        <v>232</v>
      </c>
    </row>
    <row r="12649" spans="119:119" x14ac:dyDescent="0.2">
      <c r="DO12649" s="303" t="s">
        <v>232</v>
      </c>
    </row>
    <row r="12650" spans="119:119" x14ac:dyDescent="0.2">
      <c r="DO12650" s="303" t="s">
        <v>232</v>
      </c>
    </row>
    <row r="12651" spans="119:119" x14ac:dyDescent="0.2">
      <c r="DO12651" s="303" t="s">
        <v>232</v>
      </c>
    </row>
    <row r="12652" spans="119:119" x14ac:dyDescent="0.2">
      <c r="DO12652" s="303" t="s">
        <v>232</v>
      </c>
    </row>
    <row r="12653" spans="119:119" x14ac:dyDescent="0.2">
      <c r="DO12653" s="303" t="s">
        <v>232</v>
      </c>
    </row>
    <row r="12654" spans="119:119" x14ac:dyDescent="0.2">
      <c r="DO12654" s="303" t="s">
        <v>232</v>
      </c>
    </row>
    <row r="12655" spans="119:119" x14ac:dyDescent="0.2">
      <c r="DO12655" s="303" t="s">
        <v>232</v>
      </c>
    </row>
    <row r="12656" spans="119:119" x14ac:dyDescent="0.2">
      <c r="DO12656" s="303" t="s">
        <v>232</v>
      </c>
    </row>
    <row r="12657" spans="119:119" x14ac:dyDescent="0.2">
      <c r="DO12657" s="303" t="s">
        <v>232</v>
      </c>
    </row>
    <row r="12658" spans="119:119" x14ac:dyDescent="0.2">
      <c r="DO12658" s="303" t="s">
        <v>232</v>
      </c>
    </row>
    <row r="12659" spans="119:119" x14ac:dyDescent="0.2">
      <c r="DO12659" s="303" t="s">
        <v>232</v>
      </c>
    </row>
    <row r="12660" spans="119:119" x14ac:dyDescent="0.2">
      <c r="DO12660" s="303" t="s">
        <v>232</v>
      </c>
    </row>
    <row r="12661" spans="119:119" x14ac:dyDescent="0.2">
      <c r="DO12661" s="303" t="s">
        <v>232</v>
      </c>
    </row>
    <row r="12662" spans="119:119" x14ac:dyDescent="0.2">
      <c r="DO12662" s="303" t="s">
        <v>232</v>
      </c>
    </row>
    <row r="12663" spans="119:119" x14ac:dyDescent="0.2">
      <c r="DO12663" s="303" t="s">
        <v>232</v>
      </c>
    </row>
    <row r="12664" spans="119:119" x14ac:dyDescent="0.2">
      <c r="DO12664" s="303" t="s">
        <v>232</v>
      </c>
    </row>
    <row r="12665" spans="119:119" x14ac:dyDescent="0.2">
      <c r="DO12665" s="303" t="s">
        <v>232</v>
      </c>
    </row>
    <row r="12666" spans="119:119" x14ac:dyDescent="0.2">
      <c r="DO12666" s="303" t="s">
        <v>232</v>
      </c>
    </row>
    <row r="12667" spans="119:119" x14ac:dyDescent="0.2">
      <c r="DO12667" s="303" t="s">
        <v>232</v>
      </c>
    </row>
    <row r="12668" spans="119:119" x14ac:dyDescent="0.2">
      <c r="DO12668" s="303" t="s">
        <v>232</v>
      </c>
    </row>
    <row r="12669" spans="119:119" x14ac:dyDescent="0.2">
      <c r="DO12669" s="303" t="s">
        <v>232</v>
      </c>
    </row>
    <row r="12670" spans="119:119" x14ac:dyDescent="0.2">
      <c r="DO12670" s="303" t="s">
        <v>232</v>
      </c>
    </row>
    <row r="12671" spans="119:119" x14ac:dyDescent="0.2">
      <c r="DO12671" s="303" t="s">
        <v>232</v>
      </c>
    </row>
    <row r="12672" spans="119:119" x14ac:dyDescent="0.2">
      <c r="DO12672" s="303" t="s">
        <v>232</v>
      </c>
    </row>
    <row r="12673" spans="119:119" x14ac:dyDescent="0.2">
      <c r="DO12673" s="303" t="s">
        <v>232</v>
      </c>
    </row>
    <row r="12674" spans="119:119" x14ac:dyDescent="0.2">
      <c r="DO12674" s="303" t="s">
        <v>232</v>
      </c>
    </row>
    <row r="12675" spans="119:119" x14ac:dyDescent="0.2">
      <c r="DO12675" s="303" t="s">
        <v>232</v>
      </c>
    </row>
    <row r="12676" spans="119:119" x14ac:dyDescent="0.2">
      <c r="DO12676" s="303" t="s">
        <v>232</v>
      </c>
    </row>
    <row r="12677" spans="119:119" x14ac:dyDescent="0.2">
      <c r="DO12677" s="303" t="s">
        <v>232</v>
      </c>
    </row>
    <row r="12678" spans="119:119" x14ac:dyDescent="0.2">
      <c r="DO12678" s="303" t="s">
        <v>232</v>
      </c>
    </row>
    <row r="12679" spans="119:119" x14ac:dyDescent="0.2">
      <c r="DO12679" s="303" t="s">
        <v>232</v>
      </c>
    </row>
    <row r="12680" spans="119:119" x14ac:dyDescent="0.2">
      <c r="DO12680" s="303" t="s">
        <v>232</v>
      </c>
    </row>
    <row r="12681" spans="119:119" x14ac:dyDescent="0.2">
      <c r="DO12681" s="303" t="s">
        <v>232</v>
      </c>
    </row>
    <row r="12682" spans="119:119" x14ac:dyDescent="0.2">
      <c r="DO12682" s="303" t="s">
        <v>232</v>
      </c>
    </row>
    <row r="12683" spans="119:119" x14ac:dyDescent="0.2">
      <c r="DO12683" s="303" t="s">
        <v>232</v>
      </c>
    </row>
    <row r="12684" spans="119:119" x14ac:dyDescent="0.2">
      <c r="DO12684" s="303" t="s">
        <v>232</v>
      </c>
    </row>
    <row r="12685" spans="119:119" x14ac:dyDescent="0.2">
      <c r="DO12685" s="303" t="s">
        <v>232</v>
      </c>
    </row>
    <row r="12686" spans="119:119" x14ac:dyDescent="0.2">
      <c r="DO12686" s="303" t="s">
        <v>232</v>
      </c>
    </row>
    <row r="12687" spans="119:119" x14ac:dyDescent="0.2">
      <c r="DO12687" s="303" t="s">
        <v>232</v>
      </c>
    </row>
    <row r="12688" spans="119:119" x14ac:dyDescent="0.2">
      <c r="DO12688" s="303" t="s">
        <v>232</v>
      </c>
    </row>
    <row r="12689" spans="119:119" x14ac:dyDescent="0.2">
      <c r="DO12689" s="303" t="s">
        <v>232</v>
      </c>
    </row>
    <row r="12690" spans="119:119" x14ac:dyDescent="0.2">
      <c r="DO12690" s="303" t="s">
        <v>232</v>
      </c>
    </row>
    <row r="12691" spans="119:119" x14ac:dyDescent="0.2">
      <c r="DO12691" s="303" t="s">
        <v>232</v>
      </c>
    </row>
    <row r="12692" spans="119:119" x14ac:dyDescent="0.2">
      <c r="DO12692" s="303" t="s">
        <v>232</v>
      </c>
    </row>
    <row r="12693" spans="119:119" x14ac:dyDescent="0.2">
      <c r="DO12693" s="303" t="s">
        <v>232</v>
      </c>
    </row>
    <row r="12694" spans="119:119" x14ac:dyDescent="0.2">
      <c r="DO12694" s="303" t="s">
        <v>232</v>
      </c>
    </row>
    <row r="12695" spans="119:119" x14ac:dyDescent="0.2">
      <c r="DO12695" s="303" t="s">
        <v>232</v>
      </c>
    </row>
    <row r="12696" spans="119:119" x14ac:dyDescent="0.2">
      <c r="DO12696" s="303" t="s">
        <v>232</v>
      </c>
    </row>
    <row r="12697" spans="119:119" x14ac:dyDescent="0.2">
      <c r="DO12697" s="303" t="s">
        <v>232</v>
      </c>
    </row>
    <row r="12698" spans="119:119" x14ac:dyDescent="0.2">
      <c r="DO12698" s="303" t="s">
        <v>232</v>
      </c>
    </row>
    <row r="12699" spans="119:119" x14ac:dyDescent="0.2">
      <c r="DO12699" s="303" t="s">
        <v>232</v>
      </c>
    </row>
    <row r="12700" spans="119:119" x14ac:dyDescent="0.2">
      <c r="DO12700" s="303" t="s">
        <v>232</v>
      </c>
    </row>
    <row r="12701" spans="119:119" x14ac:dyDescent="0.2">
      <c r="DO12701" s="303" t="s">
        <v>232</v>
      </c>
    </row>
    <row r="12702" spans="119:119" x14ac:dyDescent="0.2">
      <c r="DO12702" s="303" t="s">
        <v>232</v>
      </c>
    </row>
    <row r="12703" spans="119:119" x14ac:dyDescent="0.2">
      <c r="DO12703" s="303" t="s">
        <v>232</v>
      </c>
    </row>
    <row r="12704" spans="119:119" x14ac:dyDescent="0.2">
      <c r="DO12704" s="303" t="s">
        <v>232</v>
      </c>
    </row>
    <row r="12705" spans="119:119" x14ac:dyDescent="0.2">
      <c r="DO12705" s="303" t="s">
        <v>232</v>
      </c>
    </row>
    <row r="12706" spans="119:119" x14ac:dyDescent="0.2">
      <c r="DO12706" s="303" t="s">
        <v>232</v>
      </c>
    </row>
    <row r="12707" spans="119:119" x14ac:dyDescent="0.2">
      <c r="DO12707" s="303" t="s">
        <v>232</v>
      </c>
    </row>
    <row r="12708" spans="119:119" x14ac:dyDescent="0.2">
      <c r="DO12708" s="303" t="s">
        <v>232</v>
      </c>
    </row>
    <row r="12709" spans="119:119" x14ac:dyDescent="0.2">
      <c r="DO12709" s="303" t="s">
        <v>232</v>
      </c>
    </row>
    <row r="12710" spans="119:119" x14ac:dyDescent="0.2">
      <c r="DO12710" s="303" t="s">
        <v>232</v>
      </c>
    </row>
    <row r="12711" spans="119:119" x14ac:dyDescent="0.2">
      <c r="DO12711" s="303" t="s">
        <v>232</v>
      </c>
    </row>
    <row r="12712" spans="119:119" x14ac:dyDescent="0.2">
      <c r="DO12712" s="303" t="s">
        <v>232</v>
      </c>
    </row>
    <row r="12713" spans="119:119" x14ac:dyDescent="0.2">
      <c r="DO12713" s="303" t="s">
        <v>232</v>
      </c>
    </row>
    <row r="12714" spans="119:119" x14ac:dyDescent="0.2">
      <c r="DO12714" s="303" t="s">
        <v>232</v>
      </c>
    </row>
    <row r="12715" spans="119:119" x14ac:dyDescent="0.2">
      <c r="DO12715" s="303" t="s">
        <v>232</v>
      </c>
    </row>
    <row r="12716" spans="119:119" x14ac:dyDescent="0.2">
      <c r="DO12716" s="303" t="s">
        <v>232</v>
      </c>
    </row>
    <row r="12717" spans="119:119" x14ac:dyDescent="0.2">
      <c r="DO12717" s="303" t="s">
        <v>232</v>
      </c>
    </row>
    <row r="12718" spans="119:119" x14ac:dyDescent="0.2">
      <c r="DO12718" s="303" t="s">
        <v>232</v>
      </c>
    </row>
    <row r="12719" spans="119:119" x14ac:dyDescent="0.2">
      <c r="DO12719" s="303" t="s">
        <v>232</v>
      </c>
    </row>
    <row r="12720" spans="119:119" x14ac:dyDescent="0.2">
      <c r="DO12720" s="303" t="s">
        <v>232</v>
      </c>
    </row>
    <row r="12721" spans="119:119" x14ac:dyDescent="0.2">
      <c r="DO12721" s="303" t="s">
        <v>232</v>
      </c>
    </row>
    <row r="12722" spans="119:119" x14ac:dyDescent="0.2">
      <c r="DO12722" s="303" t="s">
        <v>232</v>
      </c>
    </row>
    <row r="12723" spans="119:119" x14ac:dyDescent="0.2">
      <c r="DO12723" s="303" t="s">
        <v>232</v>
      </c>
    </row>
    <row r="12724" spans="119:119" x14ac:dyDescent="0.2">
      <c r="DO12724" s="303" t="s">
        <v>232</v>
      </c>
    </row>
    <row r="12725" spans="119:119" x14ac:dyDescent="0.2">
      <c r="DO12725" s="303" t="s">
        <v>232</v>
      </c>
    </row>
    <row r="12726" spans="119:119" x14ac:dyDescent="0.2">
      <c r="DO12726" s="303" t="s">
        <v>232</v>
      </c>
    </row>
    <row r="12727" spans="119:119" x14ac:dyDescent="0.2">
      <c r="DO12727" s="303" t="s">
        <v>232</v>
      </c>
    </row>
    <row r="12728" spans="119:119" x14ac:dyDescent="0.2">
      <c r="DO12728" s="303" t="s">
        <v>232</v>
      </c>
    </row>
    <row r="12729" spans="119:119" x14ac:dyDescent="0.2">
      <c r="DO12729" s="303" t="s">
        <v>232</v>
      </c>
    </row>
    <row r="12730" spans="119:119" x14ac:dyDescent="0.2">
      <c r="DO12730" s="303" t="s">
        <v>232</v>
      </c>
    </row>
    <row r="12731" spans="119:119" x14ac:dyDescent="0.2">
      <c r="DO12731" s="303" t="s">
        <v>232</v>
      </c>
    </row>
    <row r="12732" spans="119:119" x14ac:dyDescent="0.2">
      <c r="DO12732" s="303" t="s">
        <v>232</v>
      </c>
    </row>
    <row r="12733" spans="119:119" x14ac:dyDescent="0.2">
      <c r="DO12733" s="303" t="s">
        <v>232</v>
      </c>
    </row>
    <row r="12734" spans="119:119" x14ac:dyDescent="0.2">
      <c r="DO12734" s="303" t="s">
        <v>232</v>
      </c>
    </row>
    <row r="12735" spans="119:119" x14ac:dyDescent="0.2">
      <c r="DO12735" s="303" t="s">
        <v>232</v>
      </c>
    </row>
    <row r="12736" spans="119:119" x14ac:dyDescent="0.2">
      <c r="DO12736" s="303" t="s">
        <v>232</v>
      </c>
    </row>
    <row r="12737" spans="119:119" x14ac:dyDescent="0.2">
      <c r="DO12737" s="303" t="s">
        <v>232</v>
      </c>
    </row>
    <row r="12738" spans="119:119" x14ac:dyDescent="0.2">
      <c r="DO12738" s="303" t="s">
        <v>232</v>
      </c>
    </row>
    <row r="12739" spans="119:119" x14ac:dyDescent="0.2">
      <c r="DO12739" s="303" t="s">
        <v>232</v>
      </c>
    </row>
    <row r="12740" spans="119:119" x14ac:dyDescent="0.2">
      <c r="DO12740" s="303" t="s">
        <v>232</v>
      </c>
    </row>
    <row r="12741" spans="119:119" x14ac:dyDescent="0.2">
      <c r="DO12741" s="303" t="s">
        <v>232</v>
      </c>
    </row>
    <row r="12742" spans="119:119" x14ac:dyDescent="0.2">
      <c r="DO12742" s="303" t="s">
        <v>232</v>
      </c>
    </row>
    <row r="12743" spans="119:119" x14ac:dyDescent="0.2">
      <c r="DO12743" s="303" t="s">
        <v>232</v>
      </c>
    </row>
    <row r="12744" spans="119:119" x14ac:dyDescent="0.2">
      <c r="DO12744" s="303" t="s">
        <v>232</v>
      </c>
    </row>
    <row r="12745" spans="119:119" x14ac:dyDescent="0.2">
      <c r="DO12745" s="303" t="s">
        <v>232</v>
      </c>
    </row>
    <row r="12746" spans="119:119" x14ac:dyDescent="0.2">
      <c r="DO12746" s="303" t="s">
        <v>232</v>
      </c>
    </row>
    <row r="12747" spans="119:119" x14ac:dyDescent="0.2">
      <c r="DO12747" s="303" t="s">
        <v>232</v>
      </c>
    </row>
    <row r="12748" spans="119:119" x14ac:dyDescent="0.2">
      <c r="DO12748" s="303" t="s">
        <v>232</v>
      </c>
    </row>
    <row r="12749" spans="119:119" x14ac:dyDescent="0.2">
      <c r="DO12749" s="303" t="s">
        <v>232</v>
      </c>
    </row>
    <row r="12750" spans="119:119" x14ac:dyDescent="0.2">
      <c r="DO12750" s="303" t="s">
        <v>232</v>
      </c>
    </row>
    <row r="12751" spans="119:119" x14ac:dyDescent="0.2">
      <c r="DO12751" s="303" t="s">
        <v>232</v>
      </c>
    </row>
    <row r="12752" spans="119:119" x14ac:dyDescent="0.2">
      <c r="DO12752" s="303" t="s">
        <v>232</v>
      </c>
    </row>
    <row r="12753" spans="119:119" x14ac:dyDescent="0.2">
      <c r="DO12753" s="303" t="s">
        <v>232</v>
      </c>
    </row>
    <row r="12754" spans="119:119" x14ac:dyDescent="0.2">
      <c r="DO12754" s="303" t="s">
        <v>232</v>
      </c>
    </row>
    <row r="12755" spans="119:119" x14ac:dyDescent="0.2">
      <c r="DO12755" s="303" t="s">
        <v>232</v>
      </c>
    </row>
    <row r="12756" spans="119:119" x14ac:dyDescent="0.2">
      <c r="DO12756" s="303" t="s">
        <v>232</v>
      </c>
    </row>
    <row r="12757" spans="119:119" x14ac:dyDescent="0.2">
      <c r="DO12757" s="303" t="s">
        <v>232</v>
      </c>
    </row>
    <row r="12758" spans="119:119" x14ac:dyDescent="0.2">
      <c r="DO12758" s="303" t="s">
        <v>232</v>
      </c>
    </row>
    <row r="12759" spans="119:119" x14ac:dyDescent="0.2">
      <c r="DO12759" s="303" t="s">
        <v>232</v>
      </c>
    </row>
    <row r="12760" spans="119:119" x14ac:dyDescent="0.2">
      <c r="DO12760" s="303" t="s">
        <v>232</v>
      </c>
    </row>
    <row r="12761" spans="119:119" x14ac:dyDescent="0.2">
      <c r="DO12761" s="303" t="s">
        <v>232</v>
      </c>
    </row>
    <row r="12762" spans="119:119" x14ac:dyDescent="0.2">
      <c r="DO12762" s="303" t="s">
        <v>232</v>
      </c>
    </row>
    <row r="12763" spans="119:119" x14ac:dyDescent="0.2">
      <c r="DO12763" s="303" t="s">
        <v>232</v>
      </c>
    </row>
    <row r="12764" spans="119:119" x14ac:dyDescent="0.2">
      <c r="DO12764" s="303" t="s">
        <v>232</v>
      </c>
    </row>
    <row r="12765" spans="119:119" x14ac:dyDescent="0.2">
      <c r="DO12765" s="303" t="s">
        <v>232</v>
      </c>
    </row>
    <row r="12766" spans="119:119" x14ac:dyDescent="0.2">
      <c r="DO12766" s="303" t="s">
        <v>232</v>
      </c>
    </row>
    <row r="12767" spans="119:119" x14ac:dyDescent="0.2">
      <c r="DO12767" s="303" t="s">
        <v>232</v>
      </c>
    </row>
    <row r="12768" spans="119:119" x14ac:dyDescent="0.2">
      <c r="DO12768" s="303" t="s">
        <v>232</v>
      </c>
    </row>
    <row r="12769" spans="119:119" x14ac:dyDescent="0.2">
      <c r="DO12769" s="303" t="s">
        <v>232</v>
      </c>
    </row>
    <row r="12770" spans="119:119" x14ac:dyDescent="0.2">
      <c r="DO12770" s="303" t="s">
        <v>232</v>
      </c>
    </row>
    <row r="12771" spans="119:119" x14ac:dyDescent="0.2">
      <c r="DO12771" s="303" t="s">
        <v>232</v>
      </c>
    </row>
    <row r="12772" spans="119:119" x14ac:dyDescent="0.2">
      <c r="DO12772" s="303" t="s">
        <v>232</v>
      </c>
    </row>
    <row r="12773" spans="119:119" x14ac:dyDescent="0.2">
      <c r="DO12773" s="303" t="s">
        <v>232</v>
      </c>
    </row>
    <row r="12774" spans="119:119" x14ac:dyDescent="0.2">
      <c r="DO12774" s="303" t="s">
        <v>232</v>
      </c>
    </row>
    <row r="12775" spans="119:119" x14ac:dyDescent="0.2">
      <c r="DO12775" s="303" t="s">
        <v>232</v>
      </c>
    </row>
    <row r="12776" spans="119:119" x14ac:dyDescent="0.2">
      <c r="DO12776" s="303" t="s">
        <v>232</v>
      </c>
    </row>
    <row r="12777" spans="119:119" x14ac:dyDescent="0.2">
      <c r="DO12777" s="303" t="s">
        <v>232</v>
      </c>
    </row>
    <row r="12778" spans="119:119" x14ac:dyDescent="0.2">
      <c r="DO12778" s="303" t="s">
        <v>232</v>
      </c>
    </row>
    <row r="12779" spans="119:119" x14ac:dyDescent="0.2">
      <c r="DO12779" s="303" t="s">
        <v>232</v>
      </c>
    </row>
    <row r="12780" spans="119:119" x14ac:dyDescent="0.2">
      <c r="DO12780" s="303" t="s">
        <v>232</v>
      </c>
    </row>
    <row r="12781" spans="119:119" x14ac:dyDescent="0.2">
      <c r="DO12781" s="303" t="s">
        <v>232</v>
      </c>
    </row>
    <row r="12782" spans="119:119" x14ac:dyDescent="0.2">
      <c r="DO12782" s="303" t="s">
        <v>232</v>
      </c>
    </row>
    <row r="12783" spans="119:119" x14ac:dyDescent="0.2">
      <c r="DO12783" s="303" t="s">
        <v>232</v>
      </c>
    </row>
    <row r="12784" spans="119:119" x14ac:dyDescent="0.2">
      <c r="DO12784" s="303" t="s">
        <v>232</v>
      </c>
    </row>
    <row r="12785" spans="119:119" x14ac:dyDescent="0.2">
      <c r="DO12785" s="303" t="s">
        <v>232</v>
      </c>
    </row>
    <row r="12786" spans="119:119" x14ac:dyDescent="0.2">
      <c r="DO12786" s="303" t="s">
        <v>232</v>
      </c>
    </row>
    <row r="12787" spans="119:119" x14ac:dyDescent="0.2">
      <c r="DO12787" s="303" t="s">
        <v>232</v>
      </c>
    </row>
    <row r="12788" spans="119:119" x14ac:dyDescent="0.2">
      <c r="DO12788" s="303" t="s">
        <v>232</v>
      </c>
    </row>
    <row r="12789" spans="119:119" x14ac:dyDescent="0.2">
      <c r="DO12789" s="303" t="s">
        <v>232</v>
      </c>
    </row>
    <row r="12790" spans="119:119" x14ac:dyDescent="0.2">
      <c r="DO12790" s="303" t="s">
        <v>232</v>
      </c>
    </row>
    <row r="12791" spans="119:119" x14ac:dyDescent="0.2">
      <c r="DO12791" s="303" t="s">
        <v>232</v>
      </c>
    </row>
    <row r="12792" spans="119:119" x14ac:dyDescent="0.2">
      <c r="DO12792" s="303" t="s">
        <v>232</v>
      </c>
    </row>
    <row r="12793" spans="119:119" x14ac:dyDescent="0.2">
      <c r="DO12793" s="303" t="s">
        <v>232</v>
      </c>
    </row>
    <row r="12794" spans="119:119" x14ac:dyDescent="0.2">
      <c r="DO12794" s="303" t="s">
        <v>232</v>
      </c>
    </row>
    <row r="12795" spans="119:119" x14ac:dyDescent="0.2">
      <c r="DO12795" s="303" t="s">
        <v>232</v>
      </c>
    </row>
    <row r="12796" spans="119:119" x14ac:dyDescent="0.2">
      <c r="DO12796" s="303" t="s">
        <v>232</v>
      </c>
    </row>
    <row r="12797" spans="119:119" x14ac:dyDescent="0.2">
      <c r="DO12797" s="303" t="s">
        <v>232</v>
      </c>
    </row>
    <row r="12798" spans="119:119" x14ac:dyDescent="0.2">
      <c r="DO12798" s="303" t="s">
        <v>232</v>
      </c>
    </row>
    <row r="12799" spans="119:119" x14ac:dyDescent="0.2">
      <c r="DO12799" s="303" t="s">
        <v>232</v>
      </c>
    </row>
    <row r="12800" spans="119:119" x14ac:dyDescent="0.2">
      <c r="DO12800" s="303" t="s">
        <v>232</v>
      </c>
    </row>
    <row r="12801" spans="119:119" x14ac:dyDescent="0.2">
      <c r="DO12801" s="303" t="s">
        <v>232</v>
      </c>
    </row>
    <row r="12802" spans="119:119" x14ac:dyDescent="0.2">
      <c r="DO12802" s="303" t="s">
        <v>232</v>
      </c>
    </row>
    <row r="12803" spans="119:119" x14ac:dyDescent="0.2">
      <c r="DO12803" s="303" t="s">
        <v>232</v>
      </c>
    </row>
    <row r="12804" spans="119:119" x14ac:dyDescent="0.2">
      <c r="DO12804" s="303" t="s">
        <v>232</v>
      </c>
    </row>
    <row r="12805" spans="119:119" x14ac:dyDescent="0.2">
      <c r="DO12805" s="303" t="s">
        <v>232</v>
      </c>
    </row>
    <row r="12806" spans="119:119" x14ac:dyDescent="0.2">
      <c r="DO12806" s="303" t="s">
        <v>232</v>
      </c>
    </row>
    <row r="12807" spans="119:119" x14ac:dyDescent="0.2">
      <c r="DO12807" s="303" t="s">
        <v>232</v>
      </c>
    </row>
    <row r="12808" spans="119:119" x14ac:dyDescent="0.2">
      <c r="DO12808" s="303" t="s">
        <v>232</v>
      </c>
    </row>
    <row r="12809" spans="119:119" x14ac:dyDescent="0.2">
      <c r="DO12809" s="303" t="s">
        <v>232</v>
      </c>
    </row>
    <row r="12810" spans="119:119" x14ac:dyDescent="0.2">
      <c r="DO12810" s="303" t="s">
        <v>232</v>
      </c>
    </row>
    <row r="12811" spans="119:119" x14ac:dyDescent="0.2">
      <c r="DO12811" s="303" t="s">
        <v>232</v>
      </c>
    </row>
    <row r="12812" spans="119:119" x14ac:dyDescent="0.2">
      <c r="DO12812" s="303" t="s">
        <v>232</v>
      </c>
    </row>
    <row r="12813" spans="119:119" x14ac:dyDescent="0.2">
      <c r="DO12813" s="303" t="s">
        <v>232</v>
      </c>
    </row>
    <row r="12814" spans="119:119" x14ac:dyDescent="0.2">
      <c r="DO12814" s="303" t="s">
        <v>232</v>
      </c>
    </row>
    <row r="12815" spans="119:119" x14ac:dyDescent="0.2">
      <c r="DO12815" s="303" t="s">
        <v>232</v>
      </c>
    </row>
    <row r="12816" spans="119:119" x14ac:dyDescent="0.2">
      <c r="DO12816" s="303" t="s">
        <v>232</v>
      </c>
    </row>
    <row r="12817" spans="119:119" x14ac:dyDescent="0.2">
      <c r="DO12817" s="303" t="s">
        <v>232</v>
      </c>
    </row>
    <row r="12818" spans="119:119" x14ac:dyDescent="0.2">
      <c r="DO12818" s="303" t="s">
        <v>232</v>
      </c>
    </row>
    <row r="12819" spans="119:119" x14ac:dyDescent="0.2">
      <c r="DO12819" s="303" t="s">
        <v>232</v>
      </c>
    </row>
    <row r="12820" spans="119:119" x14ac:dyDescent="0.2">
      <c r="DO12820" s="303" t="s">
        <v>232</v>
      </c>
    </row>
    <row r="12821" spans="119:119" x14ac:dyDescent="0.2">
      <c r="DO12821" s="303" t="s">
        <v>232</v>
      </c>
    </row>
    <row r="12822" spans="119:119" x14ac:dyDescent="0.2">
      <c r="DO12822" s="303" t="s">
        <v>232</v>
      </c>
    </row>
    <row r="12823" spans="119:119" x14ac:dyDescent="0.2">
      <c r="DO12823" s="303" t="s">
        <v>232</v>
      </c>
    </row>
    <row r="12824" spans="119:119" x14ac:dyDescent="0.2">
      <c r="DO12824" s="303" t="s">
        <v>232</v>
      </c>
    </row>
    <row r="12825" spans="119:119" x14ac:dyDescent="0.2">
      <c r="DO12825" s="303" t="s">
        <v>232</v>
      </c>
    </row>
    <row r="12826" spans="119:119" x14ac:dyDescent="0.2">
      <c r="DO12826" s="303" t="s">
        <v>232</v>
      </c>
    </row>
    <row r="12827" spans="119:119" x14ac:dyDescent="0.2">
      <c r="DO12827" s="303" t="s">
        <v>232</v>
      </c>
    </row>
    <row r="12828" spans="119:119" x14ac:dyDescent="0.2">
      <c r="DO12828" s="303" t="s">
        <v>232</v>
      </c>
    </row>
    <row r="12829" spans="119:119" x14ac:dyDescent="0.2">
      <c r="DO12829" s="303" t="s">
        <v>232</v>
      </c>
    </row>
    <row r="12830" spans="119:119" x14ac:dyDescent="0.2">
      <c r="DO12830" s="303" t="s">
        <v>232</v>
      </c>
    </row>
    <row r="12831" spans="119:119" x14ac:dyDescent="0.2">
      <c r="DO12831" s="303" t="s">
        <v>232</v>
      </c>
    </row>
    <row r="12832" spans="119:119" x14ac:dyDescent="0.2">
      <c r="DO12832" s="303" t="s">
        <v>232</v>
      </c>
    </row>
    <row r="12833" spans="119:119" x14ac:dyDescent="0.2">
      <c r="DO12833" s="303" t="s">
        <v>232</v>
      </c>
    </row>
    <row r="12834" spans="119:119" x14ac:dyDescent="0.2">
      <c r="DO12834" s="303" t="s">
        <v>232</v>
      </c>
    </row>
    <row r="12835" spans="119:119" x14ac:dyDescent="0.2">
      <c r="DO12835" s="303" t="s">
        <v>232</v>
      </c>
    </row>
    <row r="12836" spans="119:119" x14ac:dyDescent="0.2">
      <c r="DO12836" s="303" t="s">
        <v>232</v>
      </c>
    </row>
    <row r="12837" spans="119:119" x14ac:dyDescent="0.2">
      <c r="DO12837" s="303" t="s">
        <v>232</v>
      </c>
    </row>
    <row r="12838" spans="119:119" x14ac:dyDescent="0.2">
      <c r="DO12838" s="303" t="s">
        <v>232</v>
      </c>
    </row>
    <row r="12839" spans="119:119" x14ac:dyDescent="0.2">
      <c r="DO12839" s="303" t="s">
        <v>232</v>
      </c>
    </row>
    <row r="12840" spans="119:119" x14ac:dyDescent="0.2">
      <c r="DO12840" s="303" t="s">
        <v>232</v>
      </c>
    </row>
    <row r="12841" spans="119:119" x14ac:dyDescent="0.2">
      <c r="DO12841" s="303" t="s">
        <v>232</v>
      </c>
    </row>
    <row r="12842" spans="119:119" x14ac:dyDescent="0.2">
      <c r="DO12842" s="303" t="s">
        <v>232</v>
      </c>
    </row>
    <row r="12843" spans="119:119" x14ac:dyDescent="0.2">
      <c r="DO12843" s="303" t="s">
        <v>232</v>
      </c>
    </row>
    <row r="12844" spans="119:119" x14ac:dyDescent="0.2">
      <c r="DO12844" s="303" t="s">
        <v>232</v>
      </c>
    </row>
    <row r="12845" spans="119:119" x14ac:dyDescent="0.2">
      <c r="DO12845" s="303" t="s">
        <v>232</v>
      </c>
    </row>
    <row r="12846" spans="119:119" x14ac:dyDescent="0.2">
      <c r="DO12846" s="303" t="s">
        <v>232</v>
      </c>
    </row>
    <row r="12847" spans="119:119" x14ac:dyDescent="0.2">
      <c r="DO12847" s="303" t="s">
        <v>232</v>
      </c>
    </row>
    <row r="12848" spans="119:119" x14ac:dyDescent="0.2">
      <c r="DO12848" s="303" t="s">
        <v>232</v>
      </c>
    </row>
    <row r="12849" spans="119:119" x14ac:dyDescent="0.2">
      <c r="DO12849" s="303" t="s">
        <v>232</v>
      </c>
    </row>
    <row r="12850" spans="119:119" x14ac:dyDescent="0.2">
      <c r="DO12850" s="303" t="s">
        <v>232</v>
      </c>
    </row>
    <row r="12851" spans="119:119" x14ac:dyDescent="0.2">
      <c r="DO12851" s="303" t="s">
        <v>232</v>
      </c>
    </row>
    <row r="12852" spans="119:119" x14ac:dyDescent="0.2">
      <c r="DO12852" s="303" t="s">
        <v>232</v>
      </c>
    </row>
    <row r="12853" spans="119:119" x14ac:dyDescent="0.2">
      <c r="DO12853" s="303" t="s">
        <v>232</v>
      </c>
    </row>
    <row r="12854" spans="119:119" x14ac:dyDescent="0.2">
      <c r="DO12854" s="303" t="s">
        <v>232</v>
      </c>
    </row>
    <row r="12855" spans="119:119" x14ac:dyDescent="0.2">
      <c r="DO12855" s="303" t="s">
        <v>232</v>
      </c>
    </row>
    <row r="12856" spans="119:119" x14ac:dyDescent="0.2">
      <c r="DO12856" s="303" t="s">
        <v>232</v>
      </c>
    </row>
    <row r="12857" spans="119:119" x14ac:dyDescent="0.2">
      <c r="DO12857" s="303" t="s">
        <v>232</v>
      </c>
    </row>
    <row r="12858" spans="119:119" x14ac:dyDescent="0.2">
      <c r="DO12858" s="303" t="s">
        <v>232</v>
      </c>
    </row>
    <row r="12859" spans="119:119" x14ac:dyDescent="0.2">
      <c r="DO12859" s="303" t="s">
        <v>232</v>
      </c>
    </row>
    <row r="12860" spans="119:119" x14ac:dyDescent="0.2">
      <c r="DO12860" s="303" t="s">
        <v>232</v>
      </c>
    </row>
    <row r="12861" spans="119:119" x14ac:dyDescent="0.2">
      <c r="DO12861" s="303" t="s">
        <v>232</v>
      </c>
    </row>
    <row r="12862" spans="119:119" x14ac:dyDescent="0.2">
      <c r="DO12862" s="303" t="s">
        <v>232</v>
      </c>
    </row>
    <row r="12863" spans="119:119" x14ac:dyDescent="0.2">
      <c r="DO12863" s="303" t="s">
        <v>232</v>
      </c>
    </row>
    <row r="12864" spans="119:119" x14ac:dyDescent="0.2">
      <c r="DO12864" s="303" t="s">
        <v>232</v>
      </c>
    </row>
    <row r="12865" spans="119:119" x14ac:dyDescent="0.2">
      <c r="DO12865" s="303" t="s">
        <v>232</v>
      </c>
    </row>
    <row r="12866" spans="119:119" x14ac:dyDescent="0.2">
      <c r="DO12866" s="303" t="s">
        <v>232</v>
      </c>
    </row>
    <row r="12867" spans="119:119" x14ac:dyDescent="0.2">
      <c r="DO12867" s="303" t="s">
        <v>232</v>
      </c>
    </row>
    <row r="12868" spans="119:119" x14ac:dyDescent="0.2">
      <c r="DO12868" s="303" t="s">
        <v>232</v>
      </c>
    </row>
    <row r="12869" spans="119:119" x14ac:dyDescent="0.2">
      <c r="DO12869" s="303" t="s">
        <v>232</v>
      </c>
    </row>
    <row r="12870" spans="119:119" x14ac:dyDescent="0.2">
      <c r="DO12870" s="303" t="s">
        <v>232</v>
      </c>
    </row>
    <row r="12871" spans="119:119" x14ac:dyDescent="0.2">
      <c r="DO12871" s="303" t="s">
        <v>232</v>
      </c>
    </row>
    <row r="12872" spans="119:119" x14ac:dyDescent="0.2">
      <c r="DO12872" s="303" t="s">
        <v>232</v>
      </c>
    </row>
    <row r="12873" spans="119:119" x14ac:dyDescent="0.2">
      <c r="DO12873" s="303" t="s">
        <v>232</v>
      </c>
    </row>
    <row r="12874" spans="119:119" x14ac:dyDescent="0.2">
      <c r="DO12874" s="303" t="s">
        <v>232</v>
      </c>
    </row>
    <row r="12875" spans="119:119" x14ac:dyDescent="0.2">
      <c r="DO12875" s="303" t="s">
        <v>232</v>
      </c>
    </row>
    <row r="12876" spans="119:119" x14ac:dyDescent="0.2">
      <c r="DO12876" s="303" t="s">
        <v>232</v>
      </c>
    </row>
    <row r="12877" spans="119:119" x14ac:dyDescent="0.2">
      <c r="DO12877" s="303" t="s">
        <v>232</v>
      </c>
    </row>
    <row r="12878" spans="119:119" x14ac:dyDescent="0.2">
      <c r="DO12878" s="303" t="s">
        <v>232</v>
      </c>
    </row>
    <row r="12879" spans="119:119" x14ac:dyDescent="0.2">
      <c r="DO12879" s="303" t="s">
        <v>232</v>
      </c>
    </row>
    <row r="12880" spans="119:119" x14ac:dyDescent="0.2">
      <c r="DO12880" s="303" t="s">
        <v>232</v>
      </c>
    </row>
    <row r="12881" spans="119:119" x14ac:dyDescent="0.2">
      <c r="DO12881" s="303" t="s">
        <v>232</v>
      </c>
    </row>
    <row r="12882" spans="119:119" x14ac:dyDescent="0.2">
      <c r="DO12882" s="303" t="s">
        <v>232</v>
      </c>
    </row>
    <row r="12883" spans="119:119" x14ac:dyDescent="0.2">
      <c r="DO12883" s="303" t="s">
        <v>232</v>
      </c>
    </row>
    <row r="12884" spans="119:119" x14ac:dyDescent="0.2">
      <c r="DO12884" s="303" t="s">
        <v>232</v>
      </c>
    </row>
    <row r="12885" spans="119:119" x14ac:dyDescent="0.2">
      <c r="DO12885" s="303" t="s">
        <v>232</v>
      </c>
    </row>
    <row r="12886" spans="119:119" x14ac:dyDescent="0.2">
      <c r="DO12886" s="303" t="s">
        <v>232</v>
      </c>
    </row>
    <row r="12887" spans="119:119" x14ac:dyDescent="0.2">
      <c r="DO12887" s="303" t="s">
        <v>232</v>
      </c>
    </row>
    <row r="12888" spans="119:119" x14ac:dyDescent="0.2">
      <c r="DO12888" s="303" t="s">
        <v>232</v>
      </c>
    </row>
    <row r="12889" spans="119:119" x14ac:dyDescent="0.2">
      <c r="DO12889" s="303" t="s">
        <v>232</v>
      </c>
    </row>
    <row r="12890" spans="119:119" x14ac:dyDescent="0.2">
      <c r="DO12890" s="303" t="s">
        <v>232</v>
      </c>
    </row>
    <row r="12891" spans="119:119" x14ac:dyDescent="0.2">
      <c r="DO12891" s="303" t="s">
        <v>232</v>
      </c>
    </row>
    <row r="12892" spans="119:119" x14ac:dyDescent="0.2">
      <c r="DO12892" s="303" t="s">
        <v>232</v>
      </c>
    </row>
    <row r="12893" spans="119:119" x14ac:dyDescent="0.2">
      <c r="DO12893" s="303" t="s">
        <v>232</v>
      </c>
    </row>
    <row r="12894" spans="119:119" x14ac:dyDescent="0.2">
      <c r="DO12894" s="303" t="s">
        <v>232</v>
      </c>
    </row>
    <row r="12895" spans="119:119" x14ac:dyDescent="0.2">
      <c r="DO12895" s="303" t="s">
        <v>232</v>
      </c>
    </row>
    <row r="12896" spans="119:119" x14ac:dyDescent="0.2">
      <c r="DO12896" s="303" t="s">
        <v>232</v>
      </c>
    </row>
    <row r="12897" spans="119:119" x14ac:dyDescent="0.2">
      <c r="DO12897" s="303" t="s">
        <v>232</v>
      </c>
    </row>
    <row r="12898" spans="119:119" x14ac:dyDescent="0.2">
      <c r="DO12898" s="303" t="s">
        <v>232</v>
      </c>
    </row>
    <row r="12899" spans="119:119" x14ac:dyDescent="0.2">
      <c r="DO12899" s="303" t="s">
        <v>232</v>
      </c>
    </row>
    <row r="12900" spans="119:119" x14ac:dyDescent="0.2">
      <c r="DO12900" s="303" t="s">
        <v>232</v>
      </c>
    </row>
    <row r="12901" spans="119:119" x14ac:dyDescent="0.2">
      <c r="DO12901" s="303" t="s">
        <v>232</v>
      </c>
    </row>
    <row r="12902" spans="119:119" x14ac:dyDescent="0.2">
      <c r="DO12902" s="303" t="s">
        <v>232</v>
      </c>
    </row>
    <row r="12903" spans="119:119" x14ac:dyDescent="0.2">
      <c r="DO12903" s="303" t="s">
        <v>232</v>
      </c>
    </row>
    <row r="12904" spans="119:119" x14ac:dyDescent="0.2">
      <c r="DO12904" s="303" t="s">
        <v>232</v>
      </c>
    </row>
    <row r="12905" spans="119:119" x14ac:dyDescent="0.2">
      <c r="DO12905" s="303" t="s">
        <v>232</v>
      </c>
    </row>
    <row r="12906" spans="119:119" x14ac:dyDescent="0.2">
      <c r="DO12906" s="303" t="s">
        <v>232</v>
      </c>
    </row>
    <row r="12907" spans="119:119" x14ac:dyDescent="0.2">
      <c r="DO12907" s="303" t="s">
        <v>232</v>
      </c>
    </row>
    <row r="12908" spans="119:119" x14ac:dyDescent="0.2">
      <c r="DO12908" s="303" t="s">
        <v>232</v>
      </c>
    </row>
    <row r="12909" spans="119:119" x14ac:dyDescent="0.2">
      <c r="DO12909" s="303" t="s">
        <v>232</v>
      </c>
    </row>
    <row r="12910" spans="119:119" x14ac:dyDescent="0.2">
      <c r="DO12910" s="303" t="s">
        <v>232</v>
      </c>
    </row>
    <row r="12911" spans="119:119" x14ac:dyDescent="0.2">
      <c r="DO12911" s="303" t="s">
        <v>232</v>
      </c>
    </row>
    <row r="12912" spans="119:119" x14ac:dyDescent="0.2">
      <c r="DO12912" s="303" t="s">
        <v>232</v>
      </c>
    </row>
    <row r="12913" spans="119:119" x14ac:dyDescent="0.2">
      <c r="DO12913" s="303" t="s">
        <v>232</v>
      </c>
    </row>
    <row r="12914" spans="119:119" x14ac:dyDescent="0.2">
      <c r="DO12914" s="303" t="s">
        <v>232</v>
      </c>
    </row>
    <row r="12915" spans="119:119" x14ac:dyDescent="0.2">
      <c r="DO12915" s="303" t="s">
        <v>232</v>
      </c>
    </row>
    <row r="12916" spans="119:119" x14ac:dyDescent="0.2">
      <c r="DO12916" s="303" t="s">
        <v>232</v>
      </c>
    </row>
    <row r="12917" spans="119:119" x14ac:dyDescent="0.2">
      <c r="DO12917" s="303" t="s">
        <v>232</v>
      </c>
    </row>
    <row r="12918" spans="119:119" x14ac:dyDescent="0.2">
      <c r="DO12918" s="303" t="s">
        <v>232</v>
      </c>
    </row>
    <row r="12919" spans="119:119" x14ac:dyDescent="0.2">
      <c r="DO12919" s="303" t="s">
        <v>232</v>
      </c>
    </row>
    <row r="12920" spans="119:119" x14ac:dyDescent="0.2">
      <c r="DO12920" s="303" t="s">
        <v>232</v>
      </c>
    </row>
    <row r="12921" spans="119:119" x14ac:dyDescent="0.2">
      <c r="DO12921" s="303" t="s">
        <v>232</v>
      </c>
    </row>
    <row r="12922" spans="119:119" x14ac:dyDescent="0.2">
      <c r="DO12922" s="303" t="s">
        <v>232</v>
      </c>
    </row>
    <row r="12923" spans="119:119" x14ac:dyDescent="0.2">
      <c r="DO12923" s="303" t="s">
        <v>232</v>
      </c>
    </row>
    <row r="12924" spans="119:119" x14ac:dyDescent="0.2">
      <c r="DO12924" s="303" t="s">
        <v>232</v>
      </c>
    </row>
    <row r="12925" spans="119:119" x14ac:dyDescent="0.2">
      <c r="DO12925" s="303" t="s">
        <v>232</v>
      </c>
    </row>
    <row r="12926" spans="119:119" x14ac:dyDescent="0.2">
      <c r="DO12926" s="303" t="s">
        <v>232</v>
      </c>
    </row>
    <row r="12927" spans="119:119" x14ac:dyDescent="0.2">
      <c r="DO12927" s="303" t="s">
        <v>232</v>
      </c>
    </row>
    <row r="12928" spans="119:119" x14ac:dyDescent="0.2">
      <c r="DO12928" s="303" t="s">
        <v>232</v>
      </c>
    </row>
    <row r="12929" spans="119:119" x14ac:dyDescent="0.2">
      <c r="DO12929" s="303" t="s">
        <v>232</v>
      </c>
    </row>
    <row r="12930" spans="119:119" x14ac:dyDescent="0.2">
      <c r="DO12930" s="303" t="s">
        <v>232</v>
      </c>
    </row>
    <row r="12931" spans="119:119" x14ac:dyDescent="0.2">
      <c r="DO12931" s="303" t="s">
        <v>232</v>
      </c>
    </row>
    <row r="12932" spans="119:119" x14ac:dyDescent="0.2">
      <c r="DO12932" s="303" t="s">
        <v>232</v>
      </c>
    </row>
    <row r="12933" spans="119:119" x14ac:dyDescent="0.2">
      <c r="DO12933" s="303" t="s">
        <v>232</v>
      </c>
    </row>
    <row r="12934" spans="119:119" x14ac:dyDescent="0.2">
      <c r="DO12934" s="303" t="s">
        <v>232</v>
      </c>
    </row>
    <row r="12935" spans="119:119" x14ac:dyDescent="0.2">
      <c r="DO12935" s="303" t="s">
        <v>232</v>
      </c>
    </row>
    <row r="12936" spans="119:119" x14ac:dyDescent="0.2">
      <c r="DO12936" s="303" t="s">
        <v>232</v>
      </c>
    </row>
    <row r="12937" spans="119:119" x14ac:dyDescent="0.2">
      <c r="DO12937" s="303" t="s">
        <v>232</v>
      </c>
    </row>
    <row r="12938" spans="119:119" x14ac:dyDescent="0.2">
      <c r="DO12938" s="303" t="s">
        <v>232</v>
      </c>
    </row>
    <row r="12939" spans="119:119" x14ac:dyDescent="0.2">
      <c r="DO12939" s="303" t="s">
        <v>232</v>
      </c>
    </row>
    <row r="12940" spans="119:119" x14ac:dyDescent="0.2">
      <c r="DO12940" s="303" t="s">
        <v>232</v>
      </c>
    </row>
    <row r="12941" spans="119:119" x14ac:dyDescent="0.2">
      <c r="DO12941" s="303" t="s">
        <v>232</v>
      </c>
    </row>
    <row r="12942" spans="119:119" x14ac:dyDescent="0.2">
      <c r="DO12942" s="303" t="s">
        <v>232</v>
      </c>
    </row>
    <row r="12943" spans="119:119" x14ac:dyDescent="0.2">
      <c r="DO12943" s="303" t="s">
        <v>232</v>
      </c>
    </row>
    <row r="12944" spans="119:119" x14ac:dyDescent="0.2">
      <c r="DO12944" s="303" t="s">
        <v>232</v>
      </c>
    </row>
    <row r="12945" spans="119:119" x14ac:dyDescent="0.2">
      <c r="DO12945" s="303" t="s">
        <v>232</v>
      </c>
    </row>
    <row r="12946" spans="119:119" x14ac:dyDescent="0.2">
      <c r="DO12946" s="303" t="s">
        <v>232</v>
      </c>
    </row>
    <row r="12947" spans="119:119" x14ac:dyDescent="0.2">
      <c r="DO12947" s="303" t="s">
        <v>232</v>
      </c>
    </row>
    <row r="12948" spans="119:119" x14ac:dyDescent="0.2">
      <c r="DO12948" s="303" t="s">
        <v>232</v>
      </c>
    </row>
    <row r="12949" spans="119:119" x14ac:dyDescent="0.2">
      <c r="DO12949" s="303" t="s">
        <v>232</v>
      </c>
    </row>
    <row r="12950" spans="119:119" x14ac:dyDescent="0.2">
      <c r="DO12950" s="303" t="s">
        <v>232</v>
      </c>
    </row>
    <row r="12951" spans="119:119" x14ac:dyDescent="0.2">
      <c r="DO12951" s="303" t="s">
        <v>232</v>
      </c>
    </row>
    <row r="12952" spans="119:119" x14ac:dyDescent="0.2">
      <c r="DO12952" s="303" t="s">
        <v>232</v>
      </c>
    </row>
    <row r="12953" spans="119:119" x14ac:dyDescent="0.2">
      <c r="DO12953" s="303" t="s">
        <v>232</v>
      </c>
    </row>
    <row r="12954" spans="119:119" x14ac:dyDescent="0.2">
      <c r="DO12954" s="303" t="s">
        <v>232</v>
      </c>
    </row>
    <row r="12955" spans="119:119" x14ac:dyDescent="0.2">
      <c r="DO12955" s="303" t="s">
        <v>232</v>
      </c>
    </row>
    <row r="12956" spans="119:119" x14ac:dyDescent="0.2">
      <c r="DO12956" s="303" t="s">
        <v>232</v>
      </c>
    </row>
    <row r="12957" spans="119:119" x14ac:dyDescent="0.2">
      <c r="DO12957" s="303" t="s">
        <v>232</v>
      </c>
    </row>
    <row r="12958" spans="119:119" x14ac:dyDescent="0.2">
      <c r="DO12958" s="303" t="s">
        <v>232</v>
      </c>
    </row>
    <row r="12959" spans="119:119" x14ac:dyDescent="0.2">
      <c r="DO12959" s="303" t="s">
        <v>232</v>
      </c>
    </row>
    <row r="12960" spans="119:119" x14ac:dyDescent="0.2">
      <c r="DO12960" s="303" t="s">
        <v>232</v>
      </c>
    </row>
    <row r="12961" spans="119:119" x14ac:dyDescent="0.2">
      <c r="DO12961" s="303" t="s">
        <v>232</v>
      </c>
    </row>
    <row r="12962" spans="119:119" x14ac:dyDescent="0.2">
      <c r="DO12962" s="303" t="s">
        <v>232</v>
      </c>
    </row>
    <row r="12963" spans="119:119" x14ac:dyDescent="0.2">
      <c r="DO12963" s="303" t="s">
        <v>232</v>
      </c>
    </row>
    <row r="12964" spans="119:119" x14ac:dyDescent="0.2">
      <c r="DO12964" s="303" t="s">
        <v>232</v>
      </c>
    </row>
    <row r="12965" spans="119:119" x14ac:dyDescent="0.2">
      <c r="DO12965" s="303" t="s">
        <v>232</v>
      </c>
    </row>
    <row r="12966" spans="119:119" x14ac:dyDescent="0.2">
      <c r="DO12966" s="303" t="s">
        <v>232</v>
      </c>
    </row>
    <row r="12967" spans="119:119" x14ac:dyDescent="0.2">
      <c r="DO12967" s="303" t="s">
        <v>232</v>
      </c>
    </row>
    <row r="12968" spans="119:119" x14ac:dyDescent="0.2">
      <c r="DO12968" s="303" t="s">
        <v>232</v>
      </c>
    </row>
    <row r="12969" spans="119:119" x14ac:dyDescent="0.2">
      <c r="DO12969" s="303" t="s">
        <v>232</v>
      </c>
    </row>
    <row r="12970" spans="119:119" x14ac:dyDescent="0.2">
      <c r="DO12970" s="303" t="s">
        <v>232</v>
      </c>
    </row>
    <row r="12971" spans="119:119" x14ac:dyDescent="0.2">
      <c r="DO12971" s="303" t="s">
        <v>232</v>
      </c>
    </row>
    <row r="12972" spans="119:119" x14ac:dyDescent="0.2">
      <c r="DO12972" s="303" t="s">
        <v>232</v>
      </c>
    </row>
    <row r="12973" spans="119:119" x14ac:dyDescent="0.2">
      <c r="DO12973" s="303" t="s">
        <v>232</v>
      </c>
    </row>
    <row r="12974" spans="119:119" x14ac:dyDescent="0.2">
      <c r="DO12974" s="303" t="s">
        <v>232</v>
      </c>
    </row>
    <row r="12975" spans="119:119" x14ac:dyDescent="0.2">
      <c r="DO12975" s="303" t="s">
        <v>232</v>
      </c>
    </row>
    <row r="12976" spans="119:119" x14ac:dyDescent="0.2">
      <c r="DO12976" s="303" t="s">
        <v>232</v>
      </c>
    </row>
    <row r="12977" spans="119:119" x14ac:dyDescent="0.2">
      <c r="DO12977" s="303" t="s">
        <v>232</v>
      </c>
    </row>
    <row r="12978" spans="119:119" x14ac:dyDescent="0.2">
      <c r="DO12978" s="303" t="s">
        <v>232</v>
      </c>
    </row>
    <row r="12979" spans="119:119" x14ac:dyDescent="0.2">
      <c r="DO12979" s="303" t="s">
        <v>232</v>
      </c>
    </row>
    <row r="12980" spans="119:119" x14ac:dyDescent="0.2">
      <c r="DO12980" s="303" t="s">
        <v>232</v>
      </c>
    </row>
    <row r="12981" spans="119:119" x14ac:dyDescent="0.2">
      <c r="DO12981" s="303" t="s">
        <v>232</v>
      </c>
    </row>
    <row r="12982" spans="119:119" x14ac:dyDescent="0.2">
      <c r="DO12982" s="303" t="s">
        <v>232</v>
      </c>
    </row>
    <row r="12983" spans="119:119" x14ac:dyDescent="0.2">
      <c r="DO12983" s="303" t="s">
        <v>232</v>
      </c>
    </row>
    <row r="12984" spans="119:119" x14ac:dyDescent="0.2">
      <c r="DO12984" s="303" t="s">
        <v>232</v>
      </c>
    </row>
    <row r="12985" spans="119:119" x14ac:dyDescent="0.2">
      <c r="DO12985" s="303" t="s">
        <v>232</v>
      </c>
    </row>
    <row r="12986" spans="119:119" x14ac:dyDescent="0.2">
      <c r="DO12986" s="303" t="s">
        <v>232</v>
      </c>
    </row>
    <row r="12987" spans="119:119" x14ac:dyDescent="0.2">
      <c r="DO12987" s="303" t="s">
        <v>232</v>
      </c>
    </row>
    <row r="12988" spans="119:119" x14ac:dyDescent="0.2">
      <c r="DO12988" s="303" t="s">
        <v>232</v>
      </c>
    </row>
    <row r="12989" spans="119:119" x14ac:dyDescent="0.2">
      <c r="DO12989" s="303" t="s">
        <v>232</v>
      </c>
    </row>
    <row r="12990" spans="119:119" x14ac:dyDescent="0.2">
      <c r="DO12990" s="303" t="s">
        <v>232</v>
      </c>
    </row>
    <row r="12991" spans="119:119" x14ac:dyDescent="0.2">
      <c r="DO12991" s="303" t="s">
        <v>232</v>
      </c>
    </row>
    <row r="12992" spans="119:119" x14ac:dyDescent="0.2">
      <c r="DO12992" s="303" t="s">
        <v>232</v>
      </c>
    </row>
    <row r="12993" spans="119:119" x14ac:dyDescent="0.2">
      <c r="DO12993" s="303" t="s">
        <v>232</v>
      </c>
    </row>
    <row r="12994" spans="119:119" x14ac:dyDescent="0.2">
      <c r="DO12994" s="303" t="s">
        <v>232</v>
      </c>
    </row>
    <row r="12995" spans="119:119" x14ac:dyDescent="0.2">
      <c r="DO12995" s="303" t="s">
        <v>232</v>
      </c>
    </row>
    <row r="12996" spans="119:119" x14ac:dyDescent="0.2">
      <c r="DO12996" s="303" t="s">
        <v>232</v>
      </c>
    </row>
    <row r="12997" spans="119:119" x14ac:dyDescent="0.2">
      <c r="DO12997" s="303" t="s">
        <v>232</v>
      </c>
    </row>
    <row r="12998" spans="119:119" x14ac:dyDescent="0.2">
      <c r="DO12998" s="303" t="s">
        <v>232</v>
      </c>
    </row>
    <row r="12999" spans="119:119" x14ac:dyDescent="0.2">
      <c r="DO12999" s="303" t="s">
        <v>232</v>
      </c>
    </row>
    <row r="13000" spans="119:119" x14ac:dyDescent="0.2">
      <c r="DO13000" s="303" t="s">
        <v>232</v>
      </c>
    </row>
    <row r="13001" spans="119:119" x14ac:dyDescent="0.2">
      <c r="DO13001" s="303" t="s">
        <v>232</v>
      </c>
    </row>
    <row r="13002" spans="119:119" x14ac:dyDescent="0.2">
      <c r="DO13002" s="303" t="s">
        <v>232</v>
      </c>
    </row>
    <row r="13003" spans="119:119" x14ac:dyDescent="0.2">
      <c r="DO13003" s="303" t="s">
        <v>232</v>
      </c>
    </row>
    <row r="13004" spans="119:119" x14ac:dyDescent="0.2">
      <c r="DO13004" s="303" t="s">
        <v>232</v>
      </c>
    </row>
    <row r="13005" spans="119:119" x14ac:dyDescent="0.2">
      <c r="DO13005" s="303" t="s">
        <v>232</v>
      </c>
    </row>
    <row r="13006" spans="119:119" x14ac:dyDescent="0.2">
      <c r="DO13006" s="303" t="s">
        <v>232</v>
      </c>
    </row>
    <row r="13007" spans="119:119" x14ac:dyDescent="0.2">
      <c r="DO13007" s="303" t="s">
        <v>232</v>
      </c>
    </row>
    <row r="13008" spans="119:119" x14ac:dyDescent="0.2">
      <c r="DO13008" s="303" t="s">
        <v>232</v>
      </c>
    </row>
    <row r="13009" spans="119:119" x14ac:dyDescent="0.2">
      <c r="DO13009" s="303" t="s">
        <v>232</v>
      </c>
    </row>
    <row r="13010" spans="119:119" x14ac:dyDescent="0.2">
      <c r="DO13010" s="303" t="s">
        <v>232</v>
      </c>
    </row>
    <row r="13011" spans="119:119" x14ac:dyDescent="0.2">
      <c r="DO13011" s="303" t="s">
        <v>232</v>
      </c>
    </row>
    <row r="13012" spans="119:119" x14ac:dyDescent="0.2">
      <c r="DO13012" s="303" t="s">
        <v>232</v>
      </c>
    </row>
    <row r="13013" spans="119:119" x14ac:dyDescent="0.2">
      <c r="DO13013" s="303" t="s">
        <v>232</v>
      </c>
    </row>
    <row r="13014" spans="119:119" x14ac:dyDescent="0.2">
      <c r="DO13014" s="303" t="s">
        <v>232</v>
      </c>
    </row>
    <row r="13015" spans="119:119" x14ac:dyDescent="0.2">
      <c r="DO13015" s="303" t="s">
        <v>232</v>
      </c>
    </row>
    <row r="13016" spans="119:119" x14ac:dyDescent="0.2">
      <c r="DO13016" s="303" t="s">
        <v>232</v>
      </c>
    </row>
    <row r="13017" spans="119:119" x14ac:dyDescent="0.2">
      <c r="DO13017" s="303" t="s">
        <v>232</v>
      </c>
    </row>
    <row r="13018" spans="119:119" x14ac:dyDescent="0.2">
      <c r="DO13018" s="303" t="s">
        <v>232</v>
      </c>
    </row>
    <row r="13019" spans="119:119" x14ac:dyDescent="0.2">
      <c r="DO13019" s="303" t="s">
        <v>232</v>
      </c>
    </row>
    <row r="13020" spans="119:119" x14ac:dyDescent="0.2">
      <c r="DO13020" s="303" t="s">
        <v>232</v>
      </c>
    </row>
    <row r="13021" spans="119:119" x14ac:dyDescent="0.2">
      <c r="DO13021" s="303" t="s">
        <v>232</v>
      </c>
    </row>
    <row r="13022" spans="119:119" x14ac:dyDescent="0.2">
      <c r="DO13022" s="303" t="s">
        <v>232</v>
      </c>
    </row>
    <row r="13023" spans="119:119" x14ac:dyDescent="0.2">
      <c r="DO13023" s="303" t="s">
        <v>232</v>
      </c>
    </row>
    <row r="13024" spans="119:119" x14ac:dyDescent="0.2">
      <c r="DO13024" s="303" t="s">
        <v>232</v>
      </c>
    </row>
    <row r="13025" spans="119:119" x14ac:dyDescent="0.2">
      <c r="DO13025" s="303" t="s">
        <v>232</v>
      </c>
    </row>
    <row r="13026" spans="119:119" x14ac:dyDescent="0.2">
      <c r="DO13026" s="303" t="s">
        <v>232</v>
      </c>
    </row>
    <row r="13027" spans="119:119" x14ac:dyDescent="0.2">
      <c r="DO13027" s="303" t="s">
        <v>232</v>
      </c>
    </row>
    <row r="13028" spans="119:119" x14ac:dyDescent="0.2">
      <c r="DO13028" s="303" t="s">
        <v>232</v>
      </c>
    </row>
    <row r="13029" spans="119:119" x14ac:dyDescent="0.2">
      <c r="DO13029" s="303" t="s">
        <v>232</v>
      </c>
    </row>
    <row r="13030" spans="119:119" x14ac:dyDescent="0.2">
      <c r="DO13030" s="303" t="s">
        <v>232</v>
      </c>
    </row>
    <row r="13031" spans="119:119" x14ac:dyDescent="0.2">
      <c r="DO13031" s="303" t="s">
        <v>232</v>
      </c>
    </row>
    <row r="13032" spans="119:119" x14ac:dyDescent="0.2">
      <c r="DO13032" s="303" t="s">
        <v>232</v>
      </c>
    </row>
    <row r="13033" spans="119:119" x14ac:dyDescent="0.2">
      <c r="DO13033" s="303" t="s">
        <v>232</v>
      </c>
    </row>
    <row r="13034" spans="119:119" x14ac:dyDescent="0.2">
      <c r="DO13034" s="303" t="s">
        <v>232</v>
      </c>
    </row>
    <row r="13035" spans="119:119" x14ac:dyDescent="0.2">
      <c r="DO13035" s="303" t="s">
        <v>232</v>
      </c>
    </row>
    <row r="13036" spans="119:119" x14ac:dyDescent="0.2">
      <c r="DO13036" s="303" t="s">
        <v>232</v>
      </c>
    </row>
    <row r="13037" spans="119:119" x14ac:dyDescent="0.2">
      <c r="DO13037" s="303" t="s">
        <v>232</v>
      </c>
    </row>
    <row r="13038" spans="119:119" x14ac:dyDescent="0.2">
      <c r="DO13038" s="303" t="s">
        <v>232</v>
      </c>
    </row>
    <row r="13039" spans="119:119" x14ac:dyDescent="0.2">
      <c r="DO13039" s="303" t="s">
        <v>232</v>
      </c>
    </row>
    <row r="13040" spans="119:119" x14ac:dyDescent="0.2">
      <c r="DO13040" s="303" t="s">
        <v>232</v>
      </c>
    </row>
    <row r="13041" spans="119:119" x14ac:dyDescent="0.2">
      <c r="DO13041" s="303" t="s">
        <v>232</v>
      </c>
    </row>
    <row r="13042" spans="119:119" x14ac:dyDescent="0.2">
      <c r="DO13042" s="303" t="s">
        <v>232</v>
      </c>
    </row>
    <row r="13043" spans="119:119" x14ac:dyDescent="0.2">
      <c r="DO13043" s="303" t="s">
        <v>232</v>
      </c>
    </row>
    <row r="13044" spans="119:119" x14ac:dyDescent="0.2">
      <c r="DO13044" s="303" t="s">
        <v>232</v>
      </c>
    </row>
    <row r="13045" spans="119:119" x14ac:dyDescent="0.2">
      <c r="DO13045" s="303" t="s">
        <v>232</v>
      </c>
    </row>
    <row r="13046" spans="119:119" x14ac:dyDescent="0.2">
      <c r="DO13046" s="303" t="s">
        <v>232</v>
      </c>
    </row>
    <row r="13047" spans="119:119" x14ac:dyDescent="0.2">
      <c r="DO13047" s="303" t="s">
        <v>232</v>
      </c>
    </row>
    <row r="13048" spans="119:119" x14ac:dyDescent="0.2">
      <c r="DO13048" s="303" t="s">
        <v>232</v>
      </c>
    </row>
    <row r="13049" spans="119:119" x14ac:dyDescent="0.2">
      <c r="DO13049" s="303" t="s">
        <v>232</v>
      </c>
    </row>
    <row r="13050" spans="119:119" x14ac:dyDescent="0.2">
      <c r="DO13050" s="303" t="s">
        <v>232</v>
      </c>
    </row>
    <row r="13051" spans="119:119" x14ac:dyDescent="0.2">
      <c r="DO13051" s="303" t="s">
        <v>232</v>
      </c>
    </row>
    <row r="13052" spans="119:119" x14ac:dyDescent="0.2">
      <c r="DO13052" s="303" t="s">
        <v>232</v>
      </c>
    </row>
    <row r="13053" spans="119:119" x14ac:dyDescent="0.2">
      <c r="DO13053" s="303" t="s">
        <v>232</v>
      </c>
    </row>
    <row r="13054" spans="119:119" x14ac:dyDescent="0.2">
      <c r="DO13054" s="303" t="s">
        <v>232</v>
      </c>
    </row>
    <row r="13055" spans="119:119" x14ac:dyDescent="0.2">
      <c r="DO13055" s="303" t="s">
        <v>232</v>
      </c>
    </row>
    <row r="13056" spans="119:119" x14ac:dyDescent="0.2">
      <c r="DO13056" s="303" t="s">
        <v>232</v>
      </c>
    </row>
    <row r="13057" spans="119:119" x14ac:dyDescent="0.2">
      <c r="DO13057" s="303" t="s">
        <v>232</v>
      </c>
    </row>
    <row r="13058" spans="119:119" x14ac:dyDescent="0.2">
      <c r="DO13058" s="303" t="s">
        <v>232</v>
      </c>
    </row>
    <row r="13059" spans="119:119" x14ac:dyDescent="0.2">
      <c r="DO13059" s="303" t="s">
        <v>232</v>
      </c>
    </row>
    <row r="13060" spans="119:119" x14ac:dyDescent="0.2">
      <c r="DO13060" s="303" t="s">
        <v>232</v>
      </c>
    </row>
    <row r="13061" spans="119:119" x14ac:dyDescent="0.2">
      <c r="DO13061" s="303" t="s">
        <v>232</v>
      </c>
    </row>
    <row r="13062" spans="119:119" x14ac:dyDescent="0.2">
      <c r="DO13062" s="303" t="s">
        <v>232</v>
      </c>
    </row>
    <row r="13063" spans="119:119" x14ac:dyDescent="0.2">
      <c r="DO13063" s="303" t="s">
        <v>232</v>
      </c>
    </row>
    <row r="13064" spans="119:119" x14ac:dyDescent="0.2">
      <c r="DO13064" s="303" t="s">
        <v>232</v>
      </c>
    </row>
    <row r="13065" spans="119:119" x14ac:dyDescent="0.2">
      <c r="DO13065" s="303" t="s">
        <v>232</v>
      </c>
    </row>
    <row r="13066" spans="119:119" x14ac:dyDescent="0.2">
      <c r="DO13066" s="303" t="s">
        <v>232</v>
      </c>
    </row>
    <row r="13067" spans="119:119" x14ac:dyDescent="0.2">
      <c r="DO13067" s="303" t="s">
        <v>232</v>
      </c>
    </row>
    <row r="13068" spans="119:119" x14ac:dyDescent="0.2">
      <c r="DO13068" s="303" t="s">
        <v>232</v>
      </c>
    </row>
    <row r="13069" spans="119:119" x14ac:dyDescent="0.2">
      <c r="DO13069" s="303" t="s">
        <v>232</v>
      </c>
    </row>
    <row r="13070" spans="119:119" x14ac:dyDescent="0.2">
      <c r="DO13070" s="303" t="s">
        <v>232</v>
      </c>
    </row>
    <row r="13071" spans="119:119" x14ac:dyDescent="0.2">
      <c r="DO13071" s="303" t="s">
        <v>232</v>
      </c>
    </row>
    <row r="13072" spans="119:119" x14ac:dyDescent="0.2">
      <c r="DO13072" s="303" t="s">
        <v>232</v>
      </c>
    </row>
    <row r="13073" spans="119:119" x14ac:dyDescent="0.2">
      <c r="DO13073" s="303" t="s">
        <v>232</v>
      </c>
    </row>
    <row r="13074" spans="119:119" x14ac:dyDescent="0.2">
      <c r="DO13074" s="303" t="s">
        <v>232</v>
      </c>
    </row>
    <row r="13075" spans="119:119" x14ac:dyDescent="0.2">
      <c r="DO13075" s="303" t="s">
        <v>232</v>
      </c>
    </row>
    <row r="13076" spans="119:119" x14ac:dyDescent="0.2">
      <c r="DO13076" s="303" t="s">
        <v>232</v>
      </c>
    </row>
    <row r="13077" spans="119:119" x14ac:dyDescent="0.2">
      <c r="DO13077" s="303" t="s">
        <v>232</v>
      </c>
    </row>
    <row r="13078" spans="119:119" x14ac:dyDescent="0.2">
      <c r="DO13078" s="303" t="s">
        <v>232</v>
      </c>
    </row>
    <row r="13079" spans="119:119" x14ac:dyDescent="0.2">
      <c r="DO13079" s="303" t="s">
        <v>232</v>
      </c>
    </row>
    <row r="13080" spans="119:119" x14ac:dyDescent="0.2">
      <c r="DO13080" s="303" t="s">
        <v>232</v>
      </c>
    </row>
    <row r="13081" spans="119:119" x14ac:dyDescent="0.2">
      <c r="DO13081" s="303" t="s">
        <v>232</v>
      </c>
    </row>
    <row r="13082" spans="119:119" x14ac:dyDescent="0.2">
      <c r="DO13082" s="303" t="s">
        <v>232</v>
      </c>
    </row>
    <row r="13083" spans="119:119" x14ac:dyDescent="0.2">
      <c r="DO13083" s="303" t="s">
        <v>232</v>
      </c>
    </row>
    <row r="13084" spans="119:119" x14ac:dyDescent="0.2">
      <c r="DO13084" s="303" t="s">
        <v>232</v>
      </c>
    </row>
    <row r="13085" spans="119:119" x14ac:dyDescent="0.2">
      <c r="DO13085" s="303" t="s">
        <v>232</v>
      </c>
    </row>
    <row r="13086" spans="119:119" x14ac:dyDescent="0.2">
      <c r="DO13086" s="303" t="s">
        <v>232</v>
      </c>
    </row>
    <row r="13087" spans="119:119" x14ac:dyDescent="0.2">
      <c r="DO13087" s="303" t="s">
        <v>232</v>
      </c>
    </row>
    <row r="13088" spans="119:119" x14ac:dyDescent="0.2">
      <c r="DO13088" s="303" t="s">
        <v>232</v>
      </c>
    </row>
    <row r="13089" spans="119:119" x14ac:dyDescent="0.2">
      <c r="DO13089" s="303" t="s">
        <v>232</v>
      </c>
    </row>
    <row r="13090" spans="119:119" x14ac:dyDescent="0.2">
      <c r="DO13090" s="303" t="s">
        <v>232</v>
      </c>
    </row>
    <row r="13091" spans="119:119" x14ac:dyDescent="0.2">
      <c r="DO13091" s="303" t="s">
        <v>232</v>
      </c>
    </row>
    <row r="13092" spans="119:119" x14ac:dyDescent="0.2">
      <c r="DO13092" s="303" t="s">
        <v>232</v>
      </c>
    </row>
    <row r="13093" spans="119:119" x14ac:dyDescent="0.2">
      <c r="DO13093" s="303" t="s">
        <v>232</v>
      </c>
    </row>
    <row r="13094" spans="119:119" x14ac:dyDescent="0.2">
      <c r="DO13094" s="303" t="s">
        <v>232</v>
      </c>
    </row>
    <row r="13095" spans="119:119" x14ac:dyDescent="0.2">
      <c r="DO13095" s="303" t="s">
        <v>232</v>
      </c>
    </row>
    <row r="13096" spans="119:119" x14ac:dyDescent="0.2">
      <c r="DO13096" s="303" t="s">
        <v>232</v>
      </c>
    </row>
    <row r="13097" spans="119:119" x14ac:dyDescent="0.2">
      <c r="DO13097" s="303" t="s">
        <v>232</v>
      </c>
    </row>
    <row r="13098" spans="119:119" x14ac:dyDescent="0.2">
      <c r="DO13098" s="303" t="s">
        <v>232</v>
      </c>
    </row>
    <row r="13099" spans="119:119" x14ac:dyDescent="0.2">
      <c r="DO13099" s="303" t="s">
        <v>232</v>
      </c>
    </row>
    <row r="13100" spans="119:119" x14ac:dyDescent="0.2">
      <c r="DO13100" s="303" t="s">
        <v>232</v>
      </c>
    </row>
    <row r="13101" spans="119:119" x14ac:dyDescent="0.2">
      <c r="DO13101" s="303" t="s">
        <v>232</v>
      </c>
    </row>
    <row r="13102" spans="119:119" x14ac:dyDescent="0.2">
      <c r="DO13102" s="303" t="s">
        <v>232</v>
      </c>
    </row>
    <row r="13103" spans="119:119" x14ac:dyDescent="0.2">
      <c r="DO13103" s="303" t="s">
        <v>232</v>
      </c>
    </row>
    <row r="13104" spans="119:119" x14ac:dyDescent="0.2">
      <c r="DO13104" s="303" t="s">
        <v>232</v>
      </c>
    </row>
    <row r="13105" spans="119:119" x14ac:dyDescent="0.2">
      <c r="DO13105" s="303" t="s">
        <v>232</v>
      </c>
    </row>
    <row r="13106" spans="119:119" x14ac:dyDescent="0.2">
      <c r="DO13106" s="303" t="s">
        <v>232</v>
      </c>
    </row>
    <row r="13107" spans="119:119" x14ac:dyDescent="0.2">
      <c r="DO13107" s="303" t="s">
        <v>232</v>
      </c>
    </row>
    <row r="13108" spans="119:119" x14ac:dyDescent="0.2">
      <c r="DO13108" s="303" t="s">
        <v>232</v>
      </c>
    </row>
    <row r="13109" spans="119:119" x14ac:dyDescent="0.2">
      <c r="DO13109" s="303" t="s">
        <v>232</v>
      </c>
    </row>
    <row r="13110" spans="119:119" x14ac:dyDescent="0.2">
      <c r="DO13110" s="303" t="s">
        <v>232</v>
      </c>
    </row>
    <row r="13111" spans="119:119" x14ac:dyDescent="0.2">
      <c r="DO13111" s="303" t="s">
        <v>232</v>
      </c>
    </row>
    <row r="13112" spans="119:119" x14ac:dyDescent="0.2">
      <c r="DO13112" s="303" t="s">
        <v>232</v>
      </c>
    </row>
    <row r="13113" spans="119:119" x14ac:dyDescent="0.2">
      <c r="DO13113" s="303" t="s">
        <v>232</v>
      </c>
    </row>
    <row r="13114" spans="119:119" x14ac:dyDescent="0.2">
      <c r="DO13114" s="303" t="s">
        <v>232</v>
      </c>
    </row>
    <row r="13115" spans="119:119" x14ac:dyDescent="0.2">
      <c r="DO13115" s="303" t="s">
        <v>232</v>
      </c>
    </row>
    <row r="13116" spans="119:119" x14ac:dyDescent="0.2">
      <c r="DO13116" s="303" t="s">
        <v>232</v>
      </c>
    </row>
    <row r="13117" spans="119:119" x14ac:dyDescent="0.2">
      <c r="DO13117" s="303" t="s">
        <v>232</v>
      </c>
    </row>
    <row r="13118" spans="119:119" x14ac:dyDescent="0.2">
      <c r="DO13118" s="303" t="s">
        <v>232</v>
      </c>
    </row>
    <row r="13119" spans="119:119" x14ac:dyDescent="0.2">
      <c r="DO13119" s="303" t="s">
        <v>232</v>
      </c>
    </row>
    <row r="13120" spans="119:119" x14ac:dyDescent="0.2">
      <c r="DO13120" s="303" t="s">
        <v>232</v>
      </c>
    </row>
    <row r="13121" spans="119:119" x14ac:dyDescent="0.2">
      <c r="DO13121" s="303" t="s">
        <v>232</v>
      </c>
    </row>
    <row r="13122" spans="119:119" x14ac:dyDescent="0.2">
      <c r="DO13122" s="303" t="s">
        <v>232</v>
      </c>
    </row>
    <row r="13123" spans="119:119" x14ac:dyDescent="0.2">
      <c r="DO13123" s="303" t="s">
        <v>232</v>
      </c>
    </row>
    <row r="13124" spans="119:119" x14ac:dyDescent="0.2">
      <c r="DO13124" s="303" t="s">
        <v>232</v>
      </c>
    </row>
    <row r="13125" spans="119:119" x14ac:dyDescent="0.2">
      <c r="DO13125" s="303" t="s">
        <v>232</v>
      </c>
    </row>
    <row r="13126" spans="119:119" x14ac:dyDescent="0.2">
      <c r="DO13126" s="303" t="s">
        <v>232</v>
      </c>
    </row>
    <row r="13127" spans="119:119" x14ac:dyDescent="0.2">
      <c r="DO13127" s="303" t="s">
        <v>232</v>
      </c>
    </row>
    <row r="13128" spans="119:119" x14ac:dyDescent="0.2">
      <c r="DO13128" s="303" t="s">
        <v>232</v>
      </c>
    </row>
    <row r="13129" spans="119:119" x14ac:dyDescent="0.2">
      <c r="DO13129" s="303" t="s">
        <v>232</v>
      </c>
    </row>
    <row r="13130" spans="119:119" x14ac:dyDescent="0.2">
      <c r="DO13130" s="303" t="s">
        <v>232</v>
      </c>
    </row>
    <row r="13131" spans="119:119" x14ac:dyDescent="0.2">
      <c r="DO13131" s="303" t="s">
        <v>232</v>
      </c>
    </row>
    <row r="13132" spans="119:119" x14ac:dyDescent="0.2">
      <c r="DO13132" s="303" t="s">
        <v>232</v>
      </c>
    </row>
    <row r="13133" spans="119:119" x14ac:dyDescent="0.2">
      <c r="DO13133" s="303" t="s">
        <v>232</v>
      </c>
    </row>
    <row r="13134" spans="119:119" x14ac:dyDescent="0.2">
      <c r="DO13134" s="303" t="s">
        <v>232</v>
      </c>
    </row>
    <row r="13135" spans="119:119" x14ac:dyDescent="0.2">
      <c r="DO13135" s="303" t="s">
        <v>232</v>
      </c>
    </row>
    <row r="13136" spans="119:119" x14ac:dyDescent="0.2">
      <c r="DO13136" s="303" t="s">
        <v>232</v>
      </c>
    </row>
    <row r="13137" spans="119:119" x14ac:dyDescent="0.2">
      <c r="DO13137" s="303" t="s">
        <v>232</v>
      </c>
    </row>
    <row r="13138" spans="119:119" x14ac:dyDescent="0.2">
      <c r="DO13138" s="303" t="s">
        <v>232</v>
      </c>
    </row>
    <row r="13139" spans="119:119" x14ac:dyDescent="0.2">
      <c r="DO13139" s="303" t="s">
        <v>232</v>
      </c>
    </row>
    <row r="13140" spans="119:119" x14ac:dyDescent="0.2">
      <c r="DO13140" s="303" t="s">
        <v>232</v>
      </c>
    </row>
    <row r="13141" spans="119:119" x14ac:dyDescent="0.2">
      <c r="DO13141" s="303" t="s">
        <v>232</v>
      </c>
    </row>
    <row r="13142" spans="119:119" x14ac:dyDescent="0.2">
      <c r="DO13142" s="303" t="s">
        <v>232</v>
      </c>
    </row>
    <row r="13143" spans="119:119" x14ac:dyDescent="0.2">
      <c r="DO13143" s="303" t="s">
        <v>232</v>
      </c>
    </row>
    <row r="13144" spans="119:119" x14ac:dyDescent="0.2">
      <c r="DO13144" s="303" t="s">
        <v>232</v>
      </c>
    </row>
    <row r="13145" spans="119:119" x14ac:dyDescent="0.2">
      <c r="DO13145" s="303" t="s">
        <v>232</v>
      </c>
    </row>
    <row r="13146" spans="119:119" x14ac:dyDescent="0.2">
      <c r="DO13146" s="303" t="s">
        <v>232</v>
      </c>
    </row>
    <row r="13147" spans="119:119" x14ac:dyDescent="0.2">
      <c r="DO13147" s="303" t="s">
        <v>232</v>
      </c>
    </row>
    <row r="13148" spans="119:119" x14ac:dyDescent="0.2">
      <c r="DO13148" s="303" t="s">
        <v>232</v>
      </c>
    </row>
    <row r="13149" spans="119:119" x14ac:dyDescent="0.2">
      <c r="DO13149" s="303" t="s">
        <v>232</v>
      </c>
    </row>
    <row r="13150" spans="119:119" x14ac:dyDescent="0.2">
      <c r="DO13150" s="303" t="s">
        <v>232</v>
      </c>
    </row>
    <row r="13151" spans="119:119" x14ac:dyDescent="0.2">
      <c r="DO13151" s="303" t="s">
        <v>232</v>
      </c>
    </row>
    <row r="13152" spans="119:119" x14ac:dyDescent="0.2">
      <c r="DO13152" s="303" t="s">
        <v>232</v>
      </c>
    </row>
    <row r="13153" spans="119:119" x14ac:dyDescent="0.2">
      <c r="DO13153" s="303" t="s">
        <v>232</v>
      </c>
    </row>
    <row r="13154" spans="119:119" x14ac:dyDescent="0.2">
      <c r="DO13154" s="303" t="s">
        <v>232</v>
      </c>
    </row>
    <row r="13155" spans="119:119" x14ac:dyDescent="0.2">
      <c r="DO13155" s="303" t="s">
        <v>232</v>
      </c>
    </row>
    <row r="13156" spans="119:119" x14ac:dyDescent="0.2">
      <c r="DO13156" s="303" t="s">
        <v>232</v>
      </c>
    </row>
    <row r="13157" spans="119:119" x14ac:dyDescent="0.2">
      <c r="DO13157" s="303" t="s">
        <v>232</v>
      </c>
    </row>
    <row r="13158" spans="119:119" x14ac:dyDescent="0.2">
      <c r="DO13158" s="303" t="s">
        <v>232</v>
      </c>
    </row>
    <row r="13159" spans="119:119" x14ac:dyDescent="0.2">
      <c r="DO13159" s="303" t="s">
        <v>232</v>
      </c>
    </row>
    <row r="13160" spans="119:119" x14ac:dyDescent="0.2">
      <c r="DO13160" s="303" t="s">
        <v>232</v>
      </c>
    </row>
    <row r="13161" spans="119:119" x14ac:dyDescent="0.2">
      <c r="DO13161" s="303" t="s">
        <v>232</v>
      </c>
    </row>
    <row r="13162" spans="119:119" x14ac:dyDescent="0.2">
      <c r="DO13162" s="303" t="s">
        <v>232</v>
      </c>
    </row>
    <row r="13163" spans="119:119" x14ac:dyDescent="0.2">
      <c r="DO13163" s="303" t="s">
        <v>232</v>
      </c>
    </row>
    <row r="13164" spans="119:119" x14ac:dyDescent="0.2">
      <c r="DO13164" s="303" t="s">
        <v>232</v>
      </c>
    </row>
    <row r="13165" spans="119:119" x14ac:dyDescent="0.2">
      <c r="DO13165" s="303" t="s">
        <v>232</v>
      </c>
    </row>
    <row r="13166" spans="119:119" x14ac:dyDescent="0.2">
      <c r="DO13166" s="303" t="s">
        <v>232</v>
      </c>
    </row>
    <row r="13167" spans="119:119" x14ac:dyDescent="0.2">
      <c r="DO13167" s="303" t="s">
        <v>232</v>
      </c>
    </row>
    <row r="13168" spans="119:119" x14ac:dyDescent="0.2">
      <c r="DO13168" s="303" t="s">
        <v>232</v>
      </c>
    </row>
    <row r="13169" spans="119:119" x14ac:dyDescent="0.2">
      <c r="DO13169" s="303" t="s">
        <v>232</v>
      </c>
    </row>
    <row r="13170" spans="119:119" x14ac:dyDescent="0.2">
      <c r="DO13170" s="303" t="s">
        <v>232</v>
      </c>
    </row>
    <row r="13171" spans="119:119" x14ac:dyDescent="0.2">
      <c r="DO13171" s="303" t="s">
        <v>232</v>
      </c>
    </row>
    <row r="13172" spans="119:119" x14ac:dyDescent="0.2">
      <c r="DO13172" s="303" t="s">
        <v>232</v>
      </c>
    </row>
    <row r="13173" spans="119:119" x14ac:dyDescent="0.2">
      <c r="DO13173" s="303" t="s">
        <v>232</v>
      </c>
    </row>
    <row r="13174" spans="119:119" x14ac:dyDescent="0.2">
      <c r="DO13174" s="303" t="s">
        <v>232</v>
      </c>
    </row>
    <row r="13175" spans="119:119" x14ac:dyDescent="0.2">
      <c r="DO13175" s="303" t="s">
        <v>232</v>
      </c>
    </row>
    <row r="13176" spans="119:119" x14ac:dyDescent="0.2">
      <c r="DO13176" s="303" t="s">
        <v>232</v>
      </c>
    </row>
    <row r="13177" spans="119:119" x14ac:dyDescent="0.2">
      <c r="DO13177" s="303" t="s">
        <v>232</v>
      </c>
    </row>
    <row r="13178" spans="119:119" x14ac:dyDescent="0.2">
      <c r="DO13178" s="303" t="s">
        <v>232</v>
      </c>
    </row>
    <row r="13179" spans="119:119" x14ac:dyDescent="0.2">
      <c r="DO13179" s="303" t="s">
        <v>232</v>
      </c>
    </row>
    <row r="13180" spans="119:119" x14ac:dyDescent="0.2">
      <c r="DO13180" s="303" t="s">
        <v>232</v>
      </c>
    </row>
    <row r="13181" spans="119:119" x14ac:dyDescent="0.2">
      <c r="DO13181" s="303" t="s">
        <v>232</v>
      </c>
    </row>
    <row r="13182" spans="119:119" x14ac:dyDescent="0.2">
      <c r="DO13182" s="303" t="s">
        <v>232</v>
      </c>
    </row>
    <row r="13183" spans="119:119" x14ac:dyDescent="0.2">
      <c r="DO13183" s="303" t="s">
        <v>232</v>
      </c>
    </row>
    <row r="13184" spans="119:119" x14ac:dyDescent="0.2">
      <c r="DO13184" s="303" t="s">
        <v>232</v>
      </c>
    </row>
    <row r="13185" spans="119:119" x14ac:dyDescent="0.2">
      <c r="DO13185" s="303" t="s">
        <v>232</v>
      </c>
    </row>
    <row r="13186" spans="119:119" x14ac:dyDescent="0.2">
      <c r="DO13186" s="303" t="s">
        <v>232</v>
      </c>
    </row>
    <row r="13187" spans="119:119" x14ac:dyDescent="0.2">
      <c r="DO13187" s="303" t="s">
        <v>232</v>
      </c>
    </row>
    <row r="13188" spans="119:119" x14ac:dyDescent="0.2">
      <c r="DO13188" s="303" t="s">
        <v>232</v>
      </c>
    </row>
    <row r="13189" spans="119:119" x14ac:dyDescent="0.2">
      <c r="DO13189" s="303" t="s">
        <v>232</v>
      </c>
    </row>
    <row r="13190" spans="119:119" x14ac:dyDescent="0.2">
      <c r="DO13190" s="303" t="s">
        <v>232</v>
      </c>
    </row>
    <row r="13191" spans="119:119" x14ac:dyDescent="0.2">
      <c r="DO13191" s="303" t="s">
        <v>232</v>
      </c>
    </row>
    <row r="13192" spans="119:119" x14ac:dyDescent="0.2">
      <c r="DO13192" s="303" t="s">
        <v>232</v>
      </c>
    </row>
    <row r="13193" spans="119:119" x14ac:dyDescent="0.2">
      <c r="DO13193" s="303" t="s">
        <v>232</v>
      </c>
    </row>
    <row r="13194" spans="119:119" x14ac:dyDescent="0.2">
      <c r="DO13194" s="303" t="s">
        <v>232</v>
      </c>
    </row>
    <row r="13195" spans="119:119" x14ac:dyDescent="0.2">
      <c r="DO13195" s="303" t="s">
        <v>232</v>
      </c>
    </row>
    <row r="13196" spans="119:119" x14ac:dyDescent="0.2">
      <c r="DO13196" s="303" t="s">
        <v>232</v>
      </c>
    </row>
    <row r="13197" spans="119:119" x14ac:dyDescent="0.2">
      <c r="DO13197" s="303" t="s">
        <v>232</v>
      </c>
    </row>
    <row r="13198" spans="119:119" x14ac:dyDescent="0.2">
      <c r="DO13198" s="303" t="s">
        <v>232</v>
      </c>
    </row>
    <row r="13199" spans="119:119" x14ac:dyDescent="0.2">
      <c r="DO13199" s="303" t="s">
        <v>232</v>
      </c>
    </row>
    <row r="13200" spans="119:119" x14ac:dyDescent="0.2">
      <c r="DO13200" s="303" t="s">
        <v>232</v>
      </c>
    </row>
    <row r="13201" spans="119:119" x14ac:dyDescent="0.2">
      <c r="DO13201" s="303" t="s">
        <v>232</v>
      </c>
    </row>
    <row r="13202" spans="119:119" x14ac:dyDescent="0.2">
      <c r="DO13202" s="303" t="s">
        <v>232</v>
      </c>
    </row>
    <row r="13203" spans="119:119" x14ac:dyDescent="0.2">
      <c r="DO13203" s="303" t="s">
        <v>232</v>
      </c>
    </row>
    <row r="13204" spans="119:119" x14ac:dyDescent="0.2">
      <c r="DO13204" s="303" t="s">
        <v>232</v>
      </c>
    </row>
    <row r="13205" spans="119:119" x14ac:dyDescent="0.2">
      <c r="DO13205" s="303" t="s">
        <v>232</v>
      </c>
    </row>
    <row r="13206" spans="119:119" x14ac:dyDescent="0.2">
      <c r="DO13206" s="303" t="s">
        <v>232</v>
      </c>
    </row>
    <row r="13207" spans="119:119" x14ac:dyDescent="0.2">
      <c r="DO13207" s="303" t="s">
        <v>232</v>
      </c>
    </row>
    <row r="13208" spans="119:119" x14ac:dyDescent="0.2">
      <c r="DO13208" s="303" t="s">
        <v>232</v>
      </c>
    </row>
    <row r="13209" spans="119:119" x14ac:dyDescent="0.2">
      <c r="DO13209" s="303" t="s">
        <v>232</v>
      </c>
    </row>
    <row r="13210" spans="119:119" x14ac:dyDescent="0.2">
      <c r="DO13210" s="303" t="s">
        <v>232</v>
      </c>
    </row>
    <row r="13211" spans="119:119" x14ac:dyDescent="0.2">
      <c r="DO13211" s="303" t="s">
        <v>232</v>
      </c>
    </row>
    <row r="13212" spans="119:119" x14ac:dyDescent="0.2">
      <c r="DO13212" s="303" t="s">
        <v>232</v>
      </c>
    </row>
    <row r="13213" spans="119:119" x14ac:dyDescent="0.2">
      <c r="DO13213" s="303" t="s">
        <v>232</v>
      </c>
    </row>
    <row r="13214" spans="119:119" x14ac:dyDescent="0.2">
      <c r="DO13214" s="303" t="s">
        <v>232</v>
      </c>
    </row>
    <row r="13215" spans="119:119" x14ac:dyDescent="0.2">
      <c r="DO13215" s="303" t="s">
        <v>232</v>
      </c>
    </row>
    <row r="13216" spans="119:119" x14ac:dyDescent="0.2">
      <c r="DO13216" s="303" t="s">
        <v>232</v>
      </c>
    </row>
    <row r="13217" spans="119:119" x14ac:dyDescent="0.2">
      <c r="DO13217" s="303" t="s">
        <v>232</v>
      </c>
    </row>
    <row r="13218" spans="119:119" x14ac:dyDescent="0.2">
      <c r="DO13218" s="303" t="s">
        <v>232</v>
      </c>
    </row>
    <row r="13219" spans="119:119" x14ac:dyDescent="0.2">
      <c r="DO13219" s="303" t="s">
        <v>232</v>
      </c>
    </row>
    <row r="13220" spans="119:119" x14ac:dyDescent="0.2">
      <c r="DO13220" s="303" t="s">
        <v>232</v>
      </c>
    </row>
    <row r="13221" spans="119:119" x14ac:dyDescent="0.2">
      <c r="DO13221" s="303" t="s">
        <v>232</v>
      </c>
    </row>
    <row r="13222" spans="119:119" x14ac:dyDescent="0.2">
      <c r="DO13222" s="303" t="s">
        <v>232</v>
      </c>
    </row>
    <row r="13223" spans="119:119" x14ac:dyDescent="0.2">
      <c r="DO13223" s="303" t="s">
        <v>232</v>
      </c>
    </row>
    <row r="13224" spans="119:119" x14ac:dyDescent="0.2">
      <c r="DO13224" s="303" t="s">
        <v>232</v>
      </c>
    </row>
    <row r="13225" spans="119:119" x14ac:dyDescent="0.2">
      <c r="DO13225" s="303" t="s">
        <v>232</v>
      </c>
    </row>
    <row r="13226" spans="119:119" x14ac:dyDescent="0.2">
      <c r="DO13226" s="303" t="s">
        <v>232</v>
      </c>
    </row>
    <row r="13227" spans="119:119" x14ac:dyDescent="0.2">
      <c r="DO13227" s="303" t="s">
        <v>232</v>
      </c>
    </row>
    <row r="13228" spans="119:119" x14ac:dyDescent="0.2">
      <c r="DO13228" s="303" t="s">
        <v>232</v>
      </c>
    </row>
    <row r="13229" spans="119:119" x14ac:dyDescent="0.2">
      <c r="DO13229" s="303" t="s">
        <v>232</v>
      </c>
    </row>
    <row r="13230" spans="119:119" x14ac:dyDescent="0.2">
      <c r="DO13230" s="303" t="s">
        <v>232</v>
      </c>
    </row>
    <row r="13231" spans="119:119" x14ac:dyDescent="0.2">
      <c r="DO13231" s="303" t="s">
        <v>232</v>
      </c>
    </row>
    <row r="13232" spans="119:119" x14ac:dyDescent="0.2">
      <c r="DO13232" s="303" t="s">
        <v>232</v>
      </c>
    </row>
    <row r="13233" spans="119:119" x14ac:dyDescent="0.2">
      <c r="DO13233" s="303" t="s">
        <v>232</v>
      </c>
    </row>
    <row r="13234" spans="119:119" x14ac:dyDescent="0.2">
      <c r="DO13234" s="303" t="s">
        <v>232</v>
      </c>
    </row>
    <row r="13235" spans="119:119" x14ac:dyDescent="0.2">
      <c r="DO13235" s="303" t="s">
        <v>232</v>
      </c>
    </row>
    <row r="13236" spans="119:119" x14ac:dyDescent="0.2">
      <c r="DO13236" s="303" t="s">
        <v>232</v>
      </c>
    </row>
    <row r="13237" spans="119:119" x14ac:dyDescent="0.2">
      <c r="DO13237" s="303" t="s">
        <v>232</v>
      </c>
    </row>
    <row r="13238" spans="119:119" x14ac:dyDescent="0.2">
      <c r="DO13238" s="303" t="s">
        <v>232</v>
      </c>
    </row>
    <row r="13239" spans="119:119" x14ac:dyDescent="0.2">
      <c r="DO13239" s="303" t="s">
        <v>232</v>
      </c>
    </row>
    <row r="13240" spans="119:119" x14ac:dyDescent="0.2">
      <c r="DO13240" s="303" t="s">
        <v>232</v>
      </c>
    </row>
    <row r="13241" spans="119:119" x14ac:dyDescent="0.2">
      <c r="DO13241" s="303" t="s">
        <v>232</v>
      </c>
    </row>
    <row r="13242" spans="119:119" x14ac:dyDescent="0.2">
      <c r="DO13242" s="303" t="s">
        <v>232</v>
      </c>
    </row>
    <row r="13243" spans="119:119" x14ac:dyDescent="0.2">
      <c r="DO13243" s="303" t="s">
        <v>232</v>
      </c>
    </row>
    <row r="13244" spans="119:119" x14ac:dyDescent="0.2">
      <c r="DO13244" s="303" t="s">
        <v>232</v>
      </c>
    </row>
    <row r="13245" spans="119:119" x14ac:dyDescent="0.2">
      <c r="DO13245" s="303" t="s">
        <v>232</v>
      </c>
    </row>
    <row r="13246" spans="119:119" x14ac:dyDescent="0.2">
      <c r="DO13246" s="303" t="s">
        <v>232</v>
      </c>
    </row>
    <row r="13247" spans="119:119" x14ac:dyDescent="0.2">
      <c r="DO13247" s="303" t="s">
        <v>232</v>
      </c>
    </row>
    <row r="13248" spans="119:119" x14ac:dyDescent="0.2">
      <c r="DO13248" s="303" t="s">
        <v>232</v>
      </c>
    </row>
    <row r="13249" spans="119:119" x14ac:dyDescent="0.2">
      <c r="DO13249" s="303" t="s">
        <v>232</v>
      </c>
    </row>
    <row r="13250" spans="119:119" x14ac:dyDescent="0.2">
      <c r="DO13250" s="303" t="s">
        <v>232</v>
      </c>
    </row>
    <row r="13251" spans="119:119" x14ac:dyDescent="0.2">
      <c r="DO13251" s="303" t="s">
        <v>232</v>
      </c>
    </row>
    <row r="13252" spans="119:119" x14ac:dyDescent="0.2">
      <c r="DO13252" s="303" t="s">
        <v>232</v>
      </c>
    </row>
    <row r="13253" spans="119:119" x14ac:dyDescent="0.2">
      <c r="DO13253" s="303" t="s">
        <v>232</v>
      </c>
    </row>
    <row r="13254" spans="119:119" x14ac:dyDescent="0.2">
      <c r="DO13254" s="303" t="s">
        <v>232</v>
      </c>
    </row>
    <row r="13255" spans="119:119" x14ac:dyDescent="0.2">
      <c r="DO13255" s="303" t="s">
        <v>232</v>
      </c>
    </row>
    <row r="13256" spans="119:119" x14ac:dyDescent="0.2">
      <c r="DO13256" s="303" t="s">
        <v>232</v>
      </c>
    </row>
    <row r="13257" spans="119:119" x14ac:dyDescent="0.2">
      <c r="DO13257" s="303" t="s">
        <v>232</v>
      </c>
    </row>
    <row r="13258" spans="119:119" x14ac:dyDescent="0.2">
      <c r="DO13258" s="303" t="s">
        <v>232</v>
      </c>
    </row>
    <row r="13259" spans="119:119" x14ac:dyDescent="0.2">
      <c r="DO13259" s="303" t="s">
        <v>232</v>
      </c>
    </row>
    <row r="13260" spans="119:119" x14ac:dyDescent="0.2">
      <c r="DO13260" s="303" t="s">
        <v>232</v>
      </c>
    </row>
    <row r="13261" spans="119:119" x14ac:dyDescent="0.2">
      <c r="DO13261" s="303" t="s">
        <v>232</v>
      </c>
    </row>
    <row r="13262" spans="119:119" x14ac:dyDescent="0.2">
      <c r="DO13262" s="303" t="s">
        <v>232</v>
      </c>
    </row>
    <row r="13263" spans="119:119" x14ac:dyDescent="0.2">
      <c r="DO13263" s="303" t="s">
        <v>232</v>
      </c>
    </row>
    <row r="13264" spans="119:119" x14ac:dyDescent="0.2">
      <c r="DO13264" s="303" t="s">
        <v>232</v>
      </c>
    </row>
    <row r="13265" spans="119:119" x14ac:dyDescent="0.2">
      <c r="DO13265" s="303" t="s">
        <v>232</v>
      </c>
    </row>
    <row r="13266" spans="119:119" x14ac:dyDescent="0.2">
      <c r="DO13266" s="303" t="s">
        <v>232</v>
      </c>
    </row>
    <row r="13267" spans="119:119" x14ac:dyDescent="0.2">
      <c r="DO13267" s="303" t="s">
        <v>232</v>
      </c>
    </row>
    <row r="13268" spans="119:119" x14ac:dyDescent="0.2">
      <c r="DO13268" s="303" t="s">
        <v>232</v>
      </c>
    </row>
    <row r="13269" spans="119:119" x14ac:dyDescent="0.2">
      <c r="DO13269" s="303" t="s">
        <v>232</v>
      </c>
    </row>
    <row r="13270" spans="119:119" x14ac:dyDescent="0.2">
      <c r="DO13270" s="303" t="s">
        <v>232</v>
      </c>
    </row>
    <row r="13271" spans="119:119" x14ac:dyDescent="0.2">
      <c r="DO13271" s="303" t="s">
        <v>232</v>
      </c>
    </row>
    <row r="13272" spans="119:119" x14ac:dyDescent="0.2">
      <c r="DO13272" s="303" t="s">
        <v>232</v>
      </c>
    </row>
    <row r="13273" spans="119:119" x14ac:dyDescent="0.2">
      <c r="DO13273" s="303" t="s">
        <v>232</v>
      </c>
    </row>
    <row r="13274" spans="119:119" x14ac:dyDescent="0.2">
      <c r="DO13274" s="303" t="s">
        <v>232</v>
      </c>
    </row>
    <row r="13275" spans="119:119" x14ac:dyDescent="0.2">
      <c r="DO13275" s="303" t="s">
        <v>232</v>
      </c>
    </row>
    <row r="13276" spans="119:119" x14ac:dyDescent="0.2">
      <c r="DO13276" s="303" t="s">
        <v>232</v>
      </c>
    </row>
    <row r="13277" spans="119:119" x14ac:dyDescent="0.2">
      <c r="DO13277" s="303" t="s">
        <v>232</v>
      </c>
    </row>
    <row r="13278" spans="119:119" x14ac:dyDescent="0.2">
      <c r="DO13278" s="303" t="s">
        <v>232</v>
      </c>
    </row>
    <row r="13279" spans="119:119" x14ac:dyDescent="0.2">
      <c r="DO13279" s="303" t="s">
        <v>232</v>
      </c>
    </row>
    <row r="13280" spans="119:119" x14ac:dyDescent="0.2">
      <c r="DO13280" s="303" t="s">
        <v>232</v>
      </c>
    </row>
    <row r="13281" spans="119:119" x14ac:dyDescent="0.2">
      <c r="DO13281" s="303" t="s">
        <v>232</v>
      </c>
    </row>
    <row r="13282" spans="119:119" x14ac:dyDescent="0.2">
      <c r="DO13282" s="303" t="s">
        <v>232</v>
      </c>
    </row>
    <row r="13283" spans="119:119" x14ac:dyDescent="0.2">
      <c r="DO13283" s="303" t="s">
        <v>232</v>
      </c>
    </row>
    <row r="13284" spans="119:119" x14ac:dyDescent="0.2">
      <c r="DO13284" s="303" t="s">
        <v>232</v>
      </c>
    </row>
    <row r="13285" spans="119:119" x14ac:dyDescent="0.2">
      <c r="DO13285" s="303" t="s">
        <v>232</v>
      </c>
    </row>
    <row r="13286" spans="119:119" x14ac:dyDescent="0.2">
      <c r="DO13286" s="303" t="s">
        <v>232</v>
      </c>
    </row>
    <row r="13287" spans="119:119" x14ac:dyDescent="0.2">
      <c r="DO13287" s="303" t="s">
        <v>232</v>
      </c>
    </row>
    <row r="13288" spans="119:119" x14ac:dyDescent="0.2">
      <c r="DO13288" s="303" t="s">
        <v>232</v>
      </c>
    </row>
    <row r="13289" spans="119:119" x14ac:dyDescent="0.2">
      <c r="DO13289" s="303" t="s">
        <v>232</v>
      </c>
    </row>
    <row r="13290" spans="119:119" x14ac:dyDescent="0.2">
      <c r="DO13290" s="303" t="s">
        <v>232</v>
      </c>
    </row>
    <row r="13291" spans="119:119" x14ac:dyDescent="0.2">
      <c r="DO13291" s="303" t="s">
        <v>232</v>
      </c>
    </row>
    <row r="13292" spans="119:119" x14ac:dyDescent="0.2">
      <c r="DO13292" s="303" t="s">
        <v>232</v>
      </c>
    </row>
    <row r="13293" spans="119:119" x14ac:dyDescent="0.2">
      <c r="DO13293" s="303" t="s">
        <v>232</v>
      </c>
    </row>
    <row r="13294" spans="119:119" x14ac:dyDescent="0.2">
      <c r="DO13294" s="303" t="s">
        <v>232</v>
      </c>
    </row>
    <row r="13295" spans="119:119" x14ac:dyDescent="0.2">
      <c r="DO13295" s="303" t="s">
        <v>232</v>
      </c>
    </row>
    <row r="13296" spans="119:119" x14ac:dyDescent="0.2">
      <c r="DO13296" s="303" t="s">
        <v>232</v>
      </c>
    </row>
    <row r="13297" spans="119:119" x14ac:dyDescent="0.2">
      <c r="DO13297" s="303" t="s">
        <v>232</v>
      </c>
    </row>
    <row r="13298" spans="119:119" x14ac:dyDescent="0.2">
      <c r="DO13298" s="303" t="s">
        <v>232</v>
      </c>
    </row>
    <row r="13299" spans="119:119" x14ac:dyDescent="0.2">
      <c r="DO13299" s="303" t="s">
        <v>232</v>
      </c>
    </row>
    <row r="13300" spans="119:119" x14ac:dyDescent="0.2">
      <c r="DO13300" s="303" t="s">
        <v>232</v>
      </c>
    </row>
    <row r="13301" spans="119:119" x14ac:dyDescent="0.2">
      <c r="DO13301" s="303" t="s">
        <v>232</v>
      </c>
    </row>
    <row r="13302" spans="119:119" x14ac:dyDescent="0.2">
      <c r="DO13302" s="303" t="s">
        <v>232</v>
      </c>
    </row>
    <row r="13303" spans="119:119" x14ac:dyDescent="0.2">
      <c r="DO13303" s="303" t="s">
        <v>232</v>
      </c>
    </row>
    <row r="13304" spans="119:119" x14ac:dyDescent="0.2">
      <c r="DO13304" s="303" t="s">
        <v>232</v>
      </c>
    </row>
    <row r="13305" spans="119:119" x14ac:dyDescent="0.2">
      <c r="DO13305" s="303" t="s">
        <v>232</v>
      </c>
    </row>
    <row r="13306" spans="119:119" x14ac:dyDescent="0.2">
      <c r="DO13306" s="303" t="s">
        <v>232</v>
      </c>
    </row>
    <row r="13307" spans="119:119" x14ac:dyDescent="0.2">
      <c r="DO13307" s="303" t="s">
        <v>232</v>
      </c>
    </row>
    <row r="13308" spans="119:119" x14ac:dyDescent="0.2">
      <c r="DO13308" s="303" t="s">
        <v>232</v>
      </c>
    </row>
    <row r="13309" spans="119:119" x14ac:dyDescent="0.2">
      <c r="DO13309" s="303" t="s">
        <v>232</v>
      </c>
    </row>
    <row r="13310" spans="119:119" x14ac:dyDescent="0.2">
      <c r="DO13310" s="303" t="s">
        <v>232</v>
      </c>
    </row>
    <row r="13311" spans="119:119" x14ac:dyDescent="0.2">
      <c r="DO13311" s="303" t="s">
        <v>232</v>
      </c>
    </row>
    <row r="13312" spans="119:119" x14ac:dyDescent="0.2">
      <c r="DO13312" s="303" t="s">
        <v>232</v>
      </c>
    </row>
    <row r="13313" spans="119:119" x14ac:dyDescent="0.2">
      <c r="DO13313" s="303" t="s">
        <v>232</v>
      </c>
    </row>
    <row r="13314" spans="119:119" x14ac:dyDescent="0.2">
      <c r="DO13314" s="303" t="s">
        <v>232</v>
      </c>
    </row>
    <row r="13315" spans="119:119" x14ac:dyDescent="0.2">
      <c r="DO13315" s="303" t="s">
        <v>232</v>
      </c>
    </row>
    <row r="13316" spans="119:119" x14ac:dyDescent="0.2">
      <c r="DO13316" s="303" t="s">
        <v>232</v>
      </c>
    </row>
    <row r="13317" spans="119:119" x14ac:dyDescent="0.2">
      <c r="DO13317" s="303" t="s">
        <v>232</v>
      </c>
    </row>
    <row r="13318" spans="119:119" x14ac:dyDescent="0.2">
      <c r="DO13318" s="303" t="s">
        <v>232</v>
      </c>
    </row>
    <row r="13319" spans="119:119" x14ac:dyDescent="0.2">
      <c r="DO13319" s="303" t="s">
        <v>232</v>
      </c>
    </row>
    <row r="13320" spans="119:119" x14ac:dyDescent="0.2">
      <c r="DO13320" s="303" t="s">
        <v>232</v>
      </c>
    </row>
    <row r="13321" spans="119:119" x14ac:dyDescent="0.2">
      <c r="DO13321" s="303" t="s">
        <v>232</v>
      </c>
    </row>
    <row r="13322" spans="119:119" x14ac:dyDescent="0.2">
      <c r="DO13322" s="303" t="s">
        <v>232</v>
      </c>
    </row>
    <row r="13323" spans="119:119" x14ac:dyDescent="0.2">
      <c r="DO13323" s="303" t="s">
        <v>232</v>
      </c>
    </row>
    <row r="13324" spans="119:119" x14ac:dyDescent="0.2">
      <c r="DO13324" s="303" t="s">
        <v>232</v>
      </c>
    </row>
    <row r="13325" spans="119:119" x14ac:dyDescent="0.2">
      <c r="DO13325" s="303" t="s">
        <v>232</v>
      </c>
    </row>
    <row r="13326" spans="119:119" x14ac:dyDescent="0.2">
      <c r="DO13326" s="303" t="s">
        <v>232</v>
      </c>
    </row>
    <row r="13327" spans="119:119" x14ac:dyDescent="0.2">
      <c r="DO13327" s="303" t="s">
        <v>232</v>
      </c>
    </row>
    <row r="13328" spans="119:119" x14ac:dyDescent="0.2">
      <c r="DO13328" s="303" t="s">
        <v>232</v>
      </c>
    </row>
    <row r="13329" spans="119:119" x14ac:dyDescent="0.2">
      <c r="DO13329" s="303" t="s">
        <v>232</v>
      </c>
    </row>
    <row r="13330" spans="119:119" x14ac:dyDescent="0.2">
      <c r="DO13330" s="303" t="s">
        <v>232</v>
      </c>
    </row>
    <row r="13331" spans="119:119" x14ac:dyDescent="0.2">
      <c r="DO13331" s="303" t="s">
        <v>232</v>
      </c>
    </row>
    <row r="13332" spans="119:119" x14ac:dyDescent="0.2">
      <c r="DO13332" s="303" t="s">
        <v>232</v>
      </c>
    </row>
    <row r="13333" spans="119:119" x14ac:dyDescent="0.2">
      <c r="DO13333" s="303" t="s">
        <v>232</v>
      </c>
    </row>
    <row r="13334" spans="119:119" x14ac:dyDescent="0.2">
      <c r="DO13334" s="303" t="s">
        <v>232</v>
      </c>
    </row>
    <row r="13335" spans="119:119" x14ac:dyDescent="0.2">
      <c r="DO13335" s="303" t="s">
        <v>232</v>
      </c>
    </row>
    <row r="13336" spans="119:119" x14ac:dyDescent="0.2">
      <c r="DO13336" s="303" t="s">
        <v>232</v>
      </c>
    </row>
    <row r="13337" spans="119:119" x14ac:dyDescent="0.2">
      <c r="DO13337" s="303" t="s">
        <v>232</v>
      </c>
    </row>
    <row r="13338" spans="119:119" x14ac:dyDescent="0.2">
      <c r="DO13338" s="303" t="s">
        <v>232</v>
      </c>
    </row>
    <row r="13339" spans="119:119" x14ac:dyDescent="0.2">
      <c r="DO13339" s="303" t="s">
        <v>232</v>
      </c>
    </row>
    <row r="13340" spans="119:119" x14ac:dyDescent="0.2">
      <c r="DO13340" s="303" t="s">
        <v>232</v>
      </c>
    </row>
    <row r="13341" spans="119:119" x14ac:dyDescent="0.2">
      <c r="DO13341" s="303" t="s">
        <v>232</v>
      </c>
    </row>
    <row r="13342" spans="119:119" x14ac:dyDescent="0.2">
      <c r="DO13342" s="303" t="s">
        <v>232</v>
      </c>
    </row>
    <row r="13343" spans="119:119" x14ac:dyDescent="0.2">
      <c r="DO13343" s="303" t="s">
        <v>232</v>
      </c>
    </row>
    <row r="13344" spans="119:119" x14ac:dyDescent="0.2">
      <c r="DO13344" s="303" t="s">
        <v>232</v>
      </c>
    </row>
    <row r="13345" spans="119:119" x14ac:dyDescent="0.2">
      <c r="DO13345" s="303" t="s">
        <v>232</v>
      </c>
    </row>
    <row r="13346" spans="119:119" x14ac:dyDescent="0.2">
      <c r="DO13346" s="303" t="s">
        <v>232</v>
      </c>
    </row>
    <row r="13347" spans="119:119" x14ac:dyDescent="0.2">
      <c r="DO13347" s="303" t="s">
        <v>232</v>
      </c>
    </row>
    <row r="13348" spans="119:119" x14ac:dyDescent="0.2">
      <c r="DO13348" s="303" t="s">
        <v>232</v>
      </c>
    </row>
    <row r="13349" spans="119:119" x14ac:dyDescent="0.2">
      <c r="DO13349" s="303" t="s">
        <v>232</v>
      </c>
    </row>
    <row r="13350" spans="119:119" x14ac:dyDescent="0.2">
      <c r="DO13350" s="303" t="s">
        <v>232</v>
      </c>
    </row>
    <row r="13351" spans="119:119" x14ac:dyDescent="0.2">
      <c r="DO13351" s="303" t="s">
        <v>232</v>
      </c>
    </row>
    <row r="13352" spans="119:119" x14ac:dyDescent="0.2">
      <c r="DO13352" s="303" t="s">
        <v>232</v>
      </c>
    </row>
    <row r="13353" spans="119:119" x14ac:dyDescent="0.2">
      <c r="DO13353" s="303" t="s">
        <v>232</v>
      </c>
    </row>
    <row r="13354" spans="119:119" x14ac:dyDescent="0.2">
      <c r="DO13354" s="303" t="s">
        <v>232</v>
      </c>
    </row>
    <row r="13355" spans="119:119" x14ac:dyDescent="0.2">
      <c r="DO13355" s="303" t="s">
        <v>232</v>
      </c>
    </row>
    <row r="13356" spans="119:119" x14ac:dyDescent="0.2">
      <c r="DO13356" s="303" t="s">
        <v>232</v>
      </c>
    </row>
    <row r="13357" spans="119:119" x14ac:dyDescent="0.2">
      <c r="DO13357" s="303" t="s">
        <v>232</v>
      </c>
    </row>
    <row r="13358" spans="119:119" x14ac:dyDescent="0.2">
      <c r="DO13358" s="303" t="s">
        <v>232</v>
      </c>
    </row>
    <row r="13359" spans="119:119" x14ac:dyDescent="0.2">
      <c r="DO13359" s="303" t="s">
        <v>232</v>
      </c>
    </row>
    <row r="13360" spans="119:119" x14ac:dyDescent="0.2">
      <c r="DO13360" s="303" t="s">
        <v>232</v>
      </c>
    </row>
    <row r="13361" spans="119:119" x14ac:dyDescent="0.2">
      <c r="DO13361" s="303" t="s">
        <v>232</v>
      </c>
    </row>
    <row r="13362" spans="119:119" x14ac:dyDescent="0.2">
      <c r="DO13362" s="303" t="s">
        <v>232</v>
      </c>
    </row>
    <row r="13363" spans="119:119" x14ac:dyDescent="0.2">
      <c r="DO13363" s="303" t="s">
        <v>232</v>
      </c>
    </row>
    <row r="13364" spans="119:119" x14ac:dyDescent="0.2">
      <c r="DO13364" s="303" t="s">
        <v>232</v>
      </c>
    </row>
    <row r="13365" spans="119:119" x14ac:dyDescent="0.2">
      <c r="DO13365" s="303" t="s">
        <v>232</v>
      </c>
    </row>
    <row r="13366" spans="119:119" x14ac:dyDescent="0.2">
      <c r="DO13366" s="303" t="s">
        <v>232</v>
      </c>
    </row>
    <row r="13367" spans="119:119" x14ac:dyDescent="0.2">
      <c r="DO13367" s="303" t="s">
        <v>232</v>
      </c>
    </row>
    <row r="13368" spans="119:119" x14ac:dyDescent="0.2">
      <c r="DO13368" s="303" t="s">
        <v>232</v>
      </c>
    </row>
    <row r="13369" spans="119:119" x14ac:dyDescent="0.2">
      <c r="DO13369" s="303" t="s">
        <v>232</v>
      </c>
    </row>
    <row r="13370" spans="119:119" x14ac:dyDescent="0.2">
      <c r="DO13370" s="303" t="s">
        <v>232</v>
      </c>
    </row>
    <row r="13371" spans="119:119" x14ac:dyDescent="0.2">
      <c r="DO13371" s="303" t="s">
        <v>232</v>
      </c>
    </row>
    <row r="13372" spans="119:119" x14ac:dyDescent="0.2">
      <c r="DO13372" s="303" t="s">
        <v>232</v>
      </c>
    </row>
    <row r="13373" spans="119:119" x14ac:dyDescent="0.2">
      <c r="DO13373" s="303" t="s">
        <v>232</v>
      </c>
    </row>
    <row r="13374" spans="119:119" x14ac:dyDescent="0.2">
      <c r="DO13374" s="303" t="s">
        <v>232</v>
      </c>
    </row>
    <row r="13375" spans="119:119" x14ac:dyDescent="0.2">
      <c r="DO13375" s="303" t="s">
        <v>232</v>
      </c>
    </row>
    <row r="13376" spans="119:119" x14ac:dyDescent="0.2">
      <c r="DO13376" s="303" t="s">
        <v>232</v>
      </c>
    </row>
    <row r="13377" spans="119:119" x14ac:dyDescent="0.2">
      <c r="DO13377" s="303" t="s">
        <v>232</v>
      </c>
    </row>
    <row r="13378" spans="119:119" x14ac:dyDescent="0.2">
      <c r="DO13378" s="303" t="s">
        <v>232</v>
      </c>
    </row>
    <row r="13379" spans="119:119" x14ac:dyDescent="0.2">
      <c r="DO13379" s="303" t="s">
        <v>232</v>
      </c>
    </row>
    <row r="13380" spans="119:119" x14ac:dyDescent="0.2">
      <c r="DO13380" s="303" t="s">
        <v>232</v>
      </c>
    </row>
    <row r="13381" spans="119:119" x14ac:dyDescent="0.2">
      <c r="DO13381" s="303" t="s">
        <v>232</v>
      </c>
    </row>
    <row r="13382" spans="119:119" x14ac:dyDescent="0.2">
      <c r="DO13382" s="303" t="s">
        <v>232</v>
      </c>
    </row>
    <row r="13383" spans="119:119" x14ac:dyDescent="0.2">
      <c r="DO13383" s="303" t="s">
        <v>232</v>
      </c>
    </row>
    <row r="13384" spans="119:119" x14ac:dyDescent="0.2">
      <c r="DO13384" s="303" t="s">
        <v>232</v>
      </c>
    </row>
    <row r="13385" spans="119:119" x14ac:dyDescent="0.2">
      <c r="DO13385" s="303" t="s">
        <v>232</v>
      </c>
    </row>
    <row r="13386" spans="119:119" x14ac:dyDescent="0.2">
      <c r="DO13386" s="303" t="s">
        <v>232</v>
      </c>
    </row>
    <row r="13387" spans="119:119" x14ac:dyDescent="0.2">
      <c r="DO13387" s="303" t="s">
        <v>232</v>
      </c>
    </row>
    <row r="13388" spans="119:119" x14ac:dyDescent="0.2">
      <c r="DO13388" s="303" t="s">
        <v>232</v>
      </c>
    </row>
    <row r="13389" spans="119:119" x14ac:dyDescent="0.2">
      <c r="DO13389" s="303" t="s">
        <v>232</v>
      </c>
    </row>
    <row r="13390" spans="119:119" x14ac:dyDescent="0.2">
      <c r="DO13390" s="303" t="s">
        <v>232</v>
      </c>
    </row>
    <row r="13391" spans="119:119" x14ac:dyDescent="0.2">
      <c r="DO13391" s="303" t="s">
        <v>232</v>
      </c>
    </row>
    <row r="13392" spans="119:119" x14ac:dyDescent="0.2">
      <c r="DO13392" s="303" t="s">
        <v>232</v>
      </c>
    </row>
    <row r="13393" spans="119:119" x14ac:dyDescent="0.2">
      <c r="DO13393" s="303" t="s">
        <v>232</v>
      </c>
    </row>
    <row r="13394" spans="119:119" x14ac:dyDescent="0.2">
      <c r="DO13394" s="303" t="s">
        <v>232</v>
      </c>
    </row>
    <row r="13395" spans="119:119" x14ac:dyDescent="0.2">
      <c r="DO13395" s="303" t="s">
        <v>232</v>
      </c>
    </row>
    <row r="13396" spans="119:119" x14ac:dyDescent="0.2">
      <c r="DO13396" s="303" t="s">
        <v>232</v>
      </c>
    </row>
    <row r="13397" spans="119:119" x14ac:dyDescent="0.2">
      <c r="DO13397" s="303" t="s">
        <v>232</v>
      </c>
    </row>
    <row r="13398" spans="119:119" x14ac:dyDescent="0.2">
      <c r="DO13398" s="303" t="s">
        <v>232</v>
      </c>
    </row>
    <row r="13399" spans="119:119" x14ac:dyDescent="0.2">
      <c r="DO13399" s="303" t="s">
        <v>232</v>
      </c>
    </row>
    <row r="13400" spans="119:119" x14ac:dyDescent="0.2">
      <c r="DO13400" s="303" t="s">
        <v>232</v>
      </c>
    </row>
    <row r="13401" spans="119:119" x14ac:dyDescent="0.2">
      <c r="DO13401" s="303" t="s">
        <v>232</v>
      </c>
    </row>
    <row r="13402" spans="119:119" x14ac:dyDescent="0.2">
      <c r="DO13402" s="303" t="s">
        <v>232</v>
      </c>
    </row>
    <row r="13403" spans="119:119" x14ac:dyDescent="0.2">
      <c r="DO13403" s="303" t="s">
        <v>232</v>
      </c>
    </row>
    <row r="13404" spans="119:119" x14ac:dyDescent="0.2">
      <c r="DO13404" s="303" t="s">
        <v>232</v>
      </c>
    </row>
    <row r="13405" spans="119:119" x14ac:dyDescent="0.2">
      <c r="DO13405" s="303" t="s">
        <v>232</v>
      </c>
    </row>
    <row r="13406" spans="119:119" x14ac:dyDescent="0.2">
      <c r="DO13406" s="303" t="s">
        <v>232</v>
      </c>
    </row>
    <row r="13407" spans="119:119" x14ac:dyDescent="0.2">
      <c r="DO13407" s="303" t="s">
        <v>232</v>
      </c>
    </row>
    <row r="13408" spans="119:119" x14ac:dyDescent="0.2">
      <c r="DO13408" s="303" t="s">
        <v>232</v>
      </c>
    </row>
    <row r="13409" spans="119:119" x14ac:dyDescent="0.2">
      <c r="DO13409" s="303" t="s">
        <v>232</v>
      </c>
    </row>
    <row r="13410" spans="119:119" x14ac:dyDescent="0.2">
      <c r="DO13410" s="303" t="s">
        <v>232</v>
      </c>
    </row>
    <row r="13411" spans="119:119" x14ac:dyDescent="0.2">
      <c r="DO13411" s="303" t="s">
        <v>232</v>
      </c>
    </row>
    <row r="13412" spans="119:119" x14ac:dyDescent="0.2">
      <c r="DO13412" s="303" t="s">
        <v>232</v>
      </c>
    </row>
    <row r="13413" spans="119:119" x14ac:dyDescent="0.2">
      <c r="DO13413" s="303" t="s">
        <v>232</v>
      </c>
    </row>
    <row r="13414" spans="119:119" x14ac:dyDescent="0.2">
      <c r="DO13414" s="303" t="s">
        <v>232</v>
      </c>
    </row>
    <row r="13415" spans="119:119" x14ac:dyDescent="0.2">
      <c r="DO13415" s="303" t="s">
        <v>232</v>
      </c>
    </row>
    <row r="13416" spans="119:119" x14ac:dyDescent="0.2">
      <c r="DO13416" s="303" t="s">
        <v>232</v>
      </c>
    </row>
    <row r="13417" spans="119:119" x14ac:dyDescent="0.2">
      <c r="DO13417" s="303" t="s">
        <v>232</v>
      </c>
    </row>
    <row r="13418" spans="119:119" x14ac:dyDescent="0.2">
      <c r="DO13418" s="303" t="s">
        <v>232</v>
      </c>
    </row>
    <row r="13419" spans="119:119" x14ac:dyDescent="0.2">
      <c r="DO13419" s="303" t="s">
        <v>232</v>
      </c>
    </row>
    <row r="13420" spans="119:119" x14ac:dyDescent="0.2">
      <c r="DO13420" s="303" t="s">
        <v>232</v>
      </c>
    </row>
    <row r="13421" spans="119:119" x14ac:dyDescent="0.2">
      <c r="DO13421" s="303" t="s">
        <v>232</v>
      </c>
    </row>
    <row r="13422" spans="119:119" x14ac:dyDescent="0.2">
      <c r="DO13422" s="303" t="s">
        <v>232</v>
      </c>
    </row>
    <row r="13423" spans="119:119" x14ac:dyDescent="0.2">
      <c r="DO13423" s="303" t="s">
        <v>232</v>
      </c>
    </row>
    <row r="13424" spans="119:119" x14ac:dyDescent="0.2">
      <c r="DO13424" s="303" t="s">
        <v>232</v>
      </c>
    </row>
    <row r="13425" spans="119:119" x14ac:dyDescent="0.2">
      <c r="DO13425" s="303" t="s">
        <v>232</v>
      </c>
    </row>
    <row r="13426" spans="119:119" x14ac:dyDescent="0.2">
      <c r="DO13426" s="303" t="s">
        <v>232</v>
      </c>
    </row>
    <row r="13427" spans="119:119" x14ac:dyDescent="0.2">
      <c r="DO13427" s="303" t="s">
        <v>232</v>
      </c>
    </row>
    <row r="13428" spans="119:119" x14ac:dyDescent="0.2">
      <c r="DO13428" s="303" t="s">
        <v>232</v>
      </c>
    </row>
    <row r="13429" spans="119:119" x14ac:dyDescent="0.2">
      <c r="DO13429" s="303" t="s">
        <v>232</v>
      </c>
    </row>
    <row r="13430" spans="119:119" x14ac:dyDescent="0.2">
      <c r="DO13430" s="303" t="s">
        <v>232</v>
      </c>
    </row>
    <row r="13431" spans="119:119" x14ac:dyDescent="0.2">
      <c r="DO13431" s="303" t="s">
        <v>232</v>
      </c>
    </row>
    <row r="13432" spans="119:119" x14ac:dyDescent="0.2">
      <c r="DO13432" s="303" t="s">
        <v>232</v>
      </c>
    </row>
    <row r="13433" spans="119:119" x14ac:dyDescent="0.2">
      <c r="DO13433" s="303" t="s">
        <v>232</v>
      </c>
    </row>
    <row r="13434" spans="119:119" x14ac:dyDescent="0.2">
      <c r="DO13434" s="303" t="s">
        <v>232</v>
      </c>
    </row>
    <row r="13435" spans="119:119" x14ac:dyDescent="0.2">
      <c r="DO13435" s="303" t="s">
        <v>232</v>
      </c>
    </row>
    <row r="13436" spans="119:119" x14ac:dyDescent="0.2">
      <c r="DO13436" s="303" t="s">
        <v>232</v>
      </c>
    </row>
    <row r="13437" spans="119:119" x14ac:dyDescent="0.2">
      <c r="DO13437" s="303" t="s">
        <v>232</v>
      </c>
    </row>
    <row r="13438" spans="119:119" x14ac:dyDescent="0.2">
      <c r="DO13438" s="303" t="s">
        <v>232</v>
      </c>
    </row>
    <row r="13439" spans="119:119" x14ac:dyDescent="0.2">
      <c r="DO13439" s="303" t="s">
        <v>232</v>
      </c>
    </row>
    <row r="13440" spans="119:119" x14ac:dyDescent="0.2">
      <c r="DO13440" s="303" t="s">
        <v>232</v>
      </c>
    </row>
    <row r="13441" spans="119:119" x14ac:dyDescent="0.2">
      <c r="DO13441" s="303" t="s">
        <v>232</v>
      </c>
    </row>
    <row r="13442" spans="119:119" x14ac:dyDescent="0.2">
      <c r="DO13442" s="303" t="s">
        <v>232</v>
      </c>
    </row>
    <row r="13443" spans="119:119" x14ac:dyDescent="0.2">
      <c r="DO13443" s="303" t="s">
        <v>232</v>
      </c>
    </row>
    <row r="13444" spans="119:119" x14ac:dyDescent="0.2">
      <c r="DO13444" s="303" t="s">
        <v>232</v>
      </c>
    </row>
    <row r="13445" spans="119:119" x14ac:dyDescent="0.2">
      <c r="DO13445" s="303" t="s">
        <v>232</v>
      </c>
    </row>
    <row r="13446" spans="119:119" x14ac:dyDescent="0.2">
      <c r="DO13446" s="303" t="s">
        <v>232</v>
      </c>
    </row>
    <row r="13447" spans="119:119" x14ac:dyDescent="0.2">
      <c r="DO13447" s="303" t="s">
        <v>232</v>
      </c>
    </row>
    <row r="13448" spans="119:119" x14ac:dyDescent="0.2">
      <c r="DO13448" s="303" t="s">
        <v>232</v>
      </c>
    </row>
    <row r="13449" spans="119:119" x14ac:dyDescent="0.2">
      <c r="DO13449" s="303" t="s">
        <v>232</v>
      </c>
    </row>
    <row r="13450" spans="119:119" x14ac:dyDescent="0.2">
      <c r="DO13450" s="303" t="s">
        <v>232</v>
      </c>
    </row>
    <row r="13451" spans="119:119" x14ac:dyDescent="0.2">
      <c r="DO13451" s="303" t="s">
        <v>232</v>
      </c>
    </row>
    <row r="13452" spans="119:119" x14ac:dyDescent="0.2">
      <c r="DO13452" s="303" t="s">
        <v>232</v>
      </c>
    </row>
    <row r="13453" spans="119:119" x14ac:dyDescent="0.2">
      <c r="DO13453" s="303" t="s">
        <v>232</v>
      </c>
    </row>
    <row r="13454" spans="119:119" x14ac:dyDescent="0.2">
      <c r="DO13454" s="303" t="s">
        <v>232</v>
      </c>
    </row>
    <row r="13455" spans="119:119" x14ac:dyDescent="0.2">
      <c r="DO13455" s="303" t="s">
        <v>232</v>
      </c>
    </row>
    <row r="13456" spans="119:119" x14ac:dyDescent="0.2">
      <c r="DO13456" s="303" t="s">
        <v>232</v>
      </c>
    </row>
    <row r="13457" spans="119:119" x14ac:dyDescent="0.2">
      <c r="DO13457" s="303" t="s">
        <v>232</v>
      </c>
    </row>
    <row r="13458" spans="119:119" x14ac:dyDescent="0.2">
      <c r="DO13458" s="303" t="s">
        <v>232</v>
      </c>
    </row>
    <row r="13459" spans="119:119" x14ac:dyDescent="0.2">
      <c r="DO13459" s="303" t="s">
        <v>232</v>
      </c>
    </row>
    <row r="13460" spans="119:119" x14ac:dyDescent="0.2">
      <c r="DO13460" s="303" t="s">
        <v>232</v>
      </c>
    </row>
    <row r="13461" spans="119:119" x14ac:dyDescent="0.2">
      <c r="DO13461" s="303" t="s">
        <v>232</v>
      </c>
    </row>
    <row r="13462" spans="119:119" x14ac:dyDescent="0.2">
      <c r="DO13462" s="303" t="s">
        <v>232</v>
      </c>
    </row>
    <row r="13463" spans="119:119" x14ac:dyDescent="0.2">
      <c r="DO13463" s="303" t="s">
        <v>232</v>
      </c>
    </row>
    <row r="13464" spans="119:119" x14ac:dyDescent="0.2">
      <c r="DO13464" s="303" t="s">
        <v>232</v>
      </c>
    </row>
    <row r="13465" spans="119:119" x14ac:dyDescent="0.2">
      <c r="DO13465" s="303" t="s">
        <v>232</v>
      </c>
    </row>
    <row r="13466" spans="119:119" x14ac:dyDescent="0.2">
      <c r="DO13466" s="303" t="s">
        <v>232</v>
      </c>
    </row>
    <row r="13467" spans="119:119" x14ac:dyDescent="0.2">
      <c r="DO13467" s="303" t="s">
        <v>232</v>
      </c>
    </row>
    <row r="13468" spans="119:119" x14ac:dyDescent="0.2">
      <c r="DO13468" s="303" t="s">
        <v>232</v>
      </c>
    </row>
    <row r="13469" spans="119:119" x14ac:dyDescent="0.2">
      <c r="DO13469" s="303" t="s">
        <v>232</v>
      </c>
    </row>
    <row r="13470" spans="119:119" x14ac:dyDescent="0.2">
      <c r="DO13470" s="303" t="s">
        <v>232</v>
      </c>
    </row>
    <row r="13471" spans="119:119" x14ac:dyDescent="0.2">
      <c r="DO13471" s="303" t="s">
        <v>232</v>
      </c>
    </row>
    <row r="13472" spans="119:119" x14ac:dyDescent="0.2">
      <c r="DO13472" s="303" t="s">
        <v>232</v>
      </c>
    </row>
    <row r="13473" spans="119:119" x14ac:dyDescent="0.2">
      <c r="DO13473" s="303" t="s">
        <v>232</v>
      </c>
    </row>
    <row r="13474" spans="119:119" x14ac:dyDescent="0.2">
      <c r="DO13474" s="303" t="s">
        <v>232</v>
      </c>
    </row>
    <row r="13475" spans="119:119" x14ac:dyDescent="0.2">
      <c r="DO13475" s="303" t="s">
        <v>232</v>
      </c>
    </row>
    <row r="13476" spans="119:119" x14ac:dyDescent="0.2">
      <c r="DO13476" s="303" t="s">
        <v>232</v>
      </c>
    </row>
    <row r="13477" spans="119:119" x14ac:dyDescent="0.2">
      <c r="DO13477" s="303" t="s">
        <v>232</v>
      </c>
    </row>
    <row r="13478" spans="119:119" x14ac:dyDescent="0.2">
      <c r="DO13478" s="303" t="s">
        <v>232</v>
      </c>
    </row>
    <row r="13479" spans="119:119" x14ac:dyDescent="0.2">
      <c r="DO13479" s="303" t="s">
        <v>232</v>
      </c>
    </row>
    <row r="13480" spans="119:119" x14ac:dyDescent="0.2">
      <c r="DO13480" s="303" t="s">
        <v>232</v>
      </c>
    </row>
    <row r="13481" spans="119:119" x14ac:dyDescent="0.2">
      <c r="DO13481" s="303" t="s">
        <v>232</v>
      </c>
    </row>
    <row r="13482" spans="119:119" x14ac:dyDescent="0.2">
      <c r="DO13482" s="303" t="s">
        <v>232</v>
      </c>
    </row>
    <row r="13483" spans="119:119" x14ac:dyDescent="0.2">
      <c r="DO13483" s="303" t="s">
        <v>232</v>
      </c>
    </row>
    <row r="13484" spans="119:119" x14ac:dyDescent="0.2">
      <c r="DO13484" s="303" t="s">
        <v>232</v>
      </c>
    </row>
    <row r="13485" spans="119:119" x14ac:dyDescent="0.2">
      <c r="DO13485" s="303" t="s">
        <v>232</v>
      </c>
    </row>
    <row r="13486" spans="119:119" x14ac:dyDescent="0.2">
      <c r="DO13486" s="303" t="s">
        <v>232</v>
      </c>
    </row>
    <row r="13487" spans="119:119" x14ac:dyDescent="0.2">
      <c r="DO13487" s="303" t="s">
        <v>232</v>
      </c>
    </row>
    <row r="13488" spans="119:119" x14ac:dyDescent="0.2">
      <c r="DO13488" s="303" t="s">
        <v>232</v>
      </c>
    </row>
    <row r="13489" spans="119:119" x14ac:dyDescent="0.2">
      <c r="DO13489" s="303" t="s">
        <v>232</v>
      </c>
    </row>
    <row r="13490" spans="119:119" x14ac:dyDescent="0.2">
      <c r="DO13490" s="303" t="s">
        <v>232</v>
      </c>
    </row>
    <row r="13491" spans="119:119" x14ac:dyDescent="0.2">
      <c r="DO13491" s="303" t="s">
        <v>232</v>
      </c>
    </row>
    <row r="13492" spans="119:119" x14ac:dyDescent="0.2">
      <c r="DO13492" s="303" t="s">
        <v>232</v>
      </c>
    </row>
    <row r="13493" spans="119:119" x14ac:dyDescent="0.2">
      <c r="DO13493" s="303" t="s">
        <v>232</v>
      </c>
    </row>
    <row r="13494" spans="119:119" x14ac:dyDescent="0.2">
      <c r="DO13494" s="303" t="s">
        <v>232</v>
      </c>
    </row>
    <row r="13495" spans="119:119" x14ac:dyDescent="0.2">
      <c r="DO13495" s="303" t="s">
        <v>232</v>
      </c>
    </row>
    <row r="13496" spans="119:119" x14ac:dyDescent="0.2">
      <c r="DO13496" s="303" t="s">
        <v>232</v>
      </c>
    </row>
    <row r="13497" spans="119:119" x14ac:dyDescent="0.2">
      <c r="DO13497" s="303" t="s">
        <v>232</v>
      </c>
    </row>
    <row r="13498" spans="119:119" x14ac:dyDescent="0.2">
      <c r="DO13498" s="303" t="s">
        <v>232</v>
      </c>
    </row>
    <row r="13499" spans="119:119" x14ac:dyDescent="0.2">
      <c r="DO13499" s="303" t="s">
        <v>232</v>
      </c>
    </row>
    <row r="13500" spans="119:119" x14ac:dyDescent="0.2">
      <c r="DO13500" s="303" t="s">
        <v>232</v>
      </c>
    </row>
    <row r="13501" spans="119:119" x14ac:dyDescent="0.2">
      <c r="DO13501" s="303" t="s">
        <v>232</v>
      </c>
    </row>
    <row r="13502" spans="119:119" x14ac:dyDescent="0.2">
      <c r="DO13502" s="303" t="s">
        <v>232</v>
      </c>
    </row>
    <row r="13503" spans="119:119" x14ac:dyDescent="0.2">
      <c r="DO13503" s="303" t="s">
        <v>232</v>
      </c>
    </row>
    <row r="13504" spans="119:119" x14ac:dyDescent="0.2">
      <c r="DO13504" s="303" t="s">
        <v>232</v>
      </c>
    </row>
    <row r="13505" spans="119:119" x14ac:dyDescent="0.2">
      <c r="DO13505" s="303" t="s">
        <v>232</v>
      </c>
    </row>
    <row r="13506" spans="119:119" x14ac:dyDescent="0.2">
      <c r="DO13506" s="303" t="s">
        <v>232</v>
      </c>
    </row>
    <row r="13507" spans="119:119" x14ac:dyDescent="0.2">
      <c r="DO13507" s="303" t="s">
        <v>232</v>
      </c>
    </row>
    <row r="13508" spans="119:119" x14ac:dyDescent="0.2">
      <c r="DO13508" s="303" t="s">
        <v>232</v>
      </c>
    </row>
    <row r="13509" spans="119:119" x14ac:dyDescent="0.2">
      <c r="DO13509" s="303" t="s">
        <v>232</v>
      </c>
    </row>
    <row r="13510" spans="119:119" x14ac:dyDescent="0.2">
      <c r="DO13510" s="303" t="s">
        <v>232</v>
      </c>
    </row>
    <row r="13511" spans="119:119" x14ac:dyDescent="0.2">
      <c r="DO13511" s="303" t="s">
        <v>232</v>
      </c>
    </row>
    <row r="13512" spans="119:119" x14ac:dyDescent="0.2">
      <c r="DO13512" s="303" t="s">
        <v>232</v>
      </c>
    </row>
    <row r="13513" spans="119:119" x14ac:dyDescent="0.2">
      <c r="DO13513" s="303" t="s">
        <v>232</v>
      </c>
    </row>
    <row r="13514" spans="119:119" x14ac:dyDescent="0.2">
      <c r="DO13514" s="303" t="s">
        <v>232</v>
      </c>
    </row>
    <row r="13515" spans="119:119" x14ac:dyDescent="0.2">
      <c r="DO13515" s="303" t="s">
        <v>232</v>
      </c>
    </row>
    <row r="13516" spans="119:119" x14ac:dyDescent="0.2">
      <c r="DO13516" s="303" t="s">
        <v>232</v>
      </c>
    </row>
    <row r="13517" spans="119:119" x14ac:dyDescent="0.2">
      <c r="DO13517" s="303" t="s">
        <v>232</v>
      </c>
    </row>
    <row r="13518" spans="119:119" x14ac:dyDescent="0.2">
      <c r="DO13518" s="303" t="s">
        <v>232</v>
      </c>
    </row>
    <row r="13519" spans="119:119" x14ac:dyDescent="0.2">
      <c r="DO13519" s="303" t="s">
        <v>232</v>
      </c>
    </row>
    <row r="13520" spans="119:119" x14ac:dyDescent="0.2">
      <c r="DO13520" s="303" t="s">
        <v>232</v>
      </c>
    </row>
    <row r="13521" spans="119:119" x14ac:dyDescent="0.2">
      <c r="DO13521" s="303" t="s">
        <v>232</v>
      </c>
    </row>
    <row r="13522" spans="119:119" x14ac:dyDescent="0.2">
      <c r="DO13522" s="303" t="s">
        <v>232</v>
      </c>
    </row>
    <row r="13523" spans="119:119" x14ac:dyDescent="0.2">
      <c r="DO13523" s="303" t="s">
        <v>232</v>
      </c>
    </row>
    <row r="13524" spans="119:119" x14ac:dyDescent="0.2">
      <c r="DO13524" s="303" t="s">
        <v>232</v>
      </c>
    </row>
    <row r="13525" spans="119:119" x14ac:dyDescent="0.2">
      <c r="DO13525" s="303" t="s">
        <v>232</v>
      </c>
    </row>
    <row r="13526" spans="119:119" x14ac:dyDescent="0.2">
      <c r="DO13526" s="303" t="s">
        <v>232</v>
      </c>
    </row>
    <row r="13527" spans="119:119" x14ac:dyDescent="0.2">
      <c r="DO13527" s="303" t="s">
        <v>232</v>
      </c>
    </row>
    <row r="13528" spans="119:119" x14ac:dyDescent="0.2">
      <c r="DO13528" s="303" t="s">
        <v>232</v>
      </c>
    </row>
    <row r="13529" spans="119:119" x14ac:dyDescent="0.2">
      <c r="DO13529" s="303" t="s">
        <v>232</v>
      </c>
    </row>
    <row r="13530" spans="119:119" x14ac:dyDescent="0.2">
      <c r="DO13530" s="303" t="s">
        <v>232</v>
      </c>
    </row>
    <row r="13531" spans="119:119" x14ac:dyDescent="0.2">
      <c r="DO13531" s="303" t="s">
        <v>232</v>
      </c>
    </row>
    <row r="13532" spans="119:119" x14ac:dyDescent="0.2">
      <c r="DO13532" s="303" t="s">
        <v>232</v>
      </c>
    </row>
    <row r="13533" spans="119:119" x14ac:dyDescent="0.2">
      <c r="DO13533" s="303" t="s">
        <v>232</v>
      </c>
    </row>
    <row r="13534" spans="119:119" x14ac:dyDescent="0.2">
      <c r="DO13534" s="303" t="s">
        <v>232</v>
      </c>
    </row>
    <row r="13535" spans="119:119" x14ac:dyDescent="0.2">
      <c r="DO13535" s="303" t="s">
        <v>232</v>
      </c>
    </row>
    <row r="13536" spans="119:119" x14ac:dyDescent="0.2">
      <c r="DO13536" s="303" t="s">
        <v>232</v>
      </c>
    </row>
    <row r="13537" spans="119:119" x14ac:dyDescent="0.2">
      <c r="DO13537" s="303" t="s">
        <v>232</v>
      </c>
    </row>
    <row r="13538" spans="119:119" x14ac:dyDescent="0.2">
      <c r="DO13538" s="303" t="s">
        <v>232</v>
      </c>
    </row>
    <row r="13539" spans="119:119" x14ac:dyDescent="0.2">
      <c r="DO13539" s="303" t="s">
        <v>232</v>
      </c>
    </row>
    <row r="13540" spans="119:119" x14ac:dyDescent="0.2">
      <c r="DO13540" s="303" t="s">
        <v>232</v>
      </c>
    </row>
    <row r="13541" spans="119:119" x14ac:dyDescent="0.2">
      <c r="DO13541" s="303" t="s">
        <v>232</v>
      </c>
    </row>
    <row r="13542" spans="119:119" x14ac:dyDescent="0.2">
      <c r="DO13542" s="303" t="s">
        <v>232</v>
      </c>
    </row>
    <row r="13543" spans="119:119" x14ac:dyDescent="0.2">
      <c r="DO13543" s="303" t="s">
        <v>232</v>
      </c>
    </row>
    <row r="13544" spans="119:119" x14ac:dyDescent="0.2">
      <c r="DO13544" s="303" t="s">
        <v>232</v>
      </c>
    </row>
    <row r="13545" spans="119:119" x14ac:dyDescent="0.2">
      <c r="DO13545" s="303" t="s">
        <v>232</v>
      </c>
    </row>
    <row r="13546" spans="119:119" x14ac:dyDescent="0.2">
      <c r="DO13546" s="303" t="s">
        <v>232</v>
      </c>
    </row>
    <row r="13547" spans="119:119" x14ac:dyDescent="0.2">
      <c r="DO13547" s="303" t="s">
        <v>232</v>
      </c>
    </row>
    <row r="13548" spans="119:119" x14ac:dyDescent="0.2">
      <c r="DO13548" s="303" t="s">
        <v>232</v>
      </c>
    </row>
    <row r="13549" spans="119:119" x14ac:dyDescent="0.2">
      <c r="DO13549" s="303" t="s">
        <v>232</v>
      </c>
    </row>
    <row r="13550" spans="119:119" x14ac:dyDescent="0.2">
      <c r="DO13550" s="303" t="s">
        <v>232</v>
      </c>
    </row>
    <row r="13551" spans="119:119" x14ac:dyDescent="0.2">
      <c r="DO13551" s="303" t="s">
        <v>232</v>
      </c>
    </row>
    <row r="13552" spans="119:119" x14ac:dyDescent="0.2">
      <c r="DO13552" s="303" t="s">
        <v>232</v>
      </c>
    </row>
    <row r="13553" spans="119:119" x14ac:dyDescent="0.2">
      <c r="DO13553" s="303" t="s">
        <v>232</v>
      </c>
    </row>
    <row r="13554" spans="119:119" x14ac:dyDescent="0.2">
      <c r="DO13554" s="303" t="s">
        <v>232</v>
      </c>
    </row>
    <row r="13555" spans="119:119" x14ac:dyDescent="0.2">
      <c r="DO13555" s="303" t="s">
        <v>232</v>
      </c>
    </row>
    <row r="13556" spans="119:119" x14ac:dyDescent="0.2">
      <c r="DO13556" s="303" t="s">
        <v>232</v>
      </c>
    </row>
    <row r="13557" spans="119:119" x14ac:dyDescent="0.2">
      <c r="DO13557" s="303" t="s">
        <v>232</v>
      </c>
    </row>
    <row r="13558" spans="119:119" x14ac:dyDescent="0.2">
      <c r="DO13558" s="303" t="s">
        <v>232</v>
      </c>
    </row>
    <row r="13559" spans="119:119" x14ac:dyDescent="0.2">
      <c r="DO13559" s="303" t="s">
        <v>232</v>
      </c>
    </row>
    <row r="13560" spans="119:119" x14ac:dyDescent="0.2">
      <c r="DO13560" s="303" t="s">
        <v>232</v>
      </c>
    </row>
    <row r="13561" spans="119:119" x14ac:dyDescent="0.2">
      <c r="DO13561" s="303" t="s">
        <v>232</v>
      </c>
    </row>
    <row r="13562" spans="119:119" x14ac:dyDescent="0.2">
      <c r="DO13562" s="303" t="s">
        <v>232</v>
      </c>
    </row>
    <row r="13563" spans="119:119" x14ac:dyDescent="0.2">
      <c r="DO13563" s="303" t="s">
        <v>232</v>
      </c>
    </row>
    <row r="13564" spans="119:119" x14ac:dyDescent="0.2">
      <c r="DO13564" s="303" t="s">
        <v>232</v>
      </c>
    </row>
    <row r="13565" spans="119:119" x14ac:dyDescent="0.2">
      <c r="DO13565" s="303" t="s">
        <v>232</v>
      </c>
    </row>
    <row r="13566" spans="119:119" x14ac:dyDescent="0.2">
      <c r="DO13566" s="303" t="s">
        <v>232</v>
      </c>
    </row>
    <row r="13567" spans="119:119" x14ac:dyDescent="0.2">
      <c r="DO13567" s="303" t="s">
        <v>232</v>
      </c>
    </row>
    <row r="13568" spans="119:119" x14ac:dyDescent="0.2">
      <c r="DO13568" s="303" t="s">
        <v>232</v>
      </c>
    </row>
    <row r="13569" spans="119:119" x14ac:dyDescent="0.2">
      <c r="DO13569" s="303" t="s">
        <v>232</v>
      </c>
    </row>
    <row r="13570" spans="119:119" x14ac:dyDescent="0.2">
      <c r="DO13570" s="303" t="s">
        <v>232</v>
      </c>
    </row>
    <row r="13571" spans="119:119" x14ac:dyDescent="0.2">
      <c r="DO13571" s="303" t="s">
        <v>232</v>
      </c>
    </row>
    <row r="13572" spans="119:119" x14ac:dyDescent="0.2">
      <c r="DO13572" s="303" t="s">
        <v>232</v>
      </c>
    </row>
    <row r="13573" spans="119:119" x14ac:dyDescent="0.2">
      <c r="DO13573" s="303" t="s">
        <v>232</v>
      </c>
    </row>
    <row r="13574" spans="119:119" x14ac:dyDescent="0.2">
      <c r="DO13574" s="303" t="s">
        <v>232</v>
      </c>
    </row>
    <row r="13575" spans="119:119" x14ac:dyDescent="0.2">
      <c r="DO13575" s="303" t="s">
        <v>232</v>
      </c>
    </row>
    <row r="13576" spans="119:119" x14ac:dyDescent="0.2">
      <c r="DO13576" s="303" t="s">
        <v>232</v>
      </c>
    </row>
    <row r="13577" spans="119:119" x14ac:dyDescent="0.2">
      <c r="DO13577" s="303" t="s">
        <v>232</v>
      </c>
    </row>
    <row r="13578" spans="119:119" x14ac:dyDescent="0.2">
      <c r="DO13578" s="303" t="s">
        <v>232</v>
      </c>
    </row>
    <row r="13579" spans="119:119" x14ac:dyDescent="0.2">
      <c r="DO13579" s="303" t="s">
        <v>232</v>
      </c>
    </row>
    <row r="13580" spans="119:119" x14ac:dyDescent="0.2">
      <c r="DO13580" s="303" t="s">
        <v>232</v>
      </c>
    </row>
    <row r="13581" spans="119:119" x14ac:dyDescent="0.2">
      <c r="DO13581" s="303" t="s">
        <v>232</v>
      </c>
    </row>
    <row r="13582" spans="119:119" x14ac:dyDescent="0.2">
      <c r="DO13582" s="303" t="s">
        <v>232</v>
      </c>
    </row>
    <row r="13583" spans="119:119" x14ac:dyDescent="0.2">
      <c r="DO13583" s="303" t="s">
        <v>232</v>
      </c>
    </row>
    <row r="13584" spans="119:119" x14ac:dyDescent="0.2">
      <c r="DO13584" s="303" t="s">
        <v>232</v>
      </c>
    </row>
    <row r="13585" spans="119:119" x14ac:dyDescent="0.2">
      <c r="DO13585" s="303" t="s">
        <v>232</v>
      </c>
    </row>
    <row r="13586" spans="119:119" x14ac:dyDescent="0.2">
      <c r="DO13586" s="303" t="s">
        <v>232</v>
      </c>
    </row>
    <row r="13587" spans="119:119" x14ac:dyDescent="0.2">
      <c r="DO13587" s="303" t="s">
        <v>232</v>
      </c>
    </row>
    <row r="13588" spans="119:119" x14ac:dyDescent="0.2">
      <c r="DO13588" s="303" t="s">
        <v>232</v>
      </c>
    </row>
    <row r="13589" spans="119:119" x14ac:dyDescent="0.2">
      <c r="DO13589" s="303" t="s">
        <v>232</v>
      </c>
    </row>
    <row r="13590" spans="119:119" x14ac:dyDescent="0.2">
      <c r="DO13590" s="303" t="s">
        <v>232</v>
      </c>
    </row>
    <row r="13591" spans="119:119" x14ac:dyDescent="0.2">
      <c r="DO13591" s="303" t="s">
        <v>232</v>
      </c>
    </row>
    <row r="13592" spans="119:119" x14ac:dyDescent="0.2">
      <c r="DO13592" s="303" t="s">
        <v>232</v>
      </c>
    </row>
    <row r="13593" spans="119:119" x14ac:dyDescent="0.2">
      <c r="DO13593" s="303" t="s">
        <v>232</v>
      </c>
    </row>
    <row r="13594" spans="119:119" x14ac:dyDescent="0.2">
      <c r="DO13594" s="303" t="s">
        <v>232</v>
      </c>
    </row>
    <row r="13595" spans="119:119" x14ac:dyDescent="0.2">
      <c r="DO13595" s="303" t="s">
        <v>232</v>
      </c>
    </row>
    <row r="13596" spans="119:119" x14ac:dyDescent="0.2">
      <c r="DO13596" s="303" t="s">
        <v>232</v>
      </c>
    </row>
    <row r="13597" spans="119:119" x14ac:dyDescent="0.2">
      <c r="DO13597" s="303" t="s">
        <v>232</v>
      </c>
    </row>
    <row r="13598" spans="119:119" x14ac:dyDescent="0.2">
      <c r="DO13598" s="303" t="s">
        <v>232</v>
      </c>
    </row>
    <row r="13599" spans="119:119" x14ac:dyDescent="0.2">
      <c r="DO13599" s="303" t="s">
        <v>232</v>
      </c>
    </row>
    <row r="13600" spans="119:119" x14ac:dyDescent="0.2">
      <c r="DO13600" s="303" t="s">
        <v>232</v>
      </c>
    </row>
    <row r="13601" spans="119:119" x14ac:dyDescent="0.2">
      <c r="DO13601" s="303" t="s">
        <v>232</v>
      </c>
    </row>
    <row r="13602" spans="119:119" x14ac:dyDescent="0.2">
      <c r="DO13602" s="303" t="s">
        <v>232</v>
      </c>
    </row>
    <row r="13603" spans="119:119" x14ac:dyDescent="0.2">
      <c r="DO13603" s="303" t="s">
        <v>232</v>
      </c>
    </row>
    <row r="13604" spans="119:119" x14ac:dyDescent="0.2">
      <c r="DO13604" s="303" t="s">
        <v>232</v>
      </c>
    </row>
    <row r="13605" spans="119:119" x14ac:dyDescent="0.2">
      <c r="DO13605" s="303" t="s">
        <v>232</v>
      </c>
    </row>
    <row r="13606" spans="119:119" x14ac:dyDescent="0.2">
      <c r="DO13606" s="303" t="s">
        <v>232</v>
      </c>
    </row>
    <row r="13607" spans="119:119" x14ac:dyDescent="0.2">
      <c r="DO13607" s="303" t="s">
        <v>232</v>
      </c>
    </row>
    <row r="13608" spans="119:119" x14ac:dyDescent="0.2">
      <c r="DO13608" s="303" t="s">
        <v>232</v>
      </c>
    </row>
    <row r="13609" spans="119:119" x14ac:dyDescent="0.2">
      <c r="DO13609" s="303" t="s">
        <v>232</v>
      </c>
    </row>
    <row r="13610" spans="119:119" x14ac:dyDescent="0.2">
      <c r="DO13610" s="303" t="s">
        <v>232</v>
      </c>
    </row>
    <row r="13611" spans="119:119" x14ac:dyDescent="0.2">
      <c r="DO13611" s="303" t="s">
        <v>232</v>
      </c>
    </row>
    <row r="13612" spans="119:119" x14ac:dyDescent="0.2">
      <c r="DO13612" s="303" t="s">
        <v>232</v>
      </c>
    </row>
    <row r="13613" spans="119:119" x14ac:dyDescent="0.2">
      <c r="DO13613" s="303" t="s">
        <v>232</v>
      </c>
    </row>
    <row r="13614" spans="119:119" x14ac:dyDescent="0.2">
      <c r="DO13614" s="303" t="s">
        <v>232</v>
      </c>
    </row>
    <row r="13615" spans="119:119" x14ac:dyDescent="0.2">
      <c r="DO13615" s="303" t="s">
        <v>232</v>
      </c>
    </row>
    <row r="13616" spans="119:119" x14ac:dyDescent="0.2">
      <c r="DO13616" s="303" t="s">
        <v>232</v>
      </c>
    </row>
    <row r="13617" spans="119:119" x14ac:dyDescent="0.2">
      <c r="DO13617" s="303" t="s">
        <v>232</v>
      </c>
    </row>
    <row r="13618" spans="119:119" x14ac:dyDescent="0.2">
      <c r="DO13618" s="303" t="s">
        <v>232</v>
      </c>
    </row>
    <row r="13619" spans="119:119" x14ac:dyDescent="0.2">
      <c r="DO13619" s="303" t="s">
        <v>232</v>
      </c>
    </row>
    <row r="13620" spans="119:119" x14ac:dyDescent="0.2">
      <c r="DO13620" s="303" t="s">
        <v>232</v>
      </c>
    </row>
    <row r="13621" spans="119:119" x14ac:dyDescent="0.2">
      <c r="DO13621" s="303" t="s">
        <v>232</v>
      </c>
    </row>
    <row r="13622" spans="119:119" x14ac:dyDescent="0.2">
      <c r="DO13622" s="303" t="s">
        <v>232</v>
      </c>
    </row>
    <row r="13623" spans="119:119" x14ac:dyDescent="0.2">
      <c r="DO13623" s="303" t="s">
        <v>232</v>
      </c>
    </row>
    <row r="13624" spans="119:119" x14ac:dyDescent="0.2">
      <c r="DO13624" s="303" t="s">
        <v>232</v>
      </c>
    </row>
    <row r="13625" spans="119:119" x14ac:dyDescent="0.2">
      <c r="DO13625" s="303" t="s">
        <v>232</v>
      </c>
    </row>
    <row r="13626" spans="119:119" x14ac:dyDescent="0.2">
      <c r="DO13626" s="303" t="s">
        <v>232</v>
      </c>
    </row>
    <row r="13627" spans="119:119" x14ac:dyDescent="0.2">
      <c r="DO13627" s="303" t="s">
        <v>232</v>
      </c>
    </row>
    <row r="13628" spans="119:119" x14ac:dyDescent="0.2">
      <c r="DO13628" s="303" t="s">
        <v>232</v>
      </c>
    </row>
    <row r="13629" spans="119:119" x14ac:dyDescent="0.2">
      <c r="DO13629" s="303" t="s">
        <v>232</v>
      </c>
    </row>
    <row r="13630" spans="119:119" x14ac:dyDescent="0.2">
      <c r="DO13630" s="303" t="s">
        <v>232</v>
      </c>
    </row>
    <row r="13631" spans="119:119" x14ac:dyDescent="0.2">
      <c r="DO13631" s="303" t="s">
        <v>232</v>
      </c>
    </row>
    <row r="13632" spans="119:119" x14ac:dyDescent="0.2">
      <c r="DO13632" s="303" t="s">
        <v>232</v>
      </c>
    </row>
    <row r="13633" spans="119:119" x14ac:dyDescent="0.2">
      <c r="DO13633" s="303" t="s">
        <v>232</v>
      </c>
    </row>
    <row r="13634" spans="119:119" x14ac:dyDescent="0.2">
      <c r="DO13634" s="303" t="s">
        <v>232</v>
      </c>
    </row>
    <row r="13635" spans="119:119" x14ac:dyDescent="0.2">
      <c r="DO13635" s="303" t="s">
        <v>232</v>
      </c>
    </row>
    <row r="13636" spans="119:119" x14ac:dyDescent="0.2">
      <c r="DO13636" s="303" t="s">
        <v>232</v>
      </c>
    </row>
    <row r="13637" spans="119:119" x14ac:dyDescent="0.2">
      <c r="DO13637" s="303" t="s">
        <v>232</v>
      </c>
    </row>
    <row r="13638" spans="119:119" x14ac:dyDescent="0.2">
      <c r="DO13638" s="303" t="s">
        <v>232</v>
      </c>
    </row>
    <row r="13639" spans="119:119" x14ac:dyDescent="0.2">
      <c r="DO13639" s="303" t="s">
        <v>232</v>
      </c>
    </row>
    <row r="13640" spans="119:119" x14ac:dyDescent="0.2">
      <c r="DO13640" s="303" t="s">
        <v>232</v>
      </c>
    </row>
    <row r="13641" spans="119:119" x14ac:dyDescent="0.2">
      <c r="DO13641" s="303" t="s">
        <v>232</v>
      </c>
    </row>
    <row r="13642" spans="119:119" x14ac:dyDescent="0.2">
      <c r="DO13642" s="303" t="s">
        <v>232</v>
      </c>
    </row>
    <row r="13643" spans="119:119" x14ac:dyDescent="0.2">
      <c r="DO13643" s="303" t="s">
        <v>232</v>
      </c>
    </row>
    <row r="13644" spans="119:119" x14ac:dyDescent="0.2">
      <c r="DO13644" s="303" t="s">
        <v>232</v>
      </c>
    </row>
    <row r="13645" spans="119:119" x14ac:dyDescent="0.2">
      <c r="DO13645" s="303" t="s">
        <v>232</v>
      </c>
    </row>
    <row r="13646" spans="119:119" x14ac:dyDescent="0.2">
      <c r="DO13646" s="303" t="s">
        <v>232</v>
      </c>
    </row>
    <row r="13647" spans="119:119" x14ac:dyDescent="0.2">
      <c r="DO13647" s="303" t="s">
        <v>232</v>
      </c>
    </row>
    <row r="13648" spans="119:119" x14ac:dyDescent="0.2">
      <c r="DO13648" s="303" t="s">
        <v>232</v>
      </c>
    </row>
    <row r="13649" spans="119:119" x14ac:dyDescent="0.2">
      <c r="DO13649" s="303" t="s">
        <v>232</v>
      </c>
    </row>
    <row r="13650" spans="119:119" x14ac:dyDescent="0.2">
      <c r="DO13650" s="303" t="s">
        <v>232</v>
      </c>
    </row>
    <row r="13651" spans="119:119" x14ac:dyDescent="0.2">
      <c r="DO13651" s="303" t="s">
        <v>232</v>
      </c>
    </row>
    <row r="13652" spans="119:119" x14ac:dyDescent="0.2">
      <c r="DO13652" s="303" t="s">
        <v>232</v>
      </c>
    </row>
    <row r="13653" spans="119:119" x14ac:dyDescent="0.2">
      <c r="DO13653" s="303" t="s">
        <v>232</v>
      </c>
    </row>
    <row r="13654" spans="119:119" x14ac:dyDescent="0.2">
      <c r="DO13654" s="303" t="s">
        <v>232</v>
      </c>
    </row>
    <row r="13655" spans="119:119" x14ac:dyDescent="0.2">
      <c r="DO13655" s="303" t="s">
        <v>232</v>
      </c>
    </row>
    <row r="13656" spans="119:119" x14ac:dyDescent="0.2">
      <c r="DO13656" s="303" t="s">
        <v>232</v>
      </c>
    </row>
    <row r="13657" spans="119:119" x14ac:dyDescent="0.2">
      <c r="DO13657" s="303" t="s">
        <v>232</v>
      </c>
    </row>
    <row r="13658" spans="119:119" x14ac:dyDescent="0.2">
      <c r="DO13658" s="303" t="s">
        <v>232</v>
      </c>
    </row>
    <row r="13659" spans="119:119" x14ac:dyDescent="0.2">
      <c r="DO13659" s="303" t="s">
        <v>232</v>
      </c>
    </row>
    <row r="13660" spans="119:119" x14ac:dyDescent="0.2">
      <c r="DO13660" s="303" t="s">
        <v>232</v>
      </c>
    </row>
    <row r="13661" spans="119:119" x14ac:dyDescent="0.2">
      <c r="DO13661" s="303" t="s">
        <v>232</v>
      </c>
    </row>
    <row r="13662" spans="119:119" x14ac:dyDescent="0.2">
      <c r="DO13662" s="303" t="s">
        <v>232</v>
      </c>
    </row>
    <row r="13663" spans="119:119" x14ac:dyDescent="0.2">
      <c r="DO13663" s="303" t="s">
        <v>232</v>
      </c>
    </row>
    <row r="13664" spans="119:119" x14ac:dyDescent="0.2">
      <c r="DO13664" s="303" t="s">
        <v>232</v>
      </c>
    </row>
    <row r="13665" spans="119:119" x14ac:dyDescent="0.2">
      <c r="DO13665" s="303" t="s">
        <v>232</v>
      </c>
    </row>
    <row r="13666" spans="119:119" x14ac:dyDescent="0.2">
      <c r="DO13666" s="303" t="s">
        <v>232</v>
      </c>
    </row>
    <row r="13667" spans="119:119" x14ac:dyDescent="0.2">
      <c r="DO13667" s="303" t="s">
        <v>232</v>
      </c>
    </row>
    <row r="13668" spans="119:119" x14ac:dyDescent="0.2">
      <c r="DO13668" s="303" t="s">
        <v>232</v>
      </c>
    </row>
    <row r="13669" spans="119:119" x14ac:dyDescent="0.2">
      <c r="DO13669" s="303" t="s">
        <v>232</v>
      </c>
    </row>
    <row r="13670" spans="119:119" x14ac:dyDescent="0.2">
      <c r="DO13670" s="303" t="s">
        <v>232</v>
      </c>
    </row>
    <row r="13671" spans="119:119" x14ac:dyDescent="0.2">
      <c r="DO13671" s="303" t="s">
        <v>232</v>
      </c>
    </row>
    <row r="13672" spans="119:119" x14ac:dyDescent="0.2">
      <c r="DO13672" s="303" t="s">
        <v>232</v>
      </c>
    </row>
    <row r="13673" spans="119:119" x14ac:dyDescent="0.2">
      <c r="DO13673" s="303" t="s">
        <v>232</v>
      </c>
    </row>
    <row r="13674" spans="119:119" x14ac:dyDescent="0.2">
      <c r="DO13674" s="303" t="s">
        <v>232</v>
      </c>
    </row>
    <row r="13675" spans="119:119" x14ac:dyDescent="0.2">
      <c r="DO13675" s="303" t="s">
        <v>232</v>
      </c>
    </row>
    <row r="13676" spans="119:119" x14ac:dyDescent="0.2">
      <c r="DO13676" s="303" t="s">
        <v>232</v>
      </c>
    </row>
    <row r="13677" spans="119:119" x14ac:dyDescent="0.2">
      <c r="DO13677" s="303" t="s">
        <v>232</v>
      </c>
    </row>
    <row r="13678" spans="119:119" x14ac:dyDescent="0.2">
      <c r="DO13678" s="303" t="s">
        <v>232</v>
      </c>
    </row>
    <row r="13679" spans="119:119" x14ac:dyDescent="0.2">
      <c r="DO13679" s="303" t="s">
        <v>232</v>
      </c>
    </row>
    <row r="13680" spans="119:119" x14ac:dyDescent="0.2">
      <c r="DO13680" s="303" t="s">
        <v>232</v>
      </c>
    </row>
    <row r="13681" spans="119:119" x14ac:dyDescent="0.2">
      <c r="DO13681" s="303" t="s">
        <v>232</v>
      </c>
    </row>
    <row r="13682" spans="119:119" x14ac:dyDescent="0.2">
      <c r="DO13682" s="303" t="s">
        <v>232</v>
      </c>
    </row>
    <row r="13683" spans="119:119" x14ac:dyDescent="0.2">
      <c r="DO13683" s="303" t="s">
        <v>232</v>
      </c>
    </row>
    <row r="13684" spans="119:119" x14ac:dyDescent="0.2">
      <c r="DO13684" s="303" t="s">
        <v>232</v>
      </c>
    </row>
    <row r="13685" spans="119:119" x14ac:dyDescent="0.2">
      <c r="DO13685" s="303" t="s">
        <v>232</v>
      </c>
    </row>
    <row r="13686" spans="119:119" x14ac:dyDescent="0.2">
      <c r="DO13686" s="303" t="s">
        <v>232</v>
      </c>
    </row>
    <row r="13687" spans="119:119" x14ac:dyDescent="0.2">
      <c r="DO13687" s="303" t="s">
        <v>232</v>
      </c>
    </row>
    <row r="13688" spans="119:119" x14ac:dyDescent="0.2">
      <c r="DO13688" s="303" t="s">
        <v>232</v>
      </c>
    </row>
    <row r="13689" spans="119:119" x14ac:dyDescent="0.2">
      <c r="DO13689" s="303" t="s">
        <v>232</v>
      </c>
    </row>
    <row r="13690" spans="119:119" x14ac:dyDescent="0.2">
      <c r="DO13690" s="303" t="s">
        <v>232</v>
      </c>
    </row>
    <row r="13691" spans="119:119" x14ac:dyDescent="0.2">
      <c r="DO13691" s="303" t="s">
        <v>232</v>
      </c>
    </row>
    <row r="13692" spans="119:119" x14ac:dyDescent="0.2">
      <c r="DO13692" s="303" t="s">
        <v>232</v>
      </c>
    </row>
    <row r="13693" spans="119:119" x14ac:dyDescent="0.2">
      <c r="DO13693" s="303" t="s">
        <v>232</v>
      </c>
    </row>
    <row r="13694" spans="119:119" x14ac:dyDescent="0.2">
      <c r="DO13694" s="303" t="s">
        <v>232</v>
      </c>
    </row>
    <row r="13695" spans="119:119" x14ac:dyDescent="0.2">
      <c r="DO13695" s="303" t="s">
        <v>232</v>
      </c>
    </row>
    <row r="13696" spans="119:119" x14ac:dyDescent="0.2">
      <c r="DO13696" s="303" t="s">
        <v>232</v>
      </c>
    </row>
    <row r="13697" spans="119:119" x14ac:dyDescent="0.2">
      <c r="DO13697" s="303" t="s">
        <v>232</v>
      </c>
    </row>
    <row r="13698" spans="119:119" x14ac:dyDescent="0.2">
      <c r="DO13698" s="303" t="s">
        <v>232</v>
      </c>
    </row>
    <row r="13699" spans="119:119" x14ac:dyDescent="0.2">
      <c r="DO13699" s="303" t="s">
        <v>232</v>
      </c>
    </row>
    <row r="13700" spans="119:119" x14ac:dyDescent="0.2">
      <c r="DO13700" s="303" t="s">
        <v>232</v>
      </c>
    </row>
    <row r="13701" spans="119:119" x14ac:dyDescent="0.2">
      <c r="DO13701" s="303" t="s">
        <v>232</v>
      </c>
    </row>
    <row r="13702" spans="119:119" x14ac:dyDescent="0.2">
      <c r="DO13702" s="303" t="s">
        <v>232</v>
      </c>
    </row>
    <row r="13703" spans="119:119" x14ac:dyDescent="0.2">
      <c r="DO13703" s="303" t="s">
        <v>232</v>
      </c>
    </row>
    <row r="13704" spans="119:119" x14ac:dyDescent="0.2">
      <c r="DO13704" s="303" t="s">
        <v>232</v>
      </c>
    </row>
    <row r="13705" spans="119:119" x14ac:dyDescent="0.2">
      <c r="DO13705" s="303" t="s">
        <v>232</v>
      </c>
    </row>
    <row r="13706" spans="119:119" x14ac:dyDescent="0.2">
      <c r="DO13706" s="303" t="s">
        <v>232</v>
      </c>
    </row>
    <row r="13707" spans="119:119" x14ac:dyDescent="0.2">
      <c r="DO13707" s="303" t="s">
        <v>232</v>
      </c>
    </row>
    <row r="13708" spans="119:119" x14ac:dyDescent="0.2">
      <c r="DO13708" s="303" t="s">
        <v>232</v>
      </c>
    </row>
    <row r="13709" spans="119:119" x14ac:dyDescent="0.2">
      <c r="DO13709" s="303" t="s">
        <v>232</v>
      </c>
    </row>
    <row r="13710" spans="119:119" x14ac:dyDescent="0.2">
      <c r="DO13710" s="303" t="s">
        <v>232</v>
      </c>
    </row>
    <row r="13711" spans="119:119" x14ac:dyDescent="0.2">
      <c r="DO13711" s="303" t="s">
        <v>232</v>
      </c>
    </row>
    <row r="13712" spans="119:119" x14ac:dyDescent="0.2">
      <c r="DO13712" s="303" t="s">
        <v>232</v>
      </c>
    </row>
    <row r="13713" spans="119:119" x14ac:dyDescent="0.2">
      <c r="DO13713" s="303" t="s">
        <v>232</v>
      </c>
    </row>
    <row r="13714" spans="119:119" x14ac:dyDescent="0.2">
      <c r="DO13714" s="303" t="s">
        <v>232</v>
      </c>
    </row>
    <row r="13715" spans="119:119" x14ac:dyDescent="0.2">
      <c r="DO13715" s="303" t="s">
        <v>232</v>
      </c>
    </row>
    <row r="13716" spans="119:119" x14ac:dyDescent="0.2">
      <c r="DO13716" s="303" t="s">
        <v>232</v>
      </c>
    </row>
    <row r="13717" spans="119:119" x14ac:dyDescent="0.2">
      <c r="DO13717" s="303" t="s">
        <v>232</v>
      </c>
    </row>
    <row r="13718" spans="119:119" x14ac:dyDescent="0.2">
      <c r="DO13718" s="303" t="s">
        <v>232</v>
      </c>
    </row>
    <row r="13719" spans="119:119" x14ac:dyDescent="0.2">
      <c r="DO13719" s="303" t="s">
        <v>232</v>
      </c>
    </row>
    <row r="13720" spans="119:119" x14ac:dyDescent="0.2">
      <c r="DO13720" s="303" t="s">
        <v>232</v>
      </c>
    </row>
    <row r="13721" spans="119:119" x14ac:dyDescent="0.2">
      <c r="DO13721" s="303" t="s">
        <v>232</v>
      </c>
    </row>
    <row r="13722" spans="119:119" x14ac:dyDescent="0.2">
      <c r="DO13722" s="303" t="s">
        <v>232</v>
      </c>
    </row>
    <row r="13723" spans="119:119" x14ac:dyDescent="0.2">
      <c r="DO13723" s="303" t="s">
        <v>232</v>
      </c>
    </row>
    <row r="13724" spans="119:119" x14ac:dyDescent="0.2">
      <c r="DO13724" s="303" t="s">
        <v>232</v>
      </c>
    </row>
    <row r="13725" spans="119:119" x14ac:dyDescent="0.2">
      <c r="DO13725" s="303" t="s">
        <v>232</v>
      </c>
    </row>
    <row r="13726" spans="119:119" x14ac:dyDescent="0.2">
      <c r="DO13726" s="303" t="s">
        <v>232</v>
      </c>
    </row>
    <row r="13727" spans="119:119" x14ac:dyDescent="0.2">
      <c r="DO13727" s="303" t="s">
        <v>232</v>
      </c>
    </row>
    <row r="13728" spans="119:119" x14ac:dyDescent="0.2">
      <c r="DO13728" s="303" t="s">
        <v>232</v>
      </c>
    </row>
    <row r="13729" spans="119:119" x14ac:dyDescent="0.2">
      <c r="DO13729" s="303" t="s">
        <v>232</v>
      </c>
    </row>
    <row r="13730" spans="119:119" x14ac:dyDescent="0.2">
      <c r="DO13730" s="303" t="s">
        <v>232</v>
      </c>
    </row>
    <row r="13731" spans="119:119" x14ac:dyDescent="0.2">
      <c r="DO13731" s="303" t="s">
        <v>232</v>
      </c>
    </row>
    <row r="13732" spans="119:119" x14ac:dyDescent="0.2">
      <c r="DO13732" s="303" t="s">
        <v>232</v>
      </c>
    </row>
    <row r="13733" spans="119:119" x14ac:dyDescent="0.2">
      <c r="DO13733" s="303" t="s">
        <v>232</v>
      </c>
    </row>
    <row r="13734" spans="119:119" x14ac:dyDescent="0.2">
      <c r="DO13734" s="303" t="s">
        <v>232</v>
      </c>
    </row>
    <row r="13735" spans="119:119" x14ac:dyDescent="0.2">
      <c r="DO13735" s="303" t="s">
        <v>232</v>
      </c>
    </row>
    <row r="13736" spans="119:119" x14ac:dyDescent="0.2">
      <c r="DO13736" s="303" t="s">
        <v>232</v>
      </c>
    </row>
    <row r="13737" spans="119:119" x14ac:dyDescent="0.2">
      <c r="DO13737" s="303" t="s">
        <v>232</v>
      </c>
    </row>
    <row r="13738" spans="119:119" x14ac:dyDescent="0.2">
      <c r="DO13738" s="303" t="s">
        <v>232</v>
      </c>
    </row>
    <row r="13739" spans="119:119" x14ac:dyDescent="0.2">
      <c r="DO13739" s="303" t="s">
        <v>232</v>
      </c>
    </row>
    <row r="13740" spans="119:119" x14ac:dyDescent="0.2">
      <c r="DO13740" s="303" t="s">
        <v>232</v>
      </c>
    </row>
    <row r="13741" spans="119:119" x14ac:dyDescent="0.2">
      <c r="DO13741" s="303" t="s">
        <v>232</v>
      </c>
    </row>
    <row r="13742" spans="119:119" x14ac:dyDescent="0.2">
      <c r="DO13742" s="303" t="s">
        <v>232</v>
      </c>
    </row>
    <row r="13743" spans="119:119" x14ac:dyDescent="0.2">
      <c r="DO13743" s="303" t="s">
        <v>232</v>
      </c>
    </row>
    <row r="13744" spans="119:119" x14ac:dyDescent="0.2">
      <c r="DO13744" s="303" t="s">
        <v>232</v>
      </c>
    </row>
    <row r="13745" spans="119:119" x14ac:dyDescent="0.2">
      <c r="DO13745" s="303" t="s">
        <v>232</v>
      </c>
    </row>
    <row r="13746" spans="119:119" x14ac:dyDescent="0.2">
      <c r="DO13746" s="303" t="s">
        <v>232</v>
      </c>
    </row>
    <row r="13747" spans="119:119" x14ac:dyDescent="0.2">
      <c r="DO13747" s="303" t="s">
        <v>232</v>
      </c>
    </row>
    <row r="13748" spans="119:119" x14ac:dyDescent="0.2">
      <c r="DO13748" s="303" t="s">
        <v>232</v>
      </c>
    </row>
    <row r="13749" spans="119:119" x14ac:dyDescent="0.2">
      <c r="DO13749" s="303" t="s">
        <v>232</v>
      </c>
    </row>
    <row r="13750" spans="119:119" x14ac:dyDescent="0.2">
      <c r="DO13750" s="303" t="s">
        <v>232</v>
      </c>
    </row>
    <row r="13751" spans="119:119" x14ac:dyDescent="0.2">
      <c r="DO13751" s="303" t="s">
        <v>232</v>
      </c>
    </row>
    <row r="13752" spans="119:119" x14ac:dyDescent="0.2">
      <c r="DO13752" s="303" t="s">
        <v>232</v>
      </c>
    </row>
    <row r="13753" spans="119:119" x14ac:dyDescent="0.2">
      <c r="DO13753" s="303" t="s">
        <v>232</v>
      </c>
    </row>
    <row r="13754" spans="119:119" x14ac:dyDescent="0.2">
      <c r="DO13754" s="303" t="s">
        <v>232</v>
      </c>
    </row>
    <row r="13755" spans="119:119" x14ac:dyDescent="0.2">
      <c r="DO13755" s="303" t="s">
        <v>232</v>
      </c>
    </row>
    <row r="13756" spans="119:119" x14ac:dyDescent="0.2">
      <c r="DO13756" s="303" t="s">
        <v>232</v>
      </c>
    </row>
    <row r="13757" spans="119:119" x14ac:dyDescent="0.2">
      <c r="DO13757" s="303" t="s">
        <v>232</v>
      </c>
    </row>
    <row r="13758" spans="119:119" x14ac:dyDescent="0.2">
      <c r="DO13758" s="303" t="s">
        <v>232</v>
      </c>
    </row>
    <row r="13759" spans="119:119" x14ac:dyDescent="0.2">
      <c r="DO13759" s="303" t="s">
        <v>232</v>
      </c>
    </row>
    <row r="13760" spans="119:119" x14ac:dyDescent="0.2">
      <c r="DO13760" s="303" t="s">
        <v>232</v>
      </c>
    </row>
    <row r="13761" spans="119:119" x14ac:dyDescent="0.2">
      <c r="DO13761" s="303" t="s">
        <v>232</v>
      </c>
    </row>
    <row r="13762" spans="119:119" x14ac:dyDescent="0.2">
      <c r="DO13762" s="303" t="s">
        <v>232</v>
      </c>
    </row>
    <row r="13763" spans="119:119" x14ac:dyDescent="0.2">
      <c r="DO13763" s="303" t="s">
        <v>232</v>
      </c>
    </row>
    <row r="13764" spans="119:119" x14ac:dyDescent="0.2">
      <c r="DO13764" s="303" t="s">
        <v>232</v>
      </c>
    </row>
    <row r="13765" spans="119:119" x14ac:dyDescent="0.2">
      <c r="DO13765" s="303" t="s">
        <v>232</v>
      </c>
    </row>
    <row r="13766" spans="119:119" x14ac:dyDescent="0.2">
      <c r="DO13766" s="303" t="s">
        <v>232</v>
      </c>
    </row>
    <row r="13767" spans="119:119" x14ac:dyDescent="0.2">
      <c r="DO13767" s="303" t="s">
        <v>232</v>
      </c>
    </row>
    <row r="13768" spans="119:119" x14ac:dyDescent="0.2">
      <c r="DO13768" s="303" t="s">
        <v>232</v>
      </c>
    </row>
    <row r="13769" spans="119:119" x14ac:dyDescent="0.2">
      <c r="DO13769" s="303" t="s">
        <v>232</v>
      </c>
    </row>
    <row r="13770" spans="119:119" x14ac:dyDescent="0.2">
      <c r="DO13770" s="303" t="s">
        <v>232</v>
      </c>
    </row>
    <row r="13771" spans="119:119" x14ac:dyDescent="0.2">
      <c r="DO13771" s="303" t="s">
        <v>232</v>
      </c>
    </row>
    <row r="13772" spans="119:119" x14ac:dyDescent="0.2">
      <c r="DO13772" s="303" t="s">
        <v>232</v>
      </c>
    </row>
    <row r="13773" spans="119:119" x14ac:dyDescent="0.2">
      <c r="DO13773" s="303" t="s">
        <v>232</v>
      </c>
    </row>
    <row r="13774" spans="119:119" x14ac:dyDescent="0.2">
      <c r="DO13774" s="303" t="s">
        <v>232</v>
      </c>
    </row>
    <row r="13775" spans="119:119" x14ac:dyDescent="0.2">
      <c r="DO13775" s="303" t="s">
        <v>232</v>
      </c>
    </row>
    <row r="13776" spans="119:119" x14ac:dyDescent="0.2">
      <c r="DO13776" s="303" t="s">
        <v>232</v>
      </c>
    </row>
    <row r="13777" spans="119:119" x14ac:dyDescent="0.2">
      <c r="DO13777" s="303" t="s">
        <v>232</v>
      </c>
    </row>
    <row r="13778" spans="119:119" x14ac:dyDescent="0.2">
      <c r="DO13778" s="303" t="s">
        <v>232</v>
      </c>
    </row>
    <row r="13779" spans="119:119" x14ac:dyDescent="0.2">
      <c r="DO13779" s="303" t="s">
        <v>232</v>
      </c>
    </row>
    <row r="13780" spans="119:119" x14ac:dyDescent="0.2">
      <c r="DO13780" s="303" t="s">
        <v>232</v>
      </c>
    </row>
    <row r="13781" spans="119:119" x14ac:dyDescent="0.2">
      <c r="DO13781" s="303" t="s">
        <v>232</v>
      </c>
    </row>
    <row r="13782" spans="119:119" x14ac:dyDescent="0.2">
      <c r="DO13782" s="303" t="s">
        <v>232</v>
      </c>
    </row>
    <row r="13783" spans="119:119" x14ac:dyDescent="0.2">
      <c r="DO13783" s="303" t="s">
        <v>232</v>
      </c>
    </row>
    <row r="13784" spans="119:119" x14ac:dyDescent="0.2">
      <c r="DO13784" s="303" t="s">
        <v>232</v>
      </c>
    </row>
    <row r="13785" spans="119:119" x14ac:dyDescent="0.2">
      <c r="DO13785" s="303" t="s">
        <v>232</v>
      </c>
    </row>
    <row r="13786" spans="119:119" x14ac:dyDescent="0.2">
      <c r="DO13786" s="303" t="s">
        <v>232</v>
      </c>
    </row>
    <row r="13787" spans="119:119" x14ac:dyDescent="0.2">
      <c r="DO13787" s="303" t="s">
        <v>232</v>
      </c>
    </row>
    <row r="13788" spans="119:119" x14ac:dyDescent="0.2">
      <c r="DO13788" s="303" t="s">
        <v>232</v>
      </c>
    </row>
    <row r="13789" spans="119:119" x14ac:dyDescent="0.2">
      <c r="DO13789" s="303" t="s">
        <v>232</v>
      </c>
    </row>
    <row r="13790" spans="119:119" x14ac:dyDescent="0.2">
      <c r="DO13790" s="303" t="s">
        <v>232</v>
      </c>
    </row>
    <row r="13791" spans="119:119" x14ac:dyDescent="0.2">
      <c r="DO13791" s="303" t="s">
        <v>232</v>
      </c>
    </row>
    <row r="13792" spans="119:119" x14ac:dyDescent="0.2">
      <c r="DO13792" s="303" t="s">
        <v>232</v>
      </c>
    </row>
    <row r="13793" spans="119:119" x14ac:dyDescent="0.2">
      <c r="DO13793" s="303" t="s">
        <v>232</v>
      </c>
    </row>
    <row r="13794" spans="119:119" x14ac:dyDescent="0.2">
      <c r="DO13794" s="303" t="s">
        <v>232</v>
      </c>
    </row>
    <row r="13795" spans="119:119" x14ac:dyDescent="0.2">
      <c r="DO13795" s="303" t="s">
        <v>232</v>
      </c>
    </row>
    <row r="13796" spans="119:119" x14ac:dyDescent="0.2">
      <c r="DO13796" s="303" t="s">
        <v>232</v>
      </c>
    </row>
    <row r="13797" spans="119:119" x14ac:dyDescent="0.2">
      <c r="DO13797" s="303" t="s">
        <v>232</v>
      </c>
    </row>
    <row r="13798" spans="119:119" x14ac:dyDescent="0.2">
      <c r="DO13798" s="303" t="s">
        <v>232</v>
      </c>
    </row>
    <row r="13799" spans="119:119" x14ac:dyDescent="0.2">
      <c r="DO13799" s="303" t="s">
        <v>232</v>
      </c>
    </row>
    <row r="13800" spans="119:119" x14ac:dyDescent="0.2">
      <c r="DO13800" s="303" t="s">
        <v>232</v>
      </c>
    </row>
    <row r="13801" spans="119:119" x14ac:dyDescent="0.2">
      <c r="DO13801" s="303" t="s">
        <v>232</v>
      </c>
    </row>
    <row r="13802" spans="119:119" x14ac:dyDescent="0.2">
      <c r="DO13802" s="303" t="s">
        <v>232</v>
      </c>
    </row>
    <row r="13803" spans="119:119" x14ac:dyDescent="0.2">
      <c r="DO13803" s="303" t="s">
        <v>232</v>
      </c>
    </row>
    <row r="13804" spans="119:119" x14ac:dyDescent="0.2">
      <c r="DO13804" s="303" t="s">
        <v>232</v>
      </c>
    </row>
    <row r="13805" spans="119:119" x14ac:dyDescent="0.2">
      <c r="DO13805" s="303" t="s">
        <v>232</v>
      </c>
    </row>
    <row r="13806" spans="119:119" x14ac:dyDescent="0.2">
      <c r="DO13806" s="303" t="s">
        <v>232</v>
      </c>
    </row>
    <row r="13807" spans="119:119" x14ac:dyDescent="0.2">
      <c r="DO13807" s="303" t="s">
        <v>232</v>
      </c>
    </row>
    <row r="13808" spans="119:119" x14ac:dyDescent="0.2">
      <c r="DO13808" s="303" t="s">
        <v>232</v>
      </c>
    </row>
    <row r="13809" spans="119:119" x14ac:dyDescent="0.2">
      <c r="DO13809" s="303" t="s">
        <v>232</v>
      </c>
    </row>
    <row r="13810" spans="119:119" x14ac:dyDescent="0.2">
      <c r="DO13810" s="303" t="s">
        <v>232</v>
      </c>
    </row>
    <row r="13811" spans="119:119" x14ac:dyDescent="0.2">
      <c r="DO13811" s="303" t="s">
        <v>232</v>
      </c>
    </row>
    <row r="13812" spans="119:119" x14ac:dyDescent="0.2">
      <c r="DO13812" s="303" t="s">
        <v>232</v>
      </c>
    </row>
    <row r="13813" spans="119:119" x14ac:dyDescent="0.2">
      <c r="DO13813" s="303" t="s">
        <v>232</v>
      </c>
    </row>
    <row r="13814" spans="119:119" x14ac:dyDescent="0.2">
      <c r="DO13814" s="303" t="s">
        <v>232</v>
      </c>
    </row>
    <row r="13815" spans="119:119" x14ac:dyDescent="0.2">
      <c r="DO13815" s="303" t="s">
        <v>232</v>
      </c>
    </row>
    <row r="13816" spans="119:119" x14ac:dyDescent="0.2">
      <c r="DO13816" s="303" t="s">
        <v>232</v>
      </c>
    </row>
    <row r="13817" spans="119:119" x14ac:dyDescent="0.2">
      <c r="DO13817" s="303" t="s">
        <v>232</v>
      </c>
    </row>
    <row r="13818" spans="119:119" x14ac:dyDescent="0.2">
      <c r="DO13818" s="303" t="s">
        <v>232</v>
      </c>
    </row>
    <row r="13819" spans="119:119" x14ac:dyDescent="0.2">
      <c r="DO13819" s="303" t="s">
        <v>232</v>
      </c>
    </row>
    <row r="13820" spans="119:119" x14ac:dyDescent="0.2">
      <c r="DO13820" s="303" t="s">
        <v>232</v>
      </c>
    </row>
    <row r="13821" spans="119:119" x14ac:dyDescent="0.2">
      <c r="DO13821" s="303" t="s">
        <v>232</v>
      </c>
    </row>
    <row r="13822" spans="119:119" x14ac:dyDescent="0.2">
      <c r="DO13822" s="303" t="s">
        <v>232</v>
      </c>
    </row>
    <row r="13823" spans="119:119" x14ac:dyDescent="0.2">
      <c r="DO13823" s="303" t="s">
        <v>232</v>
      </c>
    </row>
    <row r="13824" spans="119:119" x14ac:dyDescent="0.2">
      <c r="DO13824" s="303" t="s">
        <v>232</v>
      </c>
    </row>
    <row r="13825" spans="119:119" x14ac:dyDescent="0.2">
      <c r="DO13825" s="303" t="s">
        <v>232</v>
      </c>
    </row>
    <row r="13826" spans="119:119" x14ac:dyDescent="0.2">
      <c r="DO13826" s="303" t="s">
        <v>232</v>
      </c>
    </row>
    <row r="13827" spans="119:119" x14ac:dyDescent="0.2">
      <c r="DO13827" s="303" t="s">
        <v>232</v>
      </c>
    </row>
    <row r="13828" spans="119:119" x14ac:dyDescent="0.2">
      <c r="DO13828" s="303" t="s">
        <v>232</v>
      </c>
    </row>
    <row r="13829" spans="119:119" x14ac:dyDescent="0.2">
      <c r="DO13829" s="303" t="s">
        <v>232</v>
      </c>
    </row>
    <row r="13830" spans="119:119" x14ac:dyDescent="0.2">
      <c r="DO13830" s="303" t="s">
        <v>232</v>
      </c>
    </row>
    <row r="13831" spans="119:119" x14ac:dyDescent="0.2">
      <c r="DO13831" s="303" t="s">
        <v>232</v>
      </c>
    </row>
    <row r="13832" spans="119:119" x14ac:dyDescent="0.2">
      <c r="DO13832" s="303" t="s">
        <v>232</v>
      </c>
    </row>
    <row r="13833" spans="119:119" x14ac:dyDescent="0.2">
      <c r="DO13833" s="303" t="s">
        <v>232</v>
      </c>
    </row>
    <row r="13834" spans="119:119" x14ac:dyDescent="0.2">
      <c r="DO13834" s="303" t="s">
        <v>232</v>
      </c>
    </row>
    <row r="13835" spans="119:119" x14ac:dyDescent="0.2">
      <c r="DO13835" s="303" t="s">
        <v>232</v>
      </c>
    </row>
    <row r="13836" spans="119:119" x14ac:dyDescent="0.2">
      <c r="DO13836" s="303" t="s">
        <v>232</v>
      </c>
    </row>
    <row r="13837" spans="119:119" x14ac:dyDescent="0.2">
      <c r="DO13837" s="303" t="s">
        <v>232</v>
      </c>
    </row>
    <row r="13838" spans="119:119" x14ac:dyDescent="0.2">
      <c r="DO13838" s="303" t="s">
        <v>232</v>
      </c>
    </row>
    <row r="13839" spans="119:119" x14ac:dyDescent="0.2">
      <c r="DO13839" s="303" t="s">
        <v>232</v>
      </c>
    </row>
    <row r="13840" spans="119:119" x14ac:dyDescent="0.2">
      <c r="DO13840" s="303" t="s">
        <v>232</v>
      </c>
    </row>
    <row r="13841" spans="119:119" x14ac:dyDescent="0.2">
      <c r="DO13841" s="303" t="s">
        <v>232</v>
      </c>
    </row>
    <row r="13842" spans="119:119" x14ac:dyDescent="0.2">
      <c r="DO13842" s="303" t="s">
        <v>232</v>
      </c>
    </row>
    <row r="13843" spans="119:119" x14ac:dyDescent="0.2">
      <c r="DO13843" s="303" t="s">
        <v>232</v>
      </c>
    </row>
    <row r="13844" spans="119:119" x14ac:dyDescent="0.2">
      <c r="DO13844" s="303" t="s">
        <v>232</v>
      </c>
    </row>
    <row r="13845" spans="119:119" x14ac:dyDescent="0.2">
      <c r="DO13845" s="303" t="s">
        <v>232</v>
      </c>
    </row>
    <row r="13846" spans="119:119" x14ac:dyDescent="0.2">
      <c r="DO13846" s="303" t="s">
        <v>232</v>
      </c>
    </row>
    <row r="13847" spans="119:119" x14ac:dyDescent="0.2">
      <c r="DO13847" s="303" t="s">
        <v>232</v>
      </c>
    </row>
    <row r="13848" spans="119:119" x14ac:dyDescent="0.2">
      <c r="DO13848" s="303" t="s">
        <v>232</v>
      </c>
    </row>
    <row r="13849" spans="119:119" x14ac:dyDescent="0.2">
      <c r="DO13849" s="303" t="s">
        <v>232</v>
      </c>
    </row>
    <row r="13850" spans="119:119" x14ac:dyDescent="0.2">
      <c r="DO13850" s="303" t="s">
        <v>232</v>
      </c>
    </row>
    <row r="13851" spans="119:119" x14ac:dyDescent="0.2">
      <c r="DO13851" s="303" t="s">
        <v>232</v>
      </c>
    </row>
    <row r="13852" spans="119:119" x14ac:dyDescent="0.2">
      <c r="DO13852" s="303" t="s">
        <v>232</v>
      </c>
    </row>
    <row r="13853" spans="119:119" x14ac:dyDescent="0.2">
      <c r="DO13853" s="303" t="s">
        <v>232</v>
      </c>
    </row>
    <row r="13854" spans="119:119" x14ac:dyDescent="0.2">
      <c r="DO13854" s="303" t="s">
        <v>232</v>
      </c>
    </row>
    <row r="13855" spans="119:119" x14ac:dyDescent="0.2">
      <c r="DO13855" s="303" t="s">
        <v>232</v>
      </c>
    </row>
    <row r="13856" spans="119:119" x14ac:dyDescent="0.2">
      <c r="DO13856" s="303" t="s">
        <v>232</v>
      </c>
    </row>
    <row r="13857" spans="119:119" x14ac:dyDescent="0.2">
      <c r="DO13857" s="303" t="s">
        <v>232</v>
      </c>
    </row>
    <row r="13858" spans="119:119" x14ac:dyDescent="0.2">
      <c r="DO13858" s="303" t="s">
        <v>232</v>
      </c>
    </row>
    <row r="13859" spans="119:119" x14ac:dyDescent="0.2">
      <c r="DO13859" s="303" t="s">
        <v>232</v>
      </c>
    </row>
    <row r="13860" spans="119:119" x14ac:dyDescent="0.2">
      <c r="DO13860" s="303" t="s">
        <v>232</v>
      </c>
    </row>
    <row r="13861" spans="119:119" x14ac:dyDescent="0.2">
      <c r="DO13861" s="303" t="s">
        <v>232</v>
      </c>
    </row>
    <row r="13862" spans="119:119" x14ac:dyDescent="0.2">
      <c r="DO13862" s="303" t="s">
        <v>232</v>
      </c>
    </row>
    <row r="13863" spans="119:119" x14ac:dyDescent="0.2">
      <c r="DO13863" s="303" t="s">
        <v>232</v>
      </c>
    </row>
    <row r="13864" spans="119:119" x14ac:dyDescent="0.2">
      <c r="DO13864" s="303" t="s">
        <v>232</v>
      </c>
    </row>
    <row r="13865" spans="119:119" x14ac:dyDescent="0.2">
      <c r="DO13865" s="303" t="s">
        <v>232</v>
      </c>
    </row>
    <row r="13866" spans="119:119" x14ac:dyDescent="0.2">
      <c r="DO13866" s="303" t="s">
        <v>232</v>
      </c>
    </row>
    <row r="13867" spans="119:119" x14ac:dyDescent="0.2">
      <c r="DO13867" s="303" t="s">
        <v>232</v>
      </c>
    </row>
    <row r="13868" spans="119:119" x14ac:dyDescent="0.2">
      <c r="DO13868" s="303" t="s">
        <v>232</v>
      </c>
    </row>
    <row r="13869" spans="119:119" x14ac:dyDescent="0.2">
      <c r="DO13869" s="303" t="s">
        <v>232</v>
      </c>
    </row>
    <row r="13870" spans="119:119" x14ac:dyDescent="0.2">
      <c r="DO13870" s="303" t="s">
        <v>232</v>
      </c>
    </row>
    <row r="13871" spans="119:119" x14ac:dyDescent="0.2">
      <c r="DO13871" s="303" t="s">
        <v>232</v>
      </c>
    </row>
    <row r="13872" spans="119:119" x14ac:dyDescent="0.2">
      <c r="DO13872" s="303" t="s">
        <v>232</v>
      </c>
    </row>
    <row r="13873" spans="119:119" x14ac:dyDescent="0.2">
      <c r="DO13873" s="303" t="s">
        <v>232</v>
      </c>
    </row>
    <row r="13874" spans="119:119" x14ac:dyDescent="0.2">
      <c r="DO13874" s="303" t="s">
        <v>232</v>
      </c>
    </row>
    <row r="13875" spans="119:119" x14ac:dyDescent="0.2">
      <c r="DO13875" s="303" t="s">
        <v>232</v>
      </c>
    </row>
    <row r="13876" spans="119:119" x14ac:dyDescent="0.2">
      <c r="DO13876" s="303" t="s">
        <v>232</v>
      </c>
    </row>
    <row r="13877" spans="119:119" x14ac:dyDescent="0.2">
      <c r="DO13877" s="303" t="s">
        <v>232</v>
      </c>
    </row>
    <row r="13878" spans="119:119" x14ac:dyDescent="0.2">
      <c r="DO13878" s="303" t="s">
        <v>232</v>
      </c>
    </row>
    <row r="13879" spans="119:119" x14ac:dyDescent="0.2">
      <c r="DO13879" s="303" t="s">
        <v>232</v>
      </c>
    </row>
    <row r="13880" spans="119:119" x14ac:dyDescent="0.2">
      <c r="DO13880" s="303" t="s">
        <v>232</v>
      </c>
    </row>
    <row r="13881" spans="119:119" x14ac:dyDescent="0.2">
      <c r="DO13881" s="303" t="s">
        <v>232</v>
      </c>
    </row>
    <row r="13882" spans="119:119" x14ac:dyDescent="0.2">
      <c r="DO13882" s="303" t="s">
        <v>232</v>
      </c>
    </row>
    <row r="13883" spans="119:119" x14ac:dyDescent="0.2">
      <c r="DO13883" s="303" t="s">
        <v>232</v>
      </c>
    </row>
    <row r="13884" spans="119:119" x14ac:dyDescent="0.2">
      <c r="DO13884" s="303" t="s">
        <v>232</v>
      </c>
    </row>
    <row r="13885" spans="119:119" x14ac:dyDescent="0.2">
      <c r="DO13885" s="303" t="s">
        <v>232</v>
      </c>
    </row>
    <row r="13886" spans="119:119" x14ac:dyDescent="0.2">
      <c r="DO13886" s="303" t="s">
        <v>232</v>
      </c>
    </row>
    <row r="13887" spans="119:119" x14ac:dyDescent="0.2">
      <c r="DO13887" s="303" t="s">
        <v>232</v>
      </c>
    </row>
    <row r="13888" spans="119:119" x14ac:dyDescent="0.2">
      <c r="DO13888" s="303" t="s">
        <v>232</v>
      </c>
    </row>
    <row r="13889" spans="119:119" x14ac:dyDescent="0.2">
      <c r="DO13889" s="303" t="s">
        <v>232</v>
      </c>
    </row>
    <row r="13890" spans="119:119" x14ac:dyDescent="0.2">
      <c r="DO13890" s="303" t="s">
        <v>232</v>
      </c>
    </row>
    <row r="13891" spans="119:119" x14ac:dyDescent="0.2">
      <c r="DO13891" s="303" t="s">
        <v>232</v>
      </c>
    </row>
    <row r="13892" spans="119:119" x14ac:dyDescent="0.2">
      <c r="DO13892" s="303" t="s">
        <v>232</v>
      </c>
    </row>
    <row r="13893" spans="119:119" x14ac:dyDescent="0.2">
      <c r="DO13893" s="303" t="s">
        <v>232</v>
      </c>
    </row>
    <row r="13894" spans="119:119" x14ac:dyDescent="0.2">
      <c r="DO13894" s="303" t="s">
        <v>232</v>
      </c>
    </row>
    <row r="13895" spans="119:119" x14ac:dyDescent="0.2">
      <c r="DO13895" s="303" t="s">
        <v>232</v>
      </c>
    </row>
    <row r="13896" spans="119:119" x14ac:dyDescent="0.2">
      <c r="DO13896" s="303" t="s">
        <v>232</v>
      </c>
    </row>
    <row r="13897" spans="119:119" x14ac:dyDescent="0.2">
      <c r="DO13897" s="303" t="s">
        <v>232</v>
      </c>
    </row>
    <row r="13898" spans="119:119" x14ac:dyDescent="0.2">
      <c r="DO13898" s="303" t="s">
        <v>232</v>
      </c>
    </row>
    <row r="13899" spans="119:119" x14ac:dyDescent="0.2">
      <c r="DO13899" s="303" t="s">
        <v>232</v>
      </c>
    </row>
    <row r="13900" spans="119:119" x14ac:dyDescent="0.2">
      <c r="DO13900" s="303" t="s">
        <v>232</v>
      </c>
    </row>
    <row r="13901" spans="119:119" x14ac:dyDescent="0.2">
      <c r="DO13901" s="303" t="s">
        <v>232</v>
      </c>
    </row>
    <row r="13902" spans="119:119" x14ac:dyDescent="0.2">
      <c r="DO13902" s="303" t="s">
        <v>232</v>
      </c>
    </row>
    <row r="13903" spans="119:119" x14ac:dyDescent="0.2">
      <c r="DO13903" s="303" t="s">
        <v>232</v>
      </c>
    </row>
    <row r="13904" spans="119:119" x14ac:dyDescent="0.2">
      <c r="DO13904" s="303" t="s">
        <v>232</v>
      </c>
    </row>
    <row r="13905" spans="119:119" x14ac:dyDescent="0.2">
      <c r="DO13905" s="303" t="s">
        <v>232</v>
      </c>
    </row>
    <row r="13906" spans="119:119" x14ac:dyDescent="0.2">
      <c r="DO13906" s="303" t="s">
        <v>232</v>
      </c>
    </row>
    <row r="13907" spans="119:119" x14ac:dyDescent="0.2">
      <c r="DO13907" s="303" t="s">
        <v>232</v>
      </c>
    </row>
    <row r="13908" spans="119:119" x14ac:dyDescent="0.2">
      <c r="DO13908" s="303" t="s">
        <v>232</v>
      </c>
    </row>
    <row r="13909" spans="119:119" x14ac:dyDescent="0.2">
      <c r="DO13909" s="303" t="s">
        <v>232</v>
      </c>
    </row>
    <row r="13910" spans="119:119" x14ac:dyDescent="0.2">
      <c r="DO13910" s="303" t="s">
        <v>232</v>
      </c>
    </row>
    <row r="13911" spans="119:119" x14ac:dyDescent="0.2">
      <c r="DO13911" s="303" t="s">
        <v>232</v>
      </c>
    </row>
    <row r="13912" spans="119:119" x14ac:dyDescent="0.2">
      <c r="DO13912" s="303" t="s">
        <v>232</v>
      </c>
    </row>
    <row r="13913" spans="119:119" x14ac:dyDescent="0.2">
      <c r="DO13913" s="303" t="s">
        <v>232</v>
      </c>
    </row>
    <row r="13914" spans="119:119" x14ac:dyDescent="0.2">
      <c r="DO13914" s="303" t="s">
        <v>232</v>
      </c>
    </row>
    <row r="13915" spans="119:119" x14ac:dyDescent="0.2">
      <c r="DO13915" s="303" t="s">
        <v>232</v>
      </c>
    </row>
    <row r="13916" spans="119:119" x14ac:dyDescent="0.2">
      <c r="DO13916" s="303" t="s">
        <v>232</v>
      </c>
    </row>
    <row r="13917" spans="119:119" x14ac:dyDescent="0.2">
      <c r="DO13917" s="303" t="s">
        <v>232</v>
      </c>
    </row>
    <row r="13918" spans="119:119" x14ac:dyDescent="0.2">
      <c r="DO13918" s="303" t="s">
        <v>232</v>
      </c>
    </row>
    <row r="13919" spans="119:119" x14ac:dyDescent="0.2">
      <c r="DO13919" s="303" t="s">
        <v>232</v>
      </c>
    </row>
    <row r="13920" spans="119:119" x14ac:dyDescent="0.2">
      <c r="DO13920" s="303" t="s">
        <v>232</v>
      </c>
    </row>
    <row r="13921" spans="119:119" x14ac:dyDescent="0.2">
      <c r="DO13921" s="303" t="s">
        <v>232</v>
      </c>
    </row>
    <row r="13922" spans="119:119" x14ac:dyDescent="0.2">
      <c r="DO13922" s="303" t="s">
        <v>232</v>
      </c>
    </row>
    <row r="13923" spans="119:119" x14ac:dyDescent="0.2">
      <c r="DO13923" s="303" t="s">
        <v>232</v>
      </c>
    </row>
    <row r="13924" spans="119:119" x14ac:dyDescent="0.2">
      <c r="DO13924" s="303" t="s">
        <v>232</v>
      </c>
    </row>
    <row r="13925" spans="119:119" x14ac:dyDescent="0.2">
      <c r="DO13925" s="303" t="s">
        <v>232</v>
      </c>
    </row>
    <row r="13926" spans="119:119" x14ac:dyDescent="0.2">
      <c r="DO13926" s="303" t="s">
        <v>232</v>
      </c>
    </row>
    <row r="13927" spans="119:119" x14ac:dyDescent="0.2">
      <c r="DO13927" s="303" t="s">
        <v>232</v>
      </c>
    </row>
    <row r="13928" spans="119:119" x14ac:dyDescent="0.2">
      <c r="DO13928" s="303" t="s">
        <v>232</v>
      </c>
    </row>
    <row r="13929" spans="119:119" x14ac:dyDescent="0.2">
      <c r="DO13929" s="303" t="s">
        <v>232</v>
      </c>
    </row>
    <row r="13930" spans="119:119" x14ac:dyDescent="0.2">
      <c r="DO13930" s="303" t="s">
        <v>232</v>
      </c>
    </row>
    <row r="13931" spans="119:119" x14ac:dyDescent="0.2">
      <c r="DO13931" s="303" t="s">
        <v>232</v>
      </c>
    </row>
    <row r="13932" spans="119:119" x14ac:dyDescent="0.2">
      <c r="DO13932" s="303" t="s">
        <v>232</v>
      </c>
    </row>
    <row r="13933" spans="119:119" x14ac:dyDescent="0.2">
      <c r="DO13933" s="303" t="s">
        <v>232</v>
      </c>
    </row>
    <row r="13934" spans="119:119" x14ac:dyDescent="0.2">
      <c r="DO13934" s="303" t="s">
        <v>232</v>
      </c>
    </row>
    <row r="13935" spans="119:119" x14ac:dyDescent="0.2">
      <c r="DO13935" s="303" t="s">
        <v>232</v>
      </c>
    </row>
    <row r="13936" spans="119:119" x14ac:dyDescent="0.2">
      <c r="DO13936" s="303" t="s">
        <v>232</v>
      </c>
    </row>
    <row r="13937" spans="119:119" x14ac:dyDescent="0.2">
      <c r="DO13937" s="303" t="s">
        <v>232</v>
      </c>
    </row>
    <row r="13938" spans="119:119" x14ac:dyDescent="0.2">
      <c r="DO13938" s="303" t="s">
        <v>232</v>
      </c>
    </row>
    <row r="13939" spans="119:119" x14ac:dyDescent="0.2">
      <c r="DO13939" s="303" t="s">
        <v>232</v>
      </c>
    </row>
    <row r="13940" spans="119:119" x14ac:dyDescent="0.2">
      <c r="DO13940" s="303" t="s">
        <v>232</v>
      </c>
    </row>
    <row r="13941" spans="119:119" x14ac:dyDescent="0.2">
      <c r="DO13941" s="303" t="s">
        <v>232</v>
      </c>
    </row>
    <row r="13942" spans="119:119" x14ac:dyDescent="0.2">
      <c r="DO13942" s="303" t="s">
        <v>232</v>
      </c>
    </row>
    <row r="13943" spans="119:119" x14ac:dyDescent="0.2">
      <c r="DO13943" s="303" t="s">
        <v>232</v>
      </c>
    </row>
    <row r="13944" spans="119:119" x14ac:dyDescent="0.2">
      <c r="DO13944" s="303" t="s">
        <v>232</v>
      </c>
    </row>
    <row r="13945" spans="119:119" x14ac:dyDescent="0.2">
      <c r="DO13945" s="303" t="s">
        <v>232</v>
      </c>
    </row>
    <row r="13946" spans="119:119" x14ac:dyDescent="0.2">
      <c r="DO13946" s="303" t="s">
        <v>232</v>
      </c>
    </row>
    <row r="13947" spans="119:119" x14ac:dyDescent="0.2">
      <c r="DO13947" s="303" t="s">
        <v>232</v>
      </c>
    </row>
    <row r="13948" spans="119:119" x14ac:dyDescent="0.2">
      <c r="DO13948" s="303" t="s">
        <v>232</v>
      </c>
    </row>
    <row r="13949" spans="119:119" x14ac:dyDescent="0.2">
      <c r="DO13949" s="303" t="s">
        <v>232</v>
      </c>
    </row>
    <row r="13950" spans="119:119" x14ac:dyDescent="0.2">
      <c r="DO13950" s="303" t="s">
        <v>232</v>
      </c>
    </row>
    <row r="13951" spans="119:119" x14ac:dyDescent="0.2">
      <c r="DO13951" s="303" t="s">
        <v>232</v>
      </c>
    </row>
    <row r="13952" spans="119:119" x14ac:dyDescent="0.2">
      <c r="DO13952" s="303" t="s">
        <v>232</v>
      </c>
    </row>
    <row r="13953" spans="119:119" x14ac:dyDescent="0.2">
      <c r="DO13953" s="303" t="s">
        <v>232</v>
      </c>
    </row>
    <row r="13954" spans="119:119" x14ac:dyDescent="0.2">
      <c r="DO13954" s="303" t="s">
        <v>232</v>
      </c>
    </row>
    <row r="13955" spans="119:119" x14ac:dyDescent="0.2">
      <c r="DO13955" s="303" t="s">
        <v>232</v>
      </c>
    </row>
    <row r="13956" spans="119:119" x14ac:dyDescent="0.2">
      <c r="DO13956" s="303" t="s">
        <v>232</v>
      </c>
    </row>
    <row r="13957" spans="119:119" x14ac:dyDescent="0.2">
      <c r="DO13957" s="303" t="s">
        <v>232</v>
      </c>
    </row>
    <row r="13958" spans="119:119" x14ac:dyDescent="0.2">
      <c r="DO13958" s="303" t="s">
        <v>232</v>
      </c>
    </row>
    <row r="13959" spans="119:119" x14ac:dyDescent="0.2">
      <c r="DO13959" s="303" t="s">
        <v>232</v>
      </c>
    </row>
    <row r="13960" spans="119:119" x14ac:dyDescent="0.2">
      <c r="DO13960" s="303" t="s">
        <v>232</v>
      </c>
    </row>
    <row r="13961" spans="119:119" x14ac:dyDescent="0.2">
      <c r="DO13961" s="303" t="s">
        <v>232</v>
      </c>
    </row>
    <row r="13962" spans="119:119" x14ac:dyDescent="0.2">
      <c r="DO13962" s="303" t="s">
        <v>232</v>
      </c>
    </row>
    <row r="13963" spans="119:119" x14ac:dyDescent="0.2">
      <c r="DO13963" s="303" t="s">
        <v>232</v>
      </c>
    </row>
    <row r="13964" spans="119:119" x14ac:dyDescent="0.2">
      <c r="DO13964" s="303" t="s">
        <v>232</v>
      </c>
    </row>
    <row r="13965" spans="119:119" x14ac:dyDescent="0.2">
      <c r="DO13965" s="303" t="s">
        <v>232</v>
      </c>
    </row>
    <row r="13966" spans="119:119" x14ac:dyDescent="0.2">
      <c r="DO13966" s="303" t="s">
        <v>232</v>
      </c>
    </row>
    <row r="13967" spans="119:119" x14ac:dyDescent="0.2">
      <c r="DO13967" s="303" t="s">
        <v>232</v>
      </c>
    </row>
    <row r="13968" spans="119:119" x14ac:dyDescent="0.2">
      <c r="DO13968" s="303" t="s">
        <v>232</v>
      </c>
    </row>
    <row r="13969" spans="119:119" x14ac:dyDescent="0.2">
      <c r="DO13969" s="303" t="s">
        <v>232</v>
      </c>
    </row>
    <row r="13970" spans="119:119" x14ac:dyDescent="0.2">
      <c r="DO13970" s="303" t="s">
        <v>232</v>
      </c>
    </row>
    <row r="13971" spans="119:119" x14ac:dyDescent="0.2">
      <c r="DO13971" s="303" t="s">
        <v>232</v>
      </c>
    </row>
    <row r="13972" spans="119:119" x14ac:dyDescent="0.2">
      <c r="DO13972" s="303" t="s">
        <v>232</v>
      </c>
    </row>
    <row r="13973" spans="119:119" x14ac:dyDescent="0.2">
      <c r="DO13973" s="303" t="s">
        <v>232</v>
      </c>
    </row>
    <row r="13974" spans="119:119" x14ac:dyDescent="0.2">
      <c r="DO13974" s="303" t="s">
        <v>232</v>
      </c>
    </row>
    <row r="13975" spans="119:119" x14ac:dyDescent="0.2">
      <c r="DO13975" s="303" t="s">
        <v>232</v>
      </c>
    </row>
    <row r="13976" spans="119:119" x14ac:dyDescent="0.2">
      <c r="DO13976" s="303" t="s">
        <v>232</v>
      </c>
    </row>
    <row r="13977" spans="119:119" x14ac:dyDescent="0.2">
      <c r="DO13977" s="303" t="s">
        <v>232</v>
      </c>
    </row>
    <row r="13978" spans="119:119" x14ac:dyDescent="0.2">
      <c r="DO13978" s="303" t="s">
        <v>232</v>
      </c>
    </row>
    <row r="13979" spans="119:119" x14ac:dyDescent="0.2">
      <c r="DO13979" s="303" t="s">
        <v>232</v>
      </c>
    </row>
    <row r="13980" spans="119:119" x14ac:dyDescent="0.2">
      <c r="DO13980" s="303" t="s">
        <v>232</v>
      </c>
    </row>
    <row r="13981" spans="119:119" x14ac:dyDescent="0.2">
      <c r="DO13981" s="303" t="s">
        <v>232</v>
      </c>
    </row>
    <row r="13982" spans="119:119" x14ac:dyDescent="0.2">
      <c r="DO13982" s="303" t="s">
        <v>232</v>
      </c>
    </row>
    <row r="13983" spans="119:119" x14ac:dyDescent="0.2">
      <c r="DO13983" s="303" t="s">
        <v>232</v>
      </c>
    </row>
    <row r="13984" spans="119:119" x14ac:dyDescent="0.2">
      <c r="DO13984" s="303" t="s">
        <v>232</v>
      </c>
    </row>
    <row r="13985" spans="119:119" x14ac:dyDescent="0.2">
      <c r="DO13985" s="303" t="s">
        <v>232</v>
      </c>
    </row>
    <row r="13986" spans="119:119" x14ac:dyDescent="0.2">
      <c r="DO13986" s="303" t="s">
        <v>232</v>
      </c>
    </row>
    <row r="13987" spans="119:119" x14ac:dyDescent="0.2">
      <c r="DO13987" s="303" t="s">
        <v>232</v>
      </c>
    </row>
    <row r="13988" spans="119:119" x14ac:dyDescent="0.2">
      <c r="DO13988" s="303" t="s">
        <v>232</v>
      </c>
    </row>
    <row r="13989" spans="119:119" x14ac:dyDescent="0.2">
      <c r="DO13989" s="303" t="s">
        <v>232</v>
      </c>
    </row>
    <row r="13990" spans="119:119" x14ac:dyDescent="0.2">
      <c r="DO13990" s="303" t="s">
        <v>232</v>
      </c>
    </row>
    <row r="13991" spans="119:119" x14ac:dyDescent="0.2">
      <c r="DO13991" s="303" t="s">
        <v>232</v>
      </c>
    </row>
    <row r="13992" spans="119:119" x14ac:dyDescent="0.2">
      <c r="DO13992" s="303" t="s">
        <v>232</v>
      </c>
    </row>
    <row r="13993" spans="119:119" x14ac:dyDescent="0.2">
      <c r="DO13993" s="303" t="s">
        <v>232</v>
      </c>
    </row>
    <row r="13994" spans="119:119" x14ac:dyDescent="0.2">
      <c r="DO13994" s="303" t="s">
        <v>232</v>
      </c>
    </row>
    <row r="13995" spans="119:119" x14ac:dyDescent="0.2">
      <c r="DO13995" s="303" t="s">
        <v>232</v>
      </c>
    </row>
    <row r="13996" spans="119:119" x14ac:dyDescent="0.2">
      <c r="DO13996" s="303" t="s">
        <v>232</v>
      </c>
    </row>
    <row r="13997" spans="119:119" x14ac:dyDescent="0.2">
      <c r="DO13997" s="303" t="s">
        <v>232</v>
      </c>
    </row>
    <row r="13998" spans="119:119" x14ac:dyDescent="0.2">
      <c r="DO13998" s="303" t="s">
        <v>232</v>
      </c>
    </row>
    <row r="13999" spans="119:119" x14ac:dyDescent="0.2">
      <c r="DO13999" s="303" t="s">
        <v>232</v>
      </c>
    </row>
    <row r="14000" spans="119:119" x14ac:dyDescent="0.2">
      <c r="DO14000" s="303" t="s">
        <v>232</v>
      </c>
    </row>
    <row r="14001" spans="119:119" x14ac:dyDescent="0.2">
      <c r="DO14001" s="303" t="s">
        <v>232</v>
      </c>
    </row>
    <row r="14002" spans="119:119" x14ac:dyDescent="0.2">
      <c r="DO14002" s="303" t="s">
        <v>232</v>
      </c>
    </row>
    <row r="14003" spans="119:119" x14ac:dyDescent="0.2">
      <c r="DO14003" s="303" t="s">
        <v>232</v>
      </c>
    </row>
    <row r="14004" spans="119:119" x14ac:dyDescent="0.2">
      <c r="DO14004" s="303" t="s">
        <v>232</v>
      </c>
    </row>
    <row r="14005" spans="119:119" x14ac:dyDescent="0.2">
      <c r="DO14005" s="303" t="s">
        <v>232</v>
      </c>
    </row>
    <row r="14006" spans="119:119" x14ac:dyDescent="0.2">
      <c r="DO14006" s="303" t="s">
        <v>232</v>
      </c>
    </row>
    <row r="14007" spans="119:119" x14ac:dyDescent="0.2">
      <c r="DO14007" s="303" t="s">
        <v>232</v>
      </c>
    </row>
    <row r="14008" spans="119:119" x14ac:dyDescent="0.2">
      <c r="DO14008" s="303" t="s">
        <v>232</v>
      </c>
    </row>
    <row r="14009" spans="119:119" x14ac:dyDescent="0.2">
      <c r="DO14009" s="303" t="s">
        <v>232</v>
      </c>
    </row>
    <row r="14010" spans="119:119" x14ac:dyDescent="0.2">
      <c r="DO14010" s="303" t="s">
        <v>232</v>
      </c>
    </row>
    <row r="14011" spans="119:119" x14ac:dyDescent="0.2">
      <c r="DO14011" s="303" t="s">
        <v>232</v>
      </c>
    </row>
    <row r="14012" spans="119:119" x14ac:dyDescent="0.2">
      <c r="DO14012" s="303" t="s">
        <v>232</v>
      </c>
    </row>
    <row r="14013" spans="119:119" x14ac:dyDescent="0.2">
      <c r="DO14013" s="303" t="s">
        <v>232</v>
      </c>
    </row>
    <row r="14014" spans="119:119" x14ac:dyDescent="0.2">
      <c r="DO14014" s="303" t="s">
        <v>232</v>
      </c>
    </row>
    <row r="14015" spans="119:119" x14ac:dyDescent="0.2">
      <c r="DO14015" s="303" t="s">
        <v>232</v>
      </c>
    </row>
    <row r="14016" spans="119:119" x14ac:dyDescent="0.2">
      <c r="DO14016" s="303" t="s">
        <v>232</v>
      </c>
    </row>
    <row r="14017" spans="119:119" x14ac:dyDescent="0.2">
      <c r="DO14017" s="303" t="s">
        <v>232</v>
      </c>
    </row>
    <row r="14018" spans="119:119" x14ac:dyDescent="0.2">
      <c r="DO14018" s="303" t="s">
        <v>232</v>
      </c>
    </row>
    <row r="14019" spans="119:119" x14ac:dyDescent="0.2">
      <c r="DO14019" s="303" t="s">
        <v>232</v>
      </c>
    </row>
    <row r="14020" spans="119:119" x14ac:dyDescent="0.2">
      <c r="DO14020" s="303" t="s">
        <v>232</v>
      </c>
    </row>
    <row r="14021" spans="119:119" x14ac:dyDescent="0.2">
      <c r="DO14021" s="303" t="s">
        <v>232</v>
      </c>
    </row>
    <row r="14022" spans="119:119" x14ac:dyDescent="0.2">
      <c r="DO14022" s="303" t="s">
        <v>232</v>
      </c>
    </row>
    <row r="14023" spans="119:119" x14ac:dyDescent="0.2">
      <c r="DO14023" s="303" t="s">
        <v>232</v>
      </c>
    </row>
    <row r="14024" spans="119:119" x14ac:dyDescent="0.2">
      <c r="DO14024" s="303" t="s">
        <v>232</v>
      </c>
    </row>
    <row r="14025" spans="119:119" x14ac:dyDescent="0.2">
      <c r="DO14025" s="303" t="s">
        <v>232</v>
      </c>
    </row>
    <row r="14026" spans="119:119" x14ac:dyDescent="0.2">
      <c r="DO14026" s="303" t="s">
        <v>232</v>
      </c>
    </row>
    <row r="14027" spans="119:119" x14ac:dyDescent="0.2">
      <c r="DO14027" s="303" t="s">
        <v>232</v>
      </c>
    </row>
    <row r="14028" spans="119:119" x14ac:dyDescent="0.2">
      <c r="DO14028" s="303" t="s">
        <v>232</v>
      </c>
    </row>
    <row r="14029" spans="119:119" x14ac:dyDescent="0.2">
      <c r="DO14029" s="303" t="s">
        <v>232</v>
      </c>
    </row>
    <row r="14030" spans="119:119" x14ac:dyDescent="0.2">
      <c r="DO14030" s="303" t="s">
        <v>232</v>
      </c>
    </row>
    <row r="14031" spans="119:119" x14ac:dyDescent="0.2">
      <c r="DO14031" s="303" t="s">
        <v>232</v>
      </c>
    </row>
    <row r="14032" spans="119:119" x14ac:dyDescent="0.2">
      <c r="DO14032" s="303" t="s">
        <v>232</v>
      </c>
    </row>
    <row r="14033" spans="119:119" x14ac:dyDescent="0.2">
      <c r="DO14033" s="303" t="s">
        <v>232</v>
      </c>
    </row>
    <row r="14034" spans="119:119" x14ac:dyDescent="0.2">
      <c r="DO14034" s="303" t="s">
        <v>232</v>
      </c>
    </row>
    <row r="14035" spans="119:119" x14ac:dyDescent="0.2">
      <c r="DO14035" s="303" t="s">
        <v>232</v>
      </c>
    </row>
    <row r="14036" spans="119:119" x14ac:dyDescent="0.2">
      <c r="DO14036" s="303" t="s">
        <v>232</v>
      </c>
    </row>
    <row r="14037" spans="119:119" x14ac:dyDescent="0.2">
      <c r="DO14037" s="303" t="s">
        <v>232</v>
      </c>
    </row>
    <row r="14038" spans="119:119" x14ac:dyDescent="0.2">
      <c r="DO14038" s="303" t="s">
        <v>232</v>
      </c>
    </row>
    <row r="14039" spans="119:119" x14ac:dyDescent="0.2">
      <c r="DO14039" s="303" t="s">
        <v>232</v>
      </c>
    </row>
    <row r="14040" spans="119:119" x14ac:dyDescent="0.2">
      <c r="DO14040" s="303" t="s">
        <v>232</v>
      </c>
    </row>
    <row r="14041" spans="119:119" x14ac:dyDescent="0.2">
      <c r="DO14041" s="303" t="s">
        <v>232</v>
      </c>
    </row>
    <row r="14042" spans="119:119" x14ac:dyDescent="0.2">
      <c r="DO14042" s="303" t="s">
        <v>232</v>
      </c>
    </row>
    <row r="14043" spans="119:119" x14ac:dyDescent="0.2">
      <c r="DO14043" s="303" t="s">
        <v>232</v>
      </c>
    </row>
    <row r="14044" spans="119:119" x14ac:dyDescent="0.2">
      <c r="DO14044" s="303" t="s">
        <v>232</v>
      </c>
    </row>
    <row r="14045" spans="119:119" x14ac:dyDescent="0.2">
      <c r="DO14045" s="303" t="s">
        <v>232</v>
      </c>
    </row>
    <row r="14046" spans="119:119" x14ac:dyDescent="0.2">
      <c r="DO14046" s="303" t="s">
        <v>232</v>
      </c>
    </row>
    <row r="14047" spans="119:119" x14ac:dyDescent="0.2">
      <c r="DO14047" s="303" t="s">
        <v>232</v>
      </c>
    </row>
    <row r="14048" spans="119:119" x14ac:dyDescent="0.2">
      <c r="DO14048" s="303" t="s">
        <v>232</v>
      </c>
    </row>
    <row r="14049" spans="119:119" x14ac:dyDescent="0.2">
      <c r="DO14049" s="303" t="s">
        <v>232</v>
      </c>
    </row>
    <row r="14050" spans="119:119" x14ac:dyDescent="0.2">
      <c r="DO14050" s="303" t="s">
        <v>232</v>
      </c>
    </row>
    <row r="14051" spans="119:119" x14ac:dyDescent="0.2">
      <c r="DO14051" s="303" t="s">
        <v>232</v>
      </c>
    </row>
    <row r="14052" spans="119:119" x14ac:dyDescent="0.2">
      <c r="DO14052" s="303" t="s">
        <v>232</v>
      </c>
    </row>
    <row r="14053" spans="119:119" x14ac:dyDescent="0.2">
      <c r="DO14053" s="303" t="s">
        <v>232</v>
      </c>
    </row>
    <row r="14054" spans="119:119" x14ac:dyDescent="0.2">
      <c r="DO14054" s="303" t="s">
        <v>232</v>
      </c>
    </row>
    <row r="14055" spans="119:119" x14ac:dyDescent="0.2">
      <c r="DO14055" s="303" t="s">
        <v>232</v>
      </c>
    </row>
    <row r="14056" spans="119:119" x14ac:dyDescent="0.2">
      <c r="DO14056" s="303" t="s">
        <v>232</v>
      </c>
    </row>
    <row r="14057" spans="119:119" x14ac:dyDescent="0.2">
      <c r="DO14057" s="303" t="s">
        <v>232</v>
      </c>
    </row>
    <row r="14058" spans="119:119" x14ac:dyDescent="0.2">
      <c r="DO14058" s="303" t="s">
        <v>232</v>
      </c>
    </row>
    <row r="14059" spans="119:119" x14ac:dyDescent="0.2">
      <c r="DO14059" s="303" t="s">
        <v>232</v>
      </c>
    </row>
    <row r="14060" spans="119:119" x14ac:dyDescent="0.2">
      <c r="DO14060" s="303" t="s">
        <v>232</v>
      </c>
    </row>
    <row r="14061" spans="119:119" x14ac:dyDescent="0.2">
      <c r="DO14061" s="303" t="s">
        <v>232</v>
      </c>
    </row>
    <row r="14062" spans="119:119" x14ac:dyDescent="0.2">
      <c r="DO14062" s="303" t="s">
        <v>232</v>
      </c>
    </row>
    <row r="14063" spans="119:119" x14ac:dyDescent="0.2">
      <c r="DO14063" s="303" t="s">
        <v>232</v>
      </c>
    </row>
    <row r="14064" spans="119:119" x14ac:dyDescent="0.2">
      <c r="DO14064" s="303" t="s">
        <v>232</v>
      </c>
    </row>
    <row r="14065" spans="119:119" x14ac:dyDescent="0.2">
      <c r="DO14065" s="303" t="s">
        <v>232</v>
      </c>
    </row>
    <row r="14066" spans="119:119" x14ac:dyDescent="0.2">
      <c r="DO14066" s="303" t="s">
        <v>232</v>
      </c>
    </row>
    <row r="14067" spans="119:119" x14ac:dyDescent="0.2">
      <c r="DO14067" s="303" t="s">
        <v>232</v>
      </c>
    </row>
    <row r="14068" spans="119:119" x14ac:dyDescent="0.2">
      <c r="DO14068" s="303" t="s">
        <v>232</v>
      </c>
    </row>
    <row r="14069" spans="119:119" x14ac:dyDescent="0.2">
      <c r="DO14069" s="303" t="s">
        <v>232</v>
      </c>
    </row>
    <row r="14070" spans="119:119" x14ac:dyDescent="0.2">
      <c r="DO14070" s="303" t="s">
        <v>232</v>
      </c>
    </row>
    <row r="14071" spans="119:119" x14ac:dyDescent="0.2">
      <c r="DO14071" s="303" t="s">
        <v>232</v>
      </c>
    </row>
    <row r="14072" spans="119:119" x14ac:dyDescent="0.2">
      <c r="DO14072" s="303" t="s">
        <v>232</v>
      </c>
    </row>
    <row r="14073" spans="119:119" x14ac:dyDescent="0.2">
      <c r="DO14073" s="303" t="s">
        <v>232</v>
      </c>
    </row>
    <row r="14074" spans="119:119" x14ac:dyDescent="0.2">
      <c r="DO14074" s="303" t="s">
        <v>232</v>
      </c>
    </row>
    <row r="14075" spans="119:119" x14ac:dyDescent="0.2">
      <c r="DO14075" s="303" t="s">
        <v>232</v>
      </c>
    </row>
    <row r="14076" spans="119:119" x14ac:dyDescent="0.2">
      <c r="DO14076" s="303" t="s">
        <v>232</v>
      </c>
    </row>
    <row r="14077" spans="119:119" x14ac:dyDescent="0.2">
      <c r="DO14077" s="303" t="s">
        <v>232</v>
      </c>
    </row>
    <row r="14078" spans="119:119" x14ac:dyDescent="0.2">
      <c r="DO14078" s="303" t="s">
        <v>232</v>
      </c>
    </row>
    <row r="14079" spans="119:119" x14ac:dyDescent="0.2">
      <c r="DO14079" s="303" t="s">
        <v>232</v>
      </c>
    </row>
    <row r="14080" spans="119:119" x14ac:dyDescent="0.2">
      <c r="DO14080" s="303" t="s">
        <v>232</v>
      </c>
    </row>
    <row r="14081" spans="119:119" x14ac:dyDescent="0.2">
      <c r="DO14081" s="303" t="s">
        <v>232</v>
      </c>
    </row>
    <row r="14082" spans="119:119" x14ac:dyDescent="0.2">
      <c r="DO14082" s="303" t="s">
        <v>232</v>
      </c>
    </row>
    <row r="14083" spans="119:119" x14ac:dyDescent="0.2">
      <c r="DO14083" s="303" t="s">
        <v>232</v>
      </c>
    </row>
    <row r="14084" spans="119:119" x14ac:dyDescent="0.2">
      <c r="DO14084" s="303" t="s">
        <v>232</v>
      </c>
    </row>
    <row r="14085" spans="119:119" x14ac:dyDescent="0.2">
      <c r="DO14085" s="303" t="s">
        <v>232</v>
      </c>
    </row>
    <row r="14086" spans="119:119" x14ac:dyDescent="0.2">
      <c r="DO14086" s="303" t="s">
        <v>232</v>
      </c>
    </row>
    <row r="14087" spans="119:119" x14ac:dyDescent="0.2">
      <c r="DO14087" s="303" t="s">
        <v>232</v>
      </c>
    </row>
    <row r="14088" spans="119:119" x14ac:dyDescent="0.2">
      <c r="DO14088" s="303" t="s">
        <v>232</v>
      </c>
    </row>
    <row r="14089" spans="119:119" x14ac:dyDescent="0.2">
      <c r="DO14089" s="303" t="s">
        <v>232</v>
      </c>
    </row>
    <row r="14090" spans="119:119" x14ac:dyDescent="0.2">
      <c r="DO14090" s="303" t="s">
        <v>232</v>
      </c>
    </row>
    <row r="14091" spans="119:119" x14ac:dyDescent="0.2">
      <c r="DO14091" s="303" t="s">
        <v>232</v>
      </c>
    </row>
    <row r="14092" spans="119:119" x14ac:dyDescent="0.2">
      <c r="DO14092" s="303" t="s">
        <v>232</v>
      </c>
    </row>
    <row r="14093" spans="119:119" x14ac:dyDescent="0.2">
      <c r="DO14093" s="303" t="s">
        <v>232</v>
      </c>
    </row>
    <row r="14094" spans="119:119" x14ac:dyDescent="0.2">
      <c r="DO14094" s="303" t="s">
        <v>232</v>
      </c>
    </row>
    <row r="14095" spans="119:119" x14ac:dyDescent="0.2">
      <c r="DO14095" s="303" t="s">
        <v>232</v>
      </c>
    </row>
    <row r="14096" spans="119:119" x14ac:dyDescent="0.2">
      <c r="DO14096" s="303" t="s">
        <v>232</v>
      </c>
    </row>
    <row r="14097" spans="119:119" x14ac:dyDescent="0.2">
      <c r="DO14097" s="303" t="s">
        <v>232</v>
      </c>
    </row>
    <row r="14098" spans="119:119" x14ac:dyDescent="0.2">
      <c r="DO14098" s="303" t="s">
        <v>232</v>
      </c>
    </row>
    <row r="14099" spans="119:119" x14ac:dyDescent="0.2">
      <c r="DO14099" s="303" t="s">
        <v>232</v>
      </c>
    </row>
    <row r="14100" spans="119:119" x14ac:dyDescent="0.2">
      <c r="DO14100" s="303" t="s">
        <v>232</v>
      </c>
    </row>
    <row r="14101" spans="119:119" x14ac:dyDescent="0.2">
      <c r="DO14101" s="303" t="s">
        <v>232</v>
      </c>
    </row>
    <row r="14102" spans="119:119" x14ac:dyDescent="0.2">
      <c r="DO14102" s="303" t="s">
        <v>232</v>
      </c>
    </row>
    <row r="14103" spans="119:119" x14ac:dyDescent="0.2">
      <c r="DO14103" s="303" t="s">
        <v>232</v>
      </c>
    </row>
    <row r="14104" spans="119:119" x14ac:dyDescent="0.2">
      <c r="DO14104" s="303" t="s">
        <v>232</v>
      </c>
    </row>
    <row r="14105" spans="119:119" x14ac:dyDescent="0.2">
      <c r="DO14105" s="303" t="s">
        <v>232</v>
      </c>
    </row>
    <row r="14106" spans="119:119" x14ac:dyDescent="0.2">
      <c r="DO14106" s="303" t="s">
        <v>232</v>
      </c>
    </row>
    <row r="14107" spans="119:119" x14ac:dyDescent="0.2">
      <c r="DO14107" s="303" t="s">
        <v>232</v>
      </c>
    </row>
    <row r="14108" spans="119:119" x14ac:dyDescent="0.2">
      <c r="DO14108" s="303" t="s">
        <v>232</v>
      </c>
    </row>
    <row r="14109" spans="119:119" x14ac:dyDescent="0.2">
      <c r="DO14109" s="303" t="s">
        <v>232</v>
      </c>
    </row>
    <row r="14110" spans="119:119" x14ac:dyDescent="0.2">
      <c r="DO14110" s="303" t="s">
        <v>232</v>
      </c>
    </row>
    <row r="14111" spans="119:119" x14ac:dyDescent="0.2">
      <c r="DO14111" s="303" t="s">
        <v>232</v>
      </c>
    </row>
    <row r="14112" spans="119:119" x14ac:dyDescent="0.2">
      <c r="DO14112" s="303" t="s">
        <v>232</v>
      </c>
    </row>
    <row r="14113" spans="119:119" x14ac:dyDescent="0.2">
      <c r="DO14113" s="303" t="s">
        <v>232</v>
      </c>
    </row>
    <row r="14114" spans="119:119" x14ac:dyDescent="0.2">
      <c r="DO14114" s="303" t="s">
        <v>232</v>
      </c>
    </row>
    <row r="14115" spans="119:119" x14ac:dyDescent="0.2">
      <c r="DO14115" s="303" t="s">
        <v>232</v>
      </c>
    </row>
    <row r="14116" spans="119:119" x14ac:dyDescent="0.2">
      <c r="DO14116" s="303" t="s">
        <v>232</v>
      </c>
    </row>
    <row r="14117" spans="119:119" x14ac:dyDescent="0.2">
      <c r="DO14117" s="303" t="s">
        <v>232</v>
      </c>
    </row>
    <row r="14118" spans="119:119" x14ac:dyDescent="0.2">
      <c r="DO14118" s="303" t="s">
        <v>232</v>
      </c>
    </row>
    <row r="14119" spans="119:119" x14ac:dyDescent="0.2">
      <c r="DO14119" s="303" t="s">
        <v>232</v>
      </c>
    </row>
    <row r="14120" spans="119:119" x14ac:dyDescent="0.2">
      <c r="DO14120" s="303" t="s">
        <v>232</v>
      </c>
    </row>
    <row r="14121" spans="119:119" x14ac:dyDescent="0.2">
      <c r="DO14121" s="303" t="s">
        <v>232</v>
      </c>
    </row>
    <row r="14122" spans="119:119" x14ac:dyDescent="0.2">
      <c r="DO14122" s="303" t="s">
        <v>232</v>
      </c>
    </row>
    <row r="14123" spans="119:119" x14ac:dyDescent="0.2">
      <c r="DO14123" s="303" t="s">
        <v>232</v>
      </c>
    </row>
    <row r="14124" spans="119:119" x14ac:dyDescent="0.2">
      <c r="DO14124" s="303" t="s">
        <v>232</v>
      </c>
    </row>
    <row r="14125" spans="119:119" x14ac:dyDescent="0.2">
      <c r="DO14125" s="303" t="s">
        <v>232</v>
      </c>
    </row>
    <row r="14126" spans="119:119" x14ac:dyDescent="0.2">
      <c r="DO14126" s="303" t="s">
        <v>232</v>
      </c>
    </row>
    <row r="14127" spans="119:119" x14ac:dyDescent="0.2">
      <c r="DO14127" s="303" t="s">
        <v>232</v>
      </c>
    </row>
    <row r="14128" spans="119:119" x14ac:dyDescent="0.2">
      <c r="DO14128" s="303" t="s">
        <v>232</v>
      </c>
    </row>
    <row r="14129" spans="119:119" x14ac:dyDescent="0.2">
      <c r="DO14129" s="303" t="s">
        <v>232</v>
      </c>
    </row>
    <row r="14130" spans="119:119" x14ac:dyDescent="0.2">
      <c r="DO14130" s="303" t="s">
        <v>232</v>
      </c>
    </row>
    <row r="14131" spans="119:119" x14ac:dyDescent="0.2">
      <c r="DO14131" s="303" t="s">
        <v>232</v>
      </c>
    </row>
    <row r="14132" spans="119:119" x14ac:dyDescent="0.2">
      <c r="DO14132" s="303" t="s">
        <v>232</v>
      </c>
    </row>
    <row r="14133" spans="119:119" x14ac:dyDescent="0.2">
      <c r="DO14133" s="303" t="s">
        <v>232</v>
      </c>
    </row>
    <row r="14134" spans="119:119" x14ac:dyDescent="0.2">
      <c r="DO14134" s="303" t="s">
        <v>232</v>
      </c>
    </row>
    <row r="14135" spans="119:119" x14ac:dyDescent="0.2">
      <c r="DO14135" s="303" t="s">
        <v>232</v>
      </c>
    </row>
    <row r="14136" spans="119:119" x14ac:dyDescent="0.2">
      <c r="DO14136" s="303" t="s">
        <v>232</v>
      </c>
    </row>
    <row r="14137" spans="119:119" x14ac:dyDescent="0.2">
      <c r="DO14137" s="303" t="s">
        <v>232</v>
      </c>
    </row>
    <row r="14138" spans="119:119" x14ac:dyDescent="0.2">
      <c r="DO14138" s="303" t="s">
        <v>232</v>
      </c>
    </row>
    <row r="14139" spans="119:119" x14ac:dyDescent="0.2">
      <c r="DO14139" s="303" t="s">
        <v>232</v>
      </c>
    </row>
    <row r="14140" spans="119:119" x14ac:dyDescent="0.2">
      <c r="DO14140" s="303" t="s">
        <v>232</v>
      </c>
    </row>
    <row r="14141" spans="119:119" x14ac:dyDescent="0.2">
      <c r="DO14141" s="303" t="s">
        <v>232</v>
      </c>
    </row>
    <row r="14142" spans="119:119" x14ac:dyDescent="0.2">
      <c r="DO14142" s="303" t="s">
        <v>232</v>
      </c>
    </row>
    <row r="14143" spans="119:119" x14ac:dyDescent="0.2">
      <c r="DO14143" s="303" t="s">
        <v>232</v>
      </c>
    </row>
    <row r="14144" spans="119:119" x14ac:dyDescent="0.2">
      <c r="DO14144" s="303" t="s">
        <v>232</v>
      </c>
    </row>
    <row r="14145" spans="119:119" x14ac:dyDescent="0.2">
      <c r="DO14145" s="303" t="s">
        <v>232</v>
      </c>
    </row>
    <row r="14146" spans="119:119" x14ac:dyDescent="0.2">
      <c r="DO14146" s="303" t="s">
        <v>232</v>
      </c>
    </row>
    <row r="14147" spans="119:119" x14ac:dyDescent="0.2">
      <c r="DO14147" s="303" t="s">
        <v>232</v>
      </c>
    </row>
    <row r="14148" spans="119:119" x14ac:dyDescent="0.2">
      <c r="DO14148" s="303" t="s">
        <v>232</v>
      </c>
    </row>
    <row r="14149" spans="119:119" x14ac:dyDescent="0.2">
      <c r="DO14149" s="303" t="s">
        <v>232</v>
      </c>
    </row>
    <row r="14150" spans="119:119" x14ac:dyDescent="0.2">
      <c r="DO14150" s="303" t="s">
        <v>232</v>
      </c>
    </row>
    <row r="14151" spans="119:119" x14ac:dyDescent="0.2">
      <c r="DO14151" s="303" t="s">
        <v>232</v>
      </c>
    </row>
    <row r="14152" spans="119:119" x14ac:dyDescent="0.2">
      <c r="DO14152" s="303" t="s">
        <v>232</v>
      </c>
    </row>
    <row r="14153" spans="119:119" x14ac:dyDescent="0.2">
      <c r="DO14153" s="303" t="s">
        <v>232</v>
      </c>
    </row>
    <row r="14154" spans="119:119" x14ac:dyDescent="0.2">
      <c r="DO14154" s="303" t="s">
        <v>232</v>
      </c>
    </row>
    <row r="14155" spans="119:119" x14ac:dyDescent="0.2">
      <c r="DO14155" s="303" t="s">
        <v>232</v>
      </c>
    </row>
    <row r="14156" spans="119:119" x14ac:dyDescent="0.2">
      <c r="DO14156" s="303" t="s">
        <v>232</v>
      </c>
    </row>
    <row r="14157" spans="119:119" x14ac:dyDescent="0.2">
      <c r="DO14157" s="303" t="s">
        <v>232</v>
      </c>
    </row>
    <row r="14158" spans="119:119" x14ac:dyDescent="0.2">
      <c r="DO14158" s="303" t="s">
        <v>232</v>
      </c>
    </row>
    <row r="14159" spans="119:119" x14ac:dyDescent="0.2">
      <c r="DO14159" s="303" t="s">
        <v>232</v>
      </c>
    </row>
    <row r="14160" spans="119:119" x14ac:dyDescent="0.2">
      <c r="DO14160" s="303" t="s">
        <v>232</v>
      </c>
    </row>
    <row r="14161" spans="119:119" x14ac:dyDescent="0.2">
      <c r="DO14161" s="303" t="s">
        <v>232</v>
      </c>
    </row>
    <row r="14162" spans="119:119" x14ac:dyDescent="0.2">
      <c r="DO14162" s="303" t="s">
        <v>232</v>
      </c>
    </row>
    <row r="14163" spans="119:119" x14ac:dyDescent="0.2">
      <c r="DO14163" s="303" t="s">
        <v>232</v>
      </c>
    </row>
    <row r="14164" spans="119:119" x14ac:dyDescent="0.2">
      <c r="DO14164" s="303" t="s">
        <v>232</v>
      </c>
    </row>
    <row r="14165" spans="119:119" x14ac:dyDescent="0.2">
      <c r="DO14165" s="303" t="s">
        <v>232</v>
      </c>
    </row>
    <row r="14166" spans="119:119" x14ac:dyDescent="0.2">
      <c r="DO14166" s="303" t="s">
        <v>232</v>
      </c>
    </row>
    <row r="14167" spans="119:119" x14ac:dyDescent="0.2">
      <c r="DO14167" s="303" t="s">
        <v>232</v>
      </c>
    </row>
    <row r="14168" spans="119:119" x14ac:dyDescent="0.2">
      <c r="DO14168" s="303" t="s">
        <v>232</v>
      </c>
    </row>
    <row r="14169" spans="119:119" x14ac:dyDescent="0.2">
      <c r="DO14169" s="303" t="s">
        <v>232</v>
      </c>
    </row>
    <row r="14170" spans="119:119" x14ac:dyDescent="0.2">
      <c r="DO14170" s="303" t="s">
        <v>232</v>
      </c>
    </row>
    <row r="14171" spans="119:119" x14ac:dyDescent="0.2">
      <c r="DO14171" s="303" t="s">
        <v>232</v>
      </c>
    </row>
    <row r="14172" spans="119:119" x14ac:dyDescent="0.2">
      <c r="DO14172" s="303" t="s">
        <v>232</v>
      </c>
    </row>
    <row r="14173" spans="119:119" x14ac:dyDescent="0.2">
      <c r="DO14173" s="303" t="s">
        <v>232</v>
      </c>
    </row>
    <row r="14174" spans="119:119" x14ac:dyDescent="0.2">
      <c r="DO14174" s="303" t="s">
        <v>232</v>
      </c>
    </row>
    <row r="14175" spans="119:119" x14ac:dyDescent="0.2">
      <c r="DO14175" s="303" t="s">
        <v>232</v>
      </c>
    </row>
    <row r="14176" spans="119:119" x14ac:dyDescent="0.2">
      <c r="DO14176" s="303" t="s">
        <v>232</v>
      </c>
    </row>
    <row r="14177" spans="119:119" x14ac:dyDescent="0.2">
      <c r="DO14177" s="303" t="s">
        <v>232</v>
      </c>
    </row>
    <row r="14178" spans="119:119" x14ac:dyDescent="0.2">
      <c r="DO14178" s="303" t="s">
        <v>232</v>
      </c>
    </row>
    <row r="14179" spans="119:119" x14ac:dyDescent="0.2">
      <c r="DO14179" s="303" t="s">
        <v>232</v>
      </c>
    </row>
    <row r="14180" spans="119:119" x14ac:dyDescent="0.2">
      <c r="DO14180" s="303" t="s">
        <v>232</v>
      </c>
    </row>
    <row r="14181" spans="119:119" x14ac:dyDescent="0.2">
      <c r="DO14181" s="303" t="s">
        <v>232</v>
      </c>
    </row>
    <row r="14182" spans="119:119" x14ac:dyDescent="0.2">
      <c r="DO14182" s="303" t="s">
        <v>232</v>
      </c>
    </row>
    <row r="14183" spans="119:119" x14ac:dyDescent="0.2">
      <c r="DO14183" s="303" t="s">
        <v>232</v>
      </c>
    </row>
    <row r="14184" spans="119:119" x14ac:dyDescent="0.2">
      <c r="DO14184" s="303" t="s">
        <v>232</v>
      </c>
    </row>
    <row r="14185" spans="119:119" x14ac:dyDescent="0.2">
      <c r="DO14185" s="303" t="s">
        <v>232</v>
      </c>
    </row>
    <row r="14186" spans="119:119" x14ac:dyDescent="0.2">
      <c r="DO14186" s="303" t="s">
        <v>232</v>
      </c>
    </row>
    <row r="14187" spans="119:119" x14ac:dyDescent="0.2">
      <c r="DO14187" s="303" t="s">
        <v>232</v>
      </c>
    </row>
    <row r="14188" spans="119:119" x14ac:dyDescent="0.2">
      <c r="DO14188" s="303" t="s">
        <v>232</v>
      </c>
    </row>
    <row r="14189" spans="119:119" x14ac:dyDescent="0.2">
      <c r="DO14189" s="303" t="s">
        <v>232</v>
      </c>
    </row>
    <row r="14190" spans="119:119" x14ac:dyDescent="0.2">
      <c r="DO14190" s="303" t="s">
        <v>232</v>
      </c>
    </row>
    <row r="14191" spans="119:119" x14ac:dyDescent="0.2">
      <c r="DO14191" s="303" t="s">
        <v>232</v>
      </c>
    </row>
    <row r="14192" spans="119:119" x14ac:dyDescent="0.2">
      <c r="DO14192" s="303" t="s">
        <v>232</v>
      </c>
    </row>
    <row r="14193" spans="119:119" x14ac:dyDescent="0.2">
      <c r="DO14193" s="303" t="s">
        <v>232</v>
      </c>
    </row>
    <row r="14194" spans="119:119" x14ac:dyDescent="0.2">
      <c r="DO14194" s="303" t="s">
        <v>232</v>
      </c>
    </row>
    <row r="14195" spans="119:119" x14ac:dyDescent="0.2">
      <c r="DO14195" s="303" t="s">
        <v>232</v>
      </c>
    </row>
    <row r="14196" spans="119:119" x14ac:dyDescent="0.2">
      <c r="DO14196" s="303" t="s">
        <v>232</v>
      </c>
    </row>
    <row r="14197" spans="119:119" x14ac:dyDescent="0.2">
      <c r="DO14197" s="303" t="s">
        <v>232</v>
      </c>
    </row>
    <row r="14198" spans="119:119" x14ac:dyDescent="0.2">
      <c r="DO14198" s="303" t="s">
        <v>232</v>
      </c>
    </row>
    <row r="14199" spans="119:119" x14ac:dyDescent="0.2">
      <c r="DO14199" s="303" t="s">
        <v>232</v>
      </c>
    </row>
    <row r="14200" spans="119:119" x14ac:dyDescent="0.2">
      <c r="DO14200" s="303" t="s">
        <v>232</v>
      </c>
    </row>
    <row r="14201" spans="119:119" x14ac:dyDescent="0.2">
      <c r="DO14201" s="303" t="s">
        <v>232</v>
      </c>
    </row>
    <row r="14202" spans="119:119" x14ac:dyDescent="0.2">
      <c r="DO14202" s="303" t="s">
        <v>232</v>
      </c>
    </row>
    <row r="14203" spans="119:119" x14ac:dyDescent="0.2">
      <c r="DO14203" s="303" t="s">
        <v>232</v>
      </c>
    </row>
    <row r="14204" spans="119:119" x14ac:dyDescent="0.2">
      <c r="DO14204" s="303" t="s">
        <v>232</v>
      </c>
    </row>
    <row r="14205" spans="119:119" x14ac:dyDescent="0.2">
      <c r="DO14205" s="303" t="s">
        <v>232</v>
      </c>
    </row>
    <row r="14206" spans="119:119" x14ac:dyDescent="0.2">
      <c r="DO14206" s="303" t="s">
        <v>232</v>
      </c>
    </row>
    <row r="14207" spans="119:119" x14ac:dyDescent="0.2">
      <c r="DO14207" s="303" t="s">
        <v>232</v>
      </c>
    </row>
    <row r="14208" spans="119:119" x14ac:dyDescent="0.2">
      <c r="DO14208" s="303" t="s">
        <v>232</v>
      </c>
    </row>
    <row r="14209" spans="119:119" x14ac:dyDescent="0.2">
      <c r="DO14209" s="303" t="s">
        <v>232</v>
      </c>
    </row>
    <row r="14210" spans="119:119" x14ac:dyDescent="0.2">
      <c r="DO14210" s="303" t="s">
        <v>232</v>
      </c>
    </row>
    <row r="14211" spans="119:119" x14ac:dyDescent="0.2">
      <c r="DO14211" s="303" t="s">
        <v>232</v>
      </c>
    </row>
    <row r="14212" spans="119:119" x14ac:dyDescent="0.2">
      <c r="DO14212" s="303" t="s">
        <v>232</v>
      </c>
    </row>
    <row r="14213" spans="119:119" x14ac:dyDescent="0.2">
      <c r="DO14213" s="303" t="s">
        <v>232</v>
      </c>
    </row>
    <row r="14214" spans="119:119" x14ac:dyDescent="0.2">
      <c r="DO14214" s="303" t="s">
        <v>232</v>
      </c>
    </row>
    <row r="14215" spans="119:119" x14ac:dyDescent="0.2">
      <c r="DO14215" s="303" t="s">
        <v>232</v>
      </c>
    </row>
    <row r="14216" spans="119:119" x14ac:dyDescent="0.2">
      <c r="DO14216" s="303" t="s">
        <v>232</v>
      </c>
    </row>
    <row r="14217" spans="119:119" x14ac:dyDescent="0.2">
      <c r="DO14217" s="303" t="s">
        <v>232</v>
      </c>
    </row>
    <row r="14218" spans="119:119" x14ac:dyDescent="0.2">
      <c r="DO14218" s="303" t="s">
        <v>232</v>
      </c>
    </row>
    <row r="14219" spans="119:119" x14ac:dyDescent="0.2">
      <c r="DO14219" s="303" t="s">
        <v>232</v>
      </c>
    </row>
    <row r="14220" spans="119:119" x14ac:dyDescent="0.2">
      <c r="DO14220" s="303" t="s">
        <v>232</v>
      </c>
    </row>
    <row r="14221" spans="119:119" x14ac:dyDescent="0.2">
      <c r="DO14221" s="303" t="s">
        <v>232</v>
      </c>
    </row>
    <row r="14222" spans="119:119" x14ac:dyDescent="0.2">
      <c r="DO14222" s="303" t="s">
        <v>232</v>
      </c>
    </row>
    <row r="14223" spans="119:119" x14ac:dyDescent="0.2">
      <c r="DO14223" s="303" t="s">
        <v>232</v>
      </c>
    </row>
    <row r="14224" spans="119:119" x14ac:dyDescent="0.2">
      <c r="DO14224" s="303" t="s">
        <v>232</v>
      </c>
    </row>
    <row r="14225" spans="119:119" x14ac:dyDescent="0.2">
      <c r="DO14225" s="303" t="s">
        <v>232</v>
      </c>
    </row>
    <row r="14226" spans="119:119" x14ac:dyDescent="0.2">
      <c r="DO14226" s="303" t="s">
        <v>232</v>
      </c>
    </row>
    <row r="14227" spans="119:119" x14ac:dyDescent="0.2">
      <c r="DO14227" s="303" t="s">
        <v>232</v>
      </c>
    </row>
    <row r="14228" spans="119:119" x14ac:dyDescent="0.2">
      <c r="DO14228" s="303" t="s">
        <v>232</v>
      </c>
    </row>
    <row r="14229" spans="119:119" x14ac:dyDescent="0.2">
      <c r="DO14229" s="303" t="s">
        <v>232</v>
      </c>
    </row>
    <row r="14230" spans="119:119" x14ac:dyDescent="0.2">
      <c r="DO14230" s="303" t="s">
        <v>232</v>
      </c>
    </row>
    <row r="14231" spans="119:119" x14ac:dyDescent="0.2">
      <c r="DO14231" s="303" t="s">
        <v>232</v>
      </c>
    </row>
    <row r="14232" spans="119:119" x14ac:dyDescent="0.2">
      <c r="DO14232" s="303" t="s">
        <v>232</v>
      </c>
    </row>
    <row r="14233" spans="119:119" x14ac:dyDescent="0.2">
      <c r="DO14233" s="303" t="s">
        <v>232</v>
      </c>
    </row>
    <row r="14234" spans="119:119" x14ac:dyDescent="0.2">
      <c r="DO14234" s="303" t="s">
        <v>232</v>
      </c>
    </row>
    <row r="14235" spans="119:119" x14ac:dyDescent="0.2">
      <c r="DO14235" s="303" t="s">
        <v>232</v>
      </c>
    </row>
    <row r="14236" spans="119:119" x14ac:dyDescent="0.2">
      <c r="DO14236" s="303" t="s">
        <v>232</v>
      </c>
    </row>
    <row r="14237" spans="119:119" x14ac:dyDescent="0.2">
      <c r="DO14237" s="303" t="s">
        <v>232</v>
      </c>
    </row>
    <row r="14238" spans="119:119" x14ac:dyDescent="0.2">
      <c r="DO14238" s="303" t="s">
        <v>232</v>
      </c>
    </row>
    <row r="14239" spans="119:119" x14ac:dyDescent="0.2">
      <c r="DO14239" s="303" t="s">
        <v>232</v>
      </c>
    </row>
    <row r="14240" spans="119:119" x14ac:dyDescent="0.2">
      <c r="DO14240" s="303" t="s">
        <v>232</v>
      </c>
    </row>
    <row r="14241" spans="119:119" x14ac:dyDescent="0.2">
      <c r="DO14241" s="303" t="s">
        <v>232</v>
      </c>
    </row>
    <row r="14242" spans="119:119" x14ac:dyDescent="0.2">
      <c r="DO14242" s="303" t="s">
        <v>232</v>
      </c>
    </row>
    <row r="14243" spans="119:119" x14ac:dyDescent="0.2">
      <c r="DO14243" s="303" t="s">
        <v>232</v>
      </c>
    </row>
    <row r="14244" spans="119:119" x14ac:dyDescent="0.2">
      <c r="DO14244" s="303" t="s">
        <v>232</v>
      </c>
    </row>
    <row r="14245" spans="119:119" x14ac:dyDescent="0.2">
      <c r="DO14245" s="303" t="s">
        <v>232</v>
      </c>
    </row>
    <row r="14246" spans="119:119" x14ac:dyDescent="0.2">
      <c r="DO14246" s="303" t="s">
        <v>232</v>
      </c>
    </row>
    <row r="14247" spans="119:119" x14ac:dyDescent="0.2">
      <c r="DO14247" s="303" t="s">
        <v>232</v>
      </c>
    </row>
    <row r="14248" spans="119:119" x14ac:dyDescent="0.2">
      <c r="DO14248" s="303" t="s">
        <v>232</v>
      </c>
    </row>
    <row r="14249" spans="119:119" x14ac:dyDescent="0.2">
      <c r="DO14249" s="303" t="s">
        <v>232</v>
      </c>
    </row>
    <row r="14250" spans="119:119" x14ac:dyDescent="0.2">
      <c r="DO14250" s="303" t="s">
        <v>232</v>
      </c>
    </row>
    <row r="14251" spans="119:119" x14ac:dyDescent="0.2">
      <c r="DO14251" s="303" t="s">
        <v>232</v>
      </c>
    </row>
    <row r="14252" spans="119:119" x14ac:dyDescent="0.2">
      <c r="DO14252" s="303" t="s">
        <v>232</v>
      </c>
    </row>
    <row r="14253" spans="119:119" x14ac:dyDescent="0.2">
      <c r="DO14253" s="303" t="s">
        <v>232</v>
      </c>
    </row>
    <row r="14254" spans="119:119" x14ac:dyDescent="0.2">
      <c r="DO14254" s="303" t="s">
        <v>232</v>
      </c>
    </row>
    <row r="14255" spans="119:119" x14ac:dyDescent="0.2">
      <c r="DO14255" s="303" t="s">
        <v>232</v>
      </c>
    </row>
    <row r="14256" spans="119:119" x14ac:dyDescent="0.2">
      <c r="DO14256" s="303" t="s">
        <v>232</v>
      </c>
    </row>
    <row r="14257" spans="119:119" x14ac:dyDescent="0.2">
      <c r="DO14257" s="303" t="s">
        <v>232</v>
      </c>
    </row>
    <row r="14258" spans="119:119" x14ac:dyDescent="0.2">
      <c r="DO14258" s="303" t="s">
        <v>232</v>
      </c>
    </row>
    <row r="14259" spans="119:119" x14ac:dyDescent="0.2">
      <c r="DO14259" s="303" t="s">
        <v>232</v>
      </c>
    </row>
    <row r="14260" spans="119:119" x14ac:dyDescent="0.2">
      <c r="DO14260" s="303" t="s">
        <v>232</v>
      </c>
    </row>
    <row r="14261" spans="119:119" x14ac:dyDescent="0.2">
      <c r="DO14261" s="303" t="s">
        <v>232</v>
      </c>
    </row>
    <row r="14262" spans="119:119" x14ac:dyDescent="0.2">
      <c r="DO14262" s="303" t="s">
        <v>232</v>
      </c>
    </row>
    <row r="14263" spans="119:119" x14ac:dyDescent="0.2">
      <c r="DO14263" s="303" t="s">
        <v>232</v>
      </c>
    </row>
    <row r="14264" spans="119:119" x14ac:dyDescent="0.2">
      <c r="DO14264" s="303" t="s">
        <v>232</v>
      </c>
    </row>
    <row r="14265" spans="119:119" x14ac:dyDescent="0.2">
      <c r="DO14265" s="303" t="s">
        <v>232</v>
      </c>
    </row>
    <row r="14266" spans="119:119" x14ac:dyDescent="0.2">
      <c r="DO14266" s="303" t="s">
        <v>232</v>
      </c>
    </row>
    <row r="14267" spans="119:119" x14ac:dyDescent="0.2">
      <c r="DO14267" s="303" t="s">
        <v>232</v>
      </c>
    </row>
    <row r="14268" spans="119:119" x14ac:dyDescent="0.2">
      <c r="DO14268" s="303" t="s">
        <v>232</v>
      </c>
    </row>
    <row r="14269" spans="119:119" x14ac:dyDescent="0.2">
      <c r="DO14269" s="303" t="s">
        <v>232</v>
      </c>
    </row>
    <row r="14270" spans="119:119" x14ac:dyDescent="0.2">
      <c r="DO14270" s="303" t="s">
        <v>232</v>
      </c>
    </row>
    <row r="14271" spans="119:119" x14ac:dyDescent="0.2">
      <c r="DO14271" s="303" t="s">
        <v>232</v>
      </c>
    </row>
    <row r="14272" spans="119:119" x14ac:dyDescent="0.2">
      <c r="DO14272" s="303" t="s">
        <v>232</v>
      </c>
    </row>
    <row r="14273" spans="119:119" x14ac:dyDescent="0.2">
      <c r="DO14273" s="303" t="s">
        <v>232</v>
      </c>
    </row>
    <row r="14274" spans="119:119" x14ac:dyDescent="0.2">
      <c r="DO14274" s="303" t="s">
        <v>232</v>
      </c>
    </row>
    <row r="14275" spans="119:119" x14ac:dyDescent="0.2">
      <c r="DO14275" s="303" t="s">
        <v>232</v>
      </c>
    </row>
    <row r="14276" spans="119:119" x14ac:dyDescent="0.2">
      <c r="DO14276" s="303" t="s">
        <v>232</v>
      </c>
    </row>
    <row r="14277" spans="119:119" x14ac:dyDescent="0.2">
      <c r="DO14277" s="303" t="s">
        <v>232</v>
      </c>
    </row>
    <row r="14278" spans="119:119" x14ac:dyDescent="0.2">
      <c r="DO14278" s="303" t="s">
        <v>232</v>
      </c>
    </row>
    <row r="14279" spans="119:119" x14ac:dyDescent="0.2">
      <c r="DO14279" s="303" t="s">
        <v>232</v>
      </c>
    </row>
    <row r="14280" spans="119:119" x14ac:dyDescent="0.2">
      <c r="DO14280" s="303" t="s">
        <v>232</v>
      </c>
    </row>
    <row r="14281" spans="119:119" x14ac:dyDescent="0.2">
      <c r="DO14281" s="303" t="s">
        <v>232</v>
      </c>
    </row>
    <row r="14282" spans="119:119" x14ac:dyDescent="0.2">
      <c r="DO14282" s="303" t="s">
        <v>232</v>
      </c>
    </row>
    <row r="14283" spans="119:119" x14ac:dyDescent="0.2">
      <c r="DO14283" s="303" t="s">
        <v>232</v>
      </c>
    </row>
    <row r="14284" spans="119:119" x14ac:dyDescent="0.2">
      <c r="DO14284" s="303" t="s">
        <v>232</v>
      </c>
    </row>
    <row r="14285" spans="119:119" x14ac:dyDescent="0.2">
      <c r="DO14285" s="303" t="s">
        <v>232</v>
      </c>
    </row>
    <row r="14286" spans="119:119" x14ac:dyDescent="0.2">
      <c r="DO14286" s="303" t="s">
        <v>232</v>
      </c>
    </row>
    <row r="14287" spans="119:119" x14ac:dyDescent="0.2">
      <c r="DO14287" s="303" t="s">
        <v>232</v>
      </c>
    </row>
    <row r="14288" spans="119:119" x14ac:dyDescent="0.2">
      <c r="DO14288" s="303" t="s">
        <v>232</v>
      </c>
    </row>
    <row r="14289" spans="119:119" x14ac:dyDescent="0.2">
      <c r="DO14289" s="303" t="s">
        <v>232</v>
      </c>
    </row>
    <row r="14290" spans="119:119" x14ac:dyDescent="0.2">
      <c r="DO14290" s="303" t="s">
        <v>232</v>
      </c>
    </row>
    <row r="14291" spans="119:119" x14ac:dyDescent="0.2">
      <c r="DO14291" s="303" t="s">
        <v>232</v>
      </c>
    </row>
    <row r="14292" spans="119:119" x14ac:dyDescent="0.2">
      <c r="DO14292" s="303" t="s">
        <v>232</v>
      </c>
    </row>
    <row r="14293" spans="119:119" x14ac:dyDescent="0.2">
      <c r="DO14293" s="303" t="s">
        <v>232</v>
      </c>
    </row>
    <row r="14294" spans="119:119" x14ac:dyDescent="0.2">
      <c r="DO14294" s="303" t="s">
        <v>232</v>
      </c>
    </row>
    <row r="14295" spans="119:119" x14ac:dyDescent="0.2">
      <c r="DO14295" s="303" t="s">
        <v>232</v>
      </c>
    </row>
    <row r="14296" spans="119:119" x14ac:dyDescent="0.2">
      <c r="DO14296" s="303" t="s">
        <v>232</v>
      </c>
    </row>
    <row r="14297" spans="119:119" x14ac:dyDescent="0.2">
      <c r="DO14297" s="303" t="s">
        <v>232</v>
      </c>
    </row>
    <row r="14298" spans="119:119" x14ac:dyDescent="0.2">
      <c r="DO14298" s="303" t="s">
        <v>232</v>
      </c>
    </row>
    <row r="14299" spans="119:119" x14ac:dyDescent="0.2">
      <c r="DO14299" s="303" t="s">
        <v>232</v>
      </c>
    </row>
    <row r="14300" spans="119:119" x14ac:dyDescent="0.2">
      <c r="DO14300" s="303" t="s">
        <v>232</v>
      </c>
    </row>
    <row r="14301" spans="119:119" x14ac:dyDescent="0.2">
      <c r="DO14301" s="303" t="s">
        <v>232</v>
      </c>
    </row>
    <row r="14302" spans="119:119" x14ac:dyDescent="0.2">
      <c r="DO14302" s="303" t="s">
        <v>232</v>
      </c>
    </row>
    <row r="14303" spans="119:119" x14ac:dyDescent="0.2">
      <c r="DO14303" s="303" t="s">
        <v>232</v>
      </c>
    </row>
    <row r="14304" spans="119:119" x14ac:dyDescent="0.2">
      <c r="DO14304" s="303" t="s">
        <v>232</v>
      </c>
    </row>
    <row r="14305" spans="119:119" x14ac:dyDescent="0.2">
      <c r="DO14305" s="303" t="s">
        <v>232</v>
      </c>
    </row>
    <row r="14306" spans="119:119" x14ac:dyDescent="0.2">
      <c r="DO14306" s="303" t="s">
        <v>232</v>
      </c>
    </row>
    <row r="14307" spans="119:119" x14ac:dyDescent="0.2">
      <c r="DO14307" s="303" t="s">
        <v>232</v>
      </c>
    </row>
    <row r="14308" spans="119:119" x14ac:dyDescent="0.2">
      <c r="DO14308" s="303" t="s">
        <v>232</v>
      </c>
    </row>
    <row r="14309" spans="119:119" x14ac:dyDescent="0.2">
      <c r="DO14309" s="303" t="s">
        <v>232</v>
      </c>
    </row>
    <row r="14310" spans="119:119" x14ac:dyDescent="0.2">
      <c r="DO14310" s="303" t="s">
        <v>232</v>
      </c>
    </row>
    <row r="14311" spans="119:119" x14ac:dyDescent="0.2">
      <c r="DO14311" s="303" t="s">
        <v>232</v>
      </c>
    </row>
    <row r="14312" spans="119:119" x14ac:dyDescent="0.2">
      <c r="DO14312" s="303" t="s">
        <v>232</v>
      </c>
    </row>
    <row r="14313" spans="119:119" x14ac:dyDescent="0.2">
      <c r="DO14313" s="303" t="s">
        <v>232</v>
      </c>
    </row>
    <row r="14314" spans="119:119" x14ac:dyDescent="0.2">
      <c r="DO14314" s="303" t="s">
        <v>232</v>
      </c>
    </row>
    <row r="14315" spans="119:119" x14ac:dyDescent="0.2">
      <c r="DO14315" s="303" t="s">
        <v>232</v>
      </c>
    </row>
    <row r="14316" spans="119:119" x14ac:dyDescent="0.2">
      <c r="DO14316" s="303" t="s">
        <v>232</v>
      </c>
    </row>
    <row r="14317" spans="119:119" x14ac:dyDescent="0.2">
      <c r="DO14317" s="303" t="s">
        <v>232</v>
      </c>
    </row>
    <row r="14318" spans="119:119" x14ac:dyDescent="0.2">
      <c r="DO14318" s="303" t="s">
        <v>232</v>
      </c>
    </row>
    <row r="14319" spans="119:119" x14ac:dyDescent="0.2">
      <c r="DO14319" s="303" t="s">
        <v>232</v>
      </c>
    </row>
    <row r="14320" spans="119:119" x14ac:dyDescent="0.2">
      <c r="DO14320" s="303" t="s">
        <v>232</v>
      </c>
    </row>
    <row r="14321" spans="119:119" x14ac:dyDescent="0.2">
      <c r="DO14321" s="303" t="s">
        <v>232</v>
      </c>
    </row>
    <row r="14322" spans="119:119" x14ac:dyDescent="0.2">
      <c r="DO14322" s="303" t="s">
        <v>232</v>
      </c>
    </row>
    <row r="14323" spans="119:119" x14ac:dyDescent="0.2">
      <c r="DO14323" s="303" t="s">
        <v>232</v>
      </c>
    </row>
    <row r="14324" spans="119:119" x14ac:dyDescent="0.2">
      <c r="DO14324" s="303" t="s">
        <v>232</v>
      </c>
    </row>
    <row r="14325" spans="119:119" x14ac:dyDescent="0.2">
      <c r="DO14325" s="303" t="s">
        <v>232</v>
      </c>
    </row>
    <row r="14326" spans="119:119" x14ac:dyDescent="0.2">
      <c r="DO14326" s="303" t="s">
        <v>232</v>
      </c>
    </row>
    <row r="14327" spans="119:119" x14ac:dyDescent="0.2">
      <c r="DO14327" s="303" t="s">
        <v>232</v>
      </c>
    </row>
    <row r="14328" spans="119:119" x14ac:dyDescent="0.2">
      <c r="DO14328" s="303" t="s">
        <v>232</v>
      </c>
    </row>
    <row r="14329" spans="119:119" x14ac:dyDescent="0.2">
      <c r="DO14329" s="303" t="s">
        <v>232</v>
      </c>
    </row>
    <row r="14330" spans="119:119" x14ac:dyDescent="0.2">
      <c r="DO14330" s="303" t="s">
        <v>232</v>
      </c>
    </row>
    <row r="14331" spans="119:119" x14ac:dyDescent="0.2">
      <c r="DO14331" s="303" t="s">
        <v>232</v>
      </c>
    </row>
    <row r="14332" spans="119:119" x14ac:dyDescent="0.2">
      <c r="DO14332" s="303" t="s">
        <v>232</v>
      </c>
    </row>
    <row r="14333" spans="119:119" x14ac:dyDescent="0.2">
      <c r="DO14333" s="303" t="s">
        <v>232</v>
      </c>
    </row>
    <row r="14334" spans="119:119" x14ac:dyDescent="0.2">
      <c r="DO14334" s="303" t="s">
        <v>232</v>
      </c>
    </row>
    <row r="14335" spans="119:119" x14ac:dyDescent="0.2">
      <c r="DO14335" s="303" t="s">
        <v>232</v>
      </c>
    </row>
    <row r="14336" spans="119:119" x14ac:dyDescent="0.2">
      <c r="DO14336" s="303" t="s">
        <v>232</v>
      </c>
    </row>
    <row r="14337" spans="119:119" x14ac:dyDescent="0.2">
      <c r="DO14337" s="303" t="s">
        <v>232</v>
      </c>
    </row>
    <row r="14338" spans="119:119" x14ac:dyDescent="0.2">
      <c r="DO14338" s="303" t="s">
        <v>232</v>
      </c>
    </row>
    <row r="14339" spans="119:119" x14ac:dyDescent="0.2">
      <c r="DO14339" s="303" t="s">
        <v>232</v>
      </c>
    </row>
    <row r="14340" spans="119:119" x14ac:dyDescent="0.2">
      <c r="DO14340" s="303" t="s">
        <v>232</v>
      </c>
    </row>
    <row r="14341" spans="119:119" x14ac:dyDescent="0.2">
      <c r="DO14341" s="303" t="s">
        <v>232</v>
      </c>
    </row>
    <row r="14342" spans="119:119" x14ac:dyDescent="0.2">
      <c r="DO14342" s="303" t="s">
        <v>232</v>
      </c>
    </row>
    <row r="14343" spans="119:119" x14ac:dyDescent="0.2">
      <c r="DO14343" s="303" t="s">
        <v>232</v>
      </c>
    </row>
    <row r="14344" spans="119:119" x14ac:dyDescent="0.2">
      <c r="DO14344" s="303" t="s">
        <v>232</v>
      </c>
    </row>
    <row r="14345" spans="119:119" x14ac:dyDescent="0.2">
      <c r="DO14345" s="303" t="s">
        <v>232</v>
      </c>
    </row>
    <row r="14346" spans="119:119" x14ac:dyDescent="0.2">
      <c r="DO14346" s="303" t="s">
        <v>232</v>
      </c>
    </row>
    <row r="14347" spans="119:119" x14ac:dyDescent="0.2">
      <c r="DO14347" s="303" t="s">
        <v>232</v>
      </c>
    </row>
    <row r="14348" spans="119:119" x14ac:dyDescent="0.2">
      <c r="DO14348" s="303" t="s">
        <v>232</v>
      </c>
    </row>
    <row r="14349" spans="119:119" x14ac:dyDescent="0.2">
      <c r="DO14349" s="303" t="s">
        <v>232</v>
      </c>
    </row>
    <row r="14350" spans="119:119" x14ac:dyDescent="0.2">
      <c r="DO14350" s="303" t="s">
        <v>232</v>
      </c>
    </row>
    <row r="14351" spans="119:119" x14ac:dyDescent="0.2">
      <c r="DO14351" s="303" t="s">
        <v>232</v>
      </c>
    </row>
    <row r="14352" spans="119:119" x14ac:dyDescent="0.2">
      <c r="DO14352" s="303" t="s">
        <v>232</v>
      </c>
    </row>
    <row r="14353" spans="119:119" x14ac:dyDescent="0.2">
      <c r="DO14353" s="303" t="s">
        <v>232</v>
      </c>
    </row>
    <row r="14354" spans="119:119" x14ac:dyDescent="0.2">
      <c r="DO14354" s="303" t="s">
        <v>232</v>
      </c>
    </row>
    <row r="14355" spans="119:119" x14ac:dyDescent="0.2">
      <c r="DO14355" s="303" t="s">
        <v>232</v>
      </c>
    </row>
    <row r="14356" spans="119:119" x14ac:dyDescent="0.2">
      <c r="DO14356" s="303" t="s">
        <v>232</v>
      </c>
    </row>
    <row r="14357" spans="119:119" x14ac:dyDescent="0.2">
      <c r="DO14357" s="303" t="s">
        <v>232</v>
      </c>
    </row>
    <row r="14358" spans="119:119" x14ac:dyDescent="0.2">
      <c r="DO14358" s="303" t="s">
        <v>232</v>
      </c>
    </row>
    <row r="14359" spans="119:119" x14ac:dyDescent="0.2">
      <c r="DO14359" s="303" t="s">
        <v>232</v>
      </c>
    </row>
    <row r="14360" spans="119:119" x14ac:dyDescent="0.2">
      <c r="DO14360" s="303" t="s">
        <v>232</v>
      </c>
    </row>
    <row r="14361" spans="119:119" x14ac:dyDescent="0.2">
      <c r="DO14361" s="303" t="s">
        <v>232</v>
      </c>
    </row>
    <row r="14362" spans="119:119" x14ac:dyDescent="0.2">
      <c r="DO14362" s="303" t="s">
        <v>232</v>
      </c>
    </row>
    <row r="14363" spans="119:119" x14ac:dyDescent="0.2">
      <c r="DO14363" s="303" t="s">
        <v>232</v>
      </c>
    </row>
    <row r="14364" spans="119:119" x14ac:dyDescent="0.2">
      <c r="DO14364" s="303" t="s">
        <v>232</v>
      </c>
    </row>
    <row r="14365" spans="119:119" x14ac:dyDescent="0.2">
      <c r="DO14365" s="303" t="s">
        <v>232</v>
      </c>
    </row>
    <row r="14366" spans="119:119" x14ac:dyDescent="0.2">
      <c r="DO14366" s="303" t="s">
        <v>232</v>
      </c>
    </row>
    <row r="14367" spans="119:119" x14ac:dyDescent="0.2">
      <c r="DO14367" s="303" t="s">
        <v>232</v>
      </c>
    </row>
    <row r="14368" spans="119:119" x14ac:dyDescent="0.2">
      <c r="DO14368" s="303" t="s">
        <v>232</v>
      </c>
    </row>
    <row r="14369" spans="119:119" x14ac:dyDescent="0.2">
      <c r="DO14369" s="303" t="s">
        <v>232</v>
      </c>
    </row>
    <row r="14370" spans="119:119" x14ac:dyDescent="0.2">
      <c r="DO14370" s="303" t="s">
        <v>232</v>
      </c>
    </row>
    <row r="14371" spans="119:119" x14ac:dyDescent="0.2">
      <c r="DO14371" s="303" t="s">
        <v>232</v>
      </c>
    </row>
    <row r="14372" spans="119:119" x14ac:dyDescent="0.2">
      <c r="DO14372" s="303" t="s">
        <v>232</v>
      </c>
    </row>
    <row r="14373" spans="119:119" x14ac:dyDescent="0.2">
      <c r="DO14373" s="303" t="s">
        <v>232</v>
      </c>
    </row>
    <row r="14374" spans="119:119" x14ac:dyDescent="0.2">
      <c r="DO14374" s="303" t="s">
        <v>232</v>
      </c>
    </row>
    <row r="14375" spans="119:119" x14ac:dyDescent="0.2">
      <c r="DO14375" s="303" t="s">
        <v>232</v>
      </c>
    </row>
    <row r="14376" spans="119:119" x14ac:dyDescent="0.2">
      <c r="DO14376" s="303" t="s">
        <v>232</v>
      </c>
    </row>
    <row r="14377" spans="119:119" x14ac:dyDescent="0.2">
      <c r="DO14377" s="303" t="s">
        <v>232</v>
      </c>
    </row>
    <row r="14378" spans="119:119" x14ac:dyDescent="0.2">
      <c r="DO14378" s="303" t="s">
        <v>232</v>
      </c>
    </row>
    <row r="14379" spans="119:119" x14ac:dyDescent="0.2">
      <c r="DO14379" s="303" t="s">
        <v>232</v>
      </c>
    </row>
    <row r="14380" spans="119:119" x14ac:dyDescent="0.2">
      <c r="DO14380" s="303" t="s">
        <v>232</v>
      </c>
    </row>
    <row r="14381" spans="119:119" x14ac:dyDescent="0.2">
      <c r="DO14381" s="303" t="s">
        <v>232</v>
      </c>
    </row>
    <row r="14382" spans="119:119" x14ac:dyDescent="0.2">
      <c r="DO14382" s="303" t="s">
        <v>232</v>
      </c>
    </row>
    <row r="14383" spans="119:119" x14ac:dyDescent="0.2">
      <c r="DO14383" s="303" t="s">
        <v>232</v>
      </c>
    </row>
    <row r="14384" spans="119:119" x14ac:dyDescent="0.2">
      <c r="DO14384" s="303" t="s">
        <v>232</v>
      </c>
    </row>
    <row r="14385" spans="119:119" x14ac:dyDescent="0.2">
      <c r="DO14385" s="303" t="s">
        <v>232</v>
      </c>
    </row>
    <row r="14386" spans="119:119" x14ac:dyDescent="0.2">
      <c r="DO14386" s="303" t="s">
        <v>232</v>
      </c>
    </row>
    <row r="14387" spans="119:119" x14ac:dyDescent="0.2">
      <c r="DO14387" s="303" t="s">
        <v>232</v>
      </c>
    </row>
    <row r="14388" spans="119:119" x14ac:dyDescent="0.2">
      <c r="DO14388" s="303" t="s">
        <v>232</v>
      </c>
    </row>
    <row r="14389" spans="119:119" x14ac:dyDescent="0.2">
      <c r="DO14389" s="303" t="s">
        <v>232</v>
      </c>
    </row>
    <row r="14390" spans="119:119" x14ac:dyDescent="0.2">
      <c r="DO14390" s="303" t="s">
        <v>232</v>
      </c>
    </row>
    <row r="14391" spans="119:119" x14ac:dyDescent="0.2">
      <c r="DO14391" s="303" t="s">
        <v>232</v>
      </c>
    </row>
    <row r="14392" spans="119:119" x14ac:dyDescent="0.2">
      <c r="DO14392" s="303" t="s">
        <v>232</v>
      </c>
    </row>
    <row r="14393" spans="119:119" x14ac:dyDescent="0.2">
      <c r="DO14393" s="303" t="s">
        <v>232</v>
      </c>
    </row>
    <row r="14394" spans="119:119" x14ac:dyDescent="0.2">
      <c r="DO14394" s="303" t="s">
        <v>232</v>
      </c>
    </row>
    <row r="14395" spans="119:119" x14ac:dyDescent="0.2">
      <c r="DO14395" s="303" t="s">
        <v>232</v>
      </c>
    </row>
    <row r="14396" spans="119:119" x14ac:dyDescent="0.2">
      <c r="DO14396" s="303" t="s">
        <v>232</v>
      </c>
    </row>
    <row r="14397" spans="119:119" x14ac:dyDescent="0.2">
      <c r="DO14397" s="303" t="s">
        <v>232</v>
      </c>
    </row>
    <row r="14398" spans="119:119" x14ac:dyDescent="0.2">
      <c r="DO14398" s="303" t="s">
        <v>232</v>
      </c>
    </row>
    <row r="14399" spans="119:119" x14ac:dyDescent="0.2">
      <c r="DO14399" s="303" t="s">
        <v>232</v>
      </c>
    </row>
    <row r="14400" spans="119:119" x14ac:dyDescent="0.2">
      <c r="DO14400" s="303" t="s">
        <v>232</v>
      </c>
    </row>
    <row r="14401" spans="119:119" x14ac:dyDescent="0.2">
      <c r="DO14401" s="303" t="s">
        <v>232</v>
      </c>
    </row>
    <row r="14402" spans="119:119" x14ac:dyDescent="0.2">
      <c r="DO14402" s="303" t="s">
        <v>232</v>
      </c>
    </row>
    <row r="14403" spans="119:119" x14ac:dyDescent="0.2">
      <c r="DO14403" s="303" t="s">
        <v>232</v>
      </c>
    </row>
    <row r="14404" spans="119:119" x14ac:dyDescent="0.2">
      <c r="DO14404" s="303" t="s">
        <v>232</v>
      </c>
    </row>
    <row r="14405" spans="119:119" x14ac:dyDescent="0.2">
      <c r="DO14405" s="303" t="s">
        <v>232</v>
      </c>
    </row>
    <row r="14406" spans="119:119" x14ac:dyDescent="0.2">
      <c r="DO14406" s="303" t="s">
        <v>232</v>
      </c>
    </row>
    <row r="14407" spans="119:119" x14ac:dyDescent="0.2">
      <c r="DO14407" s="303" t="s">
        <v>232</v>
      </c>
    </row>
    <row r="14408" spans="119:119" x14ac:dyDescent="0.2">
      <c r="DO14408" s="303" t="s">
        <v>232</v>
      </c>
    </row>
    <row r="14409" spans="119:119" x14ac:dyDescent="0.2">
      <c r="DO14409" s="303" t="s">
        <v>232</v>
      </c>
    </row>
    <row r="14410" spans="119:119" x14ac:dyDescent="0.2">
      <c r="DO14410" s="303" t="s">
        <v>232</v>
      </c>
    </row>
    <row r="14411" spans="119:119" x14ac:dyDescent="0.2">
      <c r="DO14411" s="303" t="s">
        <v>232</v>
      </c>
    </row>
    <row r="14412" spans="119:119" x14ac:dyDescent="0.2">
      <c r="DO14412" s="303" t="s">
        <v>232</v>
      </c>
    </row>
    <row r="14413" spans="119:119" x14ac:dyDescent="0.2">
      <c r="DO14413" s="303" t="s">
        <v>232</v>
      </c>
    </row>
    <row r="14414" spans="119:119" x14ac:dyDescent="0.2">
      <c r="DO14414" s="303" t="s">
        <v>232</v>
      </c>
    </row>
    <row r="14415" spans="119:119" x14ac:dyDescent="0.2">
      <c r="DO14415" s="303" t="s">
        <v>232</v>
      </c>
    </row>
    <row r="14416" spans="119:119" x14ac:dyDescent="0.2">
      <c r="DO14416" s="303" t="s">
        <v>232</v>
      </c>
    </row>
    <row r="14417" spans="119:119" x14ac:dyDescent="0.2">
      <c r="DO14417" s="303" t="s">
        <v>232</v>
      </c>
    </row>
    <row r="14418" spans="119:119" x14ac:dyDescent="0.2">
      <c r="DO14418" s="303" t="s">
        <v>232</v>
      </c>
    </row>
    <row r="14419" spans="119:119" x14ac:dyDescent="0.2">
      <c r="DO14419" s="303" t="s">
        <v>232</v>
      </c>
    </row>
    <row r="14420" spans="119:119" x14ac:dyDescent="0.2">
      <c r="DO14420" s="303" t="s">
        <v>232</v>
      </c>
    </row>
    <row r="14421" spans="119:119" x14ac:dyDescent="0.2">
      <c r="DO14421" s="303" t="s">
        <v>232</v>
      </c>
    </row>
    <row r="14422" spans="119:119" x14ac:dyDescent="0.2">
      <c r="DO14422" s="303" t="s">
        <v>232</v>
      </c>
    </row>
    <row r="14423" spans="119:119" x14ac:dyDescent="0.2">
      <c r="DO14423" s="303" t="s">
        <v>232</v>
      </c>
    </row>
    <row r="14424" spans="119:119" x14ac:dyDescent="0.2">
      <c r="DO14424" s="303" t="s">
        <v>232</v>
      </c>
    </row>
    <row r="14425" spans="119:119" x14ac:dyDescent="0.2">
      <c r="DO14425" s="303" t="s">
        <v>232</v>
      </c>
    </row>
    <row r="14426" spans="119:119" x14ac:dyDescent="0.2">
      <c r="DO14426" s="303" t="s">
        <v>232</v>
      </c>
    </row>
    <row r="14427" spans="119:119" x14ac:dyDescent="0.2">
      <c r="DO14427" s="303" t="s">
        <v>232</v>
      </c>
    </row>
    <row r="14428" spans="119:119" x14ac:dyDescent="0.2">
      <c r="DO14428" s="303" t="s">
        <v>232</v>
      </c>
    </row>
    <row r="14429" spans="119:119" x14ac:dyDescent="0.2">
      <c r="DO14429" s="303" t="s">
        <v>232</v>
      </c>
    </row>
    <row r="14430" spans="119:119" x14ac:dyDescent="0.2">
      <c r="DO14430" s="303" t="s">
        <v>232</v>
      </c>
    </row>
    <row r="14431" spans="119:119" x14ac:dyDescent="0.2">
      <c r="DO14431" s="303" t="s">
        <v>232</v>
      </c>
    </row>
    <row r="14432" spans="119:119" x14ac:dyDescent="0.2">
      <c r="DO14432" s="303" t="s">
        <v>232</v>
      </c>
    </row>
    <row r="14433" spans="119:119" x14ac:dyDescent="0.2">
      <c r="DO14433" s="303" t="s">
        <v>232</v>
      </c>
    </row>
    <row r="14434" spans="119:119" x14ac:dyDescent="0.2">
      <c r="DO14434" s="303" t="s">
        <v>232</v>
      </c>
    </row>
    <row r="14435" spans="119:119" x14ac:dyDescent="0.2">
      <c r="DO14435" s="303" t="s">
        <v>232</v>
      </c>
    </row>
    <row r="14436" spans="119:119" x14ac:dyDescent="0.2">
      <c r="DO14436" s="303" t="s">
        <v>232</v>
      </c>
    </row>
    <row r="14437" spans="119:119" x14ac:dyDescent="0.2">
      <c r="DO14437" s="303" t="s">
        <v>232</v>
      </c>
    </row>
    <row r="14438" spans="119:119" x14ac:dyDescent="0.2">
      <c r="DO14438" s="303" t="s">
        <v>232</v>
      </c>
    </row>
    <row r="14439" spans="119:119" x14ac:dyDescent="0.2">
      <c r="DO14439" s="303" t="s">
        <v>232</v>
      </c>
    </row>
    <row r="14440" spans="119:119" x14ac:dyDescent="0.2">
      <c r="DO14440" s="303" t="s">
        <v>232</v>
      </c>
    </row>
    <row r="14441" spans="119:119" x14ac:dyDescent="0.2">
      <c r="DO14441" s="303" t="s">
        <v>232</v>
      </c>
    </row>
    <row r="14442" spans="119:119" x14ac:dyDescent="0.2">
      <c r="DO14442" s="303" t="s">
        <v>232</v>
      </c>
    </row>
    <row r="14443" spans="119:119" x14ac:dyDescent="0.2">
      <c r="DO14443" s="303" t="s">
        <v>232</v>
      </c>
    </row>
    <row r="14444" spans="119:119" x14ac:dyDescent="0.2">
      <c r="DO14444" s="303" t="s">
        <v>232</v>
      </c>
    </row>
    <row r="14445" spans="119:119" x14ac:dyDescent="0.2">
      <c r="DO14445" s="303" t="s">
        <v>232</v>
      </c>
    </row>
    <row r="14446" spans="119:119" x14ac:dyDescent="0.2">
      <c r="DO14446" s="303" t="s">
        <v>232</v>
      </c>
    </row>
    <row r="14447" spans="119:119" x14ac:dyDescent="0.2">
      <c r="DO14447" s="303" t="s">
        <v>232</v>
      </c>
    </row>
    <row r="14448" spans="119:119" x14ac:dyDescent="0.2">
      <c r="DO14448" s="303" t="s">
        <v>232</v>
      </c>
    </row>
    <row r="14449" spans="119:119" x14ac:dyDescent="0.2">
      <c r="DO14449" s="303" t="s">
        <v>232</v>
      </c>
    </row>
    <row r="14450" spans="119:119" x14ac:dyDescent="0.2">
      <c r="DO14450" s="303" t="s">
        <v>232</v>
      </c>
    </row>
    <row r="14451" spans="119:119" x14ac:dyDescent="0.2">
      <c r="DO14451" s="303" t="s">
        <v>232</v>
      </c>
    </row>
    <row r="14452" spans="119:119" x14ac:dyDescent="0.2">
      <c r="DO14452" s="303" t="s">
        <v>232</v>
      </c>
    </row>
    <row r="14453" spans="119:119" x14ac:dyDescent="0.2">
      <c r="DO14453" s="303" t="s">
        <v>232</v>
      </c>
    </row>
    <row r="14454" spans="119:119" x14ac:dyDescent="0.2">
      <c r="DO14454" s="303" t="s">
        <v>232</v>
      </c>
    </row>
    <row r="14455" spans="119:119" x14ac:dyDescent="0.2">
      <c r="DO14455" s="303" t="s">
        <v>232</v>
      </c>
    </row>
    <row r="14456" spans="119:119" x14ac:dyDescent="0.2">
      <c r="DO14456" s="303" t="s">
        <v>232</v>
      </c>
    </row>
    <row r="14457" spans="119:119" x14ac:dyDescent="0.2">
      <c r="DO14457" s="303" t="s">
        <v>232</v>
      </c>
    </row>
    <row r="14458" spans="119:119" x14ac:dyDescent="0.2">
      <c r="DO14458" s="303" t="s">
        <v>232</v>
      </c>
    </row>
    <row r="14459" spans="119:119" x14ac:dyDescent="0.2">
      <c r="DO14459" s="303" t="s">
        <v>232</v>
      </c>
    </row>
    <row r="14460" spans="119:119" x14ac:dyDescent="0.2">
      <c r="DO14460" s="303" t="s">
        <v>232</v>
      </c>
    </row>
    <row r="14461" spans="119:119" x14ac:dyDescent="0.2">
      <c r="DO14461" s="303" t="s">
        <v>232</v>
      </c>
    </row>
    <row r="14462" spans="119:119" x14ac:dyDescent="0.2">
      <c r="DO14462" s="303" t="s">
        <v>232</v>
      </c>
    </row>
    <row r="14463" spans="119:119" x14ac:dyDescent="0.2">
      <c r="DO14463" s="303" t="s">
        <v>232</v>
      </c>
    </row>
    <row r="14464" spans="119:119" x14ac:dyDescent="0.2">
      <c r="DO14464" s="303" t="s">
        <v>232</v>
      </c>
    </row>
    <row r="14465" spans="119:119" x14ac:dyDescent="0.2">
      <c r="DO14465" s="303" t="s">
        <v>232</v>
      </c>
    </row>
    <row r="14466" spans="119:119" x14ac:dyDescent="0.2">
      <c r="DO14466" s="303" t="s">
        <v>232</v>
      </c>
    </row>
    <row r="14467" spans="119:119" x14ac:dyDescent="0.2">
      <c r="DO14467" s="303" t="s">
        <v>232</v>
      </c>
    </row>
    <row r="14468" spans="119:119" x14ac:dyDescent="0.2">
      <c r="DO14468" s="303" t="s">
        <v>232</v>
      </c>
    </row>
    <row r="14469" spans="119:119" x14ac:dyDescent="0.2">
      <c r="DO14469" s="303" t="s">
        <v>232</v>
      </c>
    </row>
    <row r="14470" spans="119:119" x14ac:dyDescent="0.2">
      <c r="DO14470" s="303" t="s">
        <v>232</v>
      </c>
    </row>
    <row r="14471" spans="119:119" x14ac:dyDescent="0.2">
      <c r="DO14471" s="303" t="s">
        <v>232</v>
      </c>
    </row>
    <row r="14472" spans="119:119" x14ac:dyDescent="0.2">
      <c r="DO14472" s="303" t="s">
        <v>232</v>
      </c>
    </row>
    <row r="14473" spans="119:119" x14ac:dyDescent="0.2">
      <c r="DO14473" s="303" t="s">
        <v>232</v>
      </c>
    </row>
    <row r="14474" spans="119:119" x14ac:dyDescent="0.2">
      <c r="DO14474" s="303" t="s">
        <v>232</v>
      </c>
    </row>
    <row r="14475" spans="119:119" x14ac:dyDescent="0.2">
      <c r="DO14475" s="303" t="s">
        <v>232</v>
      </c>
    </row>
    <row r="14476" spans="119:119" x14ac:dyDescent="0.2">
      <c r="DO14476" s="303" t="s">
        <v>232</v>
      </c>
    </row>
    <row r="14477" spans="119:119" x14ac:dyDescent="0.2">
      <c r="DO14477" s="303" t="s">
        <v>232</v>
      </c>
    </row>
    <row r="14478" spans="119:119" x14ac:dyDescent="0.2">
      <c r="DO14478" s="303" t="s">
        <v>232</v>
      </c>
    </row>
    <row r="14479" spans="119:119" x14ac:dyDescent="0.2">
      <c r="DO14479" s="303" t="s">
        <v>232</v>
      </c>
    </row>
    <row r="14480" spans="119:119" x14ac:dyDescent="0.2">
      <c r="DO14480" s="303" t="s">
        <v>232</v>
      </c>
    </row>
    <row r="14481" spans="119:119" x14ac:dyDescent="0.2">
      <c r="DO14481" s="303" t="s">
        <v>232</v>
      </c>
    </row>
    <row r="14482" spans="119:119" x14ac:dyDescent="0.2">
      <c r="DO14482" s="303" t="s">
        <v>232</v>
      </c>
    </row>
    <row r="14483" spans="119:119" x14ac:dyDescent="0.2">
      <c r="DO14483" s="303" t="s">
        <v>232</v>
      </c>
    </row>
    <row r="14484" spans="119:119" x14ac:dyDescent="0.2">
      <c r="DO14484" s="303" t="s">
        <v>232</v>
      </c>
    </row>
    <row r="14485" spans="119:119" x14ac:dyDescent="0.2">
      <c r="DO14485" s="303" t="s">
        <v>232</v>
      </c>
    </row>
    <row r="14486" spans="119:119" x14ac:dyDescent="0.2">
      <c r="DO14486" s="303" t="s">
        <v>232</v>
      </c>
    </row>
    <row r="14487" spans="119:119" x14ac:dyDescent="0.2">
      <c r="DO14487" s="303" t="s">
        <v>232</v>
      </c>
    </row>
    <row r="14488" spans="119:119" x14ac:dyDescent="0.2">
      <c r="DO14488" s="303" t="s">
        <v>232</v>
      </c>
    </row>
    <row r="14489" spans="119:119" x14ac:dyDescent="0.2">
      <c r="DO14489" s="303" t="s">
        <v>232</v>
      </c>
    </row>
    <row r="14490" spans="119:119" x14ac:dyDescent="0.2">
      <c r="DO14490" s="303" t="s">
        <v>232</v>
      </c>
    </row>
    <row r="14491" spans="119:119" x14ac:dyDescent="0.2">
      <c r="DO14491" s="303" t="s">
        <v>232</v>
      </c>
    </row>
    <row r="14492" spans="119:119" x14ac:dyDescent="0.2">
      <c r="DO14492" s="303" t="s">
        <v>232</v>
      </c>
    </row>
    <row r="14493" spans="119:119" x14ac:dyDescent="0.2">
      <c r="DO14493" s="303" t="s">
        <v>232</v>
      </c>
    </row>
    <row r="14494" spans="119:119" x14ac:dyDescent="0.2">
      <c r="DO14494" s="303" t="s">
        <v>232</v>
      </c>
    </row>
    <row r="14495" spans="119:119" x14ac:dyDescent="0.2">
      <c r="DO14495" s="303" t="s">
        <v>232</v>
      </c>
    </row>
    <row r="14496" spans="119:119" x14ac:dyDescent="0.2">
      <c r="DO14496" s="303" t="s">
        <v>232</v>
      </c>
    </row>
    <row r="14497" spans="119:119" x14ac:dyDescent="0.2">
      <c r="DO14497" s="303" t="s">
        <v>232</v>
      </c>
    </row>
    <row r="14498" spans="119:119" x14ac:dyDescent="0.2">
      <c r="DO14498" s="303" t="s">
        <v>232</v>
      </c>
    </row>
    <row r="14499" spans="119:119" x14ac:dyDescent="0.2">
      <c r="DO14499" s="303" t="s">
        <v>232</v>
      </c>
    </row>
    <row r="14500" spans="119:119" x14ac:dyDescent="0.2">
      <c r="DO14500" s="303" t="s">
        <v>232</v>
      </c>
    </row>
    <row r="14501" spans="119:119" x14ac:dyDescent="0.2">
      <c r="DO14501" s="303" t="s">
        <v>232</v>
      </c>
    </row>
    <row r="14502" spans="119:119" x14ac:dyDescent="0.2">
      <c r="DO14502" s="303" t="s">
        <v>232</v>
      </c>
    </row>
    <row r="14503" spans="119:119" x14ac:dyDescent="0.2">
      <c r="DO14503" s="303" t="s">
        <v>232</v>
      </c>
    </row>
    <row r="14504" spans="119:119" x14ac:dyDescent="0.2">
      <c r="DO14504" s="303" t="s">
        <v>232</v>
      </c>
    </row>
    <row r="14505" spans="119:119" x14ac:dyDescent="0.2">
      <c r="DO14505" s="303" t="s">
        <v>232</v>
      </c>
    </row>
    <row r="14506" spans="119:119" x14ac:dyDescent="0.2">
      <c r="DO14506" s="303" t="s">
        <v>232</v>
      </c>
    </row>
    <row r="14507" spans="119:119" x14ac:dyDescent="0.2">
      <c r="DO14507" s="303" t="s">
        <v>232</v>
      </c>
    </row>
    <row r="14508" spans="119:119" x14ac:dyDescent="0.2">
      <c r="DO14508" s="303" t="s">
        <v>232</v>
      </c>
    </row>
    <row r="14509" spans="119:119" x14ac:dyDescent="0.2">
      <c r="DO14509" s="303" t="s">
        <v>232</v>
      </c>
    </row>
    <row r="14510" spans="119:119" x14ac:dyDescent="0.2">
      <c r="DO14510" s="303" t="s">
        <v>232</v>
      </c>
    </row>
    <row r="14511" spans="119:119" x14ac:dyDescent="0.2">
      <c r="DO14511" s="303" t="s">
        <v>232</v>
      </c>
    </row>
    <row r="14512" spans="119:119" x14ac:dyDescent="0.2">
      <c r="DO14512" s="303" t="s">
        <v>232</v>
      </c>
    </row>
    <row r="14513" spans="119:119" x14ac:dyDescent="0.2">
      <c r="DO14513" s="303" t="s">
        <v>232</v>
      </c>
    </row>
    <row r="14514" spans="119:119" x14ac:dyDescent="0.2">
      <c r="DO14514" s="303" t="s">
        <v>232</v>
      </c>
    </row>
    <row r="14515" spans="119:119" x14ac:dyDescent="0.2">
      <c r="DO14515" s="303" t="s">
        <v>232</v>
      </c>
    </row>
    <row r="14516" spans="119:119" x14ac:dyDescent="0.2">
      <c r="DO14516" s="303" t="s">
        <v>232</v>
      </c>
    </row>
    <row r="14517" spans="119:119" x14ac:dyDescent="0.2">
      <c r="DO14517" s="303" t="s">
        <v>232</v>
      </c>
    </row>
    <row r="14518" spans="119:119" x14ac:dyDescent="0.2">
      <c r="DO14518" s="303" t="s">
        <v>232</v>
      </c>
    </row>
    <row r="14519" spans="119:119" x14ac:dyDescent="0.2">
      <c r="DO14519" s="303" t="s">
        <v>232</v>
      </c>
    </row>
    <row r="14520" spans="119:119" x14ac:dyDescent="0.2">
      <c r="DO14520" s="303" t="s">
        <v>232</v>
      </c>
    </row>
    <row r="14521" spans="119:119" x14ac:dyDescent="0.2">
      <c r="DO14521" s="303" t="s">
        <v>232</v>
      </c>
    </row>
    <row r="14522" spans="119:119" x14ac:dyDescent="0.2">
      <c r="DO14522" s="303" t="s">
        <v>232</v>
      </c>
    </row>
    <row r="14523" spans="119:119" x14ac:dyDescent="0.2">
      <c r="DO14523" s="303" t="s">
        <v>232</v>
      </c>
    </row>
    <row r="14524" spans="119:119" x14ac:dyDescent="0.2">
      <c r="DO14524" s="303" t="s">
        <v>232</v>
      </c>
    </row>
    <row r="14525" spans="119:119" x14ac:dyDescent="0.2">
      <c r="DO14525" s="303" t="s">
        <v>232</v>
      </c>
    </row>
    <row r="14526" spans="119:119" x14ac:dyDescent="0.2">
      <c r="DO14526" s="303" t="s">
        <v>232</v>
      </c>
    </row>
    <row r="14527" spans="119:119" x14ac:dyDescent="0.2">
      <c r="DO14527" s="303" t="s">
        <v>232</v>
      </c>
    </row>
    <row r="14528" spans="119:119" x14ac:dyDescent="0.2">
      <c r="DO14528" s="303" t="s">
        <v>232</v>
      </c>
    </row>
    <row r="14529" spans="119:119" x14ac:dyDescent="0.2">
      <c r="DO14529" s="303" t="s">
        <v>232</v>
      </c>
    </row>
    <row r="14530" spans="119:119" x14ac:dyDescent="0.2">
      <c r="DO14530" s="303" t="s">
        <v>232</v>
      </c>
    </row>
    <row r="14531" spans="119:119" x14ac:dyDescent="0.2">
      <c r="DO14531" s="303" t="s">
        <v>232</v>
      </c>
    </row>
    <row r="14532" spans="119:119" x14ac:dyDescent="0.2">
      <c r="DO14532" s="303" t="s">
        <v>232</v>
      </c>
    </row>
    <row r="14533" spans="119:119" x14ac:dyDescent="0.2">
      <c r="DO14533" s="303" t="s">
        <v>232</v>
      </c>
    </row>
    <row r="14534" spans="119:119" x14ac:dyDescent="0.2">
      <c r="DO14534" s="303" t="s">
        <v>232</v>
      </c>
    </row>
    <row r="14535" spans="119:119" x14ac:dyDescent="0.2">
      <c r="DO14535" s="303" t="s">
        <v>232</v>
      </c>
    </row>
    <row r="14536" spans="119:119" x14ac:dyDescent="0.2">
      <c r="DO14536" s="303" t="s">
        <v>232</v>
      </c>
    </row>
    <row r="14537" spans="119:119" x14ac:dyDescent="0.2">
      <c r="DO14537" s="303" t="s">
        <v>232</v>
      </c>
    </row>
    <row r="14538" spans="119:119" x14ac:dyDescent="0.2">
      <c r="DO14538" s="303" t="s">
        <v>232</v>
      </c>
    </row>
    <row r="14539" spans="119:119" x14ac:dyDescent="0.2">
      <c r="DO14539" s="303" t="s">
        <v>232</v>
      </c>
    </row>
    <row r="14540" spans="119:119" x14ac:dyDescent="0.2">
      <c r="DO14540" s="303" t="s">
        <v>232</v>
      </c>
    </row>
    <row r="14541" spans="119:119" x14ac:dyDescent="0.2">
      <c r="DO14541" s="303" t="s">
        <v>232</v>
      </c>
    </row>
    <row r="14542" spans="119:119" x14ac:dyDescent="0.2">
      <c r="DO14542" s="303" t="s">
        <v>232</v>
      </c>
    </row>
    <row r="14543" spans="119:119" x14ac:dyDescent="0.2">
      <c r="DO14543" s="303" t="s">
        <v>232</v>
      </c>
    </row>
    <row r="14544" spans="119:119" x14ac:dyDescent="0.2">
      <c r="DO14544" s="303" t="s">
        <v>232</v>
      </c>
    </row>
    <row r="14545" spans="119:119" x14ac:dyDescent="0.2">
      <c r="DO14545" s="303" t="s">
        <v>232</v>
      </c>
    </row>
    <row r="14546" spans="119:119" x14ac:dyDescent="0.2">
      <c r="DO14546" s="303" t="s">
        <v>232</v>
      </c>
    </row>
    <row r="14547" spans="119:119" x14ac:dyDescent="0.2">
      <c r="DO14547" s="303" t="s">
        <v>232</v>
      </c>
    </row>
    <row r="14548" spans="119:119" x14ac:dyDescent="0.2">
      <c r="DO14548" s="303" t="s">
        <v>232</v>
      </c>
    </row>
    <row r="14549" spans="119:119" x14ac:dyDescent="0.2">
      <c r="DO14549" s="303" t="s">
        <v>232</v>
      </c>
    </row>
    <row r="14550" spans="119:119" x14ac:dyDescent="0.2">
      <c r="DO14550" s="303" t="s">
        <v>232</v>
      </c>
    </row>
    <row r="14551" spans="119:119" x14ac:dyDescent="0.2">
      <c r="DO14551" s="303" t="s">
        <v>232</v>
      </c>
    </row>
    <row r="14552" spans="119:119" x14ac:dyDescent="0.2">
      <c r="DO14552" s="303" t="s">
        <v>232</v>
      </c>
    </row>
    <row r="14553" spans="119:119" x14ac:dyDescent="0.2">
      <c r="DO14553" s="303" t="s">
        <v>232</v>
      </c>
    </row>
    <row r="14554" spans="119:119" x14ac:dyDescent="0.2">
      <c r="DO14554" s="303" t="s">
        <v>232</v>
      </c>
    </row>
    <row r="14555" spans="119:119" x14ac:dyDescent="0.2">
      <c r="DO14555" s="303" t="s">
        <v>232</v>
      </c>
    </row>
    <row r="14556" spans="119:119" x14ac:dyDescent="0.2">
      <c r="DO14556" s="303" t="s">
        <v>232</v>
      </c>
    </row>
    <row r="14557" spans="119:119" x14ac:dyDescent="0.2">
      <c r="DO14557" s="303" t="s">
        <v>232</v>
      </c>
    </row>
    <row r="14558" spans="119:119" x14ac:dyDescent="0.2">
      <c r="DO14558" s="303" t="s">
        <v>232</v>
      </c>
    </row>
    <row r="14559" spans="119:119" x14ac:dyDescent="0.2">
      <c r="DO14559" s="303" t="s">
        <v>232</v>
      </c>
    </row>
    <row r="14560" spans="119:119" x14ac:dyDescent="0.2">
      <c r="DO14560" s="303" t="s">
        <v>232</v>
      </c>
    </row>
    <row r="14561" spans="119:119" x14ac:dyDescent="0.2">
      <c r="DO14561" s="303" t="s">
        <v>232</v>
      </c>
    </row>
    <row r="14562" spans="119:119" x14ac:dyDescent="0.2">
      <c r="DO14562" s="303" t="s">
        <v>232</v>
      </c>
    </row>
    <row r="14563" spans="119:119" x14ac:dyDescent="0.2">
      <c r="DO14563" s="303" t="s">
        <v>232</v>
      </c>
    </row>
    <row r="14564" spans="119:119" x14ac:dyDescent="0.2">
      <c r="DO14564" s="303" t="s">
        <v>232</v>
      </c>
    </row>
    <row r="14565" spans="119:119" x14ac:dyDescent="0.2">
      <c r="DO14565" s="303" t="s">
        <v>232</v>
      </c>
    </row>
    <row r="14566" spans="119:119" x14ac:dyDescent="0.2">
      <c r="DO14566" s="303" t="s">
        <v>232</v>
      </c>
    </row>
    <row r="14567" spans="119:119" x14ac:dyDescent="0.2">
      <c r="DO14567" s="303" t="s">
        <v>232</v>
      </c>
    </row>
    <row r="14568" spans="119:119" x14ac:dyDescent="0.2">
      <c r="DO14568" s="303" t="s">
        <v>232</v>
      </c>
    </row>
    <row r="14569" spans="119:119" x14ac:dyDescent="0.2">
      <c r="DO14569" s="303" t="s">
        <v>232</v>
      </c>
    </row>
    <row r="14570" spans="119:119" x14ac:dyDescent="0.2">
      <c r="DO14570" s="303" t="s">
        <v>232</v>
      </c>
    </row>
    <row r="14571" spans="119:119" x14ac:dyDescent="0.2">
      <c r="DO14571" s="303" t="s">
        <v>232</v>
      </c>
    </row>
    <row r="14572" spans="119:119" x14ac:dyDescent="0.2">
      <c r="DO14572" s="303" t="s">
        <v>232</v>
      </c>
    </row>
    <row r="14573" spans="119:119" x14ac:dyDescent="0.2">
      <c r="DO14573" s="303" t="s">
        <v>232</v>
      </c>
    </row>
    <row r="14574" spans="119:119" x14ac:dyDescent="0.2">
      <c r="DO14574" s="303" t="s">
        <v>232</v>
      </c>
    </row>
    <row r="14575" spans="119:119" x14ac:dyDescent="0.2">
      <c r="DO14575" s="303" t="s">
        <v>232</v>
      </c>
    </row>
    <row r="14576" spans="119:119" x14ac:dyDescent="0.2">
      <c r="DO14576" s="303" t="s">
        <v>232</v>
      </c>
    </row>
    <row r="14577" spans="119:119" x14ac:dyDescent="0.2">
      <c r="DO14577" s="303" t="s">
        <v>232</v>
      </c>
    </row>
    <row r="14578" spans="119:119" x14ac:dyDescent="0.2">
      <c r="DO14578" s="303" t="s">
        <v>232</v>
      </c>
    </row>
    <row r="14579" spans="119:119" x14ac:dyDescent="0.2">
      <c r="DO14579" s="303" t="s">
        <v>232</v>
      </c>
    </row>
    <row r="14580" spans="119:119" x14ac:dyDescent="0.2">
      <c r="DO14580" s="303" t="s">
        <v>232</v>
      </c>
    </row>
    <row r="14581" spans="119:119" x14ac:dyDescent="0.2">
      <c r="DO14581" s="303" t="s">
        <v>232</v>
      </c>
    </row>
    <row r="14582" spans="119:119" x14ac:dyDescent="0.2">
      <c r="DO14582" s="303" t="s">
        <v>232</v>
      </c>
    </row>
    <row r="14583" spans="119:119" x14ac:dyDescent="0.2">
      <c r="DO14583" s="303" t="s">
        <v>232</v>
      </c>
    </row>
    <row r="14584" spans="119:119" x14ac:dyDescent="0.2">
      <c r="DO14584" s="303" t="s">
        <v>232</v>
      </c>
    </row>
    <row r="14585" spans="119:119" x14ac:dyDescent="0.2">
      <c r="DO14585" s="303" t="s">
        <v>232</v>
      </c>
    </row>
    <row r="14586" spans="119:119" x14ac:dyDescent="0.2">
      <c r="DO14586" s="303" t="s">
        <v>232</v>
      </c>
    </row>
    <row r="14587" spans="119:119" x14ac:dyDescent="0.2">
      <c r="DO14587" s="303" t="s">
        <v>232</v>
      </c>
    </row>
    <row r="14588" spans="119:119" x14ac:dyDescent="0.2">
      <c r="DO14588" s="303" t="s">
        <v>232</v>
      </c>
    </row>
    <row r="14589" spans="119:119" x14ac:dyDescent="0.2">
      <c r="DO14589" s="303" t="s">
        <v>232</v>
      </c>
    </row>
    <row r="14590" spans="119:119" x14ac:dyDescent="0.2">
      <c r="DO14590" s="303" t="s">
        <v>232</v>
      </c>
    </row>
    <row r="14591" spans="119:119" x14ac:dyDescent="0.2">
      <c r="DO14591" s="303" t="s">
        <v>232</v>
      </c>
    </row>
    <row r="14592" spans="119:119" x14ac:dyDescent="0.2">
      <c r="DO14592" s="303" t="s">
        <v>232</v>
      </c>
    </row>
    <row r="14593" spans="119:119" x14ac:dyDescent="0.2">
      <c r="DO14593" s="303" t="s">
        <v>232</v>
      </c>
    </row>
    <row r="14594" spans="119:119" x14ac:dyDescent="0.2">
      <c r="DO14594" s="303" t="s">
        <v>232</v>
      </c>
    </row>
    <row r="14595" spans="119:119" x14ac:dyDescent="0.2">
      <c r="DO14595" s="303" t="s">
        <v>232</v>
      </c>
    </row>
    <row r="14596" spans="119:119" x14ac:dyDescent="0.2">
      <c r="DO14596" s="303" t="s">
        <v>232</v>
      </c>
    </row>
    <row r="14597" spans="119:119" x14ac:dyDescent="0.2">
      <c r="DO14597" s="303" t="s">
        <v>232</v>
      </c>
    </row>
    <row r="14598" spans="119:119" x14ac:dyDescent="0.2">
      <c r="DO14598" s="303" t="s">
        <v>232</v>
      </c>
    </row>
    <row r="14599" spans="119:119" x14ac:dyDescent="0.2">
      <c r="DO14599" s="303" t="s">
        <v>232</v>
      </c>
    </row>
    <row r="14600" spans="119:119" x14ac:dyDescent="0.2">
      <c r="DO14600" s="303" t="s">
        <v>232</v>
      </c>
    </row>
    <row r="14601" spans="119:119" x14ac:dyDescent="0.2">
      <c r="DO14601" s="303" t="s">
        <v>232</v>
      </c>
    </row>
    <row r="14602" spans="119:119" x14ac:dyDescent="0.2">
      <c r="DO14602" s="303" t="s">
        <v>232</v>
      </c>
    </row>
    <row r="14603" spans="119:119" x14ac:dyDescent="0.2">
      <c r="DO14603" s="303" t="s">
        <v>232</v>
      </c>
    </row>
    <row r="14604" spans="119:119" x14ac:dyDescent="0.2">
      <c r="DO14604" s="303" t="s">
        <v>232</v>
      </c>
    </row>
    <row r="14605" spans="119:119" x14ac:dyDescent="0.2">
      <c r="DO14605" s="303" t="s">
        <v>232</v>
      </c>
    </row>
    <row r="14606" spans="119:119" x14ac:dyDescent="0.2">
      <c r="DO14606" s="303" t="s">
        <v>232</v>
      </c>
    </row>
    <row r="14607" spans="119:119" x14ac:dyDescent="0.2">
      <c r="DO14607" s="303" t="s">
        <v>232</v>
      </c>
    </row>
    <row r="14608" spans="119:119" x14ac:dyDescent="0.2">
      <c r="DO14608" s="303" t="s">
        <v>232</v>
      </c>
    </row>
    <row r="14609" spans="119:119" x14ac:dyDescent="0.2">
      <c r="DO14609" s="303" t="s">
        <v>232</v>
      </c>
    </row>
    <row r="14610" spans="119:119" x14ac:dyDescent="0.2">
      <c r="DO14610" s="303" t="s">
        <v>232</v>
      </c>
    </row>
    <row r="14611" spans="119:119" x14ac:dyDescent="0.2">
      <c r="DO14611" s="303" t="s">
        <v>232</v>
      </c>
    </row>
    <row r="14612" spans="119:119" x14ac:dyDescent="0.2">
      <c r="DO14612" s="303" t="s">
        <v>232</v>
      </c>
    </row>
    <row r="14613" spans="119:119" x14ac:dyDescent="0.2">
      <c r="DO14613" s="303" t="s">
        <v>232</v>
      </c>
    </row>
    <row r="14614" spans="119:119" x14ac:dyDescent="0.2">
      <c r="DO14614" s="303" t="s">
        <v>232</v>
      </c>
    </row>
    <row r="14615" spans="119:119" x14ac:dyDescent="0.2">
      <c r="DO14615" s="303" t="s">
        <v>232</v>
      </c>
    </row>
    <row r="14616" spans="119:119" x14ac:dyDescent="0.2">
      <c r="DO14616" s="303" t="s">
        <v>232</v>
      </c>
    </row>
    <row r="14617" spans="119:119" x14ac:dyDescent="0.2">
      <c r="DO14617" s="303" t="s">
        <v>232</v>
      </c>
    </row>
    <row r="14618" spans="119:119" x14ac:dyDescent="0.2">
      <c r="DO14618" s="303" t="s">
        <v>232</v>
      </c>
    </row>
    <row r="14619" spans="119:119" x14ac:dyDescent="0.2">
      <c r="DO14619" s="303" t="s">
        <v>232</v>
      </c>
    </row>
    <row r="14620" spans="119:119" x14ac:dyDescent="0.2">
      <c r="DO14620" s="303" t="s">
        <v>232</v>
      </c>
    </row>
    <row r="14621" spans="119:119" x14ac:dyDescent="0.2">
      <c r="DO14621" s="303" t="s">
        <v>232</v>
      </c>
    </row>
    <row r="14622" spans="119:119" x14ac:dyDescent="0.2">
      <c r="DO14622" s="303" t="s">
        <v>232</v>
      </c>
    </row>
    <row r="14623" spans="119:119" x14ac:dyDescent="0.2">
      <c r="DO14623" s="303" t="s">
        <v>232</v>
      </c>
    </row>
    <row r="14624" spans="119:119" x14ac:dyDescent="0.2">
      <c r="DO14624" s="303" t="s">
        <v>232</v>
      </c>
    </row>
    <row r="14625" spans="119:119" x14ac:dyDescent="0.2">
      <c r="DO14625" s="303" t="s">
        <v>232</v>
      </c>
    </row>
    <row r="14626" spans="119:119" x14ac:dyDescent="0.2">
      <c r="DO14626" s="303" t="s">
        <v>232</v>
      </c>
    </row>
    <row r="14627" spans="119:119" x14ac:dyDescent="0.2">
      <c r="DO14627" s="303" t="s">
        <v>232</v>
      </c>
    </row>
    <row r="14628" spans="119:119" x14ac:dyDescent="0.2">
      <c r="DO14628" s="303" t="s">
        <v>232</v>
      </c>
    </row>
    <row r="14629" spans="119:119" x14ac:dyDescent="0.2">
      <c r="DO14629" s="303" t="s">
        <v>232</v>
      </c>
    </row>
    <row r="14630" spans="119:119" x14ac:dyDescent="0.2">
      <c r="DO14630" s="303" t="s">
        <v>232</v>
      </c>
    </row>
    <row r="14631" spans="119:119" x14ac:dyDescent="0.2">
      <c r="DO14631" s="303" t="s">
        <v>232</v>
      </c>
    </row>
    <row r="14632" spans="119:119" x14ac:dyDescent="0.2">
      <c r="DO14632" s="303" t="s">
        <v>232</v>
      </c>
    </row>
    <row r="14633" spans="119:119" x14ac:dyDescent="0.2">
      <c r="DO14633" s="303" t="s">
        <v>232</v>
      </c>
    </row>
    <row r="14634" spans="119:119" x14ac:dyDescent="0.2">
      <c r="DO14634" s="303" t="s">
        <v>232</v>
      </c>
    </row>
    <row r="14635" spans="119:119" x14ac:dyDescent="0.2">
      <c r="DO14635" s="303" t="s">
        <v>232</v>
      </c>
    </row>
    <row r="14636" spans="119:119" x14ac:dyDescent="0.2">
      <c r="DO14636" s="303" t="s">
        <v>232</v>
      </c>
    </row>
    <row r="14637" spans="119:119" x14ac:dyDescent="0.2">
      <c r="DO14637" s="303" t="s">
        <v>232</v>
      </c>
    </row>
    <row r="14638" spans="119:119" x14ac:dyDescent="0.2">
      <c r="DO14638" s="303" t="s">
        <v>232</v>
      </c>
    </row>
    <row r="14639" spans="119:119" x14ac:dyDescent="0.2">
      <c r="DO14639" s="303" t="s">
        <v>232</v>
      </c>
    </row>
    <row r="14640" spans="119:119" x14ac:dyDescent="0.2">
      <c r="DO14640" s="303" t="s">
        <v>232</v>
      </c>
    </row>
    <row r="14641" spans="119:119" x14ac:dyDescent="0.2">
      <c r="DO14641" s="303" t="s">
        <v>232</v>
      </c>
    </row>
    <row r="14642" spans="119:119" x14ac:dyDescent="0.2">
      <c r="DO14642" s="303" t="s">
        <v>232</v>
      </c>
    </row>
    <row r="14643" spans="119:119" x14ac:dyDescent="0.2">
      <c r="DO14643" s="303" t="s">
        <v>232</v>
      </c>
    </row>
    <row r="14644" spans="119:119" x14ac:dyDescent="0.2">
      <c r="DO14644" s="303" t="s">
        <v>232</v>
      </c>
    </row>
    <row r="14645" spans="119:119" x14ac:dyDescent="0.2">
      <c r="DO14645" s="303" t="s">
        <v>232</v>
      </c>
    </row>
    <row r="14646" spans="119:119" x14ac:dyDescent="0.2">
      <c r="DO14646" s="303" t="s">
        <v>232</v>
      </c>
    </row>
    <row r="14647" spans="119:119" x14ac:dyDescent="0.2">
      <c r="DO14647" s="303" t="s">
        <v>232</v>
      </c>
    </row>
    <row r="14648" spans="119:119" x14ac:dyDescent="0.2">
      <c r="DO14648" s="303" t="s">
        <v>232</v>
      </c>
    </row>
    <row r="14649" spans="119:119" x14ac:dyDescent="0.2">
      <c r="DO14649" s="303" t="s">
        <v>232</v>
      </c>
    </row>
    <row r="14650" spans="119:119" x14ac:dyDescent="0.2">
      <c r="DO14650" s="303" t="s">
        <v>232</v>
      </c>
    </row>
    <row r="14651" spans="119:119" x14ac:dyDescent="0.2">
      <c r="DO14651" s="303" t="s">
        <v>232</v>
      </c>
    </row>
    <row r="14652" spans="119:119" x14ac:dyDescent="0.2">
      <c r="DO14652" s="303" t="s">
        <v>232</v>
      </c>
    </row>
    <row r="14653" spans="119:119" x14ac:dyDescent="0.2">
      <c r="DO14653" s="303" t="s">
        <v>232</v>
      </c>
    </row>
    <row r="14654" spans="119:119" x14ac:dyDescent="0.2">
      <c r="DO14654" s="303" t="s">
        <v>232</v>
      </c>
    </row>
    <row r="14655" spans="119:119" x14ac:dyDescent="0.2">
      <c r="DO14655" s="303" t="s">
        <v>232</v>
      </c>
    </row>
    <row r="14656" spans="119:119" x14ac:dyDescent="0.2">
      <c r="DO14656" s="303" t="s">
        <v>232</v>
      </c>
    </row>
    <row r="14657" spans="119:119" x14ac:dyDescent="0.2">
      <c r="DO14657" s="303" t="s">
        <v>232</v>
      </c>
    </row>
    <row r="14658" spans="119:119" x14ac:dyDescent="0.2">
      <c r="DO14658" s="303" t="s">
        <v>232</v>
      </c>
    </row>
    <row r="14659" spans="119:119" x14ac:dyDescent="0.2">
      <c r="DO14659" s="303" t="s">
        <v>232</v>
      </c>
    </row>
    <row r="14660" spans="119:119" x14ac:dyDescent="0.2">
      <c r="DO14660" s="303" t="s">
        <v>232</v>
      </c>
    </row>
    <row r="14661" spans="119:119" x14ac:dyDescent="0.2">
      <c r="DO14661" s="303" t="s">
        <v>232</v>
      </c>
    </row>
    <row r="14662" spans="119:119" x14ac:dyDescent="0.2">
      <c r="DO14662" s="303" t="s">
        <v>232</v>
      </c>
    </row>
    <row r="14663" spans="119:119" x14ac:dyDescent="0.2">
      <c r="DO14663" s="303" t="s">
        <v>232</v>
      </c>
    </row>
    <row r="14664" spans="119:119" x14ac:dyDescent="0.2">
      <c r="DO14664" s="303" t="s">
        <v>232</v>
      </c>
    </row>
    <row r="14665" spans="119:119" x14ac:dyDescent="0.2">
      <c r="DO14665" s="303" t="s">
        <v>232</v>
      </c>
    </row>
    <row r="14666" spans="119:119" x14ac:dyDescent="0.2">
      <c r="DO14666" s="303" t="s">
        <v>232</v>
      </c>
    </row>
    <row r="14667" spans="119:119" x14ac:dyDescent="0.2">
      <c r="DO14667" s="303" t="s">
        <v>232</v>
      </c>
    </row>
    <row r="14668" spans="119:119" x14ac:dyDescent="0.2">
      <c r="DO14668" s="303" t="s">
        <v>232</v>
      </c>
    </row>
    <row r="14669" spans="119:119" x14ac:dyDescent="0.2">
      <c r="DO14669" s="303" t="s">
        <v>232</v>
      </c>
    </row>
    <row r="14670" spans="119:119" x14ac:dyDescent="0.2">
      <c r="DO14670" s="303" t="s">
        <v>232</v>
      </c>
    </row>
    <row r="14671" spans="119:119" x14ac:dyDescent="0.2">
      <c r="DO14671" s="303" t="s">
        <v>232</v>
      </c>
    </row>
    <row r="14672" spans="119:119" x14ac:dyDescent="0.2">
      <c r="DO14672" s="303" t="s">
        <v>232</v>
      </c>
    </row>
    <row r="14673" spans="119:119" x14ac:dyDescent="0.2">
      <c r="DO14673" s="303" t="s">
        <v>232</v>
      </c>
    </row>
    <row r="14674" spans="119:119" x14ac:dyDescent="0.2">
      <c r="DO14674" s="303" t="s">
        <v>232</v>
      </c>
    </row>
    <row r="14675" spans="119:119" x14ac:dyDescent="0.2">
      <c r="DO14675" s="303" t="s">
        <v>232</v>
      </c>
    </row>
    <row r="14676" spans="119:119" x14ac:dyDescent="0.2">
      <c r="DO14676" s="303" t="s">
        <v>232</v>
      </c>
    </row>
    <row r="14677" spans="119:119" x14ac:dyDescent="0.2">
      <c r="DO14677" s="303" t="s">
        <v>232</v>
      </c>
    </row>
    <row r="14678" spans="119:119" x14ac:dyDescent="0.2">
      <c r="DO14678" s="303" t="s">
        <v>232</v>
      </c>
    </row>
    <row r="14679" spans="119:119" x14ac:dyDescent="0.2">
      <c r="DO14679" s="303" t="s">
        <v>232</v>
      </c>
    </row>
    <row r="14680" spans="119:119" x14ac:dyDescent="0.2">
      <c r="DO14680" s="303" t="s">
        <v>232</v>
      </c>
    </row>
    <row r="14681" spans="119:119" x14ac:dyDescent="0.2">
      <c r="DO14681" s="303" t="s">
        <v>232</v>
      </c>
    </row>
    <row r="14682" spans="119:119" x14ac:dyDescent="0.2">
      <c r="DO14682" s="303" t="s">
        <v>232</v>
      </c>
    </row>
    <row r="14683" spans="119:119" x14ac:dyDescent="0.2">
      <c r="DO14683" s="303" t="s">
        <v>232</v>
      </c>
    </row>
    <row r="14684" spans="119:119" x14ac:dyDescent="0.2">
      <c r="DO14684" s="303" t="s">
        <v>232</v>
      </c>
    </row>
    <row r="14685" spans="119:119" x14ac:dyDescent="0.2">
      <c r="DO14685" s="303" t="s">
        <v>232</v>
      </c>
    </row>
    <row r="14686" spans="119:119" x14ac:dyDescent="0.2">
      <c r="DO14686" s="303" t="s">
        <v>232</v>
      </c>
    </row>
    <row r="14687" spans="119:119" x14ac:dyDescent="0.2">
      <c r="DO14687" s="303" t="s">
        <v>232</v>
      </c>
    </row>
    <row r="14688" spans="119:119" x14ac:dyDescent="0.2">
      <c r="DO14688" s="303" t="s">
        <v>232</v>
      </c>
    </row>
    <row r="14689" spans="119:119" x14ac:dyDescent="0.2">
      <c r="DO14689" s="303" t="s">
        <v>232</v>
      </c>
    </row>
    <row r="14690" spans="119:119" x14ac:dyDescent="0.2">
      <c r="DO14690" s="303" t="s">
        <v>232</v>
      </c>
    </row>
    <row r="14691" spans="119:119" x14ac:dyDescent="0.2">
      <c r="DO14691" s="303" t="s">
        <v>232</v>
      </c>
    </row>
    <row r="14692" spans="119:119" x14ac:dyDescent="0.2">
      <c r="DO14692" s="303" t="s">
        <v>232</v>
      </c>
    </row>
    <row r="14693" spans="119:119" x14ac:dyDescent="0.2">
      <c r="DO14693" s="303" t="s">
        <v>232</v>
      </c>
    </row>
    <row r="14694" spans="119:119" x14ac:dyDescent="0.2">
      <c r="DO14694" s="303" t="s">
        <v>232</v>
      </c>
    </row>
    <row r="14695" spans="119:119" x14ac:dyDescent="0.2">
      <c r="DO14695" s="303" t="s">
        <v>232</v>
      </c>
    </row>
    <row r="14696" spans="119:119" x14ac:dyDescent="0.2">
      <c r="DO14696" s="303" t="s">
        <v>232</v>
      </c>
    </row>
    <row r="14697" spans="119:119" x14ac:dyDescent="0.2">
      <c r="DO14697" s="303" t="s">
        <v>232</v>
      </c>
    </row>
    <row r="14698" spans="119:119" x14ac:dyDescent="0.2">
      <c r="DO14698" s="303" t="s">
        <v>232</v>
      </c>
    </row>
    <row r="14699" spans="119:119" x14ac:dyDescent="0.2">
      <c r="DO14699" s="303" t="s">
        <v>232</v>
      </c>
    </row>
    <row r="14700" spans="119:119" x14ac:dyDescent="0.2">
      <c r="DO14700" s="303" t="s">
        <v>232</v>
      </c>
    </row>
    <row r="14701" spans="119:119" x14ac:dyDescent="0.2">
      <c r="DO14701" s="303" t="s">
        <v>232</v>
      </c>
    </row>
    <row r="14702" spans="119:119" x14ac:dyDescent="0.2">
      <c r="DO14702" s="303" t="s">
        <v>232</v>
      </c>
    </row>
    <row r="14703" spans="119:119" x14ac:dyDescent="0.2">
      <c r="DO14703" s="303" t="s">
        <v>232</v>
      </c>
    </row>
    <row r="14704" spans="119:119" x14ac:dyDescent="0.2">
      <c r="DO14704" s="303" t="s">
        <v>232</v>
      </c>
    </row>
    <row r="14705" spans="119:119" x14ac:dyDescent="0.2">
      <c r="DO14705" s="303" t="s">
        <v>232</v>
      </c>
    </row>
    <row r="14706" spans="119:119" x14ac:dyDescent="0.2">
      <c r="DO14706" s="303" t="s">
        <v>232</v>
      </c>
    </row>
    <row r="14707" spans="119:119" x14ac:dyDescent="0.2">
      <c r="DO14707" s="303" t="s">
        <v>232</v>
      </c>
    </row>
    <row r="14708" spans="119:119" x14ac:dyDescent="0.2">
      <c r="DO14708" s="303" t="s">
        <v>232</v>
      </c>
    </row>
    <row r="14709" spans="119:119" x14ac:dyDescent="0.2">
      <c r="DO14709" s="303" t="s">
        <v>232</v>
      </c>
    </row>
    <row r="14710" spans="119:119" x14ac:dyDescent="0.2">
      <c r="DO14710" s="303" t="s">
        <v>232</v>
      </c>
    </row>
    <row r="14711" spans="119:119" x14ac:dyDescent="0.2">
      <c r="DO14711" s="303" t="s">
        <v>232</v>
      </c>
    </row>
    <row r="14712" spans="119:119" x14ac:dyDescent="0.2">
      <c r="DO14712" s="303" t="s">
        <v>232</v>
      </c>
    </row>
    <row r="14713" spans="119:119" x14ac:dyDescent="0.2">
      <c r="DO14713" s="303" t="s">
        <v>232</v>
      </c>
    </row>
    <row r="14714" spans="119:119" x14ac:dyDescent="0.2">
      <c r="DO14714" s="303" t="s">
        <v>232</v>
      </c>
    </row>
    <row r="14715" spans="119:119" x14ac:dyDescent="0.2">
      <c r="DO14715" s="303" t="s">
        <v>232</v>
      </c>
    </row>
    <row r="14716" spans="119:119" x14ac:dyDescent="0.2">
      <c r="DO14716" s="303" t="s">
        <v>232</v>
      </c>
    </row>
    <row r="14717" spans="119:119" x14ac:dyDescent="0.2">
      <c r="DO14717" s="303" t="s">
        <v>232</v>
      </c>
    </row>
    <row r="14718" spans="119:119" x14ac:dyDescent="0.2">
      <c r="DO14718" s="303" t="s">
        <v>232</v>
      </c>
    </row>
    <row r="14719" spans="119:119" x14ac:dyDescent="0.2">
      <c r="DO14719" s="303" t="s">
        <v>232</v>
      </c>
    </row>
    <row r="14720" spans="119:119" x14ac:dyDescent="0.2">
      <c r="DO14720" s="303" t="s">
        <v>232</v>
      </c>
    </row>
    <row r="14721" spans="119:119" x14ac:dyDescent="0.2">
      <c r="DO14721" s="303" t="s">
        <v>232</v>
      </c>
    </row>
    <row r="14722" spans="119:119" x14ac:dyDescent="0.2">
      <c r="DO14722" s="303" t="s">
        <v>232</v>
      </c>
    </row>
    <row r="14723" spans="119:119" x14ac:dyDescent="0.2">
      <c r="DO14723" s="303" t="s">
        <v>232</v>
      </c>
    </row>
    <row r="14724" spans="119:119" x14ac:dyDescent="0.2">
      <c r="DO14724" s="303" t="s">
        <v>232</v>
      </c>
    </row>
    <row r="14725" spans="119:119" x14ac:dyDescent="0.2">
      <c r="DO14725" s="303" t="s">
        <v>232</v>
      </c>
    </row>
    <row r="14726" spans="119:119" x14ac:dyDescent="0.2">
      <c r="DO14726" s="303" t="s">
        <v>232</v>
      </c>
    </row>
    <row r="14727" spans="119:119" x14ac:dyDescent="0.2">
      <c r="DO14727" s="303" t="s">
        <v>232</v>
      </c>
    </row>
    <row r="14728" spans="119:119" x14ac:dyDescent="0.2">
      <c r="DO14728" s="303" t="s">
        <v>232</v>
      </c>
    </row>
    <row r="14729" spans="119:119" x14ac:dyDescent="0.2">
      <c r="DO14729" s="303" t="s">
        <v>232</v>
      </c>
    </row>
    <row r="14730" spans="119:119" x14ac:dyDescent="0.2">
      <c r="DO14730" s="303" t="s">
        <v>232</v>
      </c>
    </row>
    <row r="14731" spans="119:119" x14ac:dyDescent="0.2">
      <c r="DO14731" s="303" t="s">
        <v>232</v>
      </c>
    </row>
    <row r="14732" spans="119:119" x14ac:dyDescent="0.2">
      <c r="DO14732" s="303" t="s">
        <v>232</v>
      </c>
    </row>
    <row r="14733" spans="119:119" x14ac:dyDescent="0.2">
      <c r="DO14733" s="303" t="s">
        <v>232</v>
      </c>
    </row>
    <row r="14734" spans="119:119" x14ac:dyDescent="0.2">
      <c r="DO14734" s="303" t="s">
        <v>232</v>
      </c>
    </row>
    <row r="14735" spans="119:119" x14ac:dyDescent="0.2">
      <c r="DO14735" s="303" t="s">
        <v>232</v>
      </c>
    </row>
    <row r="14736" spans="119:119" x14ac:dyDescent="0.2">
      <c r="DO14736" s="303" t="s">
        <v>232</v>
      </c>
    </row>
    <row r="14737" spans="119:119" x14ac:dyDescent="0.2">
      <c r="DO14737" s="303" t="s">
        <v>232</v>
      </c>
    </row>
    <row r="14738" spans="119:119" x14ac:dyDescent="0.2">
      <c r="DO14738" s="303" t="s">
        <v>232</v>
      </c>
    </row>
    <row r="14739" spans="119:119" x14ac:dyDescent="0.2">
      <c r="DO14739" s="303" t="s">
        <v>232</v>
      </c>
    </row>
    <row r="14740" spans="119:119" x14ac:dyDescent="0.2">
      <c r="DO14740" s="303" t="s">
        <v>232</v>
      </c>
    </row>
    <row r="14741" spans="119:119" x14ac:dyDescent="0.2">
      <c r="DO14741" s="303" t="s">
        <v>232</v>
      </c>
    </row>
    <row r="14742" spans="119:119" x14ac:dyDescent="0.2">
      <c r="DO14742" s="303" t="s">
        <v>232</v>
      </c>
    </row>
    <row r="14743" spans="119:119" x14ac:dyDescent="0.2">
      <c r="DO14743" s="303" t="s">
        <v>232</v>
      </c>
    </row>
    <row r="14744" spans="119:119" x14ac:dyDescent="0.2">
      <c r="DO14744" s="303" t="s">
        <v>232</v>
      </c>
    </row>
    <row r="14745" spans="119:119" x14ac:dyDescent="0.2">
      <c r="DO14745" s="303" t="s">
        <v>232</v>
      </c>
    </row>
    <row r="14746" spans="119:119" x14ac:dyDescent="0.2">
      <c r="DO14746" s="303" t="s">
        <v>232</v>
      </c>
    </row>
    <row r="14747" spans="119:119" x14ac:dyDescent="0.2">
      <c r="DO14747" s="303" t="s">
        <v>232</v>
      </c>
    </row>
    <row r="14748" spans="119:119" x14ac:dyDescent="0.2">
      <c r="DO14748" s="303" t="s">
        <v>232</v>
      </c>
    </row>
    <row r="14749" spans="119:119" x14ac:dyDescent="0.2">
      <c r="DO14749" s="303" t="s">
        <v>232</v>
      </c>
    </row>
    <row r="14750" spans="119:119" x14ac:dyDescent="0.2">
      <c r="DO14750" s="303" t="s">
        <v>232</v>
      </c>
    </row>
    <row r="14751" spans="119:119" x14ac:dyDescent="0.2">
      <c r="DO14751" s="303" t="s">
        <v>232</v>
      </c>
    </row>
    <row r="14752" spans="119:119" x14ac:dyDescent="0.2">
      <c r="DO14752" s="303" t="s">
        <v>232</v>
      </c>
    </row>
    <row r="14753" spans="119:119" x14ac:dyDescent="0.2">
      <c r="DO14753" s="303" t="s">
        <v>232</v>
      </c>
    </row>
    <row r="14754" spans="119:119" x14ac:dyDescent="0.2">
      <c r="DO14754" s="303" t="s">
        <v>232</v>
      </c>
    </row>
    <row r="14755" spans="119:119" x14ac:dyDescent="0.2">
      <c r="DO14755" s="303" t="s">
        <v>232</v>
      </c>
    </row>
    <row r="14756" spans="119:119" x14ac:dyDescent="0.2">
      <c r="DO14756" s="303" t="s">
        <v>232</v>
      </c>
    </row>
    <row r="14757" spans="119:119" x14ac:dyDescent="0.2">
      <c r="DO14757" s="303" t="s">
        <v>232</v>
      </c>
    </row>
    <row r="14758" spans="119:119" x14ac:dyDescent="0.2">
      <c r="DO14758" s="303" t="s">
        <v>232</v>
      </c>
    </row>
    <row r="14759" spans="119:119" x14ac:dyDescent="0.2">
      <c r="DO14759" s="303" t="s">
        <v>232</v>
      </c>
    </row>
    <row r="14760" spans="119:119" x14ac:dyDescent="0.2">
      <c r="DO14760" s="303" t="s">
        <v>232</v>
      </c>
    </row>
    <row r="14761" spans="119:119" x14ac:dyDescent="0.2">
      <c r="DO14761" s="303" t="s">
        <v>232</v>
      </c>
    </row>
    <row r="14762" spans="119:119" x14ac:dyDescent="0.2">
      <c r="DO14762" s="303" t="s">
        <v>232</v>
      </c>
    </row>
    <row r="14763" spans="119:119" x14ac:dyDescent="0.2">
      <c r="DO14763" s="303" t="s">
        <v>232</v>
      </c>
    </row>
    <row r="14764" spans="119:119" x14ac:dyDescent="0.2">
      <c r="DO14764" s="303" t="s">
        <v>232</v>
      </c>
    </row>
    <row r="14765" spans="119:119" x14ac:dyDescent="0.2">
      <c r="DO14765" s="303" t="s">
        <v>232</v>
      </c>
    </row>
    <row r="14766" spans="119:119" x14ac:dyDescent="0.2">
      <c r="DO14766" s="303" t="s">
        <v>232</v>
      </c>
    </row>
    <row r="14767" spans="119:119" x14ac:dyDescent="0.2">
      <c r="DO14767" s="303" t="s">
        <v>232</v>
      </c>
    </row>
    <row r="14768" spans="119:119" x14ac:dyDescent="0.2">
      <c r="DO14768" s="303" t="s">
        <v>232</v>
      </c>
    </row>
    <row r="14769" spans="119:119" x14ac:dyDescent="0.2">
      <c r="DO14769" s="303" t="s">
        <v>232</v>
      </c>
    </row>
    <row r="14770" spans="119:119" x14ac:dyDescent="0.2">
      <c r="DO14770" s="303" t="s">
        <v>232</v>
      </c>
    </row>
    <row r="14771" spans="119:119" x14ac:dyDescent="0.2">
      <c r="DO14771" s="303" t="s">
        <v>232</v>
      </c>
    </row>
    <row r="14772" spans="119:119" x14ac:dyDescent="0.2">
      <c r="DO14772" s="303" t="s">
        <v>232</v>
      </c>
    </row>
    <row r="14773" spans="119:119" x14ac:dyDescent="0.2">
      <c r="DO14773" s="303" t="s">
        <v>232</v>
      </c>
    </row>
    <row r="14774" spans="119:119" x14ac:dyDescent="0.2">
      <c r="DO14774" s="303" t="s">
        <v>232</v>
      </c>
    </row>
    <row r="14775" spans="119:119" x14ac:dyDescent="0.2">
      <c r="DO14775" s="303" t="s">
        <v>232</v>
      </c>
    </row>
    <row r="14776" spans="119:119" x14ac:dyDescent="0.2">
      <c r="DO14776" s="303" t="s">
        <v>232</v>
      </c>
    </row>
    <row r="14777" spans="119:119" x14ac:dyDescent="0.2">
      <c r="DO14777" s="303" t="s">
        <v>232</v>
      </c>
    </row>
    <row r="14778" spans="119:119" x14ac:dyDescent="0.2">
      <c r="DO14778" s="303" t="s">
        <v>232</v>
      </c>
    </row>
    <row r="14779" spans="119:119" x14ac:dyDescent="0.2">
      <c r="DO14779" s="303" t="s">
        <v>232</v>
      </c>
    </row>
    <row r="14780" spans="119:119" x14ac:dyDescent="0.2">
      <c r="DO14780" s="303" t="s">
        <v>232</v>
      </c>
    </row>
    <row r="14781" spans="119:119" x14ac:dyDescent="0.2">
      <c r="DO14781" s="303" t="s">
        <v>232</v>
      </c>
    </row>
    <row r="14782" spans="119:119" x14ac:dyDescent="0.2">
      <c r="DO14782" s="303" t="s">
        <v>232</v>
      </c>
    </row>
    <row r="14783" spans="119:119" x14ac:dyDescent="0.2">
      <c r="DO14783" s="303" t="s">
        <v>232</v>
      </c>
    </row>
    <row r="14784" spans="119:119" x14ac:dyDescent="0.2">
      <c r="DO14784" s="303" t="s">
        <v>232</v>
      </c>
    </row>
    <row r="14785" spans="119:119" x14ac:dyDescent="0.2">
      <c r="DO14785" s="303" t="s">
        <v>232</v>
      </c>
    </row>
    <row r="14786" spans="119:119" x14ac:dyDescent="0.2">
      <c r="DO14786" s="303" t="s">
        <v>232</v>
      </c>
    </row>
    <row r="14787" spans="119:119" x14ac:dyDescent="0.2">
      <c r="DO14787" s="303" t="s">
        <v>232</v>
      </c>
    </row>
    <row r="14788" spans="119:119" x14ac:dyDescent="0.2">
      <c r="DO14788" s="303" t="s">
        <v>232</v>
      </c>
    </row>
    <row r="14789" spans="119:119" x14ac:dyDescent="0.2">
      <c r="DO14789" s="303" t="s">
        <v>232</v>
      </c>
    </row>
    <row r="14790" spans="119:119" x14ac:dyDescent="0.2">
      <c r="DO14790" s="303" t="s">
        <v>232</v>
      </c>
    </row>
    <row r="14791" spans="119:119" x14ac:dyDescent="0.2">
      <c r="DO14791" s="303" t="s">
        <v>232</v>
      </c>
    </row>
    <row r="14792" spans="119:119" x14ac:dyDescent="0.2">
      <c r="DO14792" s="303" t="s">
        <v>232</v>
      </c>
    </row>
    <row r="14793" spans="119:119" x14ac:dyDescent="0.2">
      <c r="DO14793" s="303" t="s">
        <v>232</v>
      </c>
    </row>
    <row r="14794" spans="119:119" x14ac:dyDescent="0.2">
      <c r="DO14794" s="303" t="s">
        <v>232</v>
      </c>
    </row>
    <row r="14795" spans="119:119" x14ac:dyDescent="0.2">
      <c r="DO14795" s="303" t="s">
        <v>232</v>
      </c>
    </row>
    <row r="14796" spans="119:119" x14ac:dyDescent="0.2">
      <c r="DO14796" s="303" t="s">
        <v>232</v>
      </c>
    </row>
    <row r="14797" spans="119:119" x14ac:dyDescent="0.2">
      <c r="DO14797" s="303" t="s">
        <v>232</v>
      </c>
    </row>
    <row r="14798" spans="119:119" x14ac:dyDescent="0.2">
      <c r="DO14798" s="303" t="s">
        <v>232</v>
      </c>
    </row>
    <row r="14799" spans="119:119" x14ac:dyDescent="0.2">
      <c r="DO14799" s="303" t="s">
        <v>232</v>
      </c>
    </row>
    <row r="14800" spans="119:119" x14ac:dyDescent="0.2">
      <c r="DO14800" s="303" t="s">
        <v>232</v>
      </c>
    </row>
    <row r="14801" spans="119:119" x14ac:dyDescent="0.2">
      <c r="DO14801" s="303" t="s">
        <v>232</v>
      </c>
    </row>
    <row r="14802" spans="119:119" x14ac:dyDescent="0.2">
      <c r="DO14802" s="303" t="s">
        <v>232</v>
      </c>
    </row>
    <row r="14803" spans="119:119" x14ac:dyDescent="0.2">
      <c r="DO14803" s="303" t="s">
        <v>232</v>
      </c>
    </row>
    <row r="14804" spans="119:119" x14ac:dyDescent="0.2">
      <c r="DO14804" s="303" t="s">
        <v>232</v>
      </c>
    </row>
    <row r="14805" spans="119:119" x14ac:dyDescent="0.2">
      <c r="DO14805" s="303" t="s">
        <v>232</v>
      </c>
    </row>
    <row r="14806" spans="119:119" x14ac:dyDescent="0.2">
      <c r="DO14806" s="303" t="s">
        <v>232</v>
      </c>
    </row>
    <row r="14807" spans="119:119" x14ac:dyDescent="0.2">
      <c r="DO14807" s="303" t="s">
        <v>232</v>
      </c>
    </row>
    <row r="14808" spans="119:119" x14ac:dyDescent="0.2">
      <c r="DO14808" s="303" t="s">
        <v>232</v>
      </c>
    </row>
    <row r="14809" spans="119:119" x14ac:dyDescent="0.2">
      <c r="DO14809" s="303" t="s">
        <v>232</v>
      </c>
    </row>
    <row r="14810" spans="119:119" x14ac:dyDescent="0.2">
      <c r="DO14810" s="303" t="s">
        <v>232</v>
      </c>
    </row>
    <row r="14811" spans="119:119" x14ac:dyDescent="0.2">
      <c r="DO14811" s="303" t="s">
        <v>232</v>
      </c>
    </row>
    <row r="14812" spans="119:119" x14ac:dyDescent="0.2">
      <c r="DO14812" s="303" t="s">
        <v>232</v>
      </c>
    </row>
    <row r="14813" spans="119:119" x14ac:dyDescent="0.2">
      <c r="DO14813" s="303" t="s">
        <v>232</v>
      </c>
    </row>
    <row r="14814" spans="119:119" x14ac:dyDescent="0.2">
      <c r="DO14814" s="303" t="s">
        <v>232</v>
      </c>
    </row>
    <row r="14815" spans="119:119" x14ac:dyDescent="0.2">
      <c r="DO14815" s="303" t="s">
        <v>232</v>
      </c>
    </row>
    <row r="14816" spans="119:119" x14ac:dyDescent="0.2">
      <c r="DO14816" s="303" t="s">
        <v>232</v>
      </c>
    </row>
    <row r="14817" spans="119:119" x14ac:dyDescent="0.2">
      <c r="DO14817" s="303" t="s">
        <v>232</v>
      </c>
    </row>
    <row r="14818" spans="119:119" x14ac:dyDescent="0.2">
      <c r="DO14818" s="303" t="s">
        <v>232</v>
      </c>
    </row>
    <row r="14819" spans="119:119" x14ac:dyDescent="0.2">
      <c r="DO14819" s="303" t="s">
        <v>232</v>
      </c>
    </row>
    <row r="14820" spans="119:119" x14ac:dyDescent="0.2">
      <c r="DO14820" s="303" t="s">
        <v>232</v>
      </c>
    </row>
    <row r="14821" spans="119:119" x14ac:dyDescent="0.2">
      <c r="DO14821" s="303" t="s">
        <v>232</v>
      </c>
    </row>
    <row r="14822" spans="119:119" x14ac:dyDescent="0.2">
      <c r="DO14822" s="303" t="s">
        <v>232</v>
      </c>
    </row>
    <row r="14823" spans="119:119" x14ac:dyDescent="0.2">
      <c r="DO14823" s="303" t="s">
        <v>232</v>
      </c>
    </row>
    <row r="14824" spans="119:119" x14ac:dyDescent="0.2">
      <c r="DO14824" s="303" t="s">
        <v>232</v>
      </c>
    </row>
    <row r="14825" spans="119:119" x14ac:dyDescent="0.2">
      <c r="DO14825" s="303" t="s">
        <v>232</v>
      </c>
    </row>
    <row r="14826" spans="119:119" x14ac:dyDescent="0.2">
      <c r="DO14826" s="303" t="s">
        <v>232</v>
      </c>
    </row>
    <row r="14827" spans="119:119" x14ac:dyDescent="0.2">
      <c r="DO14827" s="303" t="s">
        <v>232</v>
      </c>
    </row>
    <row r="14828" spans="119:119" x14ac:dyDescent="0.2">
      <c r="DO14828" s="303" t="s">
        <v>232</v>
      </c>
    </row>
    <row r="14829" spans="119:119" x14ac:dyDescent="0.2">
      <c r="DO14829" s="303" t="s">
        <v>232</v>
      </c>
    </row>
    <row r="14830" spans="119:119" x14ac:dyDescent="0.2">
      <c r="DO14830" s="303" t="s">
        <v>232</v>
      </c>
    </row>
    <row r="14831" spans="119:119" x14ac:dyDescent="0.2">
      <c r="DO14831" s="303" t="s">
        <v>232</v>
      </c>
    </row>
    <row r="14832" spans="119:119" x14ac:dyDescent="0.2">
      <c r="DO14832" s="303" t="s">
        <v>232</v>
      </c>
    </row>
    <row r="14833" spans="119:119" x14ac:dyDescent="0.2">
      <c r="DO14833" s="303" t="s">
        <v>232</v>
      </c>
    </row>
    <row r="14834" spans="119:119" x14ac:dyDescent="0.2">
      <c r="DO14834" s="303" t="s">
        <v>232</v>
      </c>
    </row>
    <row r="14835" spans="119:119" x14ac:dyDescent="0.2">
      <c r="DO14835" s="303" t="s">
        <v>232</v>
      </c>
    </row>
    <row r="14836" spans="119:119" x14ac:dyDescent="0.2">
      <c r="DO14836" s="303" t="s">
        <v>232</v>
      </c>
    </row>
    <row r="14837" spans="119:119" x14ac:dyDescent="0.2">
      <c r="DO14837" s="303" t="s">
        <v>232</v>
      </c>
    </row>
    <row r="14838" spans="119:119" x14ac:dyDescent="0.2">
      <c r="DO14838" s="303" t="s">
        <v>232</v>
      </c>
    </row>
    <row r="14839" spans="119:119" x14ac:dyDescent="0.2">
      <c r="DO14839" s="303" t="s">
        <v>232</v>
      </c>
    </row>
    <row r="14840" spans="119:119" x14ac:dyDescent="0.2">
      <c r="DO14840" s="303" t="s">
        <v>232</v>
      </c>
    </row>
    <row r="14841" spans="119:119" x14ac:dyDescent="0.2">
      <c r="DO14841" s="303" t="s">
        <v>232</v>
      </c>
    </row>
    <row r="14842" spans="119:119" x14ac:dyDescent="0.2">
      <c r="DO14842" s="303" t="s">
        <v>232</v>
      </c>
    </row>
    <row r="14843" spans="119:119" x14ac:dyDescent="0.2">
      <c r="DO14843" s="303" t="s">
        <v>232</v>
      </c>
    </row>
    <row r="14844" spans="119:119" x14ac:dyDescent="0.2">
      <c r="DO14844" s="303" t="s">
        <v>232</v>
      </c>
    </row>
    <row r="14845" spans="119:119" x14ac:dyDescent="0.2">
      <c r="DO14845" s="303" t="s">
        <v>232</v>
      </c>
    </row>
    <row r="14846" spans="119:119" x14ac:dyDescent="0.2">
      <c r="DO14846" s="303" t="s">
        <v>232</v>
      </c>
    </row>
    <row r="14847" spans="119:119" x14ac:dyDescent="0.2">
      <c r="DO14847" s="303" t="s">
        <v>232</v>
      </c>
    </row>
    <row r="14848" spans="119:119" x14ac:dyDescent="0.2">
      <c r="DO14848" s="303" t="s">
        <v>232</v>
      </c>
    </row>
    <row r="14849" spans="119:119" x14ac:dyDescent="0.2">
      <c r="DO14849" s="303" t="s">
        <v>232</v>
      </c>
    </row>
    <row r="14850" spans="119:119" x14ac:dyDescent="0.2">
      <c r="DO14850" s="303" t="s">
        <v>232</v>
      </c>
    </row>
    <row r="14851" spans="119:119" x14ac:dyDescent="0.2">
      <c r="DO14851" s="303" t="s">
        <v>232</v>
      </c>
    </row>
    <row r="14852" spans="119:119" x14ac:dyDescent="0.2">
      <c r="DO14852" s="303" t="s">
        <v>232</v>
      </c>
    </row>
    <row r="14853" spans="119:119" x14ac:dyDescent="0.2">
      <c r="DO14853" s="303" t="s">
        <v>232</v>
      </c>
    </row>
    <row r="14854" spans="119:119" x14ac:dyDescent="0.2">
      <c r="DO14854" s="303" t="s">
        <v>232</v>
      </c>
    </row>
    <row r="14855" spans="119:119" x14ac:dyDescent="0.2">
      <c r="DO14855" s="303" t="s">
        <v>232</v>
      </c>
    </row>
    <row r="14856" spans="119:119" x14ac:dyDescent="0.2">
      <c r="DO14856" s="303" t="s">
        <v>232</v>
      </c>
    </row>
    <row r="14857" spans="119:119" x14ac:dyDescent="0.2">
      <c r="DO14857" s="303" t="s">
        <v>232</v>
      </c>
    </row>
    <row r="14858" spans="119:119" x14ac:dyDescent="0.2">
      <c r="DO14858" s="303" t="s">
        <v>232</v>
      </c>
    </row>
    <row r="14859" spans="119:119" x14ac:dyDescent="0.2">
      <c r="DO14859" s="303" t="s">
        <v>232</v>
      </c>
    </row>
    <row r="14860" spans="119:119" x14ac:dyDescent="0.2">
      <c r="DO14860" s="303" t="s">
        <v>232</v>
      </c>
    </row>
    <row r="14861" spans="119:119" x14ac:dyDescent="0.2">
      <c r="DO14861" s="303" t="s">
        <v>232</v>
      </c>
    </row>
    <row r="14862" spans="119:119" x14ac:dyDescent="0.2">
      <c r="DO14862" s="303" t="s">
        <v>232</v>
      </c>
    </row>
    <row r="14863" spans="119:119" x14ac:dyDescent="0.2">
      <c r="DO14863" s="303" t="s">
        <v>232</v>
      </c>
    </row>
    <row r="14864" spans="119:119" x14ac:dyDescent="0.2">
      <c r="DO14864" s="303" t="s">
        <v>232</v>
      </c>
    </row>
    <row r="14865" spans="119:119" x14ac:dyDescent="0.2">
      <c r="DO14865" s="303" t="s">
        <v>232</v>
      </c>
    </row>
    <row r="14866" spans="119:119" x14ac:dyDescent="0.2">
      <c r="DO14866" s="303" t="s">
        <v>232</v>
      </c>
    </row>
    <row r="14867" spans="119:119" x14ac:dyDescent="0.2">
      <c r="DO14867" s="303" t="s">
        <v>232</v>
      </c>
    </row>
    <row r="14868" spans="119:119" x14ac:dyDescent="0.2">
      <c r="DO14868" s="303" t="s">
        <v>232</v>
      </c>
    </row>
    <row r="14869" spans="119:119" x14ac:dyDescent="0.2">
      <c r="DO14869" s="303" t="s">
        <v>232</v>
      </c>
    </row>
    <row r="14870" spans="119:119" x14ac:dyDescent="0.2">
      <c r="DO14870" s="303" t="s">
        <v>232</v>
      </c>
    </row>
    <row r="14871" spans="119:119" x14ac:dyDescent="0.2">
      <c r="DO14871" s="303" t="s">
        <v>232</v>
      </c>
    </row>
    <row r="14872" spans="119:119" x14ac:dyDescent="0.2">
      <c r="DO14872" s="303" t="s">
        <v>232</v>
      </c>
    </row>
    <row r="14873" spans="119:119" x14ac:dyDescent="0.2">
      <c r="DO14873" s="303" t="s">
        <v>232</v>
      </c>
    </row>
    <row r="14874" spans="119:119" x14ac:dyDescent="0.2">
      <c r="DO14874" s="303" t="s">
        <v>232</v>
      </c>
    </row>
    <row r="14875" spans="119:119" x14ac:dyDescent="0.2">
      <c r="DO14875" s="303" t="s">
        <v>232</v>
      </c>
    </row>
    <row r="14876" spans="119:119" x14ac:dyDescent="0.2">
      <c r="DO14876" s="303" t="s">
        <v>232</v>
      </c>
    </row>
    <row r="14877" spans="119:119" x14ac:dyDescent="0.2">
      <c r="DO14877" s="303" t="s">
        <v>232</v>
      </c>
    </row>
    <row r="14878" spans="119:119" x14ac:dyDescent="0.2">
      <c r="DO14878" s="303" t="s">
        <v>232</v>
      </c>
    </row>
    <row r="14879" spans="119:119" x14ac:dyDescent="0.2">
      <c r="DO14879" s="303" t="s">
        <v>232</v>
      </c>
    </row>
    <row r="14880" spans="119:119" x14ac:dyDescent="0.2">
      <c r="DO14880" s="303" t="s">
        <v>232</v>
      </c>
    </row>
    <row r="14881" spans="119:119" x14ac:dyDescent="0.2">
      <c r="DO14881" s="303" t="s">
        <v>232</v>
      </c>
    </row>
    <row r="14882" spans="119:119" x14ac:dyDescent="0.2">
      <c r="DO14882" s="303" t="s">
        <v>232</v>
      </c>
    </row>
    <row r="14883" spans="119:119" x14ac:dyDescent="0.2">
      <c r="DO14883" s="303" t="s">
        <v>232</v>
      </c>
    </row>
    <row r="14884" spans="119:119" x14ac:dyDescent="0.2">
      <c r="DO14884" s="303" t="s">
        <v>232</v>
      </c>
    </row>
    <row r="14885" spans="119:119" x14ac:dyDescent="0.2">
      <c r="DO14885" s="303" t="s">
        <v>232</v>
      </c>
    </row>
    <row r="14886" spans="119:119" x14ac:dyDescent="0.2">
      <c r="DO14886" s="303" t="s">
        <v>232</v>
      </c>
    </row>
    <row r="14887" spans="119:119" x14ac:dyDescent="0.2">
      <c r="DO14887" s="303" t="s">
        <v>232</v>
      </c>
    </row>
    <row r="14888" spans="119:119" x14ac:dyDescent="0.2">
      <c r="DO14888" s="303" t="s">
        <v>232</v>
      </c>
    </row>
    <row r="14889" spans="119:119" x14ac:dyDescent="0.2">
      <c r="DO14889" s="303" t="s">
        <v>232</v>
      </c>
    </row>
    <row r="14890" spans="119:119" x14ac:dyDescent="0.2">
      <c r="DO14890" s="303" t="s">
        <v>232</v>
      </c>
    </row>
    <row r="14891" spans="119:119" x14ac:dyDescent="0.2">
      <c r="DO14891" s="303" t="s">
        <v>232</v>
      </c>
    </row>
    <row r="14892" spans="119:119" x14ac:dyDescent="0.2">
      <c r="DO14892" s="303" t="s">
        <v>232</v>
      </c>
    </row>
    <row r="14893" spans="119:119" x14ac:dyDescent="0.2">
      <c r="DO14893" s="303" t="s">
        <v>232</v>
      </c>
    </row>
    <row r="14894" spans="119:119" x14ac:dyDescent="0.2">
      <c r="DO14894" s="303" t="s">
        <v>232</v>
      </c>
    </row>
    <row r="14895" spans="119:119" x14ac:dyDescent="0.2">
      <c r="DO14895" s="303" t="s">
        <v>232</v>
      </c>
    </row>
    <row r="14896" spans="119:119" x14ac:dyDescent="0.2">
      <c r="DO14896" s="303" t="s">
        <v>232</v>
      </c>
    </row>
    <row r="14897" spans="119:119" x14ac:dyDescent="0.2">
      <c r="DO14897" s="303" t="s">
        <v>232</v>
      </c>
    </row>
    <row r="14898" spans="119:119" x14ac:dyDescent="0.2">
      <c r="DO14898" s="303" t="s">
        <v>232</v>
      </c>
    </row>
    <row r="14899" spans="119:119" x14ac:dyDescent="0.2">
      <c r="DO14899" s="303" t="s">
        <v>232</v>
      </c>
    </row>
    <row r="14900" spans="119:119" x14ac:dyDescent="0.2">
      <c r="DO14900" s="303" t="s">
        <v>232</v>
      </c>
    </row>
    <row r="14901" spans="119:119" x14ac:dyDescent="0.2">
      <c r="DO14901" s="303" t="s">
        <v>232</v>
      </c>
    </row>
    <row r="14902" spans="119:119" x14ac:dyDescent="0.2">
      <c r="DO14902" s="303" t="s">
        <v>232</v>
      </c>
    </row>
    <row r="14903" spans="119:119" x14ac:dyDescent="0.2">
      <c r="DO14903" s="303" t="s">
        <v>232</v>
      </c>
    </row>
    <row r="14904" spans="119:119" x14ac:dyDescent="0.2">
      <c r="DO14904" s="303" t="s">
        <v>232</v>
      </c>
    </row>
    <row r="14905" spans="119:119" x14ac:dyDescent="0.2">
      <c r="DO14905" s="303" t="s">
        <v>232</v>
      </c>
    </row>
    <row r="14906" spans="119:119" x14ac:dyDescent="0.2">
      <c r="DO14906" s="303" t="s">
        <v>232</v>
      </c>
    </row>
    <row r="14907" spans="119:119" x14ac:dyDescent="0.2">
      <c r="DO14907" s="303" t="s">
        <v>232</v>
      </c>
    </row>
    <row r="14908" spans="119:119" x14ac:dyDescent="0.2">
      <c r="DO14908" s="303" t="s">
        <v>232</v>
      </c>
    </row>
    <row r="14909" spans="119:119" x14ac:dyDescent="0.2">
      <c r="DO14909" s="303" t="s">
        <v>232</v>
      </c>
    </row>
    <row r="14910" spans="119:119" x14ac:dyDescent="0.2">
      <c r="DO14910" s="303" t="s">
        <v>232</v>
      </c>
    </row>
    <row r="14911" spans="119:119" x14ac:dyDescent="0.2">
      <c r="DO14911" s="303" t="s">
        <v>232</v>
      </c>
    </row>
    <row r="14912" spans="119:119" x14ac:dyDescent="0.2">
      <c r="DO14912" s="303" t="s">
        <v>232</v>
      </c>
    </row>
    <row r="14913" spans="119:119" x14ac:dyDescent="0.2">
      <c r="DO14913" s="303" t="s">
        <v>232</v>
      </c>
    </row>
    <row r="14914" spans="119:119" x14ac:dyDescent="0.2">
      <c r="DO14914" s="303" t="s">
        <v>232</v>
      </c>
    </row>
    <row r="14915" spans="119:119" x14ac:dyDescent="0.2">
      <c r="DO14915" s="303" t="s">
        <v>232</v>
      </c>
    </row>
    <row r="14916" spans="119:119" x14ac:dyDescent="0.2">
      <c r="DO14916" s="303" t="s">
        <v>232</v>
      </c>
    </row>
    <row r="14917" spans="119:119" x14ac:dyDescent="0.2">
      <c r="DO14917" s="303" t="s">
        <v>232</v>
      </c>
    </row>
    <row r="14918" spans="119:119" x14ac:dyDescent="0.2">
      <c r="DO14918" s="303" t="s">
        <v>232</v>
      </c>
    </row>
    <row r="14919" spans="119:119" x14ac:dyDescent="0.2">
      <c r="DO14919" s="303" t="s">
        <v>232</v>
      </c>
    </row>
    <row r="14920" spans="119:119" x14ac:dyDescent="0.2">
      <c r="DO14920" s="303" t="s">
        <v>232</v>
      </c>
    </row>
    <row r="14921" spans="119:119" x14ac:dyDescent="0.2">
      <c r="DO14921" s="303" t="s">
        <v>232</v>
      </c>
    </row>
    <row r="14922" spans="119:119" x14ac:dyDescent="0.2">
      <c r="DO14922" s="303" t="s">
        <v>232</v>
      </c>
    </row>
    <row r="14923" spans="119:119" x14ac:dyDescent="0.2">
      <c r="DO14923" s="303" t="s">
        <v>232</v>
      </c>
    </row>
    <row r="14924" spans="119:119" x14ac:dyDescent="0.2">
      <c r="DO14924" s="303" t="s">
        <v>232</v>
      </c>
    </row>
    <row r="14925" spans="119:119" x14ac:dyDescent="0.2">
      <c r="DO14925" s="303" t="s">
        <v>232</v>
      </c>
    </row>
    <row r="14926" spans="119:119" x14ac:dyDescent="0.2">
      <c r="DO14926" s="303" t="s">
        <v>232</v>
      </c>
    </row>
    <row r="14927" spans="119:119" x14ac:dyDescent="0.2">
      <c r="DO14927" s="303" t="s">
        <v>232</v>
      </c>
    </row>
    <row r="14928" spans="119:119" x14ac:dyDescent="0.2">
      <c r="DO14928" s="303" t="s">
        <v>232</v>
      </c>
    </row>
    <row r="14929" spans="119:119" x14ac:dyDescent="0.2">
      <c r="DO14929" s="303" t="s">
        <v>232</v>
      </c>
    </row>
    <row r="14930" spans="119:119" x14ac:dyDescent="0.2">
      <c r="DO14930" s="303" t="s">
        <v>232</v>
      </c>
    </row>
    <row r="14931" spans="119:119" x14ac:dyDescent="0.2">
      <c r="DO14931" s="303" t="s">
        <v>232</v>
      </c>
    </row>
    <row r="14932" spans="119:119" x14ac:dyDescent="0.2">
      <c r="DO14932" s="303" t="s">
        <v>232</v>
      </c>
    </row>
    <row r="14933" spans="119:119" x14ac:dyDescent="0.2">
      <c r="DO14933" s="303" t="s">
        <v>232</v>
      </c>
    </row>
    <row r="14934" spans="119:119" x14ac:dyDescent="0.2">
      <c r="DO14934" s="303" t="s">
        <v>232</v>
      </c>
    </row>
    <row r="14935" spans="119:119" x14ac:dyDescent="0.2">
      <c r="DO14935" s="303" t="s">
        <v>232</v>
      </c>
    </row>
    <row r="14936" spans="119:119" x14ac:dyDescent="0.2">
      <c r="DO14936" s="303" t="s">
        <v>232</v>
      </c>
    </row>
    <row r="14937" spans="119:119" x14ac:dyDescent="0.2">
      <c r="DO14937" s="303" t="s">
        <v>232</v>
      </c>
    </row>
    <row r="14938" spans="119:119" x14ac:dyDescent="0.2">
      <c r="DO14938" s="303" t="s">
        <v>232</v>
      </c>
    </row>
    <row r="14939" spans="119:119" x14ac:dyDescent="0.2">
      <c r="DO14939" s="303" t="s">
        <v>232</v>
      </c>
    </row>
    <row r="14940" spans="119:119" x14ac:dyDescent="0.2">
      <c r="DO14940" s="303" t="s">
        <v>232</v>
      </c>
    </row>
    <row r="14941" spans="119:119" x14ac:dyDescent="0.2">
      <c r="DO14941" s="303" t="s">
        <v>232</v>
      </c>
    </row>
    <row r="14942" spans="119:119" x14ac:dyDescent="0.2">
      <c r="DO14942" s="303" t="s">
        <v>232</v>
      </c>
    </row>
    <row r="14943" spans="119:119" x14ac:dyDescent="0.2">
      <c r="DO14943" s="303" t="s">
        <v>232</v>
      </c>
    </row>
    <row r="14944" spans="119:119" x14ac:dyDescent="0.2">
      <c r="DO14944" s="303" t="s">
        <v>232</v>
      </c>
    </row>
    <row r="14945" spans="119:119" x14ac:dyDescent="0.2">
      <c r="DO14945" s="303" t="s">
        <v>232</v>
      </c>
    </row>
    <row r="14946" spans="119:119" x14ac:dyDescent="0.2">
      <c r="DO14946" s="303" t="s">
        <v>232</v>
      </c>
    </row>
    <row r="14947" spans="119:119" x14ac:dyDescent="0.2">
      <c r="DO14947" s="303" t="s">
        <v>232</v>
      </c>
    </row>
    <row r="14948" spans="119:119" x14ac:dyDescent="0.2">
      <c r="DO14948" s="303" t="s">
        <v>232</v>
      </c>
    </row>
    <row r="14949" spans="119:119" x14ac:dyDescent="0.2">
      <c r="DO14949" s="303" t="s">
        <v>232</v>
      </c>
    </row>
    <row r="14950" spans="119:119" x14ac:dyDescent="0.2">
      <c r="DO14950" s="303" t="s">
        <v>232</v>
      </c>
    </row>
    <row r="14951" spans="119:119" x14ac:dyDescent="0.2">
      <c r="DO14951" s="303" t="s">
        <v>232</v>
      </c>
    </row>
    <row r="14952" spans="119:119" x14ac:dyDescent="0.2">
      <c r="DO14952" s="303" t="s">
        <v>232</v>
      </c>
    </row>
    <row r="14953" spans="119:119" x14ac:dyDescent="0.2">
      <c r="DO14953" s="303" t="s">
        <v>232</v>
      </c>
    </row>
    <row r="14954" spans="119:119" x14ac:dyDescent="0.2">
      <c r="DO14954" s="303" t="s">
        <v>232</v>
      </c>
    </row>
    <row r="14955" spans="119:119" x14ac:dyDescent="0.2">
      <c r="DO14955" s="303" t="s">
        <v>232</v>
      </c>
    </row>
    <row r="14956" spans="119:119" x14ac:dyDescent="0.2">
      <c r="DO14956" s="303" t="s">
        <v>232</v>
      </c>
    </row>
    <row r="14957" spans="119:119" x14ac:dyDescent="0.2">
      <c r="DO14957" s="303" t="s">
        <v>232</v>
      </c>
    </row>
    <row r="14958" spans="119:119" x14ac:dyDescent="0.2">
      <c r="DO14958" s="303" t="s">
        <v>232</v>
      </c>
    </row>
    <row r="14959" spans="119:119" x14ac:dyDescent="0.2">
      <c r="DO14959" s="303" t="s">
        <v>232</v>
      </c>
    </row>
    <row r="14960" spans="119:119" x14ac:dyDescent="0.2">
      <c r="DO14960" s="303" t="s">
        <v>232</v>
      </c>
    </row>
    <row r="14961" spans="119:119" x14ac:dyDescent="0.2">
      <c r="DO14961" s="303" t="s">
        <v>232</v>
      </c>
    </row>
    <row r="14962" spans="119:119" x14ac:dyDescent="0.2">
      <c r="DO14962" s="303" t="s">
        <v>232</v>
      </c>
    </row>
    <row r="14963" spans="119:119" x14ac:dyDescent="0.2">
      <c r="DO14963" s="303" t="s">
        <v>232</v>
      </c>
    </row>
    <row r="14964" spans="119:119" x14ac:dyDescent="0.2">
      <c r="DO14964" s="303" t="s">
        <v>232</v>
      </c>
    </row>
    <row r="14965" spans="119:119" x14ac:dyDescent="0.2">
      <c r="DO14965" s="303" t="s">
        <v>232</v>
      </c>
    </row>
    <row r="14966" spans="119:119" x14ac:dyDescent="0.2">
      <c r="DO14966" s="303" t="s">
        <v>232</v>
      </c>
    </row>
    <row r="14967" spans="119:119" x14ac:dyDescent="0.2">
      <c r="DO14967" s="303" t="s">
        <v>232</v>
      </c>
    </row>
    <row r="14968" spans="119:119" x14ac:dyDescent="0.2">
      <c r="DO14968" s="303" t="s">
        <v>232</v>
      </c>
    </row>
    <row r="14969" spans="119:119" x14ac:dyDescent="0.2">
      <c r="DO14969" s="303" t="s">
        <v>232</v>
      </c>
    </row>
    <row r="14970" spans="119:119" x14ac:dyDescent="0.2">
      <c r="DO14970" s="303" t="s">
        <v>232</v>
      </c>
    </row>
    <row r="14971" spans="119:119" x14ac:dyDescent="0.2">
      <c r="DO14971" s="303" t="s">
        <v>232</v>
      </c>
    </row>
    <row r="14972" spans="119:119" x14ac:dyDescent="0.2">
      <c r="DO14972" s="303" t="s">
        <v>232</v>
      </c>
    </row>
    <row r="14973" spans="119:119" x14ac:dyDescent="0.2">
      <c r="DO14973" s="303" t="s">
        <v>232</v>
      </c>
    </row>
    <row r="14974" spans="119:119" x14ac:dyDescent="0.2">
      <c r="DO14974" s="303" t="s">
        <v>232</v>
      </c>
    </row>
    <row r="14975" spans="119:119" x14ac:dyDescent="0.2">
      <c r="DO14975" s="303" t="s">
        <v>232</v>
      </c>
    </row>
    <row r="14976" spans="119:119" x14ac:dyDescent="0.2">
      <c r="DO14976" s="303" t="s">
        <v>232</v>
      </c>
    </row>
    <row r="14977" spans="119:119" x14ac:dyDescent="0.2">
      <c r="DO14977" s="303" t="s">
        <v>232</v>
      </c>
    </row>
    <row r="14978" spans="119:119" x14ac:dyDescent="0.2">
      <c r="DO14978" s="303" t="s">
        <v>232</v>
      </c>
    </row>
    <row r="14979" spans="119:119" x14ac:dyDescent="0.2">
      <c r="DO14979" s="303" t="s">
        <v>232</v>
      </c>
    </row>
    <row r="14980" spans="119:119" x14ac:dyDescent="0.2">
      <c r="DO14980" s="303" t="s">
        <v>232</v>
      </c>
    </row>
    <row r="14981" spans="119:119" x14ac:dyDescent="0.2">
      <c r="DO14981" s="303" t="s">
        <v>232</v>
      </c>
    </row>
    <row r="14982" spans="119:119" x14ac:dyDescent="0.2">
      <c r="DO14982" s="303" t="s">
        <v>232</v>
      </c>
    </row>
    <row r="14983" spans="119:119" x14ac:dyDescent="0.2">
      <c r="DO14983" s="303" t="s">
        <v>232</v>
      </c>
    </row>
    <row r="14984" spans="119:119" x14ac:dyDescent="0.2">
      <c r="DO14984" s="303" t="s">
        <v>232</v>
      </c>
    </row>
    <row r="14985" spans="119:119" x14ac:dyDescent="0.2">
      <c r="DO14985" s="303" t="s">
        <v>232</v>
      </c>
    </row>
    <row r="14986" spans="119:119" x14ac:dyDescent="0.2">
      <c r="DO14986" s="303" t="s">
        <v>232</v>
      </c>
    </row>
    <row r="14987" spans="119:119" x14ac:dyDescent="0.2">
      <c r="DO14987" s="303" t="s">
        <v>232</v>
      </c>
    </row>
    <row r="14988" spans="119:119" x14ac:dyDescent="0.2">
      <c r="DO14988" s="303" t="s">
        <v>232</v>
      </c>
    </row>
    <row r="14989" spans="119:119" x14ac:dyDescent="0.2">
      <c r="DO14989" s="303" t="s">
        <v>232</v>
      </c>
    </row>
    <row r="14990" spans="119:119" x14ac:dyDescent="0.2">
      <c r="DO14990" s="303" t="s">
        <v>232</v>
      </c>
    </row>
    <row r="14991" spans="119:119" x14ac:dyDescent="0.2">
      <c r="DO14991" s="303" t="s">
        <v>232</v>
      </c>
    </row>
    <row r="14992" spans="119:119" x14ac:dyDescent="0.2">
      <c r="DO14992" s="303" t="s">
        <v>232</v>
      </c>
    </row>
    <row r="14993" spans="119:119" x14ac:dyDescent="0.2">
      <c r="DO14993" s="303" t="s">
        <v>232</v>
      </c>
    </row>
    <row r="14994" spans="119:119" x14ac:dyDescent="0.2">
      <c r="DO14994" s="303" t="s">
        <v>232</v>
      </c>
    </row>
    <row r="14995" spans="119:119" x14ac:dyDescent="0.2">
      <c r="DO14995" s="303" t="s">
        <v>232</v>
      </c>
    </row>
    <row r="14996" spans="119:119" x14ac:dyDescent="0.2">
      <c r="DO14996" s="303" t="s">
        <v>232</v>
      </c>
    </row>
    <row r="14997" spans="119:119" x14ac:dyDescent="0.2">
      <c r="DO14997" s="303" t="s">
        <v>232</v>
      </c>
    </row>
    <row r="14998" spans="119:119" x14ac:dyDescent="0.2">
      <c r="DO14998" s="303" t="s">
        <v>232</v>
      </c>
    </row>
    <row r="14999" spans="119:119" x14ac:dyDescent="0.2">
      <c r="DO14999" s="303" t="s">
        <v>232</v>
      </c>
    </row>
    <row r="15000" spans="119:119" x14ac:dyDescent="0.2">
      <c r="DO15000" s="303" t="s">
        <v>232</v>
      </c>
    </row>
    <row r="15001" spans="119:119" x14ac:dyDescent="0.2">
      <c r="DO15001" s="303" t="s">
        <v>232</v>
      </c>
    </row>
    <row r="15002" spans="119:119" x14ac:dyDescent="0.2">
      <c r="DO15002" s="303" t="s">
        <v>232</v>
      </c>
    </row>
    <row r="15003" spans="119:119" x14ac:dyDescent="0.2">
      <c r="DO15003" s="303" t="s">
        <v>232</v>
      </c>
    </row>
    <row r="15004" spans="119:119" x14ac:dyDescent="0.2">
      <c r="DO15004" s="303" t="s">
        <v>232</v>
      </c>
    </row>
    <row r="15005" spans="119:119" x14ac:dyDescent="0.2">
      <c r="DO15005" s="303" t="s">
        <v>232</v>
      </c>
    </row>
    <row r="15006" spans="119:119" x14ac:dyDescent="0.2">
      <c r="DO15006" s="303" t="s">
        <v>232</v>
      </c>
    </row>
    <row r="15007" spans="119:119" x14ac:dyDescent="0.2">
      <c r="DO15007" s="303" t="s">
        <v>232</v>
      </c>
    </row>
    <row r="15008" spans="119:119" x14ac:dyDescent="0.2">
      <c r="DO15008" s="303" t="s">
        <v>232</v>
      </c>
    </row>
    <row r="15009" spans="119:119" x14ac:dyDescent="0.2">
      <c r="DO15009" s="303" t="s">
        <v>232</v>
      </c>
    </row>
    <row r="15010" spans="119:119" x14ac:dyDescent="0.2">
      <c r="DO15010" s="303" t="s">
        <v>232</v>
      </c>
    </row>
    <row r="15011" spans="119:119" x14ac:dyDescent="0.2">
      <c r="DO15011" s="303" t="s">
        <v>232</v>
      </c>
    </row>
    <row r="15012" spans="119:119" x14ac:dyDescent="0.2">
      <c r="DO15012" s="303" t="s">
        <v>232</v>
      </c>
    </row>
    <row r="15013" spans="119:119" x14ac:dyDescent="0.2">
      <c r="DO15013" s="303" t="s">
        <v>232</v>
      </c>
    </row>
    <row r="15014" spans="119:119" x14ac:dyDescent="0.2">
      <c r="DO15014" s="303" t="s">
        <v>232</v>
      </c>
    </row>
    <row r="15015" spans="119:119" x14ac:dyDescent="0.2">
      <c r="DO15015" s="303" t="s">
        <v>232</v>
      </c>
    </row>
    <row r="15016" spans="119:119" x14ac:dyDescent="0.2">
      <c r="DO15016" s="303" t="s">
        <v>232</v>
      </c>
    </row>
    <row r="15017" spans="119:119" x14ac:dyDescent="0.2">
      <c r="DO15017" s="303" t="s">
        <v>232</v>
      </c>
    </row>
    <row r="15018" spans="119:119" x14ac:dyDescent="0.2">
      <c r="DO15018" s="303" t="s">
        <v>232</v>
      </c>
    </row>
    <row r="15019" spans="119:119" x14ac:dyDescent="0.2">
      <c r="DO15019" s="303" t="s">
        <v>232</v>
      </c>
    </row>
    <row r="15020" spans="119:119" x14ac:dyDescent="0.2">
      <c r="DO15020" s="303" t="s">
        <v>232</v>
      </c>
    </row>
    <row r="15021" spans="119:119" x14ac:dyDescent="0.2">
      <c r="DO15021" s="303" t="s">
        <v>232</v>
      </c>
    </row>
    <row r="15022" spans="119:119" x14ac:dyDescent="0.2">
      <c r="DO15022" s="303" t="s">
        <v>232</v>
      </c>
    </row>
    <row r="15023" spans="119:119" x14ac:dyDescent="0.2">
      <c r="DO15023" s="303" t="s">
        <v>232</v>
      </c>
    </row>
    <row r="15024" spans="119:119" x14ac:dyDescent="0.2">
      <c r="DO15024" s="303" t="s">
        <v>232</v>
      </c>
    </row>
    <row r="15025" spans="119:119" x14ac:dyDescent="0.2">
      <c r="DO15025" s="303" t="s">
        <v>232</v>
      </c>
    </row>
    <row r="15026" spans="119:119" x14ac:dyDescent="0.2">
      <c r="DO15026" s="303" t="s">
        <v>232</v>
      </c>
    </row>
    <row r="15027" spans="119:119" x14ac:dyDescent="0.2">
      <c r="DO15027" s="303" t="s">
        <v>232</v>
      </c>
    </row>
    <row r="15028" spans="119:119" x14ac:dyDescent="0.2">
      <c r="DO15028" s="303" t="s">
        <v>232</v>
      </c>
    </row>
    <row r="15029" spans="119:119" x14ac:dyDescent="0.2">
      <c r="DO15029" s="303" t="s">
        <v>232</v>
      </c>
    </row>
    <row r="15030" spans="119:119" x14ac:dyDescent="0.2">
      <c r="DO15030" s="303" t="s">
        <v>232</v>
      </c>
    </row>
    <row r="15031" spans="119:119" x14ac:dyDescent="0.2">
      <c r="DO15031" s="303" t="s">
        <v>232</v>
      </c>
    </row>
    <row r="15032" spans="119:119" x14ac:dyDescent="0.2">
      <c r="DO15032" s="303" t="s">
        <v>232</v>
      </c>
    </row>
    <row r="15033" spans="119:119" x14ac:dyDescent="0.2">
      <c r="DO15033" s="303" t="s">
        <v>232</v>
      </c>
    </row>
    <row r="15034" spans="119:119" x14ac:dyDescent="0.2">
      <c r="DO15034" s="303" t="s">
        <v>232</v>
      </c>
    </row>
    <row r="15035" spans="119:119" x14ac:dyDescent="0.2">
      <c r="DO15035" s="303" t="s">
        <v>232</v>
      </c>
    </row>
    <row r="15036" spans="119:119" x14ac:dyDescent="0.2">
      <c r="DO15036" s="303" t="s">
        <v>232</v>
      </c>
    </row>
    <row r="15037" spans="119:119" x14ac:dyDescent="0.2">
      <c r="DO15037" s="303" t="s">
        <v>232</v>
      </c>
    </row>
    <row r="15038" spans="119:119" x14ac:dyDescent="0.2">
      <c r="DO15038" s="303" t="s">
        <v>232</v>
      </c>
    </row>
    <row r="15039" spans="119:119" x14ac:dyDescent="0.2">
      <c r="DO15039" s="303" t="s">
        <v>232</v>
      </c>
    </row>
    <row r="15040" spans="119:119" x14ac:dyDescent="0.2">
      <c r="DO15040" s="303" t="s">
        <v>232</v>
      </c>
    </row>
    <row r="15041" spans="119:119" x14ac:dyDescent="0.2">
      <c r="DO15041" s="303" t="s">
        <v>232</v>
      </c>
    </row>
    <row r="15042" spans="119:119" x14ac:dyDescent="0.2">
      <c r="DO15042" s="303" t="s">
        <v>232</v>
      </c>
    </row>
    <row r="15043" spans="119:119" x14ac:dyDescent="0.2">
      <c r="DO15043" s="303" t="s">
        <v>232</v>
      </c>
    </row>
    <row r="15044" spans="119:119" x14ac:dyDescent="0.2">
      <c r="DO15044" s="303" t="s">
        <v>232</v>
      </c>
    </row>
    <row r="15045" spans="119:119" x14ac:dyDescent="0.2">
      <c r="DO15045" s="303" t="s">
        <v>232</v>
      </c>
    </row>
    <row r="15046" spans="119:119" x14ac:dyDescent="0.2">
      <c r="DO15046" s="303" t="s">
        <v>232</v>
      </c>
    </row>
    <row r="15047" spans="119:119" x14ac:dyDescent="0.2">
      <c r="DO15047" s="303" t="s">
        <v>232</v>
      </c>
    </row>
    <row r="15048" spans="119:119" x14ac:dyDescent="0.2">
      <c r="DO15048" s="303" t="s">
        <v>232</v>
      </c>
    </row>
    <row r="15049" spans="119:119" x14ac:dyDescent="0.2">
      <c r="DO15049" s="303" t="s">
        <v>232</v>
      </c>
    </row>
    <row r="15050" spans="119:119" x14ac:dyDescent="0.2">
      <c r="DO15050" s="303" t="s">
        <v>232</v>
      </c>
    </row>
    <row r="15051" spans="119:119" x14ac:dyDescent="0.2">
      <c r="DO15051" s="303" t="s">
        <v>232</v>
      </c>
    </row>
    <row r="15052" spans="119:119" x14ac:dyDescent="0.2">
      <c r="DO15052" s="303" t="s">
        <v>232</v>
      </c>
    </row>
    <row r="15053" spans="119:119" x14ac:dyDescent="0.2">
      <c r="DO15053" s="303" t="s">
        <v>232</v>
      </c>
    </row>
    <row r="15054" spans="119:119" x14ac:dyDescent="0.2">
      <c r="DO15054" s="303" t="s">
        <v>232</v>
      </c>
    </row>
    <row r="15055" spans="119:119" x14ac:dyDescent="0.2">
      <c r="DO15055" s="303" t="s">
        <v>232</v>
      </c>
    </row>
    <row r="15056" spans="119:119" x14ac:dyDescent="0.2">
      <c r="DO15056" s="303" t="s">
        <v>232</v>
      </c>
    </row>
    <row r="15057" spans="119:119" x14ac:dyDescent="0.2">
      <c r="DO15057" s="303" t="s">
        <v>232</v>
      </c>
    </row>
    <row r="15058" spans="119:119" x14ac:dyDescent="0.2">
      <c r="DO15058" s="303" t="s">
        <v>232</v>
      </c>
    </row>
    <row r="15059" spans="119:119" x14ac:dyDescent="0.2">
      <c r="DO15059" s="303" t="s">
        <v>232</v>
      </c>
    </row>
    <row r="15060" spans="119:119" x14ac:dyDescent="0.2">
      <c r="DO15060" s="303" t="s">
        <v>232</v>
      </c>
    </row>
    <row r="15061" spans="119:119" x14ac:dyDescent="0.2">
      <c r="DO15061" s="303" t="s">
        <v>232</v>
      </c>
    </row>
    <row r="15062" spans="119:119" x14ac:dyDescent="0.2">
      <c r="DO15062" s="303" t="s">
        <v>232</v>
      </c>
    </row>
    <row r="15063" spans="119:119" x14ac:dyDescent="0.2">
      <c r="DO15063" s="303" t="s">
        <v>232</v>
      </c>
    </row>
    <row r="15064" spans="119:119" x14ac:dyDescent="0.2">
      <c r="DO15064" s="303" t="s">
        <v>232</v>
      </c>
    </row>
    <row r="15065" spans="119:119" x14ac:dyDescent="0.2">
      <c r="DO15065" s="303" t="s">
        <v>232</v>
      </c>
    </row>
    <row r="15066" spans="119:119" x14ac:dyDescent="0.2">
      <c r="DO15066" s="303" t="s">
        <v>232</v>
      </c>
    </row>
    <row r="15067" spans="119:119" x14ac:dyDescent="0.2">
      <c r="DO15067" s="303" t="s">
        <v>232</v>
      </c>
    </row>
    <row r="15068" spans="119:119" x14ac:dyDescent="0.2">
      <c r="DO15068" s="303" t="s">
        <v>232</v>
      </c>
    </row>
    <row r="15069" spans="119:119" x14ac:dyDescent="0.2">
      <c r="DO15069" s="303" t="s">
        <v>232</v>
      </c>
    </row>
    <row r="15070" spans="119:119" x14ac:dyDescent="0.2">
      <c r="DO15070" s="303" t="s">
        <v>232</v>
      </c>
    </row>
    <row r="15071" spans="119:119" x14ac:dyDescent="0.2">
      <c r="DO15071" s="303" t="s">
        <v>232</v>
      </c>
    </row>
    <row r="15072" spans="119:119" x14ac:dyDescent="0.2">
      <c r="DO15072" s="303" t="s">
        <v>232</v>
      </c>
    </row>
    <row r="15073" spans="119:119" x14ac:dyDescent="0.2">
      <c r="DO15073" s="303" t="s">
        <v>232</v>
      </c>
    </row>
    <row r="15074" spans="119:119" x14ac:dyDescent="0.2">
      <c r="DO15074" s="303" t="s">
        <v>232</v>
      </c>
    </row>
    <row r="15075" spans="119:119" x14ac:dyDescent="0.2">
      <c r="DO15075" s="303" t="s">
        <v>232</v>
      </c>
    </row>
    <row r="15076" spans="119:119" x14ac:dyDescent="0.2">
      <c r="DO15076" s="303" t="s">
        <v>232</v>
      </c>
    </row>
    <row r="15077" spans="119:119" x14ac:dyDescent="0.2">
      <c r="DO15077" s="303" t="s">
        <v>232</v>
      </c>
    </row>
    <row r="15078" spans="119:119" x14ac:dyDescent="0.2">
      <c r="DO15078" s="303" t="s">
        <v>232</v>
      </c>
    </row>
    <row r="15079" spans="119:119" x14ac:dyDescent="0.2">
      <c r="DO15079" s="303" t="s">
        <v>232</v>
      </c>
    </row>
    <row r="15080" spans="119:119" x14ac:dyDescent="0.2">
      <c r="DO15080" s="303" t="s">
        <v>232</v>
      </c>
    </row>
    <row r="15081" spans="119:119" x14ac:dyDescent="0.2">
      <c r="DO15081" s="303" t="s">
        <v>232</v>
      </c>
    </row>
    <row r="15082" spans="119:119" x14ac:dyDescent="0.2">
      <c r="DO15082" s="303" t="s">
        <v>232</v>
      </c>
    </row>
    <row r="15083" spans="119:119" x14ac:dyDescent="0.2">
      <c r="DO15083" s="303" t="s">
        <v>232</v>
      </c>
    </row>
    <row r="15084" spans="119:119" x14ac:dyDescent="0.2">
      <c r="DO15084" s="303" t="s">
        <v>232</v>
      </c>
    </row>
    <row r="15085" spans="119:119" x14ac:dyDescent="0.2">
      <c r="DO15085" s="303" t="s">
        <v>232</v>
      </c>
    </row>
    <row r="15086" spans="119:119" x14ac:dyDescent="0.2">
      <c r="DO15086" s="303" t="s">
        <v>232</v>
      </c>
    </row>
    <row r="15087" spans="119:119" x14ac:dyDescent="0.2">
      <c r="DO15087" s="303" t="s">
        <v>232</v>
      </c>
    </row>
    <row r="15088" spans="119:119" x14ac:dyDescent="0.2">
      <c r="DO15088" s="303" t="s">
        <v>232</v>
      </c>
    </row>
    <row r="15089" spans="119:119" x14ac:dyDescent="0.2">
      <c r="DO15089" s="303" t="s">
        <v>232</v>
      </c>
    </row>
    <row r="15090" spans="119:119" x14ac:dyDescent="0.2">
      <c r="DO15090" s="303" t="s">
        <v>232</v>
      </c>
    </row>
    <row r="15091" spans="119:119" x14ac:dyDescent="0.2">
      <c r="DO15091" s="303" t="s">
        <v>232</v>
      </c>
    </row>
    <row r="15092" spans="119:119" x14ac:dyDescent="0.2">
      <c r="DO15092" s="303" t="s">
        <v>232</v>
      </c>
    </row>
    <row r="15093" spans="119:119" x14ac:dyDescent="0.2">
      <c r="DO15093" s="303" t="s">
        <v>232</v>
      </c>
    </row>
    <row r="15094" spans="119:119" x14ac:dyDescent="0.2">
      <c r="DO15094" s="303" t="s">
        <v>232</v>
      </c>
    </row>
    <row r="15095" spans="119:119" x14ac:dyDescent="0.2">
      <c r="DO15095" s="303" t="s">
        <v>232</v>
      </c>
    </row>
    <row r="15096" spans="119:119" x14ac:dyDescent="0.2">
      <c r="DO15096" s="303" t="s">
        <v>232</v>
      </c>
    </row>
    <row r="15097" spans="119:119" x14ac:dyDescent="0.2">
      <c r="DO15097" s="303" t="s">
        <v>232</v>
      </c>
    </row>
    <row r="15098" spans="119:119" x14ac:dyDescent="0.2">
      <c r="DO15098" s="303" t="s">
        <v>232</v>
      </c>
    </row>
    <row r="15099" spans="119:119" x14ac:dyDescent="0.2">
      <c r="DO15099" s="303" t="s">
        <v>232</v>
      </c>
    </row>
    <row r="15100" spans="119:119" x14ac:dyDescent="0.2">
      <c r="DO15100" s="303" t="s">
        <v>232</v>
      </c>
    </row>
    <row r="15101" spans="119:119" x14ac:dyDescent="0.2">
      <c r="DO15101" s="303" t="s">
        <v>232</v>
      </c>
    </row>
    <row r="15102" spans="119:119" x14ac:dyDescent="0.2">
      <c r="DO15102" s="303" t="s">
        <v>232</v>
      </c>
    </row>
    <row r="15103" spans="119:119" x14ac:dyDescent="0.2">
      <c r="DO15103" s="303" t="s">
        <v>232</v>
      </c>
    </row>
    <row r="15104" spans="119:119" x14ac:dyDescent="0.2">
      <c r="DO15104" s="303" t="s">
        <v>232</v>
      </c>
    </row>
    <row r="15105" spans="119:119" x14ac:dyDescent="0.2">
      <c r="DO15105" s="303" t="s">
        <v>232</v>
      </c>
    </row>
    <row r="15106" spans="119:119" x14ac:dyDescent="0.2">
      <c r="DO15106" s="303" t="s">
        <v>232</v>
      </c>
    </row>
    <row r="15107" spans="119:119" x14ac:dyDescent="0.2">
      <c r="DO15107" s="303" t="s">
        <v>232</v>
      </c>
    </row>
    <row r="15108" spans="119:119" x14ac:dyDescent="0.2">
      <c r="DO15108" s="303" t="s">
        <v>232</v>
      </c>
    </row>
    <row r="15109" spans="119:119" x14ac:dyDescent="0.2">
      <c r="DO15109" s="303" t="s">
        <v>232</v>
      </c>
    </row>
    <row r="15110" spans="119:119" x14ac:dyDescent="0.2">
      <c r="DO15110" s="303" t="s">
        <v>232</v>
      </c>
    </row>
    <row r="15111" spans="119:119" x14ac:dyDescent="0.2">
      <c r="DO15111" s="303" t="s">
        <v>232</v>
      </c>
    </row>
    <row r="15112" spans="119:119" x14ac:dyDescent="0.2">
      <c r="DO15112" s="303" t="s">
        <v>232</v>
      </c>
    </row>
    <row r="15113" spans="119:119" x14ac:dyDescent="0.2">
      <c r="DO15113" s="303" t="s">
        <v>232</v>
      </c>
    </row>
    <row r="15114" spans="119:119" x14ac:dyDescent="0.2">
      <c r="DO15114" s="303" t="s">
        <v>232</v>
      </c>
    </row>
    <row r="15115" spans="119:119" x14ac:dyDescent="0.2">
      <c r="DO15115" s="303" t="s">
        <v>232</v>
      </c>
    </row>
    <row r="15116" spans="119:119" x14ac:dyDescent="0.2">
      <c r="DO15116" s="303" t="s">
        <v>232</v>
      </c>
    </row>
    <row r="15117" spans="119:119" x14ac:dyDescent="0.2">
      <c r="DO15117" s="303" t="s">
        <v>232</v>
      </c>
    </row>
    <row r="15118" spans="119:119" x14ac:dyDescent="0.2">
      <c r="DO15118" s="303" t="s">
        <v>232</v>
      </c>
    </row>
    <row r="15119" spans="119:119" x14ac:dyDescent="0.2">
      <c r="DO15119" s="303" t="s">
        <v>232</v>
      </c>
    </row>
    <row r="15120" spans="119:119" x14ac:dyDescent="0.2">
      <c r="DO15120" s="303" t="s">
        <v>232</v>
      </c>
    </row>
    <row r="15121" spans="119:119" x14ac:dyDescent="0.2">
      <c r="DO15121" s="303" t="s">
        <v>232</v>
      </c>
    </row>
    <row r="15122" spans="119:119" x14ac:dyDescent="0.2">
      <c r="DO15122" s="303" t="s">
        <v>232</v>
      </c>
    </row>
    <row r="15123" spans="119:119" x14ac:dyDescent="0.2">
      <c r="DO15123" s="303" t="s">
        <v>232</v>
      </c>
    </row>
    <row r="15124" spans="119:119" x14ac:dyDescent="0.2">
      <c r="DO15124" s="303" t="s">
        <v>232</v>
      </c>
    </row>
    <row r="15125" spans="119:119" x14ac:dyDescent="0.2">
      <c r="DO15125" s="303" t="s">
        <v>232</v>
      </c>
    </row>
    <row r="15126" spans="119:119" x14ac:dyDescent="0.2">
      <c r="DO15126" s="303" t="s">
        <v>232</v>
      </c>
    </row>
    <row r="15127" spans="119:119" x14ac:dyDescent="0.2">
      <c r="DO15127" s="303" t="s">
        <v>232</v>
      </c>
    </row>
    <row r="15128" spans="119:119" x14ac:dyDescent="0.2">
      <c r="DO15128" s="303" t="s">
        <v>232</v>
      </c>
    </row>
    <row r="15129" spans="119:119" x14ac:dyDescent="0.2">
      <c r="DO15129" s="303" t="s">
        <v>232</v>
      </c>
    </row>
    <row r="15130" spans="119:119" x14ac:dyDescent="0.2">
      <c r="DO15130" s="303" t="s">
        <v>232</v>
      </c>
    </row>
    <row r="15131" spans="119:119" x14ac:dyDescent="0.2">
      <c r="DO15131" s="303" t="s">
        <v>232</v>
      </c>
    </row>
    <row r="15132" spans="119:119" x14ac:dyDescent="0.2">
      <c r="DO15132" s="303" t="s">
        <v>232</v>
      </c>
    </row>
    <row r="15133" spans="119:119" x14ac:dyDescent="0.2">
      <c r="DO15133" s="303" t="s">
        <v>232</v>
      </c>
    </row>
    <row r="15134" spans="119:119" x14ac:dyDescent="0.2">
      <c r="DO15134" s="303" t="s">
        <v>232</v>
      </c>
    </row>
    <row r="15135" spans="119:119" x14ac:dyDescent="0.2">
      <c r="DO15135" s="303" t="s">
        <v>232</v>
      </c>
    </row>
    <row r="15136" spans="119:119" x14ac:dyDescent="0.2">
      <c r="DO15136" s="303" t="s">
        <v>232</v>
      </c>
    </row>
    <row r="15137" spans="119:119" x14ac:dyDescent="0.2">
      <c r="DO15137" s="303" t="s">
        <v>232</v>
      </c>
    </row>
    <row r="15138" spans="119:119" x14ac:dyDescent="0.2">
      <c r="DO15138" s="303" t="s">
        <v>232</v>
      </c>
    </row>
    <row r="15139" spans="119:119" x14ac:dyDescent="0.2">
      <c r="DO15139" s="303" t="s">
        <v>232</v>
      </c>
    </row>
    <row r="15140" spans="119:119" x14ac:dyDescent="0.2">
      <c r="DO15140" s="303" t="s">
        <v>232</v>
      </c>
    </row>
    <row r="15141" spans="119:119" x14ac:dyDescent="0.2">
      <c r="DO15141" s="303" t="s">
        <v>232</v>
      </c>
    </row>
    <row r="15142" spans="119:119" x14ac:dyDescent="0.2">
      <c r="DO15142" s="303" t="s">
        <v>232</v>
      </c>
    </row>
    <row r="15143" spans="119:119" x14ac:dyDescent="0.2">
      <c r="DO15143" s="303" t="s">
        <v>232</v>
      </c>
    </row>
    <row r="15144" spans="119:119" x14ac:dyDescent="0.2">
      <c r="DO15144" s="303" t="s">
        <v>232</v>
      </c>
    </row>
    <row r="15145" spans="119:119" x14ac:dyDescent="0.2">
      <c r="DO15145" s="303" t="s">
        <v>232</v>
      </c>
    </row>
    <row r="15146" spans="119:119" x14ac:dyDescent="0.2">
      <c r="DO15146" s="303" t="s">
        <v>232</v>
      </c>
    </row>
    <row r="15147" spans="119:119" x14ac:dyDescent="0.2">
      <c r="DO15147" s="303" t="s">
        <v>232</v>
      </c>
    </row>
    <row r="15148" spans="119:119" x14ac:dyDescent="0.2">
      <c r="DO15148" s="303" t="s">
        <v>232</v>
      </c>
    </row>
    <row r="15149" spans="119:119" x14ac:dyDescent="0.2">
      <c r="DO15149" s="303" t="s">
        <v>232</v>
      </c>
    </row>
    <row r="15150" spans="119:119" x14ac:dyDescent="0.2">
      <c r="DO15150" s="303" t="s">
        <v>232</v>
      </c>
    </row>
    <row r="15151" spans="119:119" x14ac:dyDescent="0.2">
      <c r="DO15151" s="303" t="s">
        <v>232</v>
      </c>
    </row>
    <row r="15152" spans="119:119" x14ac:dyDescent="0.2">
      <c r="DO15152" s="303" t="s">
        <v>232</v>
      </c>
    </row>
    <row r="15153" spans="119:119" x14ac:dyDescent="0.2">
      <c r="DO15153" s="303" t="s">
        <v>232</v>
      </c>
    </row>
    <row r="15154" spans="119:119" x14ac:dyDescent="0.2">
      <c r="DO15154" s="303" t="s">
        <v>232</v>
      </c>
    </row>
    <row r="15155" spans="119:119" x14ac:dyDescent="0.2">
      <c r="DO15155" s="303" t="s">
        <v>232</v>
      </c>
    </row>
    <row r="15156" spans="119:119" x14ac:dyDescent="0.2">
      <c r="DO15156" s="303" t="s">
        <v>232</v>
      </c>
    </row>
    <row r="15157" spans="119:119" x14ac:dyDescent="0.2">
      <c r="DO15157" s="303" t="s">
        <v>232</v>
      </c>
    </row>
    <row r="15158" spans="119:119" x14ac:dyDescent="0.2">
      <c r="DO15158" s="303" t="s">
        <v>232</v>
      </c>
    </row>
    <row r="15159" spans="119:119" x14ac:dyDescent="0.2">
      <c r="DO15159" s="303" t="s">
        <v>232</v>
      </c>
    </row>
    <row r="15160" spans="119:119" x14ac:dyDescent="0.2">
      <c r="DO15160" s="303" t="s">
        <v>232</v>
      </c>
    </row>
    <row r="15161" spans="119:119" x14ac:dyDescent="0.2">
      <c r="DO15161" s="303" t="s">
        <v>232</v>
      </c>
    </row>
    <row r="15162" spans="119:119" x14ac:dyDescent="0.2">
      <c r="DO15162" s="303" t="s">
        <v>232</v>
      </c>
    </row>
    <row r="15163" spans="119:119" x14ac:dyDescent="0.2">
      <c r="DO15163" s="303" t="s">
        <v>232</v>
      </c>
    </row>
    <row r="15164" spans="119:119" x14ac:dyDescent="0.2">
      <c r="DO15164" s="303" t="s">
        <v>232</v>
      </c>
    </row>
    <row r="15165" spans="119:119" x14ac:dyDescent="0.2">
      <c r="DO15165" s="303" t="s">
        <v>232</v>
      </c>
    </row>
    <row r="15166" spans="119:119" x14ac:dyDescent="0.2">
      <c r="DO15166" s="303" t="s">
        <v>232</v>
      </c>
    </row>
    <row r="15167" spans="119:119" x14ac:dyDescent="0.2">
      <c r="DO15167" s="303" t="s">
        <v>232</v>
      </c>
    </row>
    <row r="15168" spans="119:119" x14ac:dyDescent="0.2">
      <c r="DO15168" s="303" t="s">
        <v>232</v>
      </c>
    </row>
    <row r="15169" spans="119:119" x14ac:dyDescent="0.2">
      <c r="DO15169" s="303" t="s">
        <v>232</v>
      </c>
    </row>
    <row r="15170" spans="119:119" x14ac:dyDescent="0.2">
      <c r="DO15170" s="303" t="s">
        <v>232</v>
      </c>
    </row>
    <row r="15171" spans="119:119" x14ac:dyDescent="0.2">
      <c r="DO15171" s="303" t="s">
        <v>232</v>
      </c>
    </row>
    <row r="15172" spans="119:119" x14ac:dyDescent="0.2">
      <c r="DO15172" s="303" t="s">
        <v>232</v>
      </c>
    </row>
    <row r="15173" spans="119:119" x14ac:dyDescent="0.2">
      <c r="DO15173" s="303" t="s">
        <v>232</v>
      </c>
    </row>
    <row r="15174" spans="119:119" x14ac:dyDescent="0.2">
      <c r="DO15174" s="303" t="s">
        <v>232</v>
      </c>
    </row>
    <row r="15175" spans="119:119" x14ac:dyDescent="0.2">
      <c r="DO15175" s="303" t="s">
        <v>232</v>
      </c>
    </row>
    <row r="15176" spans="119:119" x14ac:dyDescent="0.2">
      <c r="DO15176" s="303" t="s">
        <v>232</v>
      </c>
    </row>
    <row r="15177" spans="119:119" x14ac:dyDescent="0.2">
      <c r="DO15177" s="303" t="s">
        <v>232</v>
      </c>
    </row>
    <row r="15178" spans="119:119" x14ac:dyDescent="0.2">
      <c r="DO15178" s="303" t="s">
        <v>232</v>
      </c>
    </row>
    <row r="15179" spans="119:119" x14ac:dyDescent="0.2">
      <c r="DO15179" s="303" t="s">
        <v>232</v>
      </c>
    </row>
    <row r="15180" spans="119:119" x14ac:dyDescent="0.2">
      <c r="DO15180" s="303" t="s">
        <v>232</v>
      </c>
    </row>
    <row r="15181" spans="119:119" x14ac:dyDescent="0.2">
      <c r="DO15181" s="303" t="s">
        <v>232</v>
      </c>
    </row>
    <row r="15182" spans="119:119" x14ac:dyDescent="0.2">
      <c r="DO15182" s="303" t="s">
        <v>232</v>
      </c>
    </row>
    <row r="15183" spans="119:119" x14ac:dyDescent="0.2">
      <c r="DO15183" s="303" t="s">
        <v>232</v>
      </c>
    </row>
    <row r="15184" spans="119:119" x14ac:dyDescent="0.2">
      <c r="DO15184" s="303" t="s">
        <v>232</v>
      </c>
    </row>
    <row r="15185" spans="119:119" x14ac:dyDescent="0.2">
      <c r="DO15185" s="303" t="s">
        <v>232</v>
      </c>
    </row>
    <row r="15186" spans="119:119" x14ac:dyDescent="0.2">
      <c r="DO15186" s="303" t="s">
        <v>232</v>
      </c>
    </row>
    <row r="15187" spans="119:119" x14ac:dyDescent="0.2">
      <c r="DO15187" s="303" t="s">
        <v>232</v>
      </c>
    </row>
    <row r="15188" spans="119:119" x14ac:dyDescent="0.2">
      <c r="DO15188" s="303" t="s">
        <v>232</v>
      </c>
    </row>
    <row r="15189" spans="119:119" x14ac:dyDescent="0.2">
      <c r="DO15189" s="303" t="s">
        <v>232</v>
      </c>
    </row>
    <row r="15190" spans="119:119" x14ac:dyDescent="0.2">
      <c r="DO15190" s="303" t="s">
        <v>232</v>
      </c>
    </row>
    <row r="15191" spans="119:119" x14ac:dyDescent="0.2">
      <c r="DO15191" s="303" t="s">
        <v>232</v>
      </c>
    </row>
    <row r="15192" spans="119:119" x14ac:dyDescent="0.2">
      <c r="DO15192" s="303" t="s">
        <v>232</v>
      </c>
    </row>
    <row r="15193" spans="119:119" x14ac:dyDescent="0.2">
      <c r="DO15193" s="303" t="s">
        <v>232</v>
      </c>
    </row>
    <row r="15194" spans="119:119" x14ac:dyDescent="0.2">
      <c r="DO15194" s="303" t="s">
        <v>232</v>
      </c>
    </row>
    <row r="15195" spans="119:119" x14ac:dyDescent="0.2">
      <c r="DO15195" s="303" t="s">
        <v>232</v>
      </c>
    </row>
    <row r="15196" spans="119:119" x14ac:dyDescent="0.2">
      <c r="DO15196" s="303" t="s">
        <v>232</v>
      </c>
    </row>
    <row r="15197" spans="119:119" x14ac:dyDescent="0.2">
      <c r="DO15197" s="303" t="s">
        <v>232</v>
      </c>
    </row>
    <row r="15198" spans="119:119" x14ac:dyDescent="0.2">
      <c r="DO15198" s="303" t="s">
        <v>232</v>
      </c>
    </row>
    <row r="15199" spans="119:119" x14ac:dyDescent="0.2">
      <c r="DO15199" s="303" t="s">
        <v>232</v>
      </c>
    </row>
    <row r="15200" spans="119:119" x14ac:dyDescent="0.2">
      <c r="DO15200" s="303" t="s">
        <v>232</v>
      </c>
    </row>
    <row r="15201" spans="119:119" x14ac:dyDescent="0.2">
      <c r="DO15201" s="303" t="s">
        <v>232</v>
      </c>
    </row>
    <row r="15202" spans="119:119" x14ac:dyDescent="0.2">
      <c r="DO15202" s="303" t="s">
        <v>232</v>
      </c>
    </row>
    <row r="15203" spans="119:119" x14ac:dyDescent="0.2">
      <c r="DO15203" s="303" t="s">
        <v>232</v>
      </c>
    </row>
    <row r="15204" spans="119:119" x14ac:dyDescent="0.2">
      <c r="DO15204" s="303" t="s">
        <v>232</v>
      </c>
    </row>
    <row r="15205" spans="119:119" x14ac:dyDescent="0.2">
      <c r="DO15205" s="303" t="s">
        <v>232</v>
      </c>
    </row>
    <row r="15206" spans="119:119" x14ac:dyDescent="0.2">
      <c r="DO15206" s="303" t="s">
        <v>232</v>
      </c>
    </row>
    <row r="15207" spans="119:119" x14ac:dyDescent="0.2">
      <c r="DO15207" s="303" t="s">
        <v>232</v>
      </c>
    </row>
    <row r="15208" spans="119:119" x14ac:dyDescent="0.2">
      <c r="DO15208" s="303" t="s">
        <v>232</v>
      </c>
    </row>
    <row r="15209" spans="119:119" x14ac:dyDescent="0.2">
      <c r="DO15209" s="303" t="s">
        <v>232</v>
      </c>
    </row>
    <row r="15210" spans="119:119" x14ac:dyDescent="0.2">
      <c r="DO15210" s="303" t="s">
        <v>232</v>
      </c>
    </row>
    <row r="15211" spans="119:119" x14ac:dyDescent="0.2">
      <c r="DO15211" s="303" t="s">
        <v>232</v>
      </c>
    </row>
    <row r="15212" spans="119:119" x14ac:dyDescent="0.2">
      <c r="DO15212" s="303" t="s">
        <v>232</v>
      </c>
    </row>
    <row r="15213" spans="119:119" x14ac:dyDescent="0.2">
      <c r="DO15213" s="303" t="s">
        <v>232</v>
      </c>
    </row>
    <row r="15214" spans="119:119" x14ac:dyDescent="0.2">
      <c r="DO15214" s="303" t="s">
        <v>232</v>
      </c>
    </row>
    <row r="15215" spans="119:119" x14ac:dyDescent="0.2">
      <c r="DO15215" s="303" t="s">
        <v>232</v>
      </c>
    </row>
    <row r="15216" spans="119:119" x14ac:dyDescent="0.2">
      <c r="DO15216" s="303" t="s">
        <v>232</v>
      </c>
    </row>
    <row r="15217" spans="119:119" x14ac:dyDescent="0.2">
      <c r="DO15217" s="303" t="s">
        <v>232</v>
      </c>
    </row>
    <row r="15218" spans="119:119" x14ac:dyDescent="0.2">
      <c r="DO15218" s="303" t="s">
        <v>232</v>
      </c>
    </row>
    <row r="15219" spans="119:119" x14ac:dyDescent="0.2">
      <c r="DO15219" s="303" t="s">
        <v>232</v>
      </c>
    </row>
    <row r="15220" spans="119:119" x14ac:dyDescent="0.2">
      <c r="DO15220" s="303" t="s">
        <v>232</v>
      </c>
    </row>
    <row r="15221" spans="119:119" x14ac:dyDescent="0.2">
      <c r="DO15221" s="303" t="s">
        <v>232</v>
      </c>
    </row>
    <row r="15222" spans="119:119" x14ac:dyDescent="0.2">
      <c r="DO15222" s="303" t="s">
        <v>232</v>
      </c>
    </row>
    <row r="15223" spans="119:119" x14ac:dyDescent="0.2">
      <c r="DO15223" s="303" t="s">
        <v>232</v>
      </c>
    </row>
    <row r="15224" spans="119:119" x14ac:dyDescent="0.2">
      <c r="DO15224" s="303" t="s">
        <v>232</v>
      </c>
    </row>
    <row r="15225" spans="119:119" x14ac:dyDescent="0.2">
      <c r="DO15225" s="303" t="s">
        <v>232</v>
      </c>
    </row>
    <row r="15226" spans="119:119" x14ac:dyDescent="0.2">
      <c r="DO15226" s="303" t="s">
        <v>232</v>
      </c>
    </row>
    <row r="15227" spans="119:119" x14ac:dyDescent="0.2">
      <c r="DO15227" s="303" t="s">
        <v>232</v>
      </c>
    </row>
    <row r="15228" spans="119:119" x14ac:dyDescent="0.2">
      <c r="DO15228" s="303" t="s">
        <v>232</v>
      </c>
    </row>
    <row r="15229" spans="119:119" x14ac:dyDescent="0.2">
      <c r="DO15229" s="303" t="s">
        <v>232</v>
      </c>
    </row>
    <row r="15230" spans="119:119" x14ac:dyDescent="0.2">
      <c r="DO15230" s="303" t="s">
        <v>232</v>
      </c>
    </row>
    <row r="15231" spans="119:119" x14ac:dyDescent="0.2">
      <c r="DO15231" s="303" t="s">
        <v>232</v>
      </c>
    </row>
    <row r="15232" spans="119:119" x14ac:dyDescent="0.2">
      <c r="DO15232" s="303" t="s">
        <v>232</v>
      </c>
    </row>
    <row r="15233" spans="119:119" x14ac:dyDescent="0.2">
      <c r="DO15233" s="303" t="s">
        <v>232</v>
      </c>
    </row>
    <row r="15234" spans="119:119" x14ac:dyDescent="0.2">
      <c r="DO15234" s="303" t="s">
        <v>232</v>
      </c>
    </row>
    <row r="15235" spans="119:119" x14ac:dyDescent="0.2">
      <c r="DO15235" s="303" t="s">
        <v>232</v>
      </c>
    </row>
    <row r="15236" spans="119:119" x14ac:dyDescent="0.2">
      <c r="DO15236" s="303" t="s">
        <v>232</v>
      </c>
    </row>
    <row r="15237" spans="119:119" x14ac:dyDescent="0.2">
      <c r="DO15237" s="303" t="s">
        <v>232</v>
      </c>
    </row>
    <row r="15238" spans="119:119" x14ac:dyDescent="0.2">
      <c r="DO15238" s="303" t="s">
        <v>232</v>
      </c>
    </row>
    <row r="15239" spans="119:119" x14ac:dyDescent="0.2">
      <c r="DO15239" s="303" t="s">
        <v>232</v>
      </c>
    </row>
    <row r="15240" spans="119:119" x14ac:dyDescent="0.2">
      <c r="DO15240" s="303" t="s">
        <v>232</v>
      </c>
    </row>
    <row r="15241" spans="119:119" x14ac:dyDescent="0.2">
      <c r="DO15241" s="303" t="s">
        <v>232</v>
      </c>
    </row>
    <row r="15242" spans="119:119" x14ac:dyDescent="0.2">
      <c r="DO15242" s="303" t="s">
        <v>232</v>
      </c>
    </row>
    <row r="15243" spans="119:119" x14ac:dyDescent="0.2">
      <c r="DO15243" s="303" t="s">
        <v>232</v>
      </c>
    </row>
    <row r="15244" spans="119:119" x14ac:dyDescent="0.2">
      <c r="DO15244" s="303" t="s">
        <v>232</v>
      </c>
    </row>
    <row r="15245" spans="119:119" x14ac:dyDescent="0.2">
      <c r="DO15245" s="303" t="s">
        <v>232</v>
      </c>
    </row>
    <row r="15246" spans="119:119" x14ac:dyDescent="0.2">
      <c r="DO15246" s="303" t="s">
        <v>232</v>
      </c>
    </row>
    <row r="15247" spans="119:119" x14ac:dyDescent="0.2">
      <c r="DO15247" s="303" t="s">
        <v>232</v>
      </c>
    </row>
    <row r="15248" spans="119:119" x14ac:dyDescent="0.2">
      <c r="DO15248" s="303" t="s">
        <v>232</v>
      </c>
    </row>
    <row r="15249" spans="119:119" x14ac:dyDescent="0.2">
      <c r="DO15249" s="303" t="s">
        <v>232</v>
      </c>
    </row>
    <row r="15250" spans="119:119" x14ac:dyDescent="0.2">
      <c r="DO15250" s="303" t="s">
        <v>232</v>
      </c>
    </row>
    <row r="15251" spans="119:119" x14ac:dyDescent="0.2">
      <c r="DO15251" s="303" t="s">
        <v>232</v>
      </c>
    </row>
    <row r="15252" spans="119:119" x14ac:dyDescent="0.2">
      <c r="DO15252" s="303" t="s">
        <v>232</v>
      </c>
    </row>
    <row r="15253" spans="119:119" x14ac:dyDescent="0.2">
      <c r="DO15253" s="303" t="s">
        <v>232</v>
      </c>
    </row>
    <row r="15254" spans="119:119" x14ac:dyDescent="0.2">
      <c r="DO15254" s="303" t="s">
        <v>232</v>
      </c>
    </row>
    <row r="15255" spans="119:119" x14ac:dyDescent="0.2">
      <c r="DO15255" s="303" t="s">
        <v>232</v>
      </c>
    </row>
    <row r="15256" spans="119:119" x14ac:dyDescent="0.2">
      <c r="DO15256" s="303" t="s">
        <v>232</v>
      </c>
    </row>
    <row r="15257" spans="119:119" x14ac:dyDescent="0.2">
      <c r="DO15257" s="303" t="s">
        <v>232</v>
      </c>
    </row>
    <row r="15258" spans="119:119" x14ac:dyDescent="0.2">
      <c r="DO15258" s="303" t="s">
        <v>232</v>
      </c>
    </row>
    <row r="15259" spans="119:119" x14ac:dyDescent="0.2">
      <c r="DO15259" s="303" t="s">
        <v>232</v>
      </c>
    </row>
    <row r="15260" spans="119:119" x14ac:dyDescent="0.2">
      <c r="DO15260" s="303" t="s">
        <v>232</v>
      </c>
    </row>
    <row r="15261" spans="119:119" x14ac:dyDescent="0.2">
      <c r="DO15261" s="303" t="s">
        <v>232</v>
      </c>
    </row>
    <row r="15262" spans="119:119" x14ac:dyDescent="0.2">
      <c r="DO15262" s="303" t="s">
        <v>232</v>
      </c>
    </row>
    <row r="15263" spans="119:119" x14ac:dyDescent="0.2">
      <c r="DO15263" s="303" t="s">
        <v>232</v>
      </c>
    </row>
    <row r="15264" spans="119:119" x14ac:dyDescent="0.2">
      <c r="DO15264" s="303" t="s">
        <v>232</v>
      </c>
    </row>
    <row r="15265" spans="119:119" x14ac:dyDescent="0.2">
      <c r="DO15265" s="303" t="s">
        <v>232</v>
      </c>
    </row>
    <row r="15266" spans="119:119" x14ac:dyDescent="0.2">
      <c r="DO15266" s="303" t="s">
        <v>232</v>
      </c>
    </row>
    <row r="15267" spans="119:119" x14ac:dyDescent="0.2">
      <c r="DO15267" s="303" t="s">
        <v>232</v>
      </c>
    </row>
    <row r="15268" spans="119:119" x14ac:dyDescent="0.2">
      <c r="DO15268" s="303" t="s">
        <v>232</v>
      </c>
    </row>
    <row r="15269" spans="119:119" x14ac:dyDescent="0.2">
      <c r="DO15269" s="303" t="s">
        <v>232</v>
      </c>
    </row>
    <row r="15270" spans="119:119" x14ac:dyDescent="0.2">
      <c r="DO15270" s="303" t="s">
        <v>232</v>
      </c>
    </row>
    <row r="15271" spans="119:119" x14ac:dyDescent="0.2">
      <c r="DO15271" s="303" t="s">
        <v>232</v>
      </c>
    </row>
    <row r="15272" spans="119:119" x14ac:dyDescent="0.2">
      <c r="DO15272" s="303" t="s">
        <v>232</v>
      </c>
    </row>
    <row r="15273" spans="119:119" x14ac:dyDescent="0.2">
      <c r="DO15273" s="303" t="s">
        <v>232</v>
      </c>
    </row>
    <row r="15274" spans="119:119" x14ac:dyDescent="0.2">
      <c r="DO15274" s="303" t="s">
        <v>232</v>
      </c>
    </row>
    <row r="15275" spans="119:119" x14ac:dyDescent="0.2">
      <c r="DO15275" s="303" t="s">
        <v>232</v>
      </c>
    </row>
    <row r="15276" spans="119:119" x14ac:dyDescent="0.2">
      <c r="DO15276" s="303" t="s">
        <v>232</v>
      </c>
    </row>
    <row r="15277" spans="119:119" x14ac:dyDescent="0.2">
      <c r="DO15277" s="303" t="s">
        <v>232</v>
      </c>
    </row>
    <row r="15278" spans="119:119" x14ac:dyDescent="0.2">
      <c r="DO15278" s="303" t="s">
        <v>232</v>
      </c>
    </row>
    <row r="15279" spans="119:119" x14ac:dyDescent="0.2">
      <c r="DO15279" s="303" t="s">
        <v>232</v>
      </c>
    </row>
    <row r="15280" spans="119:119" x14ac:dyDescent="0.2">
      <c r="DO15280" s="303" t="s">
        <v>232</v>
      </c>
    </row>
    <row r="15281" spans="119:119" x14ac:dyDescent="0.2">
      <c r="DO15281" s="303" t="s">
        <v>232</v>
      </c>
    </row>
    <row r="15282" spans="119:119" x14ac:dyDescent="0.2">
      <c r="DO15282" s="303" t="s">
        <v>232</v>
      </c>
    </row>
    <row r="15283" spans="119:119" x14ac:dyDescent="0.2">
      <c r="DO15283" s="303" t="s">
        <v>232</v>
      </c>
    </row>
    <row r="15284" spans="119:119" x14ac:dyDescent="0.2">
      <c r="DO15284" s="303" t="s">
        <v>232</v>
      </c>
    </row>
    <row r="15285" spans="119:119" x14ac:dyDescent="0.2">
      <c r="DO15285" s="303" t="s">
        <v>232</v>
      </c>
    </row>
    <row r="15286" spans="119:119" x14ac:dyDescent="0.2">
      <c r="DO15286" s="303" t="s">
        <v>232</v>
      </c>
    </row>
    <row r="15287" spans="119:119" x14ac:dyDescent="0.2">
      <c r="DO15287" s="303" t="s">
        <v>232</v>
      </c>
    </row>
    <row r="15288" spans="119:119" x14ac:dyDescent="0.2">
      <c r="DO15288" s="303" t="s">
        <v>232</v>
      </c>
    </row>
    <row r="15289" spans="119:119" x14ac:dyDescent="0.2">
      <c r="DO15289" s="303" t="s">
        <v>232</v>
      </c>
    </row>
    <row r="15290" spans="119:119" x14ac:dyDescent="0.2">
      <c r="DO15290" s="303" t="s">
        <v>232</v>
      </c>
    </row>
    <row r="15291" spans="119:119" x14ac:dyDescent="0.2">
      <c r="DO15291" s="303" t="s">
        <v>232</v>
      </c>
    </row>
    <row r="15292" spans="119:119" x14ac:dyDescent="0.2">
      <c r="DO15292" s="303" t="s">
        <v>232</v>
      </c>
    </row>
    <row r="15293" spans="119:119" x14ac:dyDescent="0.2">
      <c r="DO15293" s="303" t="s">
        <v>232</v>
      </c>
    </row>
    <row r="15294" spans="119:119" x14ac:dyDescent="0.2">
      <c r="DO15294" s="303" t="s">
        <v>232</v>
      </c>
    </row>
    <row r="15295" spans="119:119" x14ac:dyDescent="0.2">
      <c r="DO15295" s="303" t="s">
        <v>232</v>
      </c>
    </row>
    <row r="15296" spans="119:119" x14ac:dyDescent="0.2">
      <c r="DO15296" s="303" t="s">
        <v>232</v>
      </c>
    </row>
    <row r="15297" spans="119:119" x14ac:dyDescent="0.2">
      <c r="DO15297" s="303" t="s">
        <v>232</v>
      </c>
    </row>
    <row r="15298" spans="119:119" x14ac:dyDescent="0.2">
      <c r="DO15298" s="303" t="s">
        <v>232</v>
      </c>
    </row>
    <row r="15299" spans="119:119" x14ac:dyDescent="0.2">
      <c r="DO15299" s="303" t="s">
        <v>232</v>
      </c>
    </row>
    <row r="15300" spans="119:119" x14ac:dyDescent="0.2">
      <c r="DO15300" s="303" t="s">
        <v>232</v>
      </c>
    </row>
    <row r="15301" spans="119:119" x14ac:dyDescent="0.2">
      <c r="DO15301" s="303" t="s">
        <v>232</v>
      </c>
    </row>
    <row r="15302" spans="119:119" x14ac:dyDescent="0.2">
      <c r="DO15302" s="303" t="s">
        <v>232</v>
      </c>
    </row>
    <row r="15303" spans="119:119" x14ac:dyDescent="0.2">
      <c r="DO15303" s="303" t="s">
        <v>232</v>
      </c>
    </row>
    <row r="15304" spans="119:119" x14ac:dyDescent="0.2">
      <c r="DO15304" s="303" t="s">
        <v>232</v>
      </c>
    </row>
    <row r="15305" spans="119:119" x14ac:dyDescent="0.2">
      <c r="DO15305" s="303" t="s">
        <v>232</v>
      </c>
    </row>
    <row r="15306" spans="119:119" x14ac:dyDescent="0.2">
      <c r="DO15306" s="303" t="s">
        <v>232</v>
      </c>
    </row>
    <row r="15307" spans="119:119" x14ac:dyDescent="0.2">
      <c r="DO15307" s="303" t="s">
        <v>232</v>
      </c>
    </row>
    <row r="15308" spans="119:119" x14ac:dyDescent="0.2">
      <c r="DO15308" s="303" t="s">
        <v>232</v>
      </c>
    </row>
    <row r="15309" spans="119:119" x14ac:dyDescent="0.2">
      <c r="DO15309" s="303" t="s">
        <v>232</v>
      </c>
    </row>
    <row r="15310" spans="119:119" x14ac:dyDescent="0.2">
      <c r="DO15310" s="303" t="s">
        <v>232</v>
      </c>
    </row>
    <row r="15311" spans="119:119" x14ac:dyDescent="0.2">
      <c r="DO15311" s="303" t="s">
        <v>232</v>
      </c>
    </row>
    <row r="15312" spans="119:119" x14ac:dyDescent="0.2">
      <c r="DO15312" s="303" t="s">
        <v>232</v>
      </c>
    </row>
    <row r="15313" spans="119:119" x14ac:dyDescent="0.2">
      <c r="DO15313" s="303" t="s">
        <v>232</v>
      </c>
    </row>
    <row r="15314" spans="119:119" x14ac:dyDescent="0.2">
      <c r="DO15314" s="303" t="s">
        <v>232</v>
      </c>
    </row>
    <row r="15315" spans="119:119" x14ac:dyDescent="0.2">
      <c r="DO15315" s="303" t="s">
        <v>232</v>
      </c>
    </row>
    <row r="15316" spans="119:119" x14ac:dyDescent="0.2">
      <c r="DO15316" s="303" t="s">
        <v>232</v>
      </c>
    </row>
    <row r="15317" spans="119:119" x14ac:dyDescent="0.2">
      <c r="DO15317" s="303" t="s">
        <v>232</v>
      </c>
    </row>
    <row r="15318" spans="119:119" x14ac:dyDescent="0.2">
      <c r="DO15318" s="303" t="s">
        <v>232</v>
      </c>
    </row>
    <row r="15319" spans="119:119" x14ac:dyDescent="0.2">
      <c r="DO15319" s="303" t="s">
        <v>232</v>
      </c>
    </row>
    <row r="15320" spans="119:119" x14ac:dyDescent="0.2">
      <c r="DO15320" s="303" t="s">
        <v>232</v>
      </c>
    </row>
    <row r="15321" spans="119:119" x14ac:dyDescent="0.2">
      <c r="DO15321" s="303" t="s">
        <v>232</v>
      </c>
    </row>
    <row r="15322" spans="119:119" x14ac:dyDescent="0.2">
      <c r="DO15322" s="303" t="s">
        <v>232</v>
      </c>
    </row>
    <row r="15323" spans="119:119" x14ac:dyDescent="0.2">
      <c r="DO15323" s="303" t="s">
        <v>232</v>
      </c>
    </row>
    <row r="15324" spans="119:119" x14ac:dyDescent="0.2">
      <c r="DO15324" s="303" t="s">
        <v>232</v>
      </c>
    </row>
    <row r="15325" spans="119:119" x14ac:dyDescent="0.2">
      <c r="DO15325" s="303" t="s">
        <v>232</v>
      </c>
    </row>
    <row r="15326" spans="119:119" x14ac:dyDescent="0.2">
      <c r="DO15326" s="303" t="s">
        <v>232</v>
      </c>
    </row>
    <row r="15327" spans="119:119" x14ac:dyDescent="0.2">
      <c r="DO15327" s="303" t="s">
        <v>232</v>
      </c>
    </row>
    <row r="15328" spans="119:119" x14ac:dyDescent="0.2">
      <c r="DO15328" s="303" t="s">
        <v>232</v>
      </c>
    </row>
    <row r="15329" spans="119:119" x14ac:dyDescent="0.2">
      <c r="DO15329" s="303" t="s">
        <v>232</v>
      </c>
    </row>
    <row r="15330" spans="119:119" x14ac:dyDescent="0.2">
      <c r="DO15330" s="303" t="s">
        <v>232</v>
      </c>
    </row>
    <row r="15331" spans="119:119" x14ac:dyDescent="0.2">
      <c r="DO15331" s="303" t="s">
        <v>232</v>
      </c>
    </row>
    <row r="15332" spans="119:119" x14ac:dyDescent="0.2">
      <c r="DO15332" s="303" t="s">
        <v>232</v>
      </c>
    </row>
    <row r="15333" spans="119:119" x14ac:dyDescent="0.2">
      <c r="DO15333" s="303" t="s">
        <v>232</v>
      </c>
    </row>
    <row r="15334" spans="119:119" x14ac:dyDescent="0.2">
      <c r="DO15334" s="303" t="s">
        <v>232</v>
      </c>
    </row>
    <row r="15335" spans="119:119" x14ac:dyDescent="0.2">
      <c r="DO15335" s="303" t="s">
        <v>232</v>
      </c>
    </row>
    <row r="15336" spans="119:119" x14ac:dyDescent="0.2">
      <c r="DO15336" s="303" t="s">
        <v>232</v>
      </c>
    </row>
    <row r="15337" spans="119:119" x14ac:dyDescent="0.2">
      <c r="DO15337" s="303" t="s">
        <v>232</v>
      </c>
    </row>
    <row r="15338" spans="119:119" x14ac:dyDescent="0.2">
      <c r="DO15338" s="303" t="s">
        <v>232</v>
      </c>
    </row>
    <row r="15339" spans="119:119" x14ac:dyDescent="0.2">
      <c r="DO15339" s="303" t="s">
        <v>232</v>
      </c>
    </row>
    <row r="15340" spans="119:119" x14ac:dyDescent="0.2">
      <c r="DO15340" s="303" t="s">
        <v>232</v>
      </c>
    </row>
    <row r="15341" spans="119:119" x14ac:dyDescent="0.2">
      <c r="DO15341" s="303" t="s">
        <v>232</v>
      </c>
    </row>
    <row r="15342" spans="119:119" x14ac:dyDescent="0.2">
      <c r="DO15342" s="303" t="s">
        <v>232</v>
      </c>
    </row>
    <row r="15343" spans="119:119" x14ac:dyDescent="0.2">
      <c r="DO15343" s="303" t="s">
        <v>232</v>
      </c>
    </row>
    <row r="15344" spans="119:119" x14ac:dyDescent="0.2">
      <c r="DO15344" s="303" t="s">
        <v>232</v>
      </c>
    </row>
    <row r="15345" spans="119:119" x14ac:dyDescent="0.2">
      <c r="DO15345" s="303" t="s">
        <v>232</v>
      </c>
    </row>
    <row r="15346" spans="119:119" x14ac:dyDescent="0.2">
      <c r="DO15346" s="303" t="s">
        <v>232</v>
      </c>
    </row>
    <row r="15347" spans="119:119" x14ac:dyDescent="0.2">
      <c r="DO15347" s="303" t="s">
        <v>232</v>
      </c>
    </row>
    <row r="15348" spans="119:119" x14ac:dyDescent="0.2">
      <c r="DO15348" s="303" t="s">
        <v>232</v>
      </c>
    </row>
    <row r="15349" spans="119:119" x14ac:dyDescent="0.2">
      <c r="DO15349" s="303" t="s">
        <v>232</v>
      </c>
    </row>
    <row r="15350" spans="119:119" x14ac:dyDescent="0.2">
      <c r="DO15350" s="303" t="s">
        <v>232</v>
      </c>
    </row>
    <row r="15351" spans="119:119" x14ac:dyDescent="0.2">
      <c r="DO15351" s="303" t="s">
        <v>232</v>
      </c>
    </row>
    <row r="15352" spans="119:119" x14ac:dyDescent="0.2">
      <c r="DO15352" s="303" t="s">
        <v>232</v>
      </c>
    </row>
    <row r="15353" spans="119:119" x14ac:dyDescent="0.2">
      <c r="DO15353" s="303" t="s">
        <v>232</v>
      </c>
    </row>
    <row r="15354" spans="119:119" x14ac:dyDescent="0.2">
      <c r="DO15354" s="303" t="s">
        <v>232</v>
      </c>
    </row>
    <row r="15355" spans="119:119" x14ac:dyDescent="0.2">
      <c r="DO15355" s="303" t="s">
        <v>232</v>
      </c>
    </row>
    <row r="15356" spans="119:119" x14ac:dyDescent="0.2">
      <c r="DO15356" s="303" t="s">
        <v>232</v>
      </c>
    </row>
    <row r="15357" spans="119:119" x14ac:dyDescent="0.2">
      <c r="DO15357" s="303" t="s">
        <v>232</v>
      </c>
    </row>
    <row r="15358" spans="119:119" x14ac:dyDescent="0.2">
      <c r="DO15358" s="303" t="s">
        <v>232</v>
      </c>
    </row>
    <row r="15359" spans="119:119" x14ac:dyDescent="0.2">
      <c r="DO15359" s="303" t="s">
        <v>232</v>
      </c>
    </row>
    <row r="15360" spans="119:119" x14ac:dyDescent="0.2">
      <c r="DO15360" s="303" t="s">
        <v>232</v>
      </c>
    </row>
    <row r="15361" spans="119:119" x14ac:dyDescent="0.2">
      <c r="DO15361" s="303" t="s">
        <v>232</v>
      </c>
    </row>
    <row r="15362" spans="119:119" x14ac:dyDescent="0.2">
      <c r="DO15362" s="303" t="s">
        <v>232</v>
      </c>
    </row>
    <row r="15363" spans="119:119" x14ac:dyDescent="0.2">
      <c r="DO15363" s="303" t="s">
        <v>232</v>
      </c>
    </row>
    <row r="15364" spans="119:119" x14ac:dyDescent="0.2">
      <c r="DO15364" s="303" t="s">
        <v>232</v>
      </c>
    </row>
    <row r="15365" spans="119:119" x14ac:dyDescent="0.2">
      <c r="DO15365" s="303" t="s">
        <v>232</v>
      </c>
    </row>
    <row r="15366" spans="119:119" x14ac:dyDescent="0.2">
      <c r="DO15366" s="303" t="s">
        <v>232</v>
      </c>
    </row>
    <row r="15367" spans="119:119" x14ac:dyDescent="0.2">
      <c r="DO15367" s="303" t="s">
        <v>232</v>
      </c>
    </row>
    <row r="15368" spans="119:119" x14ac:dyDescent="0.2">
      <c r="DO15368" s="303" t="s">
        <v>232</v>
      </c>
    </row>
    <row r="15369" spans="119:119" x14ac:dyDescent="0.2">
      <c r="DO15369" s="303" t="s">
        <v>232</v>
      </c>
    </row>
    <row r="15370" spans="119:119" x14ac:dyDescent="0.2">
      <c r="DO15370" s="303" t="s">
        <v>232</v>
      </c>
    </row>
    <row r="15371" spans="119:119" x14ac:dyDescent="0.2">
      <c r="DO15371" s="303" t="s">
        <v>232</v>
      </c>
    </row>
    <row r="15372" spans="119:119" x14ac:dyDescent="0.2">
      <c r="DO15372" s="303" t="s">
        <v>232</v>
      </c>
    </row>
    <row r="15373" spans="119:119" x14ac:dyDescent="0.2">
      <c r="DO15373" s="303" t="s">
        <v>232</v>
      </c>
    </row>
    <row r="15374" spans="119:119" x14ac:dyDescent="0.2">
      <c r="DO15374" s="303" t="s">
        <v>232</v>
      </c>
    </row>
    <row r="15375" spans="119:119" x14ac:dyDescent="0.2">
      <c r="DO15375" s="303" t="s">
        <v>232</v>
      </c>
    </row>
    <row r="15376" spans="119:119" x14ac:dyDescent="0.2">
      <c r="DO15376" s="303" t="s">
        <v>232</v>
      </c>
    </row>
    <row r="15377" spans="119:119" x14ac:dyDescent="0.2">
      <c r="DO15377" s="303" t="s">
        <v>232</v>
      </c>
    </row>
    <row r="15378" spans="119:119" x14ac:dyDescent="0.2">
      <c r="DO15378" s="303" t="s">
        <v>232</v>
      </c>
    </row>
    <row r="15379" spans="119:119" x14ac:dyDescent="0.2">
      <c r="DO15379" s="303" t="s">
        <v>232</v>
      </c>
    </row>
    <row r="15380" spans="119:119" x14ac:dyDescent="0.2">
      <c r="DO15380" s="303" t="s">
        <v>232</v>
      </c>
    </row>
    <row r="15381" spans="119:119" x14ac:dyDescent="0.2">
      <c r="DO15381" s="303" t="s">
        <v>232</v>
      </c>
    </row>
    <row r="15382" spans="119:119" x14ac:dyDescent="0.2">
      <c r="DO15382" s="303" t="s">
        <v>232</v>
      </c>
    </row>
    <row r="15383" spans="119:119" x14ac:dyDescent="0.2">
      <c r="DO15383" s="303" t="s">
        <v>232</v>
      </c>
    </row>
    <row r="15384" spans="119:119" x14ac:dyDescent="0.2">
      <c r="DO15384" s="303" t="s">
        <v>232</v>
      </c>
    </row>
    <row r="15385" spans="119:119" x14ac:dyDescent="0.2">
      <c r="DO15385" s="303" t="s">
        <v>232</v>
      </c>
    </row>
    <row r="15386" spans="119:119" x14ac:dyDescent="0.2">
      <c r="DO15386" s="303" t="s">
        <v>232</v>
      </c>
    </row>
    <row r="15387" spans="119:119" x14ac:dyDescent="0.2">
      <c r="DO15387" s="303" t="s">
        <v>232</v>
      </c>
    </row>
    <row r="15388" spans="119:119" x14ac:dyDescent="0.2">
      <c r="DO15388" s="303" t="s">
        <v>232</v>
      </c>
    </row>
    <row r="15389" spans="119:119" x14ac:dyDescent="0.2">
      <c r="DO15389" s="303" t="s">
        <v>232</v>
      </c>
    </row>
    <row r="15390" spans="119:119" x14ac:dyDescent="0.2">
      <c r="DO15390" s="303" t="s">
        <v>232</v>
      </c>
    </row>
    <row r="15391" spans="119:119" x14ac:dyDescent="0.2">
      <c r="DO15391" s="303" t="s">
        <v>232</v>
      </c>
    </row>
    <row r="15392" spans="119:119" x14ac:dyDescent="0.2">
      <c r="DO15392" s="303" t="s">
        <v>232</v>
      </c>
    </row>
    <row r="15393" spans="119:119" x14ac:dyDescent="0.2">
      <c r="DO15393" s="303" t="s">
        <v>232</v>
      </c>
    </row>
    <row r="15394" spans="119:119" x14ac:dyDescent="0.2">
      <c r="DO15394" s="303" t="s">
        <v>232</v>
      </c>
    </row>
    <row r="15395" spans="119:119" x14ac:dyDescent="0.2">
      <c r="DO15395" s="303" t="s">
        <v>232</v>
      </c>
    </row>
    <row r="15396" spans="119:119" x14ac:dyDescent="0.2">
      <c r="DO15396" s="303" t="s">
        <v>232</v>
      </c>
    </row>
    <row r="15397" spans="119:119" x14ac:dyDescent="0.2">
      <c r="DO15397" s="303" t="s">
        <v>232</v>
      </c>
    </row>
    <row r="15398" spans="119:119" x14ac:dyDescent="0.2">
      <c r="DO15398" s="303" t="s">
        <v>232</v>
      </c>
    </row>
    <row r="15399" spans="119:119" x14ac:dyDescent="0.2">
      <c r="DO15399" s="303" t="s">
        <v>232</v>
      </c>
    </row>
    <row r="15400" spans="119:119" x14ac:dyDescent="0.2">
      <c r="DO15400" s="303" t="s">
        <v>232</v>
      </c>
    </row>
    <row r="15401" spans="119:119" x14ac:dyDescent="0.2">
      <c r="DO15401" s="303" t="s">
        <v>232</v>
      </c>
    </row>
    <row r="15402" spans="119:119" x14ac:dyDescent="0.2">
      <c r="DO15402" s="303" t="s">
        <v>232</v>
      </c>
    </row>
    <row r="15403" spans="119:119" x14ac:dyDescent="0.2">
      <c r="DO15403" s="303" t="s">
        <v>232</v>
      </c>
    </row>
    <row r="15404" spans="119:119" x14ac:dyDescent="0.2">
      <c r="DO15404" s="303" t="s">
        <v>232</v>
      </c>
    </row>
    <row r="15405" spans="119:119" x14ac:dyDescent="0.2">
      <c r="DO15405" s="303" t="s">
        <v>232</v>
      </c>
    </row>
    <row r="15406" spans="119:119" x14ac:dyDescent="0.2">
      <c r="DO15406" s="303" t="s">
        <v>232</v>
      </c>
    </row>
    <row r="15407" spans="119:119" x14ac:dyDescent="0.2">
      <c r="DO15407" s="303" t="s">
        <v>232</v>
      </c>
    </row>
    <row r="15408" spans="119:119" x14ac:dyDescent="0.2">
      <c r="DO15408" s="303" t="s">
        <v>232</v>
      </c>
    </row>
    <row r="15409" spans="119:119" x14ac:dyDescent="0.2">
      <c r="DO15409" s="303" t="s">
        <v>232</v>
      </c>
    </row>
    <row r="15410" spans="119:119" x14ac:dyDescent="0.2">
      <c r="DO15410" s="303" t="s">
        <v>232</v>
      </c>
    </row>
    <row r="15411" spans="119:119" x14ac:dyDescent="0.2">
      <c r="DO15411" s="303" t="s">
        <v>232</v>
      </c>
    </row>
    <row r="15412" spans="119:119" x14ac:dyDescent="0.2">
      <c r="DO15412" s="303" t="s">
        <v>232</v>
      </c>
    </row>
    <row r="15413" spans="119:119" x14ac:dyDescent="0.2">
      <c r="DO15413" s="303" t="s">
        <v>232</v>
      </c>
    </row>
    <row r="15414" spans="119:119" x14ac:dyDescent="0.2">
      <c r="DO15414" s="303" t="s">
        <v>232</v>
      </c>
    </row>
    <row r="15415" spans="119:119" x14ac:dyDescent="0.2">
      <c r="DO15415" s="303" t="s">
        <v>232</v>
      </c>
    </row>
    <row r="15416" spans="119:119" x14ac:dyDescent="0.2">
      <c r="DO15416" s="303" t="s">
        <v>232</v>
      </c>
    </row>
    <row r="15417" spans="119:119" x14ac:dyDescent="0.2">
      <c r="DO15417" s="303" t="s">
        <v>232</v>
      </c>
    </row>
    <row r="15418" spans="119:119" x14ac:dyDescent="0.2">
      <c r="DO15418" s="303" t="s">
        <v>232</v>
      </c>
    </row>
    <row r="15419" spans="119:119" x14ac:dyDescent="0.2">
      <c r="DO15419" s="303" t="s">
        <v>232</v>
      </c>
    </row>
    <row r="15420" spans="119:119" x14ac:dyDescent="0.2">
      <c r="DO15420" s="303" t="s">
        <v>232</v>
      </c>
    </row>
    <row r="15421" spans="119:119" x14ac:dyDescent="0.2">
      <c r="DO15421" s="303" t="s">
        <v>232</v>
      </c>
    </row>
    <row r="15422" spans="119:119" x14ac:dyDescent="0.2">
      <c r="DO15422" s="303" t="s">
        <v>232</v>
      </c>
    </row>
    <row r="15423" spans="119:119" x14ac:dyDescent="0.2">
      <c r="DO15423" s="303" t="s">
        <v>232</v>
      </c>
    </row>
    <row r="15424" spans="119:119" x14ac:dyDescent="0.2">
      <c r="DO15424" s="303" t="s">
        <v>232</v>
      </c>
    </row>
    <row r="15425" spans="119:119" x14ac:dyDescent="0.2">
      <c r="DO15425" s="303" t="s">
        <v>232</v>
      </c>
    </row>
    <row r="15426" spans="119:119" x14ac:dyDescent="0.2">
      <c r="DO15426" s="303" t="s">
        <v>232</v>
      </c>
    </row>
    <row r="15427" spans="119:119" x14ac:dyDescent="0.2">
      <c r="DO15427" s="303" t="s">
        <v>232</v>
      </c>
    </row>
    <row r="15428" spans="119:119" x14ac:dyDescent="0.2">
      <c r="DO15428" s="303" t="s">
        <v>232</v>
      </c>
    </row>
    <row r="15429" spans="119:119" x14ac:dyDescent="0.2">
      <c r="DO15429" s="303" t="s">
        <v>232</v>
      </c>
    </row>
    <row r="15430" spans="119:119" x14ac:dyDescent="0.2">
      <c r="DO15430" s="303" t="s">
        <v>232</v>
      </c>
    </row>
    <row r="15431" spans="119:119" x14ac:dyDescent="0.2">
      <c r="DO15431" s="303" t="s">
        <v>232</v>
      </c>
    </row>
    <row r="15432" spans="119:119" x14ac:dyDescent="0.2">
      <c r="DO15432" s="303" t="s">
        <v>232</v>
      </c>
    </row>
    <row r="15433" spans="119:119" x14ac:dyDescent="0.2">
      <c r="DO15433" s="303" t="s">
        <v>232</v>
      </c>
    </row>
    <row r="15434" spans="119:119" x14ac:dyDescent="0.2">
      <c r="DO15434" s="303" t="s">
        <v>232</v>
      </c>
    </row>
    <row r="15435" spans="119:119" x14ac:dyDescent="0.2">
      <c r="DO15435" s="303" t="s">
        <v>232</v>
      </c>
    </row>
    <row r="15436" spans="119:119" x14ac:dyDescent="0.2">
      <c r="DO15436" s="303" t="s">
        <v>232</v>
      </c>
    </row>
    <row r="15437" spans="119:119" x14ac:dyDescent="0.2">
      <c r="DO15437" s="303" t="s">
        <v>232</v>
      </c>
    </row>
    <row r="15438" spans="119:119" x14ac:dyDescent="0.2">
      <c r="DO15438" s="303" t="s">
        <v>232</v>
      </c>
    </row>
    <row r="15439" spans="119:119" x14ac:dyDescent="0.2">
      <c r="DO15439" s="303" t="s">
        <v>232</v>
      </c>
    </row>
    <row r="15440" spans="119:119" x14ac:dyDescent="0.2">
      <c r="DO15440" s="303" t="s">
        <v>232</v>
      </c>
    </row>
    <row r="15441" spans="119:119" x14ac:dyDescent="0.2">
      <c r="DO15441" s="303" t="s">
        <v>232</v>
      </c>
    </row>
    <row r="15442" spans="119:119" x14ac:dyDescent="0.2">
      <c r="DO15442" s="303" t="s">
        <v>232</v>
      </c>
    </row>
    <row r="15443" spans="119:119" x14ac:dyDescent="0.2">
      <c r="DO15443" s="303" t="s">
        <v>232</v>
      </c>
    </row>
    <row r="15444" spans="119:119" x14ac:dyDescent="0.2">
      <c r="DO15444" s="303" t="s">
        <v>232</v>
      </c>
    </row>
    <row r="15445" spans="119:119" x14ac:dyDescent="0.2">
      <c r="DO15445" s="303" t="s">
        <v>232</v>
      </c>
    </row>
    <row r="15446" spans="119:119" x14ac:dyDescent="0.2">
      <c r="DO15446" s="303" t="s">
        <v>232</v>
      </c>
    </row>
    <row r="15447" spans="119:119" x14ac:dyDescent="0.2">
      <c r="DO15447" s="303" t="s">
        <v>232</v>
      </c>
    </row>
    <row r="15448" spans="119:119" x14ac:dyDescent="0.2">
      <c r="DO15448" s="303" t="s">
        <v>232</v>
      </c>
    </row>
    <row r="15449" spans="119:119" x14ac:dyDescent="0.2">
      <c r="DO15449" s="303" t="s">
        <v>232</v>
      </c>
    </row>
    <row r="15450" spans="119:119" x14ac:dyDescent="0.2">
      <c r="DO15450" s="303" t="s">
        <v>232</v>
      </c>
    </row>
    <row r="15451" spans="119:119" x14ac:dyDescent="0.2">
      <c r="DO15451" s="303" t="s">
        <v>232</v>
      </c>
    </row>
    <row r="15452" spans="119:119" x14ac:dyDescent="0.2">
      <c r="DO15452" s="303" t="s">
        <v>232</v>
      </c>
    </row>
    <row r="15453" spans="119:119" x14ac:dyDescent="0.2">
      <c r="DO15453" s="303" t="s">
        <v>232</v>
      </c>
    </row>
    <row r="15454" spans="119:119" x14ac:dyDescent="0.2">
      <c r="DO15454" s="303" t="s">
        <v>232</v>
      </c>
    </row>
    <row r="15455" spans="119:119" x14ac:dyDescent="0.2">
      <c r="DO15455" s="303" t="s">
        <v>232</v>
      </c>
    </row>
    <row r="15456" spans="119:119" x14ac:dyDescent="0.2">
      <c r="DO15456" s="303" t="s">
        <v>232</v>
      </c>
    </row>
    <row r="15457" spans="119:119" x14ac:dyDescent="0.2">
      <c r="DO15457" s="303" t="s">
        <v>232</v>
      </c>
    </row>
    <row r="15458" spans="119:119" x14ac:dyDescent="0.2">
      <c r="DO15458" s="303" t="s">
        <v>232</v>
      </c>
    </row>
    <row r="15459" spans="119:119" x14ac:dyDescent="0.2">
      <c r="DO15459" s="303" t="s">
        <v>232</v>
      </c>
    </row>
    <row r="15460" spans="119:119" x14ac:dyDescent="0.2">
      <c r="DO15460" s="303" t="s">
        <v>232</v>
      </c>
    </row>
    <row r="15461" spans="119:119" x14ac:dyDescent="0.2">
      <c r="DO15461" s="303" t="s">
        <v>232</v>
      </c>
    </row>
    <row r="15462" spans="119:119" x14ac:dyDescent="0.2">
      <c r="DO15462" s="303" t="s">
        <v>232</v>
      </c>
    </row>
    <row r="15463" spans="119:119" x14ac:dyDescent="0.2">
      <c r="DO15463" s="303" t="s">
        <v>232</v>
      </c>
    </row>
    <row r="15464" spans="119:119" x14ac:dyDescent="0.2">
      <c r="DO15464" s="303" t="s">
        <v>232</v>
      </c>
    </row>
    <row r="15465" spans="119:119" x14ac:dyDescent="0.2">
      <c r="DO15465" s="303" t="s">
        <v>232</v>
      </c>
    </row>
    <row r="15466" spans="119:119" x14ac:dyDescent="0.2">
      <c r="DO15466" s="303" t="s">
        <v>232</v>
      </c>
    </row>
    <row r="15467" spans="119:119" x14ac:dyDescent="0.2">
      <c r="DO15467" s="303" t="s">
        <v>232</v>
      </c>
    </row>
    <row r="15468" spans="119:119" x14ac:dyDescent="0.2">
      <c r="DO15468" s="303" t="s">
        <v>232</v>
      </c>
    </row>
    <row r="15469" spans="119:119" x14ac:dyDescent="0.2">
      <c r="DO15469" s="303" t="s">
        <v>232</v>
      </c>
    </row>
    <row r="15470" spans="119:119" x14ac:dyDescent="0.2">
      <c r="DO15470" s="303" t="s">
        <v>232</v>
      </c>
    </row>
    <row r="15471" spans="119:119" x14ac:dyDescent="0.2">
      <c r="DO15471" s="303" t="s">
        <v>232</v>
      </c>
    </row>
    <row r="15472" spans="119:119" x14ac:dyDescent="0.2">
      <c r="DO15472" s="303" t="s">
        <v>232</v>
      </c>
    </row>
    <row r="15473" spans="119:119" x14ac:dyDescent="0.2">
      <c r="DO15473" s="303" t="s">
        <v>232</v>
      </c>
    </row>
    <row r="15474" spans="119:119" x14ac:dyDescent="0.2">
      <c r="DO15474" s="303" t="s">
        <v>232</v>
      </c>
    </row>
    <row r="15475" spans="119:119" x14ac:dyDescent="0.2">
      <c r="DO15475" s="303" t="s">
        <v>232</v>
      </c>
    </row>
    <row r="15476" spans="119:119" x14ac:dyDescent="0.2">
      <c r="DO15476" s="303" t="s">
        <v>232</v>
      </c>
    </row>
    <row r="15477" spans="119:119" x14ac:dyDescent="0.2">
      <c r="DO15477" s="303" t="s">
        <v>232</v>
      </c>
    </row>
    <row r="15478" spans="119:119" x14ac:dyDescent="0.2">
      <c r="DO15478" s="303" t="s">
        <v>232</v>
      </c>
    </row>
    <row r="15479" spans="119:119" x14ac:dyDescent="0.2">
      <c r="DO15479" s="303" t="s">
        <v>232</v>
      </c>
    </row>
    <row r="15480" spans="119:119" x14ac:dyDescent="0.2">
      <c r="DO15480" s="303" t="s">
        <v>232</v>
      </c>
    </row>
    <row r="15481" spans="119:119" x14ac:dyDescent="0.2">
      <c r="DO15481" s="303" t="s">
        <v>232</v>
      </c>
    </row>
    <row r="15482" spans="119:119" x14ac:dyDescent="0.2">
      <c r="DO15482" s="303" t="s">
        <v>232</v>
      </c>
    </row>
    <row r="15483" spans="119:119" x14ac:dyDescent="0.2">
      <c r="DO15483" s="303" t="s">
        <v>232</v>
      </c>
    </row>
    <row r="15484" spans="119:119" x14ac:dyDescent="0.2">
      <c r="DO15484" s="303" t="s">
        <v>232</v>
      </c>
    </row>
    <row r="15485" spans="119:119" x14ac:dyDescent="0.2">
      <c r="DO15485" s="303" t="s">
        <v>232</v>
      </c>
    </row>
    <row r="15486" spans="119:119" x14ac:dyDescent="0.2">
      <c r="DO15486" s="303" t="s">
        <v>232</v>
      </c>
    </row>
    <row r="15487" spans="119:119" x14ac:dyDescent="0.2">
      <c r="DO15487" s="303" t="s">
        <v>232</v>
      </c>
    </row>
    <row r="15488" spans="119:119" x14ac:dyDescent="0.2">
      <c r="DO15488" s="303" t="s">
        <v>232</v>
      </c>
    </row>
    <row r="15489" spans="119:119" x14ac:dyDescent="0.2">
      <c r="DO15489" s="303" t="s">
        <v>232</v>
      </c>
    </row>
    <row r="15490" spans="119:119" x14ac:dyDescent="0.2">
      <c r="DO15490" s="303" t="s">
        <v>232</v>
      </c>
    </row>
    <row r="15491" spans="119:119" x14ac:dyDescent="0.2">
      <c r="DO15491" s="303" t="s">
        <v>232</v>
      </c>
    </row>
    <row r="15492" spans="119:119" x14ac:dyDescent="0.2">
      <c r="DO15492" s="303" t="s">
        <v>232</v>
      </c>
    </row>
    <row r="15493" spans="119:119" x14ac:dyDescent="0.2">
      <c r="DO15493" s="303" t="s">
        <v>232</v>
      </c>
    </row>
    <row r="15494" spans="119:119" x14ac:dyDescent="0.2">
      <c r="DO15494" s="303" t="s">
        <v>232</v>
      </c>
    </row>
    <row r="15495" spans="119:119" x14ac:dyDescent="0.2">
      <c r="DO15495" s="303" t="s">
        <v>232</v>
      </c>
    </row>
    <row r="15496" spans="119:119" x14ac:dyDescent="0.2">
      <c r="DO15496" s="303" t="s">
        <v>232</v>
      </c>
    </row>
    <row r="15497" spans="119:119" x14ac:dyDescent="0.2">
      <c r="DO15497" s="303" t="s">
        <v>232</v>
      </c>
    </row>
    <row r="15498" spans="119:119" x14ac:dyDescent="0.2">
      <c r="DO15498" s="303" t="s">
        <v>232</v>
      </c>
    </row>
    <row r="15499" spans="119:119" x14ac:dyDescent="0.2">
      <c r="DO15499" s="303" t="s">
        <v>232</v>
      </c>
    </row>
    <row r="15500" spans="119:119" x14ac:dyDescent="0.2">
      <c r="DO15500" s="303" t="s">
        <v>232</v>
      </c>
    </row>
    <row r="15501" spans="119:119" x14ac:dyDescent="0.2">
      <c r="DO15501" s="303" t="s">
        <v>232</v>
      </c>
    </row>
    <row r="15502" spans="119:119" x14ac:dyDescent="0.2">
      <c r="DO15502" s="303" t="s">
        <v>232</v>
      </c>
    </row>
    <row r="15503" spans="119:119" x14ac:dyDescent="0.2">
      <c r="DO15503" s="303" t="s">
        <v>232</v>
      </c>
    </row>
    <row r="15504" spans="119:119" x14ac:dyDescent="0.2">
      <c r="DO15504" s="303" t="s">
        <v>232</v>
      </c>
    </row>
    <row r="15505" spans="119:119" x14ac:dyDescent="0.2">
      <c r="DO15505" s="303" t="s">
        <v>232</v>
      </c>
    </row>
    <row r="15506" spans="119:119" x14ac:dyDescent="0.2">
      <c r="DO15506" s="303" t="s">
        <v>232</v>
      </c>
    </row>
    <row r="15507" spans="119:119" x14ac:dyDescent="0.2">
      <c r="DO15507" s="303" t="s">
        <v>232</v>
      </c>
    </row>
    <row r="15508" spans="119:119" x14ac:dyDescent="0.2">
      <c r="DO15508" s="303" t="s">
        <v>232</v>
      </c>
    </row>
    <row r="15509" spans="119:119" x14ac:dyDescent="0.2">
      <c r="DO15509" s="303" t="s">
        <v>232</v>
      </c>
    </row>
    <row r="15510" spans="119:119" x14ac:dyDescent="0.2">
      <c r="DO15510" s="303" t="s">
        <v>232</v>
      </c>
    </row>
    <row r="15511" spans="119:119" x14ac:dyDescent="0.2">
      <c r="DO15511" s="303" t="s">
        <v>232</v>
      </c>
    </row>
    <row r="15512" spans="119:119" x14ac:dyDescent="0.2">
      <c r="DO15512" s="303" t="s">
        <v>232</v>
      </c>
    </row>
    <row r="15513" spans="119:119" x14ac:dyDescent="0.2">
      <c r="DO15513" s="303" t="s">
        <v>232</v>
      </c>
    </row>
    <row r="15514" spans="119:119" x14ac:dyDescent="0.2">
      <c r="DO15514" s="303" t="s">
        <v>232</v>
      </c>
    </row>
    <row r="15515" spans="119:119" x14ac:dyDescent="0.2">
      <c r="DO15515" s="303" t="s">
        <v>232</v>
      </c>
    </row>
    <row r="15516" spans="119:119" x14ac:dyDescent="0.2">
      <c r="DO15516" s="303" t="s">
        <v>232</v>
      </c>
    </row>
    <row r="15517" spans="119:119" x14ac:dyDescent="0.2">
      <c r="DO15517" s="303" t="s">
        <v>232</v>
      </c>
    </row>
    <row r="15518" spans="119:119" x14ac:dyDescent="0.2">
      <c r="DO15518" s="303" t="s">
        <v>232</v>
      </c>
    </row>
    <row r="15519" spans="119:119" x14ac:dyDescent="0.2">
      <c r="DO15519" s="303" t="s">
        <v>232</v>
      </c>
    </row>
    <row r="15520" spans="119:119" x14ac:dyDescent="0.2">
      <c r="DO15520" s="303" t="s">
        <v>232</v>
      </c>
    </row>
    <row r="15521" spans="119:119" x14ac:dyDescent="0.2">
      <c r="DO15521" s="303" t="s">
        <v>232</v>
      </c>
    </row>
    <row r="15522" spans="119:119" x14ac:dyDescent="0.2">
      <c r="DO15522" s="303" t="s">
        <v>232</v>
      </c>
    </row>
    <row r="15523" spans="119:119" x14ac:dyDescent="0.2">
      <c r="DO15523" s="303" t="s">
        <v>232</v>
      </c>
    </row>
    <row r="15524" spans="119:119" x14ac:dyDescent="0.2">
      <c r="DO15524" s="303" t="s">
        <v>232</v>
      </c>
    </row>
    <row r="15525" spans="119:119" x14ac:dyDescent="0.2">
      <c r="DO15525" s="303" t="s">
        <v>232</v>
      </c>
    </row>
    <row r="15526" spans="119:119" x14ac:dyDescent="0.2">
      <c r="DO15526" s="303" t="s">
        <v>232</v>
      </c>
    </row>
    <row r="15527" spans="119:119" x14ac:dyDescent="0.2">
      <c r="DO15527" s="303" t="s">
        <v>232</v>
      </c>
    </row>
    <row r="15528" spans="119:119" x14ac:dyDescent="0.2">
      <c r="DO15528" s="303" t="s">
        <v>232</v>
      </c>
    </row>
    <row r="15529" spans="119:119" x14ac:dyDescent="0.2">
      <c r="DO15529" s="303" t="s">
        <v>232</v>
      </c>
    </row>
    <row r="15530" spans="119:119" x14ac:dyDescent="0.2">
      <c r="DO15530" s="303" t="s">
        <v>232</v>
      </c>
    </row>
    <row r="15531" spans="119:119" x14ac:dyDescent="0.2">
      <c r="DO15531" s="303" t="s">
        <v>232</v>
      </c>
    </row>
    <row r="15532" spans="119:119" x14ac:dyDescent="0.2">
      <c r="DO15532" s="303" t="s">
        <v>232</v>
      </c>
    </row>
    <row r="15533" spans="119:119" x14ac:dyDescent="0.2">
      <c r="DO15533" s="303" t="s">
        <v>232</v>
      </c>
    </row>
    <row r="15534" spans="119:119" x14ac:dyDescent="0.2">
      <c r="DO15534" s="303" t="s">
        <v>232</v>
      </c>
    </row>
    <row r="15535" spans="119:119" x14ac:dyDescent="0.2">
      <c r="DO15535" s="303" t="s">
        <v>232</v>
      </c>
    </row>
    <row r="15536" spans="119:119" x14ac:dyDescent="0.2">
      <c r="DO15536" s="303" t="s">
        <v>232</v>
      </c>
    </row>
    <row r="15537" spans="119:119" x14ac:dyDescent="0.2">
      <c r="DO15537" s="303" t="s">
        <v>232</v>
      </c>
    </row>
    <row r="15538" spans="119:119" x14ac:dyDescent="0.2">
      <c r="DO15538" s="303" t="s">
        <v>232</v>
      </c>
    </row>
    <row r="15539" spans="119:119" x14ac:dyDescent="0.2">
      <c r="DO15539" s="303" t="s">
        <v>232</v>
      </c>
    </row>
    <row r="15540" spans="119:119" x14ac:dyDescent="0.2">
      <c r="DO15540" s="303" t="s">
        <v>232</v>
      </c>
    </row>
    <row r="15541" spans="119:119" x14ac:dyDescent="0.2">
      <c r="DO15541" s="303" t="s">
        <v>232</v>
      </c>
    </row>
    <row r="15542" spans="119:119" x14ac:dyDescent="0.2">
      <c r="DO15542" s="303" t="s">
        <v>232</v>
      </c>
    </row>
    <row r="15543" spans="119:119" x14ac:dyDescent="0.2">
      <c r="DO15543" s="303" t="s">
        <v>232</v>
      </c>
    </row>
    <row r="15544" spans="119:119" x14ac:dyDescent="0.2">
      <c r="DO15544" s="303" t="s">
        <v>232</v>
      </c>
    </row>
    <row r="15545" spans="119:119" x14ac:dyDescent="0.2">
      <c r="DO15545" s="303" t="s">
        <v>232</v>
      </c>
    </row>
    <row r="15546" spans="119:119" x14ac:dyDescent="0.2">
      <c r="DO15546" s="303" t="s">
        <v>232</v>
      </c>
    </row>
    <row r="15547" spans="119:119" x14ac:dyDescent="0.2">
      <c r="DO15547" s="303" t="s">
        <v>232</v>
      </c>
    </row>
    <row r="15548" spans="119:119" x14ac:dyDescent="0.2">
      <c r="DO15548" s="303" t="s">
        <v>232</v>
      </c>
    </row>
    <row r="15549" spans="119:119" x14ac:dyDescent="0.2">
      <c r="DO15549" s="303" t="s">
        <v>232</v>
      </c>
    </row>
    <row r="15550" spans="119:119" x14ac:dyDescent="0.2">
      <c r="DO15550" s="303" t="s">
        <v>232</v>
      </c>
    </row>
    <row r="15551" spans="119:119" x14ac:dyDescent="0.2">
      <c r="DO15551" s="303" t="s">
        <v>232</v>
      </c>
    </row>
    <row r="15552" spans="119:119" x14ac:dyDescent="0.2">
      <c r="DO15552" s="303" t="s">
        <v>232</v>
      </c>
    </row>
    <row r="15553" spans="119:119" x14ac:dyDescent="0.2">
      <c r="DO15553" s="303" t="s">
        <v>232</v>
      </c>
    </row>
    <row r="15554" spans="119:119" x14ac:dyDescent="0.2">
      <c r="DO15554" s="303" t="s">
        <v>232</v>
      </c>
    </row>
    <row r="15555" spans="119:119" x14ac:dyDescent="0.2">
      <c r="DO15555" s="303" t="s">
        <v>232</v>
      </c>
    </row>
    <row r="15556" spans="119:119" x14ac:dyDescent="0.2">
      <c r="DO15556" s="303" t="s">
        <v>232</v>
      </c>
    </row>
    <row r="15557" spans="119:119" x14ac:dyDescent="0.2">
      <c r="DO15557" s="303" t="s">
        <v>232</v>
      </c>
    </row>
    <row r="15558" spans="119:119" x14ac:dyDescent="0.2">
      <c r="DO15558" s="303" t="s">
        <v>232</v>
      </c>
    </row>
    <row r="15559" spans="119:119" x14ac:dyDescent="0.2">
      <c r="DO15559" s="303" t="s">
        <v>232</v>
      </c>
    </row>
    <row r="15560" spans="119:119" x14ac:dyDescent="0.2">
      <c r="DO15560" s="303" t="s">
        <v>232</v>
      </c>
    </row>
    <row r="15561" spans="119:119" x14ac:dyDescent="0.2">
      <c r="DO15561" s="303" t="s">
        <v>232</v>
      </c>
    </row>
    <row r="15562" spans="119:119" x14ac:dyDescent="0.2">
      <c r="DO15562" s="303" t="s">
        <v>232</v>
      </c>
    </row>
    <row r="15563" spans="119:119" x14ac:dyDescent="0.2">
      <c r="DO15563" s="303" t="s">
        <v>232</v>
      </c>
    </row>
    <row r="15564" spans="119:119" x14ac:dyDescent="0.2">
      <c r="DO15564" s="303" t="s">
        <v>232</v>
      </c>
    </row>
    <row r="15565" spans="119:119" x14ac:dyDescent="0.2">
      <c r="DO15565" s="303" t="s">
        <v>232</v>
      </c>
    </row>
    <row r="15566" spans="119:119" x14ac:dyDescent="0.2">
      <c r="DO15566" s="303" t="s">
        <v>232</v>
      </c>
    </row>
    <row r="15567" spans="119:119" x14ac:dyDescent="0.2">
      <c r="DO15567" s="303" t="s">
        <v>232</v>
      </c>
    </row>
    <row r="15568" spans="119:119" x14ac:dyDescent="0.2">
      <c r="DO15568" s="303" t="s">
        <v>232</v>
      </c>
    </row>
    <row r="15569" spans="119:119" x14ac:dyDescent="0.2">
      <c r="DO15569" s="303" t="s">
        <v>232</v>
      </c>
    </row>
    <row r="15570" spans="119:119" x14ac:dyDescent="0.2">
      <c r="DO15570" s="303" t="s">
        <v>232</v>
      </c>
    </row>
    <row r="15571" spans="119:119" x14ac:dyDescent="0.2">
      <c r="DO15571" s="303" t="s">
        <v>232</v>
      </c>
    </row>
    <row r="15572" spans="119:119" x14ac:dyDescent="0.2">
      <c r="DO15572" s="303" t="s">
        <v>232</v>
      </c>
    </row>
    <row r="15573" spans="119:119" x14ac:dyDescent="0.2">
      <c r="DO15573" s="303" t="s">
        <v>232</v>
      </c>
    </row>
    <row r="15574" spans="119:119" x14ac:dyDescent="0.2">
      <c r="DO15574" s="303" t="s">
        <v>232</v>
      </c>
    </row>
    <row r="15575" spans="119:119" x14ac:dyDescent="0.2">
      <c r="DO15575" s="303" t="s">
        <v>232</v>
      </c>
    </row>
    <row r="15576" spans="119:119" x14ac:dyDescent="0.2">
      <c r="DO15576" s="303" t="s">
        <v>232</v>
      </c>
    </row>
    <row r="15577" spans="119:119" x14ac:dyDescent="0.2">
      <c r="DO15577" s="303" t="s">
        <v>232</v>
      </c>
    </row>
    <row r="15578" spans="119:119" x14ac:dyDescent="0.2">
      <c r="DO15578" s="303" t="s">
        <v>232</v>
      </c>
    </row>
    <row r="15579" spans="119:119" x14ac:dyDescent="0.2">
      <c r="DO15579" s="303" t="s">
        <v>232</v>
      </c>
    </row>
    <row r="15580" spans="119:119" x14ac:dyDescent="0.2">
      <c r="DO15580" s="303" t="s">
        <v>232</v>
      </c>
    </row>
    <row r="15581" spans="119:119" x14ac:dyDescent="0.2">
      <c r="DO15581" s="303" t="s">
        <v>232</v>
      </c>
    </row>
    <row r="15582" spans="119:119" x14ac:dyDescent="0.2">
      <c r="DO15582" s="303" t="s">
        <v>232</v>
      </c>
    </row>
    <row r="15583" spans="119:119" x14ac:dyDescent="0.2">
      <c r="DO15583" s="303" t="s">
        <v>232</v>
      </c>
    </row>
    <row r="15584" spans="119:119" x14ac:dyDescent="0.2">
      <c r="DO15584" s="303" t="s">
        <v>232</v>
      </c>
    </row>
    <row r="15585" spans="119:119" x14ac:dyDescent="0.2">
      <c r="DO15585" s="303" t="s">
        <v>232</v>
      </c>
    </row>
    <row r="15586" spans="119:119" x14ac:dyDescent="0.2">
      <c r="DO15586" s="303" t="s">
        <v>232</v>
      </c>
    </row>
    <row r="15587" spans="119:119" x14ac:dyDescent="0.2">
      <c r="DO15587" s="303" t="s">
        <v>232</v>
      </c>
    </row>
    <row r="15588" spans="119:119" x14ac:dyDescent="0.2">
      <c r="DO15588" s="303" t="s">
        <v>232</v>
      </c>
    </row>
    <row r="15589" spans="119:119" x14ac:dyDescent="0.2">
      <c r="DO15589" s="303" t="s">
        <v>232</v>
      </c>
    </row>
    <row r="15590" spans="119:119" x14ac:dyDescent="0.2">
      <c r="DO15590" s="303" t="s">
        <v>232</v>
      </c>
    </row>
    <row r="15591" spans="119:119" x14ac:dyDescent="0.2">
      <c r="DO15591" s="303" t="s">
        <v>232</v>
      </c>
    </row>
    <row r="15592" spans="119:119" x14ac:dyDescent="0.2">
      <c r="DO15592" s="303" t="s">
        <v>232</v>
      </c>
    </row>
    <row r="15593" spans="119:119" x14ac:dyDescent="0.2">
      <c r="DO15593" s="303" t="s">
        <v>232</v>
      </c>
    </row>
    <row r="15594" spans="119:119" x14ac:dyDescent="0.2">
      <c r="DO15594" s="303" t="s">
        <v>232</v>
      </c>
    </row>
    <row r="15595" spans="119:119" x14ac:dyDescent="0.2">
      <c r="DO15595" s="303" t="s">
        <v>232</v>
      </c>
    </row>
    <row r="15596" spans="119:119" x14ac:dyDescent="0.2">
      <c r="DO15596" s="303" t="s">
        <v>232</v>
      </c>
    </row>
    <row r="15597" spans="119:119" x14ac:dyDescent="0.2">
      <c r="DO15597" s="303" t="s">
        <v>232</v>
      </c>
    </row>
    <row r="15598" spans="119:119" x14ac:dyDescent="0.2">
      <c r="DO15598" s="303" t="s">
        <v>232</v>
      </c>
    </row>
    <row r="15599" spans="119:119" x14ac:dyDescent="0.2">
      <c r="DO15599" s="303" t="s">
        <v>232</v>
      </c>
    </row>
    <row r="15600" spans="119:119" x14ac:dyDescent="0.2">
      <c r="DO15600" s="303" t="s">
        <v>232</v>
      </c>
    </row>
    <row r="15601" spans="119:119" x14ac:dyDescent="0.2">
      <c r="DO15601" s="303" t="s">
        <v>232</v>
      </c>
    </row>
    <row r="15602" spans="119:119" x14ac:dyDescent="0.2">
      <c r="DO15602" s="303" t="s">
        <v>232</v>
      </c>
    </row>
    <row r="15603" spans="119:119" x14ac:dyDescent="0.2">
      <c r="DO15603" s="303" t="s">
        <v>232</v>
      </c>
    </row>
    <row r="15604" spans="119:119" x14ac:dyDescent="0.2">
      <c r="DO15604" s="303" t="s">
        <v>232</v>
      </c>
    </row>
    <row r="15605" spans="119:119" x14ac:dyDescent="0.2">
      <c r="DO15605" s="303" t="s">
        <v>232</v>
      </c>
    </row>
    <row r="15606" spans="119:119" x14ac:dyDescent="0.2">
      <c r="DO15606" s="303" t="s">
        <v>232</v>
      </c>
    </row>
    <row r="15607" spans="119:119" x14ac:dyDescent="0.2">
      <c r="DO15607" s="303" t="s">
        <v>232</v>
      </c>
    </row>
    <row r="15608" spans="119:119" x14ac:dyDescent="0.2">
      <c r="DO15608" s="303" t="s">
        <v>232</v>
      </c>
    </row>
    <row r="15609" spans="119:119" x14ac:dyDescent="0.2">
      <c r="DO15609" s="303" t="s">
        <v>232</v>
      </c>
    </row>
    <row r="15610" spans="119:119" x14ac:dyDescent="0.2">
      <c r="DO15610" s="303" t="s">
        <v>232</v>
      </c>
    </row>
    <row r="15611" spans="119:119" x14ac:dyDescent="0.2">
      <c r="DO15611" s="303" t="s">
        <v>232</v>
      </c>
    </row>
    <row r="15612" spans="119:119" x14ac:dyDescent="0.2">
      <c r="DO15612" s="303" t="s">
        <v>232</v>
      </c>
    </row>
    <row r="15613" spans="119:119" x14ac:dyDescent="0.2">
      <c r="DO15613" s="303" t="s">
        <v>232</v>
      </c>
    </row>
    <row r="15614" spans="119:119" x14ac:dyDescent="0.2">
      <c r="DO15614" s="303" t="s">
        <v>232</v>
      </c>
    </row>
    <row r="15615" spans="119:119" x14ac:dyDescent="0.2">
      <c r="DO15615" s="303" t="s">
        <v>232</v>
      </c>
    </row>
    <row r="15616" spans="119:119" x14ac:dyDescent="0.2">
      <c r="DO15616" s="303" t="s">
        <v>232</v>
      </c>
    </row>
    <row r="15617" spans="119:119" x14ac:dyDescent="0.2">
      <c r="DO15617" s="303" t="s">
        <v>232</v>
      </c>
    </row>
    <row r="15618" spans="119:119" x14ac:dyDescent="0.2">
      <c r="DO15618" s="303" t="s">
        <v>232</v>
      </c>
    </row>
    <row r="15619" spans="119:119" x14ac:dyDescent="0.2">
      <c r="DO15619" s="303" t="s">
        <v>232</v>
      </c>
    </row>
    <row r="15620" spans="119:119" x14ac:dyDescent="0.2">
      <c r="DO15620" s="303" t="s">
        <v>232</v>
      </c>
    </row>
    <row r="15621" spans="119:119" x14ac:dyDescent="0.2">
      <c r="DO15621" s="303" t="s">
        <v>232</v>
      </c>
    </row>
    <row r="15622" spans="119:119" x14ac:dyDescent="0.2">
      <c r="DO15622" s="303" t="s">
        <v>232</v>
      </c>
    </row>
    <row r="15623" spans="119:119" x14ac:dyDescent="0.2">
      <c r="DO15623" s="303" t="s">
        <v>232</v>
      </c>
    </row>
    <row r="15624" spans="119:119" x14ac:dyDescent="0.2">
      <c r="DO15624" s="303" t="s">
        <v>232</v>
      </c>
    </row>
    <row r="15625" spans="119:119" x14ac:dyDescent="0.2">
      <c r="DO15625" s="303" t="s">
        <v>232</v>
      </c>
    </row>
    <row r="15626" spans="119:119" x14ac:dyDescent="0.2">
      <c r="DO15626" s="303" t="s">
        <v>232</v>
      </c>
    </row>
    <row r="15627" spans="119:119" x14ac:dyDescent="0.2">
      <c r="DO15627" s="303" t="s">
        <v>232</v>
      </c>
    </row>
    <row r="15628" spans="119:119" x14ac:dyDescent="0.2">
      <c r="DO15628" s="303" t="s">
        <v>232</v>
      </c>
    </row>
    <row r="15629" spans="119:119" x14ac:dyDescent="0.2">
      <c r="DO15629" s="303" t="s">
        <v>232</v>
      </c>
    </row>
    <row r="15630" spans="119:119" x14ac:dyDescent="0.2">
      <c r="DO15630" s="303" t="s">
        <v>232</v>
      </c>
    </row>
    <row r="15631" spans="119:119" x14ac:dyDescent="0.2">
      <c r="DO15631" s="303" t="s">
        <v>232</v>
      </c>
    </row>
    <row r="15632" spans="119:119" x14ac:dyDescent="0.2">
      <c r="DO15632" s="303" t="s">
        <v>232</v>
      </c>
    </row>
    <row r="15633" spans="119:119" x14ac:dyDescent="0.2">
      <c r="DO15633" s="303" t="s">
        <v>232</v>
      </c>
    </row>
    <row r="15634" spans="119:119" x14ac:dyDescent="0.2">
      <c r="DO15634" s="303" t="s">
        <v>232</v>
      </c>
    </row>
    <row r="15635" spans="119:119" x14ac:dyDescent="0.2">
      <c r="DO15635" s="303" t="s">
        <v>232</v>
      </c>
    </row>
    <row r="15636" spans="119:119" x14ac:dyDescent="0.2">
      <c r="DO15636" s="303" t="s">
        <v>232</v>
      </c>
    </row>
    <row r="15637" spans="119:119" x14ac:dyDescent="0.2">
      <c r="DO15637" s="303" t="s">
        <v>232</v>
      </c>
    </row>
    <row r="15638" spans="119:119" x14ac:dyDescent="0.2">
      <c r="DO15638" s="303" t="s">
        <v>232</v>
      </c>
    </row>
    <row r="15639" spans="119:119" x14ac:dyDescent="0.2">
      <c r="DO15639" s="303" t="s">
        <v>232</v>
      </c>
    </row>
    <row r="15640" spans="119:119" x14ac:dyDescent="0.2">
      <c r="DO15640" s="303" t="s">
        <v>232</v>
      </c>
    </row>
    <row r="15641" spans="119:119" x14ac:dyDescent="0.2">
      <c r="DO15641" s="303" t="s">
        <v>232</v>
      </c>
    </row>
    <row r="15642" spans="119:119" x14ac:dyDescent="0.2">
      <c r="DO15642" s="303" t="s">
        <v>232</v>
      </c>
    </row>
    <row r="15643" spans="119:119" x14ac:dyDescent="0.2">
      <c r="DO15643" s="303" t="s">
        <v>232</v>
      </c>
    </row>
    <row r="15644" spans="119:119" x14ac:dyDescent="0.2">
      <c r="DO15644" s="303" t="s">
        <v>232</v>
      </c>
    </row>
    <row r="15645" spans="119:119" x14ac:dyDescent="0.2">
      <c r="DO15645" s="303" t="s">
        <v>232</v>
      </c>
    </row>
    <row r="15646" spans="119:119" x14ac:dyDescent="0.2">
      <c r="DO15646" s="303" t="s">
        <v>232</v>
      </c>
    </row>
    <row r="15647" spans="119:119" x14ac:dyDescent="0.2">
      <c r="DO15647" s="303" t="s">
        <v>232</v>
      </c>
    </row>
    <row r="15648" spans="119:119" x14ac:dyDescent="0.2">
      <c r="DO15648" s="303" t="s">
        <v>232</v>
      </c>
    </row>
    <row r="15649" spans="119:119" x14ac:dyDescent="0.2">
      <c r="DO15649" s="303" t="s">
        <v>232</v>
      </c>
    </row>
    <row r="15650" spans="119:119" x14ac:dyDescent="0.2">
      <c r="DO15650" s="303" t="s">
        <v>232</v>
      </c>
    </row>
    <row r="15651" spans="119:119" x14ac:dyDescent="0.2">
      <c r="DO15651" s="303" t="s">
        <v>232</v>
      </c>
    </row>
    <row r="15652" spans="119:119" x14ac:dyDescent="0.2">
      <c r="DO15652" s="303" t="s">
        <v>232</v>
      </c>
    </row>
    <row r="15653" spans="119:119" x14ac:dyDescent="0.2">
      <c r="DO15653" s="303" t="s">
        <v>232</v>
      </c>
    </row>
    <row r="15654" spans="119:119" x14ac:dyDescent="0.2">
      <c r="DO15654" s="303" t="s">
        <v>232</v>
      </c>
    </row>
    <row r="15655" spans="119:119" x14ac:dyDescent="0.2">
      <c r="DO15655" s="303" t="s">
        <v>232</v>
      </c>
    </row>
    <row r="15656" spans="119:119" x14ac:dyDescent="0.2">
      <c r="DO15656" s="303" t="s">
        <v>232</v>
      </c>
    </row>
    <row r="15657" spans="119:119" x14ac:dyDescent="0.2">
      <c r="DO15657" s="303" t="s">
        <v>232</v>
      </c>
    </row>
    <row r="15658" spans="119:119" x14ac:dyDescent="0.2">
      <c r="DO15658" s="303" t="s">
        <v>232</v>
      </c>
    </row>
    <row r="15659" spans="119:119" x14ac:dyDescent="0.2">
      <c r="DO15659" s="303" t="s">
        <v>232</v>
      </c>
    </row>
    <row r="15660" spans="119:119" x14ac:dyDescent="0.2">
      <c r="DO15660" s="303" t="s">
        <v>232</v>
      </c>
    </row>
    <row r="15661" spans="119:119" x14ac:dyDescent="0.2">
      <c r="DO15661" s="303" t="s">
        <v>232</v>
      </c>
    </row>
    <row r="15662" spans="119:119" x14ac:dyDescent="0.2">
      <c r="DO15662" s="303" t="s">
        <v>232</v>
      </c>
    </row>
    <row r="15663" spans="119:119" x14ac:dyDescent="0.2">
      <c r="DO15663" s="303" t="s">
        <v>232</v>
      </c>
    </row>
    <row r="15664" spans="119:119" x14ac:dyDescent="0.2">
      <c r="DO15664" s="303" t="s">
        <v>232</v>
      </c>
    </row>
    <row r="15665" spans="119:119" x14ac:dyDescent="0.2">
      <c r="DO15665" s="303" t="s">
        <v>232</v>
      </c>
    </row>
    <row r="15666" spans="119:119" x14ac:dyDescent="0.2">
      <c r="DO15666" s="303" t="s">
        <v>232</v>
      </c>
    </row>
    <row r="15667" spans="119:119" x14ac:dyDescent="0.2">
      <c r="DO15667" s="303" t="s">
        <v>232</v>
      </c>
    </row>
    <row r="15668" spans="119:119" x14ac:dyDescent="0.2">
      <c r="DO15668" s="303" t="s">
        <v>232</v>
      </c>
    </row>
    <row r="15669" spans="119:119" x14ac:dyDescent="0.2">
      <c r="DO15669" s="303" t="s">
        <v>232</v>
      </c>
    </row>
    <row r="15670" spans="119:119" x14ac:dyDescent="0.2">
      <c r="DO15670" s="303" t="s">
        <v>232</v>
      </c>
    </row>
    <row r="15671" spans="119:119" x14ac:dyDescent="0.2">
      <c r="DO15671" s="303" t="s">
        <v>232</v>
      </c>
    </row>
    <row r="15672" spans="119:119" x14ac:dyDescent="0.2">
      <c r="DO15672" s="303" t="s">
        <v>232</v>
      </c>
    </row>
    <row r="15673" spans="119:119" x14ac:dyDescent="0.2">
      <c r="DO15673" s="303" t="s">
        <v>232</v>
      </c>
    </row>
    <row r="15674" spans="119:119" x14ac:dyDescent="0.2">
      <c r="DO15674" s="303" t="s">
        <v>232</v>
      </c>
    </row>
    <row r="15675" spans="119:119" x14ac:dyDescent="0.2">
      <c r="DO15675" s="303" t="s">
        <v>232</v>
      </c>
    </row>
    <row r="15676" spans="119:119" x14ac:dyDescent="0.2">
      <c r="DO15676" s="303" t="s">
        <v>232</v>
      </c>
    </row>
    <row r="15677" spans="119:119" x14ac:dyDescent="0.2">
      <c r="DO15677" s="303" t="s">
        <v>232</v>
      </c>
    </row>
    <row r="15678" spans="119:119" x14ac:dyDescent="0.2">
      <c r="DO15678" s="303" t="s">
        <v>232</v>
      </c>
    </row>
    <row r="15679" spans="119:119" x14ac:dyDescent="0.2">
      <c r="DO15679" s="303" t="s">
        <v>232</v>
      </c>
    </row>
    <row r="15680" spans="119:119" x14ac:dyDescent="0.2">
      <c r="DO15680" s="303" t="s">
        <v>232</v>
      </c>
    </row>
    <row r="15681" spans="119:119" x14ac:dyDescent="0.2">
      <c r="DO15681" s="303" t="s">
        <v>232</v>
      </c>
    </row>
    <row r="15682" spans="119:119" x14ac:dyDescent="0.2">
      <c r="DO15682" s="303" t="s">
        <v>232</v>
      </c>
    </row>
    <row r="15683" spans="119:119" x14ac:dyDescent="0.2">
      <c r="DO15683" s="303" t="s">
        <v>232</v>
      </c>
    </row>
    <row r="15684" spans="119:119" x14ac:dyDescent="0.2">
      <c r="DO15684" s="303" t="s">
        <v>232</v>
      </c>
    </row>
    <row r="15685" spans="119:119" x14ac:dyDescent="0.2">
      <c r="DO15685" s="303" t="s">
        <v>232</v>
      </c>
    </row>
    <row r="15686" spans="119:119" x14ac:dyDescent="0.2">
      <c r="DO15686" s="303" t="s">
        <v>232</v>
      </c>
    </row>
    <row r="15687" spans="119:119" x14ac:dyDescent="0.2">
      <c r="DO15687" s="303" t="s">
        <v>232</v>
      </c>
    </row>
    <row r="15688" spans="119:119" x14ac:dyDescent="0.2">
      <c r="DO15688" s="303" t="s">
        <v>232</v>
      </c>
    </row>
    <row r="15689" spans="119:119" x14ac:dyDescent="0.2">
      <c r="DO15689" s="303" t="s">
        <v>232</v>
      </c>
    </row>
    <row r="15690" spans="119:119" x14ac:dyDescent="0.2">
      <c r="DO15690" s="303" t="s">
        <v>232</v>
      </c>
    </row>
    <row r="15691" spans="119:119" x14ac:dyDescent="0.2">
      <c r="DO15691" s="303" t="s">
        <v>232</v>
      </c>
    </row>
    <row r="15692" spans="119:119" x14ac:dyDescent="0.2">
      <c r="DO15692" s="303" t="s">
        <v>232</v>
      </c>
    </row>
    <row r="15693" spans="119:119" x14ac:dyDescent="0.2">
      <c r="DO15693" s="303" t="s">
        <v>232</v>
      </c>
    </row>
    <row r="15694" spans="119:119" x14ac:dyDescent="0.2">
      <c r="DO15694" s="303" t="s">
        <v>232</v>
      </c>
    </row>
    <row r="15695" spans="119:119" x14ac:dyDescent="0.2">
      <c r="DO15695" s="303" t="s">
        <v>232</v>
      </c>
    </row>
    <row r="15696" spans="119:119" x14ac:dyDescent="0.2">
      <c r="DO15696" s="303" t="s">
        <v>232</v>
      </c>
    </row>
    <row r="15697" spans="119:119" x14ac:dyDescent="0.2">
      <c r="DO15697" s="303" t="s">
        <v>232</v>
      </c>
    </row>
    <row r="15698" spans="119:119" x14ac:dyDescent="0.2">
      <c r="DO15698" s="303" t="s">
        <v>232</v>
      </c>
    </row>
    <row r="15699" spans="119:119" x14ac:dyDescent="0.2">
      <c r="DO15699" s="303" t="s">
        <v>232</v>
      </c>
    </row>
    <row r="15700" spans="119:119" x14ac:dyDescent="0.2">
      <c r="DO15700" s="303" t="s">
        <v>232</v>
      </c>
    </row>
    <row r="15701" spans="119:119" x14ac:dyDescent="0.2">
      <c r="DO15701" s="303" t="s">
        <v>232</v>
      </c>
    </row>
    <row r="15702" spans="119:119" x14ac:dyDescent="0.2">
      <c r="DO15702" s="303" t="s">
        <v>232</v>
      </c>
    </row>
    <row r="15703" spans="119:119" x14ac:dyDescent="0.2">
      <c r="DO15703" s="303" t="s">
        <v>232</v>
      </c>
    </row>
    <row r="15704" spans="119:119" x14ac:dyDescent="0.2">
      <c r="DO15704" s="303" t="s">
        <v>232</v>
      </c>
    </row>
    <row r="15705" spans="119:119" x14ac:dyDescent="0.2">
      <c r="DO15705" s="303" t="s">
        <v>232</v>
      </c>
    </row>
    <row r="15706" spans="119:119" x14ac:dyDescent="0.2">
      <c r="DO15706" s="303" t="s">
        <v>232</v>
      </c>
    </row>
    <row r="15707" spans="119:119" x14ac:dyDescent="0.2">
      <c r="DO15707" s="303" t="s">
        <v>232</v>
      </c>
    </row>
    <row r="15708" spans="119:119" x14ac:dyDescent="0.2">
      <c r="DO15708" s="303" t="s">
        <v>232</v>
      </c>
    </row>
    <row r="15709" spans="119:119" x14ac:dyDescent="0.2">
      <c r="DO15709" s="303" t="s">
        <v>232</v>
      </c>
    </row>
    <row r="15710" spans="119:119" x14ac:dyDescent="0.2">
      <c r="DO15710" s="303" t="s">
        <v>232</v>
      </c>
    </row>
    <row r="15711" spans="119:119" x14ac:dyDescent="0.2">
      <c r="DO15711" s="303" t="s">
        <v>232</v>
      </c>
    </row>
    <row r="15712" spans="119:119" x14ac:dyDescent="0.2">
      <c r="DO15712" s="303" t="s">
        <v>232</v>
      </c>
    </row>
    <row r="15713" spans="119:119" x14ac:dyDescent="0.2">
      <c r="DO15713" s="303" t="s">
        <v>232</v>
      </c>
    </row>
    <row r="15714" spans="119:119" x14ac:dyDescent="0.2">
      <c r="DO15714" s="303" t="s">
        <v>232</v>
      </c>
    </row>
    <row r="15715" spans="119:119" x14ac:dyDescent="0.2">
      <c r="DO15715" s="303" t="s">
        <v>232</v>
      </c>
    </row>
    <row r="15716" spans="119:119" x14ac:dyDescent="0.2">
      <c r="DO15716" s="303" t="s">
        <v>232</v>
      </c>
    </row>
    <row r="15717" spans="119:119" x14ac:dyDescent="0.2">
      <c r="DO15717" s="303" t="s">
        <v>232</v>
      </c>
    </row>
    <row r="15718" spans="119:119" x14ac:dyDescent="0.2">
      <c r="DO15718" s="303" t="s">
        <v>232</v>
      </c>
    </row>
    <row r="15719" spans="119:119" x14ac:dyDescent="0.2">
      <c r="DO15719" s="303" t="s">
        <v>232</v>
      </c>
    </row>
    <row r="15720" spans="119:119" x14ac:dyDescent="0.2">
      <c r="DO15720" s="303" t="s">
        <v>232</v>
      </c>
    </row>
    <row r="15721" spans="119:119" x14ac:dyDescent="0.2">
      <c r="DO15721" s="303" t="s">
        <v>232</v>
      </c>
    </row>
    <row r="15722" spans="119:119" x14ac:dyDescent="0.2">
      <c r="DO15722" s="303" t="s">
        <v>232</v>
      </c>
    </row>
    <row r="15723" spans="119:119" x14ac:dyDescent="0.2">
      <c r="DO15723" s="303" t="s">
        <v>232</v>
      </c>
    </row>
    <row r="15724" spans="119:119" x14ac:dyDescent="0.2">
      <c r="DO15724" s="303" t="s">
        <v>232</v>
      </c>
    </row>
    <row r="15725" spans="119:119" x14ac:dyDescent="0.2">
      <c r="DO15725" s="303" t="s">
        <v>232</v>
      </c>
    </row>
    <row r="15726" spans="119:119" x14ac:dyDescent="0.2">
      <c r="DO15726" s="303" t="s">
        <v>232</v>
      </c>
    </row>
    <row r="15727" spans="119:119" x14ac:dyDescent="0.2">
      <c r="DO15727" s="303" t="s">
        <v>232</v>
      </c>
    </row>
    <row r="15728" spans="119:119" x14ac:dyDescent="0.2">
      <c r="DO15728" s="303" t="s">
        <v>232</v>
      </c>
    </row>
    <row r="15729" spans="119:119" x14ac:dyDescent="0.2">
      <c r="DO15729" s="303" t="s">
        <v>232</v>
      </c>
    </row>
    <row r="15730" spans="119:119" x14ac:dyDescent="0.2">
      <c r="DO15730" s="303" t="s">
        <v>232</v>
      </c>
    </row>
    <row r="15731" spans="119:119" x14ac:dyDescent="0.2">
      <c r="DO15731" s="303" t="s">
        <v>232</v>
      </c>
    </row>
    <row r="15732" spans="119:119" x14ac:dyDescent="0.2">
      <c r="DO15732" s="303" t="s">
        <v>232</v>
      </c>
    </row>
    <row r="15733" spans="119:119" x14ac:dyDescent="0.2">
      <c r="DO15733" s="303" t="s">
        <v>232</v>
      </c>
    </row>
    <row r="15734" spans="119:119" x14ac:dyDescent="0.2">
      <c r="DO15734" s="303" t="s">
        <v>232</v>
      </c>
    </row>
    <row r="15735" spans="119:119" x14ac:dyDescent="0.2">
      <c r="DO15735" s="303" t="s">
        <v>232</v>
      </c>
    </row>
    <row r="15736" spans="119:119" x14ac:dyDescent="0.2">
      <c r="DO15736" s="303" t="s">
        <v>232</v>
      </c>
    </row>
    <row r="15737" spans="119:119" x14ac:dyDescent="0.2">
      <c r="DO15737" s="303" t="s">
        <v>232</v>
      </c>
    </row>
    <row r="15738" spans="119:119" x14ac:dyDescent="0.2">
      <c r="DO15738" s="303" t="s">
        <v>232</v>
      </c>
    </row>
    <row r="15739" spans="119:119" x14ac:dyDescent="0.2">
      <c r="DO15739" s="303" t="s">
        <v>232</v>
      </c>
    </row>
    <row r="15740" spans="119:119" x14ac:dyDescent="0.2">
      <c r="DO15740" s="303" t="s">
        <v>232</v>
      </c>
    </row>
    <row r="15741" spans="119:119" x14ac:dyDescent="0.2">
      <c r="DO15741" s="303" t="s">
        <v>232</v>
      </c>
    </row>
    <row r="15742" spans="119:119" x14ac:dyDescent="0.2">
      <c r="DO15742" s="303" t="s">
        <v>232</v>
      </c>
    </row>
    <row r="15743" spans="119:119" x14ac:dyDescent="0.2">
      <c r="DO15743" s="303" t="s">
        <v>232</v>
      </c>
    </row>
    <row r="15744" spans="119:119" x14ac:dyDescent="0.2">
      <c r="DO15744" s="303" t="s">
        <v>232</v>
      </c>
    </row>
    <row r="15745" spans="119:119" x14ac:dyDescent="0.2">
      <c r="DO15745" s="303" t="s">
        <v>232</v>
      </c>
    </row>
    <row r="15746" spans="119:119" x14ac:dyDescent="0.2">
      <c r="DO15746" s="303" t="s">
        <v>232</v>
      </c>
    </row>
    <row r="15747" spans="119:119" x14ac:dyDescent="0.2">
      <c r="DO15747" s="303" t="s">
        <v>232</v>
      </c>
    </row>
    <row r="15748" spans="119:119" x14ac:dyDescent="0.2">
      <c r="DO15748" s="303" t="s">
        <v>232</v>
      </c>
    </row>
    <row r="15749" spans="119:119" x14ac:dyDescent="0.2">
      <c r="DO15749" s="303" t="s">
        <v>232</v>
      </c>
    </row>
    <row r="15750" spans="119:119" x14ac:dyDescent="0.2">
      <c r="DO15750" s="303" t="s">
        <v>232</v>
      </c>
    </row>
    <row r="15751" spans="119:119" x14ac:dyDescent="0.2">
      <c r="DO15751" s="303" t="s">
        <v>232</v>
      </c>
    </row>
    <row r="15752" spans="119:119" x14ac:dyDescent="0.2">
      <c r="DO15752" s="303" t="s">
        <v>232</v>
      </c>
    </row>
    <row r="15753" spans="119:119" x14ac:dyDescent="0.2">
      <c r="DO15753" s="303" t="s">
        <v>232</v>
      </c>
    </row>
    <row r="15754" spans="119:119" x14ac:dyDescent="0.2">
      <c r="DO15754" s="303" t="s">
        <v>232</v>
      </c>
    </row>
    <row r="15755" spans="119:119" x14ac:dyDescent="0.2">
      <c r="DO15755" s="303" t="s">
        <v>232</v>
      </c>
    </row>
    <row r="15756" spans="119:119" x14ac:dyDescent="0.2">
      <c r="DO15756" s="303" t="s">
        <v>232</v>
      </c>
    </row>
    <row r="15757" spans="119:119" x14ac:dyDescent="0.2">
      <c r="DO15757" s="303" t="s">
        <v>232</v>
      </c>
    </row>
    <row r="15758" spans="119:119" x14ac:dyDescent="0.2">
      <c r="DO15758" s="303" t="s">
        <v>232</v>
      </c>
    </row>
    <row r="15759" spans="119:119" x14ac:dyDescent="0.2">
      <c r="DO15759" s="303" t="s">
        <v>232</v>
      </c>
    </row>
    <row r="15760" spans="119:119" x14ac:dyDescent="0.2">
      <c r="DO15760" s="303" t="s">
        <v>232</v>
      </c>
    </row>
    <row r="15761" spans="119:119" x14ac:dyDescent="0.2">
      <c r="DO15761" s="303" t="s">
        <v>232</v>
      </c>
    </row>
    <row r="15762" spans="119:119" x14ac:dyDescent="0.2">
      <c r="DO15762" s="303" t="s">
        <v>232</v>
      </c>
    </row>
    <row r="15763" spans="119:119" x14ac:dyDescent="0.2">
      <c r="DO15763" s="303" t="s">
        <v>232</v>
      </c>
    </row>
    <row r="15764" spans="119:119" x14ac:dyDescent="0.2">
      <c r="DO15764" s="303" t="s">
        <v>232</v>
      </c>
    </row>
    <row r="15765" spans="119:119" x14ac:dyDescent="0.2">
      <c r="DO15765" s="303" t="s">
        <v>232</v>
      </c>
    </row>
    <row r="15766" spans="119:119" x14ac:dyDescent="0.2">
      <c r="DO15766" s="303" t="s">
        <v>232</v>
      </c>
    </row>
    <row r="15767" spans="119:119" x14ac:dyDescent="0.2">
      <c r="DO15767" s="303" t="s">
        <v>232</v>
      </c>
    </row>
    <row r="15768" spans="119:119" x14ac:dyDescent="0.2">
      <c r="DO15768" s="303" t="s">
        <v>232</v>
      </c>
    </row>
    <row r="15769" spans="119:119" x14ac:dyDescent="0.2">
      <c r="DO15769" s="303" t="s">
        <v>232</v>
      </c>
    </row>
    <row r="15770" spans="119:119" x14ac:dyDescent="0.2">
      <c r="DO15770" s="303" t="s">
        <v>232</v>
      </c>
    </row>
    <row r="15771" spans="119:119" x14ac:dyDescent="0.2">
      <c r="DO15771" s="303" t="s">
        <v>232</v>
      </c>
    </row>
    <row r="15772" spans="119:119" x14ac:dyDescent="0.2">
      <c r="DO15772" s="303" t="s">
        <v>232</v>
      </c>
    </row>
    <row r="15773" spans="119:119" x14ac:dyDescent="0.2">
      <c r="DO15773" s="303" t="s">
        <v>232</v>
      </c>
    </row>
    <row r="15774" spans="119:119" x14ac:dyDescent="0.2">
      <c r="DO15774" s="303" t="s">
        <v>232</v>
      </c>
    </row>
    <row r="15775" spans="119:119" x14ac:dyDescent="0.2">
      <c r="DO15775" s="303" t="s">
        <v>232</v>
      </c>
    </row>
    <row r="15776" spans="119:119" x14ac:dyDescent="0.2">
      <c r="DO15776" s="303" t="s">
        <v>232</v>
      </c>
    </row>
    <row r="15777" spans="119:119" x14ac:dyDescent="0.2">
      <c r="DO15777" s="303" t="s">
        <v>232</v>
      </c>
    </row>
    <row r="15778" spans="119:119" x14ac:dyDescent="0.2">
      <c r="DO15778" s="303" t="s">
        <v>232</v>
      </c>
    </row>
    <row r="15779" spans="119:119" x14ac:dyDescent="0.2">
      <c r="DO15779" s="303" t="s">
        <v>232</v>
      </c>
    </row>
    <row r="15780" spans="119:119" x14ac:dyDescent="0.2">
      <c r="DO15780" s="303" t="s">
        <v>232</v>
      </c>
    </row>
    <row r="15781" spans="119:119" x14ac:dyDescent="0.2">
      <c r="DO15781" s="303" t="s">
        <v>232</v>
      </c>
    </row>
    <row r="15782" spans="119:119" x14ac:dyDescent="0.2">
      <c r="DO15782" s="303" t="s">
        <v>232</v>
      </c>
    </row>
    <row r="15783" spans="119:119" x14ac:dyDescent="0.2">
      <c r="DO15783" s="303" t="s">
        <v>232</v>
      </c>
    </row>
    <row r="15784" spans="119:119" x14ac:dyDescent="0.2">
      <c r="DO15784" s="303" t="s">
        <v>232</v>
      </c>
    </row>
    <row r="15785" spans="119:119" x14ac:dyDescent="0.2">
      <c r="DO15785" s="303" t="s">
        <v>232</v>
      </c>
    </row>
    <row r="15786" spans="119:119" x14ac:dyDescent="0.2">
      <c r="DO15786" s="303" t="s">
        <v>232</v>
      </c>
    </row>
    <row r="15787" spans="119:119" x14ac:dyDescent="0.2">
      <c r="DO15787" s="303" t="s">
        <v>232</v>
      </c>
    </row>
    <row r="15788" spans="119:119" x14ac:dyDescent="0.2">
      <c r="DO15788" s="303" t="s">
        <v>232</v>
      </c>
    </row>
    <row r="15789" spans="119:119" x14ac:dyDescent="0.2">
      <c r="DO15789" s="303" t="s">
        <v>232</v>
      </c>
    </row>
    <row r="15790" spans="119:119" x14ac:dyDescent="0.2">
      <c r="DO15790" s="303" t="s">
        <v>232</v>
      </c>
    </row>
    <row r="15791" spans="119:119" x14ac:dyDescent="0.2">
      <c r="DO15791" s="303" t="s">
        <v>232</v>
      </c>
    </row>
    <row r="15792" spans="119:119" x14ac:dyDescent="0.2">
      <c r="DO15792" s="303" t="s">
        <v>232</v>
      </c>
    </row>
    <row r="15793" spans="119:119" x14ac:dyDescent="0.2">
      <c r="DO15793" s="303" t="s">
        <v>232</v>
      </c>
    </row>
    <row r="15794" spans="119:119" x14ac:dyDescent="0.2">
      <c r="DO15794" s="303" t="s">
        <v>232</v>
      </c>
    </row>
    <row r="15795" spans="119:119" x14ac:dyDescent="0.2">
      <c r="DO15795" s="303" t="s">
        <v>232</v>
      </c>
    </row>
    <row r="15796" spans="119:119" x14ac:dyDescent="0.2">
      <c r="DO15796" s="303" t="s">
        <v>232</v>
      </c>
    </row>
    <row r="15797" spans="119:119" x14ac:dyDescent="0.2">
      <c r="DO15797" s="303" t="s">
        <v>232</v>
      </c>
    </row>
    <row r="15798" spans="119:119" x14ac:dyDescent="0.2">
      <c r="DO15798" s="303" t="s">
        <v>232</v>
      </c>
    </row>
    <row r="15799" spans="119:119" x14ac:dyDescent="0.2">
      <c r="DO15799" s="303" t="s">
        <v>232</v>
      </c>
    </row>
    <row r="15800" spans="119:119" x14ac:dyDescent="0.2">
      <c r="DO15800" s="303" t="s">
        <v>232</v>
      </c>
    </row>
    <row r="15801" spans="119:119" x14ac:dyDescent="0.2">
      <c r="DO15801" s="303" t="s">
        <v>232</v>
      </c>
    </row>
    <row r="15802" spans="119:119" x14ac:dyDescent="0.2">
      <c r="DO15802" s="303" t="s">
        <v>232</v>
      </c>
    </row>
    <row r="15803" spans="119:119" x14ac:dyDescent="0.2">
      <c r="DO15803" s="303" t="s">
        <v>232</v>
      </c>
    </row>
    <row r="15804" spans="119:119" x14ac:dyDescent="0.2">
      <c r="DO15804" s="303" t="s">
        <v>232</v>
      </c>
    </row>
    <row r="15805" spans="119:119" x14ac:dyDescent="0.2">
      <c r="DO15805" s="303" t="s">
        <v>232</v>
      </c>
    </row>
    <row r="15806" spans="119:119" x14ac:dyDescent="0.2">
      <c r="DO15806" s="303" t="s">
        <v>232</v>
      </c>
    </row>
    <row r="15807" spans="119:119" x14ac:dyDescent="0.2">
      <c r="DO15807" s="303" t="s">
        <v>232</v>
      </c>
    </row>
    <row r="15808" spans="119:119" x14ac:dyDescent="0.2">
      <c r="DO15808" s="303" t="s">
        <v>232</v>
      </c>
    </row>
    <row r="15809" spans="119:119" x14ac:dyDescent="0.2">
      <c r="DO15809" s="303" t="s">
        <v>232</v>
      </c>
    </row>
    <row r="15810" spans="119:119" x14ac:dyDescent="0.2">
      <c r="DO15810" s="303" t="s">
        <v>232</v>
      </c>
    </row>
    <row r="15811" spans="119:119" x14ac:dyDescent="0.2">
      <c r="DO15811" s="303" t="s">
        <v>232</v>
      </c>
    </row>
    <row r="15812" spans="119:119" x14ac:dyDescent="0.2">
      <c r="DO15812" s="303" t="s">
        <v>232</v>
      </c>
    </row>
    <row r="15813" spans="119:119" x14ac:dyDescent="0.2">
      <c r="DO15813" s="303" t="s">
        <v>232</v>
      </c>
    </row>
    <row r="15814" spans="119:119" x14ac:dyDescent="0.2">
      <c r="DO15814" s="303" t="s">
        <v>232</v>
      </c>
    </row>
    <row r="15815" spans="119:119" x14ac:dyDescent="0.2">
      <c r="DO15815" s="303" t="s">
        <v>232</v>
      </c>
    </row>
    <row r="15816" spans="119:119" x14ac:dyDescent="0.2">
      <c r="DO15816" s="303" t="s">
        <v>232</v>
      </c>
    </row>
    <row r="15817" spans="119:119" x14ac:dyDescent="0.2">
      <c r="DO15817" s="303" t="s">
        <v>232</v>
      </c>
    </row>
    <row r="15818" spans="119:119" x14ac:dyDescent="0.2">
      <c r="DO15818" s="303" t="s">
        <v>232</v>
      </c>
    </row>
    <row r="15819" spans="119:119" x14ac:dyDescent="0.2">
      <c r="DO15819" s="303" t="s">
        <v>232</v>
      </c>
    </row>
    <row r="15820" spans="119:119" x14ac:dyDescent="0.2">
      <c r="DO15820" s="303" t="s">
        <v>232</v>
      </c>
    </row>
    <row r="15821" spans="119:119" x14ac:dyDescent="0.2">
      <c r="DO15821" s="303" t="s">
        <v>232</v>
      </c>
    </row>
    <row r="15822" spans="119:119" x14ac:dyDescent="0.2">
      <c r="DO15822" s="303" t="s">
        <v>232</v>
      </c>
    </row>
    <row r="15823" spans="119:119" x14ac:dyDescent="0.2">
      <c r="DO15823" s="303" t="s">
        <v>232</v>
      </c>
    </row>
    <row r="15824" spans="119:119" x14ac:dyDescent="0.2">
      <c r="DO15824" s="303" t="s">
        <v>232</v>
      </c>
    </row>
    <row r="15825" spans="119:119" x14ac:dyDescent="0.2">
      <c r="DO15825" s="303" t="s">
        <v>232</v>
      </c>
    </row>
    <row r="15826" spans="119:119" x14ac:dyDescent="0.2">
      <c r="DO15826" s="303" t="s">
        <v>232</v>
      </c>
    </row>
    <row r="15827" spans="119:119" x14ac:dyDescent="0.2">
      <c r="DO15827" s="303" t="s">
        <v>232</v>
      </c>
    </row>
    <row r="15828" spans="119:119" x14ac:dyDescent="0.2">
      <c r="DO15828" s="303" t="s">
        <v>232</v>
      </c>
    </row>
    <row r="15829" spans="119:119" x14ac:dyDescent="0.2">
      <c r="DO15829" s="303" t="s">
        <v>232</v>
      </c>
    </row>
    <row r="15830" spans="119:119" x14ac:dyDescent="0.2">
      <c r="DO15830" s="303" t="s">
        <v>232</v>
      </c>
    </row>
    <row r="15831" spans="119:119" x14ac:dyDescent="0.2">
      <c r="DO15831" s="303" t="s">
        <v>232</v>
      </c>
    </row>
    <row r="15832" spans="119:119" x14ac:dyDescent="0.2">
      <c r="DO15832" s="303" t="s">
        <v>232</v>
      </c>
    </row>
    <row r="15833" spans="119:119" x14ac:dyDescent="0.2">
      <c r="DO15833" s="303" t="s">
        <v>232</v>
      </c>
    </row>
    <row r="15834" spans="119:119" x14ac:dyDescent="0.2">
      <c r="DO15834" s="303" t="s">
        <v>232</v>
      </c>
    </row>
    <row r="15835" spans="119:119" x14ac:dyDescent="0.2">
      <c r="DO15835" s="303" t="s">
        <v>232</v>
      </c>
    </row>
    <row r="15836" spans="119:119" x14ac:dyDescent="0.2">
      <c r="DO15836" s="303" t="s">
        <v>232</v>
      </c>
    </row>
    <row r="15837" spans="119:119" x14ac:dyDescent="0.2">
      <c r="DO15837" s="303" t="s">
        <v>232</v>
      </c>
    </row>
    <row r="15838" spans="119:119" x14ac:dyDescent="0.2">
      <c r="DO15838" s="303" t="s">
        <v>232</v>
      </c>
    </row>
    <row r="15839" spans="119:119" x14ac:dyDescent="0.2">
      <c r="DO15839" s="303" t="s">
        <v>232</v>
      </c>
    </row>
    <row r="15840" spans="119:119" x14ac:dyDescent="0.2">
      <c r="DO15840" s="303" t="s">
        <v>232</v>
      </c>
    </row>
    <row r="15841" spans="119:119" x14ac:dyDescent="0.2">
      <c r="DO15841" s="303" t="s">
        <v>232</v>
      </c>
    </row>
    <row r="15842" spans="119:119" x14ac:dyDescent="0.2">
      <c r="DO15842" s="303" t="s">
        <v>232</v>
      </c>
    </row>
    <row r="15843" spans="119:119" x14ac:dyDescent="0.2">
      <c r="DO15843" s="303" t="s">
        <v>232</v>
      </c>
    </row>
    <row r="15844" spans="119:119" x14ac:dyDescent="0.2">
      <c r="DO15844" s="303" t="s">
        <v>232</v>
      </c>
    </row>
    <row r="15845" spans="119:119" x14ac:dyDescent="0.2">
      <c r="DO15845" s="303" t="s">
        <v>232</v>
      </c>
    </row>
    <row r="15846" spans="119:119" x14ac:dyDescent="0.2">
      <c r="DO15846" s="303" t="s">
        <v>232</v>
      </c>
    </row>
    <row r="15847" spans="119:119" x14ac:dyDescent="0.2">
      <c r="DO15847" s="303" t="s">
        <v>232</v>
      </c>
    </row>
    <row r="15848" spans="119:119" x14ac:dyDescent="0.2">
      <c r="DO15848" s="303" t="s">
        <v>232</v>
      </c>
    </row>
    <row r="15849" spans="119:119" x14ac:dyDescent="0.2">
      <c r="DO15849" s="303" t="s">
        <v>232</v>
      </c>
    </row>
    <row r="15850" spans="119:119" x14ac:dyDescent="0.2">
      <c r="DO15850" s="303" t="s">
        <v>232</v>
      </c>
    </row>
    <row r="15851" spans="119:119" x14ac:dyDescent="0.2">
      <c r="DO15851" s="303" t="s">
        <v>232</v>
      </c>
    </row>
    <row r="15852" spans="119:119" x14ac:dyDescent="0.2">
      <c r="DO15852" s="303" t="s">
        <v>232</v>
      </c>
    </row>
    <row r="15853" spans="119:119" x14ac:dyDescent="0.2">
      <c r="DO15853" s="303" t="s">
        <v>232</v>
      </c>
    </row>
    <row r="15854" spans="119:119" x14ac:dyDescent="0.2">
      <c r="DO15854" s="303" t="s">
        <v>232</v>
      </c>
    </row>
    <row r="15855" spans="119:119" x14ac:dyDescent="0.2">
      <c r="DO15855" s="303" t="s">
        <v>232</v>
      </c>
    </row>
    <row r="15856" spans="119:119" x14ac:dyDescent="0.2">
      <c r="DO15856" s="303" t="s">
        <v>232</v>
      </c>
    </row>
    <row r="15857" spans="119:119" x14ac:dyDescent="0.2">
      <c r="DO15857" s="303" t="s">
        <v>232</v>
      </c>
    </row>
    <row r="15858" spans="119:119" x14ac:dyDescent="0.2">
      <c r="DO15858" s="303" t="s">
        <v>232</v>
      </c>
    </row>
    <row r="15859" spans="119:119" x14ac:dyDescent="0.2">
      <c r="DO15859" s="303" t="s">
        <v>232</v>
      </c>
    </row>
    <row r="15860" spans="119:119" x14ac:dyDescent="0.2">
      <c r="DO15860" s="303" t="s">
        <v>232</v>
      </c>
    </row>
    <row r="15861" spans="119:119" x14ac:dyDescent="0.2">
      <c r="DO15861" s="303" t="s">
        <v>232</v>
      </c>
    </row>
    <row r="15862" spans="119:119" x14ac:dyDescent="0.2">
      <c r="DO15862" s="303" t="s">
        <v>232</v>
      </c>
    </row>
    <row r="15863" spans="119:119" x14ac:dyDescent="0.2">
      <c r="DO15863" s="303" t="s">
        <v>232</v>
      </c>
    </row>
    <row r="15864" spans="119:119" x14ac:dyDescent="0.2">
      <c r="DO15864" s="303" t="s">
        <v>232</v>
      </c>
    </row>
    <row r="15865" spans="119:119" x14ac:dyDescent="0.2">
      <c r="DO15865" s="303" t="s">
        <v>232</v>
      </c>
    </row>
    <row r="15866" spans="119:119" x14ac:dyDescent="0.2">
      <c r="DO15866" s="303" t="s">
        <v>232</v>
      </c>
    </row>
    <row r="15867" spans="119:119" x14ac:dyDescent="0.2">
      <c r="DO15867" s="303" t="s">
        <v>232</v>
      </c>
    </row>
    <row r="15868" spans="119:119" x14ac:dyDescent="0.2">
      <c r="DO15868" s="303" t="s">
        <v>232</v>
      </c>
    </row>
    <row r="15869" spans="119:119" x14ac:dyDescent="0.2">
      <c r="DO15869" s="303" t="s">
        <v>232</v>
      </c>
    </row>
    <row r="15870" spans="119:119" x14ac:dyDescent="0.2">
      <c r="DO15870" s="303" t="s">
        <v>232</v>
      </c>
    </row>
    <row r="15871" spans="119:119" x14ac:dyDescent="0.2">
      <c r="DO15871" s="303" t="s">
        <v>232</v>
      </c>
    </row>
    <row r="15872" spans="119:119" x14ac:dyDescent="0.2">
      <c r="DO15872" s="303" t="s">
        <v>232</v>
      </c>
    </row>
    <row r="15873" spans="119:119" x14ac:dyDescent="0.2">
      <c r="DO15873" s="303" t="s">
        <v>232</v>
      </c>
    </row>
    <row r="15874" spans="119:119" x14ac:dyDescent="0.2">
      <c r="DO15874" s="303" t="s">
        <v>232</v>
      </c>
    </row>
    <row r="15875" spans="119:119" x14ac:dyDescent="0.2">
      <c r="DO15875" s="303" t="s">
        <v>232</v>
      </c>
    </row>
    <row r="15876" spans="119:119" x14ac:dyDescent="0.2">
      <c r="DO15876" s="303" t="s">
        <v>232</v>
      </c>
    </row>
    <row r="15877" spans="119:119" x14ac:dyDescent="0.2">
      <c r="DO15877" s="303" t="s">
        <v>232</v>
      </c>
    </row>
    <row r="15878" spans="119:119" x14ac:dyDescent="0.2">
      <c r="DO15878" s="303" t="s">
        <v>232</v>
      </c>
    </row>
    <row r="15879" spans="119:119" x14ac:dyDescent="0.2">
      <c r="DO15879" s="303" t="s">
        <v>232</v>
      </c>
    </row>
    <row r="15880" spans="119:119" x14ac:dyDescent="0.2">
      <c r="DO15880" s="303" t="s">
        <v>232</v>
      </c>
    </row>
    <row r="15881" spans="119:119" x14ac:dyDescent="0.2">
      <c r="DO15881" s="303" t="s">
        <v>232</v>
      </c>
    </row>
    <row r="15882" spans="119:119" x14ac:dyDescent="0.2">
      <c r="DO15882" s="303" t="s">
        <v>232</v>
      </c>
    </row>
    <row r="15883" spans="119:119" x14ac:dyDescent="0.2">
      <c r="DO15883" s="303" t="s">
        <v>232</v>
      </c>
    </row>
    <row r="15884" spans="119:119" x14ac:dyDescent="0.2">
      <c r="DO15884" s="303" t="s">
        <v>232</v>
      </c>
    </row>
    <row r="15885" spans="119:119" x14ac:dyDescent="0.2">
      <c r="DO15885" s="303" t="s">
        <v>232</v>
      </c>
    </row>
    <row r="15886" spans="119:119" x14ac:dyDescent="0.2">
      <c r="DO15886" s="303" t="s">
        <v>232</v>
      </c>
    </row>
    <row r="15887" spans="119:119" x14ac:dyDescent="0.2">
      <c r="DO15887" s="303" t="s">
        <v>232</v>
      </c>
    </row>
    <row r="15888" spans="119:119" x14ac:dyDescent="0.2">
      <c r="DO15888" s="303" t="s">
        <v>232</v>
      </c>
    </row>
    <row r="15889" spans="119:119" x14ac:dyDescent="0.2">
      <c r="DO15889" s="303" t="s">
        <v>232</v>
      </c>
    </row>
    <row r="15890" spans="119:119" x14ac:dyDescent="0.2">
      <c r="DO15890" s="303" t="s">
        <v>232</v>
      </c>
    </row>
    <row r="15891" spans="119:119" x14ac:dyDescent="0.2">
      <c r="DO15891" s="303" t="s">
        <v>232</v>
      </c>
    </row>
    <row r="15892" spans="119:119" x14ac:dyDescent="0.2">
      <c r="DO15892" s="303" t="s">
        <v>232</v>
      </c>
    </row>
    <row r="15893" spans="119:119" x14ac:dyDescent="0.2">
      <c r="DO15893" s="303" t="s">
        <v>232</v>
      </c>
    </row>
    <row r="15894" spans="119:119" x14ac:dyDescent="0.2">
      <c r="DO15894" s="303" t="s">
        <v>232</v>
      </c>
    </row>
    <row r="15895" spans="119:119" x14ac:dyDescent="0.2">
      <c r="DO15895" s="303" t="s">
        <v>232</v>
      </c>
    </row>
    <row r="15896" spans="119:119" x14ac:dyDescent="0.2">
      <c r="DO15896" s="303" t="s">
        <v>232</v>
      </c>
    </row>
    <row r="15897" spans="119:119" x14ac:dyDescent="0.2">
      <c r="DO15897" s="303" t="s">
        <v>232</v>
      </c>
    </row>
    <row r="15898" spans="119:119" x14ac:dyDescent="0.2">
      <c r="DO15898" s="303" t="s">
        <v>232</v>
      </c>
    </row>
    <row r="15899" spans="119:119" x14ac:dyDescent="0.2">
      <c r="DO15899" s="303" t="s">
        <v>232</v>
      </c>
    </row>
    <row r="15900" spans="119:119" x14ac:dyDescent="0.2">
      <c r="DO15900" s="303" t="s">
        <v>232</v>
      </c>
    </row>
    <row r="15901" spans="119:119" x14ac:dyDescent="0.2">
      <c r="DO15901" s="303" t="s">
        <v>232</v>
      </c>
    </row>
    <row r="15902" spans="119:119" x14ac:dyDescent="0.2">
      <c r="DO15902" s="303" t="s">
        <v>232</v>
      </c>
    </row>
    <row r="15903" spans="119:119" x14ac:dyDescent="0.2">
      <c r="DO15903" s="303" t="s">
        <v>232</v>
      </c>
    </row>
    <row r="15904" spans="119:119" x14ac:dyDescent="0.2">
      <c r="DO15904" s="303" t="s">
        <v>232</v>
      </c>
    </row>
    <row r="15905" spans="119:119" x14ac:dyDescent="0.2">
      <c r="DO15905" s="303" t="s">
        <v>232</v>
      </c>
    </row>
    <row r="15906" spans="119:119" x14ac:dyDescent="0.2">
      <c r="DO15906" s="303" t="s">
        <v>232</v>
      </c>
    </row>
    <row r="15907" spans="119:119" x14ac:dyDescent="0.2">
      <c r="DO15907" s="303" t="s">
        <v>232</v>
      </c>
    </row>
    <row r="15908" spans="119:119" x14ac:dyDescent="0.2">
      <c r="DO15908" s="303" t="s">
        <v>232</v>
      </c>
    </row>
    <row r="15909" spans="119:119" x14ac:dyDescent="0.2">
      <c r="DO15909" s="303" t="s">
        <v>232</v>
      </c>
    </row>
    <row r="15910" spans="119:119" x14ac:dyDescent="0.2">
      <c r="DO15910" s="303" t="s">
        <v>232</v>
      </c>
    </row>
    <row r="15911" spans="119:119" x14ac:dyDescent="0.2">
      <c r="DO15911" s="303" t="s">
        <v>232</v>
      </c>
    </row>
    <row r="15912" spans="119:119" x14ac:dyDescent="0.2">
      <c r="DO15912" s="303" t="s">
        <v>232</v>
      </c>
    </row>
    <row r="15913" spans="119:119" x14ac:dyDescent="0.2">
      <c r="DO15913" s="303" t="s">
        <v>232</v>
      </c>
    </row>
    <row r="15914" spans="119:119" x14ac:dyDescent="0.2">
      <c r="DO15914" s="303" t="s">
        <v>232</v>
      </c>
    </row>
    <row r="15915" spans="119:119" x14ac:dyDescent="0.2">
      <c r="DO15915" s="303" t="s">
        <v>232</v>
      </c>
    </row>
    <row r="15916" spans="119:119" x14ac:dyDescent="0.2">
      <c r="DO15916" s="303" t="s">
        <v>232</v>
      </c>
    </row>
    <row r="15917" spans="119:119" x14ac:dyDescent="0.2">
      <c r="DO15917" s="303" t="s">
        <v>232</v>
      </c>
    </row>
    <row r="15918" spans="119:119" x14ac:dyDescent="0.2">
      <c r="DO15918" s="303" t="s">
        <v>232</v>
      </c>
    </row>
    <row r="15919" spans="119:119" x14ac:dyDescent="0.2">
      <c r="DO15919" s="303" t="s">
        <v>232</v>
      </c>
    </row>
    <row r="15920" spans="119:119" x14ac:dyDescent="0.2">
      <c r="DO15920" s="303" t="s">
        <v>232</v>
      </c>
    </row>
    <row r="15921" spans="119:119" x14ac:dyDescent="0.2">
      <c r="DO15921" s="303" t="s">
        <v>232</v>
      </c>
    </row>
    <row r="15922" spans="119:119" x14ac:dyDescent="0.2">
      <c r="DO15922" s="303" t="s">
        <v>232</v>
      </c>
    </row>
    <row r="15923" spans="119:119" x14ac:dyDescent="0.2">
      <c r="DO15923" s="303" t="s">
        <v>232</v>
      </c>
    </row>
    <row r="15924" spans="119:119" x14ac:dyDescent="0.2">
      <c r="DO15924" s="303" t="s">
        <v>232</v>
      </c>
    </row>
    <row r="15925" spans="119:119" x14ac:dyDescent="0.2">
      <c r="DO15925" s="303" t="s">
        <v>232</v>
      </c>
    </row>
    <row r="15926" spans="119:119" x14ac:dyDescent="0.2">
      <c r="DO15926" s="303" t="s">
        <v>232</v>
      </c>
    </row>
    <row r="15927" spans="119:119" x14ac:dyDescent="0.2">
      <c r="DO15927" s="303" t="s">
        <v>232</v>
      </c>
    </row>
    <row r="15928" spans="119:119" x14ac:dyDescent="0.2">
      <c r="DO15928" s="303" t="s">
        <v>232</v>
      </c>
    </row>
    <row r="15929" spans="119:119" x14ac:dyDescent="0.2">
      <c r="DO15929" s="303" t="s">
        <v>232</v>
      </c>
    </row>
    <row r="15930" spans="119:119" x14ac:dyDescent="0.2">
      <c r="DO15930" s="303" t="s">
        <v>232</v>
      </c>
    </row>
    <row r="15931" spans="119:119" x14ac:dyDescent="0.2">
      <c r="DO15931" s="303" t="s">
        <v>232</v>
      </c>
    </row>
    <row r="15932" spans="119:119" x14ac:dyDescent="0.2">
      <c r="DO15932" s="303" t="s">
        <v>232</v>
      </c>
    </row>
    <row r="15933" spans="119:119" x14ac:dyDescent="0.2">
      <c r="DO15933" s="303" t="s">
        <v>232</v>
      </c>
    </row>
    <row r="15934" spans="119:119" x14ac:dyDescent="0.2">
      <c r="DO15934" s="303" t="s">
        <v>232</v>
      </c>
    </row>
    <row r="15935" spans="119:119" x14ac:dyDescent="0.2">
      <c r="DO15935" s="303" t="s">
        <v>232</v>
      </c>
    </row>
    <row r="15936" spans="119:119" x14ac:dyDescent="0.2">
      <c r="DO15936" s="303" t="s">
        <v>232</v>
      </c>
    </row>
    <row r="15937" spans="119:119" x14ac:dyDescent="0.2">
      <c r="DO15937" s="303" t="s">
        <v>232</v>
      </c>
    </row>
    <row r="15938" spans="119:119" x14ac:dyDescent="0.2">
      <c r="DO15938" s="303" t="s">
        <v>232</v>
      </c>
    </row>
    <row r="15939" spans="119:119" x14ac:dyDescent="0.2">
      <c r="DO15939" s="303" t="s">
        <v>232</v>
      </c>
    </row>
    <row r="15940" spans="119:119" x14ac:dyDescent="0.2">
      <c r="DO15940" s="303" t="s">
        <v>232</v>
      </c>
    </row>
    <row r="15941" spans="119:119" x14ac:dyDescent="0.2">
      <c r="DO15941" s="303" t="s">
        <v>232</v>
      </c>
    </row>
    <row r="15942" spans="119:119" x14ac:dyDescent="0.2">
      <c r="DO15942" s="303" t="s">
        <v>232</v>
      </c>
    </row>
    <row r="15943" spans="119:119" x14ac:dyDescent="0.2">
      <c r="DO15943" s="303" t="s">
        <v>232</v>
      </c>
    </row>
    <row r="15944" spans="119:119" x14ac:dyDescent="0.2">
      <c r="DO15944" s="303" t="s">
        <v>232</v>
      </c>
    </row>
    <row r="15945" spans="119:119" x14ac:dyDescent="0.2">
      <c r="DO15945" s="303" t="s">
        <v>232</v>
      </c>
    </row>
    <row r="15946" spans="119:119" x14ac:dyDescent="0.2">
      <c r="DO15946" s="303" t="s">
        <v>232</v>
      </c>
    </row>
    <row r="15947" spans="119:119" x14ac:dyDescent="0.2">
      <c r="DO15947" s="303" t="s">
        <v>232</v>
      </c>
    </row>
    <row r="15948" spans="119:119" x14ac:dyDescent="0.2">
      <c r="DO15948" s="303" t="s">
        <v>232</v>
      </c>
    </row>
    <row r="15949" spans="119:119" x14ac:dyDescent="0.2">
      <c r="DO15949" s="303" t="s">
        <v>232</v>
      </c>
    </row>
    <row r="15950" spans="119:119" x14ac:dyDescent="0.2">
      <c r="DO15950" s="303" t="s">
        <v>232</v>
      </c>
    </row>
    <row r="15951" spans="119:119" x14ac:dyDescent="0.2">
      <c r="DO15951" s="303" t="s">
        <v>232</v>
      </c>
    </row>
    <row r="15952" spans="119:119" x14ac:dyDescent="0.2">
      <c r="DO15952" s="303" t="s">
        <v>232</v>
      </c>
    </row>
    <row r="15953" spans="119:119" x14ac:dyDescent="0.2">
      <c r="DO15953" s="303" t="s">
        <v>232</v>
      </c>
    </row>
    <row r="15954" spans="119:119" x14ac:dyDescent="0.2">
      <c r="DO15954" s="303" t="s">
        <v>232</v>
      </c>
    </row>
    <row r="15955" spans="119:119" x14ac:dyDescent="0.2">
      <c r="DO15955" s="303" t="s">
        <v>232</v>
      </c>
    </row>
    <row r="15956" spans="119:119" x14ac:dyDescent="0.2">
      <c r="DO15956" s="303" t="s">
        <v>232</v>
      </c>
    </row>
    <row r="15957" spans="119:119" x14ac:dyDescent="0.2">
      <c r="DO15957" s="303" t="s">
        <v>232</v>
      </c>
    </row>
    <row r="15958" spans="119:119" x14ac:dyDescent="0.2">
      <c r="DO15958" s="303" t="s">
        <v>232</v>
      </c>
    </row>
    <row r="15959" spans="119:119" x14ac:dyDescent="0.2">
      <c r="DO15959" s="303" t="s">
        <v>232</v>
      </c>
    </row>
    <row r="15960" spans="119:119" x14ac:dyDescent="0.2">
      <c r="DO15960" s="303" t="s">
        <v>232</v>
      </c>
    </row>
    <row r="15961" spans="119:119" x14ac:dyDescent="0.2">
      <c r="DO15961" s="303" t="s">
        <v>232</v>
      </c>
    </row>
    <row r="15962" spans="119:119" x14ac:dyDescent="0.2">
      <c r="DO15962" s="303" t="s">
        <v>232</v>
      </c>
    </row>
    <row r="15963" spans="119:119" x14ac:dyDescent="0.2">
      <c r="DO15963" s="303" t="s">
        <v>232</v>
      </c>
    </row>
    <row r="15964" spans="119:119" x14ac:dyDescent="0.2">
      <c r="DO15964" s="303" t="s">
        <v>232</v>
      </c>
    </row>
    <row r="15965" spans="119:119" x14ac:dyDescent="0.2">
      <c r="DO15965" s="303" t="s">
        <v>232</v>
      </c>
    </row>
    <row r="15966" spans="119:119" x14ac:dyDescent="0.2">
      <c r="DO15966" s="303" t="s">
        <v>232</v>
      </c>
    </row>
    <row r="15967" spans="119:119" x14ac:dyDescent="0.2">
      <c r="DO15967" s="303" t="s">
        <v>232</v>
      </c>
    </row>
    <row r="15968" spans="119:119" x14ac:dyDescent="0.2">
      <c r="DO15968" s="303" t="s">
        <v>232</v>
      </c>
    </row>
    <row r="15969" spans="119:119" x14ac:dyDescent="0.2">
      <c r="DO15969" s="303" t="s">
        <v>232</v>
      </c>
    </row>
    <row r="15970" spans="119:119" x14ac:dyDescent="0.2">
      <c r="DO15970" s="303" t="s">
        <v>232</v>
      </c>
    </row>
    <row r="15971" spans="119:119" x14ac:dyDescent="0.2">
      <c r="DO15971" s="303" t="s">
        <v>232</v>
      </c>
    </row>
    <row r="15972" spans="119:119" x14ac:dyDescent="0.2">
      <c r="DO15972" s="303" t="s">
        <v>232</v>
      </c>
    </row>
    <row r="15973" spans="119:119" x14ac:dyDescent="0.2">
      <c r="DO15973" s="303" t="s">
        <v>232</v>
      </c>
    </row>
    <row r="15974" spans="119:119" x14ac:dyDescent="0.2">
      <c r="DO15974" s="303" t="s">
        <v>232</v>
      </c>
    </row>
    <row r="15975" spans="119:119" x14ac:dyDescent="0.2">
      <c r="DO15975" s="303" t="s">
        <v>232</v>
      </c>
    </row>
    <row r="15976" spans="119:119" x14ac:dyDescent="0.2">
      <c r="DO15976" s="303" t="s">
        <v>232</v>
      </c>
    </row>
    <row r="15977" spans="119:119" x14ac:dyDescent="0.2">
      <c r="DO15977" s="303" t="s">
        <v>232</v>
      </c>
    </row>
    <row r="15978" spans="119:119" x14ac:dyDescent="0.2">
      <c r="DO15978" s="303" t="s">
        <v>232</v>
      </c>
    </row>
    <row r="15979" spans="119:119" x14ac:dyDescent="0.2">
      <c r="DO15979" s="303" t="s">
        <v>232</v>
      </c>
    </row>
    <row r="15980" spans="119:119" x14ac:dyDescent="0.2">
      <c r="DO15980" s="303" t="s">
        <v>232</v>
      </c>
    </row>
    <row r="15981" spans="119:119" x14ac:dyDescent="0.2">
      <c r="DO15981" s="303" t="s">
        <v>232</v>
      </c>
    </row>
    <row r="15982" spans="119:119" x14ac:dyDescent="0.2">
      <c r="DO15982" s="303" t="s">
        <v>232</v>
      </c>
    </row>
    <row r="15983" spans="119:119" x14ac:dyDescent="0.2">
      <c r="DO15983" s="303" t="s">
        <v>232</v>
      </c>
    </row>
    <row r="15984" spans="119:119" x14ac:dyDescent="0.2">
      <c r="DO15984" s="303" t="s">
        <v>232</v>
      </c>
    </row>
    <row r="15985" spans="119:119" x14ac:dyDescent="0.2">
      <c r="DO15985" s="303" t="s">
        <v>232</v>
      </c>
    </row>
    <row r="15986" spans="119:119" x14ac:dyDescent="0.2">
      <c r="DO15986" s="303" t="s">
        <v>232</v>
      </c>
    </row>
    <row r="15987" spans="119:119" x14ac:dyDescent="0.2">
      <c r="DO15987" s="303" t="s">
        <v>232</v>
      </c>
    </row>
    <row r="15988" spans="119:119" x14ac:dyDescent="0.2">
      <c r="DO15988" s="303" t="s">
        <v>232</v>
      </c>
    </row>
    <row r="15989" spans="119:119" x14ac:dyDescent="0.2">
      <c r="DO15989" s="303" t="s">
        <v>232</v>
      </c>
    </row>
    <row r="15990" spans="119:119" x14ac:dyDescent="0.2">
      <c r="DO15990" s="303" t="s">
        <v>232</v>
      </c>
    </row>
    <row r="15991" spans="119:119" x14ac:dyDescent="0.2">
      <c r="DO15991" s="303" t="s">
        <v>232</v>
      </c>
    </row>
    <row r="15992" spans="119:119" x14ac:dyDescent="0.2">
      <c r="DO15992" s="303" t="s">
        <v>232</v>
      </c>
    </row>
    <row r="15993" spans="119:119" x14ac:dyDescent="0.2">
      <c r="DO15993" s="303" t="s">
        <v>232</v>
      </c>
    </row>
    <row r="15994" spans="119:119" x14ac:dyDescent="0.2">
      <c r="DO15994" s="303" t="s">
        <v>232</v>
      </c>
    </row>
    <row r="15995" spans="119:119" x14ac:dyDescent="0.2">
      <c r="DO15995" s="303" t="s">
        <v>232</v>
      </c>
    </row>
    <row r="15996" spans="119:119" x14ac:dyDescent="0.2">
      <c r="DO15996" s="303" t="s">
        <v>232</v>
      </c>
    </row>
    <row r="15997" spans="119:119" x14ac:dyDescent="0.2">
      <c r="DO15997" s="303" t="s">
        <v>232</v>
      </c>
    </row>
    <row r="15998" spans="119:119" x14ac:dyDescent="0.2">
      <c r="DO15998" s="303" t="s">
        <v>232</v>
      </c>
    </row>
    <row r="15999" spans="119:119" x14ac:dyDescent="0.2">
      <c r="DO15999" s="303" t="s">
        <v>232</v>
      </c>
    </row>
    <row r="16000" spans="119:119" x14ac:dyDescent="0.2">
      <c r="DO16000" s="303" t="s">
        <v>232</v>
      </c>
    </row>
    <row r="16001" spans="119:119" x14ac:dyDescent="0.2">
      <c r="DO16001" s="303" t="s">
        <v>232</v>
      </c>
    </row>
    <row r="16002" spans="119:119" x14ac:dyDescent="0.2">
      <c r="DO16002" s="303" t="s">
        <v>232</v>
      </c>
    </row>
    <row r="16003" spans="119:119" x14ac:dyDescent="0.2">
      <c r="DO16003" s="303" t="s">
        <v>232</v>
      </c>
    </row>
    <row r="16004" spans="119:119" x14ac:dyDescent="0.2">
      <c r="DO16004" s="303" t="s">
        <v>232</v>
      </c>
    </row>
    <row r="16005" spans="119:119" x14ac:dyDescent="0.2">
      <c r="DO16005" s="303" t="s">
        <v>232</v>
      </c>
    </row>
    <row r="16006" spans="119:119" x14ac:dyDescent="0.2">
      <c r="DO16006" s="303" t="s">
        <v>232</v>
      </c>
    </row>
    <row r="16007" spans="119:119" x14ac:dyDescent="0.2">
      <c r="DO16007" s="303" t="s">
        <v>232</v>
      </c>
    </row>
    <row r="16008" spans="119:119" x14ac:dyDescent="0.2">
      <c r="DO16008" s="303" t="s">
        <v>232</v>
      </c>
    </row>
    <row r="16009" spans="119:119" x14ac:dyDescent="0.2">
      <c r="DO16009" s="303" t="s">
        <v>232</v>
      </c>
    </row>
    <row r="16010" spans="119:119" x14ac:dyDescent="0.2">
      <c r="DO16010" s="303" t="s">
        <v>232</v>
      </c>
    </row>
    <row r="16011" spans="119:119" x14ac:dyDescent="0.2">
      <c r="DO16011" s="303" t="s">
        <v>232</v>
      </c>
    </row>
    <row r="16012" spans="119:119" x14ac:dyDescent="0.2">
      <c r="DO16012" s="303" t="s">
        <v>232</v>
      </c>
    </row>
    <row r="16013" spans="119:119" x14ac:dyDescent="0.2">
      <c r="DO16013" s="303" t="s">
        <v>232</v>
      </c>
    </row>
    <row r="16014" spans="119:119" x14ac:dyDescent="0.2">
      <c r="DO16014" s="303" t="s">
        <v>232</v>
      </c>
    </row>
    <row r="16015" spans="119:119" x14ac:dyDescent="0.2">
      <c r="DO16015" s="303" t="s">
        <v>232</v>
      </c>
    </row>
    <row r="16016" spans="119:119" x14ac:dyDescent="0.2">
      <c r="DO16016" s="303" t="s">
        <v>232</v>
      </c>
    </row>
    <row r="16017" spans="119:119" x14ac:dyDescent="0.2">
      <c r="DO16017" s="303" t="s">
        <v>232</v>
      </c>
    </row>
    <row r="16018" spans="119:119" x14ac:dyDescent="0.2">
      <c r="DO16018" s="303" t="s">
        <v>232</v>
      </c>
    </row>
    <row r="16019" spans="119:119" x14ac:dyDescent="0.2">
      <c r="DO16019" s="303" t="s">
        <v>232</v>
      </c>
    </row>
    <row r="16020" spans="119:119" x14ac:dyDescent="0.2">
      <c r="DO16020" s="303" t="s">
        <v>232</v>
      </c>
    </row>
    <row r="16021" spans="119:119" x14ac:dyDescent="0.2">
      <c r="DO16021" s="303" t="s">
        <v>232</v>
      </c>
    </row>
    <row r="16022" spans="119:119" x14ac:dyDescent="0.2">
      <c r="DO16022" s="303" t="s">
        <v>232</v>
      </c>
    </row>
    <row r="16023" spans="119:119" x14ac:dyDescent="0.2">
      <c r="DO16023" s="303" t="s">
        <v>232</v>
      </c>
    </row>
    <row r="16024" spans="119:119" x14ac:dyDescent="0.2">
      <c r="DO16024" s="303" t="s">
        <v>232</v>
      </c>
    </row>
    <row r="16025" spans="119:119" x14ac:dyDescent="0.2">
      <c r="DO16025" s="303" t="s">
        <v>232</v>
      </c>
    </row>
    <row r="16026" spans="119:119" x14ac:dyDescent="0.2">
      <c r="DO16026" s="303" t="s">
        <v>232</v>
      </c>
    </row>
    <row r="16027" spans="119:119" x14ac:dyDescent="0.2">
      <c r="DO16027" s="303" t="s">
        <v>232</v>
      </c>
    </row>
    <row r="16028" spans="119:119" x14ac:dyDescent="0.2">
      <c r="DO16028" s="303" t="s">
        <v>232</v>
      </c>
    </row>
    <row r="16029" spans="119:119" x14ac:dyDescent="0.2">
      <c r="DO16029" s="303" t="s">
        <v>232</v>
      </c>
    </row>
    <row r="16030" spans="119:119" x14ac:dyDescent="0.2">
      <c r="DO16030" s="303" t="s">
        <v>232</v>
      </c>
    </row>
    <row r="16031" spans="119:119" x14ac:dyDescent="0.2">
      <c r="DO16031" s="303" t="s">
        <v>232</v>
      </c>
    </row>
    <row r="16032" spans="119:119" x14ac:dyDescent="0.2">
      <c r="DO16032" s="303" t="s">
        <v>232</v>
      </c>
    </row>
    <row r="16033" spans="119:119" x14ac:dyDescent="0.2">
      <c r="DO16033" s="303" t="s">
        <v>232</v>
      </c>
    </row>
    <row r="16034" spans="119:119" x14ac:dyDescent="0.2">
      <c r="DO16034" s="303" t="s">
        <v>232</v>
      </c>
    </row>
    <row r="16035" spans="119:119" x14ac:dyDescent="0.2">
      <c r="DO16035" s="303" t="s">
        <v>232</v>
      </c>
    </row>
    <row r="16036" spans="119:119" x14ac:dyDescent="0.2">
      <c r="DO16036" s="303" t="s">
        <v>232</v>
      </c>
    </row>
    <row r="16037" spans="119:119" x14ac:dyDescent="0.2">
      <c r="DO16037" s="303" t="s">
        <v>232</v>
      </c>
    </row>
    <row r="16038" spans="119:119" x14ac:dyDescent="0.2">
      <c r="DO16038" s="303" t="s">
        <v>232</v>
      </c>
    </row>
    <row r="16039" spans="119:119" x14ac:dyDescent="0.2">
      <c r="DO16039" s="303" t="s">
        <v>232</v>
      </c>
    </row>
    <row r="16040" spans="119:119" x14ac:dyDescent="0.2">
      <c r="DO16040" s="303" t="s">
        <v>232</v>
      </c>
    </row>
    <row r="16041" spans="119:119" x14ac:dyDescent="0.2">
      <c r="DO16041" s="303" t="s">
        <v>232</v>
      </c>
    </row>
    <row r="16042" spans="119:119" x14ac:dyDescent="0.2">
      <c r="DO16042" s="303" t="s">
        <v>232</v>
      </c>
    </row>
    <row r="16043" spans="119:119" x14ac:dyDescent="0.2">
      <c r="DO16043" s="303" t="s">
        <v>232</v>
      </c>
    </row>
    <row r="16044" spans="119:119" x14ac:dyDescent="0.2">
      <c r="DO16044" s="303" t="s">
        <v>232</v>
      </c>
    </row>
    <row r="16045" spans="119:119" x14ac:dyDescent="0.2">
      <c r="DO16045" s="303" t="s">
        <v>232</v>
      </c>
    </row>
    <row r="16046" spans="119:119" x14ac:dyDescent="0.2">
      <c r="DO16046" s="303" t="s">
        <v>232</v>
      </c>
    </row>
    <row r="16047" spans="119:119" x14ac:dyDescent="0.2">
      <c r="DO16047" s="303" t="s">
        <v>232</v>
      </c>
    </row>
    <row r="16048" spans="119:119" x14ac:dyDescent="0.2">
      <c r="DO16048" s="303" t="s">
        <v>232</v>
      </c>
    </row>
    <row r="16049" spans="119:119" x14ac:dyDescent="0.2">
      <c r="DO16049" s="303" t="s">
        <v>232</v>
      </c>
    </row>
    <row r="16050" spans="119:119" x14ac:dyDescent="0.2">
      <c r="DO16050" s="303" t="s">
        <v>232</v>
      </c>
    </row>
    <row r="16051" spans="119:119" x14ac:dyDescent="0.2">
      <c r="DO16051" s="303" t="s">
        <v>232</v>
      </c>
    </row>
    <row r="16052" spans="119:119" x14ac:dyDescent="0.2">
      <c r="DO16052" s="303" t="s">
        <v>232</v>
      </c>
    </row>
    <row r="16053" spans="119:119" x14ac:dyDescent="0.2">
      <c r="DO16053" s="303" t="s">
        <v>232</v>
      </c>
    </row>
    <row r="16054" spans="119:119" x14ac:dyDescent="0.2">
      <c r="DO16054" s="303" t="s">
        <v>232</v>
      </c>
    </row>
    <row r="16055" spans="119:119" x14ac:dyDescent="0.2">
      <c r="DO16055" s="303" t="s">
        <v>232</v>
      </c>
    </row>
    <row r="16056" spans="119:119" x14ac:dyDescent="0.2">
      <c r="DO16056" s="303" t="s">
        <v>232</v>
      </c>
    </row>
    <row r="16057" spans="119:119" x14ac:dyDescent="0.2">
      <c r="DO16057" s="303" t="s">
        <v>232</v>
      </c>
    </row>
    <row r="16058" spans="119:119" x14ac:dyDescent="0.2">
      <c r="DO16058" s="303" t="s">
        <v>232</v>
      </c>
    </row>
    <row r="16059" spans="119:119" x14ac:dyDescent="0.2">
      <c r="DO16059" s="303" t="s">
        <v>232</v>
      </c>
    </row>
    <row r="16060" spans="119:119" x14ac:dyDescent="0.2">
      <c r="DO16060" s="303" t="s">
        <v>232</v>
      </c>
    </row>
    <row r="16061" spans="119:119" x14ac:dyDescent="0.2">
      <c r="DO16061" s="303" t="s">
        <v>232</v>
      </c>
    </row>
    <row r="16062" spans="119:119" x14ac:dyDescent="0.2">
      <c r="DO16062" s="303" t="s">
        <v>232</v>
      </c>
    </row>
    <row r="16063" spans="119:119" x14ac:dyDescent="0.2">
      <c r="DO16063" s="303" t="s">
        <v>232</v>
      </c>
    </row>
    <row r="16064" spans="119:119" x14ac:dyDescent="0.2">
      <c r="DO16064" s="303" t="s">
        <v>232</v>
      </c>
    </row>
    <row r="16065" spans="119:119" x14ac:dyDescent="0.2">
      <c r="DO16065" s="303" t="s">
        <v>232</v>
      </c>
    </row>
    <row r="16066" spans="119:119" x14ac:dyDescent="0.2">
      <c r="DO16066" s="303" t="s">
        <v>232</v>
      </c>
    </row>
    <row r="16067" spans="119:119" x14ac:dyDescent="0.2">
      <c r="DO16067" s="303" t="s">
        <v>232</v>
      </c>
    </row>
    <row r="16068" spans="119:119" x14ac:dyDescent="0.2">
      <c r="DO16068" s="303" t="s">
        <v>232</v>
      </c>
    </row>
    <row r="16069" spans="119:119" x14ac:dyDescent="0.2">
      <c r="DO16069" s="303" t="s">
        <v>232</v>
      </c>
    </row>
    <row r="16070" spans="119:119" x14ac:dyDescent="0.2">
      <c r="DO16070" s="303" t="s">
        <v>232</v>
      </c>
    </row>
    <row r="16071" spans="119:119" x14ac:dyDescent="0.2">
      <c r="DO16071" s="303" t="s">
        <v>232</v>
      </c>
    </row>
    <row r="16072" spans="119:119" x14ac:dyDescent="0.2">
      <c r="DO16072" s="303" t="s">
        <v>232</v>
      </c>
    </row>
    <row r="16073" spans="119:119" x14ac:dyDescent="0.2">
      <c r="DO16073" s="303" t="s">
        <v>232</v>
      </c>
    </row>
    <row r="16074" spans="119:119" x14ac:dyDescent="0.2">
      <c r="DO16074" s="303" t="s">
        <v>232</v>
      </c>
    </row>
    <row r="16075" spans="119:119" x14ac:dyDescent="0.2">
      <c r="DO16075" s="303" t="s">
        <v>232</v>
      </c>
    </row>
    <row r="16076" spans="119:119" x14ac:dyDescent="0.2">
      <c r="DO16076" s="303" t="s">
        <v>232</v>
      </c>
    </row>
    <row r="16077" spans="119:119" x14ac:dyDescent="0.2">
      <c r="DO16077" s="303" t="s">
        <v>232</v>
      </c>
    </row>
    <row r="16078" spans="119:119" x14ac:dyDescent="0.2">
      <c r="DO16078" s="303" t="s">
        <v>232</v>
      </c>
    </row>
    <row r="16079" spans="119:119" x14ac:dyDescent="0.2">
      <c r="DO16079" s="303" t="s">
        <v>232</v>
      </c>
    </row>
    <row r="16080" spans="119:119" x14ac:dyDescent="0.2">
      <c r="DO16080" s="303" t="s">
        <v>232</v>
      </c>
    </row>
    <row r="16081" spans="119:119" x14ac:dyDescent="0.2">
      <c r="DO16081" s="303" t="s">
        <v>232</v>
      </c>
    </row>
    <row r="16082" spans="119:119" x14ac:dyDescent="0.2">
      <c r="DO16082" s="303" t="s">
        <v>232</v>
      </c>
    </row>
    <row r="16083" spans="119:119" x14ac:dyDescent="0.2">
      <c r="DO16083" s="303" t="s">
        <v>232</v>
      </c>
    </row>
    <row r="16084" spans="119:119" x14ac:dyDescent="0.2">
      <c r="DO16084" s="303" t="s">
        <v>232</v>
      </c>
    </row>
    <row r="16085" spans="119:119" x14ac:dyDescent="0.2">
      <c r="DO16085" s="303" t="s">
        <v>232</v>
      </c>
    </row>
    <row r="16086" spans="119:119" x14ac:dyDescent="0.2">
      <c r="DO16086" s="303" t="s">
        <v>232</v>
      </c>
    </row>
    <row r="16087" spans="119:119" x14ac:dyDescent="0.2">
      <c r="DO16087" s="303" t="s">
        <v>232</v>
      </c>
    </row>
    <row r="16088" spans="119:119" x14ac:dyDescent="0.2">
      <c r="DO16088" s="303" t="s">
        <v>232</v>
      </c>
    </row>
    <row r="16089" spans="119:119" x14ac:dyDescent="0.2">
      <c r="DO16089" s="303" t="s">
        <v>232</v>
      </c>
    </row>
    <row r="16090" spans="119:119" x14ac:dyDescent="0.2">
      <c r="DO16090" s="303" t="s">
        <v>232</v>
      </c>
    </row>
    <row r="16091" spans="119:119" x14ac:dyDescent="0.2">
      <c r="DO16091" s="303" t="s">
        <v>232</v>
      </c>
    </row>
    <row r="16092" spans="119:119" x14ac:dyDescent="0.2">
      <c r="DO16092" s="303" t="s">
        <v>232</v>
      </c>
    </row>
    <row r="16093" spans="119:119" x14ac:dyDescent="0.2">
      <c r="DO16093" s="303" t="s">
        <v>232</v>
      </c>
    </row>
    <row r="16094" spans="119:119" x14ac:dyDescent="0.2">
      <c r="DO16094" s="303" t="s">
        <v>232</v>
      </c>
    </row>
    <row r="16095" spans="119:119" x14ac:dyDescent="0.2">
      <c r="DO16095" s="303" t="s">
        <v>232</v>
      </c>
    </row>
    <row r="16096" spans="119:119" x14ac:dyDescent="0.2">
      <c r="DO16096" s="303" t="s">
        <v>232</v>
      </c>
    </row>
    <row r="16097" spans="119:119" x14ac:dyDescent="0.2">
      <c r="DO16097" s="303" t="s">
        <v>232</v>
      </c>
    </row>
    <row r="16098" spans="119:119" x14ac:dyDescent="0.2">
      <c r="DO16098" s="303" t="s">
        <v>232</v>
      </c>
    </row>
    <row r="16099" spans="119:119" x14ac:dyDescent="0.2">
      <c r="DO16099" s="303" t="s">
        <v>232</v>
      </c>
    </row>
    <row r="16100" spans="119:119" x14ac:dyDescent="0.2">
      <c r="DO16100" s="303" t="s">
        <v>232</v>
      </c>
    </row>
    <row r="16101" spans="119:119" x14ac:dyDescent="0.2">
      <c r="DO16101" s="303" t="s">
        <v>232</v>
      </c>
    </row>
    <row r="16102" spans="119:119" x14ac:dyDescent="0.2">
      <c r="DO16102" s="303" t="s">
        <v>232</v>
      </c>
    </row>
    <row r="16103" spans="119:119" x14ac:dyDescent="0.2">
      <c r="DO16103" s="303" t="s">
        <v>232</v>
      </c>
    </row>
    <row r="16104" spans="119:119" x14ac:dyDescent="0.2">
      <c r="DO16104" s="303" t="s">
        <v>232</v>
      </c>
    </row>
    <row r="16105" spans="119:119" x14ac:dyDescent="0.2">
      <c r="DO16105" s="303" t="s">
        <v>232</v>
      </c>
    </row>
    <row r="16106" spans="119:119" x14ac:dyDescent="0.2">
      <c r="DO16106" s="303" t="s">
        <v>232</v>
      </c>
    </row>
    <row r="16107" spans="119:119" x14ac:dyDescent="0.2">
      <c r="DO16107" s="303" t="s">
        <v>232</v>
      </c>
    </row>
    <row r="16108" spans="119:119" x14ac:dyDescent="0.2">
      <c r="DO16108" s="303" t="s">
        <v>232</v>
      </c>
    </row>
    <row r="16109" spans="119:119" x14ac:dyDescent="0.2">
      <c r="DO16109" s="303" t="s">
        <v>232</v>
      </c>
    </row>
    <row r="16110" spans="119:119" x14ac:dyDescent="0.2">
      <c r="DO16110" s="303" t="s">
        <v>232</v>
      </c>
    </row>
    <row r="16111" spans="119:119" x14ac:dyDescent="0.2">
      <c r="DO16111" s="303" t="s">
        <v>232</v>
      </c>
    </row>
    <row r="16112" spans="119:119" x14ac:dyDescent="0.2">
      <c r="DO16112" s="303" t="s">
        <v>232</v>
      </c>
    </row>
    <row r="16113" spans="119:119" x14ac:dyDescent="0.2">
      <c r="DO16113" s="303" t="s">
        <v>232</v>
      </c>
    </row>
    <row r="16114" spans="119:119" x14ac:dyDescent="0.2">
      <c r="DO16114" s="303" t="s">
        <v>232</v>
      </c>
    </row>
    <row r="16115" spans="119:119" x14ac:dyDescent="0.2">
      <c r="DO16115" s="303" t="s">
        <v>232</v>
      </c>
    </row>
    <row r="16116" spans="119:119" x14ac:dyDescent="0.2">
      <c r="DO16116" s="303" t="s">
        <v>232</v>
      </c>
    </row>
    <row r="16117" spans="119:119" x14ac:dyDescent="0.2">
      <c r="DO16117" s="303" t="s">
        <v>232</v>
      </c>
    </row>
    <row r="16118" spans="119:119" x14ac:dyDescent="0.2">
      <c r="DO16118" s="303" t="s">
        <v>232</v>
      </c>
    </row>
    <row r="16119" spans="119:119" x14ac:dyDescent="0.2">
      <c r="DO16119" s="303" t="s">
        <v>232</v>
      </c>
    </row>
    <row r="16120" spans="119:119" x14ac:dyDescent="0.2">
      <c r="DO16120" s="303" t="s">
        <v>232</v>
      </c>
    </row>
    <row r="16121" spans="119:119" x14ac:dyDescent="0.2">
      <c r="DO16121" s="303" t="s">
        <v>232</v>
      </c>
    </row>
    <row r="16122" spans="119:119" x14ac:dyDescent="0.2">
      <c r="DO16122" s="303" t="s">
        <v>232</v>
      </c>
    </row>
    <row r="16123" spans="119:119" x14ac:dyDescent="0.2">
      <c r="DO16123" s="303" t="s">
        <v>232</v>
      </c>
    </row>
    <row r="16124" spans="119:119" x14ac:dyDescent="0.2">
      <c r="DO16124" s="303" t="s">
        <v>232</v>
      </c>
    </row>
    <row r="16125" spans="119:119" x14ac:dyDescent="0.2">
      <c r="DO16125" s="303" t="s">
        <v>232</v>
      </c>
    </row>
    <row r="16126" spans="119:119" x14ac:dyDescent="0.2">
      <c r="DO16126" s="303" t="s">
        <v>232</v>
      </c>
    </row>
    <row r="16127" spans="119:119" x14ac:dyDescent="0.2">
      <c r="DO16127" s="303" t="s">
        <v>232</v>
      </c>
    </row>
    <row r="16128" spans="119:119" x14ac:dyDescent="0.2">
      <c r="DO16128" s="303" t="s">
        <v>232</v>
      </c>
    </row>
    <row r="16129" spans="119:119" x14ac:dyDescent="0.2">
      <c r="DO16129" s="303" t="s">
        <v>232</v>
      </c>
    </row>
    <row r="16130" spans="119:119" x14ac:dyDescent="0.2">
      <c r="DO16130" s="303" t="s">
        <v>232</v>
      </c>
    </row>
    <row r="16131" spans="119:119" x14ac:dyDescent="0.2">
      <c r="DO16131" s="303" t="s">
        <v>232</v>
      </c>
    </row>
    <row r="16132" spans="119:119" x14ac:dyDescent="0.2">
      <c r="DO16132" s="303" t="s">
        <v>232</v>
      </c>
    </row>
    <row r="16133" spans="119:119" x14ac:dyDescent="0.2">
      <c r="DO16133" s="303" t="s">
        <v>232</v>
      </c>
    </row>
    <row r="16134" spans="119:119" x14ac:dyDescent="0.2">
      <c r="DO16134" s="303" t="s">
        <v>232</v>
      </c>
    </row>
    <row r="16135" spans="119:119" x14ac:dyDescent="0.2">
      <c r="DO16135" s="303" t="s">
        <v>232</v>
      </c>
    </row>
    <row r="16136" spans="119:119" x14ac:dyDescent="0.2">
      <c r="DO16136" s="303" t="s">
        <v>232</v>
      </c>
    </row>
    <row r="16137" spans="119:119" x14ac:dyDescent="0.2">
      <c r="DO16137" s="303" t="s">
        <v>232</v>
      </c>
    </row>
    <row r="16138" spans="119:119" x14ac:dyDescent="0.2">
      <c r="DO16138" s="303" t="s">
        <v>232</v>
      </c>
    </row>
    <row r="16139" spans="119:119" x14ac:dyDescent="0.2">
      <c r="DO16139" s="303" t="s">
        <v>232</v>
      </c>
    </row>
    <row r="16140" spans="119:119" x14ac:dyDescent="0.2">
      <c r="DO16140" s="303" t="s">
        <v>232</v>
      </c>
    </row>
    <row r="16141" spans="119:119" x14ac:dyDescent="0.2">
      <c r="DO16141" s="303" t="s">
        <v>232</v>
      </c>
    </row>
    <row r="16142" spans="119:119" x14ac:dyDescent="0.2">
      <c r="DO16142" s="303" t="s">
        <v>232</v>
      </c>
    </row>
    <row r="16143" spans="119:119" x14ac:dyDescent="0.2">
      <c r="DO16143" s="303" t="s">
        <v>232</v>
      </c>
    </row>
    <row r="16144" spans="119:119" x14ac:dyDescent="0.2">
      <c r="DO16144" s="303" t="s">
        <v>232</v>
      </c>
    </row>
    <row r="16145" spans="119:119" x14ac:dyDescent="0.2">
      <c r="DO16145" s="303" t="s">
        <v>232</v>
      </c>
    </row>
    <row r="16146" spans="119:119" x14ac:dyDescent="0.2">
      <c r="DO16146" s="303" t="s">
        <v>232</v>
      </c>
    </row>
    <row r="16147" spans="119:119" x14ac:dyDescent="0.2">
      <c r="DO16147" s="303" t="s">
        <v>232</v>
      </c>
    </row>
    <row r="16148" spans="119:119" x14ac:dyDescent="0.2">
      <c r="DO16148" s="303" t="s">
        <v>232</v>
      </c>
    </row>
    <row r="16149" spans="119:119" x14ac:dyDescent="0.2">
      <c r="DO16149" s="303" t="s">
        <v>232</v>
      </c>
    </row>
    <row r="16150" spans="119:119" x14ac:dyDescent="0.2">
      <c r="DO16150" s="303" t="s">
        <v>232</v>
      </c>
    </row>
    <row r="16151" spans="119:119" x14ac:dyDescent="0.2">
      <c r="DO16151" s="303" t="s">
        <v>232</v>
      </c>
    </row>
    <row r="16152" spans="119:119" x14ac:dyDescent="0.2">
      <c r="DO16152" s="303" t="s">
        <v>232</v>
      </c>
    </row>
    <row r="16153" spans="119:119" x14ac:dyDescent="0.2">
      <c r="DO16153" s="303" t="s">
        <v>232</v>
      </c>
    </row>
    <row r="16154" spans="119:119" x14ac:dyDescent="0.2">
      <c r="DO16154" s="303" t="s">
        <v>232</v>
      </c>
    </row>
    <row r="16155" spans="119:119" x14ac:dyDescent="0.2">
      <c r="DO16155" s="303" t="s">
        <v>232</v>
      </c>
    </row>
    <row r="16156" spans="119:119" x14ac:dyDescent="0.2">
      <c r="DO16156" s="303" t="s">
        <v>232</v>
      </c>
    </row>
    <row r="16157" spans="119:119" x14ac:dyDescent="0.2">
      <c r="DO16157" s="303" t="s">
        <v>232</v>
      </c>
    </row>
    <row r="16158" spans="119:119" x14ac:dyDescent="0.2">
      <c r="DO16158" s="303" t="s">
        <v>232</v>
      </c>
    </row>
    <row r="16159" spans="119:119" x14ac:dyDescent="0.2">
      <c r="DO16159" s="303" t="s">
        <v>232</v>
      </c>
    </row>
    <row r="16160" spans="119:119" x14ac:dyDescent="0.2">
      <c r="DO16160" s="303" t="s">
        <v>232</v>
      </c>
    </row>
    <row r="16161" spans="119:119" x14ac:dyDescent="0.2">
      <c r="DO16161" s="303" t="s">
        <v>232</v>
      </c>
    </row>
    <row r="16162" spans="119:119" x14ac:dyDescent="0.2">
      <c r="DO16162" s="303" t="s">
        <v>232</v>
      </c>
    </row>
    <row r="16163" spans="119:119" x14ac:dyDescent="0.2">
      <c r="DO16163" s="303" t="s">
        <v>232</v>
      </c>
    </row>
    <row r="16164" spans="119:119" x14ac:dyDescent="0.2">
      <c r="DO16164" s="303" t="s">
        <v>232</v>
      </c>
    </row>
    <row r="16165" spans="119:119" x14ac:dyDescent="0.2">
      <c r="DO16165" s="303" t="s">
        <v>232</v>
      </c>
    </row>
    <row r="16166" spans="119:119" x14ac:dyDescent="0.2">
      <c r="DO16166" s="303" t="s">
        <v>232</v>
      </c>
    </row>
    <row r="16167" spans="119:119" x14ac:dyDescent="0.2">
      <c r="DO16167" s="303" t="s">
        <v>232</v>
      </c>
    </row>
    <row r="16168" spans="119:119" x14ac:dyDescent="0.2">
      <c r="DO16168" s="303" t="s">
        <v>232</v>
      </c>
    </row>
    <row r="16169" spans="119:119" x14ac:dyDescent="0.2">
      <c r="DO16169" s="303" t="s">
        <v>232</v>
      </c>
    </row>
    <row r="16170" spans="119:119" x14ac:dyDescent="0.2">
      <c r="DO16170" s="303" t="s">
        <v>232</v>
      </c>
    </row>
    <row r="16171" spans="119:119" x14ac:dyDescent="0.2">
      <c r="DO16171" s="303" t="s">
        <v>232</v>
      </c>
    </row>
    <row r="16172" spans="119:119" x14ac:dyDescent="0.2">
      <c r="DO16172" s="303" t="s">
        <v>232</v>
      </c>
    </row>
    <row r="16173" spans="119:119" x14ac:dyDescent="0.2">
      <c r="DO16173" s="303" t="s">
        <v>232</v>
      </c>
    </row>
    <row r="16174" spans="119:119" x14ac:dyDescent="0.2">
      <c r="DO16174" s="303" t="s">
        <v>232</v>
      </c>
    </row>
    <row r="16175" spans="119:119" x14ac:dyDescent="0.2">
      <c r="DO16175" s="303" t="s">
        <v>232</v>
      </c>
    </row>
    <row r="16176" spans="119:119" x14ac:dyDescent="0.2">
      <c r="DO16176" s="303" t="s">
        <v>232</v>
      </c>
    </row>
    <row r="16177" spans="119:119" x14ac:dyDescent="0.2">
      <c r="DO16177" s="303" t="s">
        <v>232</v>
      </c>
    </row>
    <row r="16178" spans="119:119" x14ac:dyDescent="0.2">
      <c r="DO16178" s="303" t="s">
        <v>232</v>
      </c>
    </row>
    <row r="16179" spans="119:119" x14ac:dyDescent="0.2">
      <c r="DO16179" s="303" t="s">
        <v>232</v>
      </c>
    </row>
    <row r="16180" spans="119:119" x14ac:dyDescent="0.2">
      <c r="DO16180" s="303" t="s">
        <v>232</v>
      </c>
    </row>
    <row r="16181" spans="119:119" x14ac:dyDescent="0.2">
      <c r="DO16181" s="303" t="s">
        <v>232</v>
      </c>
    </row>
    <row r="16182" spans="119:119" x14ac:dyDescent="0.2">
      <c r="DO16182" s="303" t="s">
        <v>232</v>
      </c>
    </row>
    <row r="16183" spans="119:119" x14ac:dyDescent="0.2">
      <c r="DO16183" s="303" t="s">
        <v>232</v>
      </c>
    </row>
    <row r="16184" spans="119:119" x14ac:dyDescent="0.2">
      <c r="DO16184" s="303" t="s">
        <v>232</v>
      </c>
    </row>
    <row r="16185" spans="119:119" x14ac:dyDescent="0.2">
      <c r="DO16185" s="303" t="s">
        <v>232</v>
      </c>
    </row>
    <row r="16186" spans="119:119" x14ac:dyDescent="0.2">
      <c r="DO16186" s="303" t="s">
        <v>232</v>
      </c>
    </row>
    <row r="16187" spans="119:119" x14ac:dyDescent="0.2">
      <c r="DO16187" s="303" t="s">
        <v>232</v>
      </c>
    </row>
    <row r="16188" spans="119:119" x14ac:dyDescent="0.2">
      <c r="DO16188" s="303" t="s">
        <v>232</v>
      </c>
    </row>
    <row r="16189" spans="119:119" x14ac:dyDescent="0.2">
      <c r="DO16189" s="303" t="s">
        <v>232</v>
      </c>
    </row>
    <row r="16190" spans="119:119" x14ac:dyDescent="0.2">
      <c r="DO16190" s="303" t="s">
        <v>232</v>
      </c>
    </row>
    <row r="16191" spans="119:119" x14ac:dyDescent="0.2">
      <c r="DO16191" s="303" t="s">
        <v>232</v>
      </c>
    </row>
    <row r="16192" spans="119:119" x14ac:dyDescent="0.2">
      <c r="DO16192" s="303" t="s">
        <v>232</v>
      </c>
    </row>
    <row r="16193" spans="119:119" x14ac:dyDescent="0.2">
      <c r="DO16193" s="303" t="s">
        <v>232</v>
      </c>
    </row>
    <row r="16194" spans="119:119" x14ac:dyDescent="0.2">
      <c r="DO16194" s="303" t="s">
        <v>232</v>
      </c>
    </row>
    <row r="16195" spans="119:119" x14ac:dyDescent="0.2">
      <c r="DO16195" s="303" t="s">
        <v>232</v>
      </c>
    </row>
    <row r="16196" spans="119:119" x14ac:dyDescent="0.2">
      <c r="DO16196" s="303" t="s">
        <v>232</v>
      </c>
    </row>
    <row r="16197" spans="119:119" x14ac:dyDescent="0.2">
      <c r="DO16197" s="303" t="s">
        <v>232</v>
      </c>
    </row>
    <row r="16198" spans="119:119" x14ac:dyDescent="0.2">
      <c r="DO16198" s="303" t="s">
        <v>232</v>
      </c>
    </row>
    <row r="16199" spans="119:119" x14ac:dyDescent="0.2">
      <c r="DO16199" s="303" t="s">
        <v>232</v>
      </c>
    </row>
    <row r="16200" spans="119:119" x14ac:dyDescent="0.2">
      <c r="DO16200" s="303" t="s">
        <v>232</v>
      </c>
    </row>
    <row r="16201" spans="119:119" x14ac:dyDescent="0.2">
      <c r="DO16201" s="303" t="s">
        <v>232</v>
      </c>
    </row>
    <row r="16202" spans="119:119" x14ac:dyDescent="0.2">
      <c r="DO16202" s="303" t="s">
        <v>232</v>
      </c>
    </row>
    <row r="16203" spans="119:119" x14ac:dyDescent="0.2">
      <c r="DO16203" s="303" t="s">
        <v>232</v>
      </c>
    </row>
    <row r="16204" spans="119:119" x14ac:dyDescent="0.2">
      <c r="DO16204" s="303" t="s">
        <v>232</v>
      </c>
    </row>
    <row r="16205" spans="119:119" x14ac:dyDescent="0.2">
      <c r="DO16205" s="303" t="s">
        <v>232</v>
      </c>
    </row>
    <row r="16206" spans="119:119" x14ac:dyDescent="0.2">
      <c r="DO16206" s="303" t="s">
        <v>232</v>
      </c>
    </row>
    <row r="16207" spans="119:119" x14ac:dyDescent="0.2">
      <c r="DO16207" s="303" t="s">
        <v>232</v>
      </c>
    </row>
    <row r="16208" spans="119:119" x14ac:dyDescent="0.2">
      <c r="DO16208" s="303" t="s">
        <v>232</v>
      </c>
    </row>
    <row r="16209" spans="119:119" x14ac:dyDescent="0.2">
      <c r="DO16209" s="303" t="s">
        <v>232</v>
      </c>
    </row>
    <row r="16210" spans="119:119" x14ac:dyDescent="0.2">
      <c r="DO16210" s="303" t="s">
        <v>232</v>
      </c>
    </row>
    <row r="16211" spans="119:119" x14ac:dyDescent="0.2">
      <c r="DO16211" s="303" t="s">
        <v>232</v>
      </c>
    </row>
    <row r="16212" spans="119:119" x14ac:dyDescent="0.2">
      <c r="DO16212" s="303" t="s">
        <v>232</v>
      </c>
    </row>
    <row r="16213" spans="119:119" x14ac:dyDescent="0.2">
      <c r="DO16213" s="303" t="s">
        <v>232</v>
      </c>
    </row>
    <row r="16214" spans="119:119" x14ac:dyDescent="0.2">
      <c r="DO16214" s="303" t="s">
        <v>232</v>
      </c>
    </row>
    <row r="16215" spans="119:119" x14ac:dyDescent="0.2">
      <c r="DO16215" s="303" t="s">
        <v>232</v>
      </c>
    </row>
    <row r="16216" spans="119:119" x14ac:dyDescent="0.2">
      <c r="DO16216" s="303" t="s">
        <v>232</v>
      </c>
    </row>
    <row r="16217" spans="119:119" x14ac:dyDescent="0.2">
      <c r="DO16217" s="303" t="s">
        <v>232</v>
      </c>
    </row>
    <row r="16218" spans="119:119" x14ac:dyDescent="0.2">
      <c r="DO16218" s="303" t="s">
        <v>232</v>
      </c>
    </row>
    <row r="16219" spans="119:119" x14ac:dyDescent="0.2">
      <c r="DO16219" s="303" t="s">
        <v>232</v>
      </c>
    </row>
    <row r="16220" spans="119:119" x14ac:dyDescent="0.2">
      <c r="DO16220" s="303" t="s">
        <v>232</v>
      </c>
    </row>
    <row r="16221" spans="119:119" x14ac:dyDescent="0.2">
      <c r="DO16221" s="303" t="s">
        <v>232</v>
      </c>
    </row>
    <row r="16222" spans="119:119" x14ac:dyDescent="0.2">
      <c r="DO16222" s="303" t="s">
        <v>232</v>
      </c>
    </row>
    <row r="16223" spans="119:119" x14ac:dyDescent="0.2">
      <c r="DO16223" s="303" t="s">
        <v>232</v>
      </c>
    </row>
    <row r="16224" spans="119:119" x14ac:dyDescent="0.2">
      <c r="DO16224" s="303" t="s">
        <v>232</v>
      </c>
    </row>
    <row r="16225" spans="119:119" x14ac:dyDescent="0.2">
      <c r="DO16225" s="303" t="s">
        <v>232</v>
      </c>
    </row>
    <row r="16226" spans="119:119" x14ac:dyDescent="0.2">
      <c r="DO16226" s="303" t="s">
        <v>232</v>
      </c>
    </row>
    <row r="16227" spans="119:119" x14ac:dyDescent="0.2">
      <c r="DO16227" s="303" t="s">
        <v>232</v>
      </c>
    </row>
    <row r="16228" spans="119:119" x14ac:dyDescent="0.2">
      <c r="DO16228" s="303" t="s">
        <v>232</v>
      </c>
    </row>
    <row r="16229" spans="119:119" x14ac:dyDescent="0.2">
      <c r="DO16229" s="303" t="s">
        <v>232</v>
      </c>
    </row>
    <row r="16230" spans="119:119" x14ac:dyDescent="0.2">
      <c r="DO16230" s="303" t="s">
        <v>232</v>
      </c>
    </row>
    <row r="16231" spans="119:119" x14ac:dyDescent="0.2">
      <c r="DO16231" s="303" t="s">
        <v>232</v>
      </c>
    </row>
    <row r="16232" spans="119:119" x14ac:dyDescent="0.2">
      <c r="DO16232" s="303" t="s">
        <v>232</v>
      </c>
    </row>
    <row r="16233" spans="119:119" x14ac:dyDescent="0.2">
      <c r="DO16233" s="303" t="s">
        <v>232</v>
      </c>
    </row>
    <row r="16234" spans="119:119" x14ac:dyDescent="0.2">
      <c r="DO16234" s="303" t="s">
        <v>232</v>
      </c>
    </row>
    <row r="16235" spans="119:119" x14ac:dyDescent="0.2">
      <c r="DO16235" s="303" t="s">
        <v>232</v>
      </c>
    </row>
    <row r="16236" spans="119:119" x14ac:dyDescent="0.2">
      <c r="DO16236" s="303" t="s">
        <v>232</v>
      </c>
    </row>
    <row r="16237" spans="119:119" x14ac:dyDescent="0.2">
      <c r="DO16237" s="303" t="s">
        <v>232</v>
      </c>
    </row>
    <row r="16238" spans="119:119" x14ac:dyDescent="0.2">
      <c r="DO16238" s="303" t="s">
        <v>232</v>
      </c>
    </row>
    <row r="16239" spans="119:119" x14ac:dyDescent="0.2">
      <c r="DO16239" s="303" t="s">
        <v>232</v>
      </c>
    </row>
    <row r="16240" spans="119:119" x14ac:dyDescent="0.2">
      <c r="DO16240" s="303" t="s">
        <v>232</v>
      </c>
    </row>
    <row r="16241" spans="119:119" x14ac:dyDescent="0.2">
      <c r="DO16241" s="303" t="s">
        <v>232</v>
      </c>
    </row>
    <row r="16242" spans="119:119" x14ac:dyDescent="0.2">
      <c r="DO16242" s="303" t="s">
        <v>232</v>
      </c>
    </row>
    <row r="16243" spans="119:119" x14ac:dyDescent="0.2">
      <c r="DO16243" s="303" t="s">
        <v>232</v>
      </c>
    </row>
    <row r="16244" spans="119:119" x14ac:dyDescent="0.2">
      <c r="DO16244" s="303" t="s">
        <v>232</v>
      </c>
    </row>
    <row r="16245" spans="119:119" x14ac:dyDescent="0.2">
      <c r="DO16245" s="303" t="s">
        <v>232</v>
      </c>
    </row>
    <row r="16246" spans="119:119" x14ac:dyDescent="0.2">
      <c r="DO16246" s="303" t="s">
        <v>232</v>
      </c>
    </row>
    <row r="16247" spans="119:119" x14ac:dyDescent="0.2">
      <c r="DO16247" s="303" t="s">
        <v>232</v>
      </c>
    </row>
    <row r="16248" spans="119:119" x14ac:dyDescent="0.2">
      <c r="DO16248" s="303" t="s">
        <v>232</v>
      </c>
    </row>
    <row r="16249" spans="119:119" x14ac:dyDescent="0.2">
      <c r="DO16249" s="303" t="s">
        <v>232</v>
      </c>
    </row>
    <row r="16250" spans="119:119" x14ac:dyDescent="0.2">
      <c r="DO16250" s="303" t="s">
        <v>232</v>
      </c>
    </row>
    <row r="16251" spans="119:119" x14ac:dyDescent="0.2">
      <c r="DO16251" s="303" t="s">
        <v>232</v>
      </c>
    </row>
    <row r="16252" spans="119:119" x14ac:dyDescent="0.2">
      <c r="DO16252" s="303" t="s">
        <v>232</v>
      </c>
    </row>
    <row r="16253" spans="119:119" x14ac:dyDescent="0.2">
      <c r="DO16253" s="303" t="s">
        <v>232</v>
      </c>
    </row>
    <row r="16254" spans="119:119" x14ac:dyDescent="0.2">
      <c r="DO16254" s="303" t="s">
        <v>232</v>
      </c>
    </row>
    <row r="16255" spans="119:119" x14ac:dyDescent="0.2">
      <c r="DO16255" s="303" t="s">
        <v>232</v>
      </c>
    </row>
    <row r="16256" spans="119:119" x14ac:dyDescent="0.2">
      <c r="DO16256" s="303" t="s">
        <v>232</v>
      </c>
    </row>
    <row r="16257" spans="119:119" x14ac:dyDescent="0.2">
      <c r="DO16257" s="303" t="s">
        <v>232</v>
      </c>
    </row>
    <row r="16258" spans="119:119" x14ac:dyDescent="0.2">
      <c r="DO16258" s="303" t="s">
        <v>232</v>
      </c>
    </row>
    <row r="16259" spans="119:119" x14ac:dyDescent="0.2">
      <c r="DO16259" s="303" t="s">
        <v>232</v>
      </c>
    </row>
    <row r="16260" spans="119:119" x14ac:dyDescent="0.2">
      <c r="DO16260" s="303" t="s">
        <v>232</v>
      </c>
    </row>
    <row r="16261" spans="119:119" x14ac:dyDescent="0.2">
      <c r="DO16261" s="303" t="s">
        <v>232</v>
      </c>
    </row>
    <row r="16262" spans="119:119" x14ac:dyDescent="0.2">
      <c r="DO16262" s="303" t="s">
        <v>232</v>
      </c>
    </row>
    <row r="16263" spans="119:119" x14ac:dyDescent="0.2">
      <c r="DO16263" s="303" t="s">
        <v>232</v>
      </c>
    </row>
    <row r="16264" spans="119:119" x14ac:dyDescent="0.2">
      <c r="DO16264" s="303" t="s">
        <v>232</v>
      </c>
    </row>
    <row r="16265" spans="119:119" x14ac:dyDescent="0.2">
      <c r="DO16265" s="303" t="s">
        <v>232</v>
      </c>
    </row>
    <row r="16266" spans="119:119" x14ac:dyDescent="0.2">
      <c r="DO16266" s="303" t="s">
        <v>232</v>
      </c>
    </row>
    <row r="16267" spans="119:119" x14ac:dyDescent="0.2">
      <c r="DO16267" s="303" t="s">
        <v>232</v>
      </c>
    </row>
    <row r="16268" spans="119:119" x14ac:dyDescent="0.2">
      <c r="DO16268" s="303" t="s">
        <v>232</v>
      </c>
    </row>
    <row r="16269" spans="119:119" x14ac:dyDescent="0.2">
      <c r="DO16269" s="303" t="s">
        <v>232</v>
      </c>
    </row>
    <row r="16270" spans="119:119" x14ac:dyDescent="0.2">
      <c r="DO16270" s="303" t="s">
        <v>232</v>
      </c>
    </row>
    <row r="16271" spans="119:119" x14ac:dyDescent="0.2">
      <c r="DO16271" s="303" t="s">
        <v>232</v>
      </c>
    </row>
    <row r="16272" spans="119:119" x14ac:dyDescent="0.2">
      <c r="DO16272" s="303" t="s">
        <v>232</v>
      </c>
    </row>
    <row r="16273" spans="119:119" x14ac:dyDescent="0.2">
      <c r="DO16273" s="303" t="s">
        <v>232</v>
      </c>
    </row>
    <row r="16274" spans="119:119" x14ac:dyDescent="0.2">
      <c r="DO16274" s="303" t="s">
        <v>232</v>
      </c>
    </row>
    <row r="16275" spans="119:119" x14ac:dyDescent="0.2">
      <c r="DO16275" s="303" t="s">
        <v>232</v>
      </c>
    </row>
    <row r="16276" spans="119:119" x14ac:dyDescent="0.2">
      <c r="DO16276" s="303" t="s">
        <v>232</v>
      </c>
    </row>
    <row r="16277" spans="119:119" x14ac:dyDescent="0.2">
      <c r="DO16277" s="303" t="s">
        <v>232</v>
      </c>
    </row>
    <row r="16278" spans="119:119" x14ac:dyDescent="0.2">
      <c r="DO16278" s="303" t="s">
        <v>232</v>
      </c>
    </row>
    <row r="16279" spans="119:119" x14ac:dyDescent="0.2">
      <c r="DO16279" s="303" t="s">
        <v>232</v>
      </c>
    </row>
    <row r="16280" spans="119:119" x14ac:dyDescent="0.2">
      <c r="DO16280" s="303" t="s">
        <v>232</v>
      </c>
    </row>
    <row r="16281" spans="119:119" x14ac:dyDescent="0.2">
      <c r="DO16281" s="303" t="s">
        <v>232</v>
      </c>
    </row>
    <row r="16282" spans="119:119" x14ac:dyDescent="0.2">
      <c r="DO16282" s="303" t="s">
        <v>232</v>
      </c>
    </row>
    <row r="16283" spans="119:119" x14ac:dyDescent="0.2">
      <c r="DO16283" s="303" t="s">
        <v>232</v>
      </c>
    </row>
    <row r="16284" spans="119:119" x14ac:dyDescent="0.2">
      <c r="DO16284" s="303" t="s">
        <v>232</v>
      </c>
    </row>
    <row r="16285" spans="119:119" x14ac:dyDescent="0.2">
      <c r="DO16285" s="303" t="s">
        <v>232</v>
      </c>
    </row>
    <row r="16286" spans="119:119" x14ac:dyDescent="0.2">
      <c r="DO16286" s="303" t="s">
        <v>232</v>
      </c>
    </row>
    <row r="16287" spans="119:119" x14ac:dyDescent="0.2">
      <c r="DO16287" s="303" t="s">
        <v>232</v>
      </c>
    </row>
    <row r="16288" spans="119:119" x14ac:dyDescent="0.2">
      <c r="DO16288" s="303" t="s">
        <v>232</v>
      </c>
    </row>
    <row r="16289" spans="119:119" x14ac:dyDescent="0.2">
      <c r="DO16289" s="303" t="s">
        <v>232</v>
      </c>
    </row>
    <row r="16290" spans="119:119" x14ac:dyDescent="0.2">
      <c r="DO16290" s="303" t="s">
        <v>232</v>
      </c>
    </row>
    <row r="16291" spans="119:119" x14ac:dyDescent="0.2">
      <c r="DO16291" s="303" t="s">
        <v>232</v>
      </c>
    </row>
    <row r="16292" spans="119:119" x14ac:dyDescent="0.2">
      <c r="DO16292" s="303" t="s">
        <v>232</v>
      </c>
    </row>
    <row r="16293" spans="119:119" x14ac:dyDescent="0.2">
      <c r="DO16293" s="303" t="s">
        <v>232</v>
      </c>
    </row>
    <row r="16294" spans="119:119" x14ac:dyDescent="0.2">
      <c r="DO16294" s="303" t="s">
        <v>232</v>
      </c>
    </row>
    <row r="16295" spans="119:119" x14ac:dyDescent="0.2">
      <c r="DO16295" s="303" t="s">
        <v>232</v>
      </c>
    </row>
    <row r="16296" spans="119:119" x14ac:dyDescent="0.2">
      <c r="DO16296" s="303" t="s">
        <v>232</v>
      </c>
    </row>
    <row r="16297" spans="119:119" x14ac:dyDescent="0.2">
      <c r="DO16297" s="303" t="s">
        <v>232</v>
      </c>
    </row>
    <row r="16298" spans="119:119" x14ac:dyDescent="0.2">
      <c r="DO16298" s="303" t="s">
        <v>232</v>
      </c>
    </row>
    <row r="16299" spans="119:119" x14ac:dyDescent="0.2">
      <c r="DO16299" s="303" t="s">
        <v>232</v>
      </c>
    </row>
    <row r="16300" spans="119:119" x14ac:dyDescent="0.2">
      <c r="DO16300" s="303" t="s">
        <v>232</v>
      </c>
    </row>
    <row r="16301" spans="119:119" x14ac:dyDescent="0.2">
      <c r="DO16301" s="303" t="s">
        <v>232</v>
      </c>
    </row>
    <row r="16302" spans="119:119" x14ac:dyDescent="0.2">
      <c r="DO16302" s="303" t="s">
        <v>232</v>
      </c>
    </row>
    <row r="16303" spans="119:119" x14ac:dyDescent="0.2">
      <c r="DO16303" s="303" t="s">
        <v>232</v>
      </c>
    </row>
    <row r="16304" spans="119:119" x14ac:dyDescent="0.2">
      <c r="DO16304" s="303" t="s">
        <v>232</v>
      </c>
    </row>
    <row r="16305" spans="119:119" x14ac:dyDescent="0.2">
      <c r="DO16305" s="303" t="s">
        <v>232</v>
      </c>
    </row>
    <row r="16306" spans="119:119" x14ac:dyDescent="0.2">
      <c r="DO16306" s="303" t="s">
        <v>232</v>
      </c>
    </row>
    <row r="16307" spans="119:119" x14ac:dyDescent="0.2">
      <c r="DO16307" s="303" t="s">
        <v>232</v>
      </c>
    </row>
    <row r="16308" spans="119:119" x14ac:dyDescent="0.2">
      <c r="DO16308" s="303" t="s">
        <v>232</v>
      </c>
    </row>
    <row r="16309" spans="119:119" x14ac:dyDescent="0.2">
      <c r="DO16309" s="303" t="s">
        <v>232</v>
      </c>
    </row>
    <row r="16310" spans="119:119" x14ac:dyDescent="0.2">
      <c r="DO16310" s="303" t="s">
        <v>232</v>
      </c>
    </row>
    <row r="16311" spans="119:119" x14ac:dyDescent="0.2">
      <c r="DO16311" s="303" t="s">
        <v>232</v>
      </c>
    </row>
    <row r="16312" spans="119:119" x14ac:dyDescent="0.2">
      <c r="DO16312" s="303" t="s">
        <v>232</v>
      </c>
    </row>
    <row r="16313" spans="119:119" x14ac:dyDescent="0.2">
      <c r="DO16313" s="303" t="s">
        <v>232</v>
      </c>
    </row>
    <row r="16314" spans="119:119" x14ac:dyDescent="0.2">
      <c r="DO16314" s="303" t="s">
        <v>232</v>
      </c>
    </row>
    <row r="16315" spans="119:119" x14ac:dyDescent="0.2">
      <c r="DO16315" s="303" t="s">
        <v>232</v>
      </c>
    </row>
    <row r="16316" spans="119:119" x14ac:dyDescent="0.2">
      <c r="DO16316" s="303" t="s">
        <v>232</v>
      </c>
    </row>
    <row r="16317" spans="119:119" x14ac:dyDescent="0.2">
      <c r="DO16317" s="303" t="s">
        <v>232</v>
      </c>
    </row>
    <row r="16318" spans="119:119" x14ac:dyDescent="0.2">
      <c r="DO16318" s="303" t="s">
        <v>232</v>
      </c>
    </row>
    <row r="16319" spans="119:119" x14ac:dyDescent="0.2">
      <c r="DO16319" s="303" t="s">
        <v>232</v>
      </c>
    </row>
    <row r="16320" spans="119:119" x14ac:dyDescent="0.2">
      <c r="DO16320" s="303" t="s">
        <v>232</v>
      </c>
    </row>
    <row r="16321" spans="119:119" x14ac:dyDescent="0.2">
      <c r="DO16321" s="303" t="s">
        <v>232</v>
      </c>
    </row>
    <row r="16322" spans="119:119" x14ac:dyDescent="0.2">
      <c r="DO16322" s="303" t="s">
        <v>232</v>
      </c>
    </row>
    <row r="16323" spans="119:119" x14ac:dyDescent="0.2">
      <c r="DO16323" s="303" t="s">
        <v>232</v>
      </c>
    </row>
    <row r="16324" spans="119:119" x14ac:dyDescent="0.2">
      <c r="DO16324" s="303" t="s">
        <v>232</v>
      </c>
    </row>
    <row r="16325" spans="119:119" x14ac:dyDescent="0.2">
      <c r="DO16325" s="303" t="s">
        <v>232</v>
      </c>
    </row>
    <row r="16326" spans="119:119" x14ac:dyDescent="0.2">
      <c r="DO16326" s="303" t="s">
        <v>232</v>
      </c>
    </row>
    <row r="16327" spans="119:119" x14ac:dyDescent="0.2">
      <c r="DO16327" s="303" t="s">
        <v>232</v>
      </c>
    </row>
    <row r="16328" spans="119:119" x14ac:dyDescent="0.2">
      <c r="DO16328" s="303" t="s">
        <v>232</v>
      </c>
    </row>
    <row r="16329" spans="119:119" x14ac:dyDescent="0.2">
      <c r="DO16329" s="303" t="s">
        <v>232</v>
      </c>
    </row>
    <row r="16330" spans="119:119" x14ac:dyDescent="0.2">
      <c r="DO16330" s="303" t="s">
        <v>232</v>
      </c>
    </row>
    <row r="16331" spans="119:119" x14ac:dyDescent="0.2">
      <c r="DO16331" s="303" t="s">
        <v>232</v>
      </c>
    </row>
    <row r="16332" spans="119:119" x14ac:dyDescent="0.2">
      <c r="DO16332" s="303" t="s">
        <v>232</v>
      </c>
    </row>
    <row r="16333" spans="119:119" x14ac:dyDescent="0.2">
      <c r="DO16333" s="303" t="s">
        <v>232</v>
      </c>
    </row>
    <row r="16334" spans="119:119" x14ac:dyDescent="0.2">
      <c r="DO16334" s="303" t="s">
        <v>232</v>
      </c>
    </row>
    <row r="16335" spans="119:119" x14ac:dyDescent="0.2">
      <c r="DO16335" s="303" t="s">
        <v>232</v>
      </c>
    </row>
    <row r="16336" spans="119:119" x14ac:dyDescent="0.2">
      <c r="DO16336" s="303" t="s">
        <v>232</v>
      </c>
    </row>
    <row r="16337" spans="119:119" x14ac:dyDescent="0.2">
      <c r="DO16337" s="303" t="s">
        <v>232</v>
      </c>
    </row>
    <row r="16338" spans="119:119" x14ac:dyDescent="0.2">
      <c r="DO16338" s="303" t="s">
        <v>232</v>
      </c>
    </row>
    <row r="16339" spans="119:119" x14ac:dyDescent="0.2">
      <c r="DO16339" s="303" t="s">
        <v>232</v>
      </c>
    </row>
    <row r="16340" spans="119:119" x14ac:dyDescent="0.2">
      <c r="DO16340" s="303" t="s">
        <v>232</v>
      </c>
    </row>
    <row r="16341" spans="119:119" x14ac:dyDescent="0.2">
      <c r="DO16341" s="303" t="s">
        <v>232</v>
      </c>
    </row>
    <row r="16342" spans="119:119" x14ac:dyDescent="0.2">
      <c r="DO16342" s="303" t="s">
        <v>232</v>
      </c>
    </row>
    <row r="16343" spans="119:119" x14ac:dyDescent="0.2">
      <c r="DO16343" s="303" t="s">
        <v>232</v>
      </c>
    </row>
    <row r="16344" spans="119:119" x14ac:dyDescent="0.2">
      <c r="DO16344" s="303" t="s">
        <v>232</v>
      </c>
    </row>
    <row r="16345" spans="119:119" x14ac:dyDescent="0.2">
      <c r="DO16345" s="303" t="s">
        <v>232</v>
      </c>
    </row>
    <row r="16346" spans="119:119" x14ac:dyDescent="0.2">
      <c r="DO16346" s="303" t="s">
        <v>232</v>
      </c>
    </row>
    <row r="16347" spans="119:119" x14ac:dyDescent="0.2">
      <c r="DO16347" s="303" t="s">
        <v>232</v>
      </c>
    </row>
    <row r="16348" spans="119:119" x14ac:dyDescent="0.2">
      <c r="DO16348" s="303" t="s">
        <v>232</v>
      </c>
    </row>
    <row r="16349" spans="119:119" x14ac:dyDescent="0.2">
      <c r="DO16349" s="303" t="s">
        <v>232</v>
      </c>
    </row>
    <row r="16350" spans="119:119" x14ac:dyDescent="0.2">
      <c r="DO16350" s="303" t="s">
        <v>232</v>
      </c>
    </row>
    <row r="16351" spans="119:119" x14ac:dyDescent="0.2">
      <c r="DO16351" s="303" t="s">
        <v>232</v>
      </c>
    </row>
    <row r="16352" spans="119:119" x14ac:dyDescent="0.2">
      <c r="DO16352" s="303" t="s">
        <v>232</v>
      </c>
    </row>
    <row r="16353" spans="119:119" x14ac:dyDescent="0.2">
      <c r="DO16353" s="303" t="s">
        <v>232</v>
      </c>
    </row>
    <row r="16354" spans="119:119" x14ac:dyDescent="0.2">
      <c r="DO16354" s="303" t="s">
        <v>232</v>
      </c>
    </row>
    <row r="16355" spans="119:119" x14ac:dyDescent="0.2">
      <c r="DO16355" s="303" t="s">
        <v>232</v>
      </c>
    </row>
    <row r="16356" spans="119:119" x14ac:dyDescent="0.2">
      <c r="DO16356" s="303" t="s">
        <v>232</v>
      </c>
    </row>
    <row r="16357" spans="119:119" x14ac:dyDescent="0.2">
      <c r="DO16357" s="303" t="s">
        <v>232</v>
      </c>
    </row>
    <row r="16358" spans="119:119" x14ac:dyDescent="0.2">
      <c r="DO16358" s="303" t="s">
        <v>232</v>
      </c>
    </row>
    <row r="16359" spans="119:119" x14ac:dyDescent="0.2">
      <c r="DO16359" s="303" t="s">
        <v>232</v>
      </c>
    </row>
    <row r="16360" spans="119:119" x14ac:dyDescent="0.2">
      <c r="DO16360" s="303" t="s">
        <v>232</v>
      </c>
    </row>
    <row r="16361" spans="119:119" x14ac:dyDescent="0.2">
      <c r="DO16361" s="303" t="s">
        <v>232</v>
      </c>
    </row>
    <row r="16362" spans="119:119" x14ac:dyDescent="0.2">
      <c r="DO16362" s="303" t="s">
        <v>232</v>
      </c>
    </row>
    <row r="16363" spans="119:119" x14ac:dyDescent="0.2">
      <c r="DO16363" s="303" t="s">
        <v>232</v>
      </c>
    </row>
    <row r="16364" spans="119:119" x14ac:dyDescent="0.2">
      <c r="DO16364" s="303" t="s">
        <v>232</v>
      </c>
    </row>
    <row r="16365" spans="119:119" x14ac:dyDescent="0.2">
      <c r="DO16365" s="303" t="s">
        <v>232</v>
      </c>
    </row>
    <row r="16366" spans="119:119" x14ac:dyDescent="0.2">
      <c r="DO16366" s="303" t="s">
        <v>232</v>
      </c>
    </row>
    <row r="16367" spans="119:119" x14ac:dyDescent="0.2">
      <c r="DO16367" s="303" t="s">
        <v>232</v>
      </c>
    </row>
    <row r="16368" spans="119:119" x14ac:dyDescent="0.2">
      <c r="DO16368" s="303" t="s">
        <v>232</v>
      </c>
    </row>
    <row r="16369" spans="119:119" x14ac:dyDescent="0.2">
      <c r="DO16369" s="303" t="s">
        <v>232</v>
      </c>
    </row>
    <row r="16370" spans="119:119" x14ac:dyDescent="0.2">
      <c r="DO16370" s="303" t="s">
        <v>232</v>
      </c>
    </row>
    <row r="16371" spans="119:119" x14ac:dyDescent="0.2">
      <c r="DO16371" s="303" t="s">
        <v>232</v>
      </c>
    </row>
    <row r="16372" spans="119:119" x14ac:dyDescent="0.2">
      <c r="DO16372" s="303" t="s">
        <v>232</v>
      </c>
    </row>
    <row r="16373" spans="119:119" x14ac:dyDescent="0.2">
      <c r="DO16373" s="303" t="s">
        <v>232</v>
      </c>
    </row>
    <row r="16374" spans="119:119" x14ac:dyDescent="0.2">
      <c r="DO16374" s="303" t="s">
        <v>232</v>
      </c>
    </row>
    <row r="16375" spans="119:119" x14ac:dyDescent="0.2">
      <c r="DO16375" s="303" t="s">
        <v>232</v>
      </c>
    </row>
    <row r="16376" spans="119:119" x14ac:dyDescent="0.2">
      <c r="DO16376" s="303" t="s">
        <v>232</v>
      </c>
    </row>
    <row r="16377" spans="119:119" x14ac:dyDescent="0.2">
      <c r="DO16377" s="303" t="s">
        <v>232</v>
      </c>
    </row>
    <row r="16378" spans="119:119" x14ac:dyDescent="0.2">
      <c r="DO16378" s="303" t="s">
        <v>232</v>
      </c>
    </row>
    <row r="16379" spans="119:119" x14ac:dyDescent="0.2">
      <c r="DO16379" s="303" t="s">
        <v>232</v>
      </c>
    </row>
    <row r="16380" spans="119:119" x14ac:dyDescent="0.2">
      <c r="DO16380" s="303" t="s">
        <v>232</v>
      </c>
    </row>
    <row r="16381" spans="119:119" x14ac:dyDescent="0.2">
      <c r="DO16381" s="303" t="s">
        <v>232</v>
      </c>
    </row>
    <row r="16382" spans="119:119" x14ac:dyDescent="0.2">
      <c r="DO16382" s="303" t="s">
        <v>232</v>
      </c>
    </row>
    <row r="16383" spans="119:119" x14ac:dyDescent="0.2">
      <c r="DO16383" s="303" t="s">
        <v>232</v>
      </c>
    </row>
    <row r="16384" spans="119:119" x14ac:dyDescent="0.2">
      <c r="DO16384" s="303" t="s">
        <v>232</v>
      </c>
    </row>
    <row r="16385" spans="119:119" x14ac:dyDescent="0.2">
      <c r="DO16385" s="303" t="s">
        <v>232</v>
      </c>
    </row>
    <row r="16386" spans="119:119" x14ac:dyDescent="0.2">
      <c r="DO16386" s="303" t="s">
        <v>232</v>
      </c>
    </row>
    <row r="16387" spans="119:119" x14ac:dyDescent="0.2">
      <c r="DO16387" s="303" t="s">
        <v>232</v>
      </c>
    </row>
    <row r="16388" spans="119:119" x14ac:dyDescent="0.2">
      <c r="DO16388" s="303" t="s">
        <v>232</v>
      </c>
    </row>
    <row r="16389" spans="119:119" x14ac:dyDescent="0.2">
      <c r="DO16389" s="303" t="s">
        <v>232</v>
      </c>
    </row>
    <row r="16390" spans="119:119" x14ac:dyDescent="0.2">
      <c r="DO16390" s="303" t="s">
        <v>232</v>
      </c>
    </row>
    <row r="16391" spans="119:119" x14ac:dyDescent="0.2">
      <c r="DO16391" s="303" t="s">
        <v>232</v>
      </c>
    </row>
    <row r="16392" spans="119:119" x14ac:dyDescent="0.2">
      <c r="DO16392" s="303" t="s">
        <v>232</v>
      </c>
    </row>
    <row r="16393" spans="119:119" x14ac:dyDescent="0.2">
      <c r="DO16393" s="303" t="s">
        <v>232</v>
      </c>
    </row>
    <row r="16394" spans="119:119" x14ac:dyDescent="0.2">
      <c r="DO16394" s="303" t="s">
        <v>232</v>
      </c>
    </row>
    <row r="16395" spans="119:119" x14ac:dyDescent="0.2">
      <c r="DO16395" s="303" t="s">
        <v>232</v>
      </c>
    </row>
    <row r="16396" spans="119:119" x14ac:dyDescent="0.2">
      <c r="DO16396" s="303" t="s">
        <v>232</v>
      </c>
    </row>
    <row r="16397" spans="119:119" x14ac:dyDescent="0.2">
      <c r="DO16397" s="303" t="s">
        <v>232</v>
      </c>
    </row>
    <row r="16398" spans="119:119" x14ac:dyDescent="0.2">
      <c r="DO16398" s="303" t="s">
        <v>232</v>
      </c>
    </row>
    <row r="16399" spans="119:119" x14ac:dyDescent="0.2">
      <c r="DO16399" s="303" t="s">
        <v>232</v>
      </c>
    </row>
    <row r="16400" spans="119:119" x14ac:dyDescent="0.2">
      <c r="DO16400" s="303" t="s">
        <v>232</v>
      </c>
    </row>
    <row r="16401" spans="119:119" x14ac:dyDescent="0.2">
      <c r="DO16401" s="303" t="s">
        <v>232</v>
      </c>
    </row>
    <row r="16402" spans="119:119" x14ac:dyDescent="0.2">
      <c r="DO16402" s="303" t="s">
        <v>232</v>
      </c>
    </row>
    <row r="16403" spans="119:119" x14ac:dyDescent="0.2">
      <c r="DO16403" s="303" t="s">
        <v>232</v>
      </c>
    </row>
    <row r="16404" spans="119:119" x14ac:dyDescent="0.2">
      <c r="DO16404" s="303" t="s">
        <v>232</v>
      </c>
    </row>
    <row r="16405" spans="119:119" x14ac:dyDescent="0.2">
      <c r="DO16405" s="303" t="s">
        <v>232</v>
      </c>
    </row>
    <row r="16406" spans="119:119" x14ac:dyDescent="0.2">
      <c r="DO16406" s="303" t="s">
        <v>232</v>
      </c>
    </row>
    <row r="16407" spans="119:119" x14ac:dyDescent="0.2">
      <c r="DO16407" s="303" t="s">
        <v>232</v>
      </c>
    </row>
    <row r="16408" spans="119:119" x14ac:dyDescent="0.2">
      <c r="DO16408" s="303" t="s">
        <v>232</v>
      </c>
    </row>
    <row r="16409" spans="119:119" x14ac:dyDescent="0.2">
      <c r="DO16409" s="303" t="s">
        <v>232</v>
      </c>
    </row>
    <row r="16410" spans="119:119" x14ac:dyDescent="0.2">
      <c r="DO16410" s="303" t="s">
        <v>232</v>
      </c>
    </row>
    <row r="16411" spans="119:119" x14ac:dyDescent="0.2">
      <c r="DO16411" s="303" t="s">
        <v>232</v>
      </c>
    </row>
    <row r="16412" spans="119:119" x14ac:dyDescent="0.2">
      <c r="DO16412" s="303" t="s">
        <v>232</v>
      </c>
    </row>
    <row r="16413" spans="119:119" x14ac:dyDescent="0.2">
      <c r="DO16413" s="303" t="s">
        <v>232</v>
      </c>
    </row>
    <row r="16414" spans="119:119" x14ac:dyDescent="0.2">
      <c r="DO16414" s="303" t="s">
        <v>232</v>
      </c>
    </row>
    <row r="16415" spans="119:119" x14ac:dyDescent="0.2">
      <c r="DO16415" s="303" t="s">
        <v>232</v>
      </c>
    </row>
    <row r="16416" spans="119:119" x14ac:dyDescent="0.2">
      <c r="DO16416" s="303" t="s">
        <v>232</v>
      </c>
    </row>
    <row r="16417" spans="119:119" x14ac:dyDescent="0.2">
      <c r="DO16417" s="303" t="s">
        <v>232</v>
      </c>
    </row>
    <row r="16418" spans="119:119" x14ac:dyDescent="0.2">
      <c r="DO16418" s="303" t="s">
        <v>232</v>
      </c>
    </row>
    <row r="16419" spans="119:119" x14ac:dyDescent="0.2">
      <c r="DO16419" s="303" t="s">
        <v>232</v>
      </c>
    </row>
    <row r="16420" spans="119:119" x14ac:dyDescent="0.2">
      <c r="DO16420" s="303" t="s">
        <v>232</v>
      </c>
    </row>
    <row r="16421" spans="119:119" x14ac:dyDescent="0.2">
      <c r="DO16421" s="303" t="s">
        <v>232</v>
      </c>
    </row>
    <row r="16422" spans="119:119" x14ac:dyDescent="0.2">
      <c r="DO16422" s="303" t="s">
        <v>232</v>
      </c>
    </row>
    <row r="16423" spans="119:119" x14ac:dyDescent="0.2">
      <c r="DO16423" s="303" t="s">
        <v>232</v>
      </c>
    </row>
    <row r="16424" spans="119:119" x14ac:dyDescent="0.2">
      <c r="DO16424" s="303" t="s">
        <v>232</v>
      </c>
    </row>
    <row r="16425" spans="119:119" x14ac:dyDescent="0.2">
      <c r="DO16425" s="303" t="s">
        <v>232</v>
      </c>
    </row>
    <row r="16426" spans="119:119" x14ac:dyDescent="0.2">
      <c r="DO16426" s="303" t="s">
        <v>232</v>
      </c>
    </row>
    <row r="16427" spans="119:119" x14ac:dyDescent="0.2">
      <c r="DO16427" s="303" t="s">
        <v>232</v>
      </c>
    </row>
    <row r="16428" spans="119:119" x14ac:dyDescent="0.2">
      <c r="DO16428" s="303" t="s">
        <v>232</v>
      </c>
    </row>
    <row r="16429" spans="119:119" x14ac:dyDescent="0.2">
      <c r="DO16429" s="303" t="s">
        <v>232</v>
      </c>
    </row>
    <row r="16430" spans="119:119" x14ac:dyDescent="0.2">
      <c r="DO16430" s="303" t="s">
        <v>232</v>
      </c>
    </row>
    <row r="16431" spans="119:119" x14ac:dyDescent="0.2">
      <c r="DO16431" s="303" t="s">
        <v>232</v>
      </c>
    </row>
    <row r="16432" spans="119:119" x14ac:dyDescent="0.2">
      <c r="DO16432" s="303" t="s">
        <v>232</v>
      </c>
    </row>
    <row r="16433" spans="119:119" x14ac:dyDescent="0.2">
      <c r="DO16433" s="303" t="s">
        <v>232</v>
      </c>
    </row>
    <row r="16434" spans="119:119" x14ac:dyDescent="0.2">
      <c r="DO16434" s="303" t="s">
        <v>232</v>
      </c>
    </row>
    <row r="16435" spans="119:119" x14ac:dyDescent="0.2">
      <c r="DO16435" s="303" t="s">
        <v>232</v>
      </c>
    </row>
    <row r="16436" spans="119:119" x14ac:dyDescent="0.2">
      <c r="DO16436" s="303" t="s">
        <v>232</v>
      </c>
    </row>
    <row r="16437" spans="119:119" x14ac:dyDescent="0.2">
      <c r="DO16437" s="303" t="s">
        <v>232</v>
      </c>
    </row>
    <row r="16438" spans="119:119" x14ac:dyDescent="0.2">
      <c r="DO16438" s="303" t="s">
        <v>232</v>
      </c>
    </row>
    <row r="16439" spans="119:119" x14ac:dyDescent="0.2">
      <c r="DO16439" s="303" t="s">
        <v>232</v>
      </c>
    </row>
    <row r="16440" spans="119:119" x14ac:dyDescent="0.2">
      <c r="DO16440" s="303" t="s">
        <v>232</v>
      </c>
    </row>
    <row r="16441" spans="119:119" x14ac:dyDescent="0.2">
      <c r="DO16441" s="303" t="s">
        <v>232</v>
      </c>
    </row>
    <row r="16442" spans="119:119" x14ac:dyDescent="0.2">
      <c r="DO16442" s="303" t="s">
        <v>232</v>
      </c>
    </row>
    <row r="16443" spans="119:119" x14ac:dyDescent="0.2">
      <c r="DO16443" s="303" t="s">
        <v>232</v>
      </c>
    </row>
    <row r="16444" spans="119:119" x14ac:dyDescent="0.2">
      <c r="DO16444" s="303" t="s">
        <v>232</v>
      </c>
    </row>
    <row r="16445" spans="119:119" x14ac:dyDescent="0.2">
      <c r="DO16445" s="303" t="s">
        <v>232</v>
      </c>
    </row>
    <row r="16446" spans="119:119" x14ac:dyDescent="0.2">
      <c r="DO16446" s="303" t="s">
        <v>232</v>
      </c>
    </row>
    <row r="16447" spans="119:119" x14ac:dyDescent="0.2">
      <c r="DO16447" s="303" t="s">
        <v>232</v>
      </c>
    </row>
    <row r="16448" spans="119:119" x14ac:dyDescent="0.2">
      <c r="DO16448" s="303" t="s">
        <v>232</v>
      </c>
    </row>
    <row r="16449" spans="119:119" x14ac:dyDescent="0.2">
      <c r="DO16449" s="303" t="s">
        <v>232</v>
      </c>
    </row>
    <row r="16450" spans="119:119" x14ac:dyDescent="0.2">
      <c r="DO16450" s="303" t="s">
        <v>232</v>
      </c>
    </row>
    <row r="16451" spans="119:119" x14ac:dyDescent="0.2">
      <c r="DO16451" s="303" t="s">
        <v>232</v>
      </c>
    </row>
    <row r="16452" spans="119:119" x14ac:dyDescent="0.2">
      <c r="DO16452" s="303" t="s">
        <v>232</v>
      </c>
    </row>
    <row r="16453" spans="119:119" x14ac:dyDescent="0.2">
      <c r="DO16453" s="303" t="s">
        <v>232</v>
      </c>
    </row>
    <row r="16454" spans="119:119" x14ac:dyDescent="0.2">
      <c r="DO16454" s="303" t="s">
        <v>232</v>
      </c>
    </row>
    <row r="16455" spans="119:119" x14ac:dyDescent="0.2">
      <c r="DO16455" s="303" t="s">
        <v>232</v>
      </c>
    </row>
    <row r="16456" spans="119:119" x14ac:dyDescent="0.2">
      <c r="DO16456" s="303" t="s">
        <v>232</v>
      </c>
    </row>
    <row r="16457" spans="119:119" x14ac:dyDescent="0.2">
      <c r="DO16457" s="303" t="s">
        <v>232</v>
      </c>
    </row>
    <row r="16458" spans="119:119" x14ac:dyDescent="0.2">
      <c r="DO16458" s="303" t="s">
        <v>232</v>
      </c>
    </row>
    <row r="16459" spans="119:119" x14ac:dyDescent="0.2">
      <c r="DO16459" s="303" t="s">
        <v>232</v>
      </c>
    </row>
    <row r="16460" spans="119:119" x14ac:dyDescent="0.2">
      <c r="DO16460" s="303" t="s">
        <v>232</v>
      </c>
    </row>
    <row r="16461" spans="119:119" x14ac:dyDescent="0.2">
      <c r="DO16461" s="303" t="s">
        <v>232</v>
      </c>
    </row>
    <row r="16462" spans="119:119" x14ac:dyDescent="0.2">
      <c r="DO16462" s="303" t="s">
        <v>232</v>
      </c>
    </row>
    <row r="16463" spans="119:119" x14ac:dyDescent="0.2">
      <c r="DO16463" s="303" t="s">
        <v>232</v>
      </c>
    </row>
    <row r="16464" spans="119:119" x14ac:dyDescent="0.2">
      <c r="DO16464" s="303" t="s">
        <v>232</v>
      </c>
    </row>
    <row r="16465" spans="119:119" x14ac:dyDescent="0.2">
      <c r="DO16465" s="303" t="s">
        <v>232</v>
      </c>
    </row>
    <row r="16466" spans="119:119" x14ac:dyDescent="0.2">
      <c r="DO16466" s="303" t="s">
        <v>232</v>
      </c>
    </row>
    <row r="16467" spans="119:119" x14ac:dyDescent="0.2">
      <c r="DO16467" s="303" t="s">
        <v>232</v>
      </c>
    </row>
    <row r="16468" spans="119:119" x14ac:dyDescent="0.2">
      <c r="DO16468" s="303" t="s">
        <v>232</v>
      </c>
    </row>
    <row r="16469" spans="119:119" x14ac:dyDescent="0.2">
      <c r="DO16469" s="303" t="s">
        <v>232</v>
      </c>
    </row>
    <row r="16470" spans="119:119" x14ac:dyDescent="0.2">
      <c r="DO16470" s="303" t="s">
        <v>232</v>
      </c>
    </row>
    <row r="16471" spans="119:119" x14ac:dyDescent="0.2">
      <c r="DO16471" s="303" t="s">
        <v>232</v>
      </c>
    </row>
    <row r="16472" spans="119:119" x14ac:dyDescent="0.2">
      <c r="DO16472" s="303" t="s">
        <v>232</v>
      </c>
    </row>
    <row r="16473" spans="119:119" x14ac:dyDescent="0.2">
      <c r="DO16473" s="303" t="s">
        <v>232</v>
      </c>
    </row>
    <row r="16474" spans="119:119" x14ac:dyDescent="0.2">
      <c r="DO16474" s="303" t="s">
        <v>232</v>
      </c>
    </row>
    <row r="16475" spans="119:119" x14ac:dyDescent="0.2">
      <c r="DO16475" s="303" t="s">
        <v>232</v>
      </c>
    </row>
    <row r="16476" spans="119:119" x14ac:dyDescent="0.2">
      <c r="DO16476" s="303" t="s">
        <v>232</v>
      </c>
    </row>
    <row r="16477" spans="119:119" x14ac:dyDescent="0.2">
      <c r="DO16477" s="303" t="s">
        <v>232</v>
      </c>
    </row>
    <row r="16478" spans="119:119" x14ac:dyDescent="0.2">
      <c r="DO16478" s="303" t="s">
        <v>232</v>
      </c>
    </row>
    <row r="16479" spans="119:119" x14ac:dyDescent="0.2">
      <c r="DO16479" s="303" t="s">
        <v>232</v>
      </c>
    </row>
    <row r="16480" spans="119:119" x14ac:dyDescent="0.2">
      <c r="DO16480" s="303" t="s">
        <v>232</v>
      </c>
    </row>
    <row r="16481" spans="119:119" x14ac:dyDescent="0.2">
      <c r="DO16481" s="303" t="s">
        <v>232</v>
      </c>
    </row>
    <row r="16482" spans="119:119" x14ac:dyDescent="0.2">
      <c r="DO16482" s="303" t="s">
        <v>232</v>
      </c>
    </row>
    <row r="16483" spans="119:119" x14ac:dyDescent="0.2">
      <c r="DO16483" s="303" t="s">
        <v>232</v>
      </c>
    </row>
    <row r="16484" spans="119:119" x14ac:dyDescent="0.2">
      <c r="DO16484" s="303" t="s">
        <v>232</v>
      </c>
    </row>
    <row r="16485" spans="119:119" x14ac:dyDescent="0.2">
      <c r="DO16485" s="303" t="s">
        <v>232</v>
      </c>
    </row>
    <row r="16486" spans="119:119" x14ac:dyDescent="0.2">
      <c r="DO16486" s="303" t="s">
        <v>232</v>
      </c>
    </row>
    <row r="16487" spans="119:119" x14ac:dyDescent="0.2">
      <c r="DO16487" s="303" t="s">
        <v>232</v>
      </c>
    </row>
    <row r="16488" spans="119:119" x14ac:dyDescent="0.2">
      <c r="DO16488" s="303" t="s">
        <v>232</v>
      </c>
    </row>
    <row r="16489" spans="119:119" x14ac:dyDescent="0.2">
      <c r="DO16489" s="303" t="s">
        <v>232</v>
      </c>
    </row>
    <row r="16490" spans="119:119" x14ac:dyDescent="0.2">
      <c r="DO16490" s="303" t="s">
        <v>232</v>
      </c>
    </row>
    <row r="16491" spans="119:119" x14ac:dyDescent="0.2">
      <c r="DO16491" s="303" t="s">
        <v>232</v>
      </c>
    </row>
    <row r="16492" spans="119:119" x14ac:dyDescent="0.2">
      <c r="DO16492" s="303" t="s">
        <v>232</v>
      </c>
    </row>
    <row r="16493" spans="119:119" x14ac:dyDescent="0.2">
      <c r="DO16493" s="303" t="s">
        <v>232</v>
      </c>
    </row>
    <row r="16494" spans="119:119" x14ac:dyDescent="0.2">
      <c r="DO16494" s="303" t="s">
        <v>232</v>
      </c>
    </row>
    <row r="16495" spans="119:119" x14ac:dyDescent="0.2">
      <c r="DO16495" s="303" t="s">
        <v>232</v>
      </c>
    </row>
    <row r="16496" spans="119:119" x14ac:dyDescent="0.2">
      <c r="DO16496" s="303" t="s">
        <v>232</v>
      </c>
    </row>
    <row r="16497" spans="119:119" x14ac:dyDescent="0.2">
      <c r="DO16497" s="303" t="s">
        <v>232</v>
      </c>
    </row>
    <row r="16498" spans="119:119" x14ac:dyDescent="0.2">
      <c r="DO16498" s="303" t="s">
        <v>232</v>
      </c>
    </row>
    <row r="16499" spans="119:119" x14ac:dyDescent="0.2">
      <c r="DO16499" s="303" t="s">
        <v>232</v>
      </c>
    </row>
    <row r="16500" spans="119:119" x14ac:dyDescent="0.2">
      <c r="DO16500" s="303" t="s">
        <v>232</v>
      </c>
    </row>
    <row r="16501" spans="119:119" x14ac:dyDescent="0.2">
      <c r="DO16501" s="303" t="s">
        <v>232</v>
      </c>
    </row>
    <row r="16502" spans="119:119" x14ac:dyDescent="0.2">
      <c r="DO16502" s="303" t="s">
        <v>232</v>
      </c>
    </row>
    <row r="16503" spans="119:119" x14ac:dyDescent="0.2">
      <c r="DO16503" s="303" t="s">
        <v>232</v>
      </c>
    </row>
    <row r="16504" spans="119:119" x14ac:dyDescent="0.2">
      <c r="DO16504" s="303" t="s">
        <v>232</v>
      </c>
    </row>
    <row r="16505" spans="119:119" x14ac:dyDescent="0.2">
      <c r="DO16505" s="303" t="s">
        <v>232</v>
      </c>
    </row>
    <row r="16506" spans="119:119" x14ac:dyDescent="0.2">
      <c r="DO16506" s="303" t="s">
        <v>232</v>
      </c>
    </row>
    <row r="16507" spans="119:119" x14ac:dyDescent="0.2">
      <c r="DO16507" s="303" t="s">
        <v>232</v>
      </c>
    </row>
    <row r="16508" spans="119:119" x14ac:dyDescent="0.2">
      <c r="DO16508" s="303" t="s">
        <v>232</v>
      </c>
    </row>
    <row r="16509" spans="119:119" x14ac:dyDescent="0.2">
      <c r="DO16509" s="303" t="s">
        <v>232</v>
      </c>
    </row>
    <row r="16510" spans="119:119" x14ac:dyDescent="0.2">
      <c r="DO16510" s="303" t="s">
        <v>232</v>
      </c>
    </row>
    <row r="16511" spans="119:119" x14ac:dyDescent="0.2">
      <c r="DO16511" s="303" t="s">
        <v>232</v>
      </c>
    </row>
    <row r="16512" spans="119:119" x14ac:dyDescent="0.2">
      <c r="DO16512" s="303" t="s">
        <v>232</v>
      </c>
    </row>
    <row r="16513" spans="119:119" x14ac:dyDescent="0.2">
      <c r="DO16513" s="303" t="s">
        <v>232</v>
      </c>
    </row>
    <row r="16514" spans="119:119" x14ac:dyDescent="0.2">
      <c r="DO16514" s="303" t="s">
        <v>232</v>
      </c>
    </row>
    <row r="16515" spans="119:119" x14ac:dyDescent="0.2">
      <c r="DO16515" s="303" t="s">
        <v>232</v>
      </c>
    </row>
    <row r="16516" spans="119:119" x14ac:dyDescent="0.2">
      <c r="DO16516" s="303" t="s">
        <v>232</v>
      </c>
    </row>
    <row r="16517" spans="119:119" x14ac:dyDescent="0.2">
      <c r="DO16517" s="303" t="s">
        <v>232</v>
      </c>
    </row>
    <row r="16518" spans="119:119" x14ac:dyDescent="0.2">
      <c r="DO16518" s="303" t="s">
        <v>232</v>
      </c>
    </row>
    <row r="16519" spans="119:119" x14ac:dyDescent="0.2">
      <c r="DO16519" s="303" t="s">
        <v>232</v>
      </c>
    </row>
    <row r="16520" spans="119:119" x14ac:dyDescent="0.2">
      <c r="DO16520" s="303" t="s">
        <v>232</v>
      </c>
    </row>
    <row r="16521" spans="119:119" x14ac:dyDescent="0.2">
      <c r="DO16521" s="303" t="s">
        <v>232</v>
      </c>
    </row>
    <row r="16522" spans="119:119" x14ac:dyDescent="0.2">
      <c r="DO16522" s="303" t="s">
        <v>232</v>
      </c>
    </row>
    <row r="16523" spans="119:119" x14ac:dyDescent="0.2">
      <c r="DO16523" s="303" t="s">
        <v>232</v>
      </c>
    </row>
    <row r="16524" spans="119:119" x14ac:dyDescent="0.2">
      <c r="DO16524" s="303" t="s">
        <v>232</v>
      </c>
    </row>
    <row r="16525" spans="119:119" x14ac:dyDescent="0.2">
      <c r="DO16525" s="303" t="s">
        <v>232</v>
      </c>
    </row>
    <row r="16526" spans="119:119" x14ac:dyDescent="0.2">
      <c r="DO16526" s="303" t="s">
        <v>232</v>
      </c>
    </row>
    <row r="16527" spans="119:119" x14ac:dyDescent="0.2">
      <c r="DO16527" s="303" t="s">
        <v>232</v>
      </c>
    </row>
    <row r="16528" spans="119:119" x14ac:dyDescent="0.2">
      <c r="DO16528" s="303" t="s">
        <v>232</v>
      </c>
    </row>
    <row r="16529" spans="119:119" x14ac:dyDescent="0.2">
      <c r="DO16529" s="303" t="s">
        <v>232</v>
      </c>
    </row>
    <row r="16530" spans="119:119" x14ac:dyDescent="0.2">
      <c r="DO16530" s="303" t="s">
        <v>232</v>
      </c>
    </row>
    <row r="16531" spans="119:119" x14ac:dyDescent="0.2">
      <c r="DO16531" s="303" t="s">
        <v>232</v>
      </c>
    </row>
    <row r="16532" spans="119:119" x14ac:dyDescent="0.2">
      <c r="DO16532" s="303" t="s">
        <v>232</v>
      </c>
    </row>
    <row r="16533" spans="119:119" x14ac:dyDescent="0.2">
      <c r="DO16533" s="303" t="s">
        <v>232</v>
      </c>
    </row>
    <row r="16534" spans="119:119" x14ac:dyDescent="0.2">
      <c r="DO16534" s="303" t="s">
        <v>232</v>
      </c>
    </row>
    <row r="16535" spans="119:119" x14ac:dyDescent="0.2">
      <c r="DO16535" s="303" t="s">
        <v>232</v>
      </c>
    </row>
    <row r="16536" spans="119:119" x14ac:dyDescent="0.2">
      <c r="DO16536" s="303" t="s">
        <v>232</v>
      </c>
    </row>
    <row r="16537" spans="119:119" x14ac:dyDescent="0.2">
      <c r="DO16537" s="303" t="s">
        <v>232</v>
      </c>
    </row>
    <row r="16538" spans="119:119" x14ac:dyDescent="0.2">
      <c r="DO16538" s="303" t="s">
        <v>232</v>
      </c>
    </row>
    <row r="16539" spans="119:119" x14ac:dyDescent="0.2">
      <c r="DO16539" s="303" t="s">
        <v>232</v>
      </c>
    </row>
    <row r="16540" spans="119:119" x14ac:dyDescent="0.2">
      <c r="DO16540" s="303" t="s">
        <v>232</v>
      </c>
    </row>
    <row r="16541" spans="119:119" x14ac:dyDescent="0.2">
      <c r="DO16541" s="303" t="s">
        <v>232</v>
      </c>
    </row>
    <row r="16542" spans="119:119" x14ac:dyDescent="0.2">
      <c r="DO16542" s="303" t="s">
        <v>232</v>
      </c>
    </row>
    <row r="16543" spans="119:119" x14ac:dyDescent="0.2">
      <c r="DO16543" s="303" t="s">
        <v>232</v>
      </c>
    </row>
    <row r="16544" spans="119:119" x14ac:dyDescent="0.2">
      <c r="DO16544" s="303" t="s">
        <v>232</v>
      </c>
    </row>
    <row r="16545" spans="119:119" x14ac:dyDescent="0.2">
      <c r="DO16545" s="303" t="s">
        <v>232</v>
      </c>
    </row>
    <row r="16546" spans="119:119" x14ac:dyDescent="0.2">
      <c r="DO16546" s="303" t="s">
        <v>232</v>
      </c>
    </row>
    <row r="16547" spans="119:119" x14ac:dyDescent="0.2">
      <c r="DO16547" s="303" t="s">
        <v>232</v>
      </c>
    </row>
    <row r="16548" spans="119:119" x14ac:dyDescent="0.2">
      <c r="DO16548" s="303" t="s">
        <v>232</v>
      </c>
    </row>
    <row r="16549" spans="119:119" x14ac:dyDescent="0.2">
      <c r="DO16549" s="303" t="s">
        <v>232</v>
      </c>
    </row>
    <row r="16550" spans="119:119" x14ac:dyDescent="0.2">
      <c r="DO16550" s="303" t="s">
        <v>232</v>
      </c>
    </row>
    <row r="16551" spans="119:119" x14ac:dyDescent="0.2">
      <c r="DO16551" s="303" t="s">
        <v>232</v>
      </c>
    </row>
    <row r="16552" spans="119:119" x14ac:dyDescent="0.2">
      <c r="DO16552" s="303" t="s">
        <v>232</v>
      </c>
    </row>
    <row r="16553" spans="119:119" x14ac:dyDescent="0.2">
      <c r="DO16553" s="303" t="s">
        <v>232</v>
      </c>
    </row>
    <row r="16554" spans="119:119" x14ac:dyDescent="0.2">
      <c r="DO16554" s="303" t="s">
        <v>232</v>
      </c>
    </row>
    <row r="16555" spans="119:119" x14ac:dyDescent="0.2">
      <c r="DO16555" s="303" t="s">
        <v>232</v>
      </c>
    </row>
    <row r="16556" spans="119:119" x14ac:dyDescent="0.2">
      <c r="DO16556" s="303" t="s">
        <v>232</v>
      </c>
    </row>
    <row r="16557" spans="119:119" x14ac:dyDescent="0.2">
      <c r="DO16557" s="303" t="s">
        <v>232</v>
      </c>
    </row>
    <row r="16558" spans="119:119" x14ac:dyDescent="0.2">
      <c r="DO16558" s="303" t="s">
        <v>232</v>
      </c>
    </row>
    <row r="16559" spans="119:119" x14ac:dyDescent="0.2">
      <c r="DO16559" s="303" t="s">
        <v>232</v>
      </c>
    </row>
    <row r="16560" spans="119:119" x14ac:dyDescent="0.2">
      <c r="DO16560" s="303" t="s">
        <v>232</v>
      </c>
    </row>
    <row r="16561" spans="119:119" x14ac:dyDescent="0.2">
      <c r="DO16561" s="303" t="s">
        <v>232</v>
      </c>
    </row>
    <row r="16562" spans="119:119" x14ac:dyDescent="0.2">
      <c r="DO16562" s="303" t="s">
        <v>232</v>
      </c>
    </row>
    <row r="16563" spans="119:119" x14ac:dyDescent="0.2">
      <c r="DO16563" s="303" t="s">
        <v>232</v>
      </c>
    </row>
    <row r="16564" spans="119:119" x14ac:dyDescent="0.2">
      <c r="DO16564" s="303" t="s">
        <v>232</v>
      </c>
    </row>
    <row r="16565" spans="119:119" x14ac:dyDescent="0.2">
      <c r="DO16565" s="303" t="s">
        <v>232</v>
      </c>
    </row>
    <row r="16566" spans="119:119" x14ac:dyDescent="0.2">
      <c r="DO16566" s="303" t="s">
        <v>232</v>
      </c>
    </row>
    <row r="16567" spans="119:119" x14ac:dyDescent="0.2">
      <c r="DO16567" s="303" t="s">
        <v>232</v>
      </c>
    </row>
    <row r="16568" spans="119:119" x14ac:dyDescent="0.2">
      <c r="DO16568" s="303" t="s">
        <v>232</v>
      </c>
    </row>
    <row r="16569" spans="119:119" x14ac:dyDescent="0.2">
      <c r="DO16569" s="303" t="s">
        <v>232</v>
      </c>
    </row>
    <row r="16570" spans="119:119" x14ac:dyDescent="0.2">
      <c r="DO16570" s="303" t="s">
        <v>232</v>
      </c>
    </row>
    <row r="16571" spans="119:119" x14ac:dyDescent="0.2">
      <c r="DO16571" s="303" t="s">
        <v>232</v>
      </c>
    </row>
    <row r="16572" spans="119:119" x14ac:dyDescent="0.2">
      <c r="DO16572" s="303" t="s">
        <v>232</v>
      </c>
    </row>
    <row r="16573" spans="119:119" x14ac:dyDescent="0.2">
      <c r="DO16573" s="303" t="s">
        <v>232</v>
      </c>
    </row>
    <row r="16574" spans="119:119" x14ac:dyDescent="0.2">
      <c r="DO16574" s="303" t="s">
        <v>232</v>
      </c>
    </row>
    <row r="16575" spans="119:119" x14ac:dyDescent="0.2">
      <c r="DO16575" s="303" t="s">
        <v>232</v>
      </c>
    </row>
    <row r="16576" spans="119:119" x14ac:dyDescent="0.2">
      <c r="DO16576" s="303" t="s">
        <v>232</v>
      </c>
    </row>
    <row r="16577" spans="119:119" x14ac:dyDescent="0.2">
      <c r="DO16577" s="303" t="s">
        <v>232</v>
      </c>
    </row>
    <row r="16578" spans="119:119" x14ac:dyDescent="0.2">
      <c r="DO16578" s="303" t="s">
        <v>232</v>
      </c>
    </row>
    <row r="16579" spans="119:119" x14ac:dyDescent="0.2">
      <c r="DO16579" s="303" t="s">
        <v>232</v>
      </c>
    </row>
    <row r="16580" spans="119:119" x14ac:dyDescent="0.2">
      <c r="DO16580" s="303" t="s">
        <v>232</v>
      </c>
    </row>
    <row r="16581" spans="119:119" x14ac:dyDescent="0.2">
      <c r="DO16581" s="303" t="s">
        <v>232</v>
      </c>
    </row>
    <row r="16582" spans="119:119" x14ac:dyDescent="0.2">
      <c r="DO16582" s="303" t="s">
        <v>232</v>
      </c>
    </row>
    <row r="16583" spans="119:119" x14ac:dyDescent="0.2">
      <c r="DO16583" s="303" t="s">
        <v>232</v>
      </c>
    </row>
    <row r="16584" spans="119:119" x14ac:dyDescent="0.2">
      <c r="DO16584" s="303" t="s">
        <v>232</v>
      </c>
    </row>
    <row r="16585" spans="119:119" x14ac:dyDescent="0.2">
      <c r="DO16585" s="303" t="s">
        <v>232</v>
      </c>
    </row>
    <row r="16586" spans="119:119" x14ac:dyDescent="0.2">
      <c r="DO16586" s="303" t="s">
        <v>232</v>
      </c>
    </row>
    <row r="16587" spans="119:119" x14ac:dyDescent="0.2">
      <c r="DO16587" s="303" t="s">
        <v>232</v>
      </c>
    </row>
    <row r="16588" spans="119:119" x14ac:dyDescent="0.2">
      <c r="DO16588" s="303" t="s">
        <v>232</v>
      </c>
    </row>
    <row r="16589" spans="119:119" x14ac:dyDescent="0.2">
      <c r="DO16589" s="303" t="s">
        <v>232</v>
      </c>
    </row>
    <row r="16590" spans="119:119" x14ac:dyDescent="0.2">
      <c r="DO16590" s="303" t="s">
        <v>232</v>
      </c>
    </row>
    <row r="16591" spans="119:119" x14ac:dyDescent="0.2">
      <c r="DO16591" s="303" t="s">
        <v>232</v>
      </c>
    </row>
    <row r="16592" spans="119:119" x14ac:dyDescent="0.2">
      <c r="DO16592" s="303" t="s">
        <v>232</v>
      </c>
    </row>
    <row r="16593" spans="119:119" x14ac:dyDescent="0.2">
      <c r="DO16593" s="303" t="s">
        <v>232</v>
      </c>
    </row>
    <row r="16594" spans="119:119" x14ac:dyDescent="0.2">
      <c r="DO16594" s="303" t="s">
        <v>232</v>
      </c>
    </row>
    <row r="16595" spans="119:119" x14ac:dyDescent="0.2">
      <c r="DO16595" s="303" t="s">
        <v>232</v>
      </c>
    </row>
    <row r="16596" spans="119:119" x14ac:dyDescent="0.2">
      <c r="DO16596" s="303" t="s">
        <v>232</v>
      </c>
    </row>
    <row r="16597" spans="119:119" x14ac:dyDescent="0.2">
      <c r="DO16597" s="303" t="s">
        <v>232</v>
      </c>
    </row>
    <row r="16598" spans="119:119" x14ac:dyDescent="0.2">
      <c r="DO16598" s="303" t="s">
        <v>232</v>
      </c>
    </row>
    <row r="16599" spans="119:119" x14ac:dyDescent="0.2">
      <c r="DO16599" s="303" t="s">
        <v>232</v>
      </c>
    </row>
    <row r="16600" spans="119:119" x14ac:dyDescent="0.2">
      <c r="DO16600" s="303" t="s">
        <v>232</v>
      </c>
    </row>
    <row r="16601" spans="119:119" x14ac:dyDescent="0.2">
      <c r="DO16601" s="303" t="s">
        <v>232</v>
      </c>
    </row>
    <row r="16602" spans="119:119" x14ac:dyDescent="0.2">
      <c r="DO16602" s="303" t="s">
        <v>232</v>
      </c>
    </row>
    <row r="16603" spans="119:119" x14ac:dyDescent="0.2">
      <c r="DO16603" s="303" t="s">
        <v>232</v>
      </c>
    </row>
    <row r="16604" spans="119:119" x14ac:dyDescent="0.2">
      <c r="DO16604" s="303" t="s">
        <v>232</v>
      </c>
    </row>
    <row r="16605" spans="119:119" x14ac:dyDescent="0.2">
      <c r="DO16605" s="303" t="s">
        <v>232</v>
      </c>
    </row>
    <row r="16606" spans="119:119" x14ac:dyDescent="0.2">
      <c r="DO16606" s="303" t="s">
        <v>232</v>
      </c>
    </row>
    <row r="16607" spans="119:119" x14ac:dyDescent="0.2">
      <c r="DO16607" s="303" t="s">
        <v>232</v>
      </c>
    </row>
    <row r="16608" spans="119:119" x14ac:dyDescent="0.2">
      <c r="DO16608" s="303" t="s">
        <v>232</v>
      </c>
    </row>
    <row r="16609" spans="119:119" x14ac:dyDescent="0.2">
      <c r="DO16609" s="303" t="s">
        <v>232</v>
      </c>
    </row>
    <row r="16610" spans="119:119" x14ac:dyDescent="0.2">
      <c r="DO16610" s="303" t="s">
        <v>232</v>
      </c>
    </row>
    <row r="16611" spans="119:119" x14ac:dyDescent="0.2">
      <c r="DO16611" s="303" t="s">
        <v>232</v>
      </c>
    </row>
    <row r="16612" spans="119:119" x14ac:dyDescent="0.2">
      <c r="DO16612" s="303" t="s">
        <v>232</v>
      </c>
    </row>
    <row r="16613" spans="119:119" x14ac:dyDescent="0.2">
      <c r="DO16613" s="303" t="s">
        <v>232</v>
      </c>
    </row>
    <row r="16614" spans="119:119" x14ac:dyDescent="0.2">
      <c r="DO16614" s="303" t="s">
        <v>232</v>
      </c>
    </row>
    <row r="16615" spans="119:119" x14ac:dyDescent="0.2">
      <c r="DO16615" s="303" t="s">
        <v>232</v>
      </c>
    </row>
    <row r="16616" spans="119:119" x14ac:dyDescent="0.2">
      <c r="DO16616" s="303" t="s">
        <v>232</v>
      </c>
    </row>
    <row r="16617" spans="119:119" x14ac:dyDescent="0.2">
      <c r="DO16617" s="303" t="s">
        <v>232</v>
      </c>
    </row>
    <row r="16618" spans="119:119" x14ac:dyDescent="0.2">
      <c r="DO16618" s="303" t="s">
        <v>232</v>
      </c>
    </row>
    <row r="16619" spans="119:119" x14ac:dyDescent="0.2">
      <c r="DO16619" s="303" t="s">
        <v>232</v>
      </c>
    </row>
    <row r="16620" spans="119:119" x14ac:dyDescent="0.2">
      <c r="DO16620" s="303" t="s">
        <v>232</v>
      </c>
    </row>
    <row r="16621" spans="119:119" x14ac:dyDescent="0.2">
      <c r="DO16621" s="303" t="s">
        <v>232</v>
      </c>
    </row>
    <row r="16622" spans="119:119" x14ac:dyDescent="0.2">
      <c r="DO16622" s="303" t="s">
        <v>232</v>
      </c>
    </row>
    <row r="16623" spans="119:119" x14ac:dyDescent="0.2">
      <c r="DO16623" s="303" t="s">
        <v>232</v>
      </c>
    </row>
    <row r="16624" spans="119:119" x14ac:dyDescent="0.2">
      <c r="DO16624" s="303" t="s">
        <v>232</v>
      </c>
    </row>
    <row r="16625" spans="119:119" x14ac:dyDescent="0.2">
      <c r="DO16625" s="303" t="s">
        <v>232</v>
      </c>
    </row>
    <row r="16626" spans="119:119" x14ac:dyDescent="0.2">
      <c r="DO16626" s="303" t="s">
        <v>232</v>
      </c>
    </row>
    <row r="16627" spans="119:119" x14ac:dyDescent="0.2">
      <c r="DO16627" s="303" t="s">
        <v>232</v>
      </c>
    </row>
    <row r="16628" spans="119:119" x14ac:dyDescent="0.2">
      <c r="DO16628" s="303" t="s">
        <v>232</v>
      </c>
    </row>
    <row r="16629" spans="119:119" x14ac:dyDescent="0.2">
      <c r="DO16629" s="303" t="s">
        <v>232</v>
      </c>
    </row>
    <row r="16630" spans="119:119" x14ac:dyDescent="0.2">
      <c r="DO16630" s="303" t="s">
        <v>232</v>
      </c>
    </row>
    <row r="16631" spans="119:119" x14ac:dyDescent="0.2">
      <c r="DO16631" s="303" t="s">
        <v>232</v>
      </c>
    </row>
    <row r="16632" spans="119:119" x14ac:dyDescent="0.2">
      <c r="DO16632" s="303" t="s">
        <v>232</v>
      </c>
    </row>
    <row r="16633" spans="119:119" x14ac:dyDescent="0.2">
      <c r="DO16633" s="303" t="s">
        <v>232</v>
      </c>
    </row>
    <row r="16634" spans="119:119" x14ac:dyDescent="0.2">
      <c r="DO16634" s="303" t="s">
        <v>232</v>
      </c>
    </row>
    <row r="16635" spans="119:119" x14ac:dyDescent="0.2">
      <c r="DO16635" s="303" t="s">
        <v>232</v>
      </c>
    </row>
    <row r="16636" spans="119:119" x14ac:dyDescent="0.2">
      <c r="DO16636" s="303" t="s">
        <v>232</v>
      </c>
    </row>
    <row r="16637" spans="119:119" x14ac:dyDescent="0.2">
      <c r="DO16637" s="303" t="s">
        <v>232</v>
      </c>
    </row>
    <row r="16638" spans="119:119" x14ac:dyDescent="0.2">
      <c r="DO16638" s="303" t="s">
        <v>232</v>
      </c>
    </row>
    <row r="16639" spans="119:119" x14ac:dyDescent="0.2">
      <c r="DO16639" s="303" t="s">
        <v>232</v>
      </c>
    </row>
    <row r="16640" spans="119:119" x14ac:dyDescent="0.2">
      <c r="DO16640" s="303" t="s">
        <v>232</v>
      </c>
    </row>
    <row r="16641" spans="119:119" x14ac:dyDescent="0.2">
      <c r="DO16641" s="303" t="s">
        <v>232</v>
      </c>
    </row>
    <row r="16642" spans="119:119" x14ac:dyDescent="0.2">
      <c r="DO16642" s="303" t="s">
        <v>232</v>
      </c>
    </row>
    <row r="16643" spans="119:119" x14ac:dyDescent="0.2">
      <c r="DO16643" s="303" t="s">
        <v>232</v>
      </c>
    </row>
    <row r="16644" spans="119:119" x14ac:dyDescent="0.2">
      <c r="DO16644" s="303" t="s">
        <v>232</v>
      </c>
    </row>
    <row r="16645" spans="119:119" x14ac:dyDescent="0.2">
      <c r="DO16645" s="303" t="s">
        <v>232</v>
      </c>
    </row>
    <row r="16646" spans="119:119" x14ac:dyDescent="0.2">
      <c r="DO16646" s="303" t="s">
        <v>232</v>
      </c>
    </row>
    <row r="16647" spans="119:119" x14ac:dyDescent="0.2">
      <c r="DO16647" s="303" t="s">
        <v>232</v>
      </c>
    </row>
    <row r="16648" spans="119:119" x14ac:dyDescent="0.2">
      <c r="DO16648" s="303" t="s">
        <v>232</v>
      </c>
    </row>
    <row r="16649" spans="119:119" x14ac:dyDescent="0.2">
      <c r="DO16649" s="303" t="s">
        <v>232</v>
      </c>
    </row>
    <row r="16650" spans="119:119" x14ac:dyDescent="0.2">
      <c r="DO16650" s="303" t="s">
        <v>232</v>
      </c>
    </row>
    <row r="16651" spans="119:119" x14ac:dyDescent="0.2">
      <c r="DO16651" s="303" t="s">
        <v>232</v>
      </c>
    </row>
    <row r="16652" spans="119:119" x14ac:dyDescent="0.2">
      <c r="DO16652" s="303" t="s">
        <v>232</v>
      </c>
    </row>
    <row r="16653" spans="119:119" x14ac:dyDescent="0.2">
      <c r="DO16653" s="303" t="s">
        <v>232</v>
      </c>
    </row>
    <row r="16654" spans="119:119" x14ac:dyDescent="0.2">
      <c r="DO16654" s="303" t="s">
        <v>232</v>
      </c>
    </row>
    <row r="16655" spans="119:119" x14ac:dyDescent="0.2">
      <c r="DO16655" s="303" t="s">
        <v>232</v>
      </c>
    </row>
    <row r="16656" spans="119:119" x14ac:dyDescent="0.2">
      <c r="DO16656" s="303" t="s">
        <v>232</v>
      </c>
    </row>
    <row r="16657" spans="119:119" x14ac:dyDescent="0.2">
      <c r="DO16657" s="303" t="s">
        <v>232</v>
      </c>
    </row>
    <row r="16658" spans="119:119" x14ac:dyDescent="0.2">
      <c r="DO16658" s="303" t="s">
        <v>232</v>
      </c>
    </row>
    <row r="16659" spans="119:119" x14ac:dyDescent="0.2">
      <c r="DO16659" s="303" t="s">
        <v>232</v>
      </c>
    </row>
    <row r="16660" spans="119:119" x14ac:dyDescent="0.2">
      <c r="DO16660" s="303" t="s">
        <v>232</v>
      </c>
    </row>
    <row r="16661" spans="119:119" x14ac:dyDescent="0.2">
      <c r="DO16661" s="303" t="s">
        <v>232</v>
      </c>
    </row>
    <row r="16662" spans="119:119" x14ac:dyDescent="0.2">
      <c r="DO16662" s="303" t="s">
        <v>232</v>
      </c>
    </row>
    <row r="16663" spans="119:119" x14ac:dyDescent="0.2">
      <c r="DO16663" s="303" t="s">
        <v>232</v>
      </c>
    </row>
    <row r="16664" spans="119:119" x14ac:dyDescent="0.2">
      <c r="DO16664" s="303" t="s">
        <v>232</v>
      </c>
    </row>
    <row r="16665" spans="119:119" x14ac:dyDescent="0.2">
      <c r="DO16665" s="303" t="s">
        <v>232</v>
      </c>
    </row>
    <row r="16666" spans="119:119" x14ac:dyDescent="0.2">
      <c r="DO16666" s="303" t="s">
        <v>232</v>
      </c>
    </row>
    <row r="16667" spans="119:119" x14ac:dyDescent="0.2">
      <c r="DO16667" s="303" t="s">
        <v>232</v>
      </c>
    </row>
    <row r="16668" spans="119:119" x14ac:dyDescent="0.2">
      <c r="DO16668" s="303" t="s">
        <v>232</v>
      </c>
    </row>
    <row r="16669" spans="119:119" x14ac:dyDescent="0.2">
      <c r="DO16669" s="303" t="s">
        <v>232</v>
      </c>
    </row>
    <row r="16670" spans="119:119" x14ac:dyDescent="0.2">
      <c r="DO16670" s="303" t="s">
        <v>232</v>
      </c>
    </row>
    <row r="16671" spans="119:119" x14ac:dyDescent="0.2">
      <c r="DO16671" s="303" t="s">
        <v>232</v>
      </c>
    </row>
    <row r="16672" spans="119:119" x14ac:dyDescent="0.2">
      <c r="DO16672" s="303" t="s">
        <v>232</v>
      </c>
    </row>
    <row r="16673" spans="119:119" x14ac:dyDescent="0.2">
      <c r="DO16673" s="303" t="s">
        <v>232</v>
      </c>
    </row>
    <row r="16674" spans="119:119" x14ac:dyDescent="0.2">
      <c r="DO16674" s="303" t="s">
        <v>232</v>
      </c>
    </row>
    <row r="16675" spans="119:119" x14ac:dyDescent="0.2">
      <c r="DO16675" s="303" t="s">
        <v>232</v>
      </c>
    </row>
    <row r="16676" spans="119:119" x14ac:dyDescent="0.2">
      <c r="DO16676" s="303" t="s">
        <v>232</v>
      </c>
    </row>
    <row r="16677" spans="119:119" x14ac:dyDescent="0.2">
      <c r="DO16677" s="303" t="s">
        <v>232</v>
      </c>
    </row>
    <row r="16678" spans="119:119" x14ac:dyDescent="0.2">
      <c r="DO16678" s="303" t="s">
        <v>232</v>
      </c>
    </row>
    <row r="16679" spans="119:119" x14ac:dyDescent="0.2">
      <c r="DO16679" s="303" t="s">
        <v>232</v>
      </c>
    </row>
    <row r="16680" spans="119:119" x14ac:dyDescent="0.2">
      <c r="DO16680" s="303" t="s">
        <v>232</v>
      </c>
    </row>
    <row r="16681" spans="119:119" x14ac:dyDescent="0.2">
      <c r="DO16681" s="303" t="s">
        <v>232</v>
      </c>
    </row>
    <row r="16682" spans="119:119" x14ac:dyDescent="0.2">
      <c r="DO16682" s="303" t="s">
        <v>232</v>
      </c>
    </row>
    <row r="16683" spans="119:119" x14ac:dyDescent="0.2">
      <c r="DO16683" s="303" t="s">
        <v>232</v>
      </c>
    </row>
    <row r="16684" spans="119:119" x14ac:dyDescent="0.2">
      <c r="DO16684" s="303" t="s">
        <v>232</v>
      </c>
    </row>
    <row r="16685" spans="119:119" x14ac:dyDescent="0.2">
      <c r="DO16685" s="303" t="s">
        <v>232</v>
      </c>
    </row>
    <row r="16686" spans="119:119" x14ac:dyDescent="0.2">
      <c r="DO16686" s="303" t="s">
        <v>232</v>
      </c>
    </row>
    <row r="16687" spans="119:119" x14ac:dyDescent="0.2">
      <c r="DO16687" s="303" t="s">
        <v>232</v>
      </c>
    </row>
    <row r="16688" spans="119:119" x14ac:dyDescent="0.2">
      <c r="DO16688" s="303" t="s">
        <v>232</v>
      </c>
    </row>
    <row r="16689" spans="119:119" x14ac:dyDescent="0.2">
      <c r="DO16689" s="303" t="s">
        <v>232</v>
      </c>
    </row>
    <row r="16690" spans="119:119" x14ac:dyDescent="0.2">
      <c r="DO16690" s="303" t="s">
        <v>232</v>
      </c>
    </row>
    <row r="16691" spans="119:119" x14ac:dyDescent="0.2">
      <c r="DO16691" s="303" t="s">
        <v>232</v>
      </c>
    </row>
    <row r="16692" spans="119:119" x14ac:dyDescent="0.2">
      <c r="DO16692" s="303" t="s">
        <v>232</v>
      </c>
    </row>
    <row r="16693" spans="119:119" x14ac:dyDescent="0.2">
      <c r="DO16693" s="303" t="s">
        <v>232</v>
      </c>
    </row>
    <row r="16694" spans="119:119" x14ac:dyDescent="0.2">
      <c r="DO16694" s="303" t="s">
        <v>232</v>
      </c>
    </row>
    <row r="16695" spans="119:119" x14ac:dyDescent="0.2">
      <c r="DO16695" s="303" t="s">
        <v>232</v>
      </c>
    </row>
    <row r="16696" spans="119:119" x14ac:dyDescent="0.2">
      <c r="DO16696" s="303" t="s">
        <v>232</v>
      </c>
    </row>
    <row r="16697" spans="119:119" x14ac:dyDescent="0.2">
      <c r="DO16697" s="303" t="s">
        <v>232</v>
      </c>
    </row>
    <row r="16698" spans="119:119" x14ac:dyDescent="0.2">
      <c r="DO16698" s="303" t="s">
        <v>232</v>
      </c>
    </row>
    <row r="16699" spans="119:119" x14ac:dyDescent="0.2">
      <c r="DO16699" s="303" t="s">
        <v>232</v>
      </c>
    </row>
    <row r="16700" spans="119:119" x14ac:dyDescent="0.2">
      <c r="DO16700" s="303" t="s">
        <v>232</v>
      </c>
    </row>
    <row r="16701" spans="119:119" x14ac:dyDescent="0.2">
      <c r="DO16701" s="303" t="s">
        <v>232</v>
      </c>
    </row>
    <row r="16702" spans="119:119" x14ac:dyDescent="0.2">
      <c r="DO16702" s="303" t="s">
        <v>232</v>
      </c>
    </row>
    <row r="16703" spans="119:119" x14ac:dyDescent="0.2">
      <c r="DO16703" s="303" t="s">
        <v>232</v>
      </c>
    </row>
    <row r="16704" spans="119:119" x14ac:dyDescent="0.2">
      <c r="DO16704" s="303" t="s">
        <v>232</v>
      </c>
    </row>
    <row r="16705" spans="119:119" x14ac:dyDescent="0.2">
      <c r="DO16705" s="303" t="s">
        <v>232</v>
      </c>
    </row>
    <row r="16706" spans="119:119" x14ac:dyDescent="0.2">
      <c r="DO16706" s="303" t="s">
        <v>232</v>
      </c>
    </row>
    <row r="16707" spans="119:119" x14ac:dyDescent="0.2">
      <c r="DO16707" s="303" t="s">
        <v>232</v>
      </c>
    </row>
    <row r="16708" spans="119:119" x14ac:dyDescent="0.2">
      <c r="DO16708" s="303" t="s">
        <v>232</v>
      </c>
    </row>
    <row r="16709" spans="119:119" x14ac:dyDescent="0.2">
      <c r="DO16709" s="303" t="s">
        <v>232</v>
      </c>
    </row>
    <row r="16710" spans="119:119" x14ac:dyDescent="0.2">
      <c r="DO16710" s="303" t="s">
        <v>232</v>
      </c>
    </row>
    <row r="16711" spans="119:119" x14ac:dyDescent="0.2">
      <c r="DO16711" s="303" t="s">
        <v>232</v>
      </c>
    </row>
    <row r="16712" spans="119:119" x14ac:dyDescent="0.2">
      <c r="DO16712" s="303" t="s">
        <v>232</v>
      </c>
    </row>
    <row r="16713" spans="119:119" x14ac:dyDescent="0.2">
      <c r="DO16713" s="303" t="s">
        <v>232</v>
      </c>
    </row>
    <row r="16714" spans="119:119" x14ac:dyDescent="0.2">
      <c r="DO16714" s="303" t="s">
        <v>232</v>
      </c>
    </row>
    <row r="16715" spans="119:119" x14ac:dyDescent="0.2">
      <c r="DO16715" s="303" t="s">
        <v>232</v>
      </c>
    </row>
    <row r="16716" spans="119:119" x14ac:dyDescent="0.2">
      <c r="DO16716" s="303" t="s">
        <v>232</v>
      </c>
    </row>
    <row r="16717" spans="119:119" x14ac:dyDescent="0.2">
      <c r="DO16717" s="303" t="s">
        <v>232</v>
      </c>
    </row>
    <row r="16718" spans="119:119" x14ac:dyDescent="0.2">
      <c r="DO16718" s="303" t="s">
        <v>232</v>
      </c>
    </row>
    <row r="16719" spans="119:119" x14ac:dyDescent="0.2">
      <c r="DO16719" s="303" t="s">
        <v>232</v>
      </c>
    </row>
    <row r="16720" spans="119:119" x14ac:dyDescent="0.2">
      <c r="DO16720" s="303" t="s">
        <v>232</v>
      </c>
    </row>
    <row r="16721" spans="119:119" x14ac:dyDescent="0.2">
      <c r="DO16721" s="303" t="s">
        <v>232</v>
      </c>
    </row>
    <row r="16722" spans="119:119" x14ac:dyDescent="0.2">
      <c r="DO16722" s="303" t="s">
        <v>232</v>
      </c>
    </row>
    <row r="16723" spans="119:119" x14ac:dyDescent="0.2">
      <c r="DO16723" s="303" t="s">
        <v>232</v>
      </c>
    </row>
    <row r="16724" spans="119:119" x14ac:dyDescent="0.2">
      <c r="DO16724" s="303" t="s">
        <v>232</v>
      </c>
    </row>
    <row r="16725" spans="119:119" x14ac:dyDescent="0.2">
      <c r="DO16725" s="303" t="s">
        <v>232</v>
      </c>
    </row>
    <row r="16726" spans="119:119" x14ac:dyDescent="0.2">
      <c r="DO16726" s="303" t="s">
        <v>232</v>
      </c>
    </row>
    <row r="16727" spans="119:119" x14ac:dyDescent="0.2">
      <c r="DO16727" s="303" t="s">
        <v>232</v>
      </c>
    </row>
    <row r="16728" spans="119:119" x14ac:dyDescent="0.2">
      <c r="DO16728" s="303" t="s">
        <v>232</v>
      </c>
    </row>
    <row r="16729" spans="119:119" x14ac:dyDescent="0.2">
      <c r="DO16729" s="303" t="s">
        <v>232</v>
      </c>
    </row>
    <row r="16730" spans="119:119" x14ac:dyDescent="0.2">
      <c r="DO16730" s="303" t="s">
        <v>232</v>
      </c>
    </row>
    <row r="16731" spans="119:119" x14ac:dyDescent="0.2">
      <c r="DO16731" s="303" t="s">
        <v>232</v>
      </c>
    </row>
    <row r="16732" spans="119:119" x14ac:dyDescent="0.2">
      <c r="DO16732" s="303" t="s">
        <v>232</v>
      </c>
    </row>
    <row r="16733" spans="119:119" x14ac:dyDescent="0.2">
      <c r="DO16733" s="303" t="s">
        <v>232</v>
      </c>
    </row>
    <row r="16734" spans="119:119" x14ac:dyDescent="0.2">
      <c r="DO16734" s="303" t="s">
        <v>232</v>
      </c>
    </row>
    <row r="16735" spans="119:119" x14ac:dyDescent="0.2">
      <c r="DO16735" s="303" t="s">
        <v>232</v>
      </c>
    </row>
    <row r="16736" spans="119:119" x14ac:dyDescent="0.2">
      <c r="DO16736" s="303" t="s">
        <v>232</v>
      </c>
    </row>
    <row r="16737" spans="119:119" x14ac:dyDescent="0.2">
      <c r="DO16737" s="303" t="s">
        <v>232</v>
      </c>
    </row>
    <row r="16738" spans="119:119" x14ac:dyDescent="0.2">
      <c r="DO16738" s="303" t="s">
        <v>232</v>
      </c>
    </row>
    <row r="16739" spans="119:119" x14ac:dyDescent="0.2">
      <c r="DO16739" s="303" t="s">
        <v>232</v>
      </c>
    </row>
    <row r="16740" spans="119:119" x14ac:dyDescent="0.2">
      <c r="DO16740" s="303" t="s">
        <v>232</v>
      </c>
    </row>
    <row r="16741" spans="119:119" x14ac:dyDescent="0.2">
      <c r="DO16741" s="303" t="s">
        <v>232</v>
      </c>
    </row>
    <row r="16742" spans="119:119" x14ac:dyDescent="0.2">
      <c r="DO16742" s="303" t="s">
        <v>232</v>
      </c>
    </row>
    <row r="16743" spans="119:119" x14ac:dyDescent="0.2">
      <c r="DO16743" s="303" t="s">
        <v>232</v>
      </c>
    </row>
    <row r="16744" spans="119:119" x14ac:dyDescent="0.2">
      <c r="DO16744" s="303" t="s">
        <v>232</v>
      </c>
    </row>
    <row r="16745" spans="119:119" x14ac:dyDescent="0.2">
      <c r="DO16745" s="303" t="s">
        <v>232</v>
      </c>
    </row>
    <row r="16746" spans="119:119" x14ac:dyDescent="0.2">
      <c r="DO16746" s="303" t="s">
        <v>232</v>
      </c>
    </row>
    <row r="16747" spans="119:119" x14ac:dyDescent="0.2">
      <c r="DO16747" s="303" t="s">
        <v>232</v>
      </c>
    </row>
    <row r="16748" spans="119:119" x14ac:dyDescent="0.2">
      <c r="DO16748" s="303" t="s">
        <v>232</v>
      </c>
    </row>
    <row r="16749" spans="119:119" x14ac:dyDescent="0.2">
      <c r="DO16749" s="303" t="s">
        <v>232</v>
      </c>
    </row>
    <row r="16750" spans="119:119" x14ac:dyDescent="0.2">
      <c r="DO16750" s="303" t="s">
        <v>232</v>
      </c>
    </row>
    <row r="16751" spans="119:119" x14ac:dyDescent="0.2">
      <c r="DO16751" s="303" t="s">
        <v>232</v>
      </c>
    </row>
    <row r="16752" spans="119:119" x14ac:dyDescent="0.2">
      <c r="DO16752" s="303" t="s">
        <v>232</v>
      </c>
    </row>
    <row r="16753" spans="119:119" x14ac:dyDescent="0.2">
      <c r="DO16753" s="303" t="s">
        <v>232</v>
      </c>
    </row>
    <row r="16754" spans="119:119" x14ac:dyDescent="0.2">
      <c r="DO16754" s="303" t="s">
        <v>232</v>
      </c>
    </row>
    <row r="16755" spans="119:119" x14ac:dyDescent="0.2">
      <c r="DO16755" s="303" t="s">
        <v>232</v>
      </c>
    </row>
    <row r="16756" spans="119:119" x14ac:dyDescent="0.2">
      <c r="DO16756" s="303" t="s">
        <v>232</v>
      </c>
    </row>
    <row r="16757" spans="119:119" x14ac:dyDescent="0.2">
      <c r="DO16757" s="303" t="s">
        <v>232</v>
      </c>
    </row>
    <row r="16758" spans="119:119" x14ac:dyDescent="0.2">
      <c r="DO16758" s="303" t="s">
        <v>232</v>
      </c>
    </row>
    <row r="16759" spans="119:119" x14ac:dyDescent="0.2">
      <c r="DO16759" s="303" t="s">
        <v>232</v>
      </c>
    </row>
    <row r="16760" spans="119:119" x14ac:dyDescent="0.2">
      <c r="DO16760" s="303" t="s">
        <v>232</v>
      </c>
    </row>
    <row r="16761" spans="119:119" x14ac:dyDescent="0.2">
      <c r="DO16761" s="303" t="s">
        <v>232</v>
      </c>
    </row>
    <row r="16762" spans="119:119" x14ac:dyDescent="0.2">
      <c r="DO16762" s="303" t="s">
        <v>232</v>
      </c>
    </row>
    <row r="16763" spans="119:119" x14ac:dyDescent="0.2">
      <c r="DO16763" s="303" t="s">
        <v>232</v>
      </c>
    </row>
    <row r="16764" spans="119:119" x14ac:dyDescent="0.2">
      <c r="DO16764" s="303" t="s">
        <v>232</v>
      </c>
    </row>
    <row r="16765" spans="119:119" x14ac:dyDescent="0.2">
      <c r="DO16765" s="303" t="s">
        <v>232</v>
      </c>
    </row>
    <row r="16766" spans="119:119" x14ac:dyDescent="0.2">
      <c r="DO16766" s="303" t="s">
        <v>232</v>
      </c>
    </row>
    <row r="16767" spans="119:119" x14ac:dyDescent="0.2">
      <c r="DO16767" s="303" t="s">
        <v>232</v>
      </c>
    </row>
    <row r="16768" spans="119:119" x14ac:dyDescent="0.2">
      <c r="DO16768" s="303" t="s">
        <v>232</v>
      </c>
    </row>
    <row r="16769" spans="119:119" x14ac:dyDescent="0.2">
      <c r="DO16769" s="303" t="s">
        <v>232</v>
      </c>
    </row>
    <row r="16770" spans="119:119" x14ac:dyDescent="0.2">
      <c r="DO16770" s="303" t="s">
        <v>232</v>
      </c>
    </row>
    <row r="16771" spans="119:119" x14ac:dyDescent="0.2">
      <c r="DO16771" s="303" t="s">
        <v>232</v>
      </c>
    </row>
    <row r="16772" spans="119:119" x14ac:dyDescent="0.2">
      <c r="DO16772" s="303" t="s">
        <v>232</v>
      </c>
    </row>
    <row r="16773" spans="119:119" x14ac:dyDescent="0.2">
      <c r="DO16773" s="303" t="s">
        <v>232</v>
      </c>
    </row>
    <row r="16774" spans="119:119" x14ac:dyDescent="0.2">
      <c r="DO16774" s="303" t="s">
        <v>232</v>
      </c>
    </row>
    <row r="16775" spans="119:119" x14ac:dyDescent="0.2">
      <c r="DO16775" s="303" t="s">
        <v>232</v>
      </c>
    </row>
    <row r="16776" spans="119:119" x14ac:dyDescent="0.2">
      <c r="DO16776" s="303" t="s">
        <v>232</v>
      </c>
    </row>
    <row r="16777" spans="119:119" x14ac:dyDescent="0.2">
      <c r="DO16777" s="303" t="s">
        <v>232</v>
      </c>
    </row>
    <row r="16778" spans="119:119" x14ac:dyDescent="0.2">
      <c r="DO16778" s="303" t="s">
        <v>232</v>
      </c>
    </row>
    <row r="16779" spans="119:119" x14ac:dyDescent="0.2">
      <c r="DO16779" s="303" t="s">
        <v>232</v>
      </c>
    </row>
    <row r="16780" spans="119:119" x14ac:dyDescent="0.2">
      <c r="DO16780" s="303" t="s">
        <v>232</v>
      </c>
    </row>
    <row r="16781" spans="119:119" x14ac:dyDescent="0.2">
      <c r="DO16781" s="303" t="s">
        <v>232</v>
      </c>
    </row>
    <row r="16782" spans="119:119" x14ac:dyDescent="0.2">
      <c r="DO16782" s="303" t="s">
        <v>232</v>
      </c>
    </row>
    <row r="16783" spans="119:119" x14ac:dyDescent="0.2">
      <c r="DO16783" s="303" t="s">
        <v>232</v>
      </c>
    </row>
    <row r="16784" spans="119:119" x14ac:dyDescent="0.2">
      <c r="DO16784" s="303" t="s">
        <v>232</v>
      </c>
    </row>
    <row r="16785" spans="119:119" x14ac:dyDescent="0.2">
      <c r="DO16785" s="303" t="s">
        <v>232</v>
      </c>
    </row>
    <row r="16786" spans="119:119" x14ac:dyDescent="0.2">
      <c r="DO16786" s="303" t="s">
        <v>232</v>
      </c>
    </row>
    <row r="16787" spans="119:119" x14ac:dyDescent="0.2">
      <c r="DO16787" s="303" t="s">
        <v>232</v>
      </c>
    </row>
    <row r="16788" spans="119:119" x14ac:dyDescent="0.2">
      <c r="DO16788" s="303" t="s">
        <v>232</v>
      </c>
    </row>
    <row r="16789" spans="119:119" x14ac:dyDescent="0.2">
      <c r="DO16789" s="303" t="s">
        <v>232</v>
      </c>
    </row>
    <row r="16790" spans="119:119" x14ac:dyDescent="0.2">
      <c r="DO16790" s="303" t="s">
        <v>232</v>
      </c>
    </row>
    <row r="16791" spans="119:119" x14ac:dyDescent="0.2">
      <c r="DO16791" s="303" t="s">
        <v>232</v>
      </c>
    </row>
    <row r="16792" spans="119:119" x14ac:dyDescent="0.2">
      <c r="DO16792" s="303" t="s">
        <v>232</v>
      </c>
    </row>
    <row r="16793" spans="119:119" x14ac:dyDescent="0.2">
      <c r="DO16793" s="303" t="s">
        <v>232</v>
      </c>
    </row>
    <row r="16794" spans="119:119" x14ac:dyDescent="0.2">
      <c r="DO16794" s="303" t="s">
        <v>232</v>
      </c>
    </row>
    <row r="16795" spans="119:119" x14ac:dyDescent="0.2">
      <c r="DO16795" s="303" t="s">
        <v>232</v>
      </c>
    </row>
    <row r="16796" spans="119:119" x14ac:dyDescent="0.2">
      <c r="DO16796" s="303" t="s">
        <v>232</v>
      </c>
    </row>
    <row r="16797" spans="119:119" x14ac:dyDescent="0.2">
      <c r="DO16797" s="303" t="s">
        <v>232</v>
      </c>
    </row>
    <row r="16798" spans="119:119" x14ac:dyDescent="0.2">
      <c r="DO16798" s="303" t="s">
        <v>232</v>
      </c>
    </row>
    <row r="16799" spans="119:119" x14ac:dyDescent="0.2">
      <c r="DO16799" s="303" t="s">
        <v>232</v>
      </c>
    </row>
    <row r="16800" spans="119:119" x14ac:dyDescent="0.2">
      <c r="DO16800" s="303" t="s">
        <v>232</v>
      </c>
    </row>
    <row r="16801" spans="119:119" x14ac:dyDescent="0.2">
      <c r="DO16801" s="303" t="s">
        <v>232</v>
      </c>
    </row>
    <row r="16802" spans="119:119" x14ac:dyDescent="0.2">
      <c r="DO16802" s="303" t="s">
        <v>232</v>
      </c>
    </row>
    <row r="16803" spans="119:119" x14ac:dyDescent="0.2">
      <c r="DO16803" s="303" t="s">
        <v>232</v>
      </c>
    </row>
    <row r="16804" spans="119:119" x14ac:dyDescent="0.2">
      <c r="DO16804" s="303" t="s">
        <v>232</v>
      </c>
    </row>
    <row r="16805" spans="119:119" x14ac:dyDescent="0.2">
      <c r="DO16805" s="303" t="s">
        <v>232</v>
      </c>
    </row>
    <row r="16806" spans="119:119" x14ac:dyDescent="0.2">
      <c r="DO16806" s="303" t="s">
        <v>232</v>
      </c>
    </row>
    <row r="16807" spans="119:119" x14ac:dyDescent="0.2">
      <c r="DO16807" s="303" t="s">
        <v>232</v>
      </c>
    </row>
    <row r="16808" spans="119:119" x14ac:dyDescent="0.2">
      <c r="DO16808" s="303" t="s">
        <v>232</v>
      </c>
    </row>
    <row r="16809" spans="119:119" x14ac:dyDescent="0.2">
      <c r="DO16809" s="303" t="s">
        <v>232</v>
      </c>
    </row>
    <row r="16810" spans="119:119" x14ac:dyDescent="0.2">
      <c r="DO16810" s="303" t="s">
        <v>232</v>
      </c>
    </row>
    <row r="16811" spans="119:119" x14ac:dyDescent="0.2">
      <c r="DO16811" s="303" t="s">
        <v>232</v>
      </c>
    </row>
    <row r="16812" spans="119:119" x14ac:dyDescent="0.2">
      <c r="DO16812" s="303" t="s">
        <v>232</v>
      </c>
    </row>
    <row r="16813" spans="119:119" x14ac:dyDescent="0.2">
      <c r="DO16813" s="303" t="s">
        <v>232</v>
      </c>
    </row>
    <row r="16814" spans="119:119" x14ac:dyDescent="0.2">
      <c r="DO16814" s="303" t="s">
        <v>232</v>
      </c>
    </row>
    <row r="16815" spans="119:119" x14ac:dyDescent="0.2">
      <c r="DO16815" s="303" t="s">
        <v>232</v>
      </c>
    </row>
    <row r="16816" spans="119:119" x14ac:dyDescent="0.2">
      <c r="DO16816" s="303" t="s">
        <v>232</v>
      </c>
    </row>
    <row r="16817" spans="119:119" x14ac:dyDescent="0.2">
      <c r="DO16817" s="303" t="s">
        <v>232</v>
      </c>
    </row>
    <row r="16818" spans="119:119" x14ac:dyDescent="0.2">
      <c r="DO16818" s="303" t="s">
        <v>232</v>
      </c>
    </row>
    <row r="16819" spans="119:119" x14ac:dyDescent="0.2">
      <c r="DO16819" s="303" t="s">
        <v>232</v>
      </c>
    </row>
    <row r="16820" spans="119:119" x14ac:dyDescent="0.2">
      <c r="DO16820" s="303" t="s">
        <v>232</v>
      </c>
    </row>
    <row r="16821" spans="119:119" x14ac:dyDescent="0.2">
      <c r="DO16821" s="303" t="s">
        <v>232</v>
      </c>
    </row>
    <row r="16822" spans="119:119" x14ac:dyDescent="0.2">
      <c r="DO16822" s="303" t="s">
        <v>232</v>
      </c>
    </row>
    <row r="16823" spans="119:119" x14ac:dyDescent="0.2">
      <c r="DO16823" s="303" t="s">
        <v>232</v>
      </c>
    </row>
    <row r="16824" spans="119:119" x14ac:dyDescent="0.2">
      <c r="DO16824" s="303" t="s">
        <v>232</v>
      </c>
    </row>
    <row r="16825" spans="119:119" x14ac:dyDescent="0.2">
      <c r="DO16825" s="303" t="s">
        <v>232</v>
      </c>
    </row>
    <row r="16826" spans="119:119" x14ac:dyDescent="0.2">
      <c r="DO16826" s="303" t="s">
        <v>232</v>
      </c>
    </row>
    <row r="16827" spans="119:119" x14ac:dyDescent="0.2">
      <c r="DO16827" s="303" t="s">
        <v>232</v>
      </c>
    </row>
    <row r="16828" spans="119:119" x14ac:dyDescent="0.2">
      <c r="DO16828" s="303" t="s">
        <v>232</v>
      </c>
    </row>
    <row r="16829" spans="119:119" x14ac:dyDescent="0.2">
      <c r="DO16829" s="303" t="s">
        <v>232</v>
      </c>
    </row>
    <row r="16830" spans="119:119" x14ac:dyDescent="0.2">
      <c r="DO16830" s="303" t="s">
        <v>232</v>
      </c>
    </row>
    <row r="16831" spans="119:119" x14ac:dyDescent="0.2">
      <c r="DO16831" s="303" t="s">
        <v>232</v>
      </c>
    </row>
    <row r="16832" spans="119:119" x14ac:dyDescent="0.2">
      <c r="DO16832" s="303" t="s">
        <v>232</v>
      </c>
    </row>
    <row r="16833" spans="119:119" x14ac:dyDescent="0.2">
      <c r="DO16833" s="303" t="s">
        <v>232</v>
      </c>
    </row>
    <row r="16834" spans="119:119" x14ac:dyDescent="0.2">
      <c r="DO16834" s="303" t="s">
        <v>232</v>
      </c>
    </row>
    <row r="16835" spans="119:119" x14ac:dyDescent="0.2">
      <c r="DO16835" s="303" t="s">
        <v>232</v>
      </c>
    </row>
    <row r="16836" spans="119:119" x14ac:dyDescent="0.2">
      <c r="DO16836" s="303" t="s">
        <v>232</v>
      </c>
    </row>
    <row r="16837" spans="119:119" x14ac:dyDescent="0.2">
      <c r="DO16837" s="303" t="s">
        <v>232</v>
      </c>
    </row>
    <row r="16838" spans="119:119" x14ac:dyDescent="0.2">
      <c r="DO16838" s="303" t="s">
        <v>232</v>
      </c>
    </row>
    <row r="16839" spans="119:119" x14ac:dyDescent="0.2">
      <c r="DO16839" s="303" t="s">
        <v>232</v>
      </c>
    </row>
    <row r="16840" spans="119:119" x14ac:dyDescent="0.2">
      <c r="DO16840" s="303" t="s">
        <v>232</v>
      </c>
    </row>
    <row r="16841" spans="119:119" x14ac:dyDescent="0.2">
      <c r="DO16841" s="303" t="s">
        <v>232</v>
      </c>
    </row>
    <row r="16842" spans="119:119" x14ac:dyDescent="0.2">
      <c r="DO16842" s="303" t="s">
        <v>232</v>
      </c>
    </row>
    <row r="16843" spans="119:119" x14ac:dyDescent="0.2">
      <c r="DO16843" s="303" t="s">
        <v>232</v>
      </c>
    </row>
    <row r="16844" spans="119:119" x14ac:dyDescent="0.2">
      <c r="DO16844" s="303" t="s">
        <v>232</v>
      </c>
    </row>
    <row r="16845" spans="119:119" x14ac:dyDescent="0.2">
      <c r="DO16845" s="303" t="s">
        <v>232</v>
      </c>
    </row>
    <row r="16846" spans="119:119" x14ac:dyDescent="0.2">
      <c r="DO16846" s="303" t="s">
        <v>232</v>
      </c>
    </row>
    <row r="16847" spans="119:119" x14ac:dyDescent="0.2">
      <c r="DO16847" s="303" t="s">
        <v>232</v>
      </c>
    </row>
    <row r="16848" spans="119:119" x14ac:dyDescent="0.2">
      <c r="DO16848" s="303" t="s">
        <v>232</v>
      </c>
    </row>
    <row r="16849" spans="119:119" x14ac:dyDescent="0.2">
      <c r="DO16849" s="303" t="s">
        <v>232</v>
      </c>
    </row>
    <row r="16850" spans="119:119" x14ac:dyDescent="0.2">
      <c r="DO16850" s="303" t="s">
        <v>232</v>
      </c>
    </row>
    <row r="16851" spans="119:119" x14ac:dyDescent="0.2">
      <c r="DO16851" s="303" t="s">
        <v>232</v>
      </c>
    </row>
    <row r="16852" spans="119:119" x14ac:dyDescent="0.2">
      <c r="DO16852" s="303" t="s">
        <v>232</v>
      </c>
    </row>
    <row r="16853" spans="119:119" x14ac:dyDescent="0.2">
      <c r="DO16853" s="303" t="s">
        <v>232</v>
      </c>
    </row>
    <row r="16854" spans="119:119" x14ac:dyDescent="0.2">
      <c r="DO16854" s="303" t="s">
        <v>232</v>
      </c>
    </row>
    <row r="16855" spans="119:119" x14ac:dyDescent="0.2">
      <c r="DO16855" s="303" t="s">
        <v>232</v>
      </c>
    </row>
    <row r="16856" spans="119:119" x14ac:dyDescent="0.2">
      <c r="DO16856" s="303" t="s">
        <v>232</v>
      </c>
    </row>
    <row r="16857" spans="119:119" x14ac:dyDescent="0.2">
      <c r="DO16857" s="303" t="s">
        <v>232</v>
      </c>
    </row>
    <row r="16858" spans="119:119" x14ac:dyDescent="0.2">
      <c r="DO16858" s="303" t="s">
        <v>232</v>
      </c>
    </row>
    <row r="16859" spans="119:119" x14ac:dyDescent="0.2">
      <c r="DO16859" s="303" t="s">
        <v>232</v>
      </c>
    </row>
    <row r="16860" spans="119:119" x14ac:dyDescent="0.2">
      <c r="DO16860" s="303" t="s">
        <v>232</v>
      </c>
    </row>
    <row r="16861" spans="119:119" x14ac:dyDescent="0.2">
      <c r="DO16861" s="303" t="s">
        <v>232</v>
      </c>
    </row>
    <row r="16862" spans="119:119" x14ac:dyDescent="0.2">
      <c r="DO16862" s="303" t="s">
        <v>232</v>
      </c>
    </row>
    <row r="16863" spans="119:119" x14ac:dyDescent="0.2">
      <c r="DO16863" s="303" t="s">
        <v>232</v>
      </c>
    </row>
    <row r="16864" spans="119:119" x14ac:dyDescent="0.2">
      <c r="DO16864" s="303" t="s">
        <v>232</v>
      </c>
    </row>
    <row r="16865" spans="119:119" x14ac:dyDescent="0.2">
      <c r="DO16865" s="303" t="s">
        <v>232</v>
      </c>
    </row>
    <row r="16866" spans="119:119" x14ac:dyDescent="0.2">
      <c r="DO16866" s="303" t="s">
        <v>232</v>
      </c>
    </row>
    <row r="16867" spans="119:119" x14ac:dyDescent="0.2">
      <c r="DO16867" s="303" t="s">
        <v>232</v>
      </c>
    </row>
    <row r="16868" spans="119:119" x14ac:dyDescent="0.2">
      <c r="DO16868" s="303" t="s">
        <v>232</v>
      </c>
    </row>
    <row r="16869" spans="119:119" x14ac:dyDescent="0.2">
      <c r="DO16869" s="303" t="s">
        <v>232</v>
      </c>
    </row>
    <row r="16870" spans="119:119" x14ac:dyDescent="0.2">
      <c r="DO16870" s="303" t="s">
        <v>232</v>
      </c>
    </row>
    <row r="16871" spans="119:119" x14ac:dyDescent="0.2">
      <c r="DO16871" s="303" t="s">
        <v>232</v>
      </c>
    </row>
    <row r="16872" spans="119:119" x14ac:dyDescent="0.2">
      <c r="DO16872" s="303" t="s">
        <v>232</v>
      </c>
    </row>
    <row r="16873" spans="119:119" x14ac:dyDescent="0.2">
      <c r="DO16873" s="303" t="s">
        <v>232</v>
      </c>
    </row>
    <row r="16874" spans="119:119" x14ac:dyDescent="0.2">
      <c r="DO16874" s="303" t="s">
        <v>232</v>
      </c>
    </row>
    <row r="16875" spans="119:119" x14ac:dyDescent="0.2">
      <c r="DO16875" s="303" t="s">
        <v>232</v>
      </c>
    </row>
    <row r="16876" spans="119:119" x14ac:dyDescent="0.2">
      <c r="DO16876" s="303" t="s">
        <v>232</v>
      </c>
    </row>
    <row r="16877" spans="119:119" x14ac:dyDescent="0.2">
      <c r="DO16877" s="303" t="s">
        <v>232</v>
      </c>
    </row>
    <row r="16878" spans="119:119" x14ac:dyDescent="0.2">
      <c r="DO16878" s="303" t="s">
        <v>232</v>
      </c>
    </row>
    <row r="16879" spans="119:119" x14ac:dyDescent="0.2">
      <c r="DO16879" s="303" t="s">
        <v>232</v>
      </c>
    </row>
    <row r="16880" spans="119:119" x14ac:dyDescent="0.2">
      <c r="DO16880" s="303" t="s">
        <v>232</v>
      </c>
    </row>
    <row r="16881" spans="119:119" x14ac:dyDescent="0.2">
      <c r="DO16881" s="303" t="s">
        <v>232</v>
      </c>
    </row>
    <row r="16882" spans="119:119" x14ac:dyDescent="0.2">
      <c r="DO16882" s="303" t="s">
        <v>232</v>
      </c>
    </row>
    <row r="16883" spans="119:119" x14ac:dyDescent="0.2">
      <c r="DO16883" s="303" t="s">
        <v>232</v>
      </c>
    </row>
    <row r="16884" spans="119:119" x14ac:dyDescent="0.2">
      <c r="DO16884" s="303" t="s">
        <v>232</v>
      </c>
    </row>
    <row r="16885" spans="119:119" x14ac:dyDescent="0.2">
      <c r="DO16885" s="303" t="s">
        <v>232</v>
      </c>
    </row>
    <row r="16886" spans="119:119" x14ac:dyDescent="0.2">
      <c r="DO16886" s="303" t="s">
        <v>232</v>
      </c>
    </row>
    <row r="16887" spans="119:119" x14ac:dyDescent="0.2">
      <c r="DO16887" s="303" t="s">
        <v>232</v>
      </c>
    </row>
    <row r="16888" spans="119:119" x14ac:dyDescent="0.2">
      <c r="DO16888" s="303" t="s">
        <v>232</v>
      </c>
    </row>
    <row r="16889" spans="119:119" x14ac:dyDescent="0.2">
      <c r="DO16889" s="303" t="s">
        <v>232</v>
      </c>
    </row>
    <row r="16890" spans="119:119" x14ac:dyDescent="0.2">
      <c r="DO16890" s="303" t="s">
        <v>232</v>
      </c>
    </row>
    <row r="16891" spans="119:119" x14ac:dyDescent="0.2">
      <c r="DO16891" s="303" t="s">
        <v>232</v>
      </c>
    </row>
    <row r="16892" spans="119:119" x14ac:dyDescent="0.2">
      <c r="DO16892" s="303" t="s">
        <v>232</v>
      </c>
    </row>
    <row r="16893" spans="119:119" x14ac:dyDescent="0.2">
      <c r="DO16893" s="303" t="s">
        <v>232</v>
      </c>
    </row>
    <row r="16894" spans="119:119" x14ac:dyDescent="0.2">
      <c r="DO16894" s="303" t="s">
        <v>232</v>
      </c>
    </row>
    <row r="16895" spans="119:119" x14ac:dyDescent="0.2">
      <c r="DO16895" s="303" t="s">
        <v>232</v>
      </c>
    </row>
    <row r="16896" spans="119:119" x14ac:dyDescent="0.2">
      <c r="DO16896" s="303" t="s">
        <v>232</v>
      </c>
    </row>
    <row r="16897" spans="119:119" x14ac:dyDescent="0.2">
      <c r="DO16897" s="303" t="s">
        <v>232</v>
      </c>
    </row>
    <row r="16898" spans="119:119" x14ac:dyDescent="0.2">
      <c r="DO16898" s="303" t="s">
        <v>232</v>
      </c>
    </row>
    <row r="16899" spans="119:119" x14ac:dyDescent="0.2">
      <c r="DO16899" s="303" t="s">
        <v>232</v>
      </c>
    </row>
    <row r="16900" spans="119:119" x14ac:dyDescent="0.2">
      <c r="DO16900" s="303" t="s">
        <v>232</v>
      </c>
    </row>
    <row r="16901" spans="119:119" x14ac:dyDescent="0.2">
      <c r="DO16901" s="303" t="s">
        <v>232</v>
      </c>
    </row>
    <row r="16902" spans="119:119" x14ac:dyDescent="0.2">
      <c r="DO16902" s="303" t="s">
        <v>232</v>
      </c>
    </row>
    <row r="16903" spans="119:119" x14ac:dyDescent="0.2">
      <c r="DO16903" s="303" t="s">
        <v>232</v>
      </c>
    </row>
    <row r="16904" spans="119:119" x14ac:dyDescent="0.2">
      <c r="DO16904" s="303" t="s">
        <v>232</v>
      </c>
    </row>
    <row r="16905" spans="119:119" x14ac:dyDescent="0.2">
      <c r="DO16905" s="303" t="s">
        <v>232</v>
      </c>
    </row>
    <row r="16906" spans="119:119" x14ac:dyDescent="0.2">
      <c r="DO16906" s="303" t="s">
        <v>232</v>
      </c>
    </row>
    <row r="16907" spans="119:119" x14ac:dyDescent="0.2">
      <c r="DO16907" s="303" t="s">
        <v>232</v>
      </c>
    </row>
    <row r="16908" spans="119:119" x14ac:dyDescent="0.2">
      <c r="DO16908" s="303" t="s">
        <v>232</v>
      </c>
    </row>
    <row r="16909" spans="119:119" x14ac:dyDescent="0.2">
      <c r="DO16909" s="303" t="s">
        <v>232</v>
      </c>
    </row>
    <row r="16910" spans="119:119" x14ac:dyDescent="0.2">
      <c r="DO16910" s="303" t="s">
        <v>232</v>
      </c>
    </row>
    <row r="16911" spans="119:119" x14ac:dyDescent="0.2">
      <c r="DO16911" s="303" t="s">
        <v>232</v>
      </c>
    </row>
    <row r="16912" spans="119:119" x14ac:dyDescent="0.2">
      <c r="DO16912" s="303" t="s">
        <v>232</v>
      </c>
    </row>
    <row r="16913" spans="119:119" x14ac:dyDescent="0.2">
      <c r="DO16913" s="303" t="s">
        <v>232</v>
      </c>
    </row>
    <row r="16914" spans="119:119" x14ac:dyDescent="0.2">
      <c r="DO16914" s="303" t="s">
        <v>232</v>
      </c>
    </row>
    <row r="16915" spans="119:119" x14ac:dyDescent="0.2">
      <c r="DO16915" s="303" t="s">
        <v>232</v>
      </c>
    </row>
    <row r="16916" spans="119:119" x14ac:dyDescent="0.2">
      <c r="DO16916" s="303" t="s">
        <v>232</v>
      </c>
    </row>
    <row r="16917" spans="119:119" x14ac:dyDescent="0.2">
      <c r="DO16917" s="303" t="s">
        <v>232</v>
      </c>
    </row>
    <row r="16918" spans="119:119" x14ac:dyDescent="0.2">
      <c r="DO16918" s="303" t="s">
        <v>232</v>
      </c>
    </row>
    <row r="16919" spans="119:119" x14ac:dyDescent="0.2">
      <c r="DO16919" s="303" t="s">
        <v>232</v>
      </c>
    </row>
    <row r="16920" spans="119:119" x14ac:dyDescent="0.2">
      <c r="DO16920" s="303" t="s">
        <v>232</v>
      </c>
    </row>
    <row r="16921" spans="119:119" x14ac:dyDescent="0.2">
      <c r="DO16921" s="303" t="s">
        <v>232</v>
      </c>
    </row>
    <row r="16922" spans="119:119" x14ac:dyDescent="0.2">
      <c r="DO16922" s="303" t="s">
        <v>232</v>
      </c>
    </row>
    <row r="16923" spans="119:119" x14ac:dyDescent="0.2">
      <c r="DO16923" s="303" t="s">
        <v>232</v>
      </c>
    </row>
    <row r="16924" spans="119:119" x14ac:dyDescent="0.2">
      <c r="DO16924" s="303" t="s">
        <v>232</v>
      </c>
    </row>
    <row r="16925" spans="119:119" x14ac:dyDescent="0.2">
      <c r="DO16925" s="303" t="s">
        <v>232</v>
      </c>
    </row>
    <row r="16926" spans="119:119" x14ac:dyDescent="0.2">
      <c r="DO16926" s="303" t="s">
        <v>232</v>
      </c>
    </row>
    <row r="16927" spans="119:119" x14ac:dyDescent="0.2">
      <c r="DO16927" s="303" t="s">
        <v>232</v>
      </c>
    </row>
    <row r="16928" spans="119:119" x14ac:dyDescent="0.2">
      <c r="DO16928" s="303" t="s">
        <v>232</v>
      </c>
    </row>
    <row r="16929" spans="119:119" x14ac:dyDescent="0.2">
      <c r="DO16929" s="303" t="s">
        <v>232</v>
      </c>
    </row>
    <row r="16930" spans="119:119" x14ac:dyDescent="0.2">
      <c r="DO16930" s="303" t="s">
        <v>232</v>
      </c>
    </row>
    <row r="16931" spans="119:119" x14ac:dyDescent="0.2">
      <c r="DO16931" s="303" t="s">
        <v>232</v>
      </c>
    </row>
    <row r="16932" spans="119:119" x14ac:dyDescent="0.2">
      <c r="DO16932" s="303" t="s">
        <v>232</v>
      </c>
    </row>
    <row r="16933" spans="119:119" x14ac:dyDescent="0.2">
      <c r="DO16933" s="303" t="s">
        <v>232</v>
      </c>
    </row>
    <row r="16934" spans="119:119" x14ac:dyDescent="0.2">
      <c r="DO16934" s="303" t="s">
        <v>232</v>
      </c>
    </row>
    <row r="16935" spans="119:119" x14ac:dyDescent="0.2">
      <c r="DO16935" s="303" t="s">
        <v>232</v>
      </c>
    </row>
    <row r="16936" spans="119:119" x14ac:dyDescent="0.2">
      <c r="DO16936" s="303" t="s">
        <v>232</v>
      </c>
    </row>
    <row r="16937" spans="119:119" x14ac:dyDescent="0.2">
      <c r="DO16937" s="303" t="s">
        <v>232</v>
      </c>
    </row>
    <row r="16938" spans="119:119" x14ac:dyDescent="0.2">
      <c r="DO16938" s="303" t="s">
        <v>232</v>
      </c>
    </row>
    <row r="16939" spans="119:119" x14ac:dyDescent="0.2">
      <c r="DO16939" s="303" t="s">
        <v>232</v>
      </c>
    </row>
    <row r="16940" spans="119:119" x14ac:dyDescent="0.2">
      <c r="DO16940" s="303" t="s">
        <v>232</v>
      </c>
    </row>
    <row r="16941" spans="119:119" x14ac:dyDescent="0.2">
      <c r="DO16941" s="303" t="s">
        <v>232</v>
      </c>
    </row>
    <row r="16942" spans="119:119" x14ac:dyDescent="0.2">
      <c r="DO16942" s="303" t="s">
        <v>232</v>
      </c>
    </row>
    <row r="16943" spans="119:119" x14ac:dyDescent="0.2">
      <c r="DO16943" s="303" t="s">
        <v>232</v>
      </c>
    </row>
    <row r="16944" spans="119:119" x14ac:dyDescent="0.2">
      <c r="DO16944" s="303" t="s">
        <v>232</v>
      </c>
    </row>
    <row r="16945" spans="119:119" x14ac:dyDescent="0.2">
      <c r="DO16945" s="303" t="s">
        <v>232</v>
      </c>
    </row>
    <row r="16946" spans="119:119" x14ac:dyDescent="0.2">
      <c r="DO16946" s="303" t="s">
        <v>232</v>
      </c>
    </row>
    <row r="16947" spans="119:119" x14ac:dyDescent="0.2">
      <c r="DO16947" s="303" t="s">
        <v>232</v>
      </c>
    </row>
    <row r="16948" spans="119:119" x14ac:dyDescent="0.2">
      <c r="DO16948" s="303" t="s">
        <v>232</v>
      </c>
    </row>
    <row r="16949" spans="119:119" x14ac:dyDescent="0.2">
      <c r="DO16949" s="303" t="s">
        <v>232</v>
      </c>
    </row>
    <row r="16950" spans="119:119" x14ac:dyDescent="0.2">
      <c r="DO16950" s="303" t="s">
        <v>232</v>
      </c>
    </row>
    <row r="16951" spans="119:119" x14ac:dyDescent="0.2">
      <c r="DO16951" s="303" t="s">
        <v>232</v>
      </c>
    </row>
    <row r="16952" spans="119:119" x14ac:dyDescent="0.2">
      <c r="DO16952" s="303" t="s">
        <v>232</v>
      </c>
    </row>
    <row r="16953" spans="119:119" x14ac:dyDescent="0.2">
      <c r="DO16953" s="303" t="s">
        <v>232</v>
      </c>
    </row>
    <row r="16954" spans="119:119" x14ac:dyDescent="0.2">
      <c r="DO16954" s="303" t="s">
        <v>232</v>
      </c>
    </row>
    <row r="16955" spans="119:119" x14ac:dyDescent="0.2">
      <c r="DO16955" s="303" t="s">
        <v>232</v>
      </c>
    </row>
    <row r="16956" spans="119:119" x14ac:dyDescent="0.2">
      <c r="DO16956" s="303" t="s">
        <v>232</v>
      </c>
    </row>
    <row r="16957" spans="119:119" x14ac:dyDescent="0.2">
      <c r="DO16957" s="303" t="s">
        <v>232</v>
      </c>
    </row>
    <row r="16958" spans="119:119" x14ac:dyDescent="0.2">
      <c r="DO16958" s="303" t="s">
        <v>232</v>
      </c>
    </row>
    <row r="16959" spans="119:119" x14ac:dyDescent="0.2">
      <c r="DO16959" s="303" t="s">
        <v>232</v>
      </c>
    </row>
    <row r="16960" spans="119:119" x14ac:dyDescent="0.2">
      <c r="DO16960" s="303" t="s">
        <v>232</v>
      </c>
    </row>
    <row r="16961" spans="119:119" x14ac:dyDescent="0.2">
      <c r="DO16961" s="303" t="s">
        <v>232</v>
      </c>
    </row>
    <row r="16962" spans="119:119" x14ac:dyDescent="0.2">
      <c r="DO16962" s="303" t="s">
        <v>232</v>
      </c>
    </row>
    <row r="16963" spans="119:119" x14ac:dyDescent="0.2">
      <c r="DO16963" s="303" t="s">
        <v>232</v>
      </c>
    </row>
    <row r="16964" spans="119:119" x14ac:dyDescent="0.2">
      <c r="DO16964" s="303" t="s">
        <v>232</v>
      </c>
    </row>
    <row r="16965" spans="119:119" x14ac:dyDescent="0.2">
      <c r="DO16965" s="303" t="s">
        <v>232</v>
      </c>
    </row>
    <row r="16966" spans="119:119" x14ac:dyDescent="0.2">
      <c r="DO16966" s="303" t="s">
        <v>232</v>
      </c>
    </row>
    <row r="16967" spans="119:119" x14ac:dyDescent="0.2">
      <c r="DO16967" s="303" t="s">
        <v>232</v>
      </c>
    </row>
    <row r="16968" spans="119:119" x14ac:dyDescent="0.2">
      <c r="DO16968" s="303" t="s">
        <v>232</v>
      </c>
    </row>
    <row r="16969" spans="119:119" x14ac:dyDescent="0.2">
      <c r="DO16969" s="303" t="s">
        <v>232</v>
      </c>
    </row>
    <row r="16970" spans="119:119" x14ac:dyDescent="0.2">
      <c r="DO16970" s="303" t="s">
        <v>232</v>
      </c>
    </row>
    <row r="16971" spans="119:119" x14ac:dyDescent="0.2">
      <c r="DO16971" s="303" t="s">
        <v>232</v>
      </c>
    </row>
    <row r="16972" spans="119:119" x14ac:dyDescent="0.2">
      <c r="DO16972" s="303" t="s">
        <v>232</v>
      </c>
    </row>
    <row r="16973" spans="119:119" x14ac:dyDescent="0.2">
      <c r="DO16973" s="303" t="s">
        <v>232</v>
      </c>
    </row>
    <row r="16974" spans="119:119" x14ac:dyDescent="0.2">
      <c r="DO16974" s="303" t="s">
        <v>232</v>
      </c>
    </row>
    <row r="16975" spans="119:119" x14ac:dyDescent="0.2">
      <c r="DO16975" s="303" t="s">
        <v>232</v>
      </c>
    </row>
    <row r="16976" spans="119:119" x14ac:dyDescent="0.2">
      <c r="DO16976" s="303" t="s">
        <v>232</v>
      </c>
    </row>
    <row r="16977" spans="119:119" x14ac:dyDescent="0.2">
      <c r="DO16977" s="303" t="s">
        <v>232</v>
      </c>
    </row>
    <row r="16978" spans="119:119" x14ac:dyDescent="0.2">
      <c r="DO16978" s="303" t="s">
        <v>232</v>
      </c>
    </row>
    <row r="16979" spans="119:119" x14ac:dyDescent="0.2">
      <c r="DO16979" s="303" t="s">
        <v>232</v>
      </c>
    </row>
    <row r="16980" spans="119:119" x14ac:dyDescent="0.2">
      <c r="DO16980" s="303" t="s">
        <v>232</v>
      </c>
    </row>
    <row r="16981" spans="119:119" x14ac:dyDescent="0.2">
      <c r="DO16981" s="303" t="s">
        <v>232</v>
      </c>
    </row>
    <row r="16982" spans="119:119" x14ac:dyDescent="0.2">
      <c r="DO16982" s="303" t="s">
        <v>232</v>
      </c>
    </row>
    <row r="16983" spans="119:119" x14ac:dyDescent="0.2">
      <c r="DO16983" s="303" t="s">
        <v>232</v>
      </c>
    </row>
    <row r="16984" spans="119:119" x14ac:dyDescent="0.2">
      <c r="DO16984" s="303" t="s">
        <v>232</v>
      </c>
    </row>
    <row r="16985" spans="119:119" x14ac:dyDescent="0.2">
      <c r="DO16985" s="303" t="s">
        <v>232</v>
      </c>
    </row>
    <row r="16986" spans="119:119" x14ac:dyDescent="0.2">
      <c r="DO16986" s="303" t="s">
        <v>232</v>
      </c>
    </row>
    <row r="16987" spans="119:119" x14ac:dyDescent="0.2">
      <c r="DO16987" s="303" t="s">
        <v>232</v>
      </c>
    </row>
    <row r="16988" spans="119:119" x14ac:dyDescent="0.2">
      <c r="DO16988" s="303" t="s">
        <v>232</v>
      </c>
    </row>
    <row r="16989" spans="119:119" x14ac:dyDescent="0.2">
      <c r="DO16989" s="303" t="s">
        <v>232</v>
      </c>
    </row>
    <row r="16990" spans="119:119" x14ac:dyDescent="0.2">
      <c r="DO16990" s="303" t="s">
        <v>232</v>
      </c>
    </row>
    <row r="16991" spans="119:119" x14ac:dyDescent="0.2">
      <c r="DO16991" s="303" t="s">
        <v>232</v>
      </c>
    </row>
    <row r="16992" spans="119:119" x14ac:dyDescent="0.2">
      <c r="DO16992" s="303" t="s">
        <v>232</v>
      </c>
    </row>
    <row r="16993" spans="119:119" x14ac:dyDescent="0.2">
      <c r="DO16993" s="303" t="s">
        <v>232</v>
      </c>
    </row>
    <row r="16994" spans="119:119" x14ac:dyDescent="0.2">
      <c r="DO16994" s="303" t="s">
        <v>232</v>
      </c>
    </row>
    <row r="16995" spans="119:119" x14ac:dyDescent="0.2">
      <c r="DO16995" s="303" t="s">
        <v>232</v>
      </c>
    </row>
    <row r="16996" spans="119:119" x14ac:dyDescent="0.2">
      <c r="DO16996" s="303" t="s">
        <v>232</v>
      </c>
    </row>
    <row r="16997" spans="119:119" x14ac:dyDescent="0.2">
      <c r="DO16997" s="303" t="s">
        <v>232</v>
      </c>
    </row>
    <row r="16998" spans="119:119" x14ac:dyDescent="0.2">
      <c r="DO16998" s="303" t="s">
        <v>232</v>
      </c>
    </row>
    <row r="16999" spans="119:119" x14ac:dyDescent="0.2">
      <c r="DO16999" s="303" t="s">
        <v>232</v>
      </c>
    </row>
    <row r="17000" spans="119:119" x14ac:dyDescent="0.2">
      <c r="DO17000" s="303" t="s">
        <v>232</v>
      </c>
    </row>
    <row r="17001" spans="119:119" x14ac:dyDescent="0.2">
      <c r="DO17001" s="303" t="s">
        <v>232</v>
      </c>
    </row>
    <row r="17002" spans="119:119" x14ac:dyDescent="0.2">
      <c r="DO17002" s="303" t="s">
        <v>232</v>
      </c>
    </row>
    <row r="17003" spans="119:119" x14ac:dyDescent="0.2">
      <c r="DO17003" s="303" t="s">
        <v>232</v>
      </c>
    </row>
    <row r="17004" spans="119:119" x14ac:dyDescent="0.2">
      <c r="DO17004" s="303" t="s">
        <v>232</v>
      </c>
    </row>
    <row r="17005" spans="119:119" x14ac:dyDescent="0.2">
      <c r="DO17005" s="303" t="s">
        <v>232</v>
      </c>
    </row>
    <row r="17006" spans="119:119" x14ac:dyDescent="0.2">
      <c r="DO17006" s="303" t="s">
        <v>232</v>
      </c>
    </row>
    <row r="17007" spans="119:119" x14ac:dyDescent="0.2">
      <c r="DO17007" s="303" t="s">
        <v>232</v>
      </c>
    </row>
    <row r="17008" spans="119:119" x14ac:dyDescent="0.2">
      <c r="DO17008" s="303" t="s">
        <v>232</v>
      </c>
    </row>
    <row r="17009" spans="119:119" x14ac:dyDescent="0.2">
      <c r="DO17009" s="303" t="s">
        <v>232</v>
      </c>
    </row>
    <row r="17010" spans="119:119" x14ac:dyDescent="0.2">
      <c r="DO17010" s="303" t="s">
        <v>232</v>
      </c>
    </row>
    <row r="17011" spans="119:119" x14ac:dyDescent="0.2">
      <c r="DO17011" s="303" t="s">
        <v>232</v>
      </c>
    </row>
    <row r="17012" spans="119:119" x14ac:dyDescent="0.2">
      <c r="DO17012" s="303" t="s">
        <v>232</v>
      </c>
    </row>
    <row r="17013" spans="119:119" x14ac:dyDescent="0.2">
      <c r="DO17013" s="303" t="s">
        <v>232</v>
      </c>
    </row>
    <row r="17014" spans="119:119" x14ac:dyDescent="0.2">
      <c r="DO17014" s="303" t="s">
        <v>232</v>
      </c>
    </row>
    <row r="17015" spans="119:119" x14ac:dyDescent="0.2">
      <c r="DO17015" s="303" t="s">
        <v>232</v>
      </c>
    </row>
    <row r="17016" spans="119:119" x14ac:dyDescent="0.2">
      <c r="DO17016" s="303" t="s">
        <v>232</v>
      </c>
    </row>
    <row r="17017" spans="119:119" x14ac:dyDescent="0.2">
      <c r="DO17017" s="303" t="s">
        <v>232</v>
      </c>
    </row>
    <row r="17018" spans="119:119" x14ac:dyDescent="0.2">
      <c r="DO17018" s="303" t="s">
        <v>232</v>
      </c>
    </row>
    <row r="17019" spans="119:119" x14ac:dyDescent="0.2">
      <c r="DO17019" s="303" t="s">
        <v>232</v>
      </c>
    </row>
    <row r="17020" spans="119:119" x14ac:dyDescent="0.2">
      <c r="DO17020" s="303" t="s">
        <v>232</v>
      </c>
    </row>
    <row r="17021" spans="119:119" x14ac:dyDescent="0.2">
      <c r="DO17021" s="303" t="s">
        <v>232</v>
      </c>
    </row>
    <row r="17022" spans="119:119" x14ac:dyDescent="0.2">
      <c r="DO17022" s="303" t="s">
        <v>232</v>
      </c>
    </row>
    <row r="17023" spans="119:119" x14ac:dyDescent="0.2">
      <c r="DO17023" s="303" t="s">
        <v>232</v>
      </c>
    </row>
    <row r="17024" spans="119:119" x14ac:dyDescent="0.2">
      <c r="DO17024" s="303" t="s">
        <v>232</v>
      </c>
    </row>
    <row r="17025" spans="119:119" x14ac:dyDescent="0.2">
      <c r="DO17025" s="303" t="s">
        <v>232</v>
      </c>
    </row>
    <row r="17026" spans="119:119" x14ac:dyDescent="0.2">
      <c r="DO17026" s="303" t="s">
        <v>232</v>
      </c>
    </row>
    <row r="17027" spans="119:119" x14ac:dyDescent="0.2">
      <c r="DO17027" s="303" t="s">
        <v>232</v>
      </c>
    </row>
    <row r="17028" spans="119:119" x14ac:dyDescent="0.2">
      <c r="DO17028" s="303" t="s">
        <v>232</v>
      </c>
    </row>
    <row r="17029" spans="119:119" x14ac:dyDescent="0.2">
      <c r="DO17029" s="303" t="s">
        <v>232</v>
      </c>
    </row>
    <row r="17030" spans="119:119" x14ac:dyDescent="0.2">
      <c r="DO17030" s="303" t="s">
        <v>232</v>
      </c>
    </row>
    <row r="17031" spans="119:119" x14ac:dyDescent="0.2">
      <c r="DO17031" s="303" t="s">
        <v>232</v>
      </c>
    </row>
    <row r="17032" spans="119:119" x14ac:dyDescent="0.2">
      <c r="DO17032" s="303" t="s">
        <v>232</v>
      </c>
    </row>
    <row r="17033" spans="119:119" x14ac:dyDescent="0.2">
      <c r="DO17033" s="303" t="s">
        <v>232</v>
      </c>
    </row>
    <row r="17034" spans="119:119" x14ac:dyDescent="0.2">
      <c r="DO17034" s="303" t="s">
        <v>232</v>
      </c>
    </row>
    <row r="17035" spans="119:119" x14ac:dyDescent="0.2">
      <c r="DO17035" s="303" t="s">
        <v>232</v>
      </c>
    </row>
    <row r="17036" spans="119:119" x14ac:dyDescent="0.2">
      <c r="DO17036" s="303" t="s">
        <v>232</v>
      </c>
    </row>
    <row r="17037" spans="119:119" x14ac:dyDescent="0.2">
      <c r="DO17037" s="303" t="s">
        <v>232</v>
      </c>
    </row>
    <row r="17038" spans="119:119" x14ac:dyDescent="0.2">
      <c r="DO17038" s="303" t="s">
        <v>232</v>
      </c>
    </row>
    <row r="17039" spans="119:119" x14ac:dyDescent="0.2">
      <c r="DO17039" s="303" t="s">
        <v>232</v>
      </c>
    </row>
    <row r="17040" spans="119:119" x14ac:dyDescent="0.2">
      <c r="DO17040" s="303" t="s">
        <v>232</v>
      </c>
    </row>
    <row r="17041" spans="119:119" x14ac:dyDescent="0.2">
      <c r="DO17041" s="303" t="s">
        <v>232</v>
      </c>
    </row>
    <row r="17042" spans="119:119" x14ac:dyDescent="0.2">
      <c r="DO17042" s="303" t="s">
        <v>232</v>
      </c>
    </row>
    <row r="17043" spans="119:119" x14ac:dyDescent="0.2">
      <c r="DO17043" s="303" t="s">
        <v>232</v>
      </c>
    </row>
    <row r="17044" spans="119:119" x14ac:dyDescent="0.2">
      <c r="DO17044" s="303" t="s">
        <v>232</v>
      </c>
    </row>
    <row r="17045" spans="119:119" x14ac:dyDescent="0.2">
      <c r="DO17045" s="303" t="s">
        <v>232</v>
      </c>
    </row>
    <row r="17046" spans="119:119" x14ac:dyDescent="0.2">
      <c r="DO17046" s="303" t="s">
        <v>232</v>
      </c>
    </row>
    <row r="17047" spans="119:119" x14ac:dyDescent="0.2">
      <c r="DO17047" s="303" t="s">
        <v>232</v>
      </c>
    </row>
    <row r="17048" spans="119:119" x14ac:dyDescent="0.2">
      <c r="DO17048" s="303" t="s">
        <v>232</v>
      </c>
    </row>
    <row r="17049" spans="119:119" x14ac:dyDescent="0.2">
      <c r="DO17049" s="303" t="s">
        <v>232</v>
      </c>
    </row>
    <row r="17050" spans="119:119" x14ac:dyDescent="0.2">
      <c r="DO17050" s="303" t="s">
        <v>232</v>
      </c>
    </row>
    <row r="17051" spans="119:119" x14ac:dyDescent="0.2">
      <c r="DO17051" s="303" t="s">
        <v>232</v>
      </c>
    </row>
    <row r="17052" spans="119:119" x14ac:dyDescent="0.2">
      <c r="DO17052" s="303" t="s">
        <v>232</v>
      </c>
    </row>
    <row r="17053" spans="119:119" x14ac:dyDescent="0.2">
      <c r="DO17053" s="303" t="s">
        <v>232</v>
      </c>
    </row>
    <row r="17054" spans="119:119" x14ac:dyDescent="0.2">
      <c r="DO17054" s="303" t="s">
        <v>232</v>
      </c>
    </row>
    <row r="17055" spans="119:119" x14ac:dyDescent="0.2">
      <c r="DO17055" s="303" t="s">
        <v>232</v>
      </c>
    </row>
    <row r="17056" spans="119:119" x14ac:dyDescent="0.2">
      <c r="DO17056" s="303" t="s">
        <v>232</v>
      </c>
    </row>
    <row r="17057" spans="119:119" x14ac:dyDescent="0.2">
      <c r="DO17057" s="303" t="s">
        <v>232</v>
      </c>
    </row>
    <row r="17058" spans="119:119" x14ac:dyDescent="0.2">
      <c r="DO17058" s="303" t="s">
        <v>232</v>
      </c>
    </row>
    <row r="17059" spans="119:119" x14ac:dyDescent="0.2">
      <c r="DO17059" s="303" t="s">
        <v>232</v>
      </c>
    </row>
    <row r="17060" spans="119:119" x14ac:dyDescent="0.2">
      <c r="DO17060" s="303" t="s">
        <v>232</v>
      </c>
    </row>
    <row r="17061" spans="119:119" x14ac:dyDescent="0.2">
      <c r="DO17061" s="303" t="s">
        <v>232</v>
      </c>
    </row>
    <row r="17062" spans="119:119" x14ac:dyDescent="0.2">
      <c r="DO17062" s="303" t="s">
        <v>232</v>
      </c>
    </row>
    <row r="17063" spans="119:119" x14ac:dyDescent="0.2">
      <c r="DO17063" s="303" t="s">
        <v>232</v>
      </c>
    </row>
    <row r="17064" spans="119:119" x14ac:dyDescent="0.2">
      <c r="DO17064" s="303" t="s">
        <v>232</v>
      </c>
    </row>
    <row r="17065" spans="119:119" x14ac:dyDescent="0.2">
      <c r="DO17065" s="303" t="s">
        <v>232</v>
      </c>
    </row>
    <row r="17066" spans="119:119" x14ac:dyDescent="0.2">
      <c r="DO17066" s="303" t="s">
        <v>232</v>
      </c>
    </row>
    <row r="17067" spans="119:119" x14ac:dyDescent="0.2">
      <c r="DO17067" s="303" t="s">
        <v>232</v>
      </c>
    </row>
    <row r="17068" spans="119:119" x14ac:dyDescent="0.2">
      <c r="DO17068" s="303" t="s">
        <v>232</v>
      </c>
    </row>
    <row r="17069" spans="119:119" x14ac:dyDescent="0.2">
      <c r="DO17069" s="303" t="s">
        <v>232</v>
      </c>
    </row>
    <row r="17070" spans="119:119" x14ac:dyDescent="0.2">
      <c r="DO17070" s="303" t="s">
        <v>232</v>
      </c>
    </row>
    <row r="17071" spans="119:119" x14ac:dyDescent="0.2">
      <c r="DO17071" s="303" t="s">
        <v>232</v>
      </c>
    </row>
    <row r="17072" spans="119:119" x14ac:dyDescent="0.2">
      <c r="DO17072" s="303" t="s">
        <v>232</v>
      </c>
    </row>
    <row r="17073" spans="119:119" x14ac:dyDescent="0.2">
      <c r="DO17073" s="303" t="s">
        <v>232</v>
      </c>
    </row>
    <row r="17074" spans="119:119" x14ac:dyDescent="0.2">
      <c r="DO17074" s="303" t="s">
        <v>232</v>
      </c>
    </row>
    <row r="17075" spans="119:119" x14ac:dyDescent="0.2">
      <c r="DO17075" s="303" t="s">
        <v>232</v>
      </c>
    </row>
    <row r="17076" spans="119:119" x14ac:dyDescent="0.2">
      <c r="DO17076" s="303" t="s">
        <v>232</v>
      </c>
    </row>
    <row r="17077" spans="119:119" x14ac:dyDescent="0.2">
      <c r="DO17077" s="303" t="s">
        <v>232</v>
      </c>
    </row>
    <row r="17078" spans="119:119" x14ac:dyDescent="0.2">
      <c r="DO17078" s="303" t="s">
        <v>232</v>
      </c>
    </row>
    <row r="17079" spans="119:119" x14ac:dyDescent="0.2">
      <c r="DO17079" s="303" t="s">
        <v>232</v>
      </c>
    </row>
    <row r="17080" spans="119:119" x14ac:dyDescent="0.2">
      <c r="DO17080" s="303" t="s">
        <v>232</v>
      </c>
    </row>
    <row r="17081" spans="119:119" x14ac:dyDescent="0.2">
      <c r="DO17081" s="303" t="s">
        <v>232</v>
      </c>
    </row>
    <row r="17082" spans="119:119" x14ac:dyDescent="0.2">
      <c r="DO17082" s="303" t="s">
        <v>232</v>
      </c>
    </row>
    <row r="17083" spans="119:119" x14ac:dyDescent="0.2">
      <c r="DO17083" s="303" t="s">
        <v>232</v>
      </c>
    </row>
    <row r="17084" spans="119:119" x14ac:dyDescent="0.2">
      <c r="DO17084" s="303" t="s">
        <v>232</v>
      </c>
    </row>
    <row r="17085" spans="119:119" x14ac:dyDescent="0.2">
      <c r="DO17085" s="303" t="s">
        <v>232</v>
      </c>
    </row>
    <row r="17086" spans="119:119" x14ac:dyDescent="0.2">
      <c r="DO17086" s="303" t="s">
        <v>232</v>
      </c>
    </row>
    <row r="17087" spans="119:119" x14ac:dyDescent="0.2">
      <c r="DO17087" s="303" t="s">
        <v>232</v>
      </c>
    </row>
    <row r="17088" spans="119:119" x14ac:dyDescent="0.2">
      <c r="DO17088" s="303" t="s">
        <v>232</v>
      </c>
    </row>
    <row r="17089" spans="119:119" x14ac:dyDescent="0.2">
      <c r="DO17089" s="303" t="s">
        <v>232</v>
      </c>
    </row>
    <row r="17090" spans="119:119" x14ac:dyDescent="0.2">
      <c r="DO17090" s="303" t="s">
        <v>232</v>
      </c>
    </row>
    <row r="17091" spans="119:119" x14ac:dyDescent="0.2">
      <c r="DO17091" s="303" t="s">
        <v>232</v>
      </c>
    </row>
    <row r="17092" spans="119:119" x14ac:dyDescent="0.2">
      <c r="DO17092" s="303" t="s">
        <v>232</v>
      </c>
    </row>
    <row r="17093" spans="119:119" x14ac:dyDescent="0.2">
      <c r="DO17093" s="303" t="s">
        <v>232</v>
      </c>
    </row>
    <row r="17094" spans="119:119" x14ac:dyDescent="0.2">
      <c r="DO17094" s="303" t="s">
        <v>232</v>
      </c>
    </row>
    <row r="17095" spans="119:119" x14ac:dyDescent="0.2">
      <c r="DO17095" s="303" t="s">
        <v>232</v>
      </c>
    </row>
    <row r="17096" spans="119:119" x14ac:dyDescent="0.2">
      <c r="DO17096" s="303" t="s">
        <v>232</v>
      </c>
    </row>
    <row r="17097" spans="119:119" x14ac:dyDescent="0.2">
      <c r="DO17097" s="303" t="s">
        <v>232</v>
      </c>
    </row>
    <row r="17098" spans="119:119" x14ac:dyDescent="0.2">
      <c r="DO17098" s="303" t="s">
        <v>232</v>
      </c>
    </row>
    <row r="17099" spans="119:119" x14ac:dyDescent="0.2">
      <c r="DO17099" s="303" t="s">
        <v>232</v>
      </c>
    </row>
    <row r="17100" spans="119:119" x14ac:dyDescent="0.2">
      <c r="DO17100" s="303" t="s">
        <v>232</v>
      </c>
    </row>
    <row r="17101" spans="119:119" x14ac:dyDescent="0.2">
      <c r="DO17101" s="303" t="s">
        <v>232</v>
      </c>
    </row>
    <row r="17102" spans="119:119" x14ac:dyDescent="0.2">
      <c r="DO17102" s="303" t="s">
        <v>232</v>
      </c>
    </row>
    <row r="17103" spans="119:119" x14ac:dyDescent="0.2">
      <c r="DO17103" s="303" t="s">
        <v>232</v>
      </c>
    </row>
    <row r="17104" spans="119:119" x14ac:dyDescent="0.2">
      <c r="DO17104" s="303" t="s">
        <v>232</v>
      </c>
    </row>
    <row r="17105" spans="119:119" x14ac:dyDescent="0.2">
      <c r="DO17105" s="303" t="s">
        <v>232</v>
      </c>
    </row>
    <row r="17106" spans="119:119" x14ac:dyDescent="0.2">
      <c r="DO17106" s="303" t="s">
        <v>232</v>
      </c>
    </row>
    <row r="17107" spans="119:119" x14ac:dyDescent="0.2">
      <c r="DO17107" s="303" t="s">
        <v>232</v>
      </c>
    </row>
    <row r="17108" spans="119:119" x14ac:dyDescent="0.2">
      <c r="DO17108" s="303" t="s">
        <v>232</v>
      </c>
    </row>
    <row r="17109" spans="119:119" x14ac:dyDescent="0.2">
      <c r="DO17109" s="303" t="s">
        <v>232</v>
      </c>
    </row>
    <row r="17110" spans="119:119" x14ac:dyDescent="0.2">
      <c r="DO17110" s="303" t="s">
        <v>232</v>
      </c>
    </row>
    <row r="17111" spans="119:119" x14ac:dyDescent="0.2">
      <c r="DO17111" s="303" t="s">
        <v>232</v>
      </c>
    </row>
    <row r="17112" spans="119:119" x14ac:dyDescent="0.2">
      <c r="DO17112" s="303" t="s">
        <v>232</v>
      </c>
    </row>
    <row r="17113" spans="119:119" x14ac:dyDescent="0.2">
      <c r="DO17113" s="303" t="s">
        <v>232</v>
      </c>
    </row>
    <row r="17114" spans="119:119" x14ac:dyDescent="0.2">
      <c r="DO17114" s="303" t="s">
        <v>232</v>
      </c>
    </row>
    <row r="17115" spans="119:119" x14ac:dyDescent="0.2">
      <c r="DO17115" s="303" t="s">
        <v>232</v>
      </c>
    </row>
    <row r="17116" spans="119:119" x14ac:dyDescent="0.2">
      <c r="DO17116" s="303" t="s">
        <v>232</v>
      </c>
    </row>
    <row r="17117" spans="119:119" x14ac:dyDescent="0.2">
      <c r="DO17117" s="303" t="s">
        <v>232</v>
      </c>
    </row>
    <row r="17118" spans="119:119" x14ac:dyDescent="0.2">
      <c r="DO17118" s="303" t="s">
        <v>232</v>
      </c>
    </row>
    <row r="17119" spans="119:119" x14ac:dyDescent="0.2">
      <c r="DO17119" s="303" t="s">
        <v>232</v>
      </c>
    </row>
    <row r="17120" spans="119:119" x14ac:dyDescent="0.2">
      <c r="DO17120" s="303" t="s">
        <v>232</v>
      </c>
    </row>
    <row r="17121" spans="119:119" x14ac:dyDescent="0.2">
      <c r="DO17121" s="303" t="s">
        <v>232</v>
      </c>
    </row>
    <row r="17122" spans="119:119" x14ac:dyDescent="0.2">
      <c r="DO17122" s="303" t="s">
        <v>232</v>
      </c>
    </row>
    <row r="17123" spans="119:119" x14ac:dyDescent="0.2">
      <c r="DO17123" s="303" t="s">
        <v>232</v>
      </c>
    </row>
    <row r="17124" spans="119:119" x14ac:dyDescent="0.2">
      <c r="DO17124" s="303" t="s">
        <v>232</v>
      </c>
    </row>
    <row r="17125" spans="119:119" x14ac:dyDescent="0.2">
      <c r="DO17125" s="303" t="s">
        <v>232</v>
      </c>
    </row>
    <row r="17126" spans="119:119" x14ac:dyDescent="0.2">
      <c r="DO17126" s="303" t="s">
        <v>232</v>
      </c>
    </row>
    <row r="17127" spans="119:119" x14ac:dyDescent="0.2">
      <c r="DO17127" s="303" t="s">
        <v>232</v>
      </c>
    </row>
    <row r="17128" spans="119:119" x14ac:dyDescent="0.2">
      <c r="DO17128" s="303" t="s">
        <v>232</v>
      </c>
    </row>
    <row r="17129" spans="119:119" x14ac:dyDescent="0.2">
      <c r="DO17129" s="303" t="s">
        <v>232</v>
      </c>
    </row>
    <row r="17130" spans="119:119" x14ac:dyDescent="0.2">
      <c r="DO17130" s="303" t="s">
        <v>232</v>
      </c>
    </row>
    <row r="17131" spans="119:119" x14ac:dyDescent="0.2">
      <c r="DO17131" s="303" t="s">
        <v>232</v>
      </c>
    </row>
    <row r="17132" spans="119:119" x14ac:dyDescent="0.2">
      <c r="DO17132" s="303" t="s">
        <v>232</v>
      </c>
    </row>
    <row r="17133" spans="119:119" x14ac:dyDescent="0.2">
      <c r="DO17133" s="303" t="s">
        <v>232</v>
      </c>
    </row>
    <row r="17134" spans="119:119" x14ac:dyDescent="0.2">
      <c r="DO17134" s="303" t="s">
        <v>232</v>
      </c>
    </row>
    <row r="17135" spans="119:119" x14ac:dyDescent="0.2">
      <c r="DO17135" s="303" t="s">
        <v>232</v>
      </c>
    </row>
    <row r="17136" spans="119:119" x14ac:dyDescent="0.2">
      <c r="DO17136" s="303" t="s">
        <v>232</v>
      </c>
    </row>
    <row r="17137" spans="119:119" x14ac:dyDescent="0.2">
      <c r="DO17137" s="303" t="s">
        <v>232</v>
      </c>
    </row>
    <row r="17138" spans="119:119" x14ac:dyDescent="0.2">
      <c r="DO17138" s="303" t="s">
        <v>232</v>
      </c>
    </row>
    <row r="17139" spans="119:119" x14ac:dyDescent="0.2">
      <c r="DO17139" s="303" t="s">
        <v>232</v>
      </c>
    </row>
    <row r="17140" spans="119:119" x14ac:dyDescent="0.2">
      <c r="DO17140" s="303" t="s">
        <v>232</v>
      </c>
    </row>
    <row r="17141" spans="119:119" x14ac:dyDescent="0.2">
      <c r="DO17141" s="303" t="s">
        <v>232</v>
      </c>
    </row>
    <row r="17142" spans="119:119" x14ac:dyDescent="0.2">
      <c r="DO17142" s="303" t="s">
        <v>232</v>
      </c>
    </row>
    <row r="17143" spans="119:119" x14ac:dyDescent="0.2">
      <c r="DO17143" s="303" t="s">
        <v>232</v>
      </c>
    </row>
    <row r="17144" spans="119:119" x14ac:dyDescent="0.2">
      <c r="DO17144" s="303" t="s">
        <v>232</v>
      </c>
    </row>
    <row r="17145" spans="119:119" x14ac:dyDescent="0.2">
      <c r="DO17145" s="303" t="s">
        <v>232</v>
      </c>
    </row>
    <row r="17146" spans="119:119" x14ac:dyDescent="0.2">
      <c r="DO17146" s="303" t="s">
        <v>232</v>
      </c>
    </row>
    <row r="17147" spans="119:119" x14ac:dyDescent="0.2">
      <c r="DO17147" s="303" t="s">
        <v>232</v>
      </c>
    </row>
    <row r="17148" spans="119:119" x14ac:dyDescent="0.2">
      <c r="DO17148" s="303" t="s">
        <v>232</v>
      </c>
    </row>
    <row r="17149" spans="119:119" x14ac:dyDescent="0.2">
      <c r="DO17149" s="303" t="s">
        <v>232</v>
      </c>
    </row>
    <row r="17150" spans="119:119" x14ac:dyDescent="0.2">
      <c r="DO17150" s="303" t="s">
        <v>232</v>
      </c>
    </row>
    <row r="17151" spans="119:119" x14ac:dyDescent="0.2">
      <c r="DO17151" s="303" t="s">
        <v>232</v>
      </c>
    </row>
    <row r="17152" spans="119:119" x14ac:dyDescent="0.2">
      <c r="DO17152" s="303" t="s">
        <v>232</v>
      </c>
    </row>
    <row r="17153" spans="119:119" x14ac:dyDescent="0.2">
      <c r="DO17153" s="303" t="s">
        <v>232</v>
      </c>
    </row>
    <row r="17154" spans="119:119" x14ac:dyDescent="0.2">
      <c r="DO17154" s="303" t="s">
        <v>232</v>
      </c>
    </row>
    <row r="17155" spans="119:119" x14ac:dyDescent="0.2">
      <c r="DO17155" s="303" t="s">
        <v>232</v>
      </c>
    </row>
    <row r="17156" spans="119:119" x14ac:dyDescent="0.2">
      <c r="DO17156" s="303" t="s">
        <v>232</v>
      </c>
    </row>
    <row r="17157" spans="119:119" x14ac:dyDescent="0.2">
      <c r="DO17157" s="303" t="s">
        <v>232</v>
      </c>
    </row>
    <row r="17158" spans="119:119" x14ac:dyDescent="0.2">
      <c r="DO17158" s="303" t="s">
        <v>232</v>
      </c>
    </row>
    <row r="17159" spans="119:119" x14ac:dyDescent="0.2">
      <c r="DO17159" s="303" t="s">
        <v>232</v>
      </c>
    </row>
    <row r="17160" spans="119:119" x14ac:dyDescent="0.2">
      <c r="DO17160" s="303" t="s">
        <v>232</v>
      </c>
    </row>
    <row r="17161" spans="119:119" x14ac:dyDescent="0.2">
      <c r="DO17161" s="303" t="s">
        <v>232</v>
      </c>
    </row>
    <row r="17162" spans="119:119" x14ac:dyDescent="0.2">
      <c r="DO17162" s="303" t="s">
        <v>232</v>
      </c>
    </row>
    <row r="17163" spans="119:119" x14ac:dyDescent="0.2">
      <c r="DO17163" s="303" t="s">
        <v>232</v>
      </c>
    </row>
    <row r="17164" spans="119:119" x14ac:dyDescent="0.2">
      <c r="DO17164" s="303" t="s">
        <v>232</v>
      </c>
    </row>
    <row r="17165" spans="119:119" x14ac:dyDescent="0.2">
      <c r="DO17165" s="303" t="s">
        <v>232</v>
      </c>
    </row>
    <row r="17166" spans="119:119" x14ac:dyDescent="0.2">
      <c r="DO17166" s="303" t="s">
        <v>232</v>
      </c>
    </row>
    <row r="17167" spans="119:119" x14ac:dyDescent="0.2">
      <c r="DO17167" s="303" t="s">
        <v>232</v>
      </c>
    </row>
    <row r="17168" spans="119:119" x14ac:dyDescent="0.2">
      <c r="DO17168" s="303" t="s">
        <v>232</v>
      </c>
    </row>
    <row r="17169" spans="119:119" x14ac:dyDescent="0.2">
      <c r="DO17169" s="303" t="s">
        <v>232</v>
      </c>
    </row>
    <row r="17170" spans="119:119" x14ac:dyDescent="0.2">
      <c r="DO17170" s="303" t="s">
        <v>232</v>
      </c>
    </row>
    <row r="17171" spans="119:119" x14ac:dyDescent="0.2">
      <c r="DO17171" s="303" t="s">
        <v>232</v>
      </c>
    </row>
    <row r="17172" spans="119:119" x14ac:dyDescent="0.2">
      <c r="DO17172" s="303" t="s">
        <v>232</v>
      </c>
    </row>
    <row r="17173" spans="119:119" x14ac:dyDescent="0.2">
      <c r="DO17173" s="303" t="s">
        <v>232</v>
      </c>
    </row>
    <row r="17174" spans="119:119" x14ac:dyDescent="0.2">
      <c r="DO17174" s="303" t="s">
        <v>232</v>
      </c>
    </row>
    <row r="17175" spans="119:119" x14ac:dyDescent="0.2">
      <c r="DO17175" s="303" t="s">
        <v>232</v>
      </c>
    </row>
    <row r="17176" spans="119:119" x14ac:dyDescent="0.2">
      <c r="DO17176" s="303" t="s">
        <v>232</v>
      </c>
    </row>
    <row r="17177" spans="119:119" x14ac:dyDescent="0.2">
      <c r="DO17177" s="303" t="s">
        <v>232</v>
      </c>
    </row>
    <row r="17178" spans="119:119" x14ac:dyDescent="0.2">
      <c r="DO17178" s="303" t="s">
        <v>232</v>
      </c>
    </row>
    <row r="17179" spans="119:119" x14ac:dyDescent="0.2">
      <c r="DO17179" s="303" t="s">
        <v>232</v>
      </c>
    </row>
    <row r="17180" spans="119:119" x14ac:dyDescent="0.2">
      <c r="DO17180" s="303" t="s">
        <v>232</v>
      </c>
    </row>
    <row r="17181" spans="119:119" x14ac:dyDescent="0.2">
      <c r="DO17181" s="303" t="s">
        <v>232</v>
      </c>
    </row>
    <row r="17182" spans="119:119" x14ac:dyDescent="0.2">
      <c r="DO17182" s="303" t="s">
        <v>232</v>
      </c>
    </row>
    <row r="17183" spans="119:119" x14ac:dyDescent="0.2">
      <c r="DO17183" s="303" t="s">
        <v>232</v>
      </c>
    </row>
    <row r="17184" spans="119:119" x14ac:dyDescent="0.2">
      <c r="DO17184" s="303" t="s">
        <v>232</v>
      </c>
    </row>
    <row r="17185" spans="119:119" x14ac:dyDescent="0.2">
      <c r="DO17185" s="303" t="s">
        <v>232</v>
      </c>
    </row>
    <row r="17186" spans="119:119" x14ac:dyDescent="0.2">
      <c r="DO17186" s="303" t="s">
        <v>232</v>
      </c>
    </row>
    <row r="17187" spans="119:119" x14ac:dyDescent="0.2">
      <c r="DO17187" s="303" t="s">
        <v>232</v>
      </c>
    </row>
    <row r="17188" spans="119:119" x14ac:dyDescent="0.2">
      <c r="DO17188" s="303" t="s">
        <v>232</v>
      </c>
    </row>
    <row r="17189" spans="119:119" x14ac:dyDescent="0.2">
      <c r="DO17189" s="303" t="s">
        <v>232</v>
      </c>
    </row>
    <row r="17190" spans="119:119" x14ac:dyDescent="0.2">
      <c r="DO17190" s="303" t="s">
        <v>232</v>
      </c>
    </row>
    <row r="17191" spans="119:119" x14ac:dyDescent="0.2">
      <c r="DO17191" s="303" t="s">
        <v>232</v>
      </c>
    </row>
    <row r="17192" spans="119:119" x14ac:dyDescent="0.2">
      <c r="DO17192" s="303" t="s">
        <v>232</v>
      </c>
    </row>
    <row r="17193" spans="119:119" x14ac:dyDescent="0.2">
      <c r="DO17193" s="303" t="s">
        <v>232</v>
      </c>
    </row>
    <row r="17194" spans="119:119" x14ac:dyDescent="0.2">
      <c r="DO17194" s="303" t="s">
        <v>232</v>
      </c>
    </row>
    <row r="17195" spans="119:119" x14ac:dyDescent="0.2">
      <c r="DO17195" s="303" t="s">
        <v>232</v>
      </c>
    </row>
    <row r="17196" spans="119:119" x14ac:dyDescent="0.2">
      <c r="DO17196" s="303" t="s">
        <v>232</v>
      </c>
    </row>
    <row r="17197" spans="119:119" x14ac:dyDescent="0.2">
      <c r="DO17197" s="303" t="s">
        <v>232</v>
      </c>
    </row>
    <row r="17198" spans="119:119" x14ac:dyDescent="0.2">
      <c r="DO17198" s="303" t="s">
        <v>232</v>
      </c>
    </row>
    <row r="17199" spans="119:119" x14ac:dyDescent="0.2">
      <c r="DO17199" s="303" t="s">
        <v>232</v>
      </c>
    </row>
    <row r="17200" spans="119:119" x14ac:dyDescent="0.2">
      <c r="DO17200" s="303" t="s">
        <v>232</v>
      </c>
    </row>
    <row r="17201" spans="119:119" x14ac:dyDescent="0.2">
      <c r="DO17201" s="303" t="s">
        <v>232</v>
      </c>
    </row>
    <row r="17202" spans="119:119" x14ac:dyDescent="0.2">
      <c r="DO17202" s="303" t="s">
        <v>232</v>
      </c>
    </row>
    <row r="17203" spans="119:119" x14ac:dyDescent="0.2">
      <c r="DO17203" s="303" t="s">
        <v>232</v>
      </c>
    </row>
    <row r="17204" spans="119:119" x14ac:dyDescent="0.2">
      <c r="DO17204" s="303" t="s">
        <v>232</v>
      </c>
    </row>
    <row r="17205" spans="119:119" x14ac:dyDescent="0.2">
      <c r="DO17205" s="303" t="s">
        <v>232</v>
      </c>
    </row>
    <row r="17206" spans="119:119" x14ac:dyDescent="0.2">
      <c r="DO17206" s="303" t="s">
        <v>232</v>
      </c>
    </row>
    <row r="17207" spans="119:119" x14ac:dyDescent="0.2">
      <c r="DO17207" s="303" t="s">
        <v>232</v>
      </c>
    </row>
    <row r="17208" spans="119:119" x14ac:dyDescent="0.2">
      <c r="DO17208" s="303" t="s">
        <v>232</v>
      </c>
    </row>
    <row r="17209" spans="119:119" x14ac:dyDescent="0.2">
      <c r="DO17209" s="303" t="s">
        <v>232</v>
      </c>
    </row>
    <row r="17210" spans="119:119" x14ac:dyDescent="0.2">
      <c r="DO17210" s="303" t="s">
        <v>232</v>
      </c>
    </row>
    <row r="17211" spans="119:119" x14ac:dyDescent="0.2">
      <c r="DO17211" s="303" t="s">
        <v>232</v>
      </c>
    </row>
    <row r="17212" spans="119:119" x14ac:dyDescent="0.2">
      <c r="DO17212" s="303" t="s">
        <v>232</v>
      </c>
    </row>
    <row r="17213" spans="119:119" x14ac:dyDescent="0.2">
      <c r="DO17213" s="303" t="s">
        <v>232</v>
      </c>
    </row>
    <row r="17214" spans="119:119" x14ac:dyDescent="0.2">
      <c r="DO17214" s="303" t="s">
        <v>232</v>
      </c>
    </row>
    <row r="17215" spans="119:119" x14ac:dyDescent="0.2">
      <c r="DO17215" s="303" t="s">
        <v>232</v>
      </c>
    </row>
    <row r="17216" spans="119:119" x14ac:dyDescent="0.2">
      <c r="DO17216" s="303" t="s">
        <v>232</v>
      </c>
    </row>
    <row r="17217" spans="119:119" x14ac:dyDescent="0.2">
      <c r="DO17217" s="303" t="s">
        <v>232</v>
      </c>
    </row>
    <row r="17218" spans="119:119" x14ac:dyDescent="0.2">
      <c r="DO17218" s="303" t="s">
        <v>232</v>
      </c>
    </row>
    <row r="17219" spans="119:119" x14ac:dyDescent="0.2">
      <c r="DO17219" s="303" t="s">
        <v>232</v>
      </c>
    </row>
    <row r="17220" spans="119:119" x14ac:dyDescent="0.2">
      <c r="DO17220" s="303" t="s">
        <v>232</v>
      </c>
    </row>
    <row r="17221" spans="119:119" x14ac:dyDescent="0.2">
      <c r="DO17221" s="303" t="s">
        <v>232</v>
      </c>
    </row>
    <row r="17222" spans="119:119" x14ac:dyDescent="0.2">
      <c r="DO17222" s="303" t="s">
        <v>232</v>
      </c>
    </row>
    <row r="17223" spans="119:119" x14ac:dyDescent="0.2">
      <c r="DO17223" s="303" t="s">
        <v>232</v>
      </c>
    </row>
    <row r="17224" spans="119:119" x14ac:dyDescent="0.2">
      <c r="DO17224" s="303" t="s">
        <v>232</v>
      </c>
    </row>
    <row r="17225" spans="119:119" x14ac:dyDescent="0.2">
      <c r="DO17225" s="303" t="s">
        <v>232</v>
      </c>
    </row>
    <row r="17226" spans="119:119" x14ac:dyDescent="0.2">
      <c r="DO17226" s="303" t="s">
        <v>232</v>
      </c>
    </row>
    <row r="17227" spans="119:119" x14ac:dyDescent="0.2">
      <c r="DO17227" s="303" t="s">
        <v>232</v>
      </c>
    </row>
    <row r="17228" spans="119:119" x14ac:dyDescent="0.2">
      <c r="DO17228" s="303" t="s">
        <v>232</v>
      </c>
    </row>
    <row r="17229" spans="119:119" x14ac:dyDescent="0.2">
      <c r="DO17229" s="303" t="s">
        <v>232</v>
      </c>
    </row>
    <row r="17230" spans="119:119" x14ac:dyDescent="0.2">
      <c r="DO17230" s="303" t="s">
        <v>232</v>
      </c>
    </row>
    <row r="17231" spans="119:119" x14ac:dyDescent="0.2">
      <c r="DO17231" s="303" t="s">
        <v>232</v>
      </c>
    </row>
    <row r="17232" spans="119:119" x14ac:dyDescent="0.2">
      <c r="DO17232" s="303" t="s">
        <v>232</v>
      </c>
    </row>
    <row r="17233" spans="119:119" x14ac:dyDescent="0.2">
      <c r="DO17233" s="303" t="s">
        <v>232</v>
      </c>
    </row>
    <row r="17234" spans="119:119" x14ac:dyDescent="0.2">
      <c r="DO17234" s="303" t="s">
        <v>232</v>
      </c>
    </row>
    <row r="17235" spans="119:119" x14ac:dyDescent="0.2">
      <c r="DO17235" s="303" t="s">
        <v>232</v>
      </c>
    </row>
    <row r="17236" spans="119:119" x14ac:dyDescent="0.2">
      <c r="DO17236" s="303" t="s">
        <v>232</v>
      </c>
    </row>
    <row r="17237" spans="119:119" x14ac:dyDescent="0.2">
      <c r="DO17237" s="303" t="s">
        <v>232</v>
      </c>
    </row>
    <row r="17238" spans="119:119" x14ac:dyDescent="0.2">
      <c r="DO17238" s="303" t="s">
        <v>232</v>
      </c>
    </row>
    <row r="17239" spans="119:119" x14ac:dyDescent="0.2">
      <c r="DO17239" s="303" t="s">
        <v>232</v>
      </c>
    </row>
    <row r="17240" spans="119:119" x14ac:dyDescent="0.2">
      <c r="DO17240" s="303" t="s">
        <v>232</v>
      </c>
    </row>
    <row r="17241" spans="119:119" x14ac:dyDescent="0.2">
      <c r="DO17241" s="303" t="s">
        <v>232</v>
      </c>
    </row>
    <row r="17242" spans="119:119" x14ac:dyDescent="0.2">
      <c r="DO17242" s="303" t="s">
        <v>232</v>
      </c>
    </row>
    <row r="17243" spans="119:119" x14ac:dyDescent="0.2">
      <c r="DO17243" s="303" t="s">
        <v>232</v>
      </c>
    </row>
    <row r="17244" spans="119:119" x14ac:dyDescent="0.2">
      <c r="DO17244" s="303" t="s">
        <v>232</v>
      </c>
    </row>
    <row r="17245" spans="119:119" x14ac:dyDescent="0.2">
      <c r="DO17245" s="303" t="s">
        <v>232</v>
      </c>
    </row>
    <row r="17246" spans="119:119" x14ac:dyDescent="0.2">
      <c r="DO17246" s="303" t="s">
        <v>232</v>
      </c>
    </row>
    <row r="17247" spans="119:119" x14ac:dyDescent="0.2">
      <c r="DO17247" s="303" t="s">
        <v>232</v>
      </c>
    </row>
    <row r="17248" spans="119:119" x14ac:dyDescent="0.2">
      <c r="DO17248" s="303" t="s">
        <v>232</v>
      </c>
    </row>
    <row r="17249" spans="119:119" x14ac:dyDescent="0.2">
      <c r="DO17249" s="303" t="s">
        <v>232</v>
      </c>
    </row>
    <row r="17250" spans="119:119" x14ac:dyDescent="0.2">
      <c r="DO17250" s="303" t="s">
        <v>232</v>
      </c>
    </row>
    <row r="17251" spans="119:119" x14ac:dyDescent="0.2">
      <c r="DO17251" s="303" t="s">
        <v>232</v>
      </c>
    </row>
    <row r="17252" spans="119:119" x14ac:dyDescent="0.2">
      <c r="DO17252" s="303" t="s">
        <v>232</v>
      </c>
    </row>
    <row r="17253" spans="119:119" x14ac:dyDescent="0.2">
      <c r="DO17253" s="303" t="s">
        <v>232</v>
      </c>
    </row>
    <row r="17254" spans="119:119" x14ac:dyDescent="0.2">
      <c r="DO17254" s="303" t="s">
        <v>232</v>
      </c>
    </row>
    <row r="17255" spans="119:119" x14ac:dyDescent="0.2">
      <c r="DO17255" s="303" t="s">
        <v>232</v>
      </c>
    </row>
    <row r="17256" spans="119:119" x14ac:dyDescent="0.2">
      <c r="DO17256" s="303" t="s">
        <v>232</v>
      </c>
    </row>
    <row r="17257" spans="119:119" x14ac:dyDescent="0.2">
      <c r="DO17257" s="303" t="s">
        <v>232</v>
      </c>
    </row>
    <row r="17258" spans="119:119" x14ac:dyDescent="0.2">
      <c r="DO17258" s="303" t="s">
        <v>232</v>
      </c>
    </row>
    <row r="17259" spans="119:119" x14ac:dyDescent="0.2">
      <c r="DO17259" s="303" t="s">
        <v>232</v>
      </c>
    </row>
    <row r="17260" spans="119:119" x14ac:dyDescent="0.2">
      <c r="DO17260" s="303" t="s">
        <v>232</v>
      </c>
    </row>
    <row r="17261" spans="119:119" x14ac:dyDescent="0.2">
      <c r="DO17261" s="303" t="s">
        <v>232</v>
      </c>
    </row>
    <row r="17262" spans="119:119" x14ac:dyDescent="0.2">
      <c r="DO17262" s="303" t="s">
        <v>232</v>
      </c>
    </row>
    <row r="17263" spans="119:119" x14ac:dyDescent="0.2">
      <c r="DO17263" s="303" t="s">
        <v>232</v>
      </c>
    </row>
    <row r="17264" spans="119:119" x14ac:dyDescent="0.2">
      <c r="DO17264" s="303" t="s">
        <v>232</v>
      </c>
    </row>
    <row r="17265" spans="119:119" x14ac:dyDescent="0.2">
      <c r="DO17265" s="303" t="s">
        <v>232</v>
      </c>
    </row>
    <row r="17266" spans="119:119" x14ac:dyDescent="0.2">
      <c r="DO17266" s="303" t="s">
        <v>232</v>
      </c>
    </row>
    <row r="17267" spans="119:119" x14ac:dyDescent="0.2">
      <c r="DO17267" s="303" t="s">
        <v>232</v>
      </c>
    </row>
    <row r="17268" spans="119:119" x14ac:dyDescent="0.2">
      <c r="DO17268" s="303" t="s">
        <v>232</v>
      </c>
    </row>
    <row r="17269" spans="119:119" x14ac:dyDescent="0.2">
      <c r="DO17269" s="303" t="s">
        <v>232</v>
      </c>
    </row>
    <row r="17270" spans="119:119" x14ac:dyDescent="0.2">
      <c r="DO17270" s="303" t="s">
        <v>232</v>
      </c>
    </row>
    <row r="17271" spans="119:119" x14ac:dyDescent="0.2">
      <c r="DO17271" s="303" t="s">
        <v>232</v>
      </c>
    </row>
    <row r="17272" spans="119:119" x14ac:dyDescent="0.2">
      <c r="DO17272" s="303" t="s">
        <v>232</v>
      </c>
    </row>
    <row r="17273" spans="119:119" x14ac:dyDescent="0.2">
      <c r="DO17273" s="303" t="s">
        <v>232</v>
      </c>
    </row>
    <row r="17274" spans="119:119" x14ac:dyDescent="0.2">
      <c r="DO17274" s="303" t="s">
        <v>232</v>
      </c>
    </row>
    <row r="17275" spans="119:119" x14ac:dyDescent="0.2">
      <c r="DO17275" s="303" t="s">
        <v>232</v>
      </c>
    </row>
    <row r="17276" spans="119:119" x14ac:dyDescent="0.2">
      <c r="DO17276" s="303" t="s">
        <v>232</v>
      </c>
    </row>
    <row r="17277" spans="119:119" x14ac:dyDescent="0.2">
      <c r="DO17277" s="303" t="s">
        <v>232</v>
      </c>
    </row>
    <row r="17278" spans="119:119" x14ac:dyDescent="0.2">
      <c r="DO17278" s="303" t="s">
        <v>232</v>
      </c>
    </row>
    <row r="17279" spans="119:119" x14ac:dyDescent="0.2">
      <c r="DO17279" s="303" t="s">
        <v>232</v>
      </c>
    </row>
    <row r="17280" spans="119:119" x14ac:dyDescent="0.2">
      <c r="DO17280" s="303" t="s">
        <v>232</v>
      </c>
    </row>
    <row r="17281" spans="119:119" x14ac:dyDescent="0.2">
      <c r="DO17281" s="303" t="s">
        <v>232</v>
      </c>
    </row>
    <row r="17282" spans="119:119" x14ac:dyDescent="0.2">
      <c r="DO17282" s="303" t="s">
        <v>232</v>
      </c>
    </row>
    <row r="17283" spans="119:119" x14ac:dyDescent="0.2">
      <c r="DO17283" s="303" t="s">
        <v>232</v>
      </c>
    </row>
    <row r="17284" spans="119:119" x14ac:dyDescent="0.2">
      <c r="DO17284" s="303" t="s">
        <v>232</v>
      </c>
    </row>
    <row r="17285" spans="119:119" x14ac:dyDescent="0.2">
      <c r="DO17285" s="303" t="s">
        <v>232</v>
      </c>
    </row>
    <row r="17286" spans="119:119" x14ac:dyDescent="0.2">
      <c r="DO17286" s="303" t="s">
        <v>232</v>
      </c>
    </row>
    <row r="17287" spans="119:119" x14ac:dyDescent="0.2">
      <c r="DO17287" s="303" t="s">
        <v>232</v>
      </c>
    </row>
    <row r="17288" spans="119:119" x14ac:dyDescent="0.2">
      <c r="DO17288" s="303" t="s">
        <v>232</v>
      </c>
    </row>
    <row r="17289" spans="119:119" x14ac:dyDescent="0.2">
      <c r="DO17289" s="303" t="s">
        <v>232</v>
      </c>
    </row>
    <row r="17290" spans="119:119" x14ac:dyDescent="0.2">
      <c r="DO17290" s="303" t="s">
        <v>232</v>
      </c>
    </row>
    <row r="17291" spans="119:119" x14ac:dyDescent="0.2">
      <c r="DO17291" s="303" t="s">
        <v>232</v>
      </c>
    </row>
    <row r="17292" spans="119:119" x14ac:dyDescent="0.2">
      <c r="DO17292" s="303" t="s">
        <v>232</v>
      </c>
    </row>
    <row r="17293" spans="119:119" x14ac:dyDescent="0.2">
      <c r="DO17293" s="303" t="s">
        <v>232</v>
      </c>
    </row>
    <row r="17294" spans="119:119" x14ac:dyDescent="0.2">
      <c r="DO17294" s="303" t="s">
        <v>232</v>
      </c>
    </row>
    <row r="17295" spans="119:119" x14ac:dyDescent="0.2">
      <c r="DO17295" s="303" t="s">
        <v>232</v>
      </c>
    </row>
    <row r="17296" spans="119:119" x14ac:dyDescent="0.2">
      <c r="DO17296" s="303" t="s">
        <v>232</v>
      </c>
    </row>
    <row r="17297" spans="119:119" x14ac:dyDescent="0.2">
      <c r="DO17297" s="303" t="s">
        <v>232</v>
      </c>
    </row>
    <row r="17298" spans="119:119" x14ac:dyDescent="0.2">
      <c r="DO17298" s="303" t="s">
        <v>232</v>
      </c>
    </row>
    <row r="17299" spans="119:119" x14ac:dyDescent="0.2">
      <c r="DO17299" s="303" t="s">
        <v>232</v>
      </c>
    </row>
    <row r="17300" spans="119:119" x14ac:dyDescent="0.2">
      <c r="DO17300" s="303" t="s">
        <v>232</v>
      </c>
    </row>
    <row r="17301" spans="119:119" x14ac:dyDescent="0.2">
      <c r="DO17301" s="303" t="s">
        <v>232</v>
      </c>
    </row>
    <row r="17302" spans="119:119" x14ac:dyDescent="0.2">
      <c r="DO17302" s="303" t="s">
        <v>232</v>
      </c>
    </row>
    <row r="17303" spans="119:119" x14ac:dyDescent="0.2">
      <c r="DO17303" s="303" t="s">
        <v>232</v>
      </c>
    </row>
    <row r="17304" spans="119:119" x14ac:dyDescent="0.2">
      <c r="DO17304" s="303" t="s">
        <v>232</v>
      </c>
    </row>
    <row r="17305" spans="119:119" x14ac:dyDescent="0.2">
      <c r="DO17305" s="303" t="s">
        <v>232</v>
      </c>
    </row>
    <row r="17306" spans="119:119" x14ac:dyDescent="0.2">
      <c r="DO17306" s="303" t="s">
        <v>232</v>
      </c>
    </row>
    <row r="17307" spans="119:119" x14ac:dyDescent="0.2">
      <c r="DO17307" s="303" t="s">
        <v>232</v>
      </c>
    </row>
    <row r="17308" spans="119:119" x14ac:dyDescent="0.2">
      <c r="DO17308" s="303" t="s">
        <v>232</v>
      </c>
    </row>
    <row r="17309" spans="119:119" x14ac:dyDescent="0.2">
      <c r="DO17309" s="303" t="s">
        <v>232</v>
      </c>
    </row>
    <row r="17310" spans="119:119" x14ac:dyDescent="0.2">
      <c r="DO17310" s="303" t="s">
        <v>232</v>
      </c>
    </row>
    <row r="17311" spans="119:119" x14ac:dyDescent="0.2">
      <c r="DO17311" s="303" t="s">
        <v>232</v>
      </c>
    </row>
    <row r="17312" spans="119:119" x14ac:dyDescent="0.2">
      <c r="DO17312" s="303" t="s">
        <v>232</v>
      </c>
    </row>
    <row r="17313" spans="119:119" x14ac:dyDescent="0.2">
      <c r="DO17313" s="303" t="s">
        <v>232</v>
      </c>
    </row>
    <row r="17314" spans="119:119" x14ac:dyDescent="0.2">
      <c r="DO17314" s="303" t="s">
        <v>232</v>
      </c>
    </row>
    <row r="17315" spans="119:119" x14ac:dyDescent="0.2">
      <c r="DO17315" s="303" t="s">
        <v>232</v>
      </c>
    </row>
    <row r="17316" spans="119:119" x14ac:dyDescent="0.2">
      <c r="DO17316" s="303" t="s">
        <v>232</v>
      </c>
    </row>
    <row r="17317" spans="119:119" x14ac:dyDescent="0.2">
      <c r="DO17317" s="303" t="s">
        <v>232</v>
      </c>
    </row>
    <row r="17318" spans="119:119" x14ac:dyDescent="0.2">
      <c r="DO17318" s="303" t="s">
        <v>232</v>
      </c>
    </row>
    <row r="17319" spans="119:119" x14ac:dyDescent="0.2">
      <c r="DO17319" s="303" t="s">
        <v>232</v>
      </c>
    </row>
    <row r="17320" spans="119:119" x14ac:dyDescent="0.2">
      <c r="DO17320" s="303" t="s">
        <v>232</v>
      </c>
    </row>
    <row r="17321" spans="119:119" x14ac:dyDescent="0.2">
      <c r="DO17321" s="303" t="s">
        <v>232</v>
      </c>
    </row>
    <row r="17322" spans="119:119" x14ac:dyDescent="0.2">
      <c r="DO17322" s="303" t="s">
        <v>232</v>
      </c>
    </row>
    <row r="17323" spans="119:119" x14ac:dyDescent="0.2">
      <c r="DO17323" s="303" t="s">
        <v>232</v>
      </c>
    </row>
    <row r="17324" spans="119:119" x14ac:dyDescent="0.2">
      <c r="DO17324" s="303" t="s">
        <v>232</v>
      </c>
    </row>
    <row r="17325" spans="119:119" x14ac:dyDescent="0.2">
      <c r="DO17325" s="303" t="s">
        <v>232</v>
      </c>
    </row>
    <row r="17326" spans="119:119" x14ac:dyDescent="0.2">
      <c r="DO17326" s="303" t="s">
        <v>232</v>
      </c>
    </row>
    <row r="17327" spans="119:119" x14ac:dyDescent="0.2">
      <c r="DO17327" s="303" t="s">
        <v>232</v>
      </c>
    </row>
    <row r="17328" spans="119:119" x14ac:dyDescent="0.2">
      <c r="DO17328" s="303" t="s">
        <v>232</v>
      </c>
    </row>
    <row r="17329" spans="119:119" x14ac:dyDescent="0.2">
      <c r="DO17329" s="303" t="s">
        <v>232</v>
      </c>
    </row>
    <row r="17330" spans="119:119" x14ac:dyDescent="0.2">
      <c r="DO17330" s="303" t="s">
        <v>232</v>
      </c>
    </row>
    <row r="17331" spans="119:119" x14ac:dyDescent="0.2">
      <c r="DO17331" s="303" t="s">
        <v>232</v>
      </c>
    </row>
    <row r="17332" spans="119:119" x14ac:dyDescent="0.2">
      <c r="DO17332" s="303" t="s">
        <v>232</v>
      </c>
    </row>
    <row r="17333" spans="119:119" x14ac:dyDescent="0.2">
      <c r="DO17333" s="303" t="s">
        <v>232</v>
      </c>
    </row>
    <row r="17334" spans="119:119" x14ac:dyDescent="0.2">
      <c r="DO17334" s="303" t="s">
        <v>232</v>
      </c>
    </row>
    <row r="17335" spans="119:119" x14ac:dyDescent="0.2">
      <c r="DO17335" s="303" t="s">
        <v>232</v>
      </c>
    </row>
    <row r="17336" spans="119:119" x14ac:dyDescent="0.2">
      <c r="DO17336" s="303" t="s">
        <v>232</v>
      </c>
    </row>
    <row r="17337" spans="119:119" x14ac:dyDescent="0.2">
      <c r="DO17337" s="303" t="s">
        <v>232</v>
      </c>
    </row>
    <row r="17338" spans="119:119" x14ac:dyDescent="0.2">
      <c r="DO17338" s="303" t="s">
        <v>232</v>
      </c>
    </row>
    <row r="17339" spans="119:119" x14ac:dyDescent="0.2">
      <c r="DO17339" s="303" t="s">
        <v>232</v>
      </c>
    </row>
    <row r="17340" spans="119:119" x14ac:dyDescent="0.2">
      <c r="DO17340" s="303" t="s">
        <v>232</v>
      </c>
    </row>
    <row r="17341" spans="119:119" x14ac:dyDescent="0.2">
      <c r="DO17341" s="303" t="s">
        <v>232</v>
      </c>
    </row>
    <row r="17342" spans="119:119" x14ac:dyDescent="0.2">
      <c r="DO17342" s="303" t="s">
        <v>232</v>
      </c>
    </row>
    <row r="17343" spans="119:119" x14ac:dyDescent="0.2">
      <c r="DO17343" s="303" t="s">
        <v>232</v>
      </c>
    </row>
    <row r="17344" spans="119:119" x14ac:dyDescent="0.2">
      <c r="DO17344" s="303" t="s">
        <v>232</v>
      </c>
    </row>
    <row r="17345" spans="119:119" x14ac:dyDescent="0.2">
      <c r="DO17345" s="303" t="s">
        <v>232</v>
      </c>
    </row>
    <row r="17346" spans="119:119" x14ac:dyDescent="0.2">
      <c r="DO17346" s="303" t="s">
        <v>232</v>
      </c>
    </row>
    <row r="17347" spans="119:119" x14ac:dyDescent="0.2">
      <c r="DO17347" s="303" t="s">
        <v>232</v>
      </c>
    </row>
    <row r="17348" spans="119:119" x14ac:dyDescent="0.2">
      <c r="DO17348" s="303" t="s">
        <v>232</v>
      </c>
    </row>
    <row r="17349" spans="119:119" x14ac:dyDescent="0.2">
      <c r="DO17349" s="303" t="s">
        <v>232</v>
      </c>
    </row>
    <row r="17350" spans="119:119" x14ac:dyDescent="0.2">
      <c r="DO17350" s="303" t="s">
        <v>232</v>
      </c>
    </row>
    <row r="17351" spans="119:119" x14ac:dyDescent="0.2">
      <c r="DO17351" s="303" t="s">
        <v>232</v>
      </c>
    </row>
    <row r="17352" spans="119:119" x14ac:dyDescent="0.2">
      <c r="DO17352" s="303" t="s">
        <v>232</v>
      </c>
    </row>
    <row r="17353" spans="119:119" x14ac:dyDescent="0.2">
      <c r="DO17353" s="303" t="s">
        <v>232</v>
      </c>
    </row>
    <row r="17354" spans="119:119" x14ac:dyDescent="0.2">
      <c r="DO17354" s="303" t="s">
        <v>232</v>
      </c>
    </row>
    <row r="17355" spans="119:119" x14ac:dyDescent="0.2">
      <c r="DO17355" s="303" t="s">
        <v>232</v>
      </c>
    </row>
    <row r="17356" spans="119:119" x14ac:dyDescent="0.2">
      <c r="DO17356" s="303" t="s">
        <v>232</v>
      </c>
    </row>
    <row r="17357" spans="119:119" x14ac:dyDescent="0.2">
      <c r="DO17357" s="303" t="s">
        <v>232</v>
      </c>
    </row>
    <row r="17358" spans="119:119" x14ac:dyDescent="0.2">
      <c r="DO17358" s="303" t="s">
        <v>232</v>
      </c>
    </row>
    <row r="17359" spans="119:119" x14ac:dyDescent="0.2">
      <c r="DO17359" s="303" t="s">
        <v>232</v>
      </c>
    </row>
    <row r="17360" spans="119:119" x14ac:dyDescent="0.2">
      <c r="DO17360" s="303" t="s">
        <v>232</v>
      </c>
    </row>
    <row r="17361" spans="119:119" x14ac:dyDescent="0.2">
      <c r="DO17361" s="303" t="s">
        <v>232</v>
      </c>
    </row>
    <row r="17362" spans="119:119" x14ac:dyDescent="0.2">
      <c r="DO17362" s="303" t="s">
        <v>232</v>
      </c>
    </row>
    <row r="17363" spans="119:119" x14ac:dyDescent="0.2">
      <c r="DO17363" s="303" t="s">
        <v>232</v>
      </c>
    </row>
    <row r="17364" spans="119:119" x14ac:dyDescent="0.2">
      <c r="DO17364" s="303" t="s">
        <v>232</v>
      </c>
    </row>
    <row r="17365" spans="119:119" x14ac:dyDescent="0.2">
      <c r="DO17365" s="303" t="s">
        <v>232</v>
      </c>
    </row>
    <row r="17366" spans="119:119" x14ac:dyDescent="0.2">
      <c r="DO17366" s="303" t="s">
        <v>232</v>
      </c>
    </row>
    <row r="17367" spans="119:119" x14ac:dyDescent="0.2">
      <c r="DO17367" s="303" t="s">
        <v>232</v>
      </c>
    </row>
    <row r="17368" spans="119:119" x14ac:dyDescent="0.2">
      <c r="DO17368" s="303" t="s">
        <v>232</v>
      </c>
    </row>
    <row r="17369" spans="119:119" x14ac:dyDescent="0.2">
      <c r="DO17369" s="303" t="s">
        <v>232</v>
      </c>
    </row>
    <row r="17370" spans="119:119" x14ac:dyDescent="0.2">
      <c r="DO17370" s="303" t="s">
        <v>232</v>
      </c>
    </row>
    <row r="17371" spans="119:119" x14ac:dyDescent="0.2">
      <c r="DO17371" s="303" t="s">
        <v>232</v>
      </c>
    </row>
    <row r="17372" spans="119:119" x14ac:dyDescent="0.2">
      <c r="DO17372" s="303" t="s">
        <v>232</v>
      </c>
    </row>
    <row r="17373" spans="119:119" x14ac:dyDescent="0.2">
      <c r="DO17373" s="303" t="s">
        <v>232</v>
      </c>
    </row>
    <row r="17374" spans="119:119" x14ac:dyDescent="0.2">
      <c r="DO17374" s="303" t="s">
        <v>232</v>
      </c>
    </row>
    <row r="17375" spans="119:119" x14ac:dyDescent="0.2">
      <c r="DO17375" s="303" t="s">
        <v>232</v>
      </c>
    </row>
    <row r="17376" spans="119:119" x14ac:dyDescent="0.2">
      <c r="DO17376" s="303" t="s">
        <v>232</v>
      </c>
    </row>
    <row r="17377" spans="119:119" x14ac:dyDescent="0.2">
      <c r="DO17377" s="303" t="s">
        <v>232</v>
      </c>
    </row>
    <row r="17378" spans="119:119" x14ac:dyDescent="0.2">
      <c r="DO17378" s="303" t="s">
        <v>232</v>
      </c>
    </row>
    <row r="17379" spans="119:119" x14ac:dyDescent="0.2">
      <c r="DO17379" s="303" t="s">
        <v>232</v>
      </c>
    </row>
    <row r="17380" spans="119:119" x14ac:dyDescent="0.2">
      <c r="DO17380" s="303" t="s">
        <v>232</v>
      </c>
    </row>
    <row r="17381" spans="119:119" x14ac:dyDescent="0.2">
      <c r="DO17381" s="303" t="s">
        <v>232</v>
      </c>
    </row>
    <row r="17382" spans="119:119" x14ac:dyDescent="0.2">
      <c r="DO17382" s="303" t="s">
        <v>232</v>
      </c>
    </row>
    <row r="17383" spans="119:119" x14ac:dyDescent="0.2">
      <c r="DO17383" s="303" t="s">
        <v>232</v>
      </c>
    </row>
    <row r="17384" spans="119:119" x14ac:dyDescent="0.2">
      <c r="DO17384" s="303" t="s">
        <v>232</v>
      </c>
    </row>
    <row r="17385" spans="119:119" x14ac:dyDescent="0.2">
      <c r="DO17385" s="303" t="s">
        <v>232</v>
      </c>
    </row>
    <row r="17386" spans="119:119" x14ac:dyDescent="0.2">
      <c r="DO17386" s="303" t="s">
        <v>232</v>
      </c>
    </row>
    <row r="17387" spans="119:119" x14ac:dyDescent="0.2">
      <c r="DO17387" s="303" t="s">
        <v>232</v>
      </c>
    </row>
    <row r="17388" spans="119:119" x14ac:dyDescent="0.2">
      <c r="DO17388" s="303" t="s">
        <v>232</v>
      </c>
    </row>
    <row r="17389" spans="119:119" x14ac:dyDescent="0.2">
      <c r="DO17389" s="303" t="s">
        <v>232</v>
      </c>
    </row>
    <row r="17390" spans="119:119" x14ac:dyDescent="0.2">
      <c r="DO17390" s="303" t="s">
        <v>232</v>
      </c>
    </row>
    <row r="17391" spans="119:119" x14ac:dyDescent="0.2">
      <c r="DO17391" s="303" t="s">
        <v>232</v>
      </c>
    </row>
    <row r="17392" spans="119:119" x14ac:dyDescent="0.2">
      <c r="DO17392" s="303" t="s">
        <v>232</v>
      </c>
    </row>
    <row r="17393" spans="119:119" x14ac:dyDescent="0.2">
      <c r="DO17393" s="303" t="s">
        <v>232</v>
      </c>
    </row>
    <row r="17394" spans="119:119" x14ac:dyDescent="0.2">
      <c r="DO17394" s="303" t="s">
        <v>232</v>
      </c>
    </row>
    <row r="17395" spans="119:119" x14ac:dyDescent="0.2">
      <c r="DO17395" s="303" t="s">
        <v>232</v>
      </c>
    </row>
    <row r="17396" spans="119:119" x14ac:dyDescent="0.2">
      <c r="DO17396" s="303" t="s">
        <v>232</v>
      </c>
    </row>
    <row r="17397" spans="119:119" x14ac:dyDescent="0.2">
      <c r="DO17397" s="303" t="s">
        <v>232</v>
      </c>
    </row>
    <row r="17398" spans="119:119" x14ac:dyDescent="0.2">
      <c r="DO17398" s="303" t="s">
        <v>232</v>
      </c>
    </row>
    <row r="17399" spans="119:119" x14ac:dyDescent="0.2">
      <c r="DO17399" s="303" t="s">
        <v>232</v>
      </c>
    </row>
    <row r="17400" spans="119:119" x14ac:dyDescent="0.2">
      <c r="DO17400" s="303" t="s">
        <v>232</v>
      </c>
    </row>
    <row r="17401" spans="119:119" x14ac:dyDescent="0.2">
      <c r="DO17401" s="303" t="s">
        <v>232</v>
      </c>
    </row>
    <row r="17402" spans="119:119" x14ac:dyDescent="0.2">
      <c r="DO17402" s="303" t="s">
        <v>232</v>
      </c>
    </row>
    <row r="17403" spans="119:119" x14ac:dyDescent="0.2">
      <c r="DO17403" s="303" t="s">
        <v>232</v>
      </c>
    </row>
    <row r="17404" spans="119:119" x14ac:dyDescent="0.2">
      <c r="DO17404" s="303" t="s">
        <v>232</v>
      </c>
    </row>
    <row r="17405" spans="119:119" x14ac:dyDescent="0.2">
      <c r="DO17405" s="303" t="s">
        <v>232</v>
      </c>
    </row>
    <row r="17406" spans="119:119" x14ac:dyDescent="0.2">
      <c r="DO17406" s="303" t="s">
        <v>232</v>
      </c>
    </row>
    <row r="17407" spans="119:119" x14ac:dyDescent="0.2">
      <c r="DO17407" s="303" t="s">
        <v>232</v>
      </c>
    </row>
    <row r="17408" spans="119:119" x14ac:dyDescent="0.2">
      <c r="DO17408" s="303" t="s">
        <v>232</v>
      </c>
    </row>
    <row r="17409" spans="119:119" x14ac:dyDescent="0.2">
      <c r="DO17409" s="303" t="s">
        <v>232</v>
      </c>
    </row>
    <row r="17410" spans="119:119" x14ac:dyDescent="0.2">
      <c r="DO17410" s="303" t="s">
        <v>232</v>
      </c>
    </row>
    <row r="17411" spans="119:119" x14ac:dyDescent="0.2">
      <c r="DO17411" s="303" t="s">
        <v>232</v>
      </c>
    </row>
    <row r="17412" spans="119:119" x14ac:dyDescent="0.2">
      <c r="DO17412" s="303" t="s">
        <v>232</v>
      </c>
    </row>
    <row r="17413" spans="119:119" x14ac:dyDescent="0.2">
      <c r="DO17413" s="303" t="s">
        <v>232</v>
      </c>
    </row>
    <row r="17414" spans="119:119" x14ac:dyDescent="0.2">
      <c r="DO17414" s="303" t="s">
        <v>232</v>
      </c>
    </row>
    <row r="17415" spans="119:119" x14ac:dyDescent="0.2">
      <c r="DO17415" s="303" t="s">
        <v>232</v>
      </c>
    </row>
    <row r="17416" spans="119:119" x14ac:dyDescent="0.2">
      <c r="DO17416" s="303" t="s">
        <v>232</v>
      </c>
    </row>
    <row r="17417" spans="119:119" x14ac:dyDescent="0.2">
      <c r="DO17417" s="303" t="s">
        <v>232</v>
      </c>
    </row>
    <row r="17418" spans="119:119" x14ac:dyDescent="0.2">
      <c r="DO17418" s="303" t="s">
        <v>232</v>
      </c>
    </row>
    <row r="17419" spans="119:119" x14ac:dyDescent="0.2">
      <c r="DO17419" s="303" t="s">
        <v>232</v>
      </c>
    </row>
    <row r="17420" spans="119:119" x14ac:dyDescent="0.2">
      <c r="DO17420" s="303" t="s">
        <v>232</v>
      </c>
    </row>
    <row r="17421" spans="119:119" x14ac:dyDescent="0.2">
      <c r="DO17421" s="303" t="s">
        <v>232</v>
      </c>
    </row>
    <row r="17422" spans="119:119" x14ac:dyDescent="0.2">
      <c r="DO17422" s="303" t="s">
        <v>232</v>
      </c>
    </row>
    <row r="17423" spans="119:119" x14ac:dyDescent="0.2">
      <c r="DO17423" s="303" t="s">
        <v>232</v>
      </c>
    </row>
    <row r="17424" spans="119:119" x14ac:dyDescent="0.2">
      <c r="DO17424" s="303" t="s">
        <v>232</v>
      </c>
    </row>
    <row r="17425" spans="119:119" x14ac:dyDescent="0.2">
      <c r="DO17425" s="303" t="s">
        <v>232</v>
      </c>
    </row>
    <row r="17426" spans="119:119" x14ac:dyDescent="0.2">
      <c r="DO17426" s="303" t="s">
        <v>232</v>
      </c>
    </row>
    <row r="17427" spans="119:119" x14ac:dyDescent="0.2">
      <c r="DO17427" s="303" t="s">
        <v>232</v>
      </c>
    </row>
    <row r="17428" spans="119:119" x14ac:dyDescent="0.2">
      <c r="DO17428" s="303" t="s">
        <v>232</v>
      </c>
    </row>
    <row r="17429" spans="119:119" x14ac:dyDescent="0.2">
      <c r="DO17429" s="303" t="s">
        <v>232</v>
      </c>
    </row>
    <row r="17430" spans="119:119" x14ac:dyDescent="0.2">
      <c r="DO17430" s="303" t="s">
        <v>232</v>
      </c>
    </row>
    <row r="17431" spans="119:119" x14ac:dyDescent="0.2">
      <c r="DO17431" s="303" t="s">
        <v>232</v>
      </c>
    </row>
    <row r="17432" spans="119:119" x14ac:dyDescent="0.2">
      <c r="DO17432" s="303" t="s">
        <v>232</v>
      </c>
    </row>
    <row r="17433" spans="119:119" x14ac:dyDescent="0.2">
      <c r="DO17433" s="303" t="s">
        <v>232</v>
      </c>
    </row>
    <row r="17434" spans="119:119" x14ac:dyDescent="0.2">
      <c r="DO17434" s="303" t="s">
        <v>232</v>
      </c>
    </row>
    <row r="17435" spans="119:119" x14ac:dyDescent="0.2">
      <c r="DO17435" s="303" t="s">
        <v>232</v>
      </c>
    </row>
    <row r="17436" spans="119:119" x14ac:dyDescent="0.2">
      <c r="DO17436" s="303" t="s">
        <v>232</v>
      </c>
    </row>
    <row r="17437" spans="119:119" x14ac:dyDescent="0.2">
      <c r="DO17437" s="303" t="s">
        <v>232</v>
      </c>
    </row>
    <row r="17438" spans="119:119" x14ac:dyDescent="0.2">
      <c r="DO17438" s="303" t="s">
        <v>232</v>
      </c>
    </row>
    <row r="17439" spans="119:119" x14ac:dyDescent="0.2">
      <c r="DO17439" s="303" t="s">
        <v>232</v>
      </c>
    </row>
    <row r="17440" spans="119:119" x14ac:dyDescent="0.2">
      <c r="DO17440" s="303" t="s">
        <v>232</v>
      </c>
    </row>
    <row r="17441" spans="119:119" x14ac:dyDescent="0.2">
      <c r="DO17441" s="303" t="s">
        <v>232</v>
      </c>
    </row>
    <row r="17442" spans="119:119" x14ac:dyDescent="0.2">
      <c r="DO17442" s="303" t="s">
        <v>232</v>
      </c>
    </row>
    <row r="17443" spans="119:119" x14ac:dyDescent="0.2">
      <c r="DO17443" s="303" t="s">
        <v>232</v>
      </c>
    </row>
    <row r="17444" spans="119:119" x14ac:dyDescent="0.2">
      <c r="DO17444" s="303" t="s">
        <v>232</v>
      </c>
    </row>
    <row r="17445" spans="119:119" x14ac:dyDescent="0.2">
      <c r="DO17445" s="303" t="s">
        <v>232</v>
      </c>
    </row>
    <row r="17446" spans="119:119" x14ac:dyDescent="0.2">
      <c r="DO17446" s="303" t="s">
        <v>232</v>
      </c>
    </row>
    <row r="17447" spans="119:119" x14ac:dyDescent="0.2">
      <c r="DO17447" s="303" t="s">
        <v>232</v>
      </c>
    </row>
    <row r="17448" spans="119:119" x14ac:dyDescent="0.2">
      <c r="DO17448" s="303" t="s">
        <v>232</v>
      </c>
    </row>
    <row r="17449" spans="119:119" x14ac:dyDescent="0.2">
      <c r="DO17449" s="303" t="s">
        <v>232</v>
      </c>
    </row>
    <row r="17450" spans="119:119" x14ac:dyDescent="0.2">
      <c r="DO17450" s="303" t="s">
        <v>232</v>
      </c>
    </row>
    <row r="17451" spans="119:119" x14ac:dyDescent="0.2">
      <c r="DO17451" s="303" t="s">
        <v>232</v>
      </c>
    </row>
    <row r="17452" spans="119:119" x14ac:dyDescent="0.2">
      <c r="DO17452" s="303" t="s">
        <v>232</v>
      </c>
    </row>
    <row r="17453" spans="119:119" x14ac:dyDescent="0.2">
      <c r="DO17453" s="303" t="s">
        <v>232</v>
      </c>
    </row>
    <row r="17454" spans="119:119" x14ac:dyDescent="0.2">
      <c r="DO17454" s="303" t="s">
        <v>232</v>
      </c>
    </row>
    <row r="17455" spans="119:119" x14ac:dyDescent="0.2">
      <c r="DO17455" s="303" t="s">
        <v>232</v>
      </c>
    </row>
    <row r="17456" spans="119:119" x14ac:dyDescent="0.2">
      <c r="DO17456" s="303" t="s">
        <v>232</v>
      </c>
    </row>
    <row r="17457" spans="119:119" x14ac:dyDescent="0.2">
      <c r="DO17457" s="303" t="s">
        <v>232</v>
      </c>
    </row>
    <row r="17458" spans="119:119" x14ac:dyDescent="0.2">
      <c r="DO17458" s="303" t="s">
        <v>232</v>
      </c>
    </row>
    <row r="17459" spans="119:119" x14ac:dyDescent="0.2">
      <c r="DO17459" s="303" t="s">
        <v>232</v>
      </c>
    </row>
    <row r="17460" spans="119:119" x14ac:dyDescent="0.2">
      <c r="DO17460" s="303" t="s">
        <v>232</v>
      </c>
    </row>
    <row r="17461" spans="119:119" x14ac:dyDescent="0.2">
      <c r="DO17461" s="303" t="s">
        <v>232</v>
      </c>
    </row>
    <row r="17462" spans="119:119" x14ac:dyDescent="0.2">
      <c r="DO17462" s="303" t="s">
        <v>232</v>
      </c>
    </row>
    <row r="17463" spans="119:119" x14ac:dyDescent="0.2">
      <c r="DO17463" s="303" t="s">
        <v>232</v>
      </c>
    </row>
    <row r="17464" spans="119:119" x14ac:dyDescent="0.2">
      <c r="DO17464" s="303" t="s">
        <v>232</v>
      </c>
    </row>
    <row r="17465" spans="119:119" x14ac:dyDescent="0.2">
      <c r="DO17465" s="303" t="s">
        <v>232</v>
      </c>
    </row>
    <row r="17466" spans="119:119" x14ac:dyDescent="0.2">
      <c r="DO17466" s="303" t="s">
        <v>232</v>
      </c>
    </row>
    <row r="17467" spans="119:119" x14ac:dyDescent="0.2">
      <c r="DO17467" s="303" t="s">
        <v>232</v>
      </c>
    </row>
    <row r="17468" spans="119:119" x14ac:dyDescent="0.2">
      <c r="DO17468" s="303" t="s">
        <v>232</v>
      </c>
    </row>
    <row r="17469" spans="119:119" x14ac:dyDescent="0.2">
      <c r="DO17469" s="303" t="s">
        <v>232</v>
      </c>
    </row>
    <row r="17470" spans="119:119" x14ac:dyDescent="0.2">
      <c r="DO17470" s="303" t="s">
        <v>232</v>
      </c>
    </row>
    <row r="17471" spans="119:119" x14ac:dyDescent="0.2">
      <c r="DO17471" s="303" t="s">
        <v>232</v>
      </c>
    </row>
    <row r="17472" spans="119:119" x14ac:dyDescent="0.2">
      <c r="DO17472" s="303" t="s">
        <v>232</v>
      </c>
    </row>
    <row r="17473" spans="119:119" x14ac:dyDescent="0.2">
      <c r="DO17473" s="303" t="s">
        <v>232</v>
      </c>
    </row>
    <row r="17474" spans="119:119" x14ac:dyDescent="0.2">
      <c r="DO17474" s="303" t="s">
        <v>232</v>
      </c>
    </row>
    <row r="17475" spans="119:119" x14ac:dyDescent="0.2">
      <c r="DO17475" s="303" t="s">
        <v>232</v>
      </c>
    </row>
    <row r="17476" spans="119:119" x14ac:dyDescent="0.2">
      <c r="DO17476" s="303" t="s">
        <v>232</v>
      </c>
    </row>
    <row r="17477" spans="119:119" x14ac:dyDescent="0.2">
      <c r="DO17477" s="303" t="s">
        <v>232</v>
      </c>
    </row>
    <row r="17478" spans="119:119" x14ac:dyDescent="0.2">
      <c r="DO17478" s="303" t="s">
        <v>232</v>
      </c>
    </row>
    <row r="17479" spans="119:119" x14ac:dyDescent="0.2">
      <c r="DO17479" s="303" t="s">
        <v>232</v>
      </c>
    </row>
    <row r="17480" spans="119:119" x14ac:dyDescent="0.2">
      <c r="DO17480" s="303" t="s">
        <v>232</v>
      </c>
    </row>
    <row r="17481" spans="119:119" x14ac:dyDescent="0.2">
      <c r="DO17481" s="303" t="s">
        <v>232</v>
      </c>
    </row>
    <row r="17482" spans="119:119" x14ac:dyDescent="0.2">
      <c r="DO17482" s="303" t="s">
        <v>232</v>
      </c>
    </row>
    <row r="17483" spans="119:119" x14ac:dyDescent="0.2">
      <c r="DO17483" s="303" t="s">
        <v>232</v>
      </c>
    </row>
    <row r="17484" spans="119:119" x14ac:dyDescent="0.2">
      <c r="DO17484" s="303" t="s">
        <v>232</v>
      </c>
    </row>
    <row r="17485" spans="119:119" x14ac:dyDescent="0.2">
      <c r="DO17485" s="303" t="s">
        <v>232</v>
      </c>
    </row>
    <row r="17486" spans="119:119" x14ac:dyDescent="0.2">
      <c r="DO17486" s="303" t="s">
        <v>232</v>
      </c>
    </row>
    <row r="17487" spans="119:119" x14ac:dyDescent="0.2">
      <c r="DO17487" s="303" t="s">
        <v>232</v>
      </c>
    </row>
    <row r="17488" spans="119:119" x14ac:dyDescent="0.2">
      <c r="DO17488" s="303" t="s">
        <v>232</v>
      </c>
    </row>
    <row r="17489" spans="119:119" x14ac:dyDescent="0.2">
      <c r="DO17489" s="303" t="s">
        <v>232</v>
      </c>
    </row>
    <row r="17490" spans="119:119" x14ac:dyDescent="0.2">
      <c r="DO17490" s="303" t="s">
        <v>232</v>
      </c>
    </row>
    <row r="17491" spans="119:119" x14ac:dyDescent="0.2">
      <c r="DO17491" s="303" t="s">
        <v>232</v>
      </c>
    </row>
    <row r="17492" spans="119:119" x14ac:dyDescent="0.2">
      <c r="DO17492" s="303" t="s">
        <v>232</v>
      </c>
    </row>
    <row r="17493" spans="119:119" x14ac:dyDescent="0.2">
      <c r="DO17493" s="303" t="s">
        <v>232</v>
      </c>
    </row>
    <row r="17494" spans="119:119" x14ac:dyDescent="0.2">
      <c r="DO17494" s="303" t="s">
        <v>232</v>
      </c>
    </row>
    <row r="17495" spans="119:119" x14ac:dyDescent="0.2">
      <c r="DO17495" s="303" t="s">
        <v>232</v>
      </c>
    </row>
    <row r="17496" spans="119:119" x14ac:dyDescent="0.2">
      <c r="DO17496" s="303" t="s">
        <v>232</v>
      </c>
    </row>
    <row r="17497" spans="119:119" x14ac:dyDescent="0.2">
      <c r="DO17497" s="303" t="s">
        <v>232</v>
      </c>
    </row>
    <row r="17498" spans="119:119" x14ac:dyDescent="0.2">
      <c r="DO17498" s="303" t="s">
        <v>232</v>
      </c>
    </row>
    <row r="17499" spans="119:119" x14ac:dyDescent="0.2">
      <c r="DO17499" s="303" t="s">
        <v>232</v>
      </c>
    </row>
    <row r="17500" spans="119:119" x14ac:dyDescent="0.2">
      <c r="DO17500" s="303" t="s">
        <v>232</v>
      </c>
    </row>
    <row r="17501" spans="119:119" x14ac:dyDescent="0.2">
      <c r="DO17501" s="303" t="s">
        <v>232</v>
      </c>
    </row>
    <row r="17502" spans="119:119" x14ac:dyDescent="0.2">
      <c r="DO17502" s="303" t="s">
        <v>232</v>
      </c>
    </row>
    <row r="17503" spans="119:119" x14ac:dyDescent="0.2">
      <c r="DO17503" s="303" t="s">
        <v>232</v>
      </c>
    </row>
    <row r="17504" spans="119:119" x14ac:dyDescent="0.2">
      <c r="DO17504" s="303" t="s">
        <v>232</v>
      </c>
    </row>
    <row r="17505" spans="119:119" x14ac:dyDescent="0.2">
      <c r="DO17505" s="303" t="s">
        <v>232</v>
      </c>
    </row>
    <row r="17506" spans="119:119" x14ac:dyDescent="0.2">
      <c r="DO17506" s="303" t="s">
        <v>232</v>
      </c>
    </row>
    <row r="17507" spans="119:119" x14ac:dyDescent="0.2">
      <c r="DO17507" s="303" t="s">
        <v>232</v>
      </c>
    </row>
    <row r="17508" spans="119:119" x14ac:dyDescent="0.2">
      <c r="DO17508" s="303" t="s">
        <v>232</v>
      </c>
    </row>
    <row r="17509" spans="119:119" x14ac:dyDescent="0.2">
      <c r="DO17509" s="303" t="s">
        <v>232</v>
      </c>
    </row>
    <row r="17510" spans="119:119" x14ac:dyDescent="0.2">
      <c r="DO17510" s="303" t="s">
        <v>232</v>
      </c>
    </row>
    <row r="17511" spans="119:119" x14ac:dyDescent="0.2">
      <c r="DO17511" s="303" t="s">
        <v>232</v>
      </c>
    </row>
    <row r="17512" spans="119:119" x14ac:dyDescent="0.2">
      <c r="DO17512" s="303" t="s">
        <v>232</v>
      </c>
    </row>
    <row r="17513" spans="119:119" x14ac:dyDescent="0.2">
      <c r="DO17513" s="303" t="s">
        <v>232</v>
      </c>
    </row>
    <row r="17514" spans="119:119" x14ac:dyDescent="0.2">
      <c r="DO17514" s="303" t="s">
        <v>232</v>
      </c>
    </row>
    <row r="17515" spans="119:119" x14ac:dyDescent="0.2">
      <c r="DO17515" s="303" t="s">
        <v>232</v>
      </c>
    </row>
    <row r="17516" spans="119:119" x14ac:dyDescent="0.2">
      <c r="DO17516" s="303" t="s">
        <v>232</v>
      </c>
    </row>
    <row r="17517" spans="119:119" x14ac:dyDescent="0.2">
      <c r="DO17517" s="303" t="s">
        <v>232</v>
      </c>
    </row>
    <row r="17518" spans="119:119" x14ac:dyDescent="0.2">
      <c r="DO17518" s="303" t="s">
        <v>232</v>
      </c>
    </row>
    <row r="17519" spans="119:119" x14ac:dyDescent="0.2">
      <c r="DO17519" s="303" t="s">
        <v>232</v>
      </c>
    </row>
    <row r="17520" spans="119:119" x14ac:dyDescent="0.2">
      <c r="DO17520" s="303" t="s">
        <v>232</v>
      </c>
    </row>
    <row r="17521" spans="119:119" x14ac:dyDescent="0.2">
      <c r="DO17521" s="303" t="s">
        <v>232</v>
      </c>
    </row>
    <row r="17522" spans="119:119" x14ac:dyDescent="0.2">
      <c r="DO17522" s="303" t="s">
        <v>232</v>
      </c>
    </row>
    <row r="17523" spans="119:119" x14ac:dyDescent="0.2">
      <c r="DO17523" s="303" t="s">
        <v>232</v>
      </c>
    </row>
    <row r="17524" spans="119:119" x14ac:dyDescent="0.2">
      <c r="DO17524" s="303" t="s">
        <v>232</v>
      </c>
    </row>
    <row r="17525" spans="119:119" x14ac:dyDescent="0.2">
      <c r="DO17525" s="303" t="s">
        <v>232</v>
      </c>
    </row>
    <row r="17526" spans="119:119" x14ac:dyDescent="0.2">
      <c r="DO17526" s="303" t="s">
        <v>232</v>
      </c>
    </row>
    <row r="17527" spans="119:119" x14ac:dyDescent="0.2">
      <c r="DO17527" s="303" t="s">
        <v>232</v>
      </c>
    </row>
    <row r="17528" spans="119:119" x14ac:dyDescent="0.2">
      <c r="DO17528" s="303" t="s">
        <v>232</v>
      </c>
    </row>
    <row r="17529" spans="119:119" x14ac:dyDescent="0.2">
      <c r="DO17529" s="303" t="s">
        <v>232</v>
      </c>
    </row>
    <row r="17530" spans="119:119" x14ac:dyDescent="0.2">
      <c r="DO17530" s="303" t="s">
        <v>232</v>
      </c>
    </row>
    <row r="17531" spans="119:119" x14ac:dyDescent="0.2">
      <c r="DO17531" s="303" t="s">
        <v>232</v>
      </c>
    </row>
    <row r="17532" spans="119:119" x14ac:dyDescent="0.2">
      <c r="DO17532" s="303" t="s">
        <v>232</v>
      </c>
    </row>
    <row r="17533" spans="119:119" x14ac:dyDescent="0.2">
      <c r="DO17533" s="303" t="s">
        <v>232</v>
      </c>
    </row>
    <row r="17534" spans="119:119" x14ac:dyDescent="0.2">
      <c r="DO17534" s="303" t="s">
        <v>232</v>
      </c>
    </row>
    <row r="17535" spans="119:119" x14ac:dyDescent="0.2">
      <c r="DO17535" s="303" t="s">
        <v>232</v>
      </c>
    </row>
    <row r="17536" spans="119:119" x14ac:dyDescent="0.2">
      <c r="DO17536" s="303" t="s">
        <v>232</v>
      </c>
    </row>
    <row r="17537" spans="119:119" x14ac:dyDescent="0.2">
      <c r="DO17537" s="303" t="s">
        <v>232</v>
      </c>
    </row>
    <row r="17538" spans="119:119" x14ac:dyDescent="0.2">
      <c r="DO17538" s="303" t="s">
        <v>232</v>
      </c>
    </row>
    <row r="17539" spans="119:119" x14ac:dyDescent="0.2">
      <c r="DO17539" s="303" t="s">
        <v>232</v>
      </c>
    </row>
    <row r="17540" spans="119:119" x14ac:dyDescent="0.2">
      <c r="DO17540" s="303" t="s">
        <v>232</v>
      </c>
    </row>
    <row r="17541" spans="119:119" x14ac:dyDescent="0.2">
      <c r="DO17541" s="303" t="s">
        <v>232</v>
      </c>
    </row>
    <row r="17542" spans="119:119" x14ac:dyDescent="0.2">
      <c r="DO17542" s="303" t="s">
        <v>232</v>
      </c>
    </row>
    <row r="17543" spans="119:119" x14ac:dyDescent="0.2">
      <c r="DO17543" s="303" t="s">
        <v>232</v>
      </c>
    </row>
    <row r="17544" spans="119:119" x14ac:dyDescent="0.2">
      <c r="DO17544" s="303" t="s">
        <v>232</v>
      </c>
    </row>
    <row r="17545" spans="119:119" x14ac:dyDescent="0.2">
      <c r="DO17545" s="303" t="s">
        <v>232</v>
      </c>
    </row>
    <row r="17546" spans="119:119" x14ac:dyDescent="0.2">
      <c r="DO17546" s="303" t="s">
        <v>232</v>
      </c>
    </row>
    <row r="17547" spans="119:119" x14ac:dyDescent="0.2">
      <c r="DO17547" s="303" t="s">
        <v>232</v>
      </c>
    </row>
    <row r="17548" spans="119:119" x14ac:dyDescent="0.2">
      <c r="DO17548" s="303" t="s">
        <v>232</v>
      </c>
    </row>
    <row r="17549" spans="119:119" x14ac:dyDescent="0.2">
      <c r="DO17549" s="303" t="s">
        <v>232</v>
      </c>
    </row>
    <row r="17550" spans="119:119" x14ac:dyDescent="0.2">
      <c r="DO17550" s="303" t="s">
        <v>232</v>
      </c>
    </row>
    <row r="17551" spans="119:119" x14ac:dyDescent="0.2">
      <c r="DO17551" s="303" t="s">
        <v>232</v>
      </c>
    </row>
    <row r="17552" spans="119:119" x14ac:dyDescent="0.2">
      <c r="DO17552" s="303" t="s">
        <v>232</v>
      </c>
    </row>
    <row r="17553" spans="119:119" x14ac:dyDescent="0.2">
      <c r="DO17553" s="303" t="s">
        <v>232</v>
      </c>
    </row>
    <row r="17554" spans="119:119" x14ac:dyDescent="0.2">
      <c r="DO17554" s="303" t="s">
        <v>232</v>
      </c>
    </row>
    <row r="17555" spans="119:119" x14ac:dyDescent="0.2">
      <c r="DO17555" s="303" t="s">
        <v>232</v>
      </c>
    </row>
    <row r="17556" spans="119:119" x14ac:dyDescent="0.2">
      <c r="DO17556" s="303" t="s">
        <v>232</v>
      </c>
    </row>
    <row r="17557" spans="119:119" x14ac:dyDescent="0.2">
      <c r="DO17557" s="303" t="s">
        <v>232</v>
      </c>
    </row>
    <row r="17558" spans="119:119" x14ac:dyDescent="0.2">
      <c r="DO17558" s="303" t="s">
        <v>232</v>
      </c>
    </row>
    <row r="17559" spans="119:119" x14ac:dyDescent="0.2">
      <c r="DO17559" s="303" t="s">
        <v>232</v>
      </c>
    </row>
    <row r="17560" spans="119:119" x14ac:dyDescent="0.2">
      <c r="DO17560" s="303" t="s">
        <v>232</v>
      </c>
    </row>
    <row r="17561" spans="119:119" x14ac:dyDescent="0.2">
      <c r="DO17561" s="303" t="s">
        <v>232</v>
      </c>
    </row>
    <row r="17562" spans="119:119" x14ac:dyDescent="0.2">
      <c r="DO17562" s="303" t="s">
        <v>232</v>
      </c>
    </row>
    <row r="17563" spans="119:119" x14ac:dyDescent="0.2">
      <c r="DO17563" s="303" t="s">
        <v>232</v>
      </c>
    </row>
    <row r="17564" spans="119:119" x14ac:dyDescent="0.2">
      <c r="DO17564" s="303" t="s">
        <v>232</v>
      </c>
    </row>
    <row r="17565" spans="119:119" x14ac:dyDescent="0.2">
      <c r="DO17565" s="303" t="s">
        <v>232</v>
      </c>
    </row>
    <row r="17566" spans="119:119" x14ac:dyDescent="0.2">
      <c r="DO17566" s="303" t="s">
        <v>232</v>
      </c>
    </row>
    <row r="17567" spans="119:119" x14ac:dyDescent="0.2">
      <c r="DO17567" s="303" t="s">
        <v>232</v>
      </c>
    </row>
    <row r="17568" spans="119:119" x14ac:dyDescent="0.2">
      <c r="DO17568" s="303" t="s">
        <v>232</v>
      </c>
    </row>
    <row r="17569" spans="119:119" x14ac:dyDescent="0.2">
      <c r="DO17569" s="303" t="s">
        <v>232</v>
      </c>
    </row>
    <row r="17570" spans="119:119" x14ac:dyDescent="0.2">
      <c r="DO17570" s="303" t="s">
        <v>232</v>
      </c>
    </row>
    <row r="17571" spans="119:119" x14ac:dyDescent="0.2">
      <c r="DO17571" s="303" t="s">
        <v>232</v>
      </c>
    </row>
    <row r="17572" spans="119:119" x14ac:dyDescent="0.2">
      <c r="DO17572" s="303" t="s">
        <v>232</v>
      </c>
    </row>
    <row r="17573" spans="119:119" x14ac:dyDescent="0.2">
      <c r="DO17573" s="303" t="s">
        <v>232</v>
      </c>
    </row>
    <row r="17574" spans="119:119" x14ac:dyDescent="0.2">
      <c r="DO17574" s="303" t="s">
        <v>232</v>
      </c>
    </row>
    <row r="17575" spans="119:119" x14ac:dyDescent="0.2">
      <c r="DO17575" s="303" t="s">
        <v>232</v>
      </c>
    </row>
    <row r="17576" spans="119:119" x14ac:dyDescent="0.2">
      <c r="DO17576" s="303" t="s">
        <v>232</v>
      </c>
    </row>
    <row r="17577" spans="119:119" x14ac:dyDescent="0.2">
      <c r="DO17577" s="303" t="s">
        <v>232</v>
      </c>
    </row>
    <row r="17578" spans="119:119" x14ac:dyDescent="0.2">
      <c r="DO17578" s="303" t="s">
        <v>232</v>
      </c>
    </row>
    <row r="17579" spans="119:119" x14ac:dyDescent="0.2">
      <c r="DO17579" s="303" t="s">
        <v>232</v>
      </c>
    </row>
    <row r="17580" spans="119:119" x14ac:dyDescent="0.2">
      <c r="DO17580" s="303" t="s">
        <v>232</v>
      </c>
    </row>
    <row r="17581" spans="119:119" x14ac:dyDescent="0.2">
      <c r="DO17581" s="303" t="s">
        <v>232</v>
      </c>
    </row>
    <row r="17582" spans="119:119" x14ac:dyDescent="0.2">
      <c r="DO17582" s="303" t="s">
        <v>232</v>
      </c>
    </row>
    <row r="17583" spans="119:119" x14ac:dyDescent="0.2">
      <c r="DO17583" s="303" t="s">
        <v>232</v>
      </c>
    </row>
    <row r="17584" spans="119:119" x14ac:dyDescent="0.2">
      <c r="DO17584" s="303" t="s">
        <v>232</v>
      </c>
    </row>
    <row r="17585" spans="119:119" x14ac:dyDescent="0.2">
      <c r="DO17585" s="303" t="s">
        <v>232</v>
      </c>
    </row>
    <row r="17586" spans="119:119" x14ac:dyDescent="0.2">
      <c r="DO17586" s="303" t="s">
        <v>232</v>
      </c>
    </row>
    <row r="17587" spans="119:119" x14ac:dyDescent="0.2">
      <c r="DO17587" s="303" t="s">
        <v>232</v>
      </c>
    </row>
    <row r="17588" spans="119:119" x14ac:dyDescent="0.2">
      <c r="DO17588" s="303" t="s">
        <v>232</v>
      </c>
    </row>
    <row r="17589" spans="119:119" x14ac:dyDescent="0.2">
      <c r="DO17589" s="303" t="s">
        <v>232</v>
      </c>
    </row>
    <row r="17590" spans="119:119" x14ac:dyDescent="0.2">
      <c r="DO17590" s="303" t="s">
        <v>232</v>
      </c>
    </row>
    <row r="17591" spans="119:119" x14ac:dyDescent="0.2">
      <c r="DO17591" s="303" t="s">
        <v>232</v>
      </c>
    </row>
    <row r="17592" spans="119:119" x14ac:dyDescent="0.2">
      <c r="DO17592" s="303" t="s">
        <v>232</v>
      </c>
    </row>
    <row r="17593" spans="119:119" x14ac:dyDescent="0.2">
      <c r="DO17593" s="303" t="s">
        <v>232</v>
      </c>
    </row>
    <row r="17594" spans="119:119" x14ac:dyDescent="0.2">
      <c r="DO17594" s="303" t="s">
        <v>232</v>
      </c>
    </row>
    <row r="17595" spans="119:119" x14ac:dyDescent="0.2">
      <c r="DO17595" s="303" t="s">
        <v>232</v>
      </c>
    </row>
    <row r="17596" spans="119:119" x14ac:dyDescent="0.2">
      <c r="DO17596" s="303" t="s">
        <v>232</v>
      </c>
    </row>
    <row r="17597" spans="119:119" x14ac:dyDescent="0.2">
      <c r="DO17597" s="303" t="s">
        <v>232</v>
      </c>
    </row>
    <row r="17598" spans="119:119" x14ac:dyDescent="0.2">
      <c r="DO17598" s="303" t="s">
        <v>232</v>
      </c>
    </row>
    <row r="17599" spans="119:119" x14ac:dyDescent="0.2">
      <c r="DO17599" s="303" t="s">
        <v>232</v>
      </c>
    </row>
    <row r="17600" spans="119:119" x14ac:dyDescent="0.2">
      <c r="DO17600" s="303" t="s">
        <v>232</v>
      </c>
    </row>
    <row r="17601" spans="119:119" x14ac:dyDescent="0.2">
      <c r="DO17601" s="303" t="s">
        <v>232</v>
      </c>
    </row>
    <row r="17602" spans="119:119" x14ac:dyDescent="0.2">
      <c r="DO17602" s="303" t="s">
        <v>232</v>
      </c>
    </row>
    <row r="17603" spans="119:119" x14ac:dyDescent="0.2">
      <c r="DO17603" s="303" t="s">
        <v>232</v>
      </c>
    </row>
    <row r="17604" spans="119:119" x14ac:dyDescent="0.2">
      <c r="DO17604" s="303" t="s">
        <v>232</v>
      </c>
    </row>
    <row r="17605" spans="119:119" x14ac:dyDescent="0.2">
      <c r="DO17605" s="303" t="s">
        <v>232</v>
      </c>
    </row>
    <row r="17606" spans="119:119" x14ac:dyDescent="0.2">
      <c r="DO17606" s="303" t="s">
        <v>232</v>
      </c>
    </row>
    <row r="17607" spans="119:119" x14ac:dyDescent="0.2">
      <c r="DO17607" s="303" t="s">
        <v>232</v>
      </c>
    </row>
    <row r="17608" spans="119:119" x14ac:dyDescent="0.2">
      <c r="DO17608" s="303" t="s">
        <v>232</v>
      </c>
    </row>
    <row r="17609" spans="119:119" x14ac:dyDescent="0.2">
      <c r="DO17609" s="303" t="s">
        <v>232</v>
      </c>
    </row>
    <row r="17610" spans="119:119" x14ac:dyDescent="0.2">
      <c r="DO17610" s="303" t="s">
        <v>232</v>
      </c>
    </row>
    <row r="17611" spans="119:119" x14ac:dyDescent="0.2">
      <c r="DO17611" s="303" t="s">
        <v>232</v>
      </c>
    </row>
    <row r="17612" spans="119:119" x14ac:dyDescent="0.2">
      <c r="DO17612" s="303" t="s">
        <v>232</v>
      </c>
    </row>
    <row r="17613" spans="119:119" x14ac:dyDescent="0.2">
      <c r="DO17613" s="303" t="s">
        <v>232</v>
      </c>
    </row>
    <row r="17614" spans="119:119" x14ac:dyDescent="0.2">
      <c r="DO17614" s="303" t="s">
        <v>232</v>
      </c>
    </row>
    <row r="17615" spans="119:119" x14ac:dyDescent="0.2">
      <c r="DO17615" s="303" t="s">
        <v>232</v>
      </c>
    </row>
    <row r="17616" spans="119:119" x14ac:dyDescent="0.2">
      <c r="DO17616" s="303" t="s">
        <v>232</v>
      </c>
    </row>
    <row r="17617" spans="119:119" x14ac:dyDescent="0.2">
      <c r="DO17617" s="303" t="s">
        <v>232</v>
      </c>
    </row>
    <row r="17618" spans="119:119" x14ac:dyDescent="0.2">
      <c r="DO17618" s="303" t="s">
        <v>232</v>
      </c>
    </row>
    <row r="17619" spans="119:119" x14ac:dyDescent="0.2">
      <c r="DO17619" s="303" t="s">
        <v>232</v>
      </c>
    </row>
    <row r="17620" spans="119:119" x14ac:dyDescent="0.2">
      <c r="DO17620" s="303" t="s">
        <v>232</v>
      </c>
    </row>
    <row r="17621" spans="119:119" x14ac:dyDescent="0.2">
      <c r="DO17621" s="303" t="s">
        <v>232</v>
      </c>
    </row>
    <row r="17622" spans="119:119" x14ac:dyDescent="0.2">
      <c r="DO17622" s="303" t="s">
        <v>232</v>
      </c>
    </row>
    <row r="17623" spans="119:119" x14ac:dyDescent="0.2">
      <c r="DO17623" s="303" t="s">
        <v>232</v>
      </c>
    </row>
    <row r="17624" spans="119:119" x14ac:dyDescent="0.2">
      <c r="DO17624" s="303" t="s">
        <v>232</v>
      </c>
    </row>
    <row r="17625" spans="119:119" x14ac:dyDescent="0.2">
      <c r="DO17625" s="303" t="s">
        <v>232</v>
      </c>
    </row>
    <row r="17626" spans="119:119" x14ac:dyDescent="0.2">
      <c r="DO17626" s="303" t="s">
        <v>232</v>
      </c>
    </row>
    <row r="17627" spans="119:119" x14ac:dyDescent="0.2">
      <c r="DO17627" s="303" t="s">
        <v>232</v>
      </c>
    </row>
    <row r="17628" spans="119:119" x14ac:dyDescent="0.2">
      <c r="DO17628" s="303" t="s">
        <v>232</v>
      </c>
    </row>
    <row r="17629" spans="119:119" x14ac:dyDescent="0.2">
      <c r="DO17629" s="303" t="s">
        <v>232</v>
      </c>
    </row>
    <row r="17630" spans="119:119" x14ac:dyDescent="0.2">
      <c r="DO17630" s="303" t="s">
        <v>232</v>
      </c>
    </row>
    <row r="17631" spans="119:119" x14ac:dyDescent="0.2">
      <c r="DO17631" s="303" t="s">
        <v>232</v>
      </c>
    </row>
    <row r="17632" spans="119:119" x14ac:dyDescent="0.2">
      <c r="DO17632" s="303" t="s">
        <v>232</v>
      </c>
    </row>
    <row r="17633" spans="119:119" x14ac:dyDescent="0.2">
      <c r="DO17633" s="303" t="s">
        <v>232</v>
      </c>
    </row>
    <row r="17634" spans="119:119" x14ac:dyDescent="0.2">
      <c r="DO17634" s="303" t="s">
        <v>232</v>
      </c>
    </row>
    <row r="17635" spans="119:119" x14ac:dyDescent="0.2">
      <c r="DO17635" s="303" t="s">
        <v>232</v>
      </c>
    </row>
    <row r="17636" spans="119:119" x14ac:dyDescent="0.2">
      <c r="DO17636" s="303" t="s">
        <v>232</v>
      </c>
    </row>
    <row r="17637" spans="119:119" x14ac:dyDescent="0.2">
      <c r="DO17637" s="303" t="s">
        <v>232</v>
      </c>
    </row>
    <row r="17638" spans="119:119" x14ac:dyDescent="0.2">
      <c r="DO17638" s="303" t="s">
        <v>232</v>
      </c>
    </row>
    <row r="17639" spans="119:119" x14ac:dyDescent="0.2">
      <c r="DO17639" s="303" t="s">
        <v>232</v>
      </c>
    </row>
    <row r="17640" spans="119:119" x14ac:dyDescent="0.2">
      <c r="DO17640" s="303" t="s">
        <v>232</v>
      </c>
    </row>
    <row r="17641" spans="119:119" x14ac:dyDescent="0.2">
      <c r="DO17641" s="303" t="s">
        <v>232</v>
      </c>
    </row>
    <row r="17642" spans="119:119" x14ac:dyDescent="0.2">
      <c r="DO17642" s="303" t="s">
        <v>232</v>
      </c>
    </row>
    <row r="17643" spans="119:119" x14ac:dyDescent="0.2">
      <c r="DO17643" s="303" t="s">
        <v>232</v>
      </c>
    </row>
    <row r="17644" spans="119:119" x14ac:dyDescent="0.2">
      <c r="DO17644" s="303" t="s">
        <v>232</v>
      </c>
    </row>
    <row r="17645" spans="119:119" x14ac:dyDescent="0.2">
      <c r="DO17645" s="303" t="s">
        <v>232</v>
      </c>
    </row>
    <row r="17646" spans="119:119" x14ac:dyDescent="0.2">
      <c r="DO17646" s="303" t="s">
        <v>232</v>
      </c>
    </row>
    <row r="17647" spans="119:119" x14ac:dyDescent="0.2">
      <c r="DO17647" s="303" t="s">
        <v>232</v>
      </c>
    </row>
    <row r="17648" spans="119:119" x14ac:dyDescent="0.2">
      <c r="DO17648" s="303" t="s">
        <v>232</v>
      </c>
    </row>
    <row r="17649" spans="119:119" x14ac:dyDescent="0.2">
      <c r="DO17649" s="303" t="s">
        <v>232</v>
      </c>
    </row>
    <row r="17650" spans="119:119" x14ac:dyDescent="0.2">
      <c r="DO17650" s="303" t="s">
        <v>232</v>
      </c>
    </row>
    <row r="17651" spans="119:119" x14ac:dyDescent="0.2">
      <c r="DO17651" s="303" t="s">
        <v>232</v>
      </c>
    </row>
    <row r="17652" spans="119:119" x14ac:dyDescent="0.2">
      <c r="DO17652" s="303" t="s">
        <v>232</v>
      </c>
    </row>
    <row r="17653" spans="119:119" x14ac:dyDescent="0.2">
      <c r="DO17653" s="303" t="s">
        <v>232</v>
      </c>
    </row>
    <row r="17654" spans="119:119" x14ac:dyDescent="0.2">
      <c r="DO17654" s="303" t="s">
        <v>232</v>
      </c>
    </row>
    <row r="17655" spans="119:119" x14ac:dyDescent="0.2">
      <c r="DO17655" s="303" t="s">
        <v>232</v>
      </c>
    </row>
    <row r="17656" spans="119:119" x14ac:dyDescent="0.2">
      <c r="DO17656" s="303" t="s">
        <v>232</v>
      </c>
    </row>
    <row r="17657" spans="119:119" x14ac:dyDescent="0.2">
      <c r="DO17657" s="303" t="s">
        <v>232</v>
      </c>
    </row>
    <row r="17658" spans="119:119" x14ac:dyDescent="0.2">
      <c r="DO17658" s="303" t="s">
        <v>232</v>
      </c>
    </row>
    <row r="17659" spans="119:119" x14ac:dyDescent="0.2">
      <c r="DO17659" s="303" t="s">
        <v>232</v>
      </c>
    </row>
    <row r="17660" spans="119:119" x14ac:dyDescent="0.2">
      <c r="DO17660" s="303" t="s">
        <v>232</v>
      </c>
    </row>
    <row r="17661" spans="119:119" x14ac:dyDescent="0.2">
      <c r="DO17661" s="303" t="s">
        <v>232</v>
      </c>
    </row>
    <row r="17662" spans="119:119" x14ac:dyDescent="0.2">
      <c r="DO17662" s="303" t="s">
        <v>232</v>
      </c>
    </row>
    <row r="17663" spans="119:119" x14ac:dyDescent="0.2">
      <c r="DO17663" s="303" t="s">
        <v>232</v>
      </c>
    </row>
    <row r="17664" spans="119:119" x14ac:dyDescent="0.2">
      <c r="DO17664" s="303" t="s">
        <v>232</v>
      </c>
    </row>
    <row r="17665" spans="119:119" x14ac:dyDescent="0.2">
      <c r="DO17665" s="303" t="s">
        <v>232</v>
      </c>
    </row>
    <row r="17666" spans="119:119" x14ac:dyDescent="0.2">
      <c r="DO17666" s="303" t="s">
        <v>232</v>
      </c>
    </row>
    <row r="17667" spans="119:119" x14ac:dyDescent="0.2">
      <c r="DO17667" s="303" t="s">
        <v>232</v>
      </c>
    </row>
    <row r="17668" spans="119:119" x14ac:dyDescent="0.2">
      <c r="DO17668" s="303" t="s">
        <v>232</v>
      </c>
    </row>
    <row r="17669" spans="119:119" x14ac:dyDescent="0.2">
      <c r="DO17669" s="303" t="s">
        <v>232</v>
      </c>
    </row>
    <row r="17670" spans="119:119" x14ac:dyDescent="0.2">
      <c r="DO17670" s="303" t="s">
        <v>232</v>
      </c>
    </row>
    <row r="17671" spans="119:119" x14ac:dyDescent="0.2">
      <c r="DO17671" s="303" t="s">
        <v>232</v>
      </c>
    </row>
    <row r="17672" spans="119:119" x14ac:dyDescent="0.2">
      <c r="DO17672" s="303" t="s">
        <v>232</v>
      </c>
    </row>
    <row r="17673" spans="119:119" x14ac:dyDescent="0.2">
      <c r="DO17673" s="303" t="s">
        <v>232</v>
      </c>
    </row>
    <row r="17674" spans="119:119" x14ac:dyDescent="0.2">
      <c r="DO17674" s="303" t="s">
        <v>232</v>
      </c>
    </row>
    <row r="17675" spans="119:119" x14ac:dyDescent="0.2">
      <c r="DO17675" s="303" t="s">
        <v>232</v>
      </c>
    </row>
    <row r="17676" spans="119:119" x14ac:dyDescent="0.2">
      <c r="DO17676" s="303" t="s">
        <v>232</v>
      </c>
    </row>
    <row r="17677" spans="119:119" x14ac:dyDescent="0.2">
      <c r="DO17677" s="303" t="s">
        <v>232</v>
      </c>
    </row>
    <row r="17678" spans="119:119" x14ac:dyDescent="0.2">
      <c r="DO17678" s="303" t="s">
        <v>232</v>
      </c>
    </row>
    <row r="17679" spans="119:119" x14ac:dyDescent="0.2">
      <c r="DO17679" s="303" t="s">
        <v>232</v>
      </c>
    </row>
    <row r="17680" spans="119:119" x14ac:dyDescent="0.2">
      <c r="DO17680" s="303" t="s">
        <v>232</v>
      </c>
    </row>
    <row r="17681" spans="119:119" x14ac:dyDescent="0.2">
      <c r="DO17681" s="303" t="s">
        <v>232</v>
      </c>
    </row>
    <row r="17682" spans="119:119" x14ac:dyDescent="0.2">
      <c r="DO17682" s="303" t="s">
        <v>232</v>
      </c>
    </row>
    <row r="17683" spans="119:119" x14ac:dyDescent="0.2">
      <c r="DO17683" s="303" t="s">
        <v>232</v>
      </c>
    </row>
    <row r="17684" spans="119:119" x14ac:dyDescent="0.2">
      <c r="DO17684" s="303" t="s">
        <v>232</v>
      </c>
    </row>
    <row r="17685" spans="119:119" x14ac:dyDescent="0.2">
      <c r="DO17685" s="303" t="s">
        <v>232</v>
      </c>
    </row>
    <row r="17686" spans="119:119" x14ac:dyDescent="0.2">
      <c r="DO17686" s="303" t="s">
        <v>232</v>
      </c>
    </row>
    <row r="17687" spans="119:119" x14ac:dyDescent="0.2">
      <c r="DO17687" s="303" t="s">
        <v>232</v>
      </c>
    </row>
    <row r="17688" spans="119:119" x14ac:dyDescent="0.2">
      <c r="DO17688" s="303" t="s">
        <v>232</v>
      </c>
    </row>
    <row r="17689" spans="119:119" x14ac:dyDescent="0.2">
      <c r="DO17689" s="303" t="s">
        <v>232</v>
      </c>
    </row>
    <row r="17690" spans="119:119" x14ac:dyDescent="0.2">
      <c r="DO17690" s="303" t="s">
        <v>232</v>
      </c>
    </row>
    <row r="17691" spans="119:119" x14ac:dyDescent="0.2">
      <c r="DO17691" s="303" t="s">
        <v>232</v>
      </c>
    </row>
    <row r="17692" spans="119:119" x14ac:dyDescent="0.2">
      <c r="DO17692" s="303" t="s">
        <v>232</v>
      </c>
    </row>
    <row r="17693" spans="119:119" x14ac:dyDescent="0.2">
      <c r="DO17693" s="303" t="s">
        <v>232</v>
      </c>
    </row>
    <row r="17694" spans="119:119" x14ac:dyDescent="0.2">
      <c r="DO17694" s="303" t="s">
        <v>232</v>
      </c>
    </row>
    <row r="17695" spans="119:119" x14ac:dyDescent="0.2">
      <c r="DO17695" s="303" t="s">
        <v>232</v>
      </c>
    </row>
    <row r="17696" spans="119:119" x14ac:dyDescent="0.2">
      <c r="DO17696" s="303" t="s">
        <v>232</v>
      </c>
    </row>
    <row r="17697" spans="119:119" x14ac:dyDescent="0.2">
      <c r="DO17697" s="303" t="s">
        <v>232</v>
      </c>
    </row>
    <row r="17698" spans="119:119" x14ac:dyDescent="0.2">
      <c r="DO17698" s="303" t="s">
        <v>232</v>
      </c>
    </row>
    <row r="17699" spans="119:119" x14ac:dyDescent="0.2">
      <c r="DO17699" s="303" t="s">
        <v>232</v>
      </c>
    </row>
    <row r="17700" spans="119:119" x14ac:dyDescent="0.2">
      <c r="DO17700" s="303" t="s">
        <v>232</v>
      </c>
    </row>
    <row r="17701" spans="119:119" x14ac:dyDescent="0.2">
      <c r="DO17701" s="303" t="s">
        <v>232</v>
      </c>
    </row>
    <row r="17702" spans="119:119" x14ac:dyDescent="0.2">
      <c r="DO17702" s="303" t="s">
        <v>232</v>
      </c>
    </row>
    <row r="17703" spans="119:119" x14ac:dyDescent="0.2">
      <c r="DO17703" s="303" t="s">
        <v>232</v>
      </c>
    </row>
    <row r="17704" spans="119:119" x14ac:dyDescent="0.2">
      <c r="DO17704" s="303" t="s">
        <v>232</v>
      </c>
    </row>
    <row r="17705" spans="119:119" x14ac:dyDescent="0.2">
      <c r="DO17705" s="303" t="s">
        <v>232</v>
      </c>
    </row>
    <row r="17706" spans="119:119" x14ac:dyDescent="0.2">
      <c r="DO17706" s="303" t="s">
        <v>232</v>
      </c>
    </row>
    <row r="17707" spans="119:119" x14ac:dyDescent="0.2">
      <c r="DO17707" s="303" t="s">
        <v>232</v>
      </c>
    </row>
    <row r="17708" spans="119:119" x14ac:dyDescent="0.2">
      <c r="DO17708" s="303" t="s">
        <v>232</v>
      </c>
    </row>
    <row r="17709" spans="119:119" x14ac:dyDescent="0.2">
      <c r="DO17709" s="303" t="s">
        <v>232</v>
      </c>
    </row>
    <row r="17710" spans="119:119" x14ac:dyDescent="0.2">
      <c r="DO17710" s="303" t="s">
        <v>232</v>
      </c>
    </row>
    <row r="17711" spans="119:119" x14ac:dyDescent="0.2">
      <c r="DO17711" s="303" t="s">
        <v>232</v>
      </c>
    </row>
    <row r="17712" spans="119:119" x14ac:dyDescent="0.2">
      <c r="DO17712" s="303" t="s">
        <v>232</v>
      </c>
    </row>
    <row r="17713" spans="119:119" x14ac:dyDescent="0.2">
      <c r="DO17713" s="303" t="s">
        <v>232</v>
      </c>
    </row>
    <row r="17714" spans="119:119" x14ac:dyDescent="0.2">
      <c r="DO17714" s="303" t="s">
        <v>232</v>
      </c>
    </row>
    <row r="17715" spans="119:119" x14ac:dyDescent="0.2">
      <c r="DO17715" s="303" t="s">
        <v>232</v>
      </c>
    </row>
    <row r="17716" spans="119:119" x14ac:dyDescent="0.2">
      <c r="DO17716" s="303" t="s">
        <v>232</v>
      </c>
    </row>
    <row r="17717" spans="119:119" x14ac:dyDescent="0.2">
      <c r="DO17717" s="303" t="s">
        <v>232</v>
      </c>
    </row>
    <row r="17718" spans="119:119" x14ac:dyDescent="0.2">
      <c r="DO17718" s="303" t="s">
        <v>232</v>
      </c>
    </row>
    <row r="17719" spans="119:119" x14ac:dyDescent="0.2">
      <c r="DO17719" s="303" t="s">
        <v>232</v>
      </c>
    </row>
    <row r="17720" spans="119:119" x14ac:dyDescent="0.2">
      <c r="DO17720" s="303" t="s">
        <v>232</v>
      </c>
    </row>
    <row r="17721" spans="119:119" x14ac:dyDescent="0.2">
      <c r="DO17721" s="303" t="s">
        <v>232</v>
      </c>
    </row>
    <row r="17722" spans="119:119" x14ac:dyDescent="0.2">
      <c r="DO17722" s="303" t="s">
        <v>232</v>
      </c>
    </row>
    <row r="17723" spans="119:119" x14ac:dyDescent="0.2">
      <c r="DO17723" s="303" t="s">
        <v>232</v>
      </c>
    </row>
    <row r="17724" spans="119:119" x14ac:dyDescent="0.2">
      <c r="DO17724" s="303" t="s">
        <v>232</v>
      </c>
    </row>
    <row r="17725" spans="119:119" x14ac:dyDescent="0.2">
      <c r="DO17725" s="303" t="s">
        <v>232</v>
      </c>
    </row>
    <row r="17726" spans="119:119" x14ac:dyDescent="0.2">
      <c r="DO17726" s="303" t="s">
        <v>232</v>
      </c>
    </row>
    <row r="17727" spans="119:119" x14ac:dyDescent="0.2">
      <c r="DO17727" s="303" t="s">
        <v>232</v>
      </c>
    </row>
    <row r="17728" spans="119:119" x14ac:dyDescent="0.2">
      <c r="DO17728" s="303" t="s">
        <v>232</v>
      </c>
    </row>
    <row r="17729" spans="119:119" x14ac:dyDescent="0.2">
      <c r="DO17729" s="303" t="s">
        <v>232</v>
      </c>
    </row>
    <row r="17730" spans="119:119" x14ac:dyDescent="0.2">
      <c r="DO17730" s="303" t="s">
        <v>232</v>
      </c>
    </row>
    <row r="17731" spans="119:119" x14ac:dyDescent="0.2">
      <c r="DO17731" s="303" t="s">
        <v>232</v>
      </c>
    </row>
    <row r="17732" spans="119:119" x14ac:dyDescent="0.2">
      <c r="DO17732" s="303" t="s">
        <v>232</v>
      </c>
    </row>
    <row r="17733" spans="119:119" x14ac:dyDescent="0.2">
      <c r="DO17733" s="303" t="s">
        <v>232</v>
      </c>
    </row>
    <row r="17734" spans="119:119" x14ac:dyDescent="0.2">
      <c r="DO17734" s="303" t="s">
        <v>232</v>
      </c>
    </row>
    <row r="17735" spans="119:119" x14ac:dyDescent="0.2">
      <c r="DO17735" s="303" t="s">
        <v>232</v>
      </c>
    </row>
    <row r="17736" spans="119:119" x14ac:dyDescent="0.2">
      <c r="DO17736" s="303" t="s">
        <v>232</v>
      </c>
    </row>
    <row r="17737" spans="119:119" x14ac:dyDescent="0.2">
      <c r="DO17737" s="303" t="s">
        <v>232</v>
      </c>
    </row>
    <row r="17738" spans="119:119" x14ac:dyDescent="0.2">
      <c r="DO17738" s="303" t="s">
        <v>232</v>
      </c>
    </row>
    <row r="17739" spans="119:119" x14ac:dyDescent="0.2">
      <c r="DO17739" s="303" t="s">
        <v>232</v>
      </c>
    </row>
    <row r="17740" spans="119:119" x14ac:dyDescent="0.2">
      <c r="DO17740" s="303" t="s">
        <v>232</v>
      </c>
    </row>
    <row r="17741" spans="119:119" x14ac:dyDescent="0.2">
      <c r="DO17741" s="303" t="s">
        <v>232</v>
      </c>
    </row>
    <row r="17742" spans="119:119" x14ac:dyDescent="0.2">
      <c r="DO17742" s="303" t="s">
        <v>232</v>
      </c>
    </row>
    <row r="17743" spans="119:119" x14ac:dyDescent="0.2">
      <c r="DO17743" s="303" t="s">
        <v>232</v>
      </c>
    </row>
    <row r="17744" spans="119:119" x14ac:dyDescent="0.2">
      <c r="DO17744" s="303" t="s">
        <v>232</v>
      </c>
    </row>
    <row r="17745" spans="119:119" x14ac:dyDescent="0.2">
      <c r="DO17745" s="303" t="s">
        <v>232</v>
      </c>
    </row>
    <row r="17746" spans="119:119" x14ac:dyDescent="0.2">
      <c r="DO17746" s="303" t="s">
        <v>232</v>
      </c>
    </row>
    <row r="17747" spans="119:119" x14ac:dyDescent="0.2">
      <c r="DO17747" s="303" t="s">
        <v>232</v>
      </c>
    </row>
    <row r="17748" spans="119:119" x14ac:dyDescent="0.2">
      <c r="DO17748" s="303" t="s">
        <v>232</v>
      </c>
    </row>
    <row r="17749" spans="119:119" x14ac:dyDescent="0.2">
      <c r="DO17749" s="303" t="s">
        <v>232</v>
      </c>
    </row>
    <row r="17750" spans="119:119" x14ac:dyDescent="0.2">
      <c r="DO17750" s="303" t="s">
        <v>232</v>
      </c>
    </row>
    <row r="17751" spans="119:119" x14ac:dyDescent="0.2">
      <c r="DO17751" s="303" t="s">
        <v>232</v>
      </c>
    </row>
    <row r="17752" spans="119:119" x14ac:dyDescent="0.2">
      <c r="DO17752" s="303" t="s">
        <v>232</v>
      </c>
    </row>
    <row r="17753" spans="119:119" x14ac:dyDescent="0.2">
      <c r="DO17753" s="303" t="s">
        <v>232</v>
      </c>
    </row>
    <row r="17754" spans="119:119" x14ac:dyDescent="0.2">
      <c r="DO17754" s="303" t="s">
        <v>232</v>
      </c>
    </row>
    <row r="17755" spans="119:119" x14ac:dyDescent="0.2">
      <c r="DO17755" s="303" t="s">
        <v>232</v>
      </c>
    </row>
    <row r="17756" spans="119:119" x14ac:dyDescent="0.2">
      <c r="DO17756" s="303" t="s">
        <v>232</v>
      </c>
    </row>
    <row r="17757" spans="119:119" x14ac:dyDescent="0.2">
      <c r="DO17757" s="303" t="s">
        <v>232</v>
      </c>
    </row>
    <row r="17758" spans="119:119" x14ac:dyDescent="0.2">
      <c r="DO17758" s="303" t="s">
        <v>232</v>
      </c>
    </row>
    <row r="17759" spans="119:119" x14ac:dyDescent="0.2">
      <c r="DO17759" s="303" t="s">
        <v>232</v>
      </c>
    </row>
    <row r="17760" spans="119:119" x14ac:dyDescent="0.2">
      <c r="DO17760" s="303" t="s">
        <v>232</v>
      </c>
    </row>
    <row r="17761" spans="119:119" x14ac:dyDescent="0.2">
      <c r="DO17761" s="303" t="s">
        <v>232</v>
      </c>
    </row>
    <row r="17762" spans="119:119" x14ac:dyDescent="0.2">
      <c r="DO17762" s="303" t="s">
        <v>232</v>
      </c>
    </row>
    <row r="17763" spans="119:119" x14ac:dyDescent="0.2">
      <c r="DO17763" s="303" t="s">
        <v>232</v>
      </c>
    </row>
    <row r="17764" spans="119:119" x14ac:dyDescent="0.2">
      <c r="DO17764" s="303" t="s">
        <v>232</v>
      </c>
    </row>
    <row r="17765" spans="119:119" x14ac:dyDescent="0.2">
      <c r="DO17765" s="303" t="s">
        <v>232</v>
      </c>
    </row>
    <row r="17766" spans="119:119" x14ac:dyDescent="0.2">
      <c r="DO17766" s="303" t="s">
        <v>232</v>
      </c>
    </row>
    <row r="17767" spans="119:119" x14ac:dyDescent="0.2">
      <c r="DO17767" s="303" t="s">
        <v>232</v>
      </c>
    </row>
    <row r="17768" spans="119:119" x14ac:dyDescent="0.2">
      <c r="DO17768" s="303" t="s">
        <v>232</v>
      </c>
    </row>
    <row r="17769" spans="119:119" x14ac:dyDescent="0.2">
      <c r="DO17769" s="303" t="s">
        <v>232</v>
      </c>
    </row>
    <row r="17770" spans="119:119" x14ac:dyDescent="0.2">
      <c r="DO17770" s="303" t="s">
        <v>232</v>
      </c>
    </row>
    <row r="17771" spans="119:119" x14ac:dyDescent="0.2">
      <c r="DO17771" s="303" t="s">
        <v>232</v>
      </c>
    </row>
    <row r="17772" spans="119:119" x14ac:dyDescent="0.2">
      <c r="DO17772" s="303" t="s">
        <v>232</v>
      </c>
    </row>
    <row r="17773" spans="119:119" x14ac:dyDescent="0.2">
      <c r="DO17773" s="303" t="s">
        <v>232</v>
      </c>
    </row>
    <row r="17774" spans="119:119" x14ac:dyDescent="0.2">
      <c r="DO17774" s="303" t="s">
        <v>232</v>
      </c>
    </row>
    <row r="17775" spans="119:119" x14ac:dyDescent="0.2">
      <c r="DO17775" s="303" t="s">
        <v>232</v>
      </c>
    </row>
    <row r="17776" spans="119:119" x14ac:dyDescent="0.2">
      <c r="DO17776" s="303" t="s">
        <v>232</v>
      </c>
    </row>
    <row r="17777" spans="119:119" x14ac:dyDescent="0.2">
      <c r="DO17777" s="303" t="s">
        <v>232</v>
      </c>
    </row>
    <row r="17778" spans="119:119" x14ac:dyDescent="0.2">
      <c r="DO17778" s="303" t="s">
        <v>232</v>
      </c>
    </row>
    <row r="17779" spans="119:119" x14ac:dyDescent="0.2">
      <c r="DO17779" s="303" t="s">
        <v>232</v>
      </c>
    </row>
    <row r="17780" spans="119:119" x14ac:dyDescent="0.2">
      <c r="DO17780" s="303" t="s">
        <v>232</v>
      </c>
    </row>
    <row r="17781" spans="119:119" x14ac:dyDescent="0.2">
      <c r="DO17781" s="303" t="s">
        <v>232</v>
      </c>
    </row>
    <row r="17782" spans="119:119" x14ac:dyDescent="0.2">
      <c r="DO17782" s="303" t="s">
        <v>232</v>
      </c>
    </row>
    <row r="17783" spans="119:119" x14ac:dyDescent="0.2">
      <c r="DO17783" s="303" t="s">
        <v>232</v>
      </c>
    </row>
    <row r="17784" spans="119:119" x14ac:dyDescent="0.2">
      <c r="DO17784" s="303" t="s">
        <v>232</v>
      </c>
    </row>
    <row r="17785" spans="119:119" x14ac:dyDescent="0.2">
      <c r="DO17785" s="303" t="s">
        <v>232</v>
      </c>
    </row>
    <row r="17786" spans="119:119" x14ac:dyDescent="0.2">
      <c r="DO17786" s="303" t="s">
        <v>232</v>
      </c>
    </row>
    <row r="17787" spans="119:119" x14ac:dyDescent="0.2">
      <c r="DO17787" s="303" t="s">
        <v>232</v>
      </c>
    </row>
    <row r="17788" spans="119:119" x14ac:dyDescent="0.2">
      <c r="DO17788" s="303" t="s">
        <v>232</v>
      </c>
    </row>
    <row r="17789" spans="119:119" x14ac:dyDescent="0.2">
      <c r="DO17789" s="303" t="s">
        <v>232</v>
      </c>
    </row>
    <row r="17790" spans="119:119" x14ac:dyDescent="0.2">
      <c r="DO17790" s="303" t="s">
        <v>232</v>
      </c>
    </row>
    <row r="17791" spans="119:119" x14ac:dyDescent="0.2">
      <c r="DO17791" s="303" t="s">
        <v>232</v>
      </c>
    </row>
    <row r="17792" spans="119:119" x14ac:dyDescent="0.2">
      <c r="DO17792" s="303" t="s">
        <v>232</v>
      </c>
    </row>
    <row r="17793" spans="119:119" x14ac:dyDescent="0.2">
      <c r="DO17793" s="303" t="s">
        <v>232</v>
      </c>
    </row>
    <row r="17794" spans="119:119" x14ac:dyDescent="0.2">
      <c r="DO17794" s="303" t="s">
        <v>232</v>
      </c>
    </row>
    <row r="17795" spans="119:119" x14ac:dyDescent="0.2">
      <c r="DO17795" s="303" t="s">
        <v>232</v>
      </c>
    </row>
    <row r="17796" spans="119:119" x14ac:dyDescent="0.2">
      <c r="DO17796" s="303" t="s">
        <v>232</v>
      </c>
    </row>
    <row r="17797" spans="119:119" x14ac:dyDescent="0.2">
      <c r="DO17797" s="303" t="s">
        <v>232</v>
      </c>
    </row>
    <row r="17798" spans="119:119" x14ac:dyDescent="0.2">
      <c r="DO17798" s="303" t="s">
        <v>232</v>
      </c>
    </row>
    <row r="17799" spans="119:119" x14ac:dyDescent="0.2">
      <c r="DO17799" s="303" t="s">
        <v>232</v>
      </c>
    </row>
    <row r="17800" spans="119:119" x14ac:dyDescent="0.2">
      <c r="DO17800" s="303" t="s">
        <v>232</v>
      </c>
    </row>
    <row r="17801" spans="119:119" x14ac:dyDescent="0.2">
      <c r="DO17801" s="303" t="s">
        <v>232</v>
      </c>
    </row>
    <row r="17802" spans="119:119" x14ac:dyDescent="0.2">
      <c r="DO17802" s="303" t="s">
        <v>232</v>
      </c>
    </row>
    <row r="17803" spans="119:119" x14ac:dyDescent="0.2">
      <c r="DO17803" s="303" t="s">
        <v>232</v>
      </c>
    </row>
    <row r="17804" spans="119:119" x14ac:dyDescent="0.2">
      <c r="DO17804" s="303" t="s">
        <v>232</v>
      </c>
    </row>
    <row r="17805" spans="119:119" x14ac:dyDescent="0.2">
      <c r="DO17805" s="303" t="s">
        <v>232</v>
      </c>
    </row>
    <row r="17806" spans="119:119" x14ac:dyDescent="0.2">
      <c r="DO17806" s="303" t="s">
        <v>232</v>
      </c>
    </row>
    <row r="17807" spans="119:119" x14ac:dyDescent="0.2">
      <c r="DO17807" s="303" t="s">
        <v>232</v>
      </c>
    </row>
    <row r="17808" spans="119:119" x14ac:dyDescent="0.2">
      <c r="DO17808" s="303" t="s">
        <v>232</v>
      </c>
    </row>
    <row r="17809" spans="119:119" x14ac:dyDescent="0.2">
      <c r="DO17809" s="303" t="s">
        <v>232</v>
      </c>
    </row>
    <row r="17810" spans="119:119" x14ac:dyDescent="0.2">
      <c r="DO17810" s="303" t="s">
        <v>232</v>
      </c>
    </row>
    <row r="17811" spans="119:119" x14ac:dyDescent="0.2">
      <c r="DO17811" s="303" t="s">
        <v>232</v>
      </c>
    </row>
    <row r="17812" spans="119:119" x14ac:dyDescent="0.2">
      <c r="DO17812" s="303" t="s">
        <v>232</v>
      </c>
    </row>
    <row r="17813" spans="119:119" x14ac:dyDescent="0.2">
      <c r="DO17813" s="303" t="s">
        <v>232</v>
      </c>
    </row>
    <row r="17814" spans="119:119" x14ac:dyDescent="0.2">
      <c r="DO17814" s="303" t="s">
        <v>232</v>
      </c>
    </row>
    <row r="17815" spans="119:119" x14ac:dyDescent="0.2">
      <c r="DO17815" s="303" t="s">
        <v>232</v>
      </c>
    </row>
    <row r="17816" spans="119:119" x14ac:dyDescent="0.2">
      <c r="DO17816" s="303" t="s">
        <v>232</v>
      </c>
    </row>
    <row r="17817" spans="119:119" x14ac:dyDescent="0.2">
      <c r="DO17817" s="303" t="s">
        <v>232</v>
      </c>
    </row>
    <row r="17818" spans="119:119" x14ac:dyDescent="0.2">
      <c r="DO17818" s="303" t="s">
        <v>232</v>
      </c>
    </row>
    <row r="17819" spans="119:119" x14ac:dyDescent="0.2">
      <c r="DO17819" s="303" t="s">
        <v>232</v>
      </c>
    </row>
    <row r="17820" spans="119:119" x14ac:dyDescent="0.2">
      <c r="DO17820" s="303" t="s">
        <v>232</v>
      </c>
    </row>
    <row r="17821" spans="119:119" x14ac:dyDescent="0.2">
      <c r="DO17821" s="303" t="s">
        <v>232</v>
      </c>
    </row>
    <row r="17822" spans="119:119" x14ac:dyDescent="0.2">
      <c r="DO17822" s="303" t="s">
        <v>232</v>
      </c>
    </row>
    <row r="17823" spans="119:119" x14ac:dyDescent="0.2">
      <c r="DO17823" s="303" t="s">
        <v>232</v>
      </c>
    </row>
    <row r="17824" spans="119:119" x14ac:dyDescent="0.2">
      <c r="DO17824" s="303" t="s">
        <v>232</v>
      </c>
    </row>
    <row r="17825" spans="119:119" x14ac:dyDescent="0.2">
      <c r="DO17825" s="303" t="s">
        <v>232</v>
      </c>
    </row>
    <row r="17826" spans="119:119" x14ac:dyDescent="0.2">
      <c r="DO17826" s="303" t="s">
        <v>232</v>
      </c>
    </row>
    <row r="17827" spans="119:119" x14ac:dyDescent="0.2">
      <c r="DO17827" s="303" t="s">
        <v>232</v>
      </c>
    </row>
    <row r="17828" spans="119:119" x14ac:dyDescent="0.2">
      <c r="DO17828" s="303" t="s">
        <v>232</v>
      </c>
    </row>
    <row r="17829" spans="119:119" x14ac:dyDescent="0.2">
      <c r="DO17829" s="303" t="s">
        <v>232</v>
      </c>
    </row>
    <row r="17830" spans="119:119" x14ac:dyDescent="0.2">
      <c r="DO17830" s="303" t="s">
        <v>232</v>
      </c>
    </row>
    <row r="17831" spans="119:119" x14ac:dyDescent="0.2">
      <c r="DO17831" s="303" t="s">
        <v>232</v>
      </c>
    </row>
    <row r="17832" spans="119:119" x14ac:dyDescent="0.2">
      <c r="DO17832" s="303" t="s">
        <v>232</v>
      </c>
    </row>
    <row r="17833" spans="119:119" x14ac:dyDescent="0.2">
      <c r="DO17833" s="303" t="s">
        <v>232</v>
      </c>
    </row>
    <row r="17834" spans="119:119" x14ac:dyDescent="0.2">
      <c r="DO17834" s="303" t="s">
        <v>232</v>
      </c>
    </row>
    <row r="17835" spans="119:119" x14ac:dyDescent="0.2">
      <c r="DO17835" s="303" t="s">
        <v>232</v>
      </c>
    </row>
    <row r="17836" spans="119:119" x14ac:dyDescent="0.2">
      <c r="DO17836" s="303" t="s">
        <v>232</v>
      </c>
    </row>
    <row r="17837" spans="119:119" x14ac:dyDescent="0.2">
      <c r="DO17837" s="303" t="s">
        <v>232</v>
      </c>
    </row>
    <row r="17838" spans="119:119" x14ac:dyDescent="0.2">
      <c r="DO17838" s="303" t="s">
        <v>232</v>
      </c>
    </row>
    <row r="17839" spans="119:119" x14ac:dyDescent="0.2">
      <c r="DO17839" s="303" t="s">
        <v>232</v>
      </c>
    </row>
    <row r="17840" spans="119:119" x14ac:dyDescent="0.2">
      <c r="DO17840" s="303" t="s">
        <v>232</v>
      </c>
    </row>
    <row r="17841" spans="119:119" x14ac:dyDescent="0.2">
      <c r="DO17841" s="303" t="s">
        <v>232</v>
      </c>
    </row>
    <row r="17842" spans="119:119" x14ac:dyDescent="0.2">
      <c r="DO17842" s="303" t="s">
        <v>232</v>
      </c>
    </row>
    <row r="17843" spans="119:119" x14ac:dyDescent="0.2">
      <c r="DO17843" s="303" t="s">
        <v>232</v>
      </c>
    </row>
    <row r="17844" spans="119:119" x14ac:dyDescent="0.2">
      <c r="DO17844" s="303" t="s">
        <v>232</v>
      </c>
    </row>
    <row r="17845" spans="119:119" x14ac:dyDescent="0.2">
      <c r="DO17845" s="303" t="s">
        <v>232</v>
      </c>
    </row>
    <row r="17846" spans="119:119" x14ac:dyDescent="0.2">
      <c r="DO17846" s="303" t="s">
        <v>232</v>
      </c>
    </row>
    <row r="17847" spans="119:119" x14ac:dyDescent="0.2">
      <c r="DO17847" s="303" t="s">
        <v>232</v>
      </c>
    </row>
    <row r="17848" spans="119:119" x14ac:dyDescent="0.2">
      <c r="DO17848" s="303" t="s">
        <v>232</v>
      </c>
    </row>
    <row r="17849" spans="119:119" x14ac:dyDescent="0.2">
      <c r="DO17849" s="303" t="s">
        <v>232</v>
      </c>
    </row>
    <row r="17850" spans="119:119" x14ac:dyDescent="0.2">
      <c r="DO17850" s="303" t="s">
        <v>232</v>
      </c>
    </row>
    <row r="17851" spans="119:119" x14ac:dyDescent="0.2">
      <c r="DO17851" s="303" t="s">
        <v>232</v>
      </c>
    </row>
    <row r="17852" spans="119:119" x14ac:dyDescent="0.2">
      <c r="DO17852" s="303" t="s">
        <v>232</v>
      </c>
    </row>
    <row r="17853" spans="119:119" x14ac:dyDescent="0.2">
      <c r="DO17853" s="303" t="s">
        <v>232</v>
      </c>
    </row>
    <row r="17854" spans="119:119" x14ac:dyDescent="0.2">
      <c r="DO17854" s="303" t="s">
        <v>232</v>
      </c>
    </row>
    <row r="17855" spans="119:119" x14ac:dyDescent="0.2">
      <c r="DO17855" s="303" t="s">
        <v>232</v>
      </c>
    </row>
    <row r="17856" spans="119:119" x14ac:dyDescent="0.2">
      <c r="DO17856" s="303" t="s">
        <v>232</v>
      </c>
    </row>
    <row r="17857" spans="119:119" x14ac:dyDescent="0.2">
      <c r="DO17857" s="303" t="s">
        <v>232</v>
      </c>
    </row>
    <row r="17858" spans="119:119" x14ac:dyDescent="0.2">
      <c r="DO17858" s="303" t="s">
        <v>232</v>
      </c>
    </row>
    <row r="17859" spans="119:119" x14ac:dyDescent="0.2">
      <c r="DO17859" s="303" t="s">
        <v>232</v>
      </c>
    </row>
    <row r="17860" spans="119:119" x14ac:dyDescent="0.2">
      <c r="DO17860" s="303" t="s">
        <v>232</v>
      </c>
    </row>
    <row r="17861" spans="119:119" x14ac:dyDescent="0.2">
      <c r="DO17861" s="303" t="s">
        <v>232</v>
      </c>
    </row>
    <row r="17862" spans="119:119" x14ac:dyDescent="0.2">
      <c r="DO17862" s="303" t="s">
        <v>232</v>
      </c>
    </row>
    <row r="17863" spans="119:119" x14ac:dyDescent="0.2">
      <c r="DO17863" s="303" t="s">
        <v>232</v>
      </c>
    </row>
    <row r="17864" spans="119:119" x14ac:dyDescent="0.2">
      <c r="DO17864" s="303" t="s">
        <v>232</v>
      </c>
    </row>
    <row r="17865" spans="119:119" x14ac:dyDescent="0.2">
      <c r="DO17865" s="303" t="s">
        <v>232</v>
      </c>
    </row>
    <row r="17866" spans="119:119" x14ac:dyDescent="0.2">
      <c r="DO17866" s="303" t="s">
        <v>232</v>
      </c>
    </row>
    <row r="17867" spans="119:119" x14ac:dyDescent="0.2">
      <c r="DO17867" s="303" t="s">
        <v>232</v>
      </c>
    </row>
    <row r="17868" spans="119:119" x14ac:dyDescent="0.2">
      <c r="DO17868" s="303" t="s">
        <v>232</v>
      </c>
    </row>
    <row r="17869" spans="119:119" x14ac:dyDescent="0.2">
      <c r="DO17869" s="303" t="s">
        <v>232</v>
      </c>
    </row>
    <row r="17870" spans="119:119" x14ac:dyDescent="0.2">
      <c r="DO17870" s="303" t="s">
        <v>232</v>
      </c>
    </row>
    <row r="17871" spans="119:119" x14ac:dyDescent="0.2">
      <c r="DO17871" s="303" t="s">
        <v>232</v>
      </c>
    </row>
    <row r="17872" spans="119:119" x14ac:dyDescent="0.2">
      <c r="DO17872" s="303" t="s">
        <v>232</v>
      </c>
    </row>
    <row r="17873" spans="119:119" x14ac:dyDescent="0.2">
      <c r="DO17873" s="303" t="s">
        <v>232</v>
      </c>
    </row>
    <row r="17874" spans="119:119" x14ac:dyDescent="0.2">
      <c r="DO17874" s="303" t="s">
        <v>232</v>
      </c>
    </row>
    <row r="17875" spans="119:119" x14ac:dyDescent="0.2">
      <c r="DO17875" s="303" t="s">
        <v>232</v>
      </c>
    </row>
    <row r="17876" spans="119:119" x14ac:dyDescent="0.2">
      <c r="DO17876" s="303" t="s">
        <v>232</v>
      </c>
    </row>
    <row r="17877" spans="119:119" x14ac:dyDescent="0.2">
      <c r="DO17877" s="303" t="s">
        <v>232</v>
      </c>
    </row>
    <row r="17878" spans="119:119" x14ac:dyDescent="0.2">
      <c r="DO17878" s="303" t="s">
        <v>232</v>
      </c>
    </row>
    <row r="17879" spans="119:119" x14ac:dyDescent="0.2">
      <c r="DO17879" s="303" t="s">
        <v>232</v>
      </c>
    </row>
    <row r="17880" spans="119:119" x14ac:dyDescent="0.2">
      <c r="DO17880" s="303" t="s">
        <v>232</v>
      </c>
    </row>
    <row r="17881" spans="119:119" x14ac:dyDescent="0.2">
      <c r="DO17881" s="303" t="s">
        <v>232</v>
      </c>
    </row>
    <row r="17882" spans="119:119" x14ac:dyDescent="0.2">
      <c r="DO17882" s="303" t="s">
        <v>232</v>
      </c>
    </row>
    <row r="17883" spans="119:119" x14ac:dyDescent="0.2">
      <c r="DO17883" s="303" t="s">
        <v>232</v>
      </c>
    </row>
    <row r="17884" spans="119:119" x14ac:dyDescent="0.2">
      <c r="DO17884" s="303" t="s">
        <v>232</v>
      </c>
    </row>
    <row r="17885" spans="119:119" x14ac:dyDescent="0.2">
      <c r="DO17885" s="303" t="s">
        <v>232</v>
      </c>
    </row>
    <row r="17886" spans="119:119" x14ac:dyDescent="0.2">
      <c r="DO17886" s="303" t="s">
        <v>232</v>
      </c>
    </row>
    <row r="17887" spans="119:119" x14ac:dyDescent="0.2">
      <c r="DO17887" s="303" t="s">
        <v>232</v>
      </c>
    </row>
    <row r="17888" spans="119:119" x14ac:dyDescent="0.2">
      <c r="DO17888" s="303" t="s">
        <v>232</v>
      </c>
    </row>
    <row r="17889" spans="119:119" x14ac:dyDescent="0.2">
      <c r="DO17889" s="303" t="s">
        <v>232</v>
      </c>
    </row>
    <row r="17890" spans="119:119" x14ac:dyDescent="0.2">
      <c r="DO17890" s="303" t="s">
        <v>232</v>
      </c>
    </row>
    <row r="17891" spans="119:119" x14ac:dyDescent="0.2">
      <c r="DO17891" s="303" t="s">
        <v>232</v>
      </c>
    </row>
    <row r="17892" spans="119:119" x14ac:dyDescent="0.2">
      <c r="DO17892" s="303" t="s">
        <v>232</v>
      </c>
    </row>
    <row r="17893" spans="119:119" x14ac:dyDescent="0.2">
      <c r="DO17893" s="303" t="s">
        <v>232</v>
      </c>
    </row>
    <row r="17894" spans="119:119" x14ac:dyDescent="0.2">
      <c r="DO17894" s="303" t="s">
        <v>232</v>
      </c>
    </row>
    <row r="17895" spans="119:119" x14ac:dyDescent="0.2">
      <c r="DO17895" s="303" t="s">
        <v>232</v>
      </c>
    </row>
    <row r="17896" spans="119:119" x14ac:dyDescent="0.2">
      <c r="DO17896" s="303" t="s">
        <v>232</v>
      </c>
    </row>
    <row r="17897" spans="119:119" x14ac:dyDescent="0.2">
      <c r="DO17897" s="303" t="s">
        <v>232</v>
      </c>
    </row>
    <row r="17898" spans="119:119" x14ac:dyDescent="0.2">
      <c r="DO17898" s="303" t="s">
        <v>232</v>
      </c>
    </row>
    <row r="17899" spans="119:119" x14ac:dyDescent="0.2">
      <c r="DO17899" s="303" t="s">
        <v>232</v>
      </c>
    </row>
    <row r="17900" spans="119:119" x14ac:dyDescent="0.2">
      <c r="DO17900" s="303" t="s">
        <v>232</v>
      </c>
    </row>
    <row r="17901" spans="119:119" x14ac:dyDescent="0.2">
      <c r="DO17901" s="303" t="s">
        <v>232</v>
      </c>
    </row>
    <row r="17902" spans="119:119" x14ac:dyDescent="0.2">
      <c r="DO17902" s="303" t="s">
        <v>232</v>
      </c>
    </row>
    <row r="17903" spans="119:119" x14ac:dyDescent="0.2">
      <c r="DO17903" s="303" t="s">
        <v>232</v>
      </c>
    </row>
    <row r="17904" spans="119:119" x14ac:dyDescent="0.2">
      <c r="DO17904" s="303" t="s">
        <v>232</v>
      </c>
    </row>
    <row r="17905" spans="119:119" x14ac:dyDescent="0.2">
      <c r="DO17905" s="303" t="s">
        <v>232</v>
      </c>
    </row>
    <row r="17906" spans="119:119" x14ac:dyDescent="0.2">
      <c r="DO17906" s="303" t="s">
        <v>232</v>
      </c>
    </row>
    <row r="17907" spans="119:119" x14ac:dyDescent="0.2">
      <c r="DO17907" s="303" t="s">
        <v>232</v>
      </c>
    </row>
    <row r="17908" spans="119:119" x14ac:dyDescent="0.2">
      <c r="DO17908" s="303" t="s">
        <v>232</v>
      </c>
    </row>
    <row r="17909" spans="119:119" x14ac:dyDescent="0.2">
      <c r="DO17909" s="303" t="s">
        <v>232</v>
      </c>
    </row>
    <row r="17910" spans="119:119" x14ac:dyDescent="0.2">
      <c r="DO17910" s="303" t="s">
        <v>232</v>
      </c>
    </row>
    <row r="17911" spans="119:119" x14ac:dyDescent="0.2">
      <c r="DO17911" s="303" t="s">
        <v>232</v>
      </c>
    </row>
    <row r="17912" spans="119:119" x14ac:dyDescent="0.2">
      <c r="DO17912" s="303" t="s">
        <v>232</v>
      </c>
    </row>
    <row r="17913" spans="119:119" x14ac:dyDescent="0.2">
      <c r="DO17913" s="303" t="s">
        <v>232</v>
      </c>
    </row>
    <row r="17914" spans="119:119" x14ac:dyDescent="0.2">
      <c r="DO17914" s="303" t="s">
        <v>232</v>
      </c>
    </row>
    <row r="17915" spans="119:119" x14ac:dyDescent="0.2">
      <c r="DO17915" s="303" t="s">
        <v>232</v>
      </c>
    </row>
    <row r="17916" spans="119:119" x14ac:dyDescent="0.2">
      <c r="DO17916" s="303" t="s">
        <v>232</v>
      </c>
    </row>
    <row r="17917" spans="119:119" x14ac:dyDescent="0.2">
      <c r="DO17917" s="303" t="s">
        <v>232</v>
      </c>
    </row>
    <row r="17918" spans="119:119" x14ac:dyDescent="0.2">
      <c r="DO17918" s="303" t="s">
        <v>232</v>
      </c>
    </row>
    <row r="17919" spans="119:119" x14ac:dyDescent="0.2">
      <c r="DO17919" s="303" t="s">
        <v>232</v>
      </c>
    </row>
    <row r="17920" spans="119:119" x14ac:dyDescent="0.2">
      <c r="DO17920" s="303" t="s">
        <v>232</v>
      </c>
    </row>
    <row r="17921" spans="119:119" x14ac:dyDescent="0.2">
      <c r="DO17921" s="303" t="s">
        <v>232</v>
      </c>
    </row>
    <row r="17922" spans="119:119" x14ac:dyDescent="0.2">
      <c r="DO17922" s="303" t="s">
        <v>232</v>
      </c>
    </row>
    <row r="17923" spans="119:119" x14ac:dyDescent="0.2">
      <c r="DO17923" s="303" t="s">
        <v>232</v>
      </c>
    </row>
    <row r="17924" spans="119:119" x14ac:dyDescent="0.2">
      <c r="DO17924" s="303" t="s">
        <v>232</v>
      </c>
    </row>
    <row r="17925" spans="119:119" x14ac:dyDescent="0.2">
      <c r="DO17925" s="303" t="s">
        <v>232</v>
      </c>
    </row>
    <row r="17926" spans="119:119" x14ac:dyDescent="0.2">
      <c r="DO17926" s="303" t="s">
        <v>232</v>
      </c>
    </row>
    <row r="17927" spans="119:119" x14ac:dyDescent="0.2">
      <c r="DO17927" s="303" t="s">
        <v>232</v>
      </c>
    </row>
    <row r="17928" spans="119:119" x14ac:dyDescent="0.2">
      <c r="DO17928" s="303" t="s">
        <v>232</v>
      </c>
    </row>
    <row r="17929" spans="119:119" x14ac:dyDescent="0.2">
      <c r="DO17929" s="303" t="s">
        <v>232</v>
      </c>
    </row>
    <row r="17930" spans="119:119" x14ac:dyDescent="0.2">
      <c r="DO17930" s="303" t="s">
        <v>232</v>
      </c>
    </row>
    <row r="17931" spans="119:119" x14ac:dyDescent="0.2">
      <c r="DO17931" s="303" t="s">
        <v>232</v>
      </c>
    </row>
    <row r="17932" spans="119:119" x14ac:dyDescent="0.2">
      <c r="DO17932" s="303" t="s">
        <v>232</v>
      </c>
    </row>
    <row r="17933" spans="119:119" x14ac:dyDescent="0.2">
      <c r="DO17933" s="303" t="s">
        <v>232</v>
      </c>
    </row>
    <row r="17934" spans="119:119" x14ac:dyDescent="0.2">
      <c r="DO17934" s="303" t="s">
        <v>232</v>
      </c>
    </row>
    <row r="17935" spans="119:119" x14ac:dyDescent="0.2">
      <c r="DO17935" s="303" t="s">
        <v>232</v>
      </c>
    </row>
    <row r="17936" spans="119:119" x14ac:dyDescent="0.2">
      <c r="DO17936" s="303" t="s">
        <v>232</v>
      </c>
    </row>
    <row r="17937" spans="119:119" x14ac:dyDescent="0.2">
      <c r="DO17937" s="303" t="s">
        <v>232</v>
      </c>
    </row>
    <row r="17938" spans="119:119" x14ac:dyDescent="0.2">
      <c r="DO17938" s="303" t="s">
        <v>232</v>
      </c>
    </row>
    <row r="17939" spans="119:119" x14ac:dyDescent="0.2">
      <c r="DO17939" s="303" t="s">
        <v>232</v>
      </c>
    </row>
    <row r="17940" spans="119:119" x14ac:dyDescent="0.2">
      <c r="DO17940" s="303" t="s">
        <v>232</v>
      </c>
    </row>
    <row r="17941" spans="119:119" x14ac:dyDescent="0.2">
      <c r="DO17941" s="303" t="s">
        <v>232</v>
      </c>
    </row>
    <row r="17942" spans="119:119" x14ac:dyDescent="0.2">
      <c r="DO17942" s="303" t="s">
        <v>232</v>
      </c>
    </row>
    <row r="17943" spans="119:119" x14ac:dyDescent="0.2">
      <c r="DO17943" s="303" t="s">
        <v>232</v>
      </c>
    </row>
    <row r="17944" spans="119:119" x14ac:dyDescent="0.2">
      <c r="DO17944" s="303" t="s">
        <v>232</v>
      </c>
    </row>
    <row r="17945" spans="119:119" x14ac:dyDescent="0.2">
      <c r="DO17945" s="303" t="s">
        <v>232</v>
      </c>
    </row>
    <row r="17946" spans="119:119" x14ac:dyDescent="0.2">
      <c r="DO17946" s="303" t="s">
        <v>232</v>
      </c>
    </row>
    <row r="17947" spans="119:119" x14ac:dyDescent="0.2">
      <c r="DO17947" s="303" t="s">
        <v>232</v>
      </c>
    </row>
    <row r="17948" spans="119:119" x14ac:dyDescent="0.2">
      <c r="DO17948" s="303" t="s">
        <v>232</v>
      </c>
    </row>
    <row r="17949" spans="119:119" x14ac:dyDescent="0.2">
      <c r="DO17949" s="303" t="s">
        <v>232</v>
      </c>
    </row>
    <row r="17950" spans="119:119" x14ac:dyDescent="0.2">
      <c r="DO17950" s="303" t="s">
        <v>232</v>
      </c>
    </row>
    <row r="17951" spans="119:119" x14ac:dyDescent="0.2">
      <c r="DO17951" s="303" t="s">
        <v>232</v>
      </c>
    </row>
    <row r="17952" spans="119:119" x14ac:dyDescent="0.2">
      <c r="DO17952" s="303" t="s">
        <v>232</v>
      </c>
    </row>
    <row r="17953" spans="119:119" x14ac:dyDescent="0.2">
      <c r="DO17953" s="303" t="s">
        <v>232</v>
      </c>
    </row>
    <row r="17954" spans="119:119" x14ac:dyDescent="0.2">
      <c r="DO17954" s="303" t="s">
        <v>232</v>
      </c>
    </row>
    <row r="17955" spans="119:119" x14ac:dyDescent="0.2">
      <c r="DO17955" s="303" t="s">
        <v>232</v>
      </c>
    </row>
    <row r="17956" spans="119:119" x14ac:dyDescent="0.2">
      <c r="DO17956" s="303" t="s">
        <v>232</v>
      </c>
    </row>
    <row r="17957" spans="119:119" x14ac:dyDescent="0.2">
      <c r="DO17957" s="303" t="s">
        <v>232</v>
      </c>
    </row>
    <row r="17958" spans="119:119" x14ac:dyDescent="0.2">
      <c r="DO17958" s="303" t="s">
        <v>232</v>
      </c>
    </row>
    <row r="17959" spans="119:119" x14ac:dyDescent="0.2">
      <c r="DO17959" s="303" t="s">
        <v>232</v>
      </c>
    </row>
    <row r="17960" spans="119:119" x14ac:dyDescent="0.2">
      <c r="DO17960" s="303" t="s">
        <v>232</v>
      </c>
    </row>
    <row r="17961" spans="119:119" x14ac:dyDescent="0.2">
      <c r="DO17961" s="303" t="s">
        <v>232</v>
      </c>
    </row>
    <row r="17962" spans="119:119" x14ac:dyDescent="0.2">
      <c r="DO17962" s="303" t="s">
        <v>232</v>
      </c>
    </row>
    <row r="17963" spans="119:119" x14ac:dyDescent="0.2">
      <c r="DO17963" s="303" t="s">
        <v>232</v>
      </c>
    </row>
    <row r="17964" spans="119:119" x14ac:dyDescent="0.2">
      <c r="DO17964" s="303" t="s">
        <v>232</v>
      </c>
    </row>
    <row r="17965" spans="119:119" x14ac:dyDescent="0.2">
      <c r="DO17965" s="303" t="s">
        <v>232</v>
      </c>
    </row>
    <row r="17966" spans="119:119" x14ac:dyDescent="0.2">
      <c r="DO17966" s="303" t="s">
        <v>232</v>
      </c>
    </row>
    <row r="17967" spans="119:119" x14ac:dyDescent="0.2">
      <c r="DO17967" s="303" t="s">
        <v>232</v>
      </c>
    </row>
    <row r="17968" spans="119:119" x14ac:dyDescent="0.2">
      <c r="DO17968" s="303" t="s">
        <v>232</v>
      </c>
    </row>
    <row r="17969" spans="119:119" x14ac:dyDescent="0.2">
      <c r="DO17969" s="303" t="s">
        <v>232</v>
      </c>
    </row>
    <row r="17970" spans="119:119" x14ac:dyDescent="0.2">
      <c r="DO17970" s="303" t="s">
        <v>232</v>
      </c>
    </row>
    <row r="17971" spans="119:119" x14ac:dyDescent="0.2">
      <c r="DO17971" s="303" t="s">
        <v>232</v>
      </c>
    </row>
    <row r="17972" spans="119:119" x14ac:dyDescent="0.2">
      <c r="DO17972" s="303" t="s">
        <v>232</v>
      </c>
    </row>
    <row r="17973" spans="119:119" x14ac:dyDescent="0.2">
      <c r="DO17973" s="303" t="s">
        <v>232</v>
      </c>
    </row>
    <row r="17974" spans="119:119" x14ac:dyDescent="0.2">
      <c r="DO17974" s="303" t="s">
        <v>232</v>
      </c>
    </row>
    <row r="17975" spans="119:119" x14ac:dyDescent="0.2">
      <c r="DO17975" s="303" t="s">
        <v>232</v>
      </c>
    </row>
    <row r="17976" spans="119:119" x14ac:dyDescent="0.2">
      <c r="DO17976" s="303" t="s">
        <v>232</v>
      </c>
    </row>
    <row r="17977" spans="119:119" x14ac:dyDescent="0.2">
      <c r="DO17977" s="303" t="s">
        <v>232</v>
      </c>
    </row>
    <row r="17978" spans="119:119" x14ac:dyDescent="0.2">
      <c r="DO17978" s="303" t="s">
        <v>232</v>
      </c>
    </row>
    <row r="17979" spans="119:119" x14ac:dyDescent="0.2">
      <c r="DO17979" s="303" t="s">
        <v>232</v>
      </c>
    </row>
    <row r="17980" spans="119:119" x14ac:dyDescent="0.2">
      <c r="DO17980" s="303" t="s">
        <v>232</v>
      </c>
    </row>
    <row r="17981" spans="119:119" x14ac:dyDescent="0.2">
      <c r="DO17981" s="303" t="s">
        <v>232</v>
      </c>
    </row>
    <row r="17982" spans="119:119" x14ac:dyDescent="0.2">
      <c r="DO17982" s="303" t="s">
        <v>232</v>
      </c>
    </row>
    <row r="17983" spans="119:119" x14ac:dyDescent="0.2">
      <c r="DO17983" s="303" t="s">
        <v>232</v>
      </c>
    </row>
    <row r="17984" spans="119:119" x14ac:dyDescent="0.2">
      <c r="DO17984" s="303" t="s">
        <v>232</v>
      </c>
    </row>
    <row r="17985" spans="119:119" x14ac:dyDescent="0.2">
      <c r="DO17985" s="303" t="s">
        <v>232</v>
      </c>
    </row>
    <row r="17986" spans="119:119" x14ac:dyDescent="0.2">
      <c r="DO17986" s="303" t="s">
        <v>232</v>
      </c>
    </row>
    <row r="17987" spans="119:119" x14ac:dyDescent="0.2">
      <c r="DO17987" s="303" t="s">
        <v>232</v>
      </c>
    </row>
    <row r="17988" spans="119:119" x14ac:dyDescent="0.2">
      <c r="DO17988" s="303" t="s">
        <v>232</v>
      </c>
    </row>
    <row r="17989" spans="119:119" x14ac:dyDescent="0.2">
      <c r="DO17989" s="303" t="s">
        <v>232</v>
      </c>
    </row>
    <row r="17990" spans="119:119" x14ac:dyDescent="0.2">
      <c r="DO17990" s="303" t="s">
        <v>232</v>
      </c>
    </row>
    <row r="17991" spans="119:119" x14ac:dyDescent="0.2">
      <c r="DO17991" s="303" t="s">
        <v>232</v>
      </c>
    </row>
    <row r="17992" spans="119:119" x14ac:dyDescent="0.2">
      <c r="DO17992" s="303" t="s">
        <v>232</v>
      </c>
    </row>
    <row r="17993" spans="119:119" x14ac:dyDescent="0.2">
      <c r="DO17993" s="303" t="s">
        <v>232</v>
      </c>
    </row>
    <row r="17994" spans="119:119" x14ac:dyDescent="0.2">
      <c r="DO17994" s="303" t="s">
        <v>232</v>
      </c>
    </row>
    <row r="17995" spans="119:119" x14ac:dyDescent="0.2">
      <c r="DO17995" s="303" t="s">
        <v>232</v>
      </c>
    </row>
    <row r="17996" spans="119:119" x14ac:dyDescent="0.2">
      <c r="DO17996" s="303" t="s">
        <v>232</v>
      </c>
    </row>
    <row r="17997" spans="119:119" x14ac:dyDescent="0.2">
      <c r="DO17997" s="303" t="s">
        <v>232</v>
      </c>
    </row>
    <row r="17998" spans="119:119" x14ac:dyDescent="0.2">
      <c r="DO17998" s="303" t="s">
        <v>232</v>
      </c>
    </row>
    <row r="17999" spans="119:119" x14ac:dyDescent="0.2">
      <c r="DO17999" s="303" t="s">
        <v>232</v>
      </c>
    </row>
    <row r="18000" spans="119:119" x14ac:dyDescent="0.2">
      <c r="DO18000" s="303" t="s">
        <v>232</v>
      </c>
    </row>
    <row r="18001" spans="119:119" x14ac:dyDescent="0.2">
      <c r="DO18001" s="303" t="s">
        <v>232</v>
      </c>
    </row>
    <row r="18002" spans="119:119" x14ac:dyDescent="0.2">
      <c r="DO18002" s="303" t="s">
        <v>232</v>
      </c>
    </row>
    <row r="18003" spans="119:119" x14ac:dyDescent="0.2">
      <c r="DO18003" s="303" t="s">
        <v>232</v>
      </c>
    </row>
    <row r="18004" spans="119:119" x14ac:dyDescent="0.2">
      <c r="DO18004" s="303" t="s">
        <v>232</v>
      </c>
    </row>
    <row r="18005" spans="119:119" x14ac:dyDescent="0.2">
      <c r="DO18005" s="303" t="s">
        <v>232</v>
      </c>
    </row>
    <row r="18006" spans="119:119" x14ac:dyDescent="0.2">
      <c r="DO18006" s="303" t="s">
        <v>232</v>
      </c>
    </row>
    <row r="18007" spans="119:119" x14ac:dyDescent="0.2">
      <c r="DO18007" s="303" t="s">
        <v>232</v>
      </c>
    </row>
    <row r="18008" spans="119:119" x14ac:dyDescent="0.2">
      <c r="DO18008" s="303" t="s">
        <v>232</v>
      </c>
    </row>
    <row r="18009" spans="119:119" x14ac:dyDescent="0.2">
      <c r="DO18009" s="303" t="s">
        <v>232</v>
      </c>
    </row>
    <row r="18010" spans="119:119" x14ac:dyDescent="0.2">
      <c r="DO18010" s="303" t="s">
        <v>232</v>
      </c>
    </row>
    <row r="18011" spans="119:119" x14ac:dyDescent="0.2">
      <c r="DO18011" s="303" t="s">
        <v>232</v>
      </c>
    </row>
    <row r="18012" spans="119:119" x14ac:dyDescent="0.2">
      <c r="DO18012" s="303" t="s">
        <v>232</v>
      </c>
    </row>
    <row r="18013" spans="119:119" x14ac:dyDescent="0.2">
      <c r="DO18013" s="303" t="s">
        <v>232</v>
      </c>
    </row>
    <row r="18014" spans="119:119" x14ac:dyDescent="0.2">
      <c r="DO18014" s="303" t="s">
        <v>232</v>
      </c>
    </row>
    <row r="18015" spans="119:119" x14ac:dyDescent="0.2">
      <c r="DO18015" s="303" t="s">
        <v>232</v>
      </c>
    </row>
    <row r="18016" spans="119:119" x14ac:dyDescent="0.2">
      <c r="DO18016" s="303" t="s">
        <v>232</v>
      </c>
    </row>
    <row r="18017" spans="119:119" x14ac:dyDescent="0.2">
      <c r="DO18017" s="303" t="s">
        <v>232</v>
      </c>
    </row>
    <row r="18018" spans="119:119" x14ac:dyDescent="0.2">
      <c r="DO18018" s="303" t="s">
        <v>232</v>
      </c>
    </row>
    <row r="18019" spans="119:119" x14ac:dyDescent="0.2">
      <c r="DO18019" s="303" t="s">
        <v>232</v>
      </c>
    </row>
    <row r="18020" spans="119:119" x14ac:dyDescent="0.2">
      <c r="DO18020" s="303" t="s">
        <v>232</v>
      </c>
    </row>
    <row r="18021" spans="119:119" x14ac:dyDescent="0.2">
      <c r="DO18021" s="303" t="s">
        <v>232</v>
      </c>
    </row>
    <row r="18022" spans="119:119" x14ac:dyDescent="0.2">
      <c r="DO18022" s="303" t="s">
        <v>232</v>
      </c>
    </row>
    <row r="18023" spans="119:119" x14ac:dyDescent="0.2">
      <c r="DO18023" s="303" t="s">
        <v>232</v>
      </c>
    </row>
    <row r="18024" spans="119:119" x14ac:dyDescent="0.2">
      <c r="DO18024" s="303" t="s">
        <v>232</v>
      </c>
    </row>
    <row r="18025" spans="119:119" x14ac:dyDescent="0.2">
      <c r="DO18025" s="303" t="s">
        <v>232</v>
      </c>
    </row>
    <row r="18026" spans="119:119" x14ac:dyDescent="0.2">
      <c r="DO18026" s="303" t="s">
        <v>232</v>
      </c>
    </row>
    <row r="18027" spans="119:119" x14ac:dyDescent="0.2">
      <c r="DO18027" s="303" t="s">
        <v>232</v>
      </c>
    </row>
    <row r="18028" spans="119:119" x14ac:dyDescent="0.2">
      <c r="DO18028" s="303" t="s">
        <v>232</v>
      </c>
    </row>
    <row r="18029" spans="119:119" x14ac:dyDescent="0.2">
      <c r="DO18029" s="303" t="s">
        <v>232</v>
      </c>
    </row>
    <row r="18030" spans="119:119" x14ac:dyDescent="0.2">
      <c r="DO18030" s="303" t="s">
        <v>232</v>
      </c>
    </row>
    <row r="18031" spans="119:119" x14ac:dyDescent="0.2">
      <c r="DO18031" s="303" t="s">
        <v>232</v>
      </c>
    </row>
    <row r="18032" spans="119:119" x14ac:dyDescent="0.2">
      <c r="DO18032" s="303" t="s">
        <v>232</v>
      </c>
    </row>
    <row r="18033" spans="119:119" x14ac:dyDescent="0.2">
      <c r="DO18033" s="303" t="s">
        <v>232</v>
      </c>
    </row>
    <row r="18034" spans="119:119" x14ac:dyDescent="0.2">
      <c r="DO18034" s="303" t="s">
        <v>232</v>
      </c>
    </row>
    <row r="18035" spans="119:119" x14ac:dyDescent="0.2">
      <c r="DO18035" s="303" t="s">
        <v>232</v>
      </c>
    </row>
    <row r="18036" spans="119:119" x14ac:dyDescent="0.2">
      <c r="DO18036" s="303" t="s">
        <v>232</v>
      </c>
    </row>
    <row r="18037" spans="119:119" x14ac:dyDescent="0.2">
      <c r="DO18037" s="303" t="s">
        <v>232</v>
      </c>
    </row>
    <row r="18038" spans="119:119" x14ac:dyDescent="0.2">
      <c r="DO18038" s="303" t="s">
        <v>232</v>
      </c>
    </row>
    <row r="18039" spans="119:119" x14ac:dyDescent="0.2">
      <c r="DO18039" s="303" t="s">
        <v>232</v>
      </c>
    </row>
    <row r="18040" spans="119:119" x14ac:dyDescent="0.2">
      <c r="DO18040" s="303" t="s">
        <v>232</v>
      </c>
    </row>
    <row r="18041" spans="119:119" x14ac:dyDescent="0.2">
      <c r="DO18041" s="303" t="s">
        <v>232</v>
      </c>
    </row>
    <row r="18042" spans="119:119" x14ac:dyDescent="0.2">
      <c r="DO18042" s="303" t="s">
        <v>232</v>
      </c>
    </row>
    <row r="18043" spans="119:119" x14ac:dyDescent="0.2">
      <c r="DO18043" s="303" t="s">
        <v>232</v>
      </c>
    </row>
    <row r="18044" spans="119:119" x14ac:dyDescent="0.2">
      <c r="DO18044" s="303" t="s">
        <v>232</v>
      </c>
    </row>
    <row r="18045" spans="119:119" x14ac:dyDescent="0.2">
      <c r="DO18045" s="303" t="s">
        <v>232</v>
      </c>
    </row>
    <row r="18046" spans="119:119" x14ac:dyDescent="0.2">
      <c r="DO18046" s="303" t="s">
        <v>232</v>
      </c>
    </row>
    <row r="18047" spans="119:119" x14ac:dyDescent="0.2">
      <c r="DO18047" s="303" t="s">
        <v>232</v>
      </c>
    </row>
    <row r="18048" spans="119:119" x14ac:dyDescent="0.2">
      <c r="DO18048" s="303" t="s">
        <v>232</v>
      </c>
    </row>
    <row r="18049" spans="119:119" x14ac:dyDescent="0.2">
      <c r="DO18049" s="303" t="s">
        <v>232</v>
      </c>
    </row>
    <row r="18050" spans="119:119" x14ac:dyDescent="0.2">
      <c r="DO18050" s="303" t="s">
        <v>232</v>
      </c>
    </row>
    <row r="18051" spans="119:119" x14ac:dyDescent="0.2">
      <c r="DO18051" s="303" t="s">
        <v>232</v>
      </c>
    </row>
    <row r="18052" spans="119:119" x14ac:dyDescent="0.2">
      <c r="DO18052" s="303" t="s">
        <v>232</v>
      </c>
    </row>
    <row r="18053" spans="119:119" x14ac:dyDescent="0.2">
      <c r="DO18053" s="303" t="s">
        <v>232</v>
      </c>
    </row>
    <row r="18054" spans="119:119" x14ac:dyDescent="0.2">
      <c r="DO18054" s="303" t="s">
        <v>232</v>
      </c>
    </row>
    <row r="18055" spans="119:119" x14ac:dyDescent="0.2">
      <c r="DO18055" s="303" t="s">
        <v>232</v>
      </c>
    </row>
    <row r="18056" spans="119:119" x14ac:dyDescent="0.2">
      <c r="DO18056" s="303" t="s">
        <v>232</v>
      </c>
    </row>
    <row r="18057" spans="119:119" x14ac:dyDescent="0.2">
      <c r="DO18057" s="303" t="s">
        <v>232</v>
      </c>
    </row>
    <row r="18058" spans="119:119" x14ac:dyDescent="0.2">
      <c r="DO18058" s="303" t="s">
        <v>232</v>
      </c>
    </row>
    <row r="18059" spans="119:119" x14ac:dyDescent="0.2">
      <c r="DO18059" s="303" t="s">
        <v>232</v>
      </c>
    </row>
    <row r="18060" spans="119:119" x14ac:dyDescent="0.2">
      <c r="DO18060" s="303" t="s">
        <v>232</v>
      </c>
    </row>
    <row r="18061" spans="119:119" x14ac:dyDescent="0.2">
      <c r="DO18061" s="303" t="s">
        <v>232</v>
      </c>
    </row>
    <row r="18062" spans="119:119" x14ac:dyDescent="0.2">
      <c r="DO18062" s="303" t="s">
        <v>232</v>
      </c>
    </row>
    <row r="18063" spans="119:119" x14ac:dyDescent="0.2">
      <c r="DO18063" s="303" t="s">
        <v>232</v>
      </c>
    </row>
    <row r="18064" spans="119:119" x14ac:dyDescent="0.2">
      <c r="DO18064" s="303" t="s">
        <v>232</v>
      </c>
    </row>
    <row r="18065" spans="119:119" x14ac:dyDescent="0.2">
      <c r="DO18065" s="303" t="s">
        <v>232</v>
      </c>
    </row>
    <row r="18066" spans="119:119" x14ac:dyDescent="0.2">
      <c r="DO18066" s="303" t="s">
        <v>232</v>
      </c>
    </row>
    <row r="18067" spans="119:119" x14ac:dyDescent="0.2">
      <c r="DO18067" s="303" t="s">
        <v>232</v>
      </c>
    </row>
    <row r="18068" spans="119:119" x14ac:dyDescent="0.2">
      <c r="DO18068" s="303" t="s">
        <v>232</v>
      </c>
    </row>
    <row r="18069" spans="119:119" x14ac:dyDescent="0.2">
      <c r="DO18069" s="303" t="s">
        <v>232</v>
      </c>
    </row>
    <row r="18070" spans="119:119" x14ac:dyDescent="0.2">
      <c r="DO18070" s="303" t="s">
        <v>232</v>
      </c>
    </row>
    <row r="18071" spans="119:119" x14ac:dyDescent="0.2">
      <c r="DO18071" s="303" t="s">
        <v>232</v>
      </c>
    </row>
    <row r="18072" spans="119:119" x14ac:dyDescent="0.2">
      <c r="DO18072" s="303" t="s">
        <v>232</v>
      </c>
    </row>
    <row r="18073" spans="119:119" x14ac:dyDescent="0.2">
      <c r="DO18073" s="303" t="s">
        <v>232</v>
      </c>
    </row>
    <row r="18074" spans="119:119" x14ac:dyDescent="0.2">
      <c r="DO18074" s="303" t="s">
        <v>232</v>
      </c>
    </row>
    <row r="18075" spans="119:119" x14ac:dyDescent="0.2">
      <c r="DO18075" s="303" t="s">
        <v>232</v>
      </c>
    </row>
    <row r="18076" spans="119:119" x14ac:dyDescent="0.2">
      <c r="DO18076" s="303" t="s">
        <v>232</v>
      </c>
    </row>
    <row r="18077" spans="119:119" x14ac:dyDescent="0.2">
      <c r="DO18077" s="303" t="s">
        <v>232</v>
      </c>
    </row>
    <row r="18078" spans="119:119" x14ac:dyDescent="0.2">
      <c r="DO18078" s="303" t="s">
        <v>232</v>
      </c>
    </row>
    <row r="18079" spans="119:119" x14ac:dyDescent="0.2">
      <c r="DO18079" s="303" t="s">
        <v>232</v>
      </c>
    </row>
    <row r="18080" spans="119:119" x14ac:dyDescent="0.2">
      <c r="DO18080" s="303" t="s">
        <v>232</v>
      </c>
    </row>
    <row r="18081" spans="119:119" x14ac:dyDescent="0.2">
      <c r="DO18081" s="303" t="s">
        <v>232</v>
      </c>
    </row>
    <row r="18082" spans="119:119" x14ac:dyDescent="0.2">
      <c r="DO18082" s="303" t="s">
        <v>232</v>
      </c>
    </row>
    <row r="18083" spans="119:119" x14ac:dyDescent="0.2">
      <c r="DO18083" s="303" t="s">
        <v>232</v>
      </c>
    </row>
    <row r="18084" spans="119:119" x14ac:dyDescent="0.2">
      <c r="DO18084" s="303" t="s">
        <v>232</v>
      </c>
    </row>
    <row r="18085" spans="119:119" x14ac:dyDescent="0.2">
      <c r="DO18085" s="303" t="s">
        <v>232</v>
      </c>
    </row>
    <row r="18086" spans="119:119" x14ac:dyDescent="0.2">
      <c r="DO18086" s="303" t="s">
        <v>232</v>
      </c>
    </row>
    <row r="18087" spans="119:119" x14ac:dyDescent="0.2">
      <c r="DO18087" s="303" t="s">
        <v>232</v>
      </c>
    </row>
    <row r="18088" spans="119:119" x14ac:dyDescent="0.2">
      <c r="DO18088" s="303" t="s">
        <v>232</v>
      </c>
    </row>
    <row r="18089" spans="119:119" x14ac:dyDescent="0.2">
      <c r="DO18089" s="303" t="s">
        <v>232</v>
      </c>
    </row>
    <row r="18090" spans="119:119" x14ac:dyDescent="0.2">
      <c r="DO18090" s="303" t="s">
        <v>232</v>
      </c>
    </row>
    <row r="18091" spans="119:119" x14ac:dyDescent="0.2">
      <c r="DO18091" s="303" t="s">
        <v>232</v>
      </c>
    </row>
    <row r="18092" spans="119:119" x14ac:dyDescent="0.2">
      <c r="DO18092" s="303" t="s">
        <v>232</v>
      </c>
    </row>
    <row r="18093" spans="119:119" x14ac:dyDescent="0.2">
      <c r="DO18093" s="303" t="s">
        <v>232</v>
      </c>
    </row>
    <row r="18094" spans="119:119" x14ac:dyDescent="0.2">
      <c r="DO18094" s="303" t="s">
        <v>232</v>
      </c>
    </row>
    <row r="18095" spans="119:119" x14ac:dyDescent="0.2">
      <c r="DO18095" s="303" t="s">
        <v>232</v>
      </c>
    </row>
    <row r="18096" spans="119:119" x14ac:dyDescent="0.2">
      <c r="DO18096" s="303" t="s">
        <v>232</v>
      </c>
    </row>
    <row r="18097" spans="119:119" x14ac:dyDescent="0.2">
      <c r="DO18097" s="303" t="s">
        <v>232</v>
      </c>
    </row>
    <row r="18098" spans="119:119" x14ac:dyDescent="0.2">
      <c r="DO18098" s="303" t="s">
        <v>232</v>
      </c>
    </row>
    <row r="18099" spans="119:119" x14ac:dyDescent="0.2">
      <c r="DO18099" s="303" t="s">
        <v>232</v>
      </c>
    </row>
    <row r="18100" spans="119:119" x14ac:dyDescent="0.2">
      <c r="DO18100" s="303" t="s">
        <v>232</v>
      </c>
    </row>
    <row r="18101" spans="119:119" x14ac:dyDescent="0.2">
      <c r="DO18101" s="303" t="s">
        <v>232</v>
      </c>
    </row>
    <row r="18102" spans="119:119" x14ac:dyDescent="0.2">
      <c r="DO18102" s="303" t="s">
        <v>232</v>
      </c>
    </row>
    <row r="18103" spans="119:119" x14ac:dyDescent="0.2">
      <c r="DO18103" s="303" t="s">
        <v>232</v>
      </c>
    </row>
    <row r="18104" spans="119:119" x14ac:dyDescent="0.2">
      <c r="DO18104" s="303" t="s">
        <v>232</v>
      </c>
    </row>
    <row r="18105" spans="119:119" x14ac:dyDescent="0.2">
      <c r="DO18105" s="303" t="s">
        <v>232</v>
      </c>
    </row>
    <row r="18106" spans="119:119" x14ac:dyDescent="0.2">
      <c r="DO18106" s="303" t="s">
        <v>232</v>
      </c>
    </row>
    <row r="18107" spans="119:119" x14ac:dyDescent="0.2">
      <c r="DO18107" s="303" t="s">
        <v>232</v>
      </c>
    </row>
    <row r="18108" spans="119:119" x14ac:dyDescent="0.2">
      <c r="DO18108" s="303" t="s">
        <v>232</v>
      </c>
    </row>
    <row r="18109" spans="119:119" x14ac:dyDescent="0.2">
      <c r="DO18109" s="303" t="s">
        <v>232</v>
      </c>
    </row>
    <row r="18110" spans="119:119" x14ac:dyDescent="0.2">
      <c r="DO18110" s="303" t="s">
        <v>232</v>
      </c>
    </row>
    <row r="18111" spans="119:119" x14ac:dyDescent="0.2">
      <c r="DO18111" s="303" t="s">
        <v>232</v>
      </c>
    </row>
    <row r="18112" spans="119:119" x14ac:dyDescent="0.2">
      <c r="DO18112" s="303" t="s">
        <v>232</v>
      </c>
    </row>
    <row r="18113" spans="119:119" x14ac:dyDescent="0.2">
      <c r="DO18113" s="303" t="s">
        <v>232</v>
      </c>
    </row>
    <row r="18114" spans="119:119" x14ac:dyDescent="0.2">
      <c r="DO18114" s="303" t="s">
        <v>232</v>
      </c>
    </row>
    <row r="18115" spans="119:119" x14ac:dyDescent="0.2">
      <c r="DO18115" s="303" t="s">
        <v>232</v>
      </c>
    </row>
    <row r="18116" spans="119:119" x14ac:dyDescent="0.2">
      <c r="DO18116" s="303" t="s">
        <v>232</v>
      </c>
    </row>
    <row r="18117" spans="119:119" x14ac:dyDescent="0.2">
      <c r="DO18117" s="303" t="s">
        <v>232</v>
      </c>
    </row>
    <row r="18118" spans="119:119" x14ac:dyDescent="0.2">
      <c r="DO18118" s="303" t="s">
        <v>232</v>
      </c>
    </row>
    <row r="18119" spans="119:119" x14ac:dyDescent="0.2">
      <c r="DO18119" s="303" t="s">
        <v>232</v>
      </c>
    </row>
    <row r="18120" spans="119:119" x14ac:dyDescent="0.2">
      <c r="DO18120" s="303" t="s">
        <v>232</v>
      </c>
    </row>
    <row r="18121" spans="119:119" x14ac:dyDescent="0.2">
      <c r="DO18121" s="303" t="s">
        <v>232</v>
      </c>
    </row>
    <row r="18122" spans="119:119" x14ac:dyDescent="0.2">
      <c r="DO18122" s="303" t="s">
        <v>232</v>
      </c>
    </row>
    <row r="18123" spans="119:119" x14ac:dyDescent="0.2">
      <c r="DO18123" s="303" t="s">
        <v>232</v>
      </c>
    </row>
    <row r="18124" spans="119:119" x14ac:dyDescent="0.2">
      <c r="DO18124" s="303" t="s">
        <v>232</v>
      </c>
    </row>
    <row r="18125" spans="119:119" x14ac:dyDescent="0.2">
      <c r="DO18125" s="303" t="s">
        <v>232</v>
      </c>
    </row>
    <row r="18126" spans="119:119" x14ac:dyDescent="0.2">
      <c r="DO18126" s="303" t="s">
        <v>232</v>
      </c>
    </row>
    <row r="18127" spans="119:119" x14ac:dyDescent="0.2">
      <c r="DO18127" s="303" t="s">
        <v>232</v>
      </c>
    </row>
    <row r="18128" spans="119:119" x14ac:dyDescent="0.2">
      <c r="DO18128" s="303" t="s">
        <v>232</v>
      </c>
    </row>
    <row r="18129" spans="119:119" x14ac:dyDescent="0.2">
      <c r="DO18129" s="303" t="s">
        <v>232</v>
      </c>
    </row>
    <row r="18130" spans="119:119" x14ac:dyDescent="0.2">
      <c r="DO18130" s="303" t="s">
        <v>232</v>
      </c>
    </row>
    <row r="18131" spans="119:119" x14ac:dyDescent="0.2">
      <c r="DO18131" s="303" t="s">
        <v>232</v>
      </c>
    </row>
    <row r="18132" spans="119:119" x14ac:dyDescent="0.2">
      <c r="DO18132" s="303" t="s">
        <v>232</v>
      </c>
    </row>
    <row r="18133" spans="119:119" x14ac:dyDescent="0.2">
      <c r="DO18133" s="303" t="s">
        <v>232</v>
      </c>
    </row>
    <row r="18134" spans="119:119" x14ac:dyDescent="0.2">
      <c r="DO18134" s="303" t="s">
        <v>232</v>
      </c>
    </row>
    <row r="18135" spans="119:119" x14ac:dyDescent="0.2">
      <c r="DO18135" s="303" t="s">
        <v>232</v>
      </c>
    </row>
    <row r="18136" spans="119:119" x14ac:dyDescent="0.2">
      <c r="DO18136" s="303" t="s">
        <v>232</v>
      </c>
    </row>
    <row r="18137" spans="119:119" x14ac:dyDescent="0.2">
      <c r="DO18137" s="303" t="s">
        <v>232</v>
      </c>
    </row>
    <row r="18138" spans="119:119" x14ac:dyDescent="0.2">
      <c r="DO18138" s="303" t="s">
        <v>232</v>
      </c>
    </row>
    <row r="18139" spans="119:119" x14ac:dyDescent="0.2">
      <c r="DO18139" s="303" t="s">
        <v>232</v>
      </c>
    </row>
    <row r="18140" spans="119:119" x14ac:dyDescent="0.2">
      <c r="DO18140" s="303" t="s">
        <v>232</v>
      </c>
    </row>
    <row r="18141" spans="119:119" x14ac:dyDescent="0.2">
      <c r="DO18141" s="303" t="s">
        <v>232</v>
      </c>
    </row>
    <row r="18142" spans="119:119" x14ac:dyDescent="0.2">
      <c r="DO18142" s="303" t="s">
        <v>232</v>
      </c>
    </row>
    <row r="18143" spans="119:119" x14ac:dyDescent="0.2">
      <c r="DO18143" s="303" t="s">
        <v>232</v>
      </c>
    </row>
    <row r="18144" spans="119:119" x14ac:dyDescent="0.2">
      <c r="DO18144" s="303" t="s">
        <v>232</v>
      </c>
    </row>
    <row r="18145" spans="119:119" x14ac:dyDescent="0.2">
      <c r="DO18145" s="303" t="s">
        <v>232</v>
      </c>
    </row>
    <row r="18146" spans="119:119" x14ac:dyDescent="0.2">
      <c r="DO18146" s="303" t="s">
        <v>232</v>
      </c>
    </row>
    <row r="18147" spans="119:119" x14ac:dyDescent="0.2">
      <c r="DO18147" s="303" t="s">
        <v>232</v>
      </c>
    </row>
    <row r="18148" spans="119:119" x14ac:dyDescent="0.2">
      <c r="DO18148" s="303" t="s">
        <v>232</v>
      </c>
    </row>
    <row r="18149" spans="119:119" x14ac:dyDescent="0.2">
      <c r="DO18149" s="303" t="s">
        <v>232</v>
      </c>
    </row>
    <row r="18150" spans="119:119" x14ac:dyDescent="0.2">
      <c r="DO18150" s="303" t="s">
        <v>232</v>
      </c>
    </row>
    <row r="18151" spans="119:119" x14ac:dyDescent="0.2">
      <c r="DO18151" s="303" t="s">
        <v>232</v>
      </c>
    </row>
    <row r="18152" spans="119:119" x14ac:dyDescent="0.2">
      <c r="DO18152" s="303" t="s">
        <v>232</v>
      </c>
    </row>
    <row r="18153" spans="119:119" x14ac:dyDescent="0.2">
      <c r="DO18153" s="303" t="s">
        <v>232</v>
      </c>
    </row>
    <row r="18154" spans="119:119" x14ac:dyDescent="0.2">
      <c r="DO18154" s="303" t="s">
        <v>232</v>
      </c>
    </row>
    <row r="18155" spans="119:119" x14ac:dyDescent="0.2">
      <c r="DO18155" s="303" t="s">
        <v>232</v>
      </c>
    </row>
    <row r="18156" spans="119:119" x14ac:dyDescent="0.2">
      <c r="DO18156" s="303" t="s">
        <v>232</v>
      </c>
    </row>
    <row r="18157" spans="119:119" x14ac:dyDescent="0.2">
      <c r="DO18157" s="303" t="s">
        <v>232</v>
      </c>
    </row>
    <row r="18158" spans="119:119" x14ac:dyDescent="0.2">
      <c r="DO18158" s="303" t="s">
        <v>232</v>
      </c>
    </row>
    <row r="18159" spans="119:119" x14ac:dyDescent="0.2">
      <c r="DO18159" s="303" t="s">
        <v>232</v>
      </c>
    </row>
    <row r="18160" spans="119:119" x14ac:dyDescent="0.2">
      <c r="DO18160" s="303" t="s">
        <v>232</v>
      </c>
    </row>
    <row r="18161" spans="119:119" x14ac:dyDescent="0.2">
      <c r="DO18161" s="303" t="s">
        <v>232</v>
      </c>
    </row>
    <row r="18162" spans="119:119" x14ac:dyDescent="0.2">
      <c r="DO18162" s="303" t="s">
        <v>232</v>
      </c>
    </row>
    <row r="18163" spans="119:119" x14ac:dyDescent="0.2">
      <c r="DO18163" s="303" t="s">
        <v>232</v>
      </c>
    </row>
    <row r="18164" spans="119:119" x14ac:dyDescent="0.2">
      <c r="DO18164" s="303" t="s">
        <v>232</v>
      </c>
    </row>
    <row r="18165" spans="119:119" x14ac:dyDescent="0.2">
      <c r="DO18165" s="303" t="s">
        <v>232</v>
      </c>
    </row>
    <row r="18166" spans="119:119" x14ac:dyDescent="0.2">
      <c r="DO18166" s="303" t="s">
        <v>232</v>
      </c>
    </row>
    <row r="18167" spans="119:119" x14ac:dyDescent="0.2">
      <c r="DO18167" s="303" t="s">
        <v>232</v>
      </c>
    </row>
    <row r="18168" spans="119:119" x14ac:dyDescent="0.2">
      <c r="DO18168" s="303" t="s">
        <v>232</v>
      </c>
    </row>
    <row r="18169" spans="119:119" x14ac:dyDescent="0.2">
      <c r="DO18169" s="303" t="s">
        <v>232</v>
      </c>
    </row>
    <row r="18170" spans="119:119" x14ac:dyDescent="0.2">
      <c r="DO18170" s="303" t="s">
        <v>232</v>
      </c>
    </row>
    <row r="18171" spans="119:119" x14ac:dyDescent="0.2">
      <c r="DO18171" s="303" t="s">
        <v>232</v>
      </c>
    </row>
    <row r="18172" spans="119:119" x14ac:dyDescent="0.2">
      <c r="DO18172" s="303" t="s">
        <v>232</v>
      </c>
    </row>
    <row r="18173" spans="119:119" x14ac:dyDescent="0.2">
      <c r="DO18173" s="303" t="s">
        <v>232</v>
      </c>
    </row>
    <row r="18174" spans="119:119" x14ac:dyDescent="0.2">
      <c r="DO18174" s="303" t="s">
        <v>232</v>
      </c>
    </row>
    <row r="18175" spans="119:119" x14ac:dyDescent="0.2">
      <c r="DO18175" s="303" t="s">
        <v>232</v>
      </c>
    </row>
    <row r="18176" spans="119:119" x14ac:dyDescent="0.2">
      <c r="DO18176" s="303" t="s">
        <v>232</v>
      </c>
    </row>
    <row r="18177" spans="119:119" x14ac:dyDescent="0.2">
      <c r="DO18177" s="303" t="s">
        <v>232</v>
      </c>
    </row>
    <row r="18178" spans="119:119" x14ac:dyDescent="0.2">
      <c r="DO18178" s="303" t="s">
        <v>232</v>
      </c>
    </row>
    <row r="18179" spans="119:119" x14ac:dyDescent="0.2">
      <c r="DO18179" s="303" t="s">
        <v>232</v>
      </c>
    </row>
    <row r="18180" spans="119:119" x14ac:dyDescent="0.2">
      <c r="DO18180" s="303" t="s">
        <v>232</v>
      </c>
    </row>
    <row r="18181" spans="119:119" x14ac:dyDescent="0.2">
      <c r="DO18181" s="303" t="s">
        <v>232</v>
      </c>
    </row>
    <row r="18182" spans="119:119" x14ac:dyDescent="0.2">
      <c r="DO18182" s="303" t="s">
        <v>232</v>
      </c>
    </row>
    <row r="18183" spans="119:119" x14ac:dyDescent="0.2">
      <c r="DO18183" s="303" t="s">
        <v>232</v>
      </c>
    </row>
    <row r="18184" spans="119:119" x14ac:dyDescent="0.2">
      <c r="DO18184" s="303" t="s">
        <v>232</v>
      </c>
    </row>
    <row r="18185" spans="119:119" x14ac:dyDescent="0.2">
      <c r="DO18185" s="303" t="s">
        <v>232</v>
      </c>
    </row>
    <row r="18186" spans="119:119" x14ac:dyDescent="0.2">
      <c r="DO18186" s="303" t="s">
        <v>232</v>
      </c>
    </row>
    <row r="18187" spans="119:119" x14ac:dyDescent="0.2">
      <c r="DO18187" s="303" t="s">
        <v>232</v>
      </c>
    </row>
    <row r="18188" spans="119:119" x14ac:dyDescent="0.2">
      <c r="DO18188" s="303" t="s">
        <v>232</v>
      </c>
    </row>
    <row r="18189" spans="119:119" x14ac:dyDescent="0.2">
      <c r="DO18189" s="303" t="s">
        <v>232</v>
      </c>
    </row>
    <row r="18190" spans="119:119" x14ac:dyDescent="0.2">
      <c r="DO18190" s="303" t="s">
        <v>232</v>
      </c>
    </row>
    <row r="18191" spans="119:119" x14ac:dyDescent="0.2">
      <c r="DO18191" s="303" t="s">
        <v>232</v>
      </c>
    </row>
    <row r="18192" spans="119:119" x14ac:dyDescent="0.2">
      <c r="DO18192" s="303" t="s">
        <v>232</v>
      </c>
    </row>
    <row r="18193" spans="119:119" x14ac:dyDescent="0.2">
      <c r="DO18193" s="303" t="s">
        <v>232</v>
      </c>
    </row>
    <row r="18194" spans="119:119" x14ac:dyDescent="0.2">
      <c r="DO18194" s="303" t="s">
        <v>232</v>
      </c>
    </row>
    <row r="18195" spans="119:119" x14ac:dyDescent="0.2">
      <c r="DO18195" s="303" t="s">
        <v>232</v>
      </c>
    </row>
    <row r="18196" spans="119:119" x14ac:dyDescent="0.2">
      <c r="DO18196" s="303" t="s">
        <v>232</v>
      </c>
    </row>
    <row r="18197" spans="119:119" x14ac:dyDescent="0.2">
      <c r="DO18197" s="303" t="s">
        <v>232</v>
      </c>
    </row>
    <row r="18198" spans="119:119" x14ac:dyDescent="0.2">
      <c r="DO18198" s="303" t="s">
        <v>232</v>
      </c>
    </row>
    <row r="18199" spans="119:119" x14ac:dyDescent="0.2">
      <c r="DO18199" s="303" t="s">
        <v>232</v>
      </c>
    </row>
    <row r="18200" spans="119:119" x14ac:dyDescent="0.2">
      <c r="DO18200" s="303" t="s">
        <v>232</v>
      </c>
    </row>
    <row r="18201" spans="119:119" x14ac:dyDescent="0.2">
      <c r="DO18201" s="303" t="s">
        <v>232</v>
      </c>
    </row>
    <row r="18202" spans="119:119" x14ac:dyDescent="0.2">
      <c r="DO18202" s="303" t="s">
        <v>232</v>
      </c>
    </row>
    <row r="18203" spans="119:119" x14ac:dyDescent="0.2">
      <c r="DO18203" s="303" t="s">
        <v>232</v>
      </c>
    </row>
    <row r="18204" spans="119:119" x14ac:dyDescent="0.2">
      <c r="DO18204" s="303" t="s">
        <v>232</v>
      </c>
    </row>
    <row r="18205" spans="119:119" x14ac:dyDescent="0.2">
      <c r="DO18205" s="303" t="s">
        <v>232</v>
      </c>
    </row>
    <row r="18206" spans="119:119" x14ac:dyDescent="0.2">
      <c r="DO18206" s="303" t="s">
        <v>232</v>
      </c>
    </row>
    <row r="18207" spans="119:119" x14ac:dyDescent="0.2">
      <c r="DO18207" s="303" t="s">
        <v>232</v>
      </c>
    </row>
    <row r="18208" spans="119:119" x14ac:dyDescent="0.2">
      <c r="DO18208" s="303" t="s">
        <v>232</v>
      </c>
    </row>
    <row r="18209" spans="119:119" x14ac:dyDescent="0.2">
      <c r="DO18209" s="303" t="s">
        <v>232</v>
      </c>
    </row>
    <row r="18210" spans="119:119" x14ac:dyDescent="0.2">
      <c r="DO18210" s="303" t="s">
        <v>232</v>
      </c>
    </row>
    <row r="18211" spans="119:119" x14ac:dyDescent="0.2">
      <c r="DO18211" s="303" t="s">
        <v>232</v>
      </c>
    </row>
    <row r="18212" spans="119:119" x14ac:dyDescent="0.2">
      <c r="DO18212" s="303" t="s">
        <v>232</v>
      </c>
    </row>
    <row r="18213" spans="119:119" x14ac:dyDescent="0.2">
      <c r="DO18213" s="303" t="s">
        <v>232</v>
      </c>
    </row>
    <row r="18214" spans="119:119" x14ac:dyDescent="0.2">
      <c r="DO18214" s="303" t="s">
        <v>232</v>
      </c>
    </row>
    <row r="18215" spans="119:119" x14ac:dyDescent="0.2">
      <c r="DO18215" s="303" t="s">
        <v>232</v>
      </c>
    </row>
    <row r="18216" spans="119:119" x14ac:dyDescent="0.2">
      <c r="DO18216" s="303" t="s">
        <v>232</v>
      </c>
    </row>
    <row r="18217" spans="119:119" x14ac:dyDescent="0.2">
      <c r="DO18217" s="303" t="s">
        <v>232</v>
      </c>
    </row>
    <row r="18218" spans="119:119" x14ac:dyDescent="0.2">
      <c r="DO18218" s="303" t="s">
        <v>232</v>
      </c>
    </row>
    <row r="18219" spans="119:119" x14ac:dyDescent="0.2">
      <c r="DO18219" s="303" t="s">
        <v>232</v>
      </c>
    </row>
    <row r="18220" spans="119:119" x14ac:dyDescent="0.2">
      <c r="DO18220" s="303" t="s">
        <v>232</v>
      </c>
    </row>
    <row r="18221" spans="119:119" x14ac:dyDescent="0.2">
      <c r="DO18221" s="303" t="s">
        <v>232</v>
      </c>
    </row>
    <row r="18222" spans="119:119" x14ac:dyDescent="0.2">
      <c r="DO18222" s="303" t="s">
        <v>232</v>
      </c>
    </row>
    <row r="18223" spans="119:119" x14ac:dyDescent="0.2">
      <c r="DO18223" s="303" t="s">
        <v>232</v>
      </c>
    </row>
    <row r="18224" spans="119:119" x14ac:dyDescent="0.2">
      <c r="DO18224" s="303" t="s">
        <v>232</v>
      </c>
    </row>
    <row r="18225" spans="119:119" x14ac:dyDescent="0.2">
      <c r="DO18225" s="303" t="s">
        <v>232</v>
      </c>
    </row>
    <row r="18226" spans="119:119" x14ac:dyDescent="0.2">
      <c r="DO18226" s="303" t="s">
        <v>232</v>
      </c>
    </row>
    <row r="18227" spans="119:119" x14ac:dyDescent="0.2">
      <c r="DO18227" s="303" t="s">
        <v>232</v>
      </c>
    </row>
    <row r="18228" spans="119:119" x14ac:dyDescent="0.2">
      <c r="DO18228" s="303" t="s">
        <v>232</v>
      </c>
    </row>
    <row r="18229" spans="119:119" x14ac:dyDescent="0.2">
      <c r="DO18229" s="303" t="s">
        <v>232</v>
      </c>
    </row>
    <row r="18230" spans="119:119" x14ac:dyDescent="0.2">
      <c r="DO18230" s="303" t="s">
        <v>232</v>
      </c>
    </row>
    <row r="18231" spans="119:119" x14ac:dyDescent="0.2">
      <c r="DO18231" s="303" t="s">
        <v>232</v>
      </c>
    </row>
    <row r="18232" spans="119:119" x14ac:dyDescent="0.2">
      <c r="DO18232" s="303" t="s">
        <v>232</v>
      </c>
    </row>
    <row r="18233" spans="119:119" x14ac:dyDescent="0.2">
      <c r="DO18233" s="303" t="s">
        <v>232</v>
      </c>
    </row>
    <row r="18234" spans="119:119" x14ac:dyDescent="0.2">
      <c r="DO18234" s="303" t="s">
        <v>232</v>
      </c>
    </row>
    <row r="18235" spans="119:119" x14ac:dyDescent="0.2">
      <c r="DO18235" s="303" t="s">
        <v>232</v>
      </c>
    </row>
    <row r="18236" spans="119:119" x14ac:dyDescent="0.2">
      <c r="DO18236" s="303" t="s">
        <v>232</v>
      </c>
    </row>
    <row r="18237" spans="119:119" x14ac:dyDescent="0.2">
      <c r="DO18237" s="303" t="s">
        <v>232</v>
      </c>
    </row>
    <row r="18238" spans="119:119" x14ac:dyDescent="0.2">
      <c r="DO18238" s="303" t="s">
        <v>232</v>
      </c>
    </row>
    <row r="18239" spans="119:119" x14ac:dyDescent="0.2">
      <c r="DO18239" s="303" t="s">
        <v>232</v>
      </c>
    </row>
    <row r="18240" spans="119:119" x14ac:dyDescent="0.2">
      <c r="DO18240" s="303" t="s">
        <v>232</v>
      </c>
    </row>
    <row r="18241" spans="119:119" x14ac:dyDescent="0.2">
      <c r="DO18241" s="303" t="s">
        <v>232</v>
      </c>
    </row>
    <row r="18242" spans="119:119" x14ac:dyDescent="0.2">
      <c r="DO18242" s="303" t="s">
        <v>232</v>
      </c>
    </row>
    <row r="18243" spans="119:119" x14ac:dyDescent="0.2">
      <c r="DO18243" s="303" t="s">
        <v>232</v>
      </c>
    </row>
    <row r="18244" spans="119:119" x14ac:dyDescent="0.2">
      <c r="DO18244" s="303" t="s">
        <v>232</v>
      </c>
    </row>
    <row r="18245" spans="119:119" x14ac:dyDescent="0.2">
      <c r="DO18245" s="303" t="s">
        <v>232</v>
      </c>
    </row>
    <row r="18246" spans="119:119" x14ac:dyDescent="0.2">
      <c r="DO18246" s="303" t="s">
        <v>232</v>
      </c>
    </row>
    <row r="18247" spans="119:119" x14ac:dyDescent="0.2">
      <c r="DO18247" s="303" t="s">
        <v>232</v>
      </c>
    </row>
    <row r="18248" spans="119:119" x14ac:dyDescent="0.2">
      <c r="DO18248" s="303" t="s">
        <v>232</v>
      </c>
    </row>
    <row r="18249" spans="119:119" x14ac:dyDescent="0.2">
      <c r="DO18249" s="303" t="s">
        <v>232</v>
      </c>
    </row>
    <row r="18250" spans="119:119" x14ac:dyDescent="0.2">
      <c r="DO18250" s="303" t="s">
        <v>232</v>
      </c>
    </row>
    <row r="18251" spans="119:119" x14ac:dyDescent="0.2">
      <c r="DO18251" s="303" t="s">
        <v>232</v>
      </c>
    </row>
    <row r="18252" spans="119:119" x14ac:dyDescent="0.2">
      <c r="DO18252" s="303" t="s">
        <v>232</v>
      </c>
    </row>
    <row r="18253" spans="119:119" x14ac:dyDescent="0.2">
      <c r="DO18253" s="303" t="s">
        <v>232</v>
      </c>
    </row>
    <row r="18254" spans="119:119" x14ac:dyDescent="0.2">
      <c r="DO18254" s="303" t="s">
        <v>232</v>
      </c>
    </row>
    <row r="18255" spans="119:119" x14ac:dyDescent="0.2">
      <c r="DO18255" s="303" t="s">
        <v>232</v>
      </c>
    </row>
    <row r="18256" spans="119:119" x14ac:dyDescent="0.2">
      <c r="DO18256" s="303" t="s">
        <v>232</v>
      </c>
    </row>
    <row r="18257" spans="119:119" x14ac:dyDescent="0.2">
      <c r="DO18257" s="303" t="s">
        <v>232</v>
      </c>
    </row>
    <row r="18258" spans="119:119" x14ac:dyDescent="0.2">
      <c r="DO18258" s="303" t="s">
        <v>232</v>
      </c>
    </row>
    <row r="18259" spans="119:119" x14ac:dyDescent="0.2">
      <c r="DO18259" s="303" t="s">
        <v>232</v>
      </c>
    </row>
    <row r="18260" spans="119:119" x14ac:dyDescent="0.2">
      <c r="DO18260" s="303" t="s">
        <v>232</v>
      </c>
    </row>
    <row r="18261" spans="119:119" x14ac:dyDescent="0.2">
      <c r="DO18261" s="303" t="s">
        <v>232</v>
      </c>
    </row>
    <row r="18262" spans="119:119" x14ac:dyDescent="0.2">
      <c r="DO18262" s="303" t="s">
        <v>232</v>
      </c>
    </row>
    <row r="18263" spans="119:119" x14ac:dyDescent="0.2">
      <c r="DO18263" s="303" t="s">
        <v>232</v>
      </c>
    </row>
    <row r="18264" spans="119:119" x14ac:dyDescent="0.2">
      <c r="DO18264" s="303" t="s">
        <v>232</v>
      </c>
    </row>
    <row r="18265" spans="119:119" x14ac:dyDescent="0.2">
      <c r="DO18265" s="303" t="s">
        <v>232</v>
      </c>
    </row>
    <row r="18266" spans="119:119" x14ac:dyDescent="0.2">
      <c r="DO18266" s="303" t="s">
        <v>232</v>
      </c>
    </row>
    <row r="18267" spans="119:119" x14ac:dyDescent="0.2">
      <c r="DO18267" s="303" t="s">
        <v>232</v>
      </c>
    </row>
    <row r="18268" spans="119:119" x14ac:dyDescent="0.2">
      <c r="DO18268" s="303" t="s">
        <v>232</v>
      </c>
    </row>
    <row r="18269" spans="119:119" x14ac:dyDescent="0.2">
      <c r="DO18269" s="303" t="s">
        <v>232</v>
      </c>
    </row>
    <row r="18270" spans="119:119" x14ac:dyDescent="0.2">
      <c r="DO18270" s="303" t="s">
        <v>232</v>
      </c>
    </row>
    <row r="18271" spans="119:119" x14ac:dyDescent="0.2">
      <c r="DO18271" s="303" t="s">
        <v>232</v>
      </c>
    </row>
    <row r="18272" spans="119:119" x14ac:dyDescent="0.2">
      <c r="DO18272" s="303" t="s">
        <v>232</v>
      </c>
    </row>
    <row r="18273" spans="119:119" x14ac:dyDescent="0.2">
      <c r="DO18273" s="303" t="s">
        <v>232</v>
      </c>
    </row>
    <row r="18274" spans="119:119" x14ac:dyDescent="0.2">
      <c r="DO18274" s="303" t="s">
        <v>232</v>
      </c>
    </row>
    <row r="18275" spans="119:119" x14ac:dyDescent="0.2">
      <c r="DO18275" s="303" t="s">
        <v>232</v>
      </c>
    </row>
    <row r="18276" spans="119:119" x14ac:dyDescent="0.2">
      <c r="DO18276" s="303" t="s">
        <v>232</v>
      </c>
    </row>
    <row r="18277" spans="119:119" x14ac:dyDescent="0.2">
      <c r="DO18277" s="303" t="s">
        <v>232</v>
      </c>
    </row>
    <row r="18278" spans="119:119" x14ac:dyDescent="0.2">
      <c r="DO18278" s="303" t="s">
        <v>232</v>
      </c>
    </row>
    <row r="18279" spans="119:119" x14ac:dyDescent="0.2">
      <c r="DO18279" s="303" t="s">
        <v>232</v>
      </c>
    </row>
    <row r="18280" spans="119:119" x14ac:dyDescent="0.2">
      <c r="DO18280" s="303" t="s">
        <v>232</v>
      </c>
    </row>
    <row r="18281" spans="119:119" x14ac:dyDescent="0.2">
      <c r="DO18281" s="303" t="s">
        <v>232</v>
      </c>
    </row>
    <row r="18282" spans="119:119" x14ac:dyDescent="0.2">
      <c r="DO18282" s="303" t="s">
        <v>232</v>
      </c>
    </row>
    <row r="18283" spans="119:119" x14ac:dyDescent="0.2">
      <c r="DO18283" s="303" t="s">
        <v>232</v>
      </c>
    </row>
    <row r="18284" spans="119:119" x14ac:dyDescent="0.2">
      <c r="DO18284" s="303" t="s">
        <v>232</v>
      </c>
    </row>
    <row r="18285" spans="119:119" x14ac:dyDescent="0.2">
      <c r="DO18285" s="303" t="s">
        <v>232</v>
      </c>
    </row>
    <row r="18286" spans="119:119" x14ac:dyDescent="0.2">
      <c r="DO18286" s="303" t="s">
        <v>232</v>
      </c>
    </row>
    <row r="18287" spans="119:119" x14ac:dyDescent="0.2">
      <c r="DO18287" s="303" t="s">
        <v>232</v>
      </c>
    </row>
    <row r="18288" spans="119:119" x14ac:dyDescent="0.2">
      <c r="DO18288" s="303" t="s">
        <v>232</v>
      </c>
    </row>
    <row r="18289" spans="119:119" x14ac:dyDescent="0.2">
      <c r="DO18289" s="303" t="s">
        <v>232</v>
      </c>
    </row>
    <row r="18290" spans="119:119" x14ac:dyDescent="0.2">
      <c r="DO18290" s="303" t="s">
        <v>232</v>
      </c>
    </row>
    <row r="18291" spans="119:119" x14ac:dyDescent="0.2">
      <c r="DO18291" s="303" t="s">
        <v>232</v>
      </c>
    </row>
    <row r="18292" spans="119:119" x14ac:dyDescent="0.2">
      <c r="DO18292" s="303" t="s">
        <v>232</v>
      </c>
    </row>
    <row r="18293" spans="119:119" x14ac:dyDescent="0.2">
      <c r="DO18293" s="303" t="s">
        <v>232</v>
      </c>
    </row>
    <row r="18294" spans="119:119" x14ac:dyDescent="0.2">
      <c r="DO18294" s="303" t="s">
        <v>232</v>
      </c>
    </row>
    <row r="18295" spans="119:119" x14ac:dyDescent="0.2">
      <c r="DO18295" s="303" t="s">
        <v>232</v>
      </c>
    </row>
    <row r="18296" spans="119:119" x14ac:dyDescent="0.2">
      <c r="DO18296" s="303" t="s">
        <v>232</v>
      </c>
    </row>
    <row r="18297" spans="119:119" x14ac:dyDescent="0.2">
      <c r="DO18297" s="303" t="s">
        <v>232</v>
      </c>
    </row>
    <row r="18298" spans="119:119" x14ac:dyDescent="0.2">
      <c r="DO18298" s="303" t="s">
        <v>232</v>
      </c>
    </row>
    <row r="18299" spans="119:119" x14ac:dyDescent="0.2">
      <c r="DO18299" s="303" t="s">
        <v>232</v>
      </c>
    </row>
    <row r="18300" spans="119:119" x14ac:dyDescent="0.2">
      <c r="DO18300" s="303" t="s">
        <v>232</v>
      </c>
    </row>
    <row r="18301" spans="119:119" x14ac:dyDescent="0.2">
      <c r="DO18301" s="303" t="s">
        <v>232</v>
      </c>
    </row>
    <row r="18302" spans="119:119" x14ac:dyDescent="0.2">
      <c r="DO18302" s="303" t="s">
        <v>232</v>
      </c>
    </row>
    <row r="18303" spans="119:119" x14ac:dyDescent="0.2">
      <c r="DO18303" s="303" t="s">
        <v>232</v>
      </c>
    </row>
    <row r="18304" spans="119:119" x14ac:dyDescent="0.2">
      <c r="DO18304" s="303" t="s">
        <v>232</v>
      </c>
    </row>
    <row r="18305" spans="119:119" x14ac:dyDescent="0.2">
      <c r="DO18305" s="303" t="s">
        <v>232</v>
      </c>
    </row>
    <row r="18306" spans="119:119" x14ac:dyDescent="0.2">
      <c r="DO18306" s="303" t="s">
        <v>232</v>
      </c>
    </row>
    <row r="18307" spans="119:119" x14ac:dyDescent="0.2">
      <c r="DO18307" s="303" t="s">
        <v>232</v>
      </c>
    </row>
    <row r="18308" spans="119:119" x14ac:dyDescent="0.2">
      <c r="DO18308" s="303" t="s">
        <v>232</v>
      </c>
    </row>
    <row r="18309" spans="119:119" x14ac:dyDescent="0.2">
      <c r="DO18309" s="303" t="s">
        <v>232</v>
      </c>
    </row>
    <row r="18310" spans="119:119" x14ac:dyDescent="0.2">
      <c r="DO18310" s="303" t="s">
        <v>232</v>
      </c>
    </row>
    <row r="18311" spans="119:119" x14ac:dyDescent="0.2">
      <c r="DO18311" s="303" t="s">
        <v>232</v>
      </c>
    </row>
    <row r="18312" spans="119:119" x14ac:dyDescent="0.2">
      <c r="DO18312" s="303" t="s">
        <v>232</v>
      </c>
    </row>
    <row r="18313" spans="119:119" x14ac:dyDescent="0.2">
      <c r="DO18313" s="303" t="s">
        <v>232</v>
      </c>
    </row>
    <row r="18314" spans="119:119" x14ac:dyDescent="0.2">
      <c r="DO18314" s="303" t="s">
        <v>232</v>
      </c>
    </row>
    <row r="18315" spans="119:119" x14ac:dyDescent="0.2">
      <c r="DO18315" s="303" t="s">
        <v>232</v>
      </c>
    </row>
    <row r="18316" spans="119:119" x14ac:dyDescent="0.2">
      <c r="DO18316" s="303" t="s">
        <v>232</v>
      </c>
    </row>
    <row r="18317" spans="119:119" x14ac:dyDescent="0.2">
      <c r="DO18317" s="303" t="s">
        <v>232</v>
      </c>
    </row>
    <row r="18318" spans="119:119" x14ac:dyDescent="0.2">
      <c r="DO18318" s="303" t="s">
        <v>232</v>
      </c>
    </row>
    <row r="18319" spans="119:119" x14ac:dyDescent="0.2">
      <c r="DO18319" s="303" t="s">
        <v>232</v>
      </c>
    </row>
    <row r="18320" spans="119:119" x14ac:dyDescent="0.2">
      <c r="DO18320" s="303" t="s">
        <v>232</v>
      </c>
    </row>
    <row r="18321" spans="119:119" x14ac:dyDescent="0.2">
      <c r="DO18321" s="303" t="s">
        <v>232</v>
      </c>
    </row>
    <row r="18322" spans="119:119" x14ac:dyDescent="0.2">
      <c r="DO18322" s="303" t="s">
        <v>232</v>
      </c>
    </row>
    <row r="18323" spans="119:119" x14ac:dyDescent="0.2">
      <c r="DO18323" s="303" t="s">
        <v>232</v>
      </c>
    </row>
    <row r="18324" spans="119:119" x14ac:dyDescent="0.2">
      <c r="DO18324" s="303" t="s">
        <v>232</v>
      </c>
    </row>
    <row r="18325" spans="119:119" x14ac:dyDescent="0.2">
      <c r="DO18325" s="303" t="s">
        <v>232</v>
      </c>
    </row>
    <row r="18326" spans="119:119" x14ac:dyDescent="0.2">
      <c r="DO18326" s="303" t="s">
        <v>232</v>
      </c>
    </row>
    <row r="18327" spans="119:119" x14ac:dyDescent="0.2">
      <c r="DO18327" s="303" t="s">
        <v>232</v>
      </c>
    </row>
    <row r="18328" spans="119:119" x14ac:dyDescent="0.2">
      <c r="DO18328" s="303" t="s">
        <v>232</v>
      </c>
    </row>
    <row r="18329" spans="119:119" x14ac:dyDescent="0.2">
      <c r="DO18329" s="303" t="s">
        <v>232</v>
      </c>
    </row>
    <row r="18330" spans="119:119" x14ac:dyDescent="0.2">
      <c r="DO18330" s="303" t="s">
        <v>232</v>
      </c>
    </row>
    <row r="18331" spans="119:119" x14ac:dyDescent="0.2">
      <c r="DO18331" s="303" t="s">
        <v>232</v>
      </c>
    </row>
    <row r="18332" spans="119:119" x14ac:dyDescent="0.2">
      <c r="DO18332" s="303" t="s">
        <v>232</v>
      </c>
    </row>
    <row r="18333" spans="119:119" x14ac:dyDescent="0.2">
      <c r="DO18333" s="303" t="s">
        <v>232</v>
      </c>
    </row>
    <row r="18334" spans="119:119" x14ac:dyDescent="0.2">
      <c r="DO18334" s="303" t="s">
        <v>232</v>
      </c>
    </row>
    <row r="18335" spans="119:119" x14ac:dyDescent="0.2">
      <c r="DO18335" s="303" t="s">
        <v>232</v>
      </c>
    </row>
    <row r="18336" spans="119:119" x14ac:dyDescent="0.2">
      <c r="DO18336" s="303" t="s">
        <v>232</v>
      </c>
    </row>
    <row r="18337" spans="119:119" x14ac:dyDescent="0.2">
      <c r="DO18337" s="303" t="s">
        <v>232</v>
      </c>
    </row>
    <row r="18338" spans="119:119" x14ac:dyDescent="0.2">
      <c r="DO18338" s="303" t="s">
        <v>232</v>
      </c>
    </row>
    <row r="18339" spans="119:119" x14ac:dyDescent="0.2">
      <c r="DO18339" s="303" t="s">
        <v>232</v>
      </c>
    </row>
    <row r="18340" spans="119:119" x14ac:dyDescent="0.2">
      <c r="DO18340" s="303" t="s">
        <v>232</v>
      </c>
    </row>
    <row r="18341" spans="119:119" x14ac:dyDescent="0.2">
      <c r="DO18341" s="303" t="s">
        <v>232</v>
      </c>
    </row>
    <row r="18342" spans="119:119" x14ac:dyDescent="0.2">
      <c r="DO18342" s="303" t="s">
        <v>232</v>
      </c>
    </row>
    <row r="18343" spans="119:119" x14ac:dyDescent="0.2">
      <c r="DO18343" s="303" t="s">
        <v>232</v>
      </c>
    </row>
    <row r="18344" spans="119:119" x14ac:dyDescent="0.2">
      <c r="DO18344" s="303" t="s">
        <v>232</v>
      </c>
    </row>
    <row r="18345" spans="119:119" x14ac:dyDescent="0.2">
      <c r="DO18345" s="303" t="s">
        <v>232</v>
      </c>
    </row>
    <row r="18346" spans="119:119" x14ac:dyDescent="0.2">
      <c r="DO18346" s="303" t="s">
        <v>232</v>
      </c>
    </row>
    <row r="18347" spans="119:119" x14ac:dyDescent="0.2">
      <c r="DO18347" s="303" t="s">
        <v>232</v>
      </c>
    </row>
    <row r="18348" spans="119:119" x14ac:dyDescent="0.2">
      <c r="DO18348" s="303" t="s">
        <v>232</v>
      </c>
    </row>
    <row r="18349" spans="119:119" x14ac:dyDescent="0.2">
      <c r="DO18349" s="303" t="s">
        <v>232</v>
      </c>
    </row>
    <row r="18350" spans="119:119" x14ac:dyDescent="0.2">
      <c r="DO18350" s="303" t="s">
        <v>232</v>
      </c>
    </row>
    <row r="18351" spans="119:119" x14ac:dyDescent="0.2">
      <c r="DO18351" s="303" t="s">
        <v>232</v>
      </c>
    </row>
    <row r="18352" spans="119:119" x14ac:dyDescent="0.2">
      <c r="DO18352" s="303" t="s">
        <v>232</v>
      </c>
    </row>
    <row r="18353" spans="119:119" x14ac:dyDescent="0.2">
      <c r="DO18353" s="303" t="s">
        <v>232</v>
      </c>
    </row>
    <row r="18354" spans="119:119" x14ac:dyDescent="0.2">
      <c r="DO18354" s="303" t="s">
        <v>232</v>
      </c>
    </row>
    <row r="18355" spans="119:119" x14ac:dyDescent="0.2">
      <c r="DO18355" s="303" t="s">
        <v>232</v>
      </c>
    </row>
    <row r="18356" spans="119:119" x14ac:dyDescent="0.2">
      <c r="DO18356" s="303" t="s">
        <v>232</v>
      </c>
    </row>
    <row r="18357" spans="119:119" x14ac:dyDescent="0.2">
      <c r="DO18357" s="303" t="s">
        <v>232</v>
      </c>
    </row>
    <row r="18358" spans="119:119" x14ac:dyDescent="0.2">
      <c r="DO18358" s="303" t="s">
        <v>232</v>
      </c>
    </row>
    <row r="18359" spans="119:119" x14ac:dyDescent="0.2">
      <c r="DO18359" s="303" t="s">
        <v>232</v>
      </c>
    </row>
    <row r="18360" spans="119:119" x14ac:dyDescent="0.2">
      <c r="DO18360" s="303" t="s">
        <v>232</v>
      </c>
    </row>
    <row r="18361" spans="119:119" x14ac:dyDescent="0.2">
      <c r="DO18361" s="303" t="s">
        <v>232</v>
      </c>
    </row>
    <row r="18362" spans="119:119" x14ac:dyDescent="0.2">
      <c r="DO18362" s="303" t="s">
        <v>232</v>
      </c>
    </row>
    <row r="18363" spans="119:119" x14ac:dyDescent="0.2">
      <c r="DO18363" s="303" t="s">
        <v>232</v>
      </c>
    </row>
    <row r="18364" spans="119:119" x14ac:dyDescent="0.2">
      <c r="DO18364" s="303" t="s">
        <v>232</v>
      </c>
    </row>
    <row r="18365" spans="119:119" x14ac:dyDescent="0.2">
      <c r="DO18365" s="303" t="s">
        <v>232</v>
      </c>
    </row>
    <row r="18366" spans="119:119" x14ac:dyDescent="0.2">
      <c r="DO18366" s="303" t="s">
        <v>232</v>
      </c>
    </row>
    <row r="18367" spans="119:119" x14ac:dyDescent="0.2">
      <c r="DO18367" s="303" t="s">
        <v>232</v>
      </c>
    </row>
    <row r="18368" spans="119:119" x14ac:dyDescent="0.2">
      <c r="DO18368" s="303" t="s">
        <v>232</v>
      </c>
    </row>
    <row r="18369" spans="119:119" x14ac:dyDescent="0.2">
      <c r="DO18369" s="303" t="s">
        <v>232</v>
      </c>
    </row>
    <row r="18370" spans="119:119" x14ac:dyDescent="0.2">
      <c r="DO18370" s="303" t="s">
        <v>232</v>
      </c>
    </row>
    <row r="18371" spans="119:119" x14ac:dyDescent="0.2">
      <c r="DO18371" s="303" t="s">
        <v>232</v>
      </c>
    </row>
    <row r="18372" spans="119:119" x14ac:dyDescent="0.2">
      <c r="DO18372" s="303" t="s">
        <v>232</v>
      </c>
    </row>
    <row r="18373" spans="119:119" x14ac:dyDescent="0.2">
      <c r="DO18373" s="303" t="s">
        <v>232</v>
      </c>
    </row>
    <row r="18374" spans="119:119" x14ac:dyDescent="0.2">
      <c r="DO18374" s="303" t="s">
        <v>232</v>
      </c>
    </row>
    <row r="18375" spans="119:119" x14ac:dyDescent="0.2">
      <c r="DO18375" s="303" t="s">
        <v>232</v>
      </c>
    </row>
    <row r="18376" spans="119:119" x14ac:dyDescent="0.2">
      <c r="DO18376" s="303" t="s">
        <v>232</v>
      </c>
    </row>
    <row r="18377" spans="119:119" x14ac:dyDescent="0.2">
      <c r="DO18377" s="303" t="s">
        <v>232</v>
      </c>
    </row>
    <row r="18378" spans="119:119" x14ac:dyDescent="0.2">
      <c r="DO18378" s="303" t="s">
        <v>232</v>
      </c>
    </row>
    <row r="18379" spans="119:119" x14ac:dyDescent="0.2">
      <c r="DO18379" s="303" t="s">
        <v>232</v>
      </c>
    </row>
    <row r="18380" spans="119:119" x14ac:dyDescent="0.2">
      <c r="DO18380" s="303" t="s">
        <v>232</v>
      </c>
    </row>
    <row r="18381" spans="119:119" x14ac:dyDescent="0.2">
      <c r="DO18381" s="303" t="s">
        <v>232</v>
      </c>
    </row>
    <row r="18382" spans="119:119" x14ac:dyDescent="0.2">
      <c r="DO18382" s="303" t="s">
        <v>232</v>
      </c>
    </row>
    <row r="18383" spans="119:119" x14ac:dyDescent="0.2">
      <c r="DO18383" s="303" t="s">
        <v>232</v>
      </c>
    </row>
    <row r="18384" spans="119:119" x14ac:dyDescent="0.2">
      <c r="DO18384" s="303" t="s">
        <v>232</v>
      </c>
    </row>
    <row r="18385" spans="119:119" x14ac:dyDescent="0.2">
      <c r="DO18385" s="303" t="s">
        <v>232</v>
      </c>
    </row>
    <row r="18386" spans="119:119" x14ac:dyDescent="0.2">
      <c r="DO18386" s="303" t="s">
        <v>232</v>
      </c>
    </row>
    <row r="18387" spans="119:119" x14ac:dyDescent="0.2">
      <c r="DO18387" s="303" t="s">
        <v>232</v>
      </c>
    </row>
    <row r="18388" spans="119:119" x14ac:dyDescent="0.2">
      <c r="DO18388" s="303" t="s">
        <v>232</v>
      </c>
    </row>
    <row r="18389" spans="119:119" x14ac:dyDescent="0.2">
      <c r="DO18389" s="303" t="s">
        <v>232</v>
      </c>
    </row>
    <row r="18390" spans="119:119" x14ac:dyDescent="0.2">
      <c r="DO18390" s="303" t="s">
        <v>232</v>
      </c>
    </row>
    <row r="18391" spans="119:119" x14ac:dyDescent="0.2">
      <c r="DO18391" s="303" t="s">
        <v>232</v>
      </c>
    </row>
    <row r="18392" spans="119:119" x14ac:dyDescent="0.2">
      <c r="DO18392" s="303" t="s">
        <v>232</v>
      </c>
    </row>
    <row r="18393" spans="119:119" x14ac:dyDescent="0.2">
      <c r="DO18393" s="303" t="s">
        <v>232</v>
      </c>
    </row>
    <row r="18394" spans="119:119" x14ac:dyDescent="0.2">
      <c r="DO18394" s="303" t="s">
        <v>232</v>
      </c>
    </row>
    <row r="18395" spans="119:119" x14ac:dyDescent="0.2">
      <c r="DO18395" s="303" t="s">
        <v>232</v>
      </c>
    </row>
    <row r="18396" spans="119:119" x14ac:dyDescent="0.2">
      <c r="DO18396" s="303" t="s">
        <v>232</v>
      </c>
    </row>
    <row r="18397" spans="119:119" x14ac:dyDescent="0.2">
      <c r="DO18397" s="303" t="s">
        <v>232</v>
      </c>
    </row>
    <row r="18398" spans="119:119" x14ac:dyDescent="0.2">
      <c r="DO18398" s="303" t="s">
        <v>232</v>
      </c>
    </row>
    <row r="18399" spans="119:119" x14ac:dyDescent="0.2">
      <c r="DO18399" s="303" t="s">
        <v>232</v>
      </c>
    </row>
    <row r="18400" spans="119:119" x14ac:dyDescent="0.2">
      <c r="DO18400" s="303" t="s">
        <v>232</v>
      </c>
    </row>
    <row r="18401" spans="119:119" x14ac:dyDescent="0.2">
      <c r="DO18401" s="303" t="s">
        <v>232</v>
      </c>
    </row>
    <row r="18402" spans="119:119" x14ac:dyDescent="0.2">
      <c r="DO18402" s="303" t="s">
        <v>232</v>
      </c>
    </row>
    <row r="18403" spans="119:119" x14ac:dyDescent="0.2">
      <c r="DO18403" s="303" t="s">
        <v>232</v>
      </c>
    </row>
    <row r="18404" spans="119:119" x14ac:dyDescent="0.2">
      <c r="DO18404" s="303" t="s">
        <v>232</v>
      </c>
    </row>
    <row r="18405" spans="119:119" x14ac:dyDescent="0.2">
      <c r="DO18405" s="303" t="s">
        <v>232</v>
      </c>
    </row>
    <row r="18406" spans="119:119" x14ac:dyDescent="0.2">
      <c r="DO18406" s="303" t="s">
        <v>232</v>
      </c>
    </row>
    <row r="18407" spans="119:119" x14ac:dyDescent="0.2">
      <c r="DO18407" s="303" t="s">
        <v>232</v>
      </c>
    </row>
    <row r="18408" spans="119:119" x14ac:dyDescent="0.2">
      <c r="DO18408" s="303" t="s">
        <v>232</v>
      </c>
    </row>
    <row r="18409" spans="119:119" x14ac:dyDescent="0.2">
      <c r="DO18409" s="303" t="s">
        <v>232</v>
      </c>
    </row>
    <row r="18410" spans="119:119" x14ac:dyDescent="0.2">
      <c r="DO18410" s="303" t="s">
        <v>232</v>
      </c>
    </row>
    <row r="18411" spans="119:119" x14ac:dyDescent="0.2">
      <c r="DO18411" s="303" t="s">
        <v>232</v>
      </c>
    </row>
    <row r="18412" spans="119:119" x14ac:dyDescent="0.2">
      <c r="DO18412" s="303" t="s">
        <v>232</v>
      </c>
    </row>
    <row r="18413" spans="119:119" x14ac:dyDescent="0.2">
      <c r="DO18413" s="303" t="s">
        <v>232</v>
      </c>
    </row>
    <row r="18414" spans="119:119" x14ac:dyDescent="0.2">
      <c r="DO18414" s="303" t="s">
        <v>232</v>
      </c>
    </row>
    <row r="18415" spans="119:119" x14ac:dyDescent="0.2">
      <c r="DO18415" s="303" t="s">
        <v>232</v>
      </c>
    </row>
    <row r="18416" spans="119:119" x14ac:dyDescent="0.2">
      <c r="DO18416" s="303" t="s">
        <v>232</v>
      </c>
    </row>
    <row r="18417" spans="119:119" x14ac:dyDescent="0.2">
      <c r="DO18417" s="303" t="s">
        <v>232</v>
      </c>
    </row>
    <row r="18418" spans="119:119" x14ac:dyDescent="0.2">
      <c r="DO18418" s="303" t="s">
        <v>232</v>
      </c>
    </row>
    <row r="18419" spans="119:119" x14ac:dyDescent="0.2">
      <c r="DO18419" s="303" t="s">
        <v>232</v>
      </c>
    </row>
    <row r="18420" spans="119:119" x14ac:dyDescent="0.2">
      <c r="DO18420" s="303" t="s">
        <v>232</v>
      </c>
    </row>
    <row r="18421" spans="119:119" x14ac:dyDescent="0.2">
      <c r="DO18421" s="303" t="s">
        <v>232</v>
      </c>
    </row>
    <row r="18422" spans="119:119" x14ac:dyDescent="0.2">
      <c r="DO18422" s="303" t="s">
        <v>232</v>
      </c>
    </row>
    <row r="18423" spans="119:119" x14ac:dyDescent="0.2">
      <c r="DO18423" s="303" t="s">
        <v>232</v>
      </c>
    </row>
    <row r="18424" spans="119:119" x14ac:dyDescent="0.2">
      <c r="DO18424" s="303" t="s">
        <v>232</v>
      </c>
    </row>
    <row r="18425" spans="119:119" x14ac:dyDescent="0.2">
      <c r="DO18425" s="303" t="s">
        <v>232</v>
      </c>
    </row>
    <row r="18426" spans="119:119" x14ac:dyDescent="0.2">
      <c r="DO18426" s="303" t="s">
        <v>232</v>
      </c>
    </row>
    <row r="18427" spans="119:119" x14ac:dyDescent="0.2">
      <c r="DO18427" s="303" t="s">
        <v>232</v>
      </c>
    </row>
    <row r="18428" spans="119:119" x14ac:dyDescent="0.2">
      <c r="DO18428" s="303" t="s">
        <v>232</v>
      </c>
    </row>
    <row r="18429" spans="119:119" x14ac:dyDescent="0.2">
      <c r="DO18429" s="303" t="s">
        <v>232</v>
      </c>
    </row>
    <row r="18430" spans="119:119" x14ac:dyDescent="0.2">
      <c r="DO18430" s="303" t="s">
        <v>232</v>
      </c>
    </row>
    <row r="18431" spans="119:119" x14ac:dyDescent="0.2">
      <c r="DO18431" s="303" t="s">
        <v>232</v>
      </c>
    </row>
    <row r="18432" spans="119:119" x14ac:dyDescent="0.2">
      <c r="DO18432" s="303" t="s">
        <v>232</v>
      </c>
    </row>
    <row r="18433" spans="119:119" x14ac:dyDescent="0.2">
      <c r="DO18433" s="303" t="s">
        <v>232</v>
      </c>
    </row>
    <row r="18434" spans="119:119" x14ac:dyDescent="0.2">
      <c r="DO18434" s="303" t="s">
        <v>232</v>
      </c>
    </row>
    <row r="18435" spans="119:119" x14ac:dyDescent="0.2">
      <c r="DO18435" s="303" t="s">
        <v>232</v>
      </c>
    </row>
    <row r="18436" spans="119:119" x14ac:dyDescent="0.2">
      <c r="DO18436" s="303" t="s">
        <v>232</v>
      </c>
    </row>
    <row r="18437" spans="119:119" x14ac:dyDescent="0.2">
      <c r="DO18437" s="303" t="s">
        <v>232</v>
      </c>
    </row>
    <row r="18438" spans="119:119" x14ac:dyDescent="0.2">
      <c r="DO18438" s="303" t="s">
        <v>232</v>
      </c>
    </row>
    <row r="18439" spans="119:119" x14ac:dyDescent="0.2">
      <c r="DO18439" s="303" t="s">
        <v>232</v>
      </c>
    </row>
    <row r="18440" spans="119:119" x14ac:dyDescent="0.2">
      <c r="DO18440" s="303" t="s">
        <v>232</v>
      </c>
    </row>
    <row r="18441" spans="119:119" x14ac:dyDescent="0.2">
      <c r="DO18441" s="303" t="s">
        <v>232</v>
      </c>
    </row>
    <row r="18442" spans="119:119" x14ac:dyDescent="0.2">
      <c r="DO18442" s="303" t="s">
        <v>232</v>
      </c>
    </row>
    <row r="18443" spans="119:119" x14ac:dyDescent="0.2">
      <c r="DO18443" s="303" t="s">
        <v>232</v>
      </c>
    </row>
    <row r="18444" spans="119:119" x14ac:dyDescent="0.2">
      <c r="DO18444" s="303" t="s">
        <v>232</v>
      </c>
    </row>
    <row r="18445" spans="119:119" x14ac:dyDescent="0.2">
      <c r="DO18445" s="303" t="s">
        <v>232</v>
      </c>
    </row>
    <row r="18446" spans="119:119" x14ac:dyDescent="0.2">
      <c r="DO18446" s="303" t="s">
        <v>232</v>
      </c>
    </row>
    <row r="18447" spans="119:119" x14ac:dyDescent="0.2">
      <c r="DO18447" s="303" t="s">
        <v>232</v>
      </c>
    </row>
    <row r="18448" spans="119:119" x14ac:dyDescent="0.2">
      <c r="DO18448" s="303" t="s">
        <v>232</v>
      </c>
    </row>
    <row r="18449" spans="119:119" x14ac:dyDescent="0.2">
      <c r="DO18449" s="303" t="s">
        <v>232</v>
      </c>
    </row>
    <row r="18450" spans="119:119" x14ac:dyDescent="0.2">
      <c r="DO18450" s="303" t="s">
        <v>232</v>
      </c>
    </row>
    <row r="18451" spans="119:119" x14ac:dyDescent="0.2">
      <c r="DO18451" s="303" t="s">
        <v>232</v>
      </c>
    </row>
    <row r="18452" spans="119:119" x14ac:dyDescent="0.2">
      <c r="DO18452" s="303" t="s">
        <v>232</v>
      </c>
    </row>
    <row r="18453" spans="119:119" x14ac:dyDescent="0.2">
      <c r="DO18453" s="303" t="s">
        <v>232</v>
      </c>
    </row>
    <row r="18454" spans="119:119" x14ac:dyDescent="0.2">
      <c r="DO18454" s="303" t="s">
        <v>232</v>
      </c>
    </row>
    <row r="18455" spans="119:119" x14ac:dyDescent="0.2">
      <c r="DO18455" s="303" t="s">
        <v>232</v>
      </c>
    </row>
    <row r="18456" spans="119:119" x14ac:dyDescent="0.2">
      <c r="DO18456" s="303" t="s">
        <v>232</v>
      </c>
    </row>
    <row r="18457" spans="119:119" x14ac:dyDescent="0.2">
      <c r="DO18457" s="303" t="s">
        <v>232</v>
      </c>
    </row>
    <row r="18458" spans="119:119" x14ac:dyDescent="0.2">
      <c r="DO18458" s="303" t="s">
        <v>232</v>
      </c>
    </row>
    <row r="18459" spans="119:119" x14ac:dyDescent="0.2">
      <c r="DO18459" s="303" t="s">
        <v>232</v>
      </c>
    </row>
    <row r="18460" spans="119:119" x14ac:dyDescent="0.2">
      <c r="DO18460" s="303" t="s">
        <v>232</v>
      </c>
    </row>
    <row r="18461" spans="119:119" x14ac:dyDescent="0.2">
      <c r="DO18461" s="303" t="s">
        <v>232</v>
      </c>
    </row>
    <row r="18462" spans="119:119" x14ac:dyDescent="0.2">
      <c r="DO18462" s="303" t="s">
        <v>232</v>
      </c>
    </row>
    <row r="18463" spans="119:119" x14ac:dyDescent="0.2">
      <c r="DO18463" s="303" t="s">
        <v>232</v>
      </c>
    </row>
    <row r="18464" spans="119:119" x14ac:dyDescent="0.2">
      <c r="DO18464" s="303" t="s">
        <v>232</v>
      </c>
    </row>
    <row r="18465" spans="119:119" x14ac:dyDescent="0.2">
      <c r="DO18465" s="303" t="s">
        <v>232</v>
      </c>
    </row>
    <row r="18466" spans="119:119" x14ac:dyDescent="0.2">
      <c r="DO18466" s="303" t="s">
        <v>232</v>
      </c>
    </row>
    <row r="18467" spans="119:119" x14ac:dyDescent="0.2">
      <c r="DO18467" s="303" t="s">
        <v>232</v>
      </c>
    </row>
    <row r="18468" spans="119:119" x14ac:dyDescent="0.2">
      <c r="DO18468" s="303" t="s">
        <v>232</v>
      </c>
    </row>
    <row r="18469" spans="119:119" x14ac:dyDescent="0.2">
      <c r="DO18469" s="303" t="s">
        <v>232</v>
      </c>
    </row>
    <row r="18470" spans="119:119" x14ac:dyDescent="0.2">
      <c r="DO18470" s="303" t="s">
        <v>232</v>
      </c>
    </row>
    <row r="18471" spans="119:119" x14ac:dyDescent="0.2">
      <c r="DO18471" s="303" t="s">
        <v>232</v>
      </c>
    </row>
    <row r="18472" spans="119:119" x14ac:dyDescent="0.2">
      <c r="DO18472" s="303" t="s">
        <v>232</v>
      </c>
    </row>
    <row r="18473" spans="119:119" x14ac:dyDescent="0.2">
      <c r="DO18473" s="303" t="s">
        <v>232</v>
      </c>
    </row>
    <row r="18474" spans="119:119" x14ac:dyDescent="0.2">
      <c r="DO18474" s="303" t="s">
        <v>232</v>
      </c>
    </row>
    <row r="18475" spans="119:119" x14ac:dyDescent="0.2">
      <c r="DO18475" s="303" t="s">
        <v>232</v>
      </c>
    </row>
    <row r="18476" spans="119:119" x14ac:dyDescent="0.2">
      <c r="DO18476" s="303" t="s">
        <v>232</v>
      </c>
    </row>
    <row r="18477" spans="119:119" x14ac:dyDescent="0.2">
      <c r="DO18477" s="303" t="s">
        <v>232</v>
      </c>
    </row>
    <row r="18478" spans="119:119" x14ac:dyDescent="0.2">
      <c r="DO18478" s="303" t="s">
        <v>232</v>
      </c>
    </row>
    <row r="18479" spans="119:119" x14ac:dyDescent="0.2">
      <c r="DO18479" s="303" t="s">
        <v>232</v>
      </c>
    </row>
    <row r="18480" spans="119:119" x14ac:dyDescent="0.2">
      <c r="DO18480" s="303" t="s">
        <v>232</v>
      </c>
    </row>
    <row r="18481" spans="119:119" x14ac:dyDescent="0.2">
      <c r="DO18481" s="303" t="s">
        <v>232</v>
      </c>
    </row>
    <row r="18482" spans="119:119" x14ac:dyDescent="0.2">
      <c r="DO18482" s="303" t="s">
        <v>232</v>
      </c>
    </row>
    <row r="18483" spans="119:119" x14ac:dyDescent="0.2">
      <c r="DO18483" s="303" t="s">
        <v>232</v>
      </c>
    </row>
    <row r="18484" spans="119:119" x14ac:dyDescent="0.2">
      <c r="DO18484" s="303" t="s">
        <v>232</v>
      </c>
    </row>
    <row r="18485" spans="119:119" x14ac:dyDescent="0.2">
      <c r="DO18485" s="303" t="s">
        <v>232</v>
      </c>
    </row>
    <row r="18486" spans="119:119" x14ac:dyDescent="0.2">
      <c r="DO18486" s="303" t="s">
        <v>232</v>
      </c>
    </row>
    <row r="18487" spans="119:119" x14ac:dyDescent="0.2">
      <c r="DO18487" s="303" t="s">
        <v>232</v>
      </c>
    </row>
    <row r="18488" spans="119:119" x14ac:dyDescent="0.2">
      <c r="DO18488" s="303" t="s">
        <v>232</v>
      </c>
    </row>
    <row r="18489" spans="119:119" x14ac:dyDescent="0.2">
      <c r="DO18489" s="303" t="s">
        <v>232</v>
      </c>
    </row>
    <row r="18490" spans="119:119" x14ac:dyDescent="0.2">
      <c r="DO18490" s="303" t="s">
        <v>232</v>
      </c>
    </row>
    <row r="18491" spans="119:119" x14ac:dyDescent="0.2">
      <c r="DO18491" s="303" t="s">
        <v>232</v>
      </c>
    </row>
    <row r="18492" spans="119:119" x14ac:dyDescent="0.2">
      <c r="DO18492" s="303" t="s">
        <v>232</v>
      </c>
    </row>
    <row r="18493" spans="119:119" x14ac:dyDescent="0.2">
      <c r="DO18493" s="303" t="s">
        <v>232</v>
      </c>
    </row>
    <row r="18494" spans="119:119" x14ac:dyDescent="0.2">
      <c r="DO18494" s="303" t="s">
        <v>232</v>
      </c>
    </row>
    <row r="18495" spans="119:119" x14ac:dyDescent="0.2">
      <c r="DO18495" s="303" t="s">
        <v>232</v>
      </c>
    </row>
    <row r="18496" spans="119:119" x14ac:dyDescent="0.2">
      <c r="DO18496" s="303" t="s">
        <v>232</v>
      </c>
    </row>
    <row r="18497" spans="119:119" x14ac:dyDescent="0.2">
      <c r="DO18497" s="303" t="s">
        <v>232</v>
      </c>
    </row>
    <row r="18498" spans="119:119" x14ac:dyDescent="0.2">
      <c r="DO18498" s="303" t="s">
        <v>232</v>
      </c>
    </row>
    <row r="18499" spans="119:119" x14ac:dyDescent="0.2">
      <c r="DO18499" s="303" t="s">
        <v>232</v>
      </c>
    </row>
    <row r="18500" spans="119:119" x14ac:dyDescent="0.2">
      <c r="DO18500" s="303" t="s">
        <v>232</v>
      </c>
    </row>
    <row r="18501" spans="119:119" x14ac:dyDescent="0.2">
      <c r="DO18501" s="303" t="s">
        <v>232</v>
      </c>
    </row>
    <row r="18502" spans="119:119" x14ac:dyDescent="0.2">
      <c r="DO18502" s="303" t="s">
        <v>232</v>
      </c>
    </row>
    <row r="18503" spans="119:119" x14ac:dyDescent="0.2">
      <c r="DO18503" s="303" t="s">
        <v>232</v>
      </c>
    </row>
    <row r="18504" spans="119:119" x14ac:dyDescent="0.2">
      <c r="DO18504" s="303" t="s">
        <v>232</v>
      </c>
    </row>
    <row r="18505" spans="119:119" x14ac:dyDescent="0.2">
      <c r="DO18505" s="303" t="s">
        <v>232</v>
      </c>
    </row>
    <row r="18506" spans="119:119" x14ac:dyDescent="0.2">
      <c r="DO18506" s="303" t="s">
        <v>232</v>
      </c>
    </row>
    <row r="18507" spans="119:119" x14ac:dyDescent="0.2">
      <c r="DO18507" s="303" t="s">
        <v>232</v>
      </c>
    </row>
    <row r="18508" spans="119:119" x14ac:dyDescent="0.2">
      <c r="DO18508" s="303" t="s">
        <v>232</v>
      </c>
    </row>
    <row r="18509" spans="119:119" x14ac:dyDescent="0.2">
      <c r="DO18509" s="303" t="s">
        <v>232</v>
      </c>
    </row>
    <row r="18510" spans="119:119" x14ac:dyDescent="0.2">
      <c r="DO18510" s="303" t="s">
        <v>232</v>
      </c>
    </row>
    <row r="18511" spans="119:119" x14ac:dyDescent="0.2">
      <c r="DO18511" s="303" t="s">
        <v>232</v>
      </c>
    </row>
    <row r="18512" spans="119:119" x14ac:dyDescent="0.2">
      <c r="DO18512" s="303" t="s">
        <v>232</v>
      </c>
    </row>
    <row r="18513" spans="119:119" x14ac:dyDescent="0.2">
      <c r="DO18513" s="303" t="s">
        <v>232</v>
      </c>
    </row>
    <row r="18514" spans="119:119" x14ac:dyDescent="0.2">
      <c r="DO18514" s="303" t="s">
        <v>232</v>
      </c>
    </row>
    <row r="18515" spans="119:119" x14ac:dyDescent="0.2">
      <c r="DO18515" s="303" t="s">
        <v>232</v>
      </c>
    </row>
    <row r="18516" spans="119:119" x14ac:dyDescent="0.2">
      <c r="DO18516" s="303" t="s">
        <v>232</v>
      </c>
    </row>
    <row r="18517" spans="119:119" x14ac:dyDescent="0.2">
      <c r="DO18517" s="303" t="s">
        <v>232</v>
      </c>
    </row>
    <row r="18518" spans="119:119" x14ac:dyDescent="0.2">
      <c r="DO18518" s="303" t="s">
        <v>232</v>
      </c>
    </row>
    <row r="18519" spans="119:119" x14ac:dyDescent="0.2">
      <c r="DO18519" s="303" t="s">
        <v>232</v>
      </c>
    </row>
    <row r="18520" spans="119:119" x14ac:dyDescent="0.2">
      <c r="DO18520" s="303" t="s">
        <v>232</v>
      </c>
    </row>
    <row r="18521" spans="119:119" x14ac:dyDescent="0.2">
      <c r="DO18521" s="303" t="s">
        <v>232</v>
      </c>
    </row>
    <row r="18522" spans="119:119" x14ac:dyDescent="0.2">
      <c r="DO18522" s="303" t="s">
        <v>232</v>
      </c>
    </row>
    <row r="18523" spans="119:119" x14ac:dyDescent="0.2">
      <c r="DO18523" s="303" t="s">
        <v>232</v>
      </c>
    </row>
    <row r="18524" spans="119:119" x14ac:dyDescent="0.2">
      <c r="DO18524" s="303" t="s">
        <v>232</v>
      </c>
    </row>
    <row r="18525" spans="119:119" x14ac:dyDescent="0.2">
      <c r="DO18525" s="303" t="s">
        <v>232</v>
      </c>
    </row>
    <row r="18526" spans="119:119" x14ac:dyDescent="0.2">
      <c r="DO18526" s="303" t="s">
        <v>232</v>
      </c>
    </row>
    <row r="18527" spans="119:119" x14ac:dyDescent="0.2">
      <c r="DO18527" s="303" t="s">
        <v>232</v>
      </c>
    </row>
    <row r="18528" spans="119:119" x14ac:dyDescent="0.2">
      <c r="DO18528" s="303" t="s">
        <v>232</v>
      </c>
    </row>
    <row r="18529" spans="119:119" x14ac:dyDescent="0.2">
      <c r="DO18529" s="303" t="s">
        <v>232</v>
      </c>
    </row>
    <row r="18530" spans="119:119" x14ac:dyDescent="0.2">
      <c r="DO18530" s="303" t="s">
        <v>232</v>
      </c>
    </row>
    <row r="18531" spans="119:119" x14ac:dyDescent="0.2">
      <c r="DO18531" s="303" t="s">
        <v>232</v>
      </c>
    </row>
    <row r="18532" spans="119:119" x14ac:dyDescent="0.2">
      <c r="DO18532" s="303" t="s">
        <v>232</v>
      </c>
    </row>
    <row r="18533" spans="119:119" x14ac:dyDescent="0.2">
      <c r="DO18533" s="303" t="s">
        <v>232</v>
      </c>
    </row>
    <row r="18534" spans="119:119" x14ac:dyDescent="0.2">
      <c r="DO18534" s="303" t="s">
        <v>232</v>
      </c>
    </row>
    <row r="18535" spans="119:119" x14ac:dyDescent="0.2">
      <c r="DO18535" s="303" t="s">
        <v>232</v>
      </c>
    </row>
    <row r="18536" spans="119:119" x14ac:dyDescent="0.2">
      <c r="DO18536" s="303" t="s">
        <v>232</v>
      </c>
    </row>
    <row r="18537" spans="119:119" x14ac:dyDescent="0.2">
      <c r="DO18537" s="303" t="s">
        <v>232</v>
      </c>
    </row>
    <row r="18538" spans="119:119" x14ac:dyDescent="0.2">
      <c r="DO18538" s="303" t="s">
        <v>232</v>
      </c>
    </row>
    <row r="18539" spans="119:119" x14ac:dyDescent="0.2">
      <c r="DO18539" s="303" t="s">
        <v>232</v>
      </c>
    </row>
    <row r="18540" spans="119:119" x14ac:dyDescent="0.2">
      <c r="DO18540" s="303" t="s">
        <v>232</v>
      </c>
    </row>
    <row r="18541" spans="119:119" x14ac:dyDescent="0.2">
      <c r="DO18541" s="303" t="s">
        <v>232</v>
      </c>
    </row>
    <row r="18542" spans="119:119" x14ac:dyDescent="0.2">
      <c r="DO18542" s="303" t="s">
        <v>232</v>
      </c>
    </row>
    <row r="18543" spans="119:119" x14ac:dyDescent="0.2">
      <c r="DO18543" s="303" t="s">
        <v>232</v>
      </c>
    </row>
    <row r="18544" spans="119:119" x14ac:dyDescent="0.2">
      <c r="DO18544" s="303" t="s">
        <v>232</v>
      </c>
    </row>
    <row r="18545" spans="119:119" x14ac:dyDescent="0.2">
      <c r="DO18545" s="303" t="s">
        <v>232</v>
      </c>
    </row>
    <row r="18546" spans="119:119" x14ac:dyDescent="0.2">
      <c r="DO18546" s="303" t="s">
        <v>232</v>
      </c>
    </row>
    <row r="18547" spans="119:119" x14ac:dyDescent="0.2">
      <c r="DO18547" s="303" t="s">
        <v>232</v>
      </c>
    </row>
    <row r="18548" spans="119:119" x14ac:dyDescent="0.2">
      <c r="DO18548" s="303" t="s">
        <v>232</v>
      </c>
    </row>
    <row r="18549" spans="119:119" x14ac:dyDescent="0.2">
      <c r="DO18549" s="303" t="s">
        <v>232</v>
      </c>
    </row>
    <row r="18550" spans="119:119" x14ac:dyDescent="0.2">
      <c r="DO18550" s="303" t="s">
        <v>232</v>
      </c>
    </row>
    <row r="18551" spans="119:119" x14ac:dyDescent="0.2">
      <c r="DO18551" s="303" t="s">
        <v>232</v>
      </c>
    </row>
    <row r="18552" spans="119:119" x14ac:dyDescent="0.2">
      <c r="DO18552" s="303" t="s">
        <v>232</v>
      </c>
    </row>
    <row r="18553" spans="119:119" x14ac:dyDescent="0.2">
      <c r="DO18553" s="303" t="s">
        <v>232</v>
      </c>
    </row>
    <row r="18554" spans="119:119" x14ac:dyDescent="0.2">
      <c r="DO18554" s="303" t="s">
        <v>232</v>
      </c>
    </row>
    <row r="18555" spans="119:119" x14ac:dyDescent="0.2">
      <c r="DO18555" s="303" t="s">
        <v>232</v>
      </c>
    </row>
    <row r="18556" spans="119:119" x14ac:dyDescent="0.2">
      <c r="DO18556" s="303" t="s">
        <v>232</v>
      </c>
    </row>
    <row r="18557" spans="119:119" x14ac:dyDescent="0.2">
      <c r="DO18557" s="303" t="s">
        <v>232</v>
      </c>
    </row>
    <row r="18558" spans="119:119" x14ac:dyDescent="0.2">
      <c r="DO18558" s="303" t="s">
        <v>232</v>
      </c>
    </row>
    <row r="18559" spans="119:119" x14ac:dyDescent="0.2">
      <c r="DO18559" s="303" t="s">
        <v>232</v>
      </c>
    </row>
    <row r="18560" spans="119:119" x14ac:dyDescent="0.2">
      <c r="DO18560" s="303" t="s">
        <v>232</v>
      </c>
    </row>
    <row r="18561" spans="119:119" x14ac:dyDescent="0.2">
      <c r="DO18561" s="303" t="s">
        <v>232</v>
      </c>
    </row>
    <row r="18562" spans="119:119" x14ac:dyDescent="0.2">
      <c r="DO18562" s="303" t="s">
        <v>232</v>
      </c>
    </row>
    <row r="18563" spans="119:119" x14ac:dyDescent="0.2">
      <c r="DO18563" s="303" t="s">
        <v>232</v>
      </c>
    </row>
    <row r="18564" spans="119:119" x14ac:dyDescent="0.2">
      <c r="DO18564" s="303" t="s">
        <v>232</v>
      </c>
    </row>
    <row r="18565" spans="119:119" x14ac:dyDescent="0.2">
      <c r="DO18565" s="303" t="s">
        <v>232</v>
      </c>
    </row>
    <row r="18566" spans="119:119" x14ac:dyDescent="0.2">
      <c r="DO18566" s="303" t="s">
        <v>232</v>
      </c>
    </row>
    <row r="18567" spans="119:119" x14ac:dyDescent="0.2">
      <c r="DO18567" s="303" t="s">
        <v>232</v>
      </c>
    </row>
    <row r="18568" spans="119:119" x14ac:dyDescent="0.2">
      <c r="DO18568" s="303" t="s">
        <v>232</v>
      </c>
    </row>
    <row r="18569" spans="119:119" x14ac:dyDescent="0.2">
      <c r="DO18569" s="303" t="s">
        <v>232</v>
      </c>
    </row>
    <row r="18570" spans="119:119" x14ac:dyDescent="0.2">
      <c r="DO18570" s="303" t="s">
        <v>232</v>
      </c>
    </row>
    <row r="18571" spans="119:119" x14ac:dyDescent="0.2">
      <c r="DO18571" s="303" t="s">
        <v>232</v>
      </c>
    </row>
    <row r="18572" spans="119:119" x14ac:dyDescent="0.2">
      <c r="DO18572" s="303" t="s">
        <v>232</v>
      </c>
    </row>
    <row r="18573" spans="119:119" x14ac:dyDescent="0.2">
      <c r="DO18573" s="303" t="s">
        <v>232</v>
      </c>
    </row>
    <row r="18574" spans="119:119" x14ac:dyDescent="0.2">
      <c r="DO18574" s="303" t="s">
        <v>232</v>
      </c>
    </row>
    <row r="18575" spans="119:119" x14ac:dyDescent="0.2">
      <c r="DO18575" s="303" t="s">
        <v>232</v>
      </c>
    </row>
    <row r="18576" spans="119:119" x14ac:dyDescent="0.2">
      <c r="DO18576" s="303" t="s">
        <v>232</v>
      </c>
    </row>
    <row r="18577" spans="119:119" x14ac:dyDescent="0.2">
      <c r="DO18577" s="303" t="s">
        <v>232</v>
      </c>
    </row>
    <row r="18578" spans="119:119" x14ac:dyDescent="0.2">
      <c r="DO18578" s="303" t="s">
        <v>232</v>
      </c>
    </row>
    <row r="18579" spans="119:119" x14ac:dyDescent="0.2">
      <c r="DO18579" s="303" t="s">
        <v>232</v>
      </c>
    </row>
    <row r="18580" spans="119:119" x14ac:dyDescent="0.2">
      <c r="DO18580" s="303" t="s">
        <v>232</v>
      </c>
    </row>
    <row r="18581" spans="119:119" x14ac:dyDescent="0.2">
      <c r="DO18581" s="303" t="s">
        <v>232</v>
      </c>
    </row>
    <row r="18582" spans="119:119" x14ac:dyDescent="0.2">
      <c r="DO18582" s="303" t="s">
        <v>232</v>
      </c>
    </row>
    <row r="18583" spans="119:119" x14ac:dyDescent="0.2">
      <c r="DO18583" s="303" t="s">
        <v>232</v>
      </c>
    </row>
    <row r="18584" spans="119:119" x14ac:dyDescent="0.2">
      <c r="DO18584" s="303" t="s">
        <v>232</v>
      </c>
    </row>
    <row r="18585" spans="119:119" x14ac:dyDescent="0.2">
      <c r="DO18585" s="303" t="s">
        <v>232</v>
      </c>
    </row>
    <row r="18586" spans="119:119" x14ac:dyDescent="0.2">
      <c r="DO18586" s="303" t="s">
        <v>232</v>
      </c>
    </row>
    <row r="18587" spans="119:119" x14ac:dyDescent="0.2">
      <c r="DO18587" s="303" t="s">
        <v>232</v>
      </c>
    </row>
    <row r="18588" spans="119:119" x14ac:dyDescent="0.2">
      <c r="DO18588" s="303" t="s">
        <v>232</v>
      </c>
    </row>
    <row r="18589" spans="119:119" x14ac:dyDescent="0.2">
      <c r="DO18589" s="303" t="s">
        <v>232</v>
      </c>
    </row>
    <row r="18590" spans="119:119" x14ac:dyDescent="0.2">
      <c r="DO18590" s="303" t="s">
        <v>232</v>
      </c>
    </row>
    <row r="18591" spans="119:119" x14ac:dyDescent="0.2">
      <c r="DO18591" s="303" t="s">
        <v>232</v>
      </c>
    </row>
    <row r="18592" spans="119:119" x14ac:dyDescent="0.2">
      <c r="DO18592" s="303" t="s">
        <v>232</v>
      </c>
    </row>
    <row r="18593" spans="119:119" x14ac:dyDescent="0.2">
      <c r="DO18593" s="303" t="s">
        <v>232</v>
      </c>
    </row>
    <row r="18594" spans="119:119" x14ac:dyDescent="0.2">
      <c r="DO18594" s="303" t="s">
        <v>232</v>
      </c>
    </row>
    <row r="18595" spans="119:119" x14ac:dyDescent="0.2">
      <c r="DO18595" s="303" t="s">
        <v>232</v>
      </c>
    </row>
    <row r="18596" spans="119:119" x14ac:dyDescent="0.2">
      <c r="DO18596" s="303" t="s">
        <v>232</v>
      </c>
    </row>
    <row r="18597" spans="119:119" x14ac:dyDescent="0.2">
      <c r="DO18597" s="303" t="s">
        <v>232</v>
      </c>
    </row>
    <row r="18598" spans="119:119" x14ac:dyDescent="0.2">
      <c r="DO18598" s="303" t="s">
        <v>232</v>
      </c>
    </row>
    <row r="18599" spans="119:119" x14ac:dyDescent="0.2">
      <c r="DO18599" s="303" t="s">
        <v>232</v>
      </c>
    </row>
    <row r="18600" spans="119:119" x14ac:dyDescent="0.2">
      <c r="DO18600" s="303" t="s">
        <v>232</v>
      </c>
    </row>
    <row r="18601" spans="119:119" x14ac:dyDescent="0.2">
      <c r="DO18601" s="303" t="s">
        <v>232</v>
      </c>
    </row>
    <row r="18602" spans="119:119" x14ac:dyDescent="0.2">
      <c r="DO18602" s="303" t="s">
        <v>232</v>
      </c>
    </row>
    <row r="18603" spans="119:119" x14ac:dyDescent="0.2">
      <c r="DO18603" s="303" t="s">
        <v>232</v>
      </c>
    </row>
    <row r="18604" spans="119:119" x14ac:dyDescent="0.2">
      <c r="DO18604" s="303" t="s">
        <v>232</v>
      </c>
    </row>
    <row r="18605" spans="119:119" x14ac:dyDescent="0.2">
      <c r="DO18605" s="303" t="s">
        <v>232</v>
      </c>
    </row>
    <row r="18606" spans="119:119" x14ac:dyDescent="0.2">
      <c r="DO18606" s="303" t="s">
        <v>232</v>
      </c>
    </row>
    <row r="18607" spans="119:119" x14ac:dyDescent="0.2">
      <c r="DO18607" s="303" t="s">
        <v>232</v>
      </c>
    </row>
    <row r="18608" spans="119:119" x14ac:dyDescent="0.2">
      <c r="DO18608" s="303" t="s">
        <v>232</v>
      </c>
    </row>
    <row r="18609" spans="119:119" x14ac:dyDescent="0.2">
      <c r="DO18609" s="303" t="s">
        <v>232</v>
      </c>
    </row>
    <row r="18610" spans="119:119" x14ac:dyDescent="0.2">
      <c r="DO18610" s="303" t="s">
        <v>232</v>
      </c>
    </row>
    <row r="18611" spans="119:119" x14ac:dyDescent="0.2">
      <c r="DO18611" s="303" t="s">
        <v>232</v>
      </c>
    </row>
    <row r="18612" spans="119:119" x14ac:dyDescent="0.2">
      <c r="DO18612" s="303" t="s">
        <v>232</v>
      </c>
    </row>
    <row r="18613" spans="119:119" x14ac:dyDescent="0.2">
      <c r="DO18613" s="303" t="s">
        <v>232</v>
      </c>
    </row>
    <row r="18614" spans="119:119" x14ac:dyDescent="0.2">
      <c r="DO18614" s="303" t="s">
        <v>232</v>
      </c>
    </row>
    <row r="18615" spans="119:119" x14ac:dyDescent="0.2">
      <c r="DO18615" s="303" t="s">
        <v>232</v>
      </c>
    </row>
    <row r="18616" spans="119:119" x14ac:dyDescent="0.2">
      <c r="DO18616" s="303" t="s">
        <v>232</v>
      </c>
    </row>
    <row r="18617" spans="119:119" x14ac:dyDescent="0.2">
      <c r="DO18617" s="303" t="s">
        <v>232</v>
      </c>
    </row>
    <row r="18618" spans="119:119" x14ac:dyDescent="0.2">
      <c r="DO18618" s="303" t="s">
        <v>232</v>
      </c>
    </row>
    <row r="18619" spans="119:119" x14ac:dyDescent="0.2">
      <c r="DO18619" s="303" t="s">
        <v>232</v>
      </c>
    </row>
    <row r="18620" spans="119:119" x14ac:dyDescent="0.2">
      <c r="DO18620" s="303" t="s">
        <v>232</v>
      </c>
    </row>
    <row r="18621" spans="119:119" x14ac:dyDescent="0.2">
      <c r="DO18621" s="303" t="s">
        <v>232</v>
      </c>
    </row>
    <row r="18622" spans="119:119" x14ac:dyDescent="0.2">
      <c r="DO18622" s="303" t="s">
        <v>232</v>
      </c>
    </row>
    <row r="18623" spans="119:119" x14ac:dyDescent="0.2">
      <c r="DO18623" s="303" t="s">
        <v>232</v>
      </c>
    </row>
    <row r="18624" spans="119:119" x14ac:dyDescent="0.2">
      <c r="DO18624" s="303" t="s">
        <v>232</v>
      </c>
    </row>
    <row r="18625" spans="119:119" x14ac:dyDescent="0.2">
      <c r="DO18625" s="303" t="s">
        <v>232</v>
      </c>
    </row>
    <row r="18626" spans="119:119" x14ac:dyDescent="0.2">
      <c r="DO18626" s="303" t="s">
        <v>232</v>
      </c>
    </row>
    <row r="18627" spans="119:119" x14ac:dyDescent="0.2">
      <c r="DO18627" s="303" t="s">
        <v>232</v>
      </c>
    </row>
    <row r="18628" spans="119:119" x14ac:dyDescent="0.2">
      <c r="DO18628" s="303" t="s">
        <v>232</v>
      </c>
    </row>
    <row r="18629" spans="119:119" x14ac:dyDescent="0.2">
      <c r="DO18629" s="303" t="s">
        <v>232</v>
      </c>
    </row>
    <row r="18630" spans="119:119" x14ac:dyDescent="0.2">
      <c r="DO18630" s="303" t="s">
        <v>232</v>
      </c>
    </row>
    <row r="18631" spans="119:119" x14ac:dyDescent="0.2">
      <c r="DO18631" s="303" t="s">
        <v>232</v>
      </c>
    </row>
    <row r="18632" spans="119:119" x14ac:dyDescent="0.2">
      <c r="DO18632" s="303" t="s">
        <v>232</v>
      </c>
    </row>
    <row r="18633" spans="119:119" x14ac:dyDescent="0.2">
      <c r="DO18633" s="303" t="s">
        <v>232</v>
      </c>
    </row>
    <row r="18634" spans="119:119" x14ac:dyDescent="0.2">
      <c r="DO18634" s="303" t="s">
        <v>232</v>
      </c>
    </row>
    <row r="18635" spans="119:119" x14ac:dyDescent="0.2">
      <c r="DO18635" s="303" t="s">
        <v>232</v>
      </c>
    </row>
    <row r="18636" spans="119:119" x14ac:dyDescent="0.2">
      <c r="DO18636" s="303" t="s">
        <v>232</v>
      </c>
    </row>
    <row r="18637" spans="119:119" x14ac:dyDescent="0.2">
      <c r="DO18637" s="303" t="s">
        <v>232</v>
      </c>
    </row>
    <row r="18638" spans="119:119" x14ac:dyDescent="0.2">
      <c r="DO18638" s="303" t="s">
        <v>232</v>
      </c>
    </row>
    <row r="18639" spans="119:119" x14ac:dyDescent="0.2">
      <c r="DO18639" s="303" t="s">
        <v>232</v>
      </c>
    </row>
    <row r="18640" spans="119:119" x14ac:dyDescent="0.2">
      <c r="DO18640" s="303" t="s">
        <v>232</v>
      </c>
    </row>
    <row r="18641" spans="119:119" x14ac:dyDescent="0.2">
      <c r="DO18641" s="303" t="s">
        <v>232</v>
      </c>
    </row>
    <row r="18642" spans="119:119" x14ac:dyDescent="0.2">
      <c r="DO18642" s="303" t="s">
        <v>232</v>
      </c>
    </row>
    <row r="18643" spans="119:119" x14ac:dyDescent="0.2">
      <c r="DO18643" s="303" t="s">
        <v>232</v>
      </c>
    </row>
    <row r="18644" spans="119:119" x14ac:dyDescent="0.2">
      <c r="DO18644" s="303" t="s">
        <v>232</v>
      </c>
    </row>
    <row r="18645" spans="119:119" x14ac:dyDescent="0.2">
      <c r="DO18645" s="303" t="s">
        <v>232</v>
      </c>
    </row>
    <row r="18646" spans="119:119" x14ac:dyDescent="0.2">
      <c r="DO18646" s="303" t="s">
        <v>232</v>
      </c>
    </row>
    <row r="18647" spans="119:119" x14ac:dyDescent="0.2">
      <c r="DO18647" s="303" t="s">
        <v>232</v>
      </c>
    </row>
    <row r="18648" spans="119:119" x14ac:dyDescent="0.2">
      <c r="DO18648" s="303" t="s">
        <v>232</v>
      </c>
    </row>
    <row r="18649" spans="119:119" x14ac:dyDescent="0.2">
      <c r="DO18649" s="303" t="s">
        <v>232</v>
      </c>
    </row>
    <row r="18650" spans="119:119" x14ac:dyDescent="0.2">
      <c r="DO18650" s="303" t="s">
        <v>232</v>
      </c>
    </row>
    <row r="18651" spans="119:119" x14ac:dyDescent="0.2">
      <c r="DO18651" s="303" t="s">
        <v>232</v>
      </c>
    </row>
    <row r="18652" spans="119:119" x14ac:dyDescent="0.2">
      <c r="DO18652" s="303" t="s">
        <v>232</v>
      </c>
    </row>
    <row r="18653" spans="119:119" x14ac:dyDescent="0.2">
      <c r="DO18653" s="303" t="s">
        <v>232</v>
      </c>
    </row>
    <row r="18654" spans="119:119" x14ac:dyDescent="0.2">
      <c r="DO18654" s="303" t="s">
        <v>232</v>
      </c>
    </row>
    <row r="18655" spans="119:119" x14ac:dyDescent="0.2">
      <c r="DO18655" s="303" t="s">
        <v>232</v>
      </c>
    </row>
    <row r="18656" spans="119:119" x14ac:dyDescent="0.2">
      <c r="DO18656" s="303" t="s">
        <v>232</v>
      </c>
    </row>
    <row r="18657" spans="119:119" x14ac:dyDescent="0.2">
      <c r="DO18657" s="303" t="s">
        <v>232</v>
      </c>
    </row>
    <row r="18658" spans="119:119" x14ac:dyDescent="0.2">
      <c r="DO18658" s="303" t="s">
        <v>232</v>
      </c>
    </row>
    <row r="18659" spans="119:119" x14ac:dyDescent="0.2">
      <c r="DO18659" s="303" t="s">
        <v>232</v>
      </c>
    </row>
    <row r="18660" spans="119:119" x14ac:dyDescent="0.2">
      <c r="DO18660" s="303" t="s">
        <v>232</v>
      </c>
    </row>
    <row r="18661" spans="119:119" x14ac:dyDescent="0.2">
      <c r="DO18661" s="303" t="s">
        <v>232</v>
      </c>
    </row>
    <row r="18662" spans="119:119" x14ac:dyDescent="0.2">
      <c r="DO18662" s="303" t="s">
        <v>232</v>
      </c>
    </row>
    <row r="18663" spans="119:119" x14ac:dyDescent="0.2">
      <c r="DO18663" s="303" t="s">
        <v>232</v>
      </c>
    </row>
    <row r="18664" spans="119:119" x14ac:dyDescent="0.2">
      <c r="DO18664" s="303" t="s">
        <v>232</v>
      </c>
    </row>
    <row r="18665" spans="119:119" x14ac:dyDescent="0.2">
      <c r="DO18665" s="303" t="s">
        <v>232</v>
      </c>
    </row>
    <row r="18666" spans="119:119" x14ac:dyDescent="0.2">
      <c r="DO18666" s="303" t="s">
        <v>232</v>
      </c>
    </row>
    <row r="18667" spans="119:119" x14ac:dyDescent="0.2">
      <c r="DO18667" s="303" t="s">
        <v>232</v>
      </c>
    </row>
    <row r="18668" spans="119:119" x14ac:dyDescent="0.2">
      <c r="DO18668" s="303" t="s">
        <v>232</v>
      </c>
    </row>
    <row r="18669" spans="119:119" x14ac:dyDescent="0.2">
      <c r="DO18669" s="303" t="s">
        <v>232</v>
      </c>
    </row>
    <row r="18670" spans="119:119" x14ac:dyDescent="0.2">
      <c r="DO18670" s="303" t="s">
        <v>232</v>
      </c>
    </row>
    <row r="18671" spans="119:119" x14ac:dyDescent="0.2">
      <c r="DO18671" s="303" t="s">
        <v>232</v>
      </c>
    </row>
    <row r="18672" spans="119:119" x14ac:dyDescent="0.2">
      <c r="DO18672" s="303" t="s">
        <v>232</v>
      </c>
    </row>
    <row r="18673" spans="119:119" x14ac:dyDescent="0.2">
      <c r="DO18673" s="303" t="s">
        <v>232</v>
      </c>
    </row>
    <row r="18674" spans="119:119" x14ac:dyDescent="0.2">
      <c r="DO18674" s="303" t="s">
        <v>232</v>
      </c>
    </row>
    <row r="18675" spans="119:119" x14ac:dyDescent="0.2">
      <c r="DO18675" s="303" t="s">
        <v>232</v>
      </c>
    </row>
    <row r="18676" spans="119:119" x14ac:dyDescent="0.2">
      <c r="DO18676" s="303" t="s">
        <v>232</v>
      </c>
    </row>
    <row r="18677" spans="119:119" x14ac:dyDescent="0.2">
      <c r="DO18677" s="303" t="s">
        <v>232</v>
      </c>
    </row>
    <row r="18678" spans="119:119" x14ac:dyDescent="0.2">
      <c r="DO18678" s="303" t="s">
        <v>232</v>
      </c>
    </row>
    <row r="18679" spans="119:119" x14ac:dyDescent="0.2">
      <c r="DO18679" s="303" t="s">
        <v>232</v>
      </c>
    </row>
    <row r="18680" spans="119:119" x14ac:dyDescent="0.2">
      <c r="DO18680" s="303" t="s">
        <v>232</v>
      </c>
    </row>
    <row r="18681" spans="119:119" x14ac:dyDescent="0.2">
      <c r="DO18681" s="303" t="s">
        <v>232</v>
      </c>
    </row>
    <row r="18682" spans="119:119" x14ac:dyDescent="0.2">
      <c r="DO18682" s="303" t="s">
        <v>232</v>
      </c>
    </row>
    <row r="18683" spans="119:119" x14ac:dyDescent="0.2">
      <c r="DO18683" s="303" t="s">
        <v>232</v>
      </c>
    </row>
    <row r="18684" spans="119:119" x14ac:dyDescent="0.2">
      <c r="DO18684" s="303" t="s">
        <v>232</v>
      </c>
    </row>
    <row r="18685" spans="119:119" x14ac:dyDescent="0.2">
      <c r="DO18685" s="303" t="s">
        <v>232</v>
      </c>
    </row>
    <row r="18686" spans="119:119" x14ac:dyDescent="0.2">
      <c r="DO18686" s="303" t="s">
        <v>232</v>
      </c>
    </row>
    <row r="18687" spans="119:119" x14ac:dyDescent="0.2">
      <c r="DO18687" s="303" t="s">
        <v>232</v>
      </c>
    </row>
    <row r="18688" spans="119:119" x14ac:dyDescent="0.2">
      <c r="DO18688" s="303" t="s">
        <v>232</v>
      </c>
    </row>
    <row r="18689" spans="119:119" x14ac:dyDescent="0.2">
      <c r="DO18689" s="303" t="s">
        <v>232</v>
      </c>
    </row>
    <row r="18690" spans="119:119" x14ac:dyDescent="0.2">
      <c r="DO18690" s="303" t="s">
        <v>232</v>
      </c>
    </row>
    <row r="18691" spans="119:119" x14ac:dyDescent="0.2">
      <c r="DO18691" s="303" t="s">
        <v>232</v>
      </c>
    </row>
    <row r="18692" spans="119:119" x14ac:dyDescent="0.2">
      <c r="DO18692" s="303" t="s">
        <v>232</v>
      </c>
    </row>
    <row r="18693" spans="119:119" x14ac:dyDescent="0.2">
      <c r="DO18693" s="303" t="s">
        <v>232</v>
      </c>
    </row>
    <row r="18694" spans="119:119" x14ac:dyDescent="0.2">
      <c r="DO18694" s="303" t="s">
        <v>232</v>
      </c>
    </row>
    <row r="18695" spans="119:119" x14ac:dyDescent="0.2">
      <c r="DO18695" s="303" t="s">
        <v>232</v>
      </c>
    </row>
    <row r="18696" spans="119:119" x14ac:dyDescent="0.2">
      <c r="DO18696" s="303" t="s">
        <v>232</v>
      </c>
    </row>
    <row r="18697" spans="119:119" x14ac:dyDescent="0.2">
      <c r="DO18697" s="303" t="s">
        <v>232</v>
      </c>
    </row>
    <row r="18698" spans="119:119" x14ac:dyDescent="0.2">
      <c r="DO18698" s="303" t="s">
        <v>232</v>
      </c>
    </row>
    <row r="18699" spans="119:119" x14ac:dyDescent="0.2">
      <c r="DO18699" s="303" t="s">
        <v>232</v>
      </c>
    </row>
    <row r="18700" spans="119:119" x14ac:dyDescent="0.2">
      <c r="DO18700" s="303" t="s">
        <v>232</v>
      </c>
    </row>
    <row r="18701" spans="119:119" x14ac:dyDescent="0.2">
      <c r="DO18701" s="303" t="s">
        <v>232</v>
      </c>
    </row>
    <row r="18702" spans="119:119" x14ac:dyDescent="0.2">
      <c r="DO18702" s="303" t="s">
        <v>232</v>
      </c>
    </row>
    <row r="18703" spans="119:119" x14ac:dyDescent="0.2">
      <c r="DO18703" s="303" t="s">
        <v>232</v>
      </c>
    </row>
    <row r="18704" spans="119:119" x14ac:dyDescent="0.2">
      <c r="DO18704" s="303" t="s">
        <v>232</v>
      </c>
    </row>
    <row r="18705" spans="119:119" x14ac:dyDescent="0.2">
      <c r="DO18705" s="303" t="s">
        <v>232</v>
      </c>
    </row>
    <row r="18706" spans="119:119" x14ac:dyDescent="0.2">
      <c r="DO18706" s="303" t="s">
        <v>232</v>
      </c>
    </row>
    <row r="18707" spans="119:119" x14ac:dyDescent="0.2">
      <c r="DO18707" s="303" t="s">
        <v>232</v>
      </c>
    </row>
    <row r="18708" spans="119:119" x14ac:dyDescent="0.2">
      <c r="DO18708" s="303" t="s">
        <v>232</v>
      </c>
    </row>
    <row r="18709" spans="119:119" x14ac:dyDescent="0.2">
      <c r="DO18709" s="303" t="s">
        <v>232</v>
      </c>
    </row>
    <row r="18710" spans="119:119" x14ac:dyDescent="0.2">
      <c r="DO18710" s="303" t="s">
        <v>232</v>
      </c>
    </row>
    <row r="18711" spans="119:119" x14ac:dyDescent="0.2">
      <c r="DO18711" s="303" t="s">
        <v>232</v>
      </c>
    </row>
    <row r="18712" spans="119:119" x14ac:dyDescent="0.2">
      <c r="DO18712" s="303" t="s">
        <v>232</v>
      </c>
    </row>
    <row r="18713" spans="119:119" x14ac:dyDescent="0.2">
      <c r="DO18713" s="303" t="s">
        <v>232</v>
      </c>
    </row>
    <row r="18714" spans="119:119" x14ac:dyDescent="0.2">
      <c r="DO18714" s="303" t="s">
        <v>232</v>
      </c>
    </row>
    <row r="18715" spans="119:119" x14ac:dyDescent="0.2">
      <c r="DO18715" s="303" t="s">
        <v>232</v>
      </c>
    </row>
    <row r="18716" spans="119:119" x14ac:dyDescent="0.2">
      <c r="DO18716" s="303" t="s">
        <v>232</v>
      </c>
    </row>
    <row r="18717" spans="119:119" x14ac:dyDescent="0.2">
      <c r="DO18717" s="303" t="s">
        <v>232</v>
      </c>
    </row>
    <row r="18718" spans="119:119" x14ac:dyDescent="0.2">
      <c r="DO18718" s="303" t="s">
        <v>232</v>
      </c>
    </row>
    <row r="18719" spans="119:119" x14ac:dyDescent="0.2">
      <c r="DO18719" s="303" t="s">
        <v>232</v>
      </c>
    </row>
    <row r="18720" spans="119:119" x14ac:dyDescent="0.2">
      <c r="DO18720" s="303" t="s">
        <v>232</v>
      </c>
    </row>
    <row r="18721" spans="119:119" x14ac:dyDescent="0.2">
      <c r="DO18721" s="303" t="s">
        <v>232</v>
      </c>
    </row>
    <row r="18722" spans="119:119" x14ac:dyDescent="0.2">
      <c r="DO18722" s="303" t="s">
        <v>232</v>
      </c>
    </row>
    <row r="18723" spans="119:119" x14ac:dyDescent="0.2">
      <c r="DO18723" s="303" t="s">
        <v>232</v>
      </c>
    </row>
    <row r="18724" spans="119:119" x14ac:dyDescent="0.2">
      <c r="DO18724" s="303" t="s">
        <v>232</v>
      </c>
    </row>
    <row r="18725" spans="119:119" x14ac:dyDescent="0.2">
      <c r="DO18725" s="303" t="s">
        <v>232</v>
      </c>
    </row>
    <row r="18726" spans="119:119" x14ac:dyDescent="0.2">
      <c r="DO18726" s="303" t="s">
        <v>232</v>
      </c>
    </row>
    <row r="18727" spans="119:119" x14ac:dyDescent="0.2">
      <c r="DO18727" s="303" t="s">
        <v>232</v>
      </c>
    </row>
    <row r="18728" spans="119:119" x14ac:dyDescent="0.2">
      <c r="DO18728" s="303" t="s">
        <v>232</v>
      </c>
    </row>
    <row r="18729" spans="119:119" x14ac:dyDescent="0.2">
      <c r="DO18729" s="303" t="s">
        <v>232</v>
      </c>
    </row>
    <row r="18730" spans="119:119" x14ac:dyDescent="0.2">
      <c r="DO18730" s="303" t="s">
        <v>232</v>
      </c>
    </row>
    <row r="18731" spans="119:119" x14ac:dyDescent="0.2">
      <c r="DO18731" s="303" t="s">
        <v>232</v>
      </c>
    </row>
    <row r="18732" spans="119:119" x14ac:dyDescent="0.2">
      <c r="DO18732" s="303" t="s">
        <v>232</v>
      </c>
    </row>
    <row r="18733" spans="119:119" x14ac:dyDescent="0.2">
      <c r="DO18733" s="303" t="s">
        <v>232</v>
      </c>
    </row>
    <row r="18734" spans="119:119" x14ac:dyDescent="0.2">
      <c r="DO18734" s="303" t="s">
        <v>232</v>
      </c>
    </row>
    <row r="18735" spans="119:119" x14ac:dyDescent="0.2">
      <c r="DO18735" s="303" t="s">
        <v>232</v>
      </c>
    </row>
    <row r="18736" spans="119:119" x14ac:dyDescent="0.2">
      <c r="DO18736" s="303" t="s">
        <v>232</v>
      </c>
    </row>
    <row r="18737" spans="119:119" x14ac:dyDescent="0.2">
      <c r="DO18737" s="303" t="s">
        <v>232</v>
      </c>
    </row>
    <row r="18738" spans="119:119" x14ac:dyDescent="0.2">
      <c r="DO18738" s="303" t="s">
        <v>232</v>
      </c>
    </row>
    <row r="18739" spans="119:119" x14ac:dyDescent="0.2">
      <c r="DO18739" s="303" t="s">
        <v>232</v>
      </c>
    </row>
    <row r="18740" spans="119:119" x14ac:dyDescent="0.2">
      <c r="DO18740" s="303" t="s">
        <v>232</v>
      </c>
    </row>
    <row r="18741" spans="119:119" x14ac:dyDescent="0.2">
      <c r="DO18741" s="303" t="s">
        <v>232</v>
      </c>
    </row>
    <row r="18742" spans="119:119" x14ac:dyDescent="0.2">
      <c r="DO18742" s="303" t="s">
        <v>232</v>
      </c>
    </row>
    <row r="18743" spans="119:119" x14ac:dyDescent="0.2">
      <c r="DO18743" s="303" t="s">
        <v>232</v>
      </c>
    </row>
    <row r="18744" spans="119:119" x14ac:dyDescent="0.2">
      <c r="DO18744" s="303" t="s">
        <v>232</v>
      </c>
    </row>
    <row r="18745" spans="119:119" x14ac:dyDescent="0.2">
      <c r="DO18745" s="303" t="s">
        <v>232</v>
      </c>
    </row>
    <row r="18746" spans="119:119" x14ac:dyDescent="0.2">
      <c r="DO18746" s="303" t="s">
        <v>232</v>
      </c>
    </row>
    <row r="18747" spans="119:119" x14ac:dyDescent="0.2">
      <c r="DO18747" s="303" t="s">
        <v>232</v>
      </c>
    </row>
    <row r="18748" spans="119:119" x14ac:dyDescent="0.2">
      <c r="DO18748" s="303" t="s">
        <v>232</v>
      </c>
    </row>
    <row r="18749" spans="119:119" x14ac:dyDescent="0.2">
      <c r="DO18749" s="303" t="s">
        <v>232</v>
      </c>
    </row>
    <row r="18750" spans="119:119" x14ac:dyDescent="0.2">
      <c r="DO18750" s="303" t="s">
        <v>232</v>
      </c>
    </row>
    <row r="18751" spans="119:119" x14ac:dyDescent="0.2">
      <c r="DO18751" s="303" t="s">
        <v>232</v>
      </c>
    </row>
    <row r="18752" spans="119:119" x14ac:dyDescent="0.2">
      <c r="DO18752" s="303" t="s">
        <v>232</v>
      </c>
    </row>
    <row r="18753" spans="119:119" x14ac:dyDescent="0.2">
      <c r="DO18753" s="303" t="s">
        <v>232</v>
      </c>
    </row>
    <row r="18754" spans="119:119" x14ac:dyDescent="0.2">
      <c r="DO18754" s="303" t="s">
        <v>232</v>
      </c>
    </row>
    <row r="18755" spans="119:119" x14ac:dyDescent="0.2">
      <c r="DO18755" s="303" t="s">
        <v>232</v>
      </c>
    </row>
    <row r="18756" spans="119:119" x14ac:dyDescent="0.2">
      <c r="DO18756" s="303" t="s">
        <v>232</v>
      </c>
    </row>
    <row r="18757" spans="119:119" x14ac:dyDescent="0.2">
      <c r="DO18757" s="303" t="s">
        <v>232</v>
      </c>
    </row>
    <row r="18758" spans="119:119" x14ac:dyDescent="0.2">
      <c r="DO18758" s="303" t="s">
        <v>232</v>
      </c>
    </row>
    <row r="18759" spans="119:119" x14ac:dyDescent="0.2">
      <c r="DO18759" s="303" t="s">
        <v>232</v>
      </c>
    </row>
    <row r="18760" spans="119:119" x14ac:dyDescent="0.2">
      <c r="DO18760" s="303" t="s">
        <v>232</v>
      </c>
    </row>
    <row r="18761" spans="119:119" x14ac:dyDescent="0.2">
      <c r="DO18761" s="303" t="s">
        <v>232</v>
      </c>
    </row>
    <row r="18762" spans="119:119" x14ac:dyDescent="0.2">
      <c r="DO18762" s="303" t="s">
        <v>232</v>
      </c>
    </row>
    <row r="18763" spans="119:119" x14ac:dyDescent="0.2">
      <c r="DO18763" s="303" t="s">
        <v>232</v>
      </c>
    </row>
    <row r="18764" spans="119:119" x14ac:dyDescent="0.2">
      <c r="DO18764" s="303" t="s">
        <v>232</v>
      </c>
    </row>
    <row r="18765" spans="119:119" x14ac:dyDescent="0.2">
      <c r="DO18765" s="303" t="s">
        <v>232</v>
      </c>
    </row>
    <row r="18766" spans="119:119" x14ac:dyDescent="0.2">
      <c r="DO18766" s="303" t="s">
        <v>232</v>
      </c>
    </row>
    <row r="18767" spans="119:119" x14ac:dyDescent="0.2">
      <c r="DO18767" s="303" t="s">
        <v>232</v>
      </c>
    </row>
    <row r="18768" spans="119:119" x14ac:dyDescent="0.2">
      <c r="DO18768" s="303" t="s">
        <v>232</v>
      </c>
    </row>
    <row r="18769" spans="119:119" x14ac:dyDescent="0.2">
      <c r="DO18769" s="303" t="s">
        <v>232</v>
      </c>
    </row>
    <row r="18770" spans="119:119" x14ac:dyDescent="0.2">
      <c r="DO18770" s="303" t="s">
        <v>232</v>
      </c>
    </row>
    <row r="18771" spans="119:119" x14ac:dyDescent="0.2">
      <c r="DO18771" s="303" t="s">
        <v>232</v>
      </c>
    </row>
    <row r="18772" spans="119:119" x14ac:dyDescent="0.2">
      <c r="DO18772" s="303" t="s">
        <v>232</v>
      </c>
    </row>
    <row r="18773" spans="119:119" x14ac:dyDescent="0.2">
      <c r="DO18773" s="303" t="s">
        <v>232</v>
      </c>
    </row>
    <row r="18774" spans="119:119" x14ac:dyDescent="0.2">
      <c r="DO18774" s="303" t="s">
        <v>232</v>
      </c>
    </row>
    <row r="18775" spans="119:119" x14ac:dyDescent="0.2">
      <c r="DO18775" s="303" t="s">
        <v>232</v>
      </c>
    </row>
    <row r="18776" spans="119:119" x14ac:dyDescent="0.2">
      <c r="DO18776" s="303" t="s">
        <v>232</v>
      </c>
    </row>
    <row r="18777" spans="119:119" x14ac:dyDescent="0.2">
      <c r="DO18777" s="303" t="s">
        <v>232</v>
      </c>
    </row>
    <row r="18778" spans="119:119" x14ac:dyDescent="0.2">
      <c r="DO18778" s="303" t="s">
        <v>232</v>
      </c>
    </row>
    <row r="18779" spans="119:119" x14ac:dyDescent="0.2">
      <c r="DO18779" s="303" t="s">
        <v>232</v>
      </c>
    </row>
    <row r="18780" spans="119:119" x14ac:dyDescent="0.2">
      <c r="DO18780" s="303" t="s">
        <v>232</v>
      </c>
    </row>
    <row r="18781" spans="119:119" x14ac:dyDescent="0.2">
      <c r="DO18781" s="303" t="s">
        <v>232</v>
      </c>
    </row>
    <row r="18782" spans="119:119" x14ac:dyDescent="0.2">
      <c r="DO18782" s="303" t="s">
        <v>232</v>
      </c>
    </row>
    <row r="18783" spans="119:119" x14ac:dyDescent="0.2">
      <c r="DO18783" s="303" t="s">
        <v>232</v>
      </c>
    </row>
    <row r="18784" spans="119:119" x14ac:dyDescent="0.2">
      <c r="DO18784" s="303" t="s">
        <v>232</v>
      </c>
    </row>
    <row r="18785" spans="119:119" x14ac:dyDescent="0.2">
      <c r="DO18785" s="303" t="s">
        <v>232</v>
      </c>
    </row>
    <row r="18786" spans="119:119" x14ac:dyDescent="0.2">
      <c r="DO18786" s="303" t="s">
        <v>232</v>
      </c>
    </row>
    <row r="18787" spans="119:119" x14ac:dyDescent="0.2">
      <c r="DO18787" s="303" t="s">
        <v>232</v>
      </c>
    </row>
    <row r="18788" spans="119:119" x14ac:dyDescent="0.2">
      <c r="DO18788" s="303" t="s">
        <v>232</v>
      </c>
    </row>
    <row r="18789" spans="119:119" x14ac:dyDescent="0.2">
      <c r="DO18789" s="303" t="s">
        <v>232</v>
      </c>
    </row>
    <row r="18790" spans="119:119" x14ac:dyDescent="0.2">
      <c r="DO18790" s="303" t="s">
        <v>232</v>
      </c>
    </row>
    <row r="18791" spans="119:119" x14ac:dyDescent="0.2">
      <c r="DO18791" s="303" t="s">
        <v>232</v>
      </c>
    </row>
    <row r="18792" spans="119:119" x14ac:dyDescent="0.2">
      <c r="DO18792" s="303" t="s">
        <v>232</v>
      </c>
    </row>
    <row r="18793" spans="119:119" x14ac:dyDescent="0.2">
      <c r="DO18793" s="303" t="s">
        <v>232</v>
      </c>
    </row>
    <row r="18794" spans="119:119" x14ac:dyDescent="0.2">
      <c r="DO18794" s="303" t="s">
        <v>232</v>
      </c>
    </row>
    <row r="18795" spans="119:119" x14ac:dyDescent="0.2">
      <c r="DO18795" s="303" t="s">
        <v>232</v>
      </c>
    </row>
    <row r="18796" spans="119:119" x14ac:dyDescent="0.2">
      <c r="DO18796" s="303" t="s">
        <v>232</v>
      </c>
    </row>
    <row r="18797" spans="119:119" x14ac:dyDescent="0.2">
      <c r="DO18797" s="303" t="s">
        <v>232</v>
      </c>
    </row>
    <row r="18798" spans="119:119" x14ac:dyDescent="0.2">
      <c r="DO18798" s="303" t="s">
        <v>232</v>
      </c>
    </row>
    <row r="18799" spans="119:119" x14ac:dyDescent="0.2">
      <c r="DO18799" s="303" t="s">
        <v>232</v>
      </c>
    </row>
    <row r="18800" spans="119:119" x14ac:dyDescent="0.2">
      <c r="DO18800" s="303" t="s">
        <v>232</v>
      </c>
    </row>
    <row r="18801" spans="119:119" x14ac:dyDescent="0.2">
      <c r="DO18801" s="303" t="s">
        <v>232</v>
      </c>
    </row>
    <row r="18802" spans="119:119" x14ac:dyDescent="0.2">
      <c r="DO18802" s="303" t="s">
        <v>232</v>
      </c>
    </row>
    <row r="18803" spans="119:119" x14ac:dyDescent="0.2">
      <c r="DO18803" s="303" t="s">
        <v>232</v>
      </c>
    </row>
    <row r="18804" spans="119:119" x14ac:dyDescent="0.2">
      <c r="DO18804" s="303" t="s">
        <v>232</v>
      </c>
    </row>
    <row r="18805" spans="119:119" x14ac:dyDescent="0.2">
      <c r="DO18805" s="303" t="s">
        <v>232</v>
      </c>
    </row>
    <row r="18806" spans="119:119" x14ac:dyDescent="0.2">
      <c r="DO18806" s="303" t="s">
        <v>232</v>
      </c>
    </row>
    <row r="18807" spans="119:119" x14ac:dyDescent="0.2">
      <c r="DO18807" s="303" t="s">
        <v>232</v>
      </c>
    </row>
    <row r="18808" spans="119:119" x14ac:dyDescent="0.2">
      <c r="DO18808" s="303" t="s">
        <v>232</v>
      </c>
    </row>
    <row r="18809" spans="119:119" x14ac:dyDescent="0.2">
      <c r="DO18809" s="303" t="s">
        <v>232</v>
      </c>
    </row>
    <row r="18810" spans="119:119" x14ac:dyDescent="0.2">
      <c r="DO18810" s="303" t="s">
        <v>232</v>
      </c>
    </row>
    <row r="18811" spans="119:119" x14ac:dyDescent="0.2">
      <c r="DO18811" s="303" t="s">
        <v>232</v>
      </c>
    </row>
    <row r="18812" spans="119:119" x14ac:dyDescent="0.2">
      <c r="DO18812" s="303" t="s">
        <v>232</v>
      </c>
    </row>
    <row r="18813" spans="119:119" x14ac:dyDescent="0.2">
      <c r="DO18813" s="303" t="s">
        <v>232</v>
      </c>
    </row>
    <row r="18814" spans="119:119" x14ac:dyDescent="0.2">
      <c r="DO18814" s="303" t="s">
        <v>232</v>
      </c>
    </row>
    <row r="18815" spans="119:119" x14ac:dyDescent="0.2">
      <c r="DO18815" s="303" t="s">
        <v>232</v>
      </c>
    </row>
    <row r="18816" spans="119:119" x14ac:dyDescent="0.2">
      <c r="DO18816" s="303" t="s">
        <v>232</v>
      </c>
    </row>
    <row r="18817" spans="119:119" x14ac:dyDescent="0.2">
      <c r="DO18817" s="303" t="s">
        <v>232</v>
      </c>
    </row>
    <row r="18818" spans="119:119" x14ac:dyDescent="0.2">
      <c r="DO18818" s="303" t="s">
        <v>232</v>
      </c>
    </row>
    <row r="18819" spans="119:119" x14ac:dyDescent="0.2">
      <c r="DO18819" s="303" t="s">
        <v>232</v>
      </c>
    </row>
    <row r="18820" spans="119:119" x14ac:dyDescent="0.2">
      <c r="DO18820" s="303" t="s">
        <v>232</v>
      </c>
    </row>
    <row r="18821" spans="119:119" x14ac:dyDescent="0.2">
      <c r="DO18821" s="303" t="s">
        <v>232</v>
      </c>
    </row>
    <row r="18822" spans="119:119" x14ac:dyDescent="0.2">
      <c r="DO18822" s="303" t="s">
        <v>232</v>
      </c>
    </row>
    <row r="18823" spans="119:119" x14ac:dyDescent="0.2">
      <c r="DO18823" s="303" t="s">
        <v>232</v>
      </c>
    </row>
    <row r="18824" spans="119:119" x14ac:dyDescent="0.2">
      <c r="DO18824" s="303" t="s">
        <v>232</v>
      </c>
    </row>
    <row r="18825" spans="119:119" x14ac:dyDescent="0.2">
      <c r="DO18825" s="303" t="s">
        <v>232</v>
      </c>
    </row>
    <row r="18826" spans="119:119" x14ac:dyDescent="0.2">
      <c r="DO18826" s="303" t="s">
        <v>232</v>
      </c>
    </row>
    <row r="18827" spans="119:119" x14ac:dyDescent="0.2">
      <c r="DO18827" s="303" t="s">
        <v>232</v>
      </c>
    </row>
    <row r="18828" spans="119:119" x14ac:dyDescent="0.2">
      <c r="DO18828" s="303" t="s">
        <v>232</v>
      </c>
    </row>
    <row r="18829" spans="119:119" x14ac:dyDescent="0.2">
      <c r="DO18829" s="303" t="s">
        <v>232</v>
      </c>
    </row>
    <row r="18830" spans="119:119" x14ac:dyDescent="0.2">
      <c r="DO18830" s="303" t="s">
        <v>232</v>
      </c>
    </row>
    <row r="18831" spans="119:119" x14ac:dyDescent="0.2">
      <c r="DO18831" s="303" t="s">
        <v>232</v>
      </c>
    </row>
    <row r="18832" spans="119:119" x14ac:dyDescent="0.2">
      <c r="DO18832" s="303" t="s">
        <v>232</v>
      </c>
    </row>
    <row r="18833" spans="119:119" x14ac:dyDescent="0.2">
      <c r="DO18833" s="303" t="s">
        <v>232</v>
      </c>
    </row>
    <row r="18834" spans="119:119" x14ac:dyDescent="0.2">
      <c r="DO18834" s="303" t="s">
        <v>232</v>
      </c>
    </row>
    <row r="18835" spans="119:119" x14ac:dyDescent="0.2">
      <c r="DO18835" s="303" t="s">
        <v>232</v>
      </c>
    </row>
    <row r="18836" spans="119:119" x14ac:dyDescent="0.2">
      <c r="DO18836" s="303" t="s">
        <v>232</v>
      </c>
    </row>
    <row r="18837" spans="119:119" x14ac:dyDescent="0.2">
      <c r="DO18837" s="303" t="s">
        <v>232</v>
      </c>
    </row>
    <row r="18838" spans="119:119" x14ac:dyDescent="0.2">
      <c r="DO18838" s="303" t="s">
        <v>232</v>
      </c>
    </row>
    <row r="18839" spans="119:119" x14ac:dyDescent="0.2">
      <c r="DO18839" s="303" t="s">
        <v>232</v>
      </c>
    </row>
    <row r="18840" spans="119:119" x14ac:dyDescent="0.2">
      <c r="DO18840" s="303" t="s">
        <v>232</v>
      </c>
    </row>
    <row r="18841" spans="119:119" x14ac:dyDescent="0.2">
      <c r="DO18841" s="303" t="s">
        <v>232</v>
      </c>
    </row>
    <row r="18842" spans="119:119" x14ac:dyDescent="0.2">
      <c r="DO18842" s="303" t="s">
        <v>232</v>
      </c>
    </row>
    <row r="18843" spans="119:119" x14ac:dyDescent="0.2">
      <c r="DO18843" s="303" t="s">
        <v>232</v>
      </c>
    </row>
    <row r="18844" spans="119:119" x14ac:dyDescent="0.2">
      <c r="DO18844" s="303" t="s">
        <v>232</v>
      </c>
    </row>
    <row r="18845" spans="119:119" x14ac:dyDescent="0.2">
      <c r="DO18845" s="303" t="s">
        <v>232</v>
      </c>
    </row>
    <row r="18846" spans="119:119" x14ac:dyDescent="0.2">
      <c r="DO18846" s="303" t="s">
        <v>232</v>
      </c>
    </row>
    <row r="18847" spans="119:119" x14ac:dyDescent="0.2">
      <c r="DO18847" s="303" t="s">
        <v>232</v>
      </c>
    </row>
    <row r="18848" spans="119:119" x14ac:dyDescent="0.2">
      <c r="DO18848" s="303" t="s">
        <v>232</v>
      </c>
    </row>
    <row r="18849" spans="119:119" x14ac:dyDescent="0.2">
      <c r="DO18849" s="303" t="s">
        <v>232</v>
      </c>
    </row>
    <row r="18850" spans="119:119" x14ac:dyDescent="0.2">
      <c r="DO18850" s="303" t="s">
        <v>232</v>
      </c>
    </row>
    <row r="18851" spans="119:119" x14ac:dyDescent="0.2">
      <c r="DO18851" s="303" t="s">
        <v>232</v>
      </c>
    </row>
    <row r="18852" spans="119:119" x14ac:dyDescent="0.2">
      <c r="DO18852" s="303" t="s">
        <v>232</v>
      </c>
    </row>
    <row r="18853" spans="119:119" x14ac:dyDescent="0.2">
      <c r="DO18853" s="303" t="s">
        <v>232</v>
      </c>
    </row>
    <row r="18854" spans="119:119" x14ac:dyDescent="0.2">
      <c r="DO18854" s="303" t="s">
        <v>232</v>
      </c>
    </row>
    <row r="18855" spans="119:119" x14ac:dyDescent="0.2">
      <c r="DO18855" s="303" t="s">
        <v>232</v>
      </c>
    </row>
    <row r="18856" spans="119:119" x14ac:dyDescent="0.2">
      <c r="DO18856" s="303" t="s">
        <v>232</v>
      </c>
    </row>
    <row r="18857" spans="119:119" x14ac:dyDescent="0.2">
      <c r="DO18857" s="303" t="s">
        <v>232</v>
      </c>
    </row>
    <row r="18858" spans="119:119" x14ac:dyDescent="0.2">
      <c r="DO18858" s="303" t="s">
        <v>232</v>
      </c>
    </row>
    <row r="18859" spans="119:119" x14ac:dyDescent="0.2">
      <c r="DO18859" s="303" t="s">
        <v>232</v>
      </c>
    </row>
    <row r="18860" spans="119:119" x14ac:dyDescent="0.2">
      <c r="DO18860" s="303" t="s">
        <v>232</v>
      </c>
    </row>
    <row r="18861" spans="119:119" x14ac:dyDescent="0.2">
      <c r="DO18861" s="303" t="s">
        <v>232</v>
      </c>
    </row>
    <row r="18862" spans="119:119" x14ac:dyDescent="0.2">
      <c r="DO18862" s="303" t="s">
        <v>232</v>
      </c>
    </row>
    <row r="18863" spans="119:119" x14ac:dyDescent="0.2">
      <c r="DO18863" s="303" t="s">
        <v>232</v>
      </c>
    </row>
    <row r="18864" spans="119:119" x14ac:dyDescent="0.2">
      <c r="DO18864" s="303" t="s">
        <v>232</v>
      </c>
    </row>
    <row r="18865" spans="119:119" x14ac:dyDescent="0.2">
      <c r="DO18865" s="303" t="s">
        <v>232</v>
      </c>
    </row>
    <row r="18866" spans="119:119" x14ac:dyDescent="0.2">
      <c r="DO18866" s="303" t="s">
        <v>232</v>
      </c>
    </row>
    <row r="18867" spans="119:119" x14ac:dyDescent="0.2">
      <c r="DO18867" s="303" t="s">
        <v>232</v>
      </c>
    </row>
    <row r="18868" spans="119:119" x14ac:dyDescent="0.2">
      <c r="DO18868" s="303" t="s">
        <v>232</v>
      </c>
    </row>
    <row r="18869" spans="119:119" x14ac:dyDescent="0.2">
      <c r="DO18869" s="303" t="s">
        <v>232</v>
      </c>
    </row>
    <row r="18870" spans="119:119" x14ac:dyDescent="0.2">
      <c r="DO18870" s="303" t="s">
        <v>232</v>
      </c>
    </row>
    <row r="18871" spans="119:119" x14ac:dyDescent="0.2">
      <c r="DO18871" s="303" t="s">
        <v>232</v>
      </c>
    </row>
    <row r="18872" spans="119:119" x14ac:dyDescent="0.2">
      <c r="DO18872" s="303" t="s">
        <v>232</v>
      </c>
    </row>
    <row r="18873" spans="119:119" x14ac:dyDescent="0.2">
      <c r="DO18873" s="303" t="s">
        <v>232</v>
      </c>
    </row>
    <row r="18874" spans="119:119" x14ac:dyDescent="0.2">
      <c r="DO18874" s="303" t="s">
        <v>232</v>
      </c>
    </row>
    <row r="18875" spans="119:119" x14ac:dyDescent="0.2">
      <c r="DO18875" s="303" t="s">
        <v>232</v>
      </c>
    </row>
    <row r="18876" spans="119:119" x14ac:dyDescent="0.2">
      <c r="DO18876" s="303" t="s">
        <v>232</v>
      </c>
    </row>
    <row r="18877" spans="119:119" x14ac:dyDescent="0.2">
      <c r="DO18877" s="303" t="s">
        <v>232</v>
      </c>
    </row>
    <row r="18878" spans="119:119" x14ac:dyDescent="0.2">
      <c r="DO18878" s="303" t="s">
        <v>232</v>
      </c>
    </row>
    <row r="18879" spans="119:119" x14ac:dyDescent="0.2">
      <c r="DO18879" s="303" t="s">
        <v>232</v>
      </c>
    </row>
    <row r="18880" spans="119:119" x14ac:dyDescent="0.2">
      <c r="DO18880" s="303" t="s">
        <v>232</v>
      </c>
    </row>
    <row r="18881" spans="119:119" x14ac:dyDescent="0.2">
      <c r="DO18881" s="303" t="s">
        <v>232</v>
      </c>
    </row>
    <row r="18882" spans="119:119" x14ac:dyDescent="0.2">
      <c r="DO18882" s="303" t="s">
        <v>232</v>
      </c>
    </row>
    <row r="18883" spans="119:119" x14ac:dyDescent="0.2">
      <c r="DO18883" s="303" t="s">
        <v>232</v>
      </c>
    </row>
    <row r="18884" spans="119:119" x14ac:dyDescent="0.2">
      <c r="DO18884" s="303" t="s">
        <v>232</v>
      </c>
    </row>
    <row r="18885" spans="119:119" x14ac:dyDescent="0.2">
      <c r="DO18885" s="303" t="s">
        <v>232</v>
      </c>
    </row>
    <row r="18886" spans="119:119" x14ac:dyDescent="0.2">
      <c r="DO18886" s="303" t="s">
        <v>232</v>
      </c>
    </row>
    <row r="18887" spans="119:119" x14ac:dyDescent="0.2">
      <c r="DO18887" s="303" t="s">
        <v>232</v>
      </c>
    </row>
    <row r="18888" spans="119:119" x14ac:dyDescent="0.2">
      <c r="DO18888" s="303" t="s">
        <v>232</v>
      </c>
    </row>
    <row r="18889" spans="119:119" x14ac:dyDescent="0.2">
      <c r="DO18889" s="303" t="s">
        <v>232</v>
      </c>
    </row>
    <row r="18890" spans="119:119" x14ac:dyDescent="0.2">
      <c r="DO18890" s="303" t="s">
        <v>232</v>
      </c>
    </row>
    <row r="18891" spans="119:119" x14ac:dyDescent="0.2">
      <c r="DO18891" s="303" t="s">
        <v>232</v>
      </c>
    </row>
    <row r="18892" spans="119:119" x14ac:dyDescent="0.2">
      <c r="DO18892" s="303" t="s">
        <v>232</v>
      </c>
    </row>
    <row r="18893" spans="119:119" x14ac:dyDescent="0.2">
      <c r="DO18893" s="303" t="s">
        <v>232</v>
      </c>
    </row>
    <row r="18894" spans="119:119" x14ac:dyDescent="0.2">
      <c r="DO18894" s="303" t="s">
        <v>232</v>
      </c>
    </row>
    <row r="18895" spans="119:119" x14ac:dyDescent="0.2">
      <c r="DO18895" s="303" t="s">
        <v>232</v>
      </c>
    </row>
    <row r="18896" spans="119:119" x14ac:dyDescent="0.2">
      <c r="DO18896" s="303" t="s">
        <v>232</v>
      </c>
    </row>
    <row r="18897" spans="119:119" x14ac:dyDescent="0.2">
      <c r="DO18897" s="303" t="s">
        <v>232</v>
      </c>
    </row>
    <row r="18898" spans="119:119" x14ac:dyDescent="0.2">
      <c r="DO18898" s="303" t="s">
        <v>232</v>
      </c>
    </row>
    <row r="18899" spans="119:119" x14ac:dyDescent="0.2">
      <c r="DO18899" s="303" t="s">
        <v>232</v>
      </c>
    </row>
    <row r="18900" spans="119:119" x14ac:dyDescent="0.2">
      <c r="DO18900" s="303" t="s">
        <v>232</v>
      </c>
    </row>
    <row r="18901" spans="119:119" x14ac:dyDescent="0.2">
      <c r="DO18901" s="303" t="s">
        <v>232</v>
      </c>
    </row>
    <row r="18902" spans="119:119" x14ac:dyDescent="0.2">
      <c r="DO18902" s="303" t="s">
        <v>232</v>
      </c>
    </row>
    <row r="18903" spans="119:119" x14ac:dyDescent="0.2">
      <c r="DO18903" s="303" t="s">
        <v>232</v>
      </c>
    </row>
    <row r="18904" spans="119:119" x14ac:dyDescent="0.2">
      <c r="DO18904" s="303" t="s">
        <v>232</v>
      </c>
    </row>
    <row r="18905" spans="119:119" x14ac:dyDescent="0.2">
      <c r="DO18905" s="303" t="s">
        <v>232</v>
      </c>
    </row>
    <row r="18906" spans="119:119" x14ac:dyDescent="0.2">
      <c r="DO18906" s="303" t="s">
        <v>232</v>
      </c>
    </row>
    <row r="18907" spans="119:119" x14ac:dyDescent="0.2">
      <c r="DO18907" s="303" t="s">
        <v>232</v>
      </c>
    </row>
    <row r="18908" spans="119:119" x14ac:dyDescent="0.2">
      <c r="DO18908" s="303" t="s">
        <v>232</v>
      </c>
    </row>
    <row r="18909" spans="119:119" x14ac:dyDescent="0.2">
      <c r="DO18909" s="303" t="s">
        <v>232</v>
      </c>
    </row>
    <row r="18910" spans="119:119" x14ac:dyDescent="0.2">
      <c r="DO18910" s="303" t="s">
        <v>232</v>
      </c>
    </row>
    <row r="18911" spans="119:119" x14ac:dyDescent="0.2">
      <c r="DO18911" s="303" t="s">
        <v>232</v>
      </c>
    </row>
    <row r="18912" spans="119:119" x14ac:dyDescent="0.2">
      <c r="DO18912" s="303" t="s">
        <v>232</v>
      </c>
    </row>
    <row r="18913" spans="119:119" x14ac:dyDescent="0.2">
      <c r="DO18913" s="303" t="s">
        <v>232</v>
      </c>
    </row>
    <row r="18914" spans="119:119" x14ac:dyDescent="0.2">
      <c r="DO18914" s="303" t="s">
        <v>232</v>
      </c>
    </row>
    <row r="18915" spans="119:119" x14ac:dyDescent="0.2">
      <c r="DO18915" s="303" t="s">
        <v>232</v>
      </c>
    </row>
    <row r="18916" spans="119:119" x14ac:dyDescent="0.2">
      <c r="DO18916" s="303" t="s">
        <v>232</v>
      </c>
    </row>
    <row r="18917" spans="119:119" x14ac:dyDescent="0.2">
      <c r="DO18917" s="303" t="s">
        <v>232</v>
      </c>
    </row>
    <row r="18918" spans="119:119" x14ac:dyDescent="0.2">
      <c r="DO18918" s="303" t="s">
        <v>232</v>
      </c>
    </row>
    <row r="18919" spans="119:119" x14ac:dyDescent="0.2">
      <c r="DO18919" s="303" t="s">
        <v>232</v>
      </c>
    </row>
    <row r="18920" spans="119:119" x14ac:dyDescent="0.2">
      <c r="DO18920" s="303" t="s">
        <v>232</v>
      </c>
    </row>
    <row r="18921" spans="119:119" x14ac:dyDescent="0.2">
      <c r="DO18921" s="303" t="s">
        <v>232</v>
      </c>
    </row>
    <row r="18922" spans="119:119" x14ac:dyDescent="0.2">
      <c r="DO18922" s="303" t="s">
        <v>232</v>
      </c>
    </row>
    <row r="18923" spans="119:119" x14ac:dyDescent="0.2">
      <c r="DO18923" s="303" t="s">
        <v>232</v>
      </c>
    </row>
    <row r="18924" spans="119:119" x14ac:dyDescent="0.2">
      <c r="DO18924" s="303" t="s">
        <v>232</v>
      </c>
    </row>
    <row r="18925" spans="119:119" x14ac:dyDescent="0.2">
      <c r="DO18925" s="303" t="s">
        <v>232</v>
      </c>
    </row>
    <row r="18926" spans="119:119" x14ac:dyDescent="0.2">
      <c r="DO18926" s="303" t="s">
        <v>232</v>
      </c>
    </row>
    <row r="18927" spans="119:119" x14ac:dyDescent="0.2">
      <c r="DO18927" s="303" t="s">
        <v>232</v>
      </c>
    </row>
    <row r="18928" spans="119:119" x14ac:dyDescent="0.2">
      <c r="DO18928" s="303" t="s">
        <v>232</v>
      </c>
    </row>
    <row r="18929" spans="119:119" x14ac:dyDescent="0.2">
      <c r="DO18929" s="303" t="s">
        <v>232</v>
      </c>
    </row>
    <row r="18930" spans="119:119" x14ac:dyDescent="0.2">
      <c r="DO18930" s="303" t="s">
        <v>232</v>
      </c>
    </row>
    <row r="18931" spans="119:119" x14ac:dyDescent="0.2">
      <c r="DO18931" s="303" t="s">
        <v>232</v>
      </c>
    </row>
    <row r="18932" spans="119:119" x14ac:dyDescent="0.2">
      <c r="DO18932" s="303" t="s">
        <v>232</v>
      </c>
    </row>
    <row r="18933" spans="119:119" x14ac:dyDescent="0.2">
      <c r="DO18933" s="303" t="s">
        <v>232</v>
      </c>
    </row>
    <row r="18934" spans="119:119" x14ac:dyDescent="0.2">
      <c r="DO18934" s="303" t="s">
        <v>232</v>
      </c>
    </row>
    <row r="18935" spans="119:119" x14ac:dyDescent="0.2">
      <c r="DO18935" s="303" t="s">
        <v>232</v>
      </c>
    </row>
    <row r="18936" spans="119:119" x14ac:dyDescent="0.2">
      <c r="DO18936" s="303" t="s">
        <v>232</v>
      </c>
    </row>
    <row r="18937" spans="119:119" x14ac:dyDescent="0.2">
      <c r="DO18937" s="303" t="s">
        <v>232</v>
      </c>
    </row>
    <row r="18938" spans="119:119" x14ac:dyDescent="0.2">
      <c r="DO18938" s="303" t="s">
        <v>232</v>
      </c>
    </row>
    <row r="18939" spans="119:119" x14ac:dyDescent="0.2">
      <c r="DO18939" s="303" t="s">
        <v>232</v>
      </c>
    </row>
    <row r="18940" spans="119:119" x14ac:dyDescent="0.2">
      <c r="DO18940" s="303" t="s">
        <v>232</v>
      </c>
    </row>
    <row r="18941" spans="119:119" x14ac:dyDescent="0.2">
      <c r="DO18941" s="303" t="s">
        <v>232</v>
      </c>
    </row>
    <row r="18942" spans="119:119" x14ac:dyDescent="0.2">
      <c r="DO18942" s="303" t="s">
        <v>232</v>
      </c>
    </row>
    <row r="18943" spans="119:119" x14ac:dyDescent="0.2">
      <c r="DO18943" s="303" t="s">
        <v>232</v>
      </c>
    </row>
    <row r="18944" spans="119:119" x14ac:dyDescent="0.2">
      <c r="DO18944" s="303" t="s">
        <v>232</v>
      </c>
    </row>
    <row r="18945" spans="119:119" x14ac:dyDescent="0.2">
      <c r="DO18945" s="303" t="s">
        <v>232</v>
      </c>
    </row>
    <row r="18946" spans="119:119" x14ac:dyDescent="0.2">
      <c r="DO18946" s="303" t="s">
        <v>232</v>
      </c>
    </row>
    <row r="18947" spans="119:119" x14ac:dyDescent="0.2">
      <c r="DO18947" s="303" t="s">
        <v>232</v>
      </c>
    </row>
    <row r="18948" spans="119:119" x14ac:dyDescent="0.2">
      <c r="DO18948" s="303" t="s">
        <v>232</v>
      </c>
    </row>
    <row r="18949" spans="119:119" x14ac:dyDescent="0.2">
      <c r="DO18949" s="303" t="s">
        <v>232</v>
      </c>
    </row>
    <row r="18950" spans="119:119" x14ac:dyDescent="0.2">
      <c r="DO18950" s="303" t="s">
        <v>232</v>
      </c>
    </row>
    <row r="18951" spans="119:119" x14ac:dyDescent="0.2">
      <c r="DO18951" s="303" t="s">
        <v>232</v>
      </c>
    </row>
    <row r="18952" spans="119:119" x14ac:dyDescent="0.2">
      <c r="DO18952" s="303" t="s">
        <v>232</v>
      </c>
    </row>
    <row r="18953" spans="119:119" x14ac:dyDescent="0.2">
      <c r="DO18953" s="303" t="s">
        <v>232</v>
      </c>
    </row>
    <row r="18954" spans="119:119" x14ac:dyDescent="0.2">
      <c r="DO18954" s="303" t="s">
        <v>232</v>
      </c>
    </row>
    <row r="18955" spans="119:119" x14ac:dyDescent="0.2">
      <c r="DO18955" s="303" t="s">
        <v>232</v>
      </c>
    </row>
    <row r="18956" spans="119:119" x14ac:dyDescent="0.2">
      <c r="DO18956" s="303" t="s">
        <v>232</v>
      </c>
    </row>
    <row r="18957" spans="119:119" x14ac:dyDescent="0.2">
      <c r="DO18957" s="303" t="s">
        <v>232</v>
      </c>
    </row>
    <row r="18958" spans="119:119" x14ac:dyDescent="0.2">
      <c r="DO18958" s="303" t="s">
        <v>232</v>
      </c>
    </row>
    <row r="18959" spans="119:119" x14ac:dyDescent="0.2">
      <c r="DO18959" s="303" t="s">
        <v>232</v>
      </c>
    </row>
    <row r="18960" spans="119:119" x14ac:dyDescent="0.2">
      <c r="DO18960" s="303" t="s">
        <v>232</v>
      </c>
    </row>
    <row r="18961" spans="119:119" x14ac:dyDescent="0.2">
      <c r="DO18961" s="303" t="s">
        <v>232</v>
      </c>
    </row>
    <row r="18962" spans="119:119" x14ac:dyDescent="0.2">
      <c r="DO18962" s="303" t="s">
        <v>232</v>
      </c>
    </row>
    <row r="18963" spans="119:119" x14ac:dyDescent="0.2">
      <c r="DO18963" s="303" t="s">
        <v>232</v>
      </c>
    </row>
    <row r="18964" spans="119:119" x14ac:dyDescent="0.2">
      <c r="DO18964" s="303" t="s">
        <v>232</v>
      </c>
    </row>
    <row r="18965" spans="119:119" x14ac:dyDescent="0.2">
      <c r="DO18965" s="303" t="s">
        <v>232</v>
      </c>
    </row>
    <row r="18966" spans="119:119" x14ac:dyDescent="0.2">
      <c r="DO18966" s="303" t="s">
        <v>232</v>
      </c>
    </row>
    <row r="18967" spans="119:119" x14ac:dyDescent="0.2">
      <c r="DO18967" s="303" t="s">
        <v>232</v>
      </c>
    </row>
    <row r="18968" spans="119:119" x14ac:dyDescent="0.2">
      <c r="DO18968" s="303" t="s">
        <v>232</v>
      </c>
    </row>
    <row r="18969" spans="119:119" x14ac:dyDescent="0.2">
      <c r="DO18969" s="303" t="s">
        <v>232</v>
      </c>
    </row>
    <row r="18970" spans="119:119" x14ac:dyDescent="0.2">
      <c r="DO18970" s="303" t="s">
        <v>232</v>
      </c>
    </row>
    <row r="18971" spans="119:119" x14ac:dyDescent="0.2">
      <c r="DO18971" s="303" t="s">
        <v>232</v>
      </c>
    </row>
    <row r="18972" spans="119:119" x14ac:dyDescent="0.2">
      <c r="DO18972" s="303" t="s">
        <v>232</v>
      </c>
    </row>
    <row r="18973" spans="119:119" x14ac:dyDescent="0.2">
      <c r="DO18973" s="303" t="s">
        <v>232</v>
      </c>
    </row>
    <row r="18974" spans="119:119" x14ac:dyDescent="0.2">
      <c r="DO18974" s="303" t="s">
        <v>232</v>
      </c>
    </row>
    <row r="18975" spans="119:119" x14ac:dyDescent="0.2">
      <c r="DO18975" s="303" t="s">
        <v>232</v>
      </c>
    </row>
    <row r="18976" spans="119:119" x14ac:dyDescent="0.2">
      <c r="DO18976" s="303" t="s">
        <v>232</v>
      </c>
    </row>
    <row r="18977" spans="119:119" x14ac:dyDescent="0.2">
      <c r="DO18977" s="303" t="s">
        <v>232</v>
      </c>
    </row>
    <row r="18978" spans="119:119" x14ac:dyDescent="0.2">
      <c r="DO18978" s="303" t="s">
        <v>232</v>
      </c>
    </row>
    <row r="18979" spans="119:119" x14ac:dyDescent="0.2">
      <c r="DO18979" s="303" t="s">
        <v>232</v>
      </c>
    </row>
    <row r="18980" spans="119:119" x14ac:dyDescent="0.2">
      <c r="DO18980" s="303" t="s">
        <v>232</v>
      </c>
    </row>
    <row r="18981" spans="119:119" x14ac:dyDescent="0.2">
      <c r="DO18981" s="303" t="s">
        <v>232</v>
      </c>
    </row>
    <row r="18982" spans="119:119" x14ac:dyDescent="0.2">
      <c r="DO18982" s="303" t="s">
        <v>232</v>
      </c>
    </row>
    <row r="18983" spans="119:119" x14ac:dyDescent="0.2">
      <c r="DO18983" s="303" t="s">
        <v>232</v>
      </c>
    </row>
    <row r="18984" spans="119:119" x14ac:dyDescent="0.2">
      <c r="DO18984" s="303" t="s">
        <v>232</v>
      </c>
    </row>
    <row r="18985" spans="119:119" x14ac:dyDescent="0.2">
      <c r="DO18985" s="303" t="s">
        <v>232</v>
      </c>
    </row>
    <row r="18986" spans="119:119" x14ac:dyDescent="0.2">
      <c r="DO18986" s="303" t="s">
        <v>232</v>
      </c>
    </row>
    <row r="18987" spans="119:119" x14ac:dyDescent="0.2">
      <c r="DO18987" s="303" t="s">
        <v>232</v>
      </c>
    </row>
    <row r="18988" spans="119:119" x14ac:dyDescent="0.2">
      <c r="DO18988" s="303" t="s">
        <v>232</v>
      </c>
    </row>
    <row r="18989" spans="119:119" x14ac:dyDescent="0.2">
      <c r="DO18989" s="303" t="s">
        <v>232</v>
      </c>
    </row>
    <row r="18990" spans="119:119" x14ac:dyDescent="0.2">
      <c r="DO18990" s="303" t="s">
        <v>232</v>
      </c>
    </row>
    <row r="18991" spans="119:119" x14ac:dyDescent="0.2">
      <c r="DO18991" s="303" t="s">
        <v>232</v>
      </c>
    </row>
    <row r="18992" spans="119:119" x14ac:dyDescent="0.2">
      <c r="DO18992" s="303" t="s">
        <v>232</v>
      </c>
    </row>
    <row r="18993" spans="119:119" x14ac:dyDescent="0.2">
      <c r="DO18993" s="303" t="s">
        <v>232</v>
      </c>
    </row>
    <row r="18994" spans="119:119" x14ac:dyDescent="0.2">
      <c r="DO18994" s="303" t="s">
        <v>232</v>
      </c>
    </row>
    <row r="18995" spans="119:119" x14ac:dyDescent="0.2">
      <c r="DO18995" s="303" t="s">
        <v>232</v>
      </c>
    </row>
    <row r="18996" spans="119:119" x14ac:dyDescent="0.2">
      <c r="DO18996" s="303" t="s">
        <v>232</v>
      </c>
    </row>
    <row r="18997" spans="119:119" x14ac:dyDescent="0.2">
      <c r="DO18997" s="303" t="s">
        <v>232</v>
      </c>
    </row>
    <row r="18998" spans="119:119" x14ac:dyDescent="0.2">
      <c r="DO18998" s="303" t="s">
        <v>232</v>
      </c>
    </row>
    <row r="18999" spans="119:119" x14ac:dyDescent="0.2">
      <c r="DO18999" s="303" t="s">
        <v>232</v>
      </c>
    </row>
    <row r="19000" spans="119:119" x14ac:dyDescent="0.2">
      <c r="DO19000" s="303" t="s">
        <v>232</v>
      </c>
    </row>
    <row r="19001" spans="119:119" x14ac:dyDescent="0.2">
      <c r="DO19001" s="303" t="s">
        <v>232</v>
      </c>
    </row>
    <row r="19002" spans="119:119" x14ac:dyDescent="0.2">
      <c r="DO19002" s="303" t="s">
        <v>232</v>
      </c>
    </row>
    <row r="19003" spans="119:119" x14ac:dyDescent="0.2">
      <c r="DO19003" s="303" t="s">
        <v>232</v>
      </c>
    </row>
    <row r="19004" spans="119:119" x14ac:dyDescent="0.2">
      <c r="DO19004" s="303" t="s">
        <v>232</v>
      </c>
    </row>
    <row r="19005" spans="119:119" x14ac:dyDescent="0.2">
      <c r="DO19005" s="303" t="s">
        <v>232</v>
      </c>
    </row>
    <row r="19006" spans="119:119" x14ac:dyDescent="0.2">
      <c r="DO19006" s="303" t="s">
        <v>232</v>
      </c>
    </row>
    <row r="19007" spans="119:119" x14ac:dyDescent="0.2">
      <c r="DO19007" s="303" t="s">
        <v>232</v>
      </c>
    </row>
    <row r="19008" spans="119:119" x14ac:dyDescent="0.2">
      <c r="DO19008" s="303" t="s">
        <v>232</v>
      </c>
    </row>
    <row r="19009" spans="119:119" x14ac:dyDescent="0.2">
      <c r="DO19009" s="303" t="s">
        <v>232</v>
      </c>
    </row>
    <row r="19010" spans="119:119" x14ac:dyDescent="0.2">
      <c r="DO19010" s="303" t="s">
        <v>232</v>
      </c>
    </row>
    <row r="19011" spans="119:119" x14ac:dyDescent="0.2">
      <c r="DO19011" s="303" t="s">
        <v>232</v>
      </c>
    </row>
    <row r="19012" spans="119:119" x14ac:dyDescent="0.2">
      <c r="DO19012" s="303" t="s">
        <v>232</v>
      </c>
    </row>
    <row r="19013" spans="119:119" x14ac:dyDescent="0.2">
      <c r="DO19013" s="303" t="s">
        <v>232</v>
      </c>
    </row>
    <row r="19014" spans="119:119" x14ac:dyDescent="0.2">
      <c r="DO19014" s="303" t="s">
        <v>232</v>
      </c>
    </row>
    <row r="19015" spans="119:119" x14ac:dyDescent="0.2">
      <c r="DO19015" s="303" t="s">
        <v>232</v>
      </c>
    </row>
    <row r="19016" spans="119:119" x14ac:dyDescent="0.2">
      <c r="DO19016" s="303" t="s">
        <v>232</v>
      </c>
    </row>
    <row r="19017" spans="119:119" x14ac:dyDescent="0.2">
      <c r="DO19017" s="303" t="s">
        <v>232</v>
      </c>
    </row>
    <row r="19018" spans="119:119" x14ac:dyDescent="0.2">
      <c r="DO19018" s="303" t="s">
        <v>232</v>
      </c>
    </row>
    <row r="19019" spans="119:119" x14ac:dyDescent="0.2">
      <c r="DO19019" s="303" t="s">
        <v>232</v>
      </c>
    </row>
    <row r="19020" spans="119:119" x14ac:dyDescent="0.2">
      <c r="DO19020" s="303" t="s">
        <v>232</v>
      </c>
    </row>
    <row r="19021" spans="119:119" x14ac:dyDescent="0.2">
      <c r="DO19021" s="303" t="s">
        <v>232</v>
      </c>
    </row>
    <row r="19022" spans="119:119" x14ac:dyDescent="0.2">
      <c r="DO19022" s="303" t="s">
        <v>232</v>
      </c>
    </row>
    <row r="19023" spans="119:119" x14ac:dyDescent="0.2">
      <c r="DO19023" s="303" t="s">
        <v>232</v>
      </c>
    </row>
    <row r="19024" spans="119:119" x14ac:dyDescent="0.2">
      <c r="DO19024" s="303" t="s">
        <v>232</v>
      </c>
    </row>
    <row r="19025" spans="119:119" x14ac:dyDescent="0.2">
      <c r="DO19025" s="303" t="s">
        <v>232</v>
      </c>
    </row>
    <row r="19026" spans="119:119" x14ac:dyDescent="0.2">
      <c r="DO19026" s="303" t="s">
        <v>232</v>
      </c>
    </row>
    <row r="19027" spans="119:119" x14ac:dyDescent="0.2">
      <c r="DO19027" s="303" t="s">
        <v>232</v>
      </c>
    </row>
    <row r="19028" spans="119:119" x14ac:dyDescent="0.2">
      <c r="DO19028" s="303" t="s">
        <v>232</v>
      </c>
    </row>
    <row r="19029" spans="119:119" x14ac:dyDescent="0.2">
      <c r="DO19029" s="303" t="s">
        <v>232</v>
      </c>
    </row>
    <row r="19030" spans="119:119" x14ac:dyDescent="0.2">
      <c r="DO19030" s="303" t="s">
        <v>232</v>
      </c>
    </row>
    <row r="19031" spans="119:119" x14ac:dyDescent="0.2">
      <c r="DO19031" s="303" t="s">
        <v>232</v>
      </c>
    </row>
    <row r="19032" spans="119:119" x14ac:dyDescent="0.2">
      <c r="DO19032" s="303" t="s">
        <v>232</v>
      </c>
    </row>
    <row r="19033" spans="119:119" x14ac:dyDescent="0.2">
      <c r="DO19033" s="303" t="s">
        <v>232</v>
      </c>
    </row>
    <row r="19034" spans="119:119" x14ac:dyDescent="0.2">
      <c r="DO19034" s="303" t="s">
        <v>232</v>
      </c>
    </row>
    <row r="19035" spans="119:119" x14ac:dyDescent="0.2">
      <c r="DO19035" s="303" t="s">
        <v>232</v>
      </c>
    </row>
    <row r="19036" spans="119:119" x14ac:dyDescent="0.2">
      <c r="DO19036" s="303" t="s">
        <v>232</v>
      </c>
    </row>
    <row r="19037" spans="119:119" x14ac:dyDescent="0.2">
      <c r="DO19037" s="303" t="s">
        <v>232</v>
      </c>
    </row>
    <row r="19038" spans="119:119" x14ac:dyDescent="0.2">
      <c r="DO19038" s="303" t="s">
        <v>232</v>
      </c>
    </row>
    <row r="19039" spans="119:119" x14ac:dyDescent="0.2">
      <c r="DO19039" s="303" t="s">
        <v>232</v>
      </c>
    </row>
    <row r="19040" spans="119:119" x14ac:dyDescent="0.2">
      <c r="DO19040" s="303" t="s">
        <v>232</v>
      </c>
    </row>
    <row r="19041" spans="119:119" x14ac:dyDescent="0.2">
      <c r="DO19041" s="303" t="s">
        <v>232</v>
      </c>
    </row>
    <row r="19042" spans="119:119" x14ac:dyDescent="0.2">
      <c r="DO19042" s="303" t="s">
        <v>232</v>
      </c>
    </row>
    <row r="19043" spans="119:119" x14ac:dyDescent="0.2">
      <c r="DO19043" s="303" t="s">
        <v>232</v>
      </c>
    </row>
    <row r="19044" spans="119:119" x14ac:dyDescent="0.2">
      <c r="DO19044" s="303" t="s">
        <v>232</v>
      </c>
    </row>
    <row r="19045" spans="119:119" x14ac:dyDescent="0.2">
      <c r="DO19045" s="303" t="s">
        <v>232</v>
      </c>
    </row>
    <row r="19046" spans="119:119" x14ac:dyDescent="0.2">
      <c r="DO19046" s="303" t="s">
        <v>232</v>
      </c>
    </row>
    <row r="19047" spans="119:119" x14ac:dyDescent="0.2">
      <c r="DO19047" s="303" t="s">
        <v>232</v>
      </c>
    </row>
    <row r="19048" spans="119:119" x14ac:dyDescent="0.2">
      <c r="DO19048" s="303" t="s">
        <v>232</v>
      </c>
    </row>
    <row r="19049" spans="119:119" x14ac:dyDescent="0.2">
      <c r="DO19049" s="303" t="s">
        <v>232</v>
      </c>
    </row>
    <row r="19050" spans="119:119" x14ac:dyDescent="0.2">
      <c r="DO19050" s="303" t="s">
        <v>232</v>
      </c>
    </row>
    <row r="19051" spans="119:119" x14ac:dyDescent="0.2">
      <c r="DO19051" s="303" t="s">
        <v>232</v>
      </c>
    </row>
    <row r="19052" spans="119:119" x14ac:dyDescent="0.2">
      <c r="DO19052" s="303" t="s">
        <v>232</v>
      </c>
    </row>
    <row r="19053" spans="119:119" x14ac:dyDescent="0.2">
      <c r="DO19053" s="303" t="s">
        <v>232</v>
      </c>
    </row>
    <row r="19054" spans="119:119" x14ac:dyDescent="0.2">
      <c r="DO19054" s="303" t="s">
        <v>232</v>
      </c>
    </row>
    <row r="19055" spans="119:119" x14ac:dyDescent="0.2">
      <c r="DO19055" s="303" t="s">
        <v>232</v>
      </c>
    </row>
    <row r="19056" spans="119:119" x14ac:dyDescent="0.2">
      <c r="DO19056" s="303" t="s">
        <v>232</v>
      </c>
    </row>
    <row r="19057" spans="119:119" x14ac:dyDescent="0.2">
      <c r="DO19057" s="303" t="s">
        <v>232</v>
      </c>
    </row>
    <row r="19058" spans="119:119" x14ac:dyDescent="0.2">
      <c r="DO19058" s="303" t="s">
        <v>232</v>
      </c>
    </row>
    <row r="19059" spans="119:119" x14ac:dyDescent="0.2">
      <c r="DO19059" s="303" t="s">
        <v>232</v>
      </c>
    </row>
    <row r="19060" spans="119:119" x14ac:dyDescent="0.2">
      <c r="DO19060" s="303" t="s">
        <v>232</v>
      </c>
    </row>
    <row r="19061" spans="119:119" x14ac:dyDescent="0.2">
      <c r="DO19061" s="303" t="s">
        <v>232</v>
      </c>
    </row>
    <row r="19062" spans="119:119" x14ac:dyDescent="0.2">
      <c r="DO19062" s="303" t="s">
        <v>232</v>
      </c>
    </row>
    <row r="19063" spans="119:119" x14ac:dyDescent="0.2">
      <c r="DO19063" s="303" t="s">
        <v>232</v>
      </c>
    </row>
    <row r="19064" spans="119:119" x14ac:dyDescent="0.2">
      <c r="DO19064" s="303" t="s">
        <v>232</v>
      </c>
    </row>
    <row r="19065" spans="119:119" x14ac:dyDescent="0.2">
      <c r="DO19065" s="303" t="s">
        <v>232</v>
      </c>
    </row>
    <row r="19066" spans="119:119" x14ac:dyDescent="0.2">
      <c r="DO19066" s="303" t="s">
        <v>232</v>
      </c>
    </row>
    <row r="19067" spans="119:119" x14ac:dyDescent="0.2">
      <c r="DO19067" s="303" t="s">
        <v>232</v>
      </c>
    </row>
    <row r="19068" spans="119:119" x14ac:dyDescent="0.2">
      <c r="DO19068" s="303" t="s">
        <v>232</v>
      </c>
    </row>
    <row r="19069" spans="119:119" x14ac:dyDescent="0.2">
      <c r="DO19069" s="303" t="s">
        <v>232</v>
      </c>
    </row>
    <row r="19070" spans="119:119" x14ac:dyDescent="0.2">
      <c r="DO19070" s="303" t="s">
        <v>232</v>
      </c>
    </row>
    <row r="19071" spans="119:119" x14ac:dyDescent="0.2">
      <c r="DO19071" s="303" t="s">
        <v>232</v>
      </c>
    </row>
    <row r="19072" spans="119:119" x14ac:dyDescent="0.2">
      <c r="DO19072" s="303" t="s">
        <v>232</v>
      </c>
    </row>
    <row r="19073" spans="119:119" x14ac:dyDescent="0.2">
      <c r="DO19073" s="303" t="s">
        <v>232</v>
      </c>
    </row>
    <row r="19074" spans="119:119" x14ac:dyDescent="0.2">
      <c r="DO19074" s="303" t="s">
        <v>232</v>
      </c>
    </row>
    <row r="19075" spans="119:119" x14ac:dyDescent="0.2">
      <c r="DO19075" s="303" t="s">
        <v>232</v>
      </c>
    </row>
    <row r="19076" spans="119:119" x14ac:dyDescent="0.2">
      <c r="DO19076" s="303" t="s">
        <v>232</v>
      </c>
    </row>
    <row r="19077" spans="119:119" x14ac:dyDescent="0.2">
      <c r="DO19077" s="303" t="s">
        <v>232</v>
      </c>
    </row>
    <row r="19078" spans="119:119" x14ac:dyDescent="0.2">
      <c r="DO19078" s="303" t="s">
        <v>232</v>
      </c>
    </row>
    <row r="19079" spans="119:119" x14ac:dyDescent="0.2">
      <c r="DO19079" s="303" t="s">
        <v>232</v>
      </c>
    </row>
    <row r="19080" spans="119:119" x14ac:dyDescent="0.2">
      <c r="DO19080" s="303" t="s">
        <v>232</v>
      </c>
    </row>
    <row r="19081" spans="119:119" x14ac:dyDescent="0.2">
      <c r="DO19081" s="303" t="s">
        <v>232</v>
      </c>
    </row>
    <row r="19082" spans="119:119" x14ac:dyDescent="0.2">
      <c r="DO19082" s="303" t="s">
        <v>232</v>
      </c>
    </row>
    <row r="19083" spans="119:119" x14ac:dyDescent="0.2">
      <c r="DO19083" s="303" t="s">
        <v>232</v>
      </c>
    </row>
    <row r="19084" spans="119:119" x14ac:dyDescent="0.2">
      <c r="DO19084" s="303" t="s">
        <v>232</v>
      </c>
    </row>
    <row r="19085" spans="119:119" x14ac:dyDescent="0.2">
      <c r="DO19085" s="303" t="s">
        <v>232</v>
      </c>
    </row>
    <row r="19086" spans="119:119" x14ac:dyDescent="0.2">
      <c r="DO19086" s="303" t="s">
        <v>232</v>
      </c>
    </row>
    <row r="19087" spans="119:119" x14ac:dyDescent="0.2">
      <c r="DO19087" s="303" t="s">
        <v>232</v>
      </c>
    </row>
    <row r="19088" spans="119:119" x14ac:dyDescent="0.2">
      <c r="DO19088" s="303" t="s">
        <v>232</v>
      </c>
    </row>
    <row r="19089" spans="119:119" x14ac:dyDescent="0.2">
      <c r="DO19089" s="303" t="s">
        <v>232</v>
      </c>
    </row>
    <row r="19090" spans="119:119" x14ac:dyDescent="0.2">
      <c r="DO19090" s="303" t="s">
        <v>232</v>
      </c>
    </row>
    <row r="19091" spans="119:119" x14ac:dyDescent="0.2">
      <c r="DO19091" s="303" t="s">
        <v>232</v>
      </c>
    </row>
    <row r="19092" spans="119:119" x14ac:dyDescent="0.2">
      <c r="DO19092" s="303" t="s">
        <v>232</v>
      </c>
    </row>
    <row r="19093" spans="119:119" x14ac:dyDescent="0.2">
      <c r="DO19093" s="303" t="s">
        <v>232</v>
      </c>
    </row>
    <row r="19094" spans="119:119" x14ac:dyDescent="0.2">
      <c r="DO19094" s="303" t="s">
        <v>232</v>
      </c>
    </row>
    <row r="19095" spans="119:119" x14ac:dyDescent="0.2">
      <c r="DO19095" s="303" t="s">
        <v>232</v>
      </c>
    </row>
    <row r="19096" spans="119:119" x14ac:dyDescent="0.2">
      <c r="DO19096" s="303" t="s">
        <v>232</v>
      </c>
    </row>
    <row r="19097" spans="119:119" x14ac:dyDescent="0.2">
      <c r="DO19097" s="303" t="s">
        <v>232</v>
      </c>
    </row>
    <row r="19098" spans="119:119" x14ac:dyDescent="0.2">
      <c r="DO19098" s="303" t="s">
        <v>232</v>
      </c>
    </row>
    <row r="19099" spans="119:119" x14ac:dyDescent="0.2">
      <c r="DO19099" s="303" t="s">
        <v>232</v>
      </c>
    </row>
    <row r="19100" spans="119:119" x14ac:dyDescent="0.2">
      <c r="DO19100" s="303" t="s">
        <v>232</v>
      </c>
    </row>
    <row r="19101" spans="119:119" x14ac:dyDescent="0.2">
      <c r="DO19101" s="303" t="s">
        <v>232</v>
      </c>
    </row>
    <row r="19102" spans="119:119" x14ac:dyDescent="0.2">
      <c r="DO19102" s="303" t="s">
        <v>232</v>
      </c>
    </row>
    <row r="19103" spans="119:119" x14ac:dyDescent="0.2">
      <c r="DO19103" s="303" t="s">
        <v>232</v>
      </c>
    </row>
    <row r="19104" spans="119:119" x14ac:dyDescent="0.2">
      <c r="DO19104" s="303" t="s">
        <v>232</v>
      </c>
    </row>
    <row r="19105" spans="119:119" x14ac:dyDescent="0.2">
      <c r="DO19105" s="303" t="s">
        <v>232</v>
      </c>
    </row>
    <row r="19106" spans="119:119" x14ac:dyDescent="0.2">
      <c r="DO19106" s="303" t="s">
        <v>232</v>
      </c>
    </row>
    <row r="19107" spans="119:119" x14ac:dyDescent="0.2">
      <c r="DO19107" s="303" t="s">
        <v>232</v>
      </c>
    </row>
    <row r="19108" spans="119:119" x14ac:dyDescent="0.2">
      <c r="DO19108" s="303" t="s">
        <v>232</v>
      </c>
    </row>
    <row r="19109" spans="119:119" x14ac:dyDescent="0.2">
      <c r="DO19109" s="303" t="s">
        <v>232</v>
      </c>
    </row>
    <row r="19110" spans="119:119" x14ac:dyDescent="0.2">
      <c r="DO19110" s="303" t="s">
        <v>232</v>
      </c>
    </row>
    <row r="19111" spans="119:119" x14ac:dyDescent="0.2">
      <c r="DO19111" s="303" t="s">
        <v>232</v>
      </c>
    </row>
    <row r="19112" spans="119:119" x14ac:dyDescent="0.2">
      <c r="DO19112" s="303" t="s">
        <v>232</v>
      </c>
    </row>
    <row r="19113" spans="119:119" x14ac:dyDescent="0.2">
      <c r="DO19113" s="303" t="s">
        <v>232</v>
      </c>
    </row>
    <row r="19114" spans="119:119" x14ac:dyDescent="0.2">
      <c r="DO19114" s="303" t="s">
        <v>232</v>
      </c>
    </row>
    <row r="19115" spans="119:119" x14ac:dyDescent="0.2">
      <c r="DO19115" s="303" t="s">
        <v>232</v>
      </c>
    </row>
    <row r="19116" spans="119:119" x14ac:dyDescent="0.2">
      <c r="DO19116" s="303" t="s">
        <v>232</v>
      </c>
    </row>
    <row r="19117" spans="119:119" x14ac:dyDescent="0.2">
      <c r="DO19117" s="303" t="s">
        <v>232</v>
      </c>
    </row>
    <row r="19118" spans="119:119" x14ac:dyDescent="0.2">
      <c r="DO19118" s="303" t="s">
        <v>232</v>
      </c>
    </row>
    <row r="19119" spans="119:119" x14ac:dyDescent="0.2">
      <c r="DO19119" s="303" t="s">
        <v>232</v>
      </c>
    </row>
    <row r="19120" spans="119:119" x14ac:dyDescent="0.2">
      <c r="DO19120" s="303" t="s">
        <v>232</v>
      </c>
    </row>
    <row r="19121" spans="119:119" x14ac:dyDescent="0.2">
      <c r="DO19121" s="303" t="s">
        <v>232</v>
      </c>
    </row>
    <row r="19122" spans="119:119" x14ac:dyDescent="0.2">
      <c r="DO19122" s="303" t="s">
        <v>232</v>
      </c>
    </row>
    <row r="19123" spans="119:119" x14ac:dyDescent="0.2">
      <c r="DO19123" s="303" t="s">
        <v>232</v>
      </c>
    </row>
    <row r="19124" spans="119:119" x14ac:dyDescent="0.2">
      <c r="DO19124" s="303" t="s">
        <v>232</v>
      </c>
    </row>
    <row r="19125" spans="119:119" x14ac:dyDescent="0.2">
      <c r="DO19125" s="303" t="s">
        <v>232</v>
      </c>
    </row>
    <row r="19126" spans="119:119" x14ac:dyDescent="0.2">
      <c r="DO19126" s="303" t="s">
        <v>232</v>
      </c>
    </row>
    <row r="19127" spans="119:119" x14ac:dyDescent="0.2">
      <c r="DO19127" s="303" t="s">
        <v>232</v>
      </c>
    </row>
    <row r="19128" spans="119:119" x14ac:dyDescent="0.2">
      <c r="DO19128" s="303" t="s">
        <v>232</v>
      </c>
    </row>
    <row r="19129" spans="119:119" x14ac:dyDescent="0.2">
      <c r="DO19129" s="303" t="s">
        <v>232</v>
      </c>
    </row>
    <row r="19130" spans="119:119" x14ac:dyDescent="0.2">
      <c r="DO19130" s="303" t="s">
        <v>232</v>
      </c>
    </row>
    <row r="19131" spans="119:119" x14ac:dyDescent="0.2">
      <c r="DO19131" s="303" t="s">
        <v>232</v>
      </c>
    </row>
    <row r="19132" spans="119:119" x14ac:dyDescent="0.2">
      <c r="DO19132" s="303" t="s">
        <v>232</v>
      </c>
    </row>
    <row r="19133" spans="119:119" x14ac:dyDescent="0.2">
      <c r="DO19133" s="303" t="s">
        <v>232</v>
      </c>
    </row>
    <row r="19134" spans="119:119" x14ac:dyDescent="0.2">
      <c r="DO19134" s="303" t="s">
        <v>232</v>
      </c>
    </row>
    <row r="19135" spans="119:119" x14ac:dyDescent="0.2">
      <c r="DO19135" s="303" t="s">
        <v>232</v>
      </c>
    </row>
    <row r="19136" spans="119:119" x14ac:dyDescent="0.2">
      <c r="DO19136" s="303" t="s">
        <v>232</v>
      </c>
    </row>
    <row r="19137" spans="119:119" x14ac:dyDescent="0.2">
      <c r="DO19137" s="303" t="s">
        <v>232</v>
      </c>
    </row>
    <row r="19138" spans="119:119" x14ac:dyDescent="0.2">
      <c r="DO19138" s="303" t="s">
        <v>232</v>
      </c>
    </row>
    <row r="19139" spans="119:119" x14ac:dyDescent="0.2">
      <c r="DO19139" s="303" t="s">
        <v>232</v>
      </c>
    </row>
    <row r="19140" spans="119:119" x14ac:dyDescent="0.2">
      <c r="DO19140" s="303" t="s">
        <v>232</v>
      </c>
    </row>
    <row r="19141" spans="119:119" x14ac:dyDescent="0.2">
      <c r="DO19141" s="303" t="s">
        <v>232</v>
      </c>
    </row>
    <row r="19142" spans="119:119" x14ac:dyDescent="0.2">
      <c r="DO19142" s="303" t="s">
        <v>232</v>
      </c>
    </row>
    <row r="19143" spans="119:119" x14ac:dyDescent="0.2">
      <c r="DO19143" s="303" t="s">
        <v>232</v>
      </c>
    </row>
    <row r="19144" spans="119:119" x14ac:dyDescent="0.2">
      <c r="DO19144" s="303" t="s">
        <v>232</v>
      </c>
    </row>
    <row r="19145" spans="119:119" x14ac:dyDescent="0.2">
      <c r="DO19145" s="303" t="s">
        <v>232</v>
      </c>
    </row>
    <row r="19146" spans="119:119" x14ac:dyDescent="0.2">
      <c r="DO19146" s="303" t="s">
        <v>232</v>
      </c>
    </row>
    <row r="19147" spans="119:119" x14ac:dyDescent="0.2">
      <c r="DO19147" s="303" t="s">
        <v>232</v>
      </c>
    </row>
    <row r="19148" spans="119:119" x14ac:dyDescent="0.2">
      <c r="DO19148" s="303" t="s">
        <v>232</v>
      </c>
    </row>
    <row r="19149" spans="119:119" x14ac:dyDescent="0.2">
      <c r="DO19149" s="303" t="s">
        <v>232</v>
      </c>
    </row>
    <row r="19150" spans="119:119" x14ac:dyDescent="0.2">
      <c r="DO19150" s="303" t="s">
        <v>232</v>
      </c>
    </row>
    <row r="19151" spans="119:119" x14ac:dyDescent="0.2">
      <c r="DO19151" s="303" t="s">
        <v>232</v>
      </c>
    </row>
    <row r="19152" spans="119:119" x14ac:dyDescent="0.2">
      <c r="DO19152" s="303" t="s">
        <v>232</v>
      </c>
    </row>
    <row r="19153" spans="119:119" x14ac:dyDescent="0.2">
      <c r="DO19153" s="303" t="s">
        <v>232</v>
      </c>
    </row>
    <row r="19154" spans="119:119" x14ac:dyDescent="0.2">
      <c r="DO19154" s="303" t="s">
        <v>232</v>
      </c>
    </row>
    <row r="19155" spans="119:119" x14ac:dyDescent="0.2">
      <c r="DO19155" s="303" t="s">
        <v>232</v>
      </c>
    </row>
    <row r="19156" spans="119:119" x14ac:dyDescent="0.2">
      <c r="DO19156" s="303" t="s">
        <v>232</v>
      </c>
    </row>
    <row r="19157" spans="119:119" x14ac:dyDescent="0.2">
      <c r="DO19157" s="303" t="s">
        <v>232</v>
      </c>
    </row>
    <row r="19158" spans="119:119" x14ac:dyDescent="0.2">
      <c r="DO19158" s="303" t="s">
        <v>232</v>
      </c>
    </row>
    <row r="19159" spans="119:119" x14ac:dyDescent="0.2">
      <c r="DO19159" s="303" t="s">
        <v>232</v>
      </c>
    </row>
    <row r="19160" spans="119:119" x14ac:dyDescent="0.2">
      <c r="DO19160" s="303" t="s">
        <v>232</v>
      </c>
    </row>
    <row r="19161" spans="119:119" x14ac:dyDescent="0.2">
      <c r="DO19161" s="303" t="s">
        <v>232</v>
      </c>
    </row>
    <row r="19162" spans="119:119" x14ac:dyDescent="0.2">
      <c r="DO19162" s="303" t="s">
        <v>232</v>
      </c>
    </row>
    <row r="19163" spans="119:119" x14ac:dyDescent="0.2">
      <c r="DO19163" s="303" t="s">
        <v>232</v>
      </c>
    </row>
    <row r="19164" spans="119:119" x14ac:dyDescent="0.2">
      <c r="DO19164" s="303" t="s">
        <v>232</v>
      </c>
    </row>
    <row r="19165" spans="119:119" x14ac:dyDescent="0.2">
      <c r="DO19165" s="303" t="s">
        <v>232</v>
      </c>
    </row>
    <row r="19166" spans="119:119" x14ac:dyDescent="0.2">
      <c r="DO19166" s="303" t="s">
        <v>232</v>
      </c>
    </row>
    <row r="19167" spans="119:119" x14ac:dyDescent="0.2">
      <c r="DO19167" s="303" t="s">
        <v>232</v>
      </c>
    </row>
    <row r="19168" spans="119:119" x14ac:dyDescent="0.2">
      <c r="DO19168" s="303" t="s">
        <v>232</v>
      </c>
    </row>
    <row r="19169" spans="119:119" x14ac:dyDescent="0.2">
      <c r="DO19169" s="303" t="s">
        <v>232</v>
      </c>
    </row>
    <row r="19170" spans="119:119" x14ac:dyDescent="0.2">
      <c r="DO19170" s="303" t="s">
        <v>232</v>
      </c>
    </row>
    <row r="19171" spans="119:119" x14ac:dyDescent="0.2">
      <c r="DO19171" s="303" t="s">
        <v>232</v>
      </c>
    </row>
    <row r="19172" spans="119:119" x14ac:dyDescent="0.2">
      <c r="DO19172" s="303" t="s">
        <v>232</v>
      </c>
    </row>
    <row r="19173" spans="119:119" x14ac:dyDescent="0.2">
      <c r="DO19173" s="303" t="s">
        <v>232</v>
      </c>
    </row>
    <row r="19174" spans="119:119" x14ac:dyDescent="0.2">
      <c r="DO19174" s="303" t="s">
        <v>232</v>
      </c>
    </row>
    <row r="19175" spans="119:119" x14ac:dyDescent="0.2">
      <c r="DO19175" s="303" t="s">
        <v>232</v>
      </c>
    </row>
    <row r="19176" spans="119:119" x14ac:dyDescent="0.2">
      <c r="DO19176" s="303" t="s">
        <v>232</v>
      </c>
    </row>
    <row r="19177" spans="119:119" x14ac:dyDescent="0.2">
      <c r="DO19177" s="303" t="s">
        <v>232</v>
      </c>
    </row>
    <row r="19178" spans="119:119" x14ac:dyDescent="0.2">
      <c r="DO19178" s="303" t="s">
        <v>232</v>
      </c>
    </row>
    <row r="19179" spans="119:119" x14ac:dyDescent="0.2">
      <c r="DO19179" s="303" t="s">
        <v>232</v>
      </c>
    </row>
    <row r="19180" spans="119:119" x14ac:dyDescent="0.2">
      <c r="DO19180" s="303" t="s">
        <v>232</v>
      </c>
    </row>
    <row r="19181" spans="119:119" x14ac:dyDescent="0.2">
      <c r="DO19181" s="303" t="s">
        <v>232</v>
      </c>
    </row>
    <row r="19182" spans="119:119" x14ac:dyDescent="0.2">
      <c r="DO19182" s="303" t="s">
        <v>232</v>
      </c>
    </row>
    <row r="19183" spans="119:119" x14ac:dyDescent="0.2">
      <c r="DO19183" s="303" t="s">
        <v>232</v>
      </c>
    </row>
    <row r="19184" spans="119:119" x14ac:dyDescent="0.2">
      <c r="DO19184" s="303" t="s">
        <v>232</v>
      </c>
    </row>
    <row r="19185" spans="119:119" x14ac:dyDescent="0.2">
      <c r="DO19185" s="303" t="s">
        <v>232</v>
      </c>
    </row>
    <row r="19186" spans="119:119" x14ac:dyDescent="0.2">
      <c r="DO19186" s="303" t="s">
        <v>232</v>
      </c>
    </row>
    <row r="19187" spans="119:119" x14ac:dyDescent="0.2">
      <c r="DO19187" s="303" t="s">
        <v>232</v>
      </c>
    </row>
    <row r="19188" spans="119:119" x14ac:dyDescent="0.2">
      <c r="DO19188" s="303" t="s">
        <v>232</v>
      </c>
    </row>
    <row r="19189" spans="119:119" x14ac:dyDescent="0.2">
      <c r="DO19189" s="303" t="s">
        <v>232</v>
      </c>
    </row>
    <row r="19190" spans="119:119" x14ac:dyDescent="0.2">
      <c r="DO19190" s="303" t="s">
        <v>232</v>
      </c>
    </row>
    <row r="19191" spans="119:119" x14ac:dyDescent="0.2">
      <c r="DO19191" s="303" t="s">
        <v>232</v>
      </c>
    </row>
    <row r="19192" spans="119:119" x14ac:dyDescent="0.2">
      <c r="DO19192" s="303" t="s">
        <v>232</v>
      </c>
    </row>
    <row r="19193" spans="119:119" x14ac:dyDescent="0.2">
      <c r="DO19193" s="303" t="s">
        <v>232</v>
      </c>
    </row>
    <row r="19194" spans="119:119" x14ac:dyDescent="0.2">
      <c r="DO19194" s="303" t="s">
        <v>232</v>
      </c>
    </row>
    <row r="19195" spans="119:119" x14ac:dyDescent="0.2">
      <c r="DO19195" s="303" t="s">
        <v>232</v>
      </c>
    </row>
    <row r="19196" spans="119:119" x14ac:dyDescent="0.2">
      <c r="DO19196" s="303" t="s">
        <v>232</v>
      </c>
    </row>
    <row r="19197" spans="119:119" x14ac:dyDescent="0.2">
      <c r="DO19197" s="303" t="s">
        <v>232</v>
      </c>
    </row>
    <row r="19198" spans="119:119" x14ac:dyDescent="0.2">
      <c r="DO19198" s="303" t="s">
        <v>232</v>
      </c>
    </row>
    <row r="19199" spans="119:119" x14ac:dyDescent="0.2">
      <c r="DO19199" s="303" t="s">
        <v>232</v>
      </c>
    </row>
    <row r="19200" spans="119:119" x14ac:dyDescent="0.2">
      <c r="DO19200" s="303" t="s">
        <v>232</v>
      </c>
    </row>
    <row r="19201" spans="119:119" x14ac:dyDescent="0.2">
      <c r="DO19201" s="303" t="s">
        <v>232</v>
      </c>
    </row>
    <row r="19202" spans="119:119" x14ac:dyDescent="0.2">
      <c r="DO19202" s="303" t="s">
        <v>232</v>
      </c>
    </row>
    <row r="19203" spans="119:119" x14ac:dyDescent="0.2">
      <c r="DO19203" s="303" t="s">
        <v>232</v>
      </c>
    </row>
    <row r="19204" spans="119:119" x14ac:dyDescent="0.2">
      <c r="DO19204" s="303" t="s">
        <v>232</v>
      </c>
    </row>
    <row r="19205" spans="119:119" x14ac:dyDescent="0.2">
      <c r="DO19205" s="303" t="s">
        <v>232</v>
      </c>
    </row>
    <row r="19206" spans="119:119" x14ac:dyDescent="0.2">
      <c r="DO19206" s="303" t="s">
        <v>232</v>
      </c>
    </row>
    <row r="19207" spans="119:119" x14ac:dyDescent="0.2">
      <c r="DO19207" s="303" t="s">
        <v>232</v>
      </c>
    </row>
    <row r="19208" spans="119:119" x14ac:dyDescent="0.2">
      <c r="DO19208" s="303" t="s">
        <v>232</v>
      </c>
    </row>
    <row r="19209" spans="119:119" x14ac:dyDescent="0.2">
      <c r="DO19209" s="303" t="s">
        <v>232</v>
      </c>
    </row>
    <row r="19210" spans="119:119" x14ac:dyDescent="0.2">
      <c r="DO19210" s="303" t="s">
        <v>232</v>
      </c>
    </row>
    <row r="19211" spans="119:119" x14ac:dyDescent="0.2">
      <c r="DO19211" s="303" t="s">
        <v>232</v>
      </c>
    </row>
    <row r="19212" spans="119:119" x14ac:dyDescent="0.2">
      <c r="DO19212" s="303" t="s">
        <v>232</v>
      </c>
    </row>
    <row r="19213" spans="119:119" x14ac:dyDescent="0.2">
      <c r="DO19213" s="303" t="s">
        <v>232</v>
      </c>
    </row>
    <row r="19214" spans="119:119" x14ac:dyDescent="0.2">
      <c r="DO19214" s="303" t="s">
        <v>232</v>
      </c>
    </row>
    <row r="19215" spans="119:119" x14ac:dyDescent="0.2">
      <c r="DO19215" s="303" t="s">
        <v>232</v>
      </c>
    </row>
    <row r="19216" spans="119:119" x14ac:dyDescent="0.2">
      <c r="DO19216" s="303" t="s">
        <v>232</v>
      </c>
    </row>
    <row r="19217" spans="119:119" x14ac:dyDescent="0.2">
      <c r="DO19217" s="303" t="s">
        <v>232</v>
      </c>
    </row>
    <row r="19218" spans="119:119" x14ac:dyDescent="0.2">
      <c r="DO19218" s="303" t="s">
        <v>232</v>
      </c>
    </row>
    <row r="19219" spans="119:119" x14ac:dyDescent="0.2">
      <c r="DO19219" s="303" t="s">
        <v>232</v>
      </c>
    </row>
    <row r="19220" spans="119:119" x14ac:dyDescent="0.2">
      <c r="DO19220" s="303" t="s">
        <v>232</v>
      </c>
    </row>
    <row r="19221" spans="119:119" x14ac:dyDescent="0.2">
      <c r="DO19221" s="303" t="s">
        <v>232</v>
      </c>
    </row>
    <row r="19222" spans="119:119" x14ac:dyDescent="0.2">
      <c r="DO19222" s="303" t="s">
        <v>232</v>
      </c>
    </row>
    <row r="19223" spans="119:119" x14ac:dyDescent="0.2">
      <c r="DO19223" s="303" t="s">
        <v>232</v>
      </c>
    </row>
    <row r="19224" spans="119:119" x14ac:dyDescent="0.2">
      <c r="DO19224" s="303" t="s">
        <v>232</v>
      </c>
    </row>
    <row r="19225" spans="119:119" x14ac:dyDescent="0.2">
      <c r="DO19225" s="303" t="s">
        <v>232</v>
      </c>
    </row>
    <row r="19226" spans="119:119" x14ac:dyDescent="0.2">
      <c r="DO19226" s="303" t="s">
        <v>232</v>
      </c>
    </row>
    <row r="19227" spans="119:119" x14ac:dyDescent="0.2">
      <c r="DO19227" s="303" t="s">
        <v>232</v>
      </c>
    </row>
    <row r="19228" spans="119:119" x14ac:dyDescent="0.2">
      <c r="DO19228" s="303" t="s">
        <v>232</v>
      </c>
    </row>
    <row r="19229" spans="119:119" x14ac:dyDescent="0.2">
      <c r="DO19229" s="303" t="s">
        <v>232</v>
      </c>
    </row>
    <row r="19230" spans="119:119" x14ac:dyDescent="0.2">
      <c r="DO19230" s="303" t="s">
        <v>232</v>
      </c>
    </row>
    <row r="19231" spans="119:119" x14ac:dyDescent="0.2">
      <c r="DO19231" s="303" t="s">
        <v>232</v>
      </c>
    </row>
    <row r="19232" spans="119:119" x14ac:dyDescent="0.2">
      <c r="DO19232" s="303" t="s">
        <v>232</v>
      </c>
    </row>
    <row r="19233" spans="119:119" x14ac:dyDescent="0.2">
      <c r="DO19233" s="303" t="s">
        <v>232</v>
      </c>
    </row>
    <row r="19234" spans="119:119" x14ac:dyDescent="0.2">
      <c r="DO19234" s="303" t="s">
        <v>232</v>
      </c>
    </row>
    <row r="19235" spans="119:119" x14ac:dyDescent="0.2">
      <c r="DO19235" s="303" t="s">
        <v>232</v>
      </c>
    </row>
    <row r="19236" spans="119:119" x14ac:dyDescent="0.2">
      <c r="DO19236" s="303" t="s">
        <v>232</v>
      </c>
    </row>
    <row r="19237" spans="119:119" x14ac:dyDescent="0.2">
      <c r="DO19237" s="303" t="s">
        <v>232</v>
      </c>
    </row>
    <row r="19238" spans="119:119" x14ac:dyDescent="0.2">
      <c r="DO19238" s="303" t="s">
        <v>232</v>
      </c>
    </row>
    <row r="19239" spans="119:119" x14ac:dyDescent="0.2">
      <c r="DO19239" s="303" t="s">
        <v>232</v>
      </c>
    </row>
    <row r="19240" spans="119:119" x14ac:dyDescent="0.2">
      <c r="DO19240" s="303" t="s">
        <v>232</v>
      </c>
    </row>
    <row r="19241" spans="119:119" x14ac:dyDescent="0.2">
      <c r="DO19241" s="303" t="s">
        <v>232</v>
      </c>
    </row>
    <row r="19242" spans="119:119" x14ac:dyDescent="0.2">
      <c r="DO19242" s="303" t="s">
        <v>232</v>
      </c>
    </row>
    <row r="19243" spans="119:119" x14ac:dyDescent="0.2">
      <c r="DO19243" s="303" t="s">
        <v>232</v>
      </c>
    </row>
    <row r="19244" spans="119:119" x14ac:dyDescent="0.2">
      <c r="DO19244" s="303" t="s">
        <v>232</v>
      </c>
    </row>
    <row r="19245" spans="119:119" x14ac:dyDescent="0.2">
      <c r="DO19245" s="303" t="s">
        <v>232</v>
      </c>
    </row>
    <row r="19246" spans="119:119" x14ac:dyDescent="0.2">
      <c r="DO19246" s="303" t="s">
        <v>232</v>
      </c>
    </row>
    <row r="19247" spans="119:119" x14ac:dyDescent="0.2">
      <c r="DO19247" s="303" t="s">
        <v>232</v>
      </c>
    </row>
    <row r="19248" spans="119:119" x14ac:dyDescent="0.2">
      <c r="DO19248" s="303" t="s">
        <v>232</v>
      </c>
    </row>
    <row r="19249" spans="119:119" x14ac:dyDescent="0.2">
      <c r="DO19249" s="303" t="s">
        <v>232</v>
      </c>
    </row>
    <row r="19250" spans="119:119" x14ac:dyDescent="0.2">
      <c r="DO19250" s="303" t="s">
        <v>232</v>
      </c>
    </row>
    <row r="19251" spans="119:119" x14ac:dyDescent="0.2">
      <c r="DO19251" s="303" t="s">
        <v>232</v>
      </c>
    </row>
    <row r="19252" spans="119:119" x14ac:dyDescent="0.2">
      <c r="DO19252" s="303" t="s">
        <v>232</v>
      </c>
    </row>
    <row r="19253" spans="119:119" x14ac:dyDescent="0.2">
      <c r="DO19253" s="303" t="s">
        <v>232</v>
      </c>
    </row>
    <row r="19254" spans="119:119" x14ac:dyDescent="0.2">
      <c r="DO19254" s="303" t="s">
        <v>232</v>
      </c>
    </row>
    <row r="19255" spans="119:119" x14ac:dyDescent="0.2">
      <c r="DO19255" s="303" t="s">
        <v>232</v>
      </c>
    </row>
    <row r="19256" spans="119:119" x14ac:dyDescent="0.2">
      <c r="DO19256" s="303" t="s">
        <v>232</v>
      </c>
    </row>
    <row r="19257" spans="119:119" x14ac:dyDescent="0.2">
      <c r="DO19257" s="303" t="s">
        <v>232</v>
      </c>
    </row>
    <row r="19258" spans="119:119" x14ac:dyDescent="0.2">
      <c r="DO19258" s="303" t="s">
        <v>232</v>
      </c>
    </row>
    <row r="19259" spans="119:119" x14ac:dyDescent="0.2">
      <c r="DO19259" s="303" t="s">
        <v>232</v>
      </c>
    </row>
    <row r="19260" spans="119:119" x14ac:dyDescent="0.2">
      <c r="DO19260" s="303" t="s">
        <v>232</v>
      </c>
    </row>
    <row r="19261" spans="119:119" x14ac:dyDescent="0.2">
      <c r="DO19261" s="303" t="s">
        <v>232</v>
      </c>
    </row>
    <row r="19262" spans="119:119" x14ac:dyDescent="0.2">
      <c r="DO19262" s="303" t="s">
        <v>232</v>
      </c>
    </row>
    <row r="19263" spans="119:119" x14ac:dyDescent="0.2">
      <c r="DO19263" s="303" t="s">
        <v>232</v>
      </c>
    </row>
    <row r="19264" spans="119:119" x14ac:dyDescent="0.2">
      <c r="DO19264" s="303" t="s">
        <v>232</v>
      </c>
    </row>
    <row r="19265" spans="119:119" x14ac:dyDescent="0.2">
      <c r="DO19265" s="303" t="s">
        <v>232</v>
      </c>
    </row>
    <row r="19266" spans="119:119" x14ac:dyDescent="0.2">
      <c r="DO19266" s="303" t="s">
        <v>232</v>
      </c>
    </row>
    <row r="19267" spans="119:119" x14ac:dyDescent="0.2">
      <c r="DO19267" s="303" t="s">
        <v>232</v>
      </c>
    </row>
    <row r="19268" spans="119:119" x14ac:dyDescent="0.2">
      <c r="DO19268" s="303" t="s">
        <v>232</v>
      </c>
    </row>
    <row r="19269" spans="119:119" x14ac:dyDescent="0.2">
      <c r="DO19269" s="303" t="s">
        <v>232</v>
      </c>
    </row>
    <row r="19270" spans="119:119" x14ac:dyDescent="0.2">
      <c r="DO19270" s="303" t="s">
        <v>232</v>
      </c>
    </row>
    <row r="19271" spans="119:119" x14ac:dyDescent="0.2">
      <c r="DO19271" s="303" t="s">
        <v>232</v>
      </c>
    </row>
    <row r="19272" spans="119:119" x14ac:dyDescent="0.2">
      <c r="DO19272" s="303" t="s">
        <v>232</v>
      </c>
    </row>
    <row r="19273" spans="119:119" x14ac:dyDescent="0.2">
      <c r="DO19273" s="303" t="s">
        <v>232</v>
      </c>
    </row>
    <row r="19274" spans="119:119" x14ac:dyDescent="0.2">
      <c r="DO19274" s="303" t="s">
        <v>232</v>
      </c>
    </row>
    <row r="19275" spans="119:119" x14ac:dyDescent="0.2">
      <c r="DO19275" s="303" t="s">
        <v>232</v>
      </c>
    </row>
    <row r="19276" spans="119:119" x14ac:dyDescent="0.2">
      <c r="DO19276" s="303" t="s">
        <v>232</v>
      </c>
    </row>
    <row r="19277" spans="119:119" x14ac:dyDescent="0.2">
      <c r="DO19277" s="303" t="s">
        <v>232</v>
      </c>
    </row>
    <row r="19278" spans="119:119" x14ac:dyDescent="0.2">
      <c r="DO19278" s="303" t="s">
        <v>232</v>
      </c>
    </row>
    <row r="19279" spans="119:119" x14ac:dyDescent="0.2">
      <c r="DO19279" s="303" t="s">
        <v>232</v>
      </c>
    </row>
    <row r="19280" spans="119:119" x14ac:dyDescent="0.2">
      <c r="DO19280" s="303" t="s">
        <v>232</v>
      </c>
    </row>
    <row r="19281" spans="119:119" x14ac:dyDescent="0.2">
      <c r="DO19281" s="303" t="s">
        <v>232</v>
      </c>
    </row>
    <row r="19282" spans="119:119" x14ac:dyDescent="0.2">
      <c r="DO19282" s="303" t="s">
        <v>232</v>
      </c>
    </row>
    <row r="19283" spans="119:119" x14ac:dyDescent="0.2">
      <c r="DO19283" s="303" t="s">
        <v>232</v>
      </c>
    </row>
    <row r="19284" spans="119:119" x14ac:dyDescent="0.2">
      <c r="DO19284" s="303" t="s">
        <v>232</v>
      </c>
    </row>
    <row r="19285" spans="119:119" x14ac:dyDescent="0.2">
      <c r="DO19285" s="303" t="s">
        <v>232</v>
      </c>
    </row>
    <row r="19286" spans="119:119" x14ac:dyDescent="0.2">
      <c r="DO19286" s="303" t="s">
        <v>232</v>
      </c>
    </row>
    <row r="19287" spans="119:119" x14ac:dyDescent="0.2">
      <c r="DO19287" s="303" t="s">
        <v>232</v>
      </c>
    </row>
    <row r="19288" spans="119:119" x14ac:dyDescent="0.2">
      <c r="DO19288" s="303" t="s">
        <v>232</v>
      </c>
    </row>
    <row r="19289" spans="119:119" x14ac:dyDescent="0.2">
      <c r="DO19289" s="303" t="s">
        <v>232</v>
      </c>
    </row>
    <row r="19290" spans="119:119" x14ac:dyDescent="0.2">
      <c r="DO19290" s="303" t="s">
        <v>232</v>
      </c>
    </row>
    <row r="19291" spans="119:119" x14ac:dyDescent="0.2">
      <c r="DO19291" s="303" t="s">
        <v>232</v>
      </c>
    </row>
    <row r="19292" spans="119:119" x14ac:dyDescent="0.2">
      <c r="DO19292" s="303" t="s">
        <v>232</v>
      </c>
    </row>
    <row r="19293" spans="119:119" x14ac:dyDescent="0.2">
      <c r="DO19293" s="303" t="s">
        <v>232</v>
      </c>
    </row>
    <row r="19294" spans="119:119" x14ac:dyDescent="0.2">
      <c r="DO19294" s="303" t="s">
        <v>232</v>
      </c>
    </row>
    <row r="19295" spans="119:119" x14ac:dyDescent="0.2">
      <c r="DO19295" s="303" t="s">
        <v>232</v>
      </c>
    </row>
    <row r="19296" spans="119:119" x14ac:dyDescent="0.2">
      <c r="DO19296" s="303" t="s">
        <v>232</v>
      </c>
    </row>
    <row r="19297" spans="119:119" x14ac:dyDescent="0.2">
      <c r="DO19297" s="303" t="s">
        <v>232</v>
      </c>
    </row>
    <row r="19298" spans="119:119" x14ac:dyDescent="0.2">
      <c r="DO19298" s="303" t="s">
        <v>232</v>
      </c>
    </row>
    <row r="19299" spans="119:119" x14ac:dyDescent="0.2">
      <c r="DO19299" s="303" t="s">
        <v>232</v>
      </c>
    </row>
    <row r="19300" spans="119:119" x14ac:dyDescent="0.2">
      <c r="DO19300" s="303" t="s">
        <v>232</v>
      </c>
    </row>
    <row r="19301" spans="119:119" x14ac:dyDescent="0.2">
      <c r="DO19301" s="303" t="s">
        <v>232</v>
      </c>
    </row>
    <row r="19302" spans="119:119" x14ac:dyDescent="0.2">
      <c r="DO19302" s="303" t="s">
        <v>232</v>
      </c>
    </row>
    <row r="19303" spans="119:119" x14ac:dyDescent="0.2">
      <c r="DO19303" s="303" t="s">
        <v>232</v>
      </c>
    </row>
    <row r="19304" spans="119:119" x14ac:dyDescent="0.2">
      <c r="DO19304" s="303" t="s">
        <v>232</v>
      </c>
    </row>
    <row r="19305" spans="119:119" x14ac:dyDescent="0.2">
      <c r="DO19305" s="303" t="s">
        <v>232</v>
      </c>
    </row>
    <row r="19306" spans="119:119" x14ac:dyDescent="0.2">
      <c r="DO19306" s="303" t="s">
        <v>232</v>
      </c>
    </row>
    <row r="19307" spans="119:119" x14ac:dyDescent="0.2">
      <c r="DO19307" s="303" t="s">
        <v>232</v>
      </c>
    </row>
    <row r="19308" spans="119:119" x14ac:dyDescent="0.2">
      <c r="DO19308" s="303" t="s">
        <v>232</v>
      </c>
    </row>
    <row r="19309" spans="119:119" x14ac:dyDescent="0.2">
      <c r="DO19309" s="303" t="s">
        <v>232</v>
      </c>
    </row>
    <row r="19310" spans="119:119" x14ac:dyDescent="0.2">
      <c r="DO19310" s="303" t="s">
        <v>232</v>
      </c>
    </row>
    <row r="19311" spans="119:119" x14ac:dyDescent="0.2">
      <c r="DO19311" s="303" t="s">
        <v>232</v>
      </c>
    </row>
    <row r="19312" spans="119:119" x14ac:dyDescent="0.2">
      <c r="DO19312" s="303" t="s">
        <v>232</v>
      </c>
    </row>
    <row r="19313" spans="119:119" x14ac:dyDescent="0.2">
      <c r="DO19313" s="303" t="s">
        <v>232</v>
      </c>
    </row>
    <row r="19314" spans="119:119" x14ac:dyDescent="0.2">
      <c r="DO19314" s="303" t="s">
        <v>232</v>
      </c>
    </row>
    <row r="19315" spans="119:119" x14ac:dyDescent="0.2">
      <c r="DO19315" s="303" t="s">
        <v>232</v>
      </c>
    </row>
    <row r="19316" spans="119:119" x14ac:dyDescent="0.2">
      <c r="DO19316" s="303" t="s">
        <v>232</v>
      </c>
    </row>
    <row r="19317" spans="119:119" x14ac:dyDescent="0.2">
      <c r="DO19317" s="303" t="s">
        <v>232</v>
      </c>
    </row>
    <row r="19318" spans="119:119" x14ac:dyDescent="0.2">
      <c r="DO19318" s="303" t="s">
        <v>232</v>
      </c>
    </row>
    <row r="19319" spans="119:119" x14ac:dyDescent="0.2">
      <c r="DO19319" s="303" t="s">
        <v>232</v>
      </c>
    </row>
    <row r="19320" spans="119:119" x14ac:dyDescent="0.2">
      <c r="DO19320" s="303" t="s">
        <v>232</v>
      </c>
    </row>
    <row r="19321" spans="119:119" x14ac:dyDescent="0.2">
      <c r="DO19321" s="303" t="s">
        <v>232</v>
      </c>
    </row>
    <row r="19322" spans="119:119" x14ac:dyDescent="0.2">
      <c r="DO19322" s="303" t="s">
        <v>232</v>
      </c>
    </row>
    <row r="19323" spans="119:119" x14ac:dyDescent="0.2">
      <c r="DO19323" s="303" t="s">
        <v>232</v>
      </c>
    </row>
    <row r="19324" spans="119:119" x14ac:dyDescent="0.2">
      <c r="DO19324" s="303" t="s">
        <v>232</v>
      </c>
    </row>
    <row r="19325" spans="119:119" x14ac:dyDescent="0.2">
      <c r="DO19325" s="303" t="s">
        <v>232</v>
      </c>
    </row>
    <row r="19326" spans="119:119" x14ac:dyDescent="0.2">
      <c r="DO19326" s="303" t="s">
        <v>232</v>
      </c>
    </row>
    <row r="19327" spans="119:119" x14ac:dyDescent="0.2">
      <c r="DO19327" s="303" t="s">
        <v>232</v>
      </c>
    </row>
    <row r="19328" spans="119:119" x14ac:dyDescent="0.2">
      <c r="DO19328" s="303" t="s">
        <v>232</v>
      </c>
    </row>
    <row r="19329" spans="119:119" x14ac:dyDescent="0.2">
      <c r="DO19329" s="303" t="s">
        <v>232</v>
      </c>
    </row>
    <row r="19330" spans="119:119" x14ac:dyDescent="0.2">
      <c r="DO19330" s="303" t="s">
        <v>232</v>
      </c>
    </row>
    <row r="19331" spans="119:119" x14ac:dyDescent="0.2">
      <c r="DO19331" s="303" t="s">
        <v>232</v>
      </c>
    </row>
    <row r="19332" spans="119:119" x14ac:dyDescent="0.2">
      <c r="DO19332" s="303" t="s">
        <v>232</v>
      </c>
    </row>
    <row r="19333" spans="119:119" x14ac:dyDescent="0.2">
      <c r="DO19333" s="303" t="s">
        <v>232</v>
      </c>
    </row>
    <row r="19334" spans="119:119" x14ac:dyDescent="0.2">
      <c r="DO19334" s="303" t="s">
        <v>232</v>
      </c>
    </row>
    <row r="19335" spans="119:119" x14ac:dyDescent="0.2">
      <c r="DO19335" s="303" t="s">
        <v>232</v>
      </c>
    </row>
    <row r="19336" spans="119:119" x14ac:dyDescent="0.2">
      <c r="DO19336" s="303" t="s">
        <v>232</v>
      </c>
    </row>
    <row r="19337" spans="119:119" x14ac:dyDescent="0.2">
      <c r="DO19337" s="303" t="s">
        <v>232</v>
      </c>
    </row>
    <row r="19338" spans="119:119" x14ac:dyDescent="0.2">
      <c r="DO19338" s="303" t="s">
        <v>232</v>
      </c>
    </row>
    <row r="19339" spans="119:119" x14ac:dyDescent="0.2">
      <c r="DO19339" s="303" t="s">
        <v>232</v>
      </c>
    </row>
    <row r="19340" spans="119:119" x14ac:dyDescent="0.2">
      <c r="DO19340" s="303" t="s">
        <v>232</v>
      </c>
    </row>
    <row r="19341" spans="119:119" x14ac:dyDescent="0.2">
      <c r="DO19341" s="303" t="s">
        <v>232</v>
      </c>
    </row>
    <row r="19342" spans="119:119" x14ac:dyDescent="0.2">
      <c r="DO19342" s="303" t="s">
        <v>232</v>
      </c>
    </row>
    <row r="19343" spans="119:119" x14ac:dyDescent="0.2">
      <c r="DO19343" s="303" t="s">
        <v>232</v>
      </c>
    </row>
    <row r="19344" spans="119:119" x14ac:dyDescent="0.2">
      <c r="DO19344" s="303" t="s">
        <v>232</v>
      </c>
    </row>
    <row r="19345" spans="119:119" x14ac:dyDescent="0.2">
      <c r="DO19345" s="303" t="s">
        <v>232</v>
      </c>
    </row>
    <row r="19346" spans="119:119" x14ac:dyDescent="0.2">
      <c r="DO19346" s="303" t="s">
        <v>232</v>
      </c>
    </row>
    <row r="19347" spans="119:119" x14ac:dyDescent="0.2">
      <c r="DO19347" s="303" t="s">
        <v>232</v>
      </c>
    </row>
    <row r="19348" spans="119:119" x14ac:dyDescent="0.2">
      <c r="DO19348" s="303" t="s">
        <v>232</v>
      </c>
    </row>
    <row r="19349" spans="119:119" x14ac:dyDescent="0.2">
      <c r="DO19349" s="303" t="s">
        <v>232</v>
      </c>
    </row>
    <row r="19350" spans="119:119" x14ac:dyDescent="0.2">
      <c r="DO19350" s="303" t="s">
        <v>232</v>
      </c>
    </row>
    <row r="19351" spans="119:119" x14ac:dyDescent="0.2">
      <c r="DO19351" s="303" t="s">
        <v>232</v>
      </c>
    </row>
    <row r="19352" spans="119:119" x14ac:dyDescent="0.2">
      <c r="DO19352" s="303" t="s">
        <v>232</v>
      </c>
    </row>
    <row r="19353" spans="119:119" x14ac:dyDescent="0.2">
      <c r="DO19353" s="303" t="s">
        <v>232</v>
      </c>
    </row>
    <row r="19354" spans="119:119" x14ac:dyDescent="0.2">
      <c r="DO19354" s="303" t="s">
        <v>232</v>
      </c>
    </row>
    <row r="19355" spans="119:119" x14ac:dyDescent="0.2">
      <c r="DO19355" s="303" t="s">
        <v>232</v>
      </c>
    </row>
    <row r="19356" spans="119:119" x14ac:dyDescent="0.2">
      <c r="DO19356" s="303" t="s">
        <v>232</v>
      </c>
    </row>
    <row r="19357" spans="119:119" x14ac:dyDescent="0.2">
      <c r="DO19357" s="303" t="s">
        <v>232</v>
      </c>
    </row>
    <row r="19358" spans="119:119" x14ac:dyDescent="0.2">
      <c r="DO19358" s="303" t="s">
        <v>232</v>
      </c>
    </row>
    <row r="19359" spans="119:119" x14ac:dyDescent="0.2">
      <c r="DO19359" s="303" t="s">
        <v>232</v>
      </c>
    </row>
    <row r="19360" spans="119:119" x14ac:dyDescent="0.2">
      <c r="DO19360" s="303" t="s">
        <v>232</v>
      </c>
    </row>
    <row r="19361" spans="119:119" x14ac:dyDescent="0.2">
      <c r="DO19361" s="303" t="s">
        <v>232</v>
      </c>
    </row>
    <row r="19362" spans="119:119" x14ac:dyDescent="0.2">
      <c r="DO19362" s="303" t="s">
        <v>232</v>
      </c>
    </row>
    <row r="19363" spans="119:119" x14ac:dyDescent="0.2">
      <c r="DO19363" s="303" t="s">
        <v>232</v>
      </c>
    </row>
    <row r="19364" spans="119:119" x14ac:dyDescent="0.2">
      <c r="DO19364" s="303" t="s">
        <v>232</v>
      </c>
    </row>
    <row r="19365" spans="119:119" x14ac:dyDescent="0.2">
      <c r="DO19365" s="303" t="s">
        <v>232</v>
      </c>
    </row>
    <row r="19366" spans="119:119" x14ac:dyDescent="0.2">
      <c r="DO19366" s="303" t="s">
        <v>232</v>
      </c>
    </row>
    <row r="19367" spans="119:119" x14ac:dyDescent="0.2">
      <c r="DO19367" s="303" t="s">
        <v>232</v>
      </c>
    </row>
    <row r="19368" spans="119:119" x14ac:dyDescent="0.2">
      <c r="DO19368" s="303" t="s">
        <v>232</v>
      </c>
    </row>
    <row r="19369" spans="119:119" x14ac:dyDescent="0.2">
      <c r="DO19369" s="303" t="s">
        <v>232</v>
      </c>
    </row>
    <row r="19370" spans="119:119" x14ac:dyDescent="0.2">
      <c r="DO19370" s="303" t="s">
        <v>232</v>
      </c>
    </row>
    <row r="19371" spans="119:119" x14ac:dyDescent="0.2">
      <c r="DO19371" s="303" t="s">
        <v>232</v>
      </c>
    </row>
    <row r="19372" spans="119:119" x14ac:dyDescent="0.2">
      <c r="DO19372" s="303" t="s">
        <v>232</v>
      </c>
    </row>
    <row r="19373" spans="119:119" x14ac:dyDescent="0.2">
      <c r="DO19373" s="303" t="s">
        <v>232</v>
      </c>
    </row>
    <row r="19374" spans="119:119" x14ac:dyDescent="0.2">
      <c r="DO19374" s="303" t="s">
        <v>232</v>
      </c>
    </row>
    <row r="19375" spans="119:119" x14ac:dyDescent="0.2">
      <c r="DO19375" s="303" t="s">
        <v>232</v>
      </c>
    </row>
    <row r="19376" spans="119:119" x14ac:dyDescent="0.2">
      <c r="DO19376" s="303" t="s">
        <v>232</v>
      </c>
    </row>
    <row r="19377" spans="119:119" x14ac:dyDescent="0.2">
      <c r="DO19377" s="303" t="s">
        <v>232</v>
      </c>
    </row>
    <row r="19378" spans="119:119" x14ac:dyDescent="0.2">
      <c r="DO19378" s="303" t="s">
        <v>232</v>
      </c>
    </row>
    <row r="19379" spans="119:119" x14ac:dyDescent="0.2">
      <c r="DO19379" s="303" t="s">
        <v>232</v>
      </c>
    </row>
    <row r="19380" spans="119:119" x14ac:dyDescent="0.2">
      <c r="DO19380" s="303" t="s">
        <v>232</v>
      </c>
    </row>
    <row r="19381" spans="119:119" x14ac:dyDescent="0.2">
      <c r="DO19381" s="303" t="s">
        <v>232</v>
      </c>
    </row>
    <row r="19382" spans="119:119" x14ac:dyDescent="0.2">
      <c r="DO19382" s="303" t="s">
        <v>232</v>
      </c>
    </row>
    <row r="19383" spans="119:119" x14ac:dyDescent="0.2">
      <c r="DO19383" s="303" t="s">
        <v>232</v>
      </c>
    </row>
    <row r="19384" spans="119:119" x14ac:dyDescent="0.2">
      <c r="DO19384" s="303" t="s">
        <v>232</v>
      </c>
    </row>
    <row r="19385" spans="119:119" x14ac:dyDescent="0.2">
      <c r="DO19385" s="303" t="s">
        <v>232</v>
      </c>
    </row>
    <row r="19386" spans="119:119" x14ac:dyDescent="0.2">
      <c r="DO19386" s="303" t="s">
        <v>232</v>
      </c>
    </row>
    <row r="19387" spans="119:119" x14ac:dyDescent="0.2">
      <c r="DO19387" s="303" t="s">
        <v>232</v>
      </c>
    </row>
    <row r="19388" spans="119:119" x14ac:dyDescent="0.2">
      <c r="DO19388" s="303" t="s">
        <v>232</v>
      </c>
    </row>
    <row r="19389" spans="119:119" x14ac:dyDescent="0.2">
      <c r="DO19389" s="303" t="s">
        <v>232</v>
      </c>
    </row>
    <row r="19390" spans="119:119" x14ac:dyDescent="0.2">
      <c r="DO19390" s="303" t="s">
        <v>232</v>
      </c>
    </row>
    <row r="19391" spans="119:119" x14ac:dyDescent="0.2">
      <c r="DO19391" s="303" t="s">
        <v>232</v>
      </c>
    </row>
    <row r="19392" spans="119:119" x14ac:dyDescent="0.2">
      <c r="DO19392" s="303" t="s">
        <v>232</v>
      </c>
    </row>
    <row r="19393" spans="119:119" x14ac:dyDescent="0.2">
      <c r="DO19393" s="303" t="s">
        <v>232</v>
      </c>
    </row>
    <row r="19394" spans="119:119" x14ac:dyDescent="0.2">
      <c r="DO19394" s="303" t="s">
        <v>232</v>
      </c>
    </row>
    <row r="19395" spans="119:119" x14ac:dyDescent="0.2">
      <c r="DO19395" s="303" t="s">
        <v>232</v>
      </c>
    </row>
    <row r="19396" spans="119:119" x14ac:dyDescent="0.2">
      <c r="DO19396" s="303" t="s">
        <v>232</v>
      </c>
    </row>
    <row r="19397" spans="119:119" x14ac:dyDescent="0.2">
      <c r="DO19397" s="303" t="s">
        <v>232</v>
      </c>
    </row>
    <row r="19398" spans="119:119" x14ac:dyDescent="0.2">
      <c r="DO19398" s="303" t="s">
        <v>232</v>
      </c>
    </row>
    <row r="19399" spans="119:119" x14ac:dyDescent="0.2">
      <c r="DO19399" s="303" t="s">
        <v>232</v>
      </c>
    </row>
    <row r="19400" spans="119:119" x14ac:dyDescent="0.2">
      <c r="DO19400" s="303" t="s">
        <v>232</v>
      </c>
    </row>
    <row r="19401" spans="119:119" x14ac:dyDescent="0.2">
      <c r="DO19401" s="303" t="s">
        <v>232</v>
      </c>
    </row>
    <row r="19402" spans="119:119" x14ac:dyDescent="0.2">
      <c r="DO19402" s="303" t="s">
        <v>232</v>
      </c>
    </row>
    <row r="19403" spans="119:119" x14ac:dyDescent="0.2">
      <c r="DO19403" s="303" t="s">
        <v>232</v>
      </c>
    </row>
    <row r="19404" spans="119:119" x14ac:dyDescent="0.2">
      <c r="DO19404" s="303" t="s">
        <v>232</v>
      </c>
    </row>
    <row r="19405" spans="119:119" x14ac:dyDescent="0.2">
      <c r="DO19405" s="303" t="s">
        <v>232</v>
      </c>
    </row>
    <row r="19406" spans="119:119" x14ac:dyDescent="0.2">
      <c r="DO19406" s="303" t="s">
        <v>232</v>
      </c>
    </row>
    <row r="19407" spans="119:119" x14ac:dyDescent="0.2">
      <c r="DO19407" s="303" t="s">
        <v>232</v>
      </c>
    </row>
    <row r="19408" spans="119:119" x14ac:dyDescent="0.2">
      <c r="DO19408" s="303" t="s">
        <v>232</v>
      </c>
    </row>
    <row r="19409" spans="119:119" x14ac:dyDescent="0.2">
      <c r="DO19409" s="303" t="s">
        <v>232</v>
      </c>
    </row>
    <row r="19410" spans="119:119" x14ac:dyDescent="0.2">
      <c r="DO19410" s="303" t="s">
        <v>232</v>
      </c>
    </row>
    <row r="19411" spans="119:119" x14ac:dyDescent="0.2">
      <c r="DO19411" s="303" t="s">
        <v>232</v>
      </c>
    </row>
    <row r="19412" spans="119:119" x14ac:dyDescent="0.2">
      <c r="DO19412" s="303" t="s">
        <v>232</v>
      </c>
    </row>
    <row r="19413" spans="119:119" x14ac:dyDescent="0.2">
      <c r="DO19413" s="303" t="s">
        <v>232</v>
      </c>
    </row>
    <row r="19414" spans="119:119" x14ac:dyDescent="0.2">
      <c r="DO19414" s="303" t="s">
        <v>232</v>
      </c>
    </row>
    <row r="19415" spans="119:119" x14ac:dyDescent="0.2">
      <c r="DO19415" s="303" t="s">
        <v>232</v>
      </c>
    </row>
    <row r="19416" spans="119:119" x14ac:dyDescent="0.2">
      <c r="DO19416" s="303" t="s">
        <v>232</v>
      </c>
    </row>
    <row r="19417" spans="119:119" x14ac:dyDescent="0.2">
      <c r="DO19417" s="303" t="s">
        <v>232</v>
      </c>
    </row>
    <row r="19418" spans="119:119" x14ac:dyDescent="0.2">
      <c r="DO19418" s="303" t="s">
        <v>232</v>
      </c>
    </row>
    <row r="19419" spans="119:119" x14ac:dyDescent="0.2">
      <c r="DO19419" s="303" t="s">
        <v>232</v>
      </c>
    </row>
    <row r="19420" spans="119:119" x14ac:dyDescent="0.2">
      <c r="DO19420" s="303" t="s">
        <v>232</v>
      </c>
    </row>
    <row r="19421" spans="119:119" x14ac:dyDescent="0.2">
      <c r="DO19421" s="303" t="s">
        <v>232</v>
      </c>
    </row>
    <row r="19422" spans="119:119" x14ac:dyDescent="0.2">
      <c r="DO19422" s="303" t="s">
        <v>232</v>
      </c>
    </row>
    <row r="19423" spans="119:119" x14ac:dyDescent="0.2">
      <c r="DO19423" s="303" t="s">
        <v>232</v>
      </c>
    </row>
    <row r="19424" spans="119:119" x14ac:dyDescent="0.2">
      <c r="DO19424" s="303" t="s">
        <v>232</v>
      </c>
    </row>
    <row r="19425" spans="119:119" x14ac:dyDescent="0.2">
      <c r="DO19425" s="303" t="s">
        <v>232</v>
      </c>
    </row>
    <row r="19426" spans="119:119" x14ac:dyDescent="0.2">
      <c r="DO19426" s="303" t="s">
        <v>232</v>
      </c>
    </row>
    <row r="19427" spans="119:119" x14ac:dyDescent="0.2">
      <c r="DO19427" s="303" t="s">
        <v>232</v>
      </c>
    </row>
    <row r="19428" spans="119:119" x14ac:dyDescent="0.2">
      <c r="DO19428" s="303" t="s">
        <v>232</v>
      </c>
    </row>
    <row r="19429" spans="119:119" x14ac:dyDescent="0.2">
      <c r="DO19429" s="303" t="s">
        <v>232</v>
      </c>
    </row>
    <row r="19430" spans="119:119" x14ac:dyDescent="0.2">
      <c r="DO19430" s="303" t="s">
        <v>232</v>
      </c>
    </row>
    <row r="19431" spans="119:119" x14ac:dyDescent="0.2">
      <c r="DO19431" s="303" t="s">
        <v>232</v>
      </c>
    </row>
    <row r="19432" spans="119:119" x14ac:dyDescent="0.2">
      <c r="DO19432" s="303" t="s">
        <v>232</v>
      </c>
    </row>
    <row r="19433" spans="119:119" x14ac:dyDescent="0.2">
      <c r="DO19433" s="303" t="s">
        <v>232</v>
      </c>
    </row>
    <row r="19434" spans="119:119" x14ac:dyDescent="0.2">
      <c r="DO19434" s="303" t="s">
        <v>232</v>
      </c>
    </row>
    <row r="19435" spans="119:119" x14ac:dyDescent="0.2">
      <c r="DO19435" s="303" t="s">
        <v>232</v>
      </c>
    </row>
    <row r="19436" spans="119:119" x14ac:dyDescent="0.2">
      <c r="DO19436" s="303" t="s">
        <v>232</v>
      </c>
    </row>
    <row r="19437" spans="119:119" x14ac:dyDescent="0.2">
      <c r="DO19437" s="303" t="s">
        <v>232</v>
      </c>
    </row>
    <row r="19438" spans="119:119" x14ac:dyDescent="0.2">
      <c r="DO19438" s="303" t="s">
        <v>232</v>
      </c>
    </row>
    <row r="19439" spans="119:119" x14ac:dyDescent="0.2">
      <c r="DO19439" s="303" t="s">
        <v>232</v>
      </c>
    </row>
    <row r="19440" spans="119:119" x14ac:dyDescent="0.2">
      <c r="DO19440" s="303" t="s">
        <v>232</v>
      </c>
    </row>
    <row r="19441" spans="119:119" x14ac:dyDescent="0.2">
      <c r="DO19441" s="303" t="s">
        <v>232</v>
      </c>
    </row>
    <row r="19442" spans="119:119" x14ac:dyDescent="0.2">
      <c r="DO19442" s="303" t="s">
        <v>232</v>
      </c>
    </row>
    <row r="19443" spans="119:119" x14ac:dyDescent="0.2">
      <c r="DO19443" s="303" t="s">
        <v>232</v>
      </c>
    </row>
    <row r="19444" spans="119:119" x14ac:dyDescent="0.2">
      <c r="DO19444" s="303" t="s">
        <v>232</v>
      </c>
    </row>
    <row r="19445" spans="119:119" x14ac:dyDescent="0.2">
      <c r="DO19445" s="303" t="s">
        <v>232</v>
      </c>
    </row>
    <row r="19446" spans="119:119" x14ac:dyDescent="0.2">
      <c r="DO19446" s="303" t="s">
        <v>232</v>
      </c>
    </row>
    <row r="19447" spans="119:119" x14ac:dyDescent="0.2">
      <c r="DO19447" s="303" t="s">
        <v>232</v>
      </c>
    </row>
    <row r="19448" spans="119:119" x14ac:dyDescent="0.2">
      <c r="DO19448" s="303" t="s">
        <v>232</v>
      </c>
    </row>
    <row r="19449" spans="119:119" x14ac:dyDescent="0.2">
      <c r="DO19449" s="303" t="s">
        <v>232</v>
      </c>
    </row>
    <row r="19450" spans="119:119" x14ac:dyDescent="0.2">
      <c r="DO19450" s="303" t="s">
        <v>232</v>
      </c>
    </row>
    <row r="19451" spans="119:119" x14ac:dyDescent="0.2">
      <c r="DO19451" s="303" t="s">
        <v>232</v>
      </c>
    </row>
    <row r="19452" spans="119:119" x14ac:dyDescent="0.2">
      <c r="DO19452" s="303" t="s">
        <v>232</v>
      </c>
    </row>
    <row r="19453" spans="119:119" x14ac:dyDescent="0.2">
      <c r="DO19453" s="303" t="s">
        <v>232</v>
      </c>
    </row>
    <row r="19454" spans="119:119" x14ac:dyDescent="0.2">
      <c r="DO19454" s="303" t="s">
        <v>232</v>
      </c>
    </row>
    <row r="19455" spans="119:119" x14ac:dyDescent="0.2">
      <c r="DO19455" s="303" t="s">
        <v>232</v>
      </c>
    </row>
    <row r="19456" spans="119:119" x14ac:dyDescent="0.2">
      <c r="DO19456" s="303" t="s">
        <v>232</v>
      </c>
    </row>
    <row r="19457" spans="119:119" x14ac:dyDescent="0.2">
      <c r="DO19457" s="303" t="s">
        <v>232</v>
      </c>
    </row>
    <row r="19458" spans="119:119" x14ac:dyDescent="0.2">
      <c r="DO19458" s="303" t="s">
        <v>232</v>
      </c>
    </row>
    <row r="19459" spans="119:119" x14ac:dyDescent="0.2">
      <c r="DO19459" s="303" t="s">
        <v>232</v>
      </c>
    </row>
    <row r="19460" spans="119:119" x14ac:dyDescent="0.2">
      <c r="DO19460" s="303" t="s">
        <v>232</v>
      </c>
    </row>
    <row r="19461" spans="119:119" x14ac:dyDescent="0.2">
      <c r="DO19461" s="303" t="s">
        <v>232</v>
      </c>
    </row>
    <row r="19462" spans="119:119" x14ac:dyDescent="0.2">
      <c r="DO19462" s="303" t="s">
        <v>232</v>
      </c>
    </row>
    <row r="19463" spans="119:119" x14ac:dyDescent="0.2">
      <c r="DO19463" s="303" t="s">
        <v>232</v>
      </c>
    </row>
    <row r="19464" spans="119:119" x14ac:dyDescent="0.2">
      <c r="DO19464" s="303" t="s">
        <v>232</v>
      </c>
    </row>
    <row r="19465" spans="119:119" x14ac:dyDescent="0.2">
      <c r="DO19465" s="303" t="s">
        <v>232</v>
      </c>
    </row>
    <row r="19466" spans="119:119" x14ac:dyDescent="0.2">
      <c r="DO19466" s="303" t="s">
        <v>232</v>
      </c>
    </row>
    <row r="19467" spans="119:119" x14ac:dyDescent="0.2">
      <c r="DO19467" s="303" t="s">
        <v>232</v>
      </c>
    </row>
    <row r="19468" spans="119:119" x14ac:dyDescent="0.2">
      <c r="DO19468" s="303" t="s">
        <v>232</v>
      </c>
    </row>
    <row r="19469" spans="119:119" x14ac:dyDescent="0.2">
      <c r="DO19469" s="303" t="s">
        <v>232</v>
      </c>
    </row>
    <row r="19470" spans="119:119" x14ac:dyDescent="0.2">
      <c r="DO19470" s="303" t="s">
        <v>232</v>
      </c>
    </row>
    <row r="19471" spans="119:119" x14ac:dyDescent="0.2">
      <c r="DO19471" s="303" t="s">
        <v>232</v>
      </c>
    </row>
    <row r="19472" spans="119:119" x14ac:dyDescent="0.2">
      <c r="DO19472" s="303" t="s">
        <v>232</v>
      </c>
    </row>
    <row r="19473" spans="119:119" x14ac:dyDescent="0.2">
      <c r="DO19473" s="303" t="s">
        <v>232</v>
      </c>
    </row>
    <row r="19474" spans="119:119" x14ac:dyDescent="0.2">
      <c r="DO19474" s="303" t="s">
        <v>232</v>
      </c>
    </row>
    <row r="19475" spans="119:119" x14ac:dyDescent="0.2">
      <c r="DO19475" s="303" t="s">
        <v>232</v>
      </c>
    </row>
    <row r="19476" spans="119:119" x14ac:dyDescent="0.2">
      <c r="DO19476" s="303" t="s">
        <v>232</v>
      </c>
    </row>
    <row r="19477" spans="119:119" x14ac:dyDescent="0.2">
      <c r="DO19477" s="303" t="s">
        <v>232</v>
      </c>
    </row>
    <row r="19478" spans="119:119" x14ac:dyDescent="0.2">
      <c r="DO19478" s="303" t="s">
        <v>232</v>
      </c>
    </row>
    <row r="19479" spans="119:119" x14ac:dyDescent="0.2">
      <c r="DO19479" s="303" t="s">
        <v>232</v>
      </c>
    </row>
    <row r="19480" spans="119:119" x14ac:dyDescent="0.2">
      <c r="DO19480" s="303" t="s">
        <v>232</v>
      </c>
    </row>
    <row r="19481" spans="119:119" x14ac:dyDescent="0.2">
      <c r="DO19481" s="303" t="s">
        <v>232</v>
      </c>
    </row>
    <row r="19482" spans="119:119" x14ac:dyDescent="0.2">
      <c r="DO19482" s="303" t="s">
        <v>232</v>
      </c>
    </row>
    <row r="19483" spans="119:119" x14ac:dyDescent="0.2">
      <c r="DO19483" s="303" t="s">
        <v>232</v>
      </c>
    </row>
    <row r="19484" spans="119:119" x14ac:dyDescent="0.2">
      <c r="DO19484" s="303" t="s">
        <v>232</v>
      </c>
    </row>
    <row r="19485" spans="119:119" x14ac:dyDescent="0.2">
      <c r="DO19485" s="303" t="s">
        <v>232</v>
      </c>
    </row>
    <row r="19486" spans="119:119" x14ac:dyDescent="0.2">
      <c r="DO19486" s="303" t="s">
        <v>232</v>
      </c>
    </row>
    <row r="19487" spans="119:119" x14ac:dyDescent="0.2">
      <c r="DO19487" s="303" t="s">
        <v>232</v>
      </c>
    </row>
    <row r="19488" spans="119:119" x14ac:dyDescent="0.2">
      <c r="DO19488" s="303" t="s">
        <v>232</v>
      </c>
    </row>
    <row r="19489" spans="119:119" x14ac:dyDescent="0.2">
      <c r="DO19489" s="303" t="s">
        <v>232</v>
      </c>
    </row>
    <row r="19490" spans="119:119" x14ac:dyDescent="0.2">
      <c r="DO19490" s="303" t="s">
        <v>232</v>
      </c>
    </row>
    <row r="19491" spans="119:119" x14ac:dyDescent="0.2">
      <c r="DO19491" s="303" t="s">
        <v>232</v>
      </c>
    </row>
    <row r="19492" spans="119:119" x14ac:dyDescent="0.2">
      <c r="DO19492" s="303" t="s">
        <v>232</v>
      </c>
    </row>
    <row r="19493" spans="119:119" x14ac:dyDescent="0.2">
      <c r="DO19493" s="303" t="s">
        <v>232</v>
      </c>
    </row>
    <row r="19494" spans="119:119" x14ac:dyDescent="0.2">
      <c r="DO19494" s="303" t="s">
        <v>232</v>
      </c>
    </row>
    <row r="19495" spans="119:119" x14ac:dyDescent="0.2">
      <c r="DO19495" s="303" t="s">
        <v>232</v>
      </c>
    </row>
    <row r="19496" spans="119:119" x14ac:dyDescent="0.2">
      <c r="DO19496" s="303" t="s">
        <v>232</v>
      </c>
    </row>
    <row r="19497" spans="119:119" x14ac:dyDescent="0.2">
      <c r="DO19497" s="303" t="s">
        <v>232</v>
      </c>
    </row>
    <row r="19498" spans="119:119" x14ac:dyDescent="0.2">
      <c r="DO19498" s="303" t="s">
        <v>232</v>
      </c>
    </row>
    <row r="19499" spans="119:119" x14ac:dyDescent="0.2">
      <c r="DO19499" s="303" t="s">
        <v>232</v>
      </c>
    </row>
    <row r="19500" spans="119:119" x14ac:dyDescent="0.2">
      <c r="DO19500" s="303" t="s">
        <v>232</v>
      </c>
    </row>
    <row r="19501" spans="119:119" x14ac:dyDescent="0.2">
      <c r="DO19501" s="303" t="s">
        <v>232</v>
      </c>
    </row>
    <row r="19502" spans="119:119" x14ac:dyDescent="0.2">
      <c r="DO19502" s="303" t="s">
        <v>232</v>
      </c>
    </row>
    <row r="19503" spans="119:119" x14ac:dyDescent="0.2">
      <c r="DO19503" s="303" t="s">
        <v>232</v>
      </c>
    </row>
    <row r="19504" spans="119:119" x14ac:dyDescent="0.2">
      <c r="DO19504" s="303" t="s">
        <v>232</v>
      </c>
    </row>
    <row r="19505" spans="119:119" x14ac:dyDescent="0.2">
      <c r="DO19505" s="303" t="s">
        <v>232</v>
      </c>
    </row>
    <row r="19506" spans="119:119" x14ac:dyDescent="0.2">
      <c r="DO19506" s="303" t="s">
        <v>232</v>
      </c>
    </row>
    <row r="19507" spans="119:119" x14ac:dyDescent="0.2">
      <c r="DO19507" s="303" t="s">
        <v>232</v>
      </c>
    </row>
    <row r="19508" spans="119:119" x14ac:dyDescent="0.2">
      <c r="DO19508" s="303" t="s">
        <v>232</v>
      </c>
    </row>
    <row r="19509" spans="119:119" x14ac:dyDescent="0.2">
      <c r="DO19509" s="303" t="s">
        <v>232</v>
      </c>
    </row>
    <row r="19510" spans="119:119" x14ac:dyDescent="0.2">
      <c r="DO19510" s="303" t="s">
        <v>232</v>
      </c>
    </row>
    <row r="19511" spans="119:119" x14ac:dyDescent="0.2">
      <c r="DO19511" s="303" t="s">
        <v>232</v>
      </c>
    </row>
    <row r="19512" spans="119:119" x14ac:dyDescent="0.2">
      <c r="DO19512" s="303" t="s">
        <v>232</v>
      </c>
    </row>
    <row r="19513" spans="119:119" x14ac:dyDescent="0.2">
      <c r="DO19513" s="303" t="s">
        <v>232</v>
      </c>
    </row>
    <row r="19514" spans="119:119" x14ac:dyDescent="0.2">
      <c r="DO19514" s="303" t="s">
        <v>232</v>
      </c>
    </row>
    <row r="19515" spans="119:119" x14ac:dyDescent="0.2">
      <c r="DO19515" s="303" t="s">
        <v>232</v>
      </c>
    </row>
    <row r="19516" spans="119:119" x14ac:dyDescent="0.2">
      <c r="DO19516" s="303" t="s">
        <v>232</v>
      </c>
    </row>
    <row r="19517" spans="119:119" x14ac:dyDescent="0.2">
      <c r="DO19517" s="303" t="s">
        <v>232</v>
      </c>
    </row>
    <row r="19518" spans="119:119" x14ac:dyDescent="0.2">
      <c r="DO19518" s="303" t="s">
        <v>232</v>
      </c>
    </row>
    <row r="19519" spans="119:119" x14ac:dyDescent="0.2">
      <c r="DO19519" s="303" t="s">
        <v>232</v>
      </c>
    </row>
    <row r="19520" spans="119:119" x14ac:dyDescent="0.2">
      <c r="DO19520" s="303" t="s">
        <v>232</v>
      </c>
    </row>
    <row r="19521" spans="119:119" x14ac:dyDescent="0.2">
      <c r="DO19521" s="303" t="s">
        <v>232</v>
      </c>
    </row>
    <row r="19522" spans="119:119" x14ac:dyDescent="0.2">
      <c r="DO19522" s="303" t="s">
        <v>232</v>
      </c>
    </row>
    <row r="19523" spans="119:119" x14ac:dyDescent="0.2">
      <c r="DO19523" s="303" t="s">
        <v>232</v>
      </c>
    </row>
    <row r="19524" spans="119:119" x14ac:dyDescent="0.2">
      <c r="DO19524" s="303" t="s">
        <v>232</v>
      </c>
    </row>
    <row r="19525" spans="119:119" x14ac:dyDescent="0.2">
      <c r="DO19525" s="303" t="s">
        <v>232</v>
      </c>
    </row>
    <row r="19526" spans="119:119" x14ac:dyDescent="0.2">
      <c r="DO19526" s="303" t="s">
        <v>232</v>
      </c>
    </row>
    <row r="19527" spans="119:119" x14ac:dyDescent="0.2">
      <c r="DO19527" s="303" t="s">
        <v>232</v>
      </c>
    </row>
    <row r="19528" spans="119:119" x14ac:dyDescent="0.2">
      <c r="DO19528" s="303" t="s">
        <v>232</v>
      </c>
    </row>
    <row r="19529" spans="119:119" x14ac:dyDescent="0.2">
      <c r="DO19529" s="303" t="s">
        <v>232</v>
      </c>
    </row>
    <row r="19530" spans="119:119" x14ac:dyDescent="0.2">
      <c r="DO19530" s="303" t="s">
        <v>232</v>
      </c>
    </row>
    <row r="19531" spans="119:119" x14ac:dyDescent="0.2">
      <c r="DO19531" s="303" t="s">
        <v>232</v>
      </c>
    </row>
    <row r="19532" spans="119:119" x14ac:dyDescent="0.2">
      <c r="DO19532" s="303" t="s">
        <v>232</v>
      </c>
    </row>
    <row r="19533" spans="119:119" x14ac:dyDescent="0.2">
      <c r="DO19533" s="303" t="s">
        <v>232</v>
      </c>
    </row>
    <row r="19534" spans="119:119" x14ac:dyDescent="0.2">
      <c r="DO19534" s="303" t="s">
        <v>232</v>
      </c>
    </row>
    <row r="19535" spans="119:119" x14ac:dyDescent="0.2">
      <c r="DO19535" s="303" t="s">
        <v>232</v>
      </c>
    </row>
    <row r="19536" spans="119:119" x14ac:dyDescent="0.2">
      <c r="DO19536" s="303" t="s">
        <v>232</v>
      </c>
    </row>
    <row r="19537" spans="119:119" x14ac:dyDescent="0.2">
      <c r="DO19537" s="303" t="s">
        <v>232</v>
      </c>
    </row>
    <row r="19538" spans="119:119" x14ac:dyDescent="0.2">
      <c r="DO19538" s="303" t="s">
        <v>232</v>
      </c>
    </row>
    <row r="19539" spans="119:119" x14ac:dyDescent="0.2">
      <c r="DO19539" s="303" t="s">
        <v>232</v>
      </c>
    </row>
    <row r="19540" spans="119:119" x14ac:dyDescent="0.2">
      <c r="DO19540" s="303" t="s">
        <v>232</v>
      </c>
    </row>
    <row r="19541" spans="119:119" x14ac:dyDescent="0.2">
      <c r="DO19541" s="303" t="s">
        <v>232</v>
      </c>
    </row>
    <row r="19542" spans="119:119" x14ac:dyDescent="0.2">
      <c r="DO19542" s="303" t="s">
        <v>232</v>
      </c>
    </row>
    <row r="19543" spans="119:119" x14ac:dyDescent="0.2">
      <c r="DO19543" s="303" t="s">
        <v>232</v>
      </c>
    </row>
    <row r="19544" spans="119:119" x14ac:dyDescent="0.2">
      <c r="DO19544" s="303" t="s">
        <v>232</v>
      </c>
    </row>
    <row r="19545" spans="119:119" x14ac:dyDescent="0.2">
      <c r="DO19545" s="303" t="s">
        <v>232</v>
      </c>
    </row>
    <row r="19546" spans="119:119" x14ac:dyDescent="0.2">
      <c r="DO19546" s="303" t="s">
        <v>232</v>
      </c>
    </row>
    <row r="19547" spans="119:119" x14ac:dyDescent="0.2">
      <c r="DO19547" s="303" t="s">
        <v>232</v>
      </c>
    </row>
    <row r="19548" spans="119:119" x14ac:dyDescent="0.2">
      <c r="DO19548" s="303" t="s">
        <v>232</v>
      </c>
    </row>
    <row r="19549" spans="119:119" x14ac:dyDescent="0.2">
      <c r="DO19549" s="303" t="s">
        <v>232</v>
      </c>
    </row>
    <row r="19550" spans="119:119" x14ac:dyDescent="0.2">
      <c r="DO19550" s="303" t="s">
        <v>232</v>
      </c>
    </row>
    <row r="19551" spans="119:119" x14ac:dyDescent="0.2">
      <c r="DO19551" s="303" t="s">
        <v>232</v>
      </c>
    </row>
    <row r="19552" spans="119:119" x14ac:dyDescent="0.2">
      <c r="DO19552" s="303" t="s">
        <v>232</v>
      </c>
    </row>
    <row r="19553" spans="119:119" x14ac:dyDescent="0.2">
      <c r="DO19553" s="303" t="s">
        <v>232</v>
      </c>
    </row>
    <row r="19554" spans="119:119" x14ac:dyDescent="0.2">
      <c r="DO19554" s="303" t="s">
        <v>232</v>
      </c>
    </row>
    <row r="19555" spans="119:119" x14ac:dyDescent="0.2">
      <c r="DO19555" s="303" t="s">
        <v>232</v>
      </c>
    </row>
    <row r="19556" spans="119:119" x14ac:dyDescent="0.2">
      <c r="DO19556" s="303" t="s">
        <v>232</v>
      </c>
    </row>
    <row r="19557" spans="119:119" x14ac:dyDescent="0.2">
      <c r="DO19557" s="303" t="s">
        <v>232</v>
      </c>
    </row>
    <row r="19558" spans="119:119" x14ac:dyDescent="0.2">
      <c r="DO19558" s="303" t="s">
        <v>232</v>
      </c>
    </row>
    <row r="19559" spans="119:119" x14ac:dyDescent="0.2">
      <c r="DO19559" s="303" t="s">
        <v>232</v>
      </c>
    </row>
    <row r="19560" spans="119:119" x14ac:dyDescent="0.2">
      <c r="DO19560" s="303" t="s">
        <v>232</v>
      </c>
    </row>
    <row r="19561" spans="119:119" x14ac:dyDescent="0.2">
      <c r="DO19561" s="303" t="s">
        <v>232</v>
      </c>
    </row>
    <row r="19562" spans="119:119" x14ac:dyDescent="0.2">
      <c r="DO19562" s="303" t="s">
        <v>232</v>
      </c>
    </row>
    <row r="19563" spans="119:119" x14ac:dyDescent="0.2">
      <c r="DO19563" s="303" t="s">
        <v>232</v>
      </c>
    </row>
    <row r="19564" spans="119:119" x14ac:dyDescent="0.2">
      <c r="DO19564" s="303" t="s">
        <v>232</v>
      </c>
    </row>
    <row r="19565" spans="119:119" x14ac:dyDescent="0.2">
      <c r="DO19565" s="303" t="s">
        <v>232</v>
      </c>
    </row>
    <row r="19566" spans="119:119" x14ac:dyDescent="0.2">
      <c r="DO19566" s="303" t="s">
        <v>232</v>
      </c>
    </row>
    <row r="19567" spans="119:119" x14ac:dyDescent="0.2">
      <c r="DO19567" s="303" t="s">
        <v>232</v>
      </c>
    </row>
    <row r="19568" spans="119:119" x14ac:dyDescent="0.2">
      <c r="DO19568" s="303" t="s">
        <v>232</v>
      </c>
    </row>
    <row r="19569" spans="119:119" x14ac:dyDescent="0.2">
      <c r="DO19569" s="303" t="s">
        <v>232</v>
      </c>
    </row>
    <row r="19570" spans="119:119" x14ac:dyDescent="0.2">
      <c r="DO19570" s="303" t="s">
        <v>232</v>
      </c>
    </row>
    <row r="19571" spans="119:119" x14ac:dyDescent="0.2">
      <c r="DO19571" s="303" t="s">
        <v>232</v>
      </c>
    </row>
    <row r="19572" spans="119:119" x14ac:dyDescent="0.2">
      <c r="DO19572" s="303" t="s">
        <v>232</v>
      </c>
    </row>
    <row r="19573" spans="119:119" x14ac:dyDescent="0.2">
      <c r="DO19573" s="303" t="s">
        <v>232</v>
      </c>
    </row>
    <row r="19574" spans="119:119" x14ac:dyDescent="0.2">
      <c r="DO19574" s="303" t="s">
        <v>232</v>
      </c>
    </row>
    <row r="19575" spans="119:119" x14ac:dyDescent="0.2">
      <c r="DO19575" s="303" t="s">
        <v>232</v>
      </c>
    </row>
    <row r="19576" spans="119:119" x14ac:dyDescent="0.2">
      <c r="DO19576" s="303" t="s">
        <v>232</v>
      </c>
    </row>
    <row r="19577" spans="119:119" x14ac:dyDescent="0.2">
      <c r="DO19577" s="303" t="s">
        <v>232</v>
      </c>
    </row>
    <row r="19578" spans="119:119" x14ac:dyDescent="0.2">
      <c r="DO19578" s="303" t="s">
        <v>232</v>
      </c>
    </row>
    <row r="19579" spans="119:119" x14ac:dyDescent="0.2">
      <c r="DO19579" s="303" t="s">
        <v>232</v>
      </c>
    </row>
    <row r="19580" spans="119:119" x14ac:dyDescent="0.2">
      <c r="DO19580" s="303" t="s">
        <v>232</v>
      </c>
    </row>
    <row r="19581" spans="119:119" x14ac:dyDescent="0.2">
      <c r="DO19581" s="303" t="s">
        <v>232</v>
      </c>
    </row>
    <row r="19582" spans="119:119" x14ac:dyDescent="0.2">
      <c r="DO19582" s="303" t="s">
        <v>232</v>
      </c>
    </row>
    <row r="19583" spans="119:119" x14ac:dyDescent="0.2">
      <c r="DO19583" s="303" t="s">
        <v>232</v>
      </c>
    </row>
    <row r="19584" spans="119:119" x14ac:dyDescent="0.2">
      <c r="DO19584" s="303" t="s">
        <v>232</v>
      </c>
    </row>
    <row r="19585" spans="119:119" x14ac:dyDescent="0.2">
      <c r="DO19585" s="303" t="s">
        <v>232</v>
      </c>
    </row>
    <row r="19586" spans="119:119" x14ac:dyDescent="0.2">
      <c r="DO19586" s="303" t="s">
        <v>232</v>
      </c>
    </row>
    <row r="19587" spans="119:119" x14ac:dyDescent="0.2">
      <c r="DO19587" s="303" t="s">
        <v>232</v>
      </c>
    </row>
    <row r="19588" spans="119:119" x14ac:dyDescent="0.2">
      <c r="DO19588" s="303" t="s">
        <v>232</v>
      </c>
    </row>
    <row r="19589" spans="119:119" x14ac:dyDescent="0.2">
      <c r="DO19589" s="303" t="s">
        <v>232</v>
      </c>
    </row>
    <row r="19590" spans="119:119" x14ac:dyDescent="0.2">
      <c r="DO19590" s="303" t="s">
        <v>232</v>
      </c>
    </row>
    <row r="19591" spans="119:119" x14ac:dyDescent="0.2">
      <c r="DO19591" s="303" t="s">
        <v>232</v>
      </c>
    </row>
    <row r="19592" spans="119:119" x14ac:dyDescent="0.2">
      <c r="DO19592" s="303" t="s">
        <v>232</v>
      </c>
    </row>
    <row r="19593" spans="119:119" x14ac:dyDescent="0.2">
      <c r="DO19593" s="303" t="s">
        <v>232</v>
      </c>
    </row>
    <row r="19594" spans="119:119" x14ac:dyDescent="0.2">
      <c r="DO19594" s="303" t="s">
        <v>232</v>
      </c>
    </row>
    <row r="19595" spans="119:119" x14ac:dyDescent="0.2">
      <c r="DO19595" s="303" t="s">
        <v>232</v>
      </c>
    </row>
    <row r="19596" spans="119:119" x14ac:dyDescent="0.2">
      <c r="DO19596" s="303" t="s">
        <v>232</v>
      </c>
    </row>
    <row r="19597" spans="119:119" x14ac:dyDescent="0.2">
      <c r="DO19597" s="303" t="s">
        <v>232</v>
      </c>
    </row>
    <row r="19598" spans="119:119" x14ac:dyDescent="0.2">
      <c r="DO19598" s="303" t="s">
        <v>232</v>
      </c>
    </row>
    <row r="19599" spans="119:119" x14ac:dyDescent="0.2">
      <c r="DO19599" s="303" t="s">
        <v>232</v>
      </c>
    </row>
    <row r="19600" spans="119:119" x14ac:dyDescent="0.2">
      <c r="DO19600" s="303" t="s">
        <v>232</v>
      </c>
    </row>
    <row r="19601" spans="119:119" x14ac:dyDescent="0.2">
      <c r="DO19601" s="303" t="s">
        <v>232</v>
      </c>
    </row>
    <row r="19602" spans="119:119" x14ac:dyDescent="0.2">
      <c r="DO19602" s="303" t="s">
        <v>232</v>
      </c>
    </row>
    <row r="19603" spans="119:119" x14ac:dyDescent="0.2">
      <c r="DO19603" s="303" t="s">
        <v>232</v>
      </c>
    </row>
    <row r="19604" spans="119:119" x14ac:dyDescent="0.2">
      <c r="DO19604" s="303" t="s">
        <v>232</v>
      </c>
    </row>
    <row r="19605" spans="119:119" x14ac:dyDescent="0.2">
      <c r="DO19605" s="303" t="s">
        <v>232</v>
      </c>
    </row>
    <row r="19606" spans="119:119" x14ac:dyDescent="0.2">
      <c r="DO19606" s="303" t="s">
        <v>232</v>
      </c>
    </row>
    <row r="19607" spans="119:119" x14ac:dyDescent="0.2">
      <c r="DO19607" s="303" t="s">
        <v>232</v>
      </c>
    </row>
    <row r="19608" spans="119:119" x14ac:dyDescent="0.2">
      <c r="DO19608" s="303" t="s">
        <v>232</v>
      </c>
    </row>
    <row r="19609" spans="119:119" x14ac:dyDescent="0.2">
      <c r="DO19609" s="303" t="s">
        <v>232</v>
      </c>
    </row>
    <row r="19610" spans="119:119" x14ac:dyDescent="0.2">
      <c r="DO19610" s="303" t="s">
        <v>232</v>
      </c>
    </row>
    <row r="19611" spans="119:119" x14ac:dyDescent="0.2">
      <c r="DO19611" s="303" t="s">
        <v>232</v>
      </c>
    </row>
    <row r="19612" spans="119:119" x14ac:dyDescent="0.2">
      <c r="DO19612" s="303" t="s">
        <v>232</v>
      </c>
    </row>
    <row r="19613" spans="119:119" x14ac:dyDescent="0.2">
      <c r="DO19613" s="303" t="s">
        <v>232</v>
      </c>
    </row>
    <row r="19614" spans="119:119" x14ac:dyDescent="0.2">
      <c r="DO19614" s="303" t="s">
        <v>232</v>
      </c>
    </row>
    <row r="19615" spans="119:119" x14ac:dyDescent="0.2">
      <c r="DO19615" s="303" t="s">
        <v>232</v>
      </c>
    </row>
    <row r="19616" spans="119:119" x14ac:dyDescent="0.2">
      <c r="DO19616" s="303" t="s">
        <v>232</v>
      </c>
    </row>
    <row r="19617" spans="119:119" x14ac:dyDescent="0.2">
      <c r="DO19617" s="303" t="s">
        <v>232</v>
      </c>
    </row>
    <row r="19618" spans="119:119" x14ac:dyDescent="0.2">
      <c r="DO19618" s="303" t="s">
        <v>232</v>
      </c>
    </row>
    <row r="19619" spans="119:119" x14ac:dyDescent="0.2">
      <c r="DO19619" s="303" t="s">
        <v>232</v>
      </c>
    </row>
    <row r="19620" spans="119:119" x14ac:dyDescent="0.2">
      <c r="DO19620" s="303" t="s">
        <v>232</v>
      </c>
    </row>
    <row r="19621" spans="119:119" x14ac:dyDescent="0.2">
      <c r="DO19621" s="303" t="s">
        <v>232</v>
      </c>
    </row>
    <row r="19622" spans="119:119" x14ac:dyDescent="0.2">
      <c r="DO19622" s="303" t="s">
        <v>232</v>
      </c>
    </row>
    <row r="19623" spans="119:119" x14ac:dyDescent="0.2">
      <c r="DO19623" s="303" t="s">
        <v>232</v>
      </c>
    </row>
    <row r="19624" spans="119:119" x14ac:dyDescent="0.2">
      <c r="DO19624" s="303" t="s">
        <v>232</v>
      </c>
    </row>
    <row r="19625" spans="119:119" x14ac:dyDescent="0.2">
      <c r="DO19625" s="303" t="s">
        <v>232</v>
      </c>
    </row>
    <row r="19626" spans="119:119" x14ac:dyDescent="0.2">
      <c r="DO19626" s="303" t="s">
        <v>232</v>
      </c>
    </row>
    <row r="19627" spans="119:119" x14ac:dyDescent="0.2">
      <c r="DO19627" s="303" t="s">
        <v>232</v>
      </c>
    </row>
    <row r="19628" spans="119:119" x14ac:dyDescent="0.2">
      <c r="DO19628" s="303" t="s">
        <v>232</v>
      </c>
    </row>
    <row r="19629" spans="119:119" x14ac:dyDescent="0.2">
      <c r="DO19629" s="303" t="s">
        <v>232</v>
      </c>
    </row>
    <row r="19630" spans="119:119" x14ac:dyDescent="0.2">
      <c r="DO19630" s="303" t="s">
        <v>232</v>
      </c>
    </row>
    <row r="19631" spans="119:119" x14ac:dyDescent="0.2">
      <c r="DO19631" s="303" t="s">
        <v>232</v>
      </c>
    </row>
    <row r="19632" spans="119:119" x14ac:dyDescent="0.2">
      <c r="DO19632" s="303" t="s">
        <v>232</v>
      </c>
    </row>
    <row r="19633" spans="119:119" x14ac:dyDescent="0.2">
      <c r="DO19633" s="303" t="s">
        <v>232</v>
      </c>
    </row>
    <row r="19634" spans="119:119" x14ac:dyDescent="0.2">
      <c r="DO19634" s="303" t="s">
        <v>232</v>
      </c>
    </row>
    <row r="19635" spans="119:119" x14ac:dyDescent="0.2">
      <c r="DO19635" s="303" t="s">
        <v>232</v>
      </c>
    </row>
    <row r="19636" spans="119:119" x14ac:dyDescent="0.2">
      <c r="DO19636" s="303" t="s">
        <v>232</v>
      </c>
    </row>
    <row r="19637" spans="119:119" x14ac:dyDescent="0.2">
      <c r="DO19637" s="303" t="s">
        <v>232</v>
      </c>
    </row>
    <row r="19638" spans="119:119" x14ac:dyDescent="0.2">
      <c r="DO19638" s="303" t="s">
        <v>232</v>
      </c>
    </row>
    <row r="19639" spans="119:119" x14ac:dyDescent="0.2">
      <c r="DO19639" s="303" t="s">
        <v>232</v>
      </c>
    </row>
    <row r="19640" spans="119:119" x14ac:dyDescent="0.2">
      <c r="DO19640" s="303" t="s">
        <v>232</v>
      </c>
    </row>
    <row r="19641" spans="119:119" x14ac:dyDescent="0.2">
      <c r="DO19641" s="303" t="s">
        <v>232</v>
      </c>
    </row>
    <row r="19642" spans="119:119" x14ac:dyDescent="0.2">
      <c r="DO19642" s="303" t="s">
        <v>232</v>
      </c>
    </row>
    <row r="19643" spans="119:119" x14ac:dyDescent="0.2">
      <c r="DO19643" s="303" t="s">
        <v>232</v>
      </c>
    </row>
    <row r="19644" spans="119:119" x14ac:dyDescent="0.2">
      <c r="DO19644" s="303" t="s">
        <v>232</v>
      </c>
    </row>
    <row r="19645" spans="119:119" x14ac:dyDescent="0.2">
      <c r="DO19645" s="303" t="s">
        <v>232</v>
      </c>
    </row>
    <row r="19646" spans="119:119" x14ac:dyDescent="0.2">
      <c r="DO19646" s="303" t="s">
        <v>232</v>
      </c>
    </row>
    <row r="19647" spans="119:119" x14ac:dyDescent="0.2">
      <c r="DO19647" s="303" t="s">
        <v>232</v>
      </c>
    </row>
    <row r="19648" spans="119:119" x14ac:dyDescent="0.2">
      <c r="DO19648" s="303" t="s">
        <v>232</v>
      </c>
    </row>
    <row r="19649" spans="119:119" x14ac:dyDescent="0.2">
      <c r="DO19649" s="303" t="s">
        <v>232</v>
      </c>
    </row>
    <row r="19650" spans="119:119" x14ac:dyDescent="0.2">
      <c r="DO19650" s="303" t="s">
        <v>232</v>
      </c>
    </row>
    <row r="19651" spans="119:119" x14ac:dyDescent="0.2">
      <c r="DO19651" s="303" t="s">
        <v>232</v>
      </c>
    </row>
    <row r="19652" spans="119:119" x14ac:dyDescent="0.2">
      <c r="DO19652" s="303" t="s">
        <v>232</v>
      </c>
    </row>
    <row r="19653" spans="119:119" x14ac:dyDescent="0.2">
      <c r="DO19653" s="303" t="s">
        <v>232</v>
      </c>
    </row>
    <row r="19654" spans="119:119" x14ac:dyDescent="0.2">
      <c r="DO19654" s="303" t="s">
        <v>232</v>
      </c>
    </row>
    <row r="19655" spans="119:119" x14ac:dyDescent="0.2">
      <c r="DO19655" s="303" t="s">
        <v>232</v>
      </c>
    </row>
    <row r="19656" spans="119:119" x14ac:dyDescent="0.2">
      <c r="DO19656" s="303" t="s">
        <v>232</v>
      </c>
    </row>
    <row r="19657" spans="119:119" x14ac:dyDescent="0.2">
      <c r="DO19657" s="303" t="s">
        <v>232</v>
      </c>
    </row>
    <row r="19658" spans="119:119" x14ac:dyDescent="0.2">
      <c r="DO19658" s="303" t="s">
        <v>232</v>
      </c>
    </row>
    <row r="19659" spans="119:119" x14ac:dyDescent="0.2">
      <c r="DO19659" s="303" t="s">
        <v>232</v>
      </c>
    </row>
    <row r="19660" spans="119:119" x14ac:dyDescent="0.2">
      <c r="DO19660" s="303" t="s">
        <v>232</v>
      </c>
    </row>
    <row r="19661" spans="119:119" x14ac:dyDescent="0.2">
      <c r="DO19661" s="303" t="s">
        <v>232</v>
      </c>
    </row>
    <row r="19662" spans="119:119" x14ac:dyDescent="0.2">
      <c r="DO19662" s="303" t="s">
        <v>232</v>
      </c>
    </row>
    <row r="19663" spans="119:119" x14ac:dyDescent="0.2">
      <c r="DO19663" s="303" t="s">
        <v>232</v>
      </c>
    </row>
    <row r="19664" spans="119:119" x14ac:dyDescent="0.2">
      <c r="DO19664" s="303" t="s">
        <v>232</v>
      </c>
    </row>
    <row r="19665" spans="119:119" x14ac:dyDescent="0.2">
      <c r="DO19665" s="303" t="s">
        <v>232</v>
      </c>
    </row>
    <row r="19666" spans="119:119" x14ac:dyDescent="0.2">
      <c r="DO19666" s="303" t="s">
        <v>232</v>
      </c>
    </row>
    <row r="19667" spans="119:119" x14ac:dyDescent="0.2">
      <c r="DO19667" s="303" t="s">
        <v>232</v>
      </c>
    </row>
    <row r="19668" spans="119:119" x14ac:dyDescent="0.2">
      <c r="DO19668" s="303" t="s">
        <v>232</v>
      </c>
    </row>
    <row r="19669" spans="119:119" x14ac:dyDescent="0.2">
      <c r="DO19669" s="303" t="s">
        <v>232</v>
      </c>
    </row>
    <row r="19670" spans="119:119" x14ac:dyDescent="0.2">
      <c r="DO19670" s="303" t="s">
        <v>232</v>
      </c>
    </row>
    <row r="19671" spans="119:119" x14ac:dyDescent="0.2">
      <c r="DO19671" s="303" t="s">
        <v>232</v>
      </c>
    </row>
    <row r="19672" spans="119:119" x14ac:dyDescent="0.2">
      <c r="DO19672" s="303" t="s">
        <v>232</v>
      </c>
    </row>
    <row r="19673" spans="119:119" x14ac:dyDescent="0.2">
      <c r="DO19673" s="303" t="s">
        <v>232</v>
      </c>
    </row>
    <row r="19674" spans="119:119" x14ac:dyDescent="0.2">
      <c r="DO19674" s="303" t="s">
        <v>232</v>
      </c>
    </row>
    <row r="19675" spans="119:119" x14ac:dyDescent="0.2">
      <c r="DO19675" s="303" t="s">
        <v>232</v>
      </c>
    </row>
    <row r="19676" spans="119:119" x14ac:dyDescent="0.2">
      <c r="DO19676" s="303" t="s">
        <v>232</v>
      </c>
    </row>
    <row r="19677" spans="119:119" x14ac:dyDescent="0.2">
      <c r="DO19677" s="303" t="s">
        <v>232</v>
      </c>
    </row>
    <row r="19678" spans="119:119" x14ac:dyDescent="0.2">
      <c r="DO19678" s="303" t="s">
        <v>232</v>
      </c>
    </row>
    <row r="19679" spans="119:119" x14ac:dyDescent="0.2">
      <c r="DO19679" s="303" t="s">
        <v>232</v>
      </c>
    </row>
    <row r="19680" spans="119:119" x14ac:dyDescent="0.2">
      <c r="DO19680" s="303" t="s">
        <v>232</v>
      </c>
    </row>
    <row r="19681" spans="119:119" x14ac:dyDescent="0.2">
      <c r="DO19681" s="303" t="s">
        <v>232</v>
      </c>
    </row>
    <row r="19682" spans="119:119" x14ac:dyDescent="0.2">
      <c r="DO19682" s="303" t="s">
        <v>232</v>
      </c>
    </row>
    <row r="19683" spans="119:119" x14ac:dyDescent="0.2">
      <c r="DO19683" s="303" t="s">
        <v>232</v>
      </c>
    </row>
    <row r="19684" spans="119:119" x14ac:dyDescent="0.2">
      <c r="DO19684" s="303" t="s">
        <v>232</v>
      </c>
    </row>
    <row r="19685" spans="119:119" x14ac:dyDescent="0.2">
      <c r="DO19685" s="303" t="s">
        <v>232</v>
      </c>
    </row>
    <row r="19686" spans="119:119" x14ac:dyDescent="0.2">
      <c r="DO19686" s="303" t="s">
        <v>232</v>
      </c>
    </row>
    <row r="19687" spans="119:119" x14ac:dyDescent="0.2">
      <c r="DO19687" s="303" t="s">
        <v>232</v>
      </c>
    </row>
    <row r="19688" spans="119:119" x14ac:dyDescent="0.2">
      <c r="DO19688" s="303" t="s">
        <v>232</v>
      </c>
    </row>
    <row r="19689" spans="119:119" x14ac:dyDescent="0.2">
      <c r="DO19689" s="303" t="s">
        <v>232</v>
      </c>
    </row>
    <row r="19690" spans="119:119" x14ac:dyDescent="0.2">
      <c r="DO19690" s="303" t="s">
        <v>232</v>
      </c>
    </row>
    <row r="19691" spans="119:119" x14ac:dyDescent="0.2">
      <c r="DO19691" s="303" t="s">
        <v>232</v>
      </c>
    </row>
    <row r="19692" spans="119:119" x14ac:dyDescent="0.2">
      <c r="DO19692" s="303" t="s">
        <v>232</v>
      </c>
    </row>
    <row r="19693" spans="119:119" x14ac:dyDescent="0.2">
      <c r="DO19693" s="303" t="s">
        <v>232</v>
      </c>
    </row>
    <row r="19694" spans="119:119" x14ac:dyDescent="0.2">
      <c r="DO19694" s="303" t="s">
        <v>232</v>
      </c>
    </row>
    <row r="19695" spans="119:119" x14ac:dyDescent="0.2">
      <c r="DO19695" s="303" t="s">
        <v>232</v>
      </c>
    </row>
    <row r="19696" spans="119:119" x14ac:dyDescent="0.2">
      <c r="DO19696" s="303" t="s">
        <v>232</v>
      </c>
    </row>
    <row r="19697" spans="119:119" x14ac:dyDescent="0.2">
      <c r="DO19697" s="303" t="s">
        <v>232</v>
      </c>
    </row>
    <row r="19698" spans="119:119" x14ac:dyDescent="0.2">
      <c r="DO19698" s="303" t="s">
        <v>232</v>
      </c>
    </row>
    <row r="19699" spans="119:119" x14ac:dyDescent="0.2">
      <c r="DO19699" s="303" t="s">
        <v>232</v>
      </c>
    </row>
    <row r="19700" spans="119:119" x14ac:dyDescent="0.2">
      <c r="DO19700" s="303" t="s">
        <v>232</v>
      </c>
    </row>
    <row r="19701" spans="119:119" x14ac:dyDescent="0.2">
      <c r="DO19701" s="303" t="s">
        <v>232</v>
      </c>
    </row>
    <row r="19702" spans="119:119" x14ac:dyDescent="0.2">
      <c r="DO19702" s="303" t="s">
        <v>232</v>
      </c>
    </row>
    <row r="19703" spans="119:119" x14ac:dyDescent="0.2">
      <c r="DO19703" s="303" t="s">
        <v>232</v>
      </c>
    </row>
    <row r="19704" spans="119:119" x14ac:dyDescent="0.2">
      <c r="DO19704" s="303" t="s">
        <v>232</v>
      </c>
    </row>
    <row r="19705" spans="119:119" x14ac:dyDescent="0.2">
      <c r="DO19705" s="303" t="s">
        <v>232</v>
      </c>
    </row>
    <row r="19706" spans="119:119" x14ac:dyDescent="0.2">
      <c r="DO19706" s="303" t="s">
        <v>232</v>
      </c>
    </row>
    <row r="19707" spans="119:119" x14ac:dyDescent="0.2">
      <c r="DO19707" s="303" t="s">
        <v>232</v>
      </c>
    </row>
    <row r="19708" spans="119:119" x14ac:dyDescent="0.2">
      <c r="DO19708" s="303" t="s">
        <v>232</v>
      </c>
    </row>
    <row r="19709" spans="119:119" x14ac:dyDescent="0.2">
      <c r="DO19709" s="303" t="s">
        <v>232</v>
      </c>
    </row>
    <row r="19710" spans="119:119" x14ac:dyDescent="0.2">
      <c r="DO19710" s="303" t="s">
        <v>232</v>
      </c>
    </row>
    <row r="19711" spans="119:119" x14ac:dyDescent="0.2">
      <c r="DO19711" s="303" t="s">
        <v>232</v>
      </c>
    </row>
    <row r="19712" spans="119:119" x14ac:dyDescent="0.2">
      <c r="DO19712" s="303" t="s">
        <v>232</v>
      </c>
    </row>
    <row r="19713" spans="119:119" x14ac:dyDescent="0.2">
      <c r="DO19713" s="303" t="s">
        <v>232</v>
      </c>
    </row>
    <row r="19714" spans="119:119" x14ac:dyDescent="0.2">
      <c r="DO19714" s="303" t="s">
        <v>232</v>
      </c>
    </row>
    <row r="19715" spans="119:119" x14ac:dyDescent="0.2">
      <c r="DO19715" s="303" t="s">
        <v>232</v>
      </c>
    </row>
    <row r="19716" spans="119:119" x14ac:dyDescent="0.2">
      <c r="DO19716" s="303" t="s">
        <v>232</v>
      </c>
    </row>
    <row r="19717" spans="119:119" x14ac:dyDescent="0.2">
      <c r="DO19717" s="303" t="s">
        <v>232</v>
      </c>
    </row>
    <row r="19718" spans="119:119" x14ac:dyDescent="0.2">
      <c r="DO19718" s="303" t="s">
        <v>232</v>
      </c>
    </row>
    <row r="19719" spans="119:119" x14ac:dyDescent="0.2">
      <c r="DO19719" s="303" t="s">
        <v>232</v>
      </c>
    </row>
    <row r="19720" spans="119:119" x14ac:dyDescent="0.2">
      <c r="DO19720" s="303" t="s">
        <v>232</v>
      </c>
    </row>
    <row r="19721" spans="119:119" x14ac:dyDescent="0.2">
      <c r="DO19721" s="303" t="s">
        <v>232</v>
      </c>
    </row>
    <row r="19722" spans="119:119" x14ac:dyDescent="0.2">
      <c r="DO19722" s="303" t="s">
        <v>232</v>
      </c>
    </row>
    <row r="19723" spans="119:119" x14ac:dyDescent="0.2">
      <c r="DO19723" s="303" t="s">
        <v>232</v>
      </c>
    </row>
    <row r="19724" spans="119:119" x14ac:dyDescent="0.2">
      <c r="DO19724" s="303" t="s">
        <v>232</v>
      </c>
    </row>
    <row r="19725" spans="119:119" x14ac:dyDescent="0.2">
      <c r="DO19725" s="303" t="s">
        <v>232</v>
      </c>
    </row>
    <row r="19726" spans="119:119" x14ac:dyDescent="0.2">
      <c r="DO19726" s="303" t="s">
        <v>232</v>
      </c>
    </row>
    <row r="19727" spans="119:119" x14ac:dyDescent="0.2">
      <c r="DO19727" s="303" t="s">
        <v>232</v>
      </c>
    </row>
    <row r="19728" spans="119:119" x14ac:dyDescent="0.2">
      <c r="DO19728" s="303" t="s">
        <v>232</v>
      </c>
    </row>
    <row r="19729" spans="119:119" x14ac:dyDescent="0.2">
      <c r="DO19729" s="303" t="s">
        <v>232</v>
      </c>
    </row>
    <row r="19730" spans="119:119" x14ac:dyDescent="0.2">
      <c r="DO19730" s="303" t="s">
        <v>232</v>
      </c>
    </row>
    <row r="19731" spans="119:119" x14ac:dyDescent="0.2">
      <c r="DO19731" s="303" t="s">
        <v>232</v>
      </c>
    </row>
    <row r="19732" spans="119:119" x14ac:dyDescent="0.2">
      <c r="DO19732" s="303" t="s">
        <v>232</v>
      </c>
    </row>
    <row r="19733" spans="119:119" x14ac:dyDescent="0.2">
      <c r="DO19733" s="303" t="s">
        <v>232</v>
      </c>
    </row>
    <row r="19734" spans="119:119" x14ac:dyDescent="0.2">
      <c r="DO19734" s="303" t="s">
        <v>232</v>
      </c>
    </row>
    <row r="19735" spans="119:119" x14ac:dyDescent="0.2">
      <c r="DO19735" s="303" t="s">
        <v>232</v>
      </c>
    </row>
    <row r="19736" spans="119:119" x14ac:dyDescent="0.2">
      <c r="DO19736" s="303" t="s">
        <v>232</v>
      </c>
    </row>
    <row r="19737" spans="119:119" x14ac:dyDescent="0.2">
      <c r="DO19737" s="303" t="s">
        <v>232</v>
      </c>
    </row>
    <row r="19738" spans="119:119" x14ac:dyDescent="0.2">
      <c r="DO19738" s="303" t="s">
        <v>232</v>
      </c>
    </row>
    <row r="19739" spans="119:119" x14ac:dyDescent="0.2">
      <c r="DO19739" s="303" t="s">
        <v>232</v>
      </c>
    </row>
    <row r="19740" spans="119:119" x14ac:dyDescent="0.2">
      <c r="DO19740" s="303" t="s">
        <v>232</v>
      </c>
    </row>
    <row r="19741" spans="119:119" x14ac:dyDescent="0.2">
      <c r="DO19741" s="303" t="s">
        <v>232</v>
      </c>
    </row>
    <row r="19742" spans="119:119" x14ac:dyDescent="0.2">
      <c r="DO19742" s="303" t="s">
        <v>232</v>
      </c>
    </row>
    <row r="19743" spans="119:119" x14ac:dyDescent="0.2">
      <c r="DO19743" s="303" t="s">
        <v>232</v>
      </c>
    </row>
    <row r="19744" spans="119:119" x14ac:dyDescent="0.2">
      <c r="DO19744" s="303" t="s">
        <v>232</v>
      </c>
    </row>
    <row r="19745" spans="119:119" x14ac:dyDescent="0.2">
      <c r="DO19745" s="303" t="s">
        <v>232</v>
      </c>
    </row>
    <row r="19746" spans="119:119" x14ac:dyDescent="0.2">
      <c r="DO19746" s="303" t="s">
        <v>232</v>
      </c>
    </row>
    <row r="19747" spans="119:119" x14ac:dyDescent="0.2">
      <c r="DO19747" s="303" t="s">
        <v>232</v>
      </c>
    </row>
    <row r="19748" spans="119:119" x14ac:dyDescent="0.2">
      <c r="DO19748" s="303" t="s">
        <v>232</v>
      </c>
    </row>
    <row r="19749" spans="119:119" x14ac:dyDescent="0.2">
      <c r="DO19749" s="303" t="s">
        <v>232</v>
      </c>
    </row>
    <row r="19750" spans="119:119" x14ac:dyDescent="0.2">
      <c r="DO19750" s="303" t="s">
        <v>232</v>
      </c>
    </row>
    <row r="19751" spans="119:119" x14ac:dyDescent="0.2">
      <c r="DO19751" s="303" t="s">
        <v>232</v>
      </c>
    </row>
    <row r="19752" spans="119:119" x14ac:dyDescent="0.2">
      <c r="DO19752" s="303" t="s">
        <v>232</v>
      </c>
    </row>
    <row r="19753" spans="119:119" x14ac:dyDescent="0.2">
      <c r="DO19753" s="303" t="s">
        <v>232</v>
      </c>
    </row>
    <row r="19754" spans="119:119" x14ac:dyDescent="0.2">
      <c r="DO19754" s="303" t="s">
        <v>232</v>
      </c>
    </row>
    <row r="19755" spans="119:119" x14ac:dyDescent="0.2">
      <c r="DO19755" s="303" t="s">
        <v>232</v>
      </c>
    </row>
    <row r="19756" spans="119:119" x14ac:dyDescent="0.2">
      <c r="DO19756" s="303" t="s">
        <v>232</v>
      </c>
    </row>
    <row r="19757" spans="119:119" x14ac:dyDescent="0.2">
      <c r="DO19757" s="303" t="s">
        <v>232</v>
      </c>
    </row>
    <row r="19758" spans="119:119" x14ac:dyDescent="0.2">
      <c r="DO19758" s="303" t="s">
        <v>232</v>
      </c>
    </row>
    <row r="19759" spans="119:119" x14ac:dyDescent="0.2">
      <c r="DO19759" s="303" t="s">
        <v>232</v>
      </c>
    </row>
    <row r="19760" spans="119:119" x14ac:dyDescent="0.2">
      <c r="DO19760" s="303" t="s">
        <v>232</v>
      </c>
    </row>
    <row r="19761" spans="119:119" x14ac:dyDescent="0.2">
      <c r="DO19761" s="303" t="s">
        <v>232</v>
      </c>
    </row>
    <row r="19762" spans="119:119" x14ac:dyDescent="0.2">
      <c r="DO19762" s="303" t="s">
        <v>232</v>
      </c>
    </row>
    <row r="19763" spans="119:119" x14ac:dyDescent="0.2">
      <c r="DO19763" s="303" t="s">
        <v>232</v>
      </c>
    </row>
    <row r="19764" spans="119:119" x14ac:dyDescent="0.2">
      <c r="DO19764" s="303" t="s">
        <v>232</v>
      </c>
    </row>
    <row r="19765" spans="119:119" x14ac:dyDescent="0.2">
      <c r="DO19765" s="303" t="s">
        <v>232</v>
      </c>
    </row>
    <row r="19766" spans="119:119" x14ac:dyDescent="0.2">
      <c r="DO19766" s="303" t="s">
        <v>232</v>
      </c>
    </row>
    <row r="19767" spans="119:119" x14ac:dyDescent="0.2">
      <c r="DO19767" s="303" t="s">
        <v>232</v>
      </c>
    </row>
    <row r="19768" spans="119:119" x14ac:dyDescent="0.2">
      <c r="DO19768" s="303" t="s">
        <v>232</v>
      </c>
    </row>
    <row r="19769" spans="119:119" x14ac:dyDescent="0.2">
      <c r="DO19769" s="303" t="s">
        <v>232</v>
      </c>
    </row>
    <row r="19770" spans="119:119" x14ac:dyDescent="0.2">
      <c r="DO19770" s="303" t="s">
        <v>232</v>
      </c>
    </row>
    <row r="19771" spans="119:119" x14ac:dyDescent="0.2">
      <c r="DO19771" s="303" t="s">
        <v>232</v>
      </c>
    </row>
    <row r="19772" spans="119:119" x14ac:dyDescent="0.2">
      <c r="DO19772" s="303" t="s">
        <v>232</v>
      </c>
    </row>
    <row r="19773" spans="119:119" x14ac:dyDescent="0.2">
      <c r="DO19773" s="303" t="s">
        <v>232</v>
      </c>
    </row>
    <row r="19774" spans="119:119" x14ac:dyDescent="0.2">
      <c r="DO19774" s="303" t="s">
        <v>232</v>
      </c>
    </row>
    <row r="19775" spans="119:119" x14ac:dyDescent="0.2">
      <c r="DO19775" s="303" t="s">
        <v>232</v>
      </c>
    </row>
    <row r="19776" spans="119:119" x14ac:dyDescent="0.2">
      <c r="DO19776" s="303" t="s">
        <v>232</v>
      </c>
    </row>
    <row r="19777" spans="119:119" x14ac:dyDescent="0.2">
      <c r="DO19777" s="303" t="s">
        <v>232</v>
      </c>
    </row>
    <row r="19778" spans="119:119" x14ac:dyDescent="0.2">
      <c r="DO19778" s="303" t="s">
        <v>232</v>
      </c>
    </row>
    <row r="19779" spans="119:119" x14ac:dyDescent="0.2">
      <c r="DO19779" s="303" t="s">
        <v>232</v>
      </c>
    </row>
    <row r="19780" spans="119:119" x14ac:dyDescent="0.2">
      <c r="DO19780" s="303" t="s">
        <v>232</v>
      </c>
    </row>
    <row r="19781" spans="119:119" x14ac:dyDescent="0.2">
      <c r="DO19781" s="303" t="s">
        <v>232</v>
      </c>
    </row>
    <row r="19782" spans="119:119" x14ac:dyDescent="0.2">
      <c r="DO19782" s="303" t="s">
        <v>232</v>
      </c>
    </row>
    <row r="19783" spans="119:119" x14ac:dyDescent="0.2">
      <c r="DO19783" s="303" t="s">
        <v>232</v>
      </c>
    </row>
    <row r="19784" spans="119:119" x14ac:dyDescent="0.2">
      <c r="DO19784" s="303" t="s">
        <v>232</v>
      </c>
    </row>
    <row r="19785" spans="119:119" x14ac:dyDescent="0.2">
      <c r="DO19785" s="303" t="s">
        <v>232</v>
      </c>
    </row>
    <row r="19786" spans="119:119" x14ac:dyDescent="0.2">
      <c r="DO19786" s="303" t="s">
        <v>232</v>
      </c>
    </row>
    <row r="19787" spans="119:119" x14ac:dyDescent="0.2">
      <c r="DO19787" s="303" t="s">
        <v>232</v>
      </c>
    </row>
    <row r="19788" spans="119:119" x14ac:dyDescent="0.2">
      <c r="DO19788" s="303" t="s">
        <v>232</v>
      </c>
    </row>
    <row r="19789" spans="119:119" x14ac:dyDescent="0.2">
      <c r="DO19789" s="303" t="s">
        <v>232</v>
      </c>
    </row>
    <row r="19790" spans="119:119" x14ac:dyDescent="0.2">
      <c r="DO19790" s="303" t="s">
        <v>232</v>
      </c>
    </row>
    <row r="19791" spans="119:119" x14ac:dyDescent="0.2">
      <c r="DO19791" s="303" t="s">
        <v>232</v>
      </c>
    </row>
    <row r="19792" spans="119:119" x14ac:dyDescent="0.2">
      <c r="DO19792" s="303" t="s">
        <v>232</v>
      </c>
    </row>
    <row r="19793" spans="119:119" x14ac:dyDescent="0.2">
      <c r="DO19793" s="303" t="s">
        <v>232</v>
      </c>
    </row>
    <row r="19794" spans="119:119" x14ac:dyDescent="0.2">
      <c r="DO19794" s="303" t="s">
        <v>232</v>
      </c>
    </row>
    <row r="19795" spans="119:119" x14ac:dyDescent="0.2">
      <c r="DO19795" s="303" t="s">
        <v>232</v>
      </c>
    </row>
    <row r="19796" spans="119:119" x14ac:dyDescent="0.2">
      <c r="DO19796" s="303" t="s">
        <v>232</v>
      </c>
    </row>
    <row r="19797" spans="119:119" x14ac:dyDescent="0.2">
      <c r="DO19797" s="303" t="s">
        <v>232</v>
      </c>
    </row>
    <row r="19798" spans="119:119" x14ac:dyDescent="0.2">
      <c r="DO19798" s="303" t="s">
        <v>232</v>
      </c>
    </row>
    <row r="19799" spans="119:119" x14ac:dyDescent="0.2">
      <c r="DO19799" s="303" t="s">
        <v>232</v>
      </c>
    </row>
    <row r="19800" spans="119:119" x14ac:dyDescent="0.2">
      <c r="DO19800" s="303" t="s">
        <v>232</v>
      </c>
    </row>
    <row r="19801" spans="119:119" x14ac:dyDescent="0.2">
      <c r="DO19801" s="303" t="s">
        <v>232</v>
      </c>
    </row>
    <row r="19802" spans="119:119" x14ac:dyDescent="0.2">
      <c r="DO19802" s="303" t="s">
        <v>232</v>
      </c>
    </row>
    <row r="19803" spans="119:119" x14ac:dyDescent="0.2">
      <c r="DO19803" s="303" t="s">
        <v>232</v>
      </c>
    </row>
    <row r="19804" spans="119:119" x14ac:dyDescent="0.2">
      <c r="DO19804" s="303" t="s">
        <v>232</v>
      </c>
    </row>
    <row r="19805" spans="119:119" x14ac:dyDescent="0.2">
      <c r="DO19805" s="303" t="s">
        <v>232</v>
      </c>
    </row>
    <row r="19806" spans="119:119" x14ac:dyDescent="0.2">
      <c r="DO19806" s="303" t="s">
        <v>232</v>
      </c>
    </row>
    <row r="19807" spans="119:119" x14ac:dyDescent="0.2">
      <c r="DO19807" s="303" t="s">
        <v>232</v>
      </c>
    </row>
    <row r="19808" spans="119:119" x14ac:dyDescent="0.2">
      <c r="DO19808" s="303" t="s">
        <v>232</v>
      </c>
    </row>
    <row r="19809" spans="119:119" x14ac:dyDescent="0.2">
      <c r="DO19809" s="303" t="s">
        <v>232</v>
      </c>
    </row>
    <row r="19810" spans="119:119" x14ac:dyDescent="0.2">
      <c r="DO19810" s="303" t="s">
        <v>232</v>
      </c>
    </row>
    <row r="19811" spans="119:119" x14ac:dyDescent="0.2">
      <c r="DO19811" s="303" t="s">
        <v>232</v>
      </c>
    </row>
    <row r="19812" spans="119:119" x14ac:dyDescent="0.2">
      <c r="DO19812" s="303" t="s">
        <v>232</v>
      </c>
    </row>
    <row r="19813" spans="119:119" x14ac:dyDescent="0.2">
      <c r="DO19813" s="303" t="s">
        <v>232</v>
      </c>
    </row>
    <row r="19814" spans="119:119" x14ac:dyDescent="0.2">
      <c r="DO19814" s="303" t="s">
        <v>232</v>
      </c>
    </row>
    <row r="19815" spans="119:119" x14ac:dyDescent="0.2">
      <c r="DO19815" s="303" t="s">
        <v>232</v>
      </c>
    </row>
    <row r="19816" spans="119:119" x14ac:dyDescent="0.2">
      <c r="DO19816" s="303" t="s">
        <v>232</v>
      </c>
    </row>
    <row r="19817" spans="119:119" x14ac:dyDescent="0.2">
      <c r="DO19817" s="303" t="s">
        <v>232</v>
      </c>
    </row>
    <row r="19818" spans="119:119" x14ac:dyDescent="0.2">
      <c r="DO19818" s="303" t="s">
        <v>232</v>
      </c>
    </row>
    <row r="19819" spans="119:119" x14ac:dyDescent="0.2">
      <c r="DO19819" s="303" t="s">
        <v>232</v>
      </c>
    </row>
    <row r="19820" spans="119:119" x14ac:dyDescent="0.2">
      <c r="DO19820" s="303" t="s">
        <v>232</v>
      </c>
    </row>
    <row r="19821" spans="119:119" x14ac:dyDescent="0.2">
      <c r="DO19821" s="303" t="s">
        <v>232</v>
      </c>
    </row>
    <row r="19822" spans="119:119" x14ac:dyDescent="0.2">
      <c r="DO19822" s="303" t="s">
        <v>232</v>
      </c>
    </row>
    <row r="19823" spans="119:119" x14ac:dyDescent="0.2">
      <c r="DO19823" s="303" t="s">
        <v>232</v>
      </c>
    </row>
    <row r="19824" spans="119:119" x14ac:dyDescent="0.2">
      <c r="DO19824" s="303" t="s">
        <v>232</v>
      </c>
    </row>
    <row r="19825" spans="119:119" x14ac:dyDescent="0.2">
      <c r="DO19825" s="303" t="s">
        <v>232</v>
      </c>
    </row>
    <row r="19826" spans="119:119" x14ac:dyDescent="0.2">
      <c r="DO19826" s="303" t="s">
        <v>232</v>
      </c>
    </row>
    <row r="19827" spans="119:119" x14ac:dyDescent="0.2">
      <c r="DO19827" s="303" t="s">
        <v>232</v>
      </c>
    </row>
    <row r="19828" spans="119:119" x14ac:dyDescent="0.2">
      <c r="DO19828" s="303" t="s">
        <v>232</v>
      </c>
    </row>
    <row r="19829" spans="119:119" x14ac:dyDescent="0.2">
      <c r="DO19829" s="303" t="s">
        <v>232</v>
      </c>
    </row>
    <row r="19830" spans="119:119" x14ac:dyDescent="0.2">
      <c r="DO19830" s="303" t="s">
        <v>232</v>
      </c>
    </row>
    <row r="19831" spans="119:119" x14ac:dyDescent="0.2">
      <c r="DO19831" s="303" t="s">
        <v>232</v>
      </c>
    </row>
    <row r="19832" spans="119:119" x14ac:dyDescent="0.2">
      <c r="DO19832" s="303" t="s">
        <v>232</v>
      </c>
    </row>
    <row r="19833" spans="119:119" x14ac:dyDescent="0.2">
      <c r="DO19833" s="303" t="s">
        <v>232</v>
      </c>
    </row>
    <row r="19834" spans="119:119" x14ac:dyDescent="0.2">
      <c r="DO19834" s="303" t="s">
        <v>232</v>
      </c>
    </row>
    <row r="19835" spans="119:119" x14ac:dyDescent="0.2">
      <c r="DO19835" s="303" t="s">
        <v>232</v>
      </c>
    </row>
    <row r="19836" spans="119:119" x14ac:dyDescent="0.2">
      <c r="DO19836" s="303" t="s">
        <v>232</v>
      </c>
    </row>
    <row r="19837" spans="119:119" x14ac:dyDescent="0.2">
      <c r="DO19837" s="303" t="s">
        <v>232</v>
      </c>
    </row>
    <row r="19838" spans="119:119" x14ac:dyDescent="0.2">
      <c r="DO19838" s="303" t="s">
        <v>232</v>
      </c>
    </row>
    <row r="19839" spans="119:119" x14ac:dyDescent="0.2">
      <c r="DO19839" s="303" t="s">
        <v>232</v>
      </c>
    </row>
    <row r="19840" spans="119:119" x14ac:dyDescent="0.2">
      <c r="DO19840" s="303" t="s">
        <v>232</v>
      </c>
    </row>
    <row r="19841" spans="119:119" x14ac:dyDescent="0.2">
      <c r="DO19841" s="303" t="s">
        <v>232</v>
      </c>
    </row>
    <row r="19842" spans="119:119" x14ac:dyDescent="0.2">
      <c r="DO19842" s="303" t="s">
        <v>232</v>
      </c>
    </row>
    <row r="19843" spans="119:119" x14ac:dyDescent="0.2">
      <c r="DO19843" s="303" t="s">
        <v>232</v>
      </c>
    </row>
    <row r="19844" spans="119:119" x14ac:dyDescent="0.2">
      <c r="DO19844" s="303" t="s">
        <v>232</v>
      </c>
    </row>
    <row r="19845" spans="119:119" x14ac:dyDescent="0.2">
      <c r="DO19845" s="303" t="s">
        <v>232</v>
      </c>
    </row>
    <row r="19846" spans="119:119" x14ac:dyDescent="0.2">
      <c r="DO19846" s="303" t="s">
        <v>232</v>
      </c>
    </row>
    <row r="19847" spans="119:119" x14ac:dyDescent="0.2">
      <c r="DO19847" s="303" t="s">
        <v>232</v>
      </c>
    </row>
    <row r="19848" spans="119:119" x14ac:dyDescent="0.2">
      <c r="DO19848" s="303" t="s">
        <v>232</v>
      </c>
    </row>
    <row r="19849" spans="119:119" x14ac:dyDescent="0.2">
      <c r="DO19849" s="303" t="s">
        <v>232</v>
      </c>
    </row>
    <row r="19850" spans="119:119" x14ac:dyDescent="0.2">
      <c r="DO19850" s="303" t="s">
        <v>232</v>
      </c>
    </row>
    <row r="19851" spans="119:119" x14ac:dyDescent="0.2">
      <c r="DO19851" s="303" t="s">
        <v>232</v>
      </c>
    </row>
    <row r="19852" spans="119:119" x14ac:dyDescent="0.2">
      <c r="DO19852" s="303" t="s">
        <v>232</v>
      </c>
    </row>
    <row r="19853" spans="119:119" x14ac:dyDescent="0.2">
      <c r="DO19853" s="303" t="s">
        <v>232</v>
      </c>
    </row>
    <row r="19854" spans="119:119" x14ac:dyDescent="0.2">
      <c r="DO19854" s="303" t="s">
        <v>232</v>
      </c>
    </row>
    <row r="19855" spans="119:119" x14ac:dyDescent="0.2">
      <c r="DO19855" s="303" t="s">
        <v>232</v>
      </c>
    </row>
    <row r="19856" spans="119:119" x14ac:dyDescent="0.2">
      <c r="DO19856" s="303" t="s">
        <v>232</v>
      </c>
    </row>
    <row r="19857" spans="119:119" x14ac:dyDescent="0.2">
      <c r="DO19857" s="303" t="s">
        <v>232</v>
      </c>
    </row>
    <row r="19858" spans="119:119" x14ac:dyDescent="0.2">
      <c r="DO19858" s="303" t="s">
        <v>232</v>
      </c>
    </row>
    <row r="19859" spans="119:119" x14ac:dyDescent="0.2">
      <c r="DO19859" s="303" t="s">
        <v>232</v>
      </c>
    </row>
    <row r="19860" spans="119:119" x14ac:dyDescent="0.2">
      <c r="DO19860" s="303" t="s">
        <v>232</v>
      </c>
    </row>
    <row r="19861" spans="119:119" x14ac:dyDescent="0.2">
      <c r="DO19861" s="303" t="s">
        <v>232</v>
      </c>
    </row>
    <row r="19862" spans="119:119" x14ac:dyDescent="0.2">
      <c r="DO19862" s="303" t="s">
        <v>232</v>
      </c>
    </row>
    <row r="19863" spans="119:119" x14ac:dyDescent="0.2">
      <c r="DO19863" s="303" t="s">
        <v>232</v>
      </c>
    </row>
    <row r="19864" spans="119:119" x14ac:dyDescent="0.2">
      <c r="DO19864" s="303" t="s">
        <v>232</v>
      </c>
    </row>
    <row r="19865" spans="119:119" x14ac:dyDescent="0.2">
      <c r="DO19865" s="303" t="s">
        <v>232</v>
      </c>
    </row>
    <row r="19866" spans="119:119" x14ac:dyDescent="0.2">
      <c r="DO19866" s="303" t="s">
        <v>232</v>
      </c>
    </row>
    <row r="19867" spans="119:119" x14ac:dyDescent="0.2">
      <c r="DO19867" s="303" t="s">
        <v>232</v>
      </c>
    </row>
    <row r="19868" spans="119:119" x14ac:dyDescent="0.2">
      <c r="DO19868" s="303" t="s">
        <v>232</v>
      </c>
    </row>
    <row r="19869" spans="119:119" x14ac:dyDescent="0.2">
      <c r="DO19869" s="303" t="s">
        <v>232</v>
      </c>
    </row>
    <row r="19870" spans="119:119" x14ac:dyDescent="0.2">
      <c r="DO19870" s="303" t="s">
        <v>232</v>
      </c>
    </row>
    <row r="19871" spans="119:119" x14ac:dyDescent="0.2">
      <c r="DO19871" s="303" t="s">
        <v>232</v>
      </c>
    </row>
    <row r="19872" spans="119:119" x14ac:dyDescent="0.2">
      <c r="DO19872" s="303" t="s">
        <v>232</v>
      </c>
    </row>
    <row r="19873" spans="119:119" x14ac:dyDescent="0.2">
      <c r="DO19873" s="303" t="s">
        <v>232</v>
      </c>
    </row>
    <row r="19874" spans="119:119" x14ac:dyDescent="0.2">
      <c r="DO19874" s="303" t="s">
        <v>232</v>
      </c>
    </row>
    <row r="19875" spans="119:119" x14ac:dyDescent="0.2">
      <c r="DO19875" s="303" t="s">
        <v>232</v>
      </c>
    </row>
    <row r="19876" spans="119:119" x14ac:dyDescent="0.2">
      <c r="DO19876" s="303" t="s">
        <v>232</v>
      </c>
    </row>
    <row r="19877" spans="119:119" x14ac:dyDescent="0.2">
      <c r="DO19877" s="303" t="s">
        <v>232</v>
      </c>
    </row>
    <row r="19878" spans="119:119" x14ac:dyDescent="0.2">
      <c r="DO19878" s="303" t="s">
        <v>232</v>
      </c>
    </row>
    <row r="19879" spans="119:119" x14ac:dyDescent="0.2">
      <c r="DO19879" s="303" t="s">
        <v>232</v>
      </c>
    </row>
    <row r="19880" spans="119:119" x14ac:dyDescent="0.2">
      <c r="DO19880" s="303" t="s">
        <v>232</v>
      </c>
    </row>
    <row r="19881" spans="119:119" x14ac:dyDescent="0.2">
      <c r="DO19881" s="303" t="s">
        <v>232</v>
      </c>
    </row>
    <row r="19882" spans="119:119" x14ac:dyDescent="0.2">
      <c r="DO19882" s="303" t="s">
        <v>232</v>
      </c>
    </row>
    <row r="19883" spans="119:119" x14ac:dyDescent="0.2">
      <c r="DO19883" s="303" t="s">
        <v>232</v>
      </c>
    </row>
    <row r="19884" spans="119:119" x14ac:dyDescent="0.2">
      <c r="DO19884" s="303" t="s">
        <v>232</v>
      </c>
    </row>
    <row r="19885" spans="119:119" x14ac:dyDescent="0.2">
      <c r="DO19885" s="303" t="s">
        <v>232</v>
      </c>
    </row>
    <row r="19886" spans="119:119" x14ac:dyDescent="0.2">
      <c r="DO19886" s="303" t="s">
        <v>232</v>
      </c>
    </row>
    <row r="19887" spans="119:119" x14ac:dyDescent="0.2">
      <c r="DO19887" s="303" t="s">
        <v>232</v>
      </c>
    </row>
    <row r="19888" spans="119:119" x14ac:dyDescent="0.2">
      <c r="DO19888" s="303" t="s">
        <v>232</v>
      </c>
    </row>
    <row r="19889" spans="119:119" x14ac:dyDescent="0.2">
      <c r="DO19889" s="303" t="s">
        <v>232</v>
      </c>
    </row>
    <row r="19890" spans="119:119" x14ac:dyDescent="0.2">
      <c r="DO19890" s="303" t="s">
        <v>232</v>
      </c>
    </row>
    <row r="19891" spans="119:119" x14ac:dyDescent="0.2">
      <c r="DO19891" s="303" t="s">
        <v>232</v>
      </c>
    </row>
    <row r="19892" spans="119:119" x14ac:dyDescent="0.2">
      <c r="DO19892" s="303" t="s">
        <v>232</v>
      </c>
    </row>
    <row r="19893" spans="119:119" x14ac:dyDescent="0.2">
      <c r="DO19893" s="303" t="s">
        <v>232</v>
      </c>
    </row>
    <row r="19894" spans="119:119" x14ac:dyDescent="0.2">
      <c r="DO19894" s="303" t="s">
        <v>232</v>
      </c>
    </row>
    <row r="19895" spans="119:119" x14ac:dyDescent="0.2">
      <c r="DO19895" s="303" t="s">
        <v>232</v>
      </c>
    </row>
    <row r="19896" spans="119:119" x14ac:dyDescent="0.2">
      <c r="DO19896" s="303" t="s">
        <v>232</v>
      </c>
    </row>
    <row r="19897" spans="119:119" x14ac:dyDescent="0.2">
      <c r="DO19897" s="303" t="s">
        <v>232</v>
      </c>
    </row>
    <row r="19898" spans="119:119" x14ac:dyDescent="0.2">
      <c r="DO19898" s="303" t="s">
        <v>232</v>
      </c>
    </row>
    <row r="19899" spans="119:119" x14ac:dyDescent="0.2">
      <c r="DO19899" s="303" t="s">
        <v>232</v>
      </c>
    </row>
    <row r="19900" spans="119:119" x14ac:dyDescent="0.2">
      <c r="DO19900" s="303" t="s">
        <v>232</v>
      </c>
    </row>
    <row r="19901" spans="119:119" x14ac:dyDescent="0.2">
      <c r="DO19901" s="303" t="s">
        <v>232</v>
      </c>
    </row>
    <row r="19902" spans="119:119" x14ac:dyDescent="0.2">
      <c r="DO19902" s="303" t="s">
        <v>232</v>
      </c>
    </row>
    <row r="19903" spans="119:119" x14ac:dyDescent="0.2">
      <c r="DO19903" s="303" t="s">
        <v>232</v>
      </c>
    </row>
    <row r="19904" spans="119:119" x14ac:dyDescent="0.2">
      <c r="DO19904" s="303" t="s">
        <v>232</v>
      </c>
    </row>
    <row r="19905" spans="119:119" x14ac:dyDescent="0.2">
      <c r="DO19905" s="303" t="s">
        <v>232</v>
      </c>
    </row>
    <row r="19906" spans="119:119" x14ac:dyDescent="0.2">
      <c r="DO19906" s="303" t="s">
        <v>232</v>
      </c>
    </row>
    <row r="19907" spans="119:119" x14ac:dyDescent="0.2">
      <c r="DO19907" s="303" t="s">
        <v>232</v>
      </c>
    </row>
    <row r="19908" spans="119:119" x14ac:dyDescent="0.2">
      <c r="DO19908" s="303" t="s">
        <v>232</v>
      </c>
    </row>
    <row r="19909" spans="119:119" x14ac:dyDescent="0.2">
      <c r="DO19909" s="303" t="s">
        <v>232</v>
      </c>
    </row>
    <row r="19910" spans="119:119" x14ac:dyDescent="0.2">
      <c r="DO19910" s="303" t="s">
        <v>232</v>
      </c>
    </row>
    <row r="19911" spans="119:119" x14ac:dyDescent="0.2">
      <c r="DO19911" s="303" t="s">
        <v>232</v>
      </c>
    </row>
    <row r="19912" spans="119:119" x14ac:dyDescent="0.2">
      <c r="DO19912" s="303" t="s">
        <v>232</v>
      </c>
    </row>
    <row r="19913" spans="119:119" x14ac:dyDescent="0.2">
      <c r="DO19913" s="303" t="s">
        <v>232</v>
      </c>
    </row>
    <row r="19914" spans="119:119" x14ac:dyDescent="0.2">
      <c r="DO19914" s="303" t="s">
        <v>232</v>
      </c>
    </row>
    <row r="19915" spans="119:119" x14ac:dyDescent="0.2">
      <c r="DO19915" s="303" t="s">
        <v>232</v>
      </c>
    </row>
    <row r="19916" spans="119:119" x14ac:dyDescent="0.2">
      <c r="DO19916" s="303" t="s">
        <v>232</v>
      </c>
    </row>
    <row r="19917" spans="119:119" x14ac:dyDescent="0.2">
      <c r="DO19917" s="303" t="s">
        <v>232</v>
      </c>
    </row>
    <row r="19918" spans="119:119" x14ac:dyDescent="0.2">
      <c r="DO19918" s="303" t="s">
        <v>232</v>
      </c>
    </row>
    <row r="19919" spans="119:119" x14ac:dyDescent="0.2">
      <c r="DO19919" s="303" t="s">
        <v>232</v>
      </c>
    </row>
    <row r="19920" spans="119:119" x14ac:dyDescent="0.2">
      <c r="DO19920" s="303" t="s">
        <v>232</v>
      </c>
    </row>
    <row r="19921" spans="119:119" x14ac:dyDescent="0.2">
      <c r="DO19921" s="303" t="s">
        <v>232</v>
      </c>
    </row>
    <row r="19922" spans="119:119" x14ac:dyDescent="0.2">
      <c r="DO19922" s="303" t="s">
        <v>232</v>
      </c>
    </row>
    <row r="19923" spans="119:119" x14ac:dyDescent="0.2">
      <c r="DO19923" s="303" t="s">
        <v>232</v>
      </c>
    </row>
    <row r="19924" spans="119:119" x14ac:dyDescent="0.2">
      <c r="DO19924" s="303" t="s">
        <v>232</v>
      </c>
    </row>
    <row r="19925" spans="119:119" x14ac:dyDescent="0.2">
      <c r="DO19925" s="303" t="s">
        <v>232</v>
      </c>
    </row>
    <row r="19926" spans="119:119" x14ac:dyDescent="0.2">
      <c r="DO19926" s="303" t="s">
        <v>232</v>
      </c>
    </row>
    <row r="19927" spans="119:119" x14ac:dyDescent="0.2">
      <c r="DO19927" s="303" t="s">
        <v>232</v>
      </c>
    </row>
    <row r="19928" spans="119:119" x14ac:dyDescent="0.2">
      <c r="DO19928" s="303" t="s">
        <v>232</v>
      </c>
    </row>
    <row r="19929" spans="119:119" x14ac:dyDescent="0.2">
      <c r="DO19929" s="303" t="s">
        <v>232</v>
      </c>
    </row>
    <row r="19930" spans="119:119" x14ac:dyDescent="0.2">
      <c r="DO19930" s="303" t="s">
        <v>232</v>
      </c>
    </row>
    <row r="19931" spans="119:119" x14ac:dyDescent="0.2">
      <c r="DO19931" s="303" t="s">
        <v>232</v>
      </c>
    </row>
    <row r="19932" spans="119:119" x14ac:dyDescent="0.2">
      <c r="DO19932" s="303" t="s">
        <v>232</v>
      </c>
    </row>
    <row r="19933" spans="119:119" x14ac:dyDescent="0.2">
      <c r="DO19933" s="303" t="s">
        <v>232</v>
      </c>
    </row>
    <row r="19934" spans="119:119" x14ac:dyDescent="0.2">
      <c r="DO19934" s="303" t="s">
        <v>232</v>
      </c>
    </row>
    <row r="19935" spans="119:119" x14ac:dyDescent="0.2">
      <c r="DO19935" s="303" t="s">
        <v>232</v>
      </c>
    </row>
    <row r="19936" spans="119:119" x14ac:dyDescent="0.2">
      <c r="DO19936" s="303" t="s">
        <v>232</v>
      </c>
    </row>
    <row r="19937" spans="119:119" x14ac:dyDescent="0.2">
      <c r="DO19937" s="303" t="s">
        <v>232</v>
      </c>
    </row>
    <row r="19938" spans="119:119" x14ac:dyDescent="0.2">
      <c r="DO19938" s="303" t="s">
        <v>232</v>
      </c>
    </row>
    <row r="19939" spans="119:119" x14ac:dyDescent="0.2">
      <c r="DO19939" s="303" t="s">
        <v>232</v>
      </c>
    </row>
    <row r="19940" spans="119:119" x14ac:dyDescent="0.2">
      <c r="DO19940" s="303" t="s">
        <v>232</v>
      </c>
    </row>
    <row r="19941" spans="119:119" x14ac:dyDescent="0.2">
      <c r="DO19941" s="303" t="s">
        <v>232</v>
      </c>
    </row>
    <row r="19942" spans="119:119" x14ac:dyDescent="0.2">
      <c r="DO19942" s="303" t="s">
        <v>232</v>
      </c>
    </row>
    <row r="19943" spans="119:119" x14ac:dyDescent="0.2">
      <c r="DO19943" s="303" t="s">
        <v>232</v>
      </c>
    </row>
    <row r="19944" spans="119:119" x14ac:dyDescent="0.2">
      <c r="DO19944" s="303" t="s">
        <v>232</v>
      </c>
    </row>
    <row r="19945" spans="119:119" x14ac:dyDescent="0.2">
      <c r="DO19945" s="303" t="s">
        <v>232</v>
      </c>
    </row>
    <row r="19946" spans="119:119" x14ac:dyDescent="0.2">
      <c r="DO19946" s="303" t="s">
        <v>232</v>
      </c>
    </row>
    <row r="19947" spans="119:119" x14ac:dyDescent="0.2">
      <c r="DO19947" s="303" t="s">
        <v>232</v>
      </c>
    </row>
    <row r="19948" spans="119:119" x14ac:dyDescent="0.2">
      <c r="DO19948" s="303" t="s">
        <v>232</v>
      </c>
    </row>
    <row r="19949" spans="119:119" x14ac:dyDescent="0.2">
      <c r="DO19949" s="303" t="s">
        <v>232</v>
      </c>
    </row>
    <row r="19950" spans="119:119" x14ac:dyDescent="0.2">
      <c r="DO19950" s="303" t="s">
        <v>232</v>
      </c>
    </row>
    <row r="19951" spans="119:119" x14ac:dyDescent="0.2">
      <c r="DO19951" s="303" t="s">
        <v>232</v>
      </c>
    </row>
    <row r="19952" spans="119:119" x14ac:dyDescent="0.2">
      <c r="DO19952" s="303" t="s">
        <v>232</v>
      </c>
    </row>
    <row r="19953" spans="119:119" x14ac:dyDescent="0.2">
      <c r="DO19953" s="303" t="s">
        <v>232</v>
      </c>
    </row>
    <row r="19954" spans="119:119" x14ac:dyDescent="0.2">
      <c r="DO19954" s="303" t="s">
        <v>232</v>
      </c>
    </row>
    <row r="19955" spans="119:119" x14ac:dyDescent="0.2">
      <c r="DO19955" s="303" t="s">
        <v>232</v>
      </c>
    </row>
    <row r="19956" spans="119:119" x14ac:dyDescent="0.2">
      <c r="DO19956" s="303" t="s">
        <v>232</v>
      </c>
    </row>
    <row r="19957" spans="119:119" x14ac:dyDescent="0.2">
      <c r="DO19957" s="303" t="s">
        <v>232</v>
      </c>
    </row>
    <row r="19958" spans="119:119" x14ac:dyDescent="0.2">
      <c r="DO19958" s="303" t="s">
        <v>232</v>
      </c>
    </row>
    <row r="19959" spans="119:119" x14ac:dyDescent="0.2">
      <c r="DO19959" s="303" t="s">
        <v>232</v>
      </c>
    </row>
    <row r="19960" spans="119:119" x14ac:dyDescent="0.2">
      <c r="DO19960" s="303" t="s">
        <v>232</v>
      </c>
    </row>
    <row r="19961" spans="119:119" x14ac:dyDescent="0.2">
      <c r="DO19961" s="303" t="s">
        <v>232</v>
      </c>
    </row>
    <row r="19962" spans="119:119" x14ac:dyDescent="0.2">
      <c r="DO19962" s="303" t="s">
        <v>232</v>
      </c>
    </row>
    <row r="19963" spans="119:119" x14ac:dyDescent="0.2">
      <c r="DO19963" s="303" t="s">
        <v>232</v>
      </c>
    </row>
    <row r="19964" spans="119:119" x14ac:dyDescent="0.2">
      <c r="DO19964" s="303" t="s">
        <v>232</v>
      </c>
    </row>
    <row r="19965" spans="119:119" x14ac:dyDescent="0.2">
      <c r="DO19965" s="303" t="s">
        <v>232</v>
      </c>
    </row>
    <row r="19966" spans="119:119" x14ac:dyDescent="0.2">
      <c r="DO19966" s="303" t="s">
        <v>232</v>
      </c>
    </row>
    <row r="19967" spans="119:119" x14ac:dyDescent="0.2">
      <c r="DO19967" s="303" t="s">
        <v>232</v>
      </c>
    </row>
    <row r="19968" spans="119:119" x14ac:dyDescent="0.2">
      <c r="DO19968" s="303" t="s">
        <v>232</v>
      </c>
    </row>
    <row r="19969" spans="119:119" x14ac:dyDescent="0.2">
      <c r="DO19969" s="303" t="s">
        <v>232</v>
      </c>
    </row>
    <row r="19970" spans="119:119" x14ac:dyDescent="0.2">
      <c r="DO19970" s="303" t="s">
        <v>232</v>
      </c>
    </row>
    <row r="19971" spans="119:119" x14ac:dyDescent="0.2">
      <c r="DO19971" s="303" t="s">
        <v>232</v>
      </c>
    </row>
    <row r="19972" spans="119:119" x14ac:dyDescent="0.2">
      <c r="DO19972" s="303" t="s">
        <v>232</v>
      </c>
    </row>
    <row r="19973" spans="119:119" x14ac:dyDescent="0.2">
      <c r="DO19973" s="303" t="s">
        <v>232</v>
      </c>
    </row>
    <row r="19974" spans="119:119" x14ac:dyDescent="0.2">
      <c r="DO19974" s="303" t="s">
        <v>232</v>
      </c>
    </row>
    <row r="19975" spans="119:119" x14ac:dyDescent="0.2">
      <c r="DO19975" s="303" t="s">
        <v>232</v>
      </c>
    </row>
    <row r="19976" spans="119:119" x14ac:dyDescent="0.2">
      <c r="DO19976" s="303" t="s">
        <v>232</v>
      </c>
    </row>
    <row r="19977" spans="119:119" x14ac:dyDescent="0.2">
      <c r="DO19977" s="303" t="s">
        <v>232</v>
      </c>
    </row>
    <row r="19978" spans="119:119" x14ac:dyDescent="0.2">
      <c r="DO19978" s="303" t="s">
        <v>232</v>
      </c>
    </row>
    <row r="19979" spans="119:119" x14ac:dyDescent="0.2">
      <c r="DO19979" s="303" t="s">
        <v>232</v>
      </c>
    </row>
    <row r="19980" spans="119:119" x14ac:dyDescent="0.2">
      <c r="DO19980" s="303" t="s">
        <v>232</v>
      </c>
    </row>
    <row r="19981" spans="119:119" x14ac:dyDescent="0.2">
      <c r="DO19981" s="303" t="s">
        <v>232</v>
      </c>
    </row>
    <row r="19982" spans="119:119" x14ac:dyDescent="0.2">
      <c r="DO19982" s="303" t="s">
        <v>232</v>
      </c>
    </row>
    <row r="19983" spans="119:119" x14ac:dyDescent="0.2">
      <c r="DO19983" s="303" t="s">
        <v>232</v>
      </c>
    </row>
    <row r="19984" spans="119:119" x14ac:dyDescent="0.2">
      <c r="DO19984" s="303" t="s">
        <v>232</v>
      </c>
    </row>
    <row r="19985" spans="119:119" x14ac:dyDescent="0.2">
      <c r="DO19985" s="303" t="s">
        <v>232</v>
      </c>
    </row>
    <row r="19986" spans="119:119" x14ac:dyDescent="0.2">
      <c r="DO19986" s="303" t="s">
        <v>232</v>
      </c>
    </row>
    <row r="19987" spans="119:119" x14ac:dyDescent="0.2">
      <c r="DO19987" s="303" t="s">
        <v>232</v>
      </c>
    </row>
    <row r="19988" spans="119:119" x14ac:dyDescent="0.2">
      <c r="DO19988" s="303" t="s">
        <v>232</v>
      </c>
    </row>
    <row r="19989" spans="119:119" x14ac:dyDescent="0.2">
      <c r="DO19989" s="303" t="s">
        <v>232</v>
      </c>
    </row>
    <row r="19990" spans="119:119" x14ac:dyDescent="0.2">
      <c r="DO19990" s="303" t="s">
        <v>232</v>
      </c>
    </row>
    <row r="19991" spans="119:119" x14ac:dyDescent="0.2">
      <c r="DO19991" s="303" t="s">
        <v>232</v>
      </c>
    </row>
    <row r="19992" spans="119:119" x14ac:dyDescent="0.2">
      <c r="DO19992" s="303" t="s">
        <v>232</v>
      </c>
    </row>
    <row r="19993" spans="119:119" x14ac:dyDescent="0.2">
      <c r="DO19993" s="303" t="s">
        <v>232</v>
      </c>
    </row>
    <row r="19994" spans="119:119" x14ac:dyDescent="0.2">
      <c r="DO19994" s="303" t="s">
        <v>232</v>
      </c>
    </row>
    <row r="19995" spans="119:119" x14ac:dyDescent="0.2">
      <c r="DO19995" s="303" t="s">
        <v>232</v>
      </c>
    </row>
    <row r="19996" spans="119:119" x14ac:dyDescent="0.2">
      <c r="DO19996" s="303" t="s">
        <v>232</v>
      </c>
    </row>
    <row r="19997" spans="119:119" x14ac:dyDescent="0.2">
      <c r="DO19997" s="303" t="s">
        <v>232</v>
      </c>
    </row>
    <row r="19998" spans="119:119" x14ac:dyDescent="0.2">
      <c r="DO19998" s="303" t="s">
        <v>232</v>
      </c>
    </row>
    <row r="19999" spans="119:119" x14ac:dyDescent="0.2">
      <c r="DO19999" s="303" t="s">
        <v>232</v>
      </c>
    </row>
    <row r="20000" spans="119:119" x14ac:dyDescent="0.2">
      <c r="DO20000" s="303" t="s">
        <v>232</v>
      </c>
    </row>
    <row r="20001" spans="119:119" x14ac:dyDescent="0.2">
      <c r="DO20001" s="303" t="s">
        <v>232</v>
      </c>
    </row>
    <row r="20002" spans="119:119" x14ac:dyDescent="0.2">
      <c r="DO20002" s="303" t="s">
        <v>232</v>
      </c>
    </row>
    <row r="20003" spans="119:119" x14ac:dyDescent="0.2">
      <c r="DO20003" s="303" t="s">
        <v>232</v>
      </c>
    </row>
    <row r="20004" spans="119:119" x14ac:dyDescent="0.2">
      <c r="DO20004" s="303" t="s">
        <v>232</v>
      </c>
    </row>
    <row r="20005" spans="119:119" x14ac:dyDescent="0.2">
      <c r="DO20005" s="303" t="s">
        <v>232</v>
      </c>
    </row>
    <row r="20006" spans="119:119" x14ac:dyDescent="0.2">
      <c r="DO20006" s="303" t="s">
        <v>232</v>
      </c>
    </row>
    <row r="20007" spans="119:119" x14ac:dyDescent="0.2">
      <c r="DO20007" s="303" t="s">
        <v>232</v>
      </c>
    </row>
    <row r="20008" spans="119:119" x14ac:dyDescent="0.2">
      <c r="DO20008" s="303" t="s">
        <v>232</v>
      </c>
    </row>
    <row r="20009" spans="119:119" x14ac:dyDescent="0.2">
      <c r="DO20009" s="303" t="s">
        <v>232</v>
      </c>
    </row>
    <row r="20010" spans="119:119" x14ac:dyDescent="0.2">
      <c r="DO20010" s="303" t="s">
        <v>232</v>
      </c>
    </row>
    <row r="20011" spans="119:119" x14ac:dyDescent="0.2">
      <c r="DO20011" s="303" t="s">
        <v>232</v>
      </c>
    </row>
    <row r="20012" spans="119:119" x14ac:dyDescent="0.2">
      <c r="DO20012" s="303" t="s">
        <v>232</v>
      </c>
    </row>
    <row r="20013" spans="119:119" x14ac:dyDescent="0.2">
      <c r="DO20013" s="303" t="s">
        <v>232</v>
      </c>
    </row>
    <row r="20014" spans="119:119" x14ac:dyDescent="0.2">
      <c r="DO20014" s="303" t="s">
        <v>232</v>
      </c>
    </row>
    <row r="20015" spans="119:119" x14ac:dyDescent="0.2">
      <c r="DO20015" s="303" t="s">
        <v>232</v>
      </c>
    </row>
    <row r="20016" spans="119:119" x14ac:dyDescent="0.2">
      <c r="DO20016" s="303" t="s">
        <v>232</v>
      </c>
    </row>
    <row r="20017" spans="119:119" x14ac:dyDescent="0.2">
      <c r="DO20017" s="303" t="s">
        <v>232</v>
      </c>
    </row>
    <row r="20018" spans="119:119" x14ac:dyDescent="0.2">
      <c r="DO20018" s="303" t="s">
        <v>232</v>
      </c>
    </row>
    <row r="20019" spans="119:119" x14ac:dyDescent="0.2">
      <c r="DO20019" s="303" t="s">
        <v>232</v>
      </c>
    </row>
    <row r="20020" spans="119:119" x14ac:dyDescent="0.2">
      <c r="DO20020" s="303" t="s">
        <v>232</v>
      </c>
    </row>
    <row r="20021" spans="119:119" x14ac:dyDescent="0.2">
      <c r="DO20021" s="303" t="s">
        <v>232</v>
      </c>
    </row>
    <row r="20022" spans="119:119" x14ac:dyDescent="0.2">
      <c r="DO20022" s="303" t="s">
        <v>232</v>
      </c>
    </row>
    <row r="20023" spans="119:119" x14ac:dyDescent="0.2">
      <c r="DO20023" s="303" t="s">
        <v>232</v>
      </c>
    </row>
    <row r="20024" spans="119:119" x14ac:dyDescent="0.2">
      <c r="DO20024" s="303" t="s">
        <v>232</v>
      </c>
    </row>
    <row r="20025" spans="119:119" x14ac:dyDescent="0.2">
      <c r="DO20025" s="303" t="s">
        <v>232</v>
      </c>
    </row>
    <row r="20026" spans="119:119" x14ac:dyDescent="0.2">
      <c r="DO20026" s="303" t="s">
        <v>232</v>
      </c>
    </row>
    <row r="20027" spans="119:119" x14ac:dyDescent="0.2">
      <c r="DO20027" s="303" t="s">
        <v>232</v>
      </c>
    </row>
    <row r="20028" spans="119:119" x14ac:dyDescent="0.2">
      <c r="DO20028" s="303" t="s">
        <v>232</v>
      </c>
    </row>
    <row r="20029" spans="119:119" x14ac:dyDescent="0.2">
      <c r="DO20029" s="303" t="s">
        <v>232</v>
      </c>
    </row>
    <row r="20030" spans="119:119" x14ac:dyDescent="0.2">
      <c r="DO20030" s="303" t="s">
        <v>232</v>
      </c>
    </row>
    <row r="20031" spans="119:119" x14ac:dyDescent="0.2">
      <c r="DO20031" s="303" t="s">
        <v>232</v>
      </c>
    </row>
    <row r="20032" spans="119:119" x14ac:dyDescent="0.2">
      <c r="DO20032" s="303" t="s">
        <v>232</v>
      </c>
    </row>
    <row r="20033" spans="119:119" x14ac:dyDescent="0.2">
      <c r="DO20033" s="303" t="s">
        <v>232</v>
      </c>
    </row>
    <row r="20034" spans="119:119" x14ac:dyDescent="0.2">
      <c r="DO20034" s="303" t="s">
        <v>232</v>
      </c>
    </row>
    <row r="20035" spans="119:119" x14ac:dyDescent="0.2">
      <c r="DO20035" s="303" t="s">
        <v>232</v>
      </c>
    </row>
    <row r="20036" spans="119:119" x14ac:dyDescent="0.2">
      <c r="DO20036" s="303" t="s">
        <v>232</v>
      </c>
    </row>
    <row r="20037" spans="119:119" x14ac:dyDescent="0.2">
      <c r="DO20037" s="303" t="s">
        <v>232</v>
      </c>
    </row>
    <row r="20038" spans="119:119" x14ac:dyDescent="0.2">
      <c r="DO20038" s="303" t="s">
        <v>232</v>
      </c>
    </row>
    <row r="20039" spans="119:119" x14ac:dyDescent="0.2">
      <c r="DO20039" s="303" t="s">
        <v>232</v>
      </c>
    </row>
    <row r="20040" spans="119:119" x14ac:dyDescent="0.2">
      <c r="DO20040" s="303" t="s">
        <v>232</v>
      </c>
    </row>
    <row r="20041" spans="119:119" x14ac:dyDescent="0.2">
      <c r="DO20041" s="303" t="s">
        <v>232</v>
      </c>
    </row>
    <row r="20042" spans="119:119" x14ac:dyDescent="0.2">
      <c r="DO20042" s="303" t="s">
        <v>232</v>
      </c>
    </row>
    <row r="20043" spans="119:119" x14ac:dyDescent="0.2">
      <c r="DO20043" s="303" t="s">
        <v>232</v>
      </c>
    </row>
    <row r="20044" spans="119:119" x14ac:dyDescent="0.2">
      <c r="DO20044" s="303" t="s">
        <v>232</v>
      </c>
    </row>
    <row r="20045" spans="119:119" x14ac:dyDescent="0.2">
      <c r="DO20045" s="303" t="s">
        <v>232</v>
      </c>
    </row>
    <row r="20046" spans="119:119" x14ac:dyDescent="0.2">
      <c r="DO20046" s="303" t="s">
        <v>232</v>
      </c>
    </row>
    <row r="20047" spans="119:119" x14ac:dyDescent="0.2">
      <c r="DO20047" s="303" t="s">
        <v>232</v>
      </c>
    </row>
    <row r="20048" spans="119:119" x14ac:dyDescent="0.2">
      <c r="DO20048" s="303" t="s">
        <v>232</v>
      </c>
    </row>
    <row r="20049" spans="119:119" x14ac:dyDescent="0.2">
      <c r="DO20049" s="303" t="s">
        <v>232</v>
      </c>
    </row>
    <row r="20050" spans="119:119" x14ac:dyDescent="0.2">
      <c r="DO20050" s="303" t="s">
        <v>232</v>
      </c>
    </row>
    <row r="20051" spans="119:119" x14ac:dyDescent="0.2">
      <c r="DO20051" s="303" t="s">
        <v>232</v>
      </c>
    </row>
    <row r="20052" spans="119:119" x14ac:dyDescent="0.2">
      <c r="DO20052" s="303" t="s">
        <v>232</v>
      </c>
    </row>
    <row r="20053" spans="119:119" x14ac:dyDescent="0.2">
      <c r="DO20053" s="303" t="s">
        <v>232</v>
      </c>
    </row>
    <row r="20054" spans="119:119" x14ac:dyDescent="0.2">
      <c r="DO20054" s="303" t="s">
        <v>232</v>
      </c>
    </row>
    <row r="20055" spans="119:119" x14ac:dyDescent="0.2">
      <c r="DO20055" s="303" t="s">
        <v>232</v>
      </c>
    </row>
    <row r="20056" spans="119:119" x14ac:dyDescent="0.2">
      <c r="DO20056" s="303" t="s">
        <v>232</v>
      </c>
    </row>
    <row r="20057" spans="119:119" x14ac:dyDescent="0.2">
      <c r="DO20057" s="303" t="s">
        <v>232</v>
      </c>
    </row>
    <row r="20058" spans="119:119" x14ac:dyDescent="0.2">
      <c r="DO20058" s="303" t="s">
        <v>232</v>
      </c>
    </row>
    <row r="20059" spans="119:119" x14ac:dyDescent="0.2">
      <c r="DO20059" s="303" t="s">
        <v>232</v>
      </c>
    </row>
    <row r="20060" spans="119:119" x14ac:dyDescent="0.2">
      <c r="DO20060" s="303" t="s">
        <v>232</v>
      </c>
    </row>
    <row r="20061" spans="119:119" x14ac:dyDescent="0.2">
      <c r="DO20061" s="303" t="s">
        <v>232</v>
      </c>
    </row>
    <row r="20062" spans="119:119" x14ac:dyDescent="0.2">
      <c r="DO20062" s="303" t="s">
        <v>232</v>
      </c>
    </row>
    <row r="20063" spans="119:119" x14ac:dyDescent="0.2">
      <c r="DO20063" s="303" t="s">
        <v>232</v>
      </c>
    </row>
    <row r="20064" spans="119:119" x14ac:dyDescent="0.2">
      <c r="DO20064" s="303" t="s">
        <v>232</v>
      </c>
    </row>
    <row r="20065" spans="119:119" x14ac:dyDescent="0.2">
      <c r="DO20065" s="303" t="s">
        <v>232</v>
      </c>
    </row>
    <row r="20066" spans="119:119" x14ac:dyDescent="0.2">
      <c r="DO20066" s="303" t="s">
        <v>232</v>
      </c>
    </row>
    <row r="20067" spans="119:119" x14ac:dyDescent="0.2">
      <c r="DO20067" s="303" t="s">
        <v>232</v>
      </c>
    </row>
    <row r="20068" spans="119:119" x14ac:dyDescent="0.2">
      <c r="DO20068" s="303" t="s">
        <v>232</v>
      </c>
    </row>
    <row r="20069" spans="119:119" x14ac:dyDescent="0.2">
      <c r="DO20069" s="303" t="s">
        <v>232</v>
      </c>
    </row>
    <row r="20070" spans="119:119" x14ac:dyDescent="0.2">
      <c r="DO20070" s="303" t="s">
        <v>232</v>
      </c>
    </row>
    <row r="20071" spans="119:119" x14ac:dyDescent="0.2">
      <c r="DO20071" s="303" t="s">
        <v>232</v>
      </c>
    </row>
    <row r="20072" spans="119:119" x14ac:dyDescent="0.2">
      <c r="DO20072" s="303" t="s">
        <v>232</v>
      </c>
    </row>
    <row r="20073" spans="119:119" x14ac:dyDescent="0.2">
      <c r="DO20073" s="303" t="s">
        <v>232</v>
      </c>
    </row>
    <row r="20074" spans="119:119" x14ac:dyDescent="0.2">
      <c r="DO20074" s="303" t="s">
        <v>232</v>
      </c>
    </row>
    <row r="20075" spans="119:119" x14ac:dyDescent="0.2">
      <c r="DO20075" s="303" t="s">
        <v>232</v>
      </c>
    </row>
    <row r="20076" spans="119:119" x14ac:dyDescent="0.2">
      <c r="DO20076" s="303" t="s">
        <v>232</v>
      </c>
    </row>
    <row r="20077" spans="119:119" x14ac:dyDescent="0.2">
      <c r="DO20077" s="303" t="s">
        <v>232</v>
      </c>
    </row>
    <row r="20078" spans="119:119" x14ac:dyDescent="0.2">
      <c r="DO20078" s="303" t="s">
        <v>232</v>
      </c>
    </row>
    <row r="20079" spans="119:119" x14ac:dyDescent="0.2">
      <c r="DO20079" s="303" t="s">
        <v>232</v>
      </c>
    </row>
    <row r="20080" spans="119:119" x14ac:dyDescent="0.2">
      <c r="DO20080" s="303" t="s">
        <v>232</v>
      </c>
    </row>
    <row r="20081" spans="119:119" x14ac:dyDescent="0.2">
      <c r="DO20081" s="303" t="s">
        <v>232</v>
      </c>
    </row>
    <row r="20082" spans="119:119" x14ac:dyDescent="0.2">
      <c r="DO20082" s="303" t="s">
        <v>232</v>
      </c>
    </row>
    <row r="20083" spans="119:119" x14ac:dyDescent="0.2">
      <c r="DO20083" s="303" t="s">
        <v>232</v>
      </c>
    </row>
    <row r="20084" spans="119:119" x14ac:dyDescent="0.2">
      <c r="DO20084" s="303" t="s">
        <v>232</v>
      </c>
    </row>
    <row r="20085" spans="119:119" x14ac:dyDescent="0.2">
      <c r="DO20085" s="303" t="s">
        <v>232</v>
      </c>
    </row>
    <row r="20086" spans="119:119" x14ac:dyDescent="0.2">
      <c r="DO20086" s="303" t="s">
        <v>232</v>
      </c>
    </row>
    <row r="20087" spans="119:119" x14ac:dyDescent="0.2">
      <c r="DO20087" s="303" t="s">
        <v>232</v>
      </c>
    </row>
    <row r="20088" spans="119:119" x14ac:dyDescent="0.2">
      <c r="DO20088" s="303" t="s">
        <v>232</v>
      </c>
    </row>
    <row r="20089" spans="119:119" x14ac:dyDescent="0.2">
      <c r="DO20089" s="303" t="s">
        <v>232</v>
      </c>
    </row>
    <row r="20090" spans="119:119" x14ac:dyDescent="0.2">
      <c r="DO20090" s="303" t="s">
        <v>232</v>
      </c>
    </row>
    <row r="20091" spans="119:119" x14ac:dyDescent="0.2">
      <c r="DO20091" s="303" t="s">
        <v>232</v>
      </c>
    </row>
    <row r="20092" spans="119:119" x14ac:dyDescent="0.2">
      <c r="DO20092" s="303" t="s">
        <v>232</v>
      </c>
    </row>
    <row r="20093" spans="119:119" x14ac:dyDescent="0.2">
      <c r="DO20093" s="303" t="s">
        <v>232</v>
      </c>
    </row>
    <row r="20094" spans="119:119" x14ac:dyDescent="0.2">
      <c r="DO20094" s="303" t="s">
        <v>232</v>
      </c>
    </row>
    <row r="20095" spans="119:119" x14ac:dyDescent="0.2">
      <c r="DO20095" s="303" t="s">
        <v>232</v>
      </c>
    </row>
    <row r="20096" spans="119:119" x14ac:dyDescent="0.2">
      <c r="DO20096" s="303" t="s">
        <v>232</v>
      </c>
    </row>
    <row r="20097" spans="119:119" x14ac:dyDescent="0.2">
      <c r="DO20097" s="303" t="s">
        <v>232</v>
      </c>
    </row>
    <row r="20098" spans="119:119" x14ac:dyDescent="0.2">
      <c r="DO20098" s="303" t="s">
        <v>232</v>
      </c>
    </row>
    <row r="20099" spans="119:119" x14ac:dyDescent="0.2">
      <c r="DO20099" s="303" t="s">
        <v>232</v>
      </c>
    </row>
    <row r="20100" spans="119:119" x14ac:dyDescent="0.2">
      <c r="DO20100" s="303" t="s">
        <v>232</v>
      </c>
    </row>
    <row r="20101" spans="119:119" x14ac:dyDescent="0.2">
      <c r="DO20101" s="303" t="s">
        <v>232</v>
      </c>
    </row>
    <row r="20102" spans="119:119" x14ac:dyDescent="0.2">
      <c r="DO20102" s="303" t="s">
        <v>232</v>
      </c>
    </row>
    <row r="20103" spans="119:119" x14ac:dyDescent="0.2">
      <c r="DO20103" s="303" t="s">
        <v>232</v>
      </c>
    </row>
    <row r="20104" spans="119:119" x14ac:dyDescent="0.2">
      <c r="DO20104" s="303" t="s">
        <v>232</v>
      </c>
    </row>
    <row r="20105" spans="119:119" x14ac:dyDescent="0.2">
      <c r="DO20105" s="303" t="s">
        <v>232</v>
      </c>
    </row>
    <row r="20106" spans="119:119" x14ac:dyDescent="0.2">
      <c r="DO20106" s="303" t="s">
        <v>232</v>
      </c>
    </row>
    <row r="20107" spans="119:119" x14ac:dyDescent="0.2">
      <c r="DO20107" s="303" t="s">
        <v>232</v>
      </c>
    </row>
    <row r="20108" spans="119:119" x14ac:dyDescent="0.2">
      <c r="DO20108" s="303" t="s">
        <v>232</v>
      </c>
    </row>
    <row r="20109" spans="119:119" x14ac:dyDescent="0.2">
      <c r="DO20109" s="303" t="s">
        <v>232</v>
      </c>
    </row>
    <row r="20110" spans="119:119" x14ac:dyDescent="0.2">
      <c r="DO20110" s="303" t="s">
        <v>232</v>
      </c>
    </row>
    <row r="20111" spans="119:119" x14ac:dyDescent="0.2">
      <c r="DO20111" s="303" t="s">
        <v>232</v>
      </c>
    </row>
    <row r="20112" spans="119:119" x14ac:dyDescent="0.2">
      <c r="DO20112" s="303" t="s">
        <v>232</v>
      </c>
    </row>
    <row r="20113" spans="119:119" x14ac:dyDescent="0.2">
      <c r="DO20113" s="303" t="s">
        <v>232</v>
      </c>
    </row>
    <row r="20114" spans="119:119" x14ac:dyDescent="0.2">
      <c r="DO20114" s="303" t="s">
        <v>232</v>
      </c>
    </row>
    <row r="20115" spans="119:119" x14ac:dyDescent="0.2">
      <c r="DO20115" s="303" t="s">
        <v>232</v>
      </c>
    </row>
    <row r="20116" spans="119:119" x14ac:dyDescent="0.2">
      <c r="DO20116" s="303" t="s">
        <v>232</v>
      </c>
    </row>
    <row r="20117" spans="119:119" x14ac:dyDescent="0.2">
      <c r="DO20117" s="303" t="s">
        <v>232</v>
      </c>
    </row>
    <row r="20118" spans="119:119" x14ac:dyDescent="0.2">
      <c r="DO20118" s="303" t="s">
        <v>232</v>
      </c>
    </row>
    <row r="20119" spans="119:119" x14ac:dyDescent="0.2">
      <c r="DO20119" s="303" t="s">
        <v>232</v>
      </c>
    </row>
    <row r="20120" spans="119:119" x14ac:dyDescent="0.2">
      <c r="DO20120" s="303" t="s">
        <v>232</v>
      </c>
    </row>
    <row r="20121" spans="119:119" x14ac:dyDescent="0.2">
      <c r="DO20121" s="303" t="s">
        <v>232</v>
      </c>
    </row>
    <row r="20122" spans="119:119" x14ac:dyDescent="0.2">
      <c r="DO20122" s="303" t="s">
        <v>232</v>
      </c>
    </row>
    <row r="20123" spans="119:119" x14ac:dyDescent="0.2">
      <c r="DO20123" s="303" t="s">
        <v>232</v>
      </c>
    </row>
    <row r="20124" spans="119:119" x14ac:dyDescent="0.2">
      <c r="DO20124" s="303" t="s">
        <v>232</v>
      </c>
    </row>
    <row r="20125" spans="119:119" x14ac:dyDescent="0.2">
      <c r="DO20125" s="303" t="s">
        <v>232</v>
      </c>
    </row>
    <row r="20126" spans="119:119" x14ac:dyDescent="0.2">
      <c r="DO20126" s="303" t="s">
        <v>232</v>
      </c>
    </row>
    <row r="20127" spans="119:119" x14ac:dyDescent="0.2">
      <c r="DO20127" s="303" t="s">
        <v>232</v>
      </c>
    </row>
    <row r="20128" spans="119:119" x14ac:dyDescent="0.2">
      <c r="DO20128" s="303" t="s">
        <v>232</v>
      </c>
    </row>
    <row r="20129" spans="119:119" x14ac:dyDescent="0.2">
      <c r="DO20129" s="303" t="s">
        <v>232</v>
      </c>
    </row>
    <row r="20130" spans="119:119" x14ac:dyDescent="0.2">
      <c r="DO20130" s="303" t="s">
        <v>232</v>
      </c>
    </row>
    <row r="20131" spans="119:119" x14ac:dyDescent="0.2">
      <c r="DO20131" s="303" t="s">
        <v>232</v>
      </c>
    </row>
    <row r="20132" spans="119:119" x14ac:dyDescent="0.2">
      <c r="DO20132" s="303" t="s">
        <v>232</v>
      </c>
    </row>
    <row r="20133" spans="119:119" x14ac:dyDescent="0.2">
      <c r="DO20133" s="303" t="s">
        <v>232</v>
      </c>
    </row>
    <row r="20134" spans="119:119" x14ac:dyDescent="0.2">
      <c r="DO20134" s="303" t="s">
        <v>232</v>
      </c>
    </row>
    <row r="20135" spans="119:119" x14ac:dyDescent="0.2">
      <c r="DO20135" s="303" t="s">
        <v>232</v>
      </c>
    </row>
    <row r="20136" spans="119:119" x14ac:dyDescent="0.2">
      <c r="DO20136" s="303" t="s">
        <v>232</v>
      </c>
    </row>
    <row r="20137" spans="119:119" x14ac:dyDescent="0.2">
      <c r="DO20137" s="303" t="s">
        <v>232</v>
      </c>
    </row>
    <row r="20138" spans="119:119" x14ac:dyDescent="0.2">
      <c r="DO20138" s="303" t="s">
        <v>232</v>
      </c>
    </row>
    <row r="20139" spans="119:119" x14ac:dyDescent="0.2">
      <c r="DO20139" s="303" t="s">
        <v>232</v>
      </c>
    </row>
    <row r="20140" spans="119:119" x14ac:dyDescent="0.2">
      <c r="DO20140" s="303" t="s">
        <v>232</v>
      </c>
    </row>
    <row r="20141" spans="119:119" x14ac:dyDescent="0.2">
      <c r="DO20141" s="303" t="s">
        <v>232</v>
      </c>
    </row>
    <row r="20142" spans="119:119" x14ac:dyDescent="0.2">
      <c r="DO20142" s="303" t="s">
        <v>232</v>
      </c>
    </row>
    <row r="20143" spans="119:119" x14ac:dyDescent="0.2">
      <c r="DO20143" s="303" t="s">
        <v>232</v>
      </c>
    </row>
    <row r="20144" spans="119:119" x14ac:dyDescent="0.2">
      <c r="DO20144" s="303" t="s">
        <v>232</v>
      </c>
    </row>
    <row r="20145" spans="119:119" x14ac:dyDescent="0.2">
      <c r="DO20145" s="303" t="s">
        <v>232</v>
      </c>
    </row>
    <row r="20146" spans="119:119" x14ac:dyDescent="0.2">
      <c r="DO20146" s="303" t="s">
        <v>232</v>
      </c>
    </row>
    <row r="20147" spans="119:119" x14ac:dyDescent="0.2">
      <c r="DO20147" s="303" t="s">
        <v>232</v>
      </c>
    </row>
    <row r="20148" spans="119:119" x14ac:dyDescent="0.2">
      <c r="DO20148" s="303" t="s">
        <v>232</v>
      </c>
    </row>
    <row r="20149" spans="119:119" x14ac:dyDescent="0.2">
      <c r="DO20149" s="303" t="s">
        <v>232</v>
      </c>
    </row>
    <row r="20150" spans="119:119" x14ac:dyDescent="0.2">
      <c r="DO20150" s="303" t="s">
        <v>232</v>
      </c>
    </row>
    <row r="20151" spans="119:119" x14ac:dyDescent="0.2">
      <c r="DO20151" s="303" t="s">
        <v>232</v>
      </c>
    </row>
    <row r="20152" spans="119:119" x14ac:dyDescent="0.2">
      <c r="DO20152" s="303" t="s">
        <v>232</v>
      </c>
    </row>
    <row r="20153" spans="119:119" x14ac:dyDescent="0.2">
      <c r="DO20153" s="303" t="s">
        <v>232</v>
      </c>
    </row>
    <row r="20154" spans="119:119" x14ac:dyDescent="0.2">
      <c r="DO20154" s="303" t="s">
        <v>232</v>
      </c>
    </row>
    <row r="20155" spans="119:119" x14ac:dyDescent="0.2">
      <c r="DO20155" s="303" t="s">
        <v>232</v>
      </c>
    </row>
    <row r="20156" spans="119:119" x14ac:dyDescent="0.2">
      <c r="DO20156" s="303" t="s">
        <v>232</v>
      </c>
    </row>
    <row r="20157" spans="119:119" x14ac:dyDescent="0.2">
      <c r="DO20157" s="303" t="s">
        <v>232</v>
      </c>
    </row>
    <row r="20158" spans="119:119" x14ac:dyDescent="0.2">
      <c r="DO20158" s="303" t="s">
        <v>232</v>
      </c>
    </row>
    <row r="20159" spans="119:119" x14ac:dyDescent="0.2">
      <c r="DO20159" s="303" t="s">
        <v>232</v>
      </c>
    </row>
    <row r="20160" spans="119:119" x14ac:dyDescent="0.2">
      <c r="DO20160" s="303" t="s">
        <v>232</v>
      </c>
    </row>
    <row r="20161" spans="119:119" x14ac:dyDescent="0.2">
      <c r="DO20161" s="303" t="s">
        <v>232</v>
      </c>
    </row>
    <row r="20162" spans="119:119" x14ac:dyDescent="0.2">
      <c r="DO20162" s="303" t="s">
        <v>232</v>
      </c>
    </row>
    <row r="20163" spans="119:119" x14ac:dyDescent="0.2">
      <c r="DO20163" s="303" t="s">
        <v>232</v>
      </c>
    </row>
    <row r="20164" spans="119:119" x14ac:dyDescent="0.2">
      <c r="DO20164" s="303" t="s">
        <v>232</v>
      </c>
    </row>
    <row r="20165" spans="119:119" x14ac:dyDescent="0.2">
      <c r="DO20165" s="303" t="s">
        <v>232</v>
      </c>
    </row>
    <row r="20166" spans="119:119" x14ac:dyDescent="0.2">
      <c r="DO20166" s="303" t="s">
        <v>232</v>
      </c>
    </row>
    <row r="20167" spans="119:119" x14ac:dyDescent="0.2">
      <c r="DO20167" s="303" t="s">
        <v>232</v>
      </c>
    </row>
    <row r="20168" spans="119:119" x14ac:dyDescent="0.2">
      <c r="DO20168" s="303" t="s">
        <v>232</v>
      </c>
    </row>
    <row r="20169" spans="119:119" x14ac:dyDescent="0.2">
      <c r="DO20169" s="303" t="s">
        <v>232</v>
      </c>
    </row>
    <row r="20170" spans="119:119" x14ac:dyDescent="0.2">
      <c r="DO20170" s="303" t="s">
        <v>232</v>
      </c>
    </row>
    <row r="20171" spans="119:119" x14ac:dyDescent="0.2">
      <c r="DO20171" s="303" t="s">
        <v>232</v>
      </c>
    </row>
    <row r="20172" spans="119:119" x14ac:dyDescent="0.2">
      <c r="DO20172" s="303" t="s">
        <v>232</v>
      </c>
    </row>
    <row r="20173" spans="119:119" x14ac:dyDescent="0.2">
      <c r="DO20173" s="303" t="s">
        <v>232</v>
      </c>
    </row>
    <row r="20174" spans="119:119" x14ac:dyDescent="0.2">
      <c r="DO20174" s="303" t="s">
        <v>232</v>
      </c>
    </row>
    <row r="20175" spans="119:119" x14ac:dyDescent="0.2">
      <c r="DO20175" s="303" t="s">
        <v>232</v>
      </c>
    </row>
    <row r="20176" spans="119:119" x14ac:dyDescent="0.2">
      <c r="DO20176" s="303" t="s">
        <v>232</v>
      </c>
    </row>
    <row r="20177" spans="119:119" x14ac:dyDescent="0.2">
      <c r="DO20177" s="303" t="s">
        <v>232</v>
      </c>
    </row>
    <row r="20178" spans="119:119" x14ac:dyDescent="0.2">
      <c r="DO20178" s="303" t="s">
        <v>232</v>
      </c>
    </row>
    <row r="20179" spans="119:119" x14ac:dyDescent="0.2">
      <c r="DO20179" s="303" t="s">
        <v>232</v>
      </c>
    </row>
    <row r="20180" spans="119:119" x14ac:dyDescent="0.2">
      <c r="DO20180" s="303" t="s">
        <v>232</v>
      </c>
    </row>
    <row r="20181" spans="119:119" x14ac:dyDescent="0.2">
      <c r="DO20181" s="303" t="s">
        <v>232</v>
      </c>
    </row>
    <row r="20182" spans="119:119" x14ac:dyDescent="0.2">
      <c r="DO20182" s="303" t="s">
        <v>232</v>
      </c>
    </row>
    <row r="20183" spans="119:119" x14ac:dyDescent="0.2">
      <c r="DO20183" s="303" t="s">
        <v>232</v>
      </c>
    </row>
    <row r="20184" spans="119:119" x14ac:dyDescent="0.2">
      <c r="DO20184" s="303" t="s">
        <v>232</v>
      </c>
    </row>
    <row r="20185" spans="119:119" x14ac:dyDescent="0.2">
      <c r="DO20185" s="303" t="s">
        <v>232</v>
      </c>
    </row>
    <row r="20186" spans="119:119" x14ac:dyDescent="0.2">
      <c r="DO20186" s="303" t="s">
        <v>232</v>
      </c>
    </row>
    <row r="20187" spans="119:119" x14ac:dyDescent="0.2">
      <c r="DO20187" s="303" t="s">
        <v>232</v>
      </c>
    </row>
    <row r="20188" spans="119:119" x14ac:dyDescent="0.2">
      <c r="DO20188" s="303" t="s">
        <v>232</v>
      </c>
    </row>
    <row r="20189" spans="119:119" x14ac:dyDescent="0.2">
      <c r="DO20189" s="303" t="s">
        <v>232</v>
      </c>
    </row>
    <row r="20190" spans="119:119" x14ac:dyDescent="0.2">
      <c r="DO20190" s="303" t="s">
        <v>232</v>
      </c>
    </row>
    <row r="20191" spans="119:119" x14ac:dyDescent="0.2">
      <c r="DO20191" s="303" t="s">
        <v>232</v>
      </c>
    </row>
    <row r="20192" spans="119:119" x14ac:dyDescent="0.2">
      <c r="DO20192" s="303" t="s">
        <v>232</v>
      </c>
    </row>
    <row r="20193" spans="119:119" x14ac:dyDescent="0.2">
      <c r="DO20193" s="303" t="s">
        <v>232</v>
      </c>
    </row>
    <row r="20194" spans="119:119" x14ac:dyDescent="0.2">
      <c r="DO20194" s="303" t="s">
        <v>232</v>
      </c>
    </row>
    <row r="20195" spans="119:119" x14ac:dyDescent="0.2">
      <c r="DO20195" s="303" t="s">
        <v>232</v>
      </c>
    </row>
    <row r="20196" spans="119:119" x14ac:dyDescent="0.2">
      <c r="DO20196" s="303" t="s">
        <v>232</v>
      </c>
    </row>
    <row r="20197" spans="119:119" x14ac:dyDescent="0.2">
      <c r="DO20197" s="303" t="s">
        <v>232</v>
      </c>
    </row>
    <row r="20198" spans="119:119" x14ac:dyDescent="0.2">
      <c r="DO20198" s="303" t="s">
        <v>232</v>
      </c>
    </row>
    <row r="20199" spans="119:119" x14ac:dyDescent="0.2">
      <c r="DO20199" s="303" t="s">
        <v>232</v>
      </c>
    </row>
    <row r="20200" spans="119:119" x14ac:dyDescent="0.2">
      <c r="DO20200" s="303" t="s">
        <v>232</v>
      </c>
    </row>
    <row r="20201" spans="119:119" x14ac:dyDescent="0.2">
      <c r="DO20201" s="303" t="s">
        <v>232</v>
      </c>
    </row>
    <row r="20202" spans="119:119" x14ac:dyDescent="0.2">
      <c r="DO20202" s="303" t="s">
        <v>232</v>
      </c>
    </row>
    <row r="20203" spans="119:119" x14ac:dyDescent="0.2">
      <c r="DO20203" s="303" t="s">
        <v>232</v>
      </c>
    </row>
    <row r="20204" spans="119:119" x14ac:dyDescent="0.2">
      <c r="DO20204" s="303" t="s">
        <v>232</v>
      </c>
    </row>
    <row r="20205" spans="119:119" x14ac:dyDescent="0.2">
      <c r="DO20205" s="303" t="s">
        <v>232</v>
      </c>
    </row>
    <row r="20206" spans="119:119" x14ac:dyDescent="0.2">
      <c r="DO20206" s="303" t="s">
        <v>232</v>
      </c>
    </row>
    <row r="20207" spans="119:119" x14ac:dyDescent="0.2">
      <c r="DO20207" s="303" t="s">
        <v>232</v>
      </c>
    </row>
    <row r="20208" spans="119:119" x14ac:dyDescent="0.2">
      <c r="DO20208" s="303" t="s">
        <v>232</v>
      </c>
    </row>
    <row r="20209" spans="119:119" x14ac:dyDescent="0.2">
      <c r="DO20209" s="303" t="s">
        <v>232</v>
      </c>
    </row>
    <row r="20210" spans="119:119" x14ac:dyDescent="0.2">
      <c r="DO20210" s="303" t="s">
        <v>232</v>
      </c>
    </row>
    <row r="20211" spans="119:119" x14ac:dyDescent="0.2">
      <c r="DO20211" s="303" t="s">
        <v>232</v>
      </c>
    </row>
    <row r="20212" spans="119:119" x14ac:dyDescent="0.2">
      <c r="DO20212" s="303" t="s">
        <v>232</v>
      </c>
    </row>
    <row r="20213" spans="119:119" x14ac:dyDescent="0.2">
      <c r="DO20213" s="303" t="s">
        <v>232</v>
      </c>
    </row>
    <row r="20214" spans="119:119" x14ac:dyDescent="0.2">
      <c r="DO20214" s="303" t="s">
        <v>232</v>
      </c>
    </row>
    <row r="20215" spans="119:119" x14ac:dyDescent="0.2">
      <c r="DO20215" s="303" t="s">
        <v>232</v>
      </c>
    </row>
    <row r="20216" spans="119:119" x14ac:dyDescent="0.2">
      <c r="DO20216" s="303" t="s">
        <v>232</v>
      </c>
    </row>
    <row r="20217" spans="119:119" x14ac:dyDescent="0.2">
      <c r="DO20217" s="303" t="s">
        <v>232</v>
      </c>
    </row>
    <row r="20218" spans="119:119" x14ac:dyDescent="0.2">
      <c r="DO20218" s="303" t="s">
        <v>232</v>
      </c>
    </row>
    <row r="20219" spans="119:119" x14ac:dyDescent="0.2">
      <c r="DO20219" s="303" t="s">
        <v>232</v>
      </c>
    </row>
    <row r="20220" spans="119:119" x14ac:dyDescent="0.2">
      <c r="DO20220" s="303" t="s">
        <v>232</v>
      </c>
    </row>
    <row r="20221" spans="119:119" x14ac:dyDescent="0.2">
      <c r="DO20221" s="303" t="s">
        <v>232</v>
      </c>
    </row>
    <row r="20222" spans="119:119" x14ac:dyDescent="0.2">
      <c r="DO20222" s="303" t="s">
        <v>232</v>
      </c>
    </row>
    <row r="20223" spans="119:119" x14ac:dyDescent="0.2">
      <c r="DO20223" s="303" t="s">
        <v>232</v>
      </c>
    </row>
    <row r="20224" spans="119:119" x14ac:dyDescent="0.2">
      <c r="DO20224" s="303" t="s">
        <v>232</v>
      </c>
    </row>
    <row r="20225" spans="119:119" x14ac:dyDescent="0.2">
      <c r="DO20225" s="303" t="s">
        <v>232</v>
      </c>
    </row>
    <row r="20226" spans="119:119" x14ac:dyDescent="0.2">
      <c r="DO20226" s="303" t="s">
        <v>232</v>
      </c>
    </row>
    <row r="20227" spans="119:119" x14ac:dyDescent="0.2">
      <c r="DO20227" s="303" t="s">
        <v>232</v>
      </c>
    </row>
    <row r="20228" spans="119:119" x14ac:dyDescent="0.2">
      <c r="DO20228" s="303" t="s">
        <v>232</v>
      </c>
    </row>
    <row r="20229" spans="119:119" x14ac:dyDescent="0.2">
      <c r="DO20229" s="303" t="s">
        <v>232</v>
      </c>
    </row>
    <row r="20230" spans="119:119" x14ac:dyDescent="0.2">
      <c r="DO20230" s="303" t="s">
        <v>232</v>
      </c>
    </row>
    <row r="20231" spans="119:119" x14ac:dyDescent="0.2">
      <c r="DO20231" s="303" t="s">
        <v>232</v>
      </c>
    </row>
    <row r="20232" spans="119:119" x14ac:dyDescent="0.2">
      <c r="DO20232" s="303" t="s">
        <v>232</v>
      </c>
    </row>
    <row r="20233" spans="119:119" x14ac:dyDescent="0.2">
      <c r="DO20233" s="303" t="s">
        <v>232</v>
      </c>
    </row>
    <row r="20234" spans="119:119" x14ac:dyDescent="0.2">
      <c r="DO20234" s="303" t="s">
        <v>232</v>
      </c>
    </row>
    <row r="20235" spans="119:119" x14ac:dyDescent="0.2">
      <c r="DO20235" s="303" t="s">
        <v>232</v>
      </c>
    </row>
    <row r="20236" spans="119:119" x14ac:dyDescent="0.2">
      <c r="DO20236" s="303" t="s">
        <v>232</v>
      </c>
    </row>
    <row r="20237" spans="119:119" x14ac:dyDescent="0.2">
      <c r="DO20237" s="303" t="s">
        <v>232</v>
      </c>
    </row>
    <row r="20238" spans="119:119" x14ac:dyDescent="0.2">
      <c r="DO20238" s="303" t="s">
        <v>232</v>
      </c>
    </row>
    <row r="20239" spans="119:119" x14ac:dyDescent="0.2">
      <c r="DO20239" s="303" t="s">
        <v>232</v>
      </c>
    </row>
    <row r="20240" spans="119:119" x14ac:dyDescent="0.2">
      <c r="DO20240" s="303" t="s">
        <v>232</v>
      </c>
    </row>
    <row r="20241" spans="119:119" x14ac:dyDescent="0.2">
      <c r="DO20241" s="303" t="s">
        <v>232</v>
      </c>
    </row>
    <row r="20242" spans="119:119" x14ac:dyDescent="0.2">
      <c r="DO20242" s="303" t="s">
        <v>232</v>
      </c>
    </row>
    <row r="20243" spans="119:119" x14ac:dyDescent="0.2">
      <c r="DO20243" s="303" t="s">
        <v>232</v>
      </c>
    </row>
    <row r="20244" spans="119:119" x14ac:dyDescent="0.2">
      <c r="DO20244" s="303" t="s">
        <v>232</v>
      </c>
    </row>
    <row r="20245" spans="119:119" x14ac:dyDescent="0.2">
      <c r="DO20245" s="303" t="s">
        <v>232</v>
      </c>
    </row>
    <row r="20246" spans="119:119" x14ac:dyDescent="0.2">
      <c r="DO20246" s="303" t="s">
        <v>232</v>
      </c>
    </row>
    <row r="20247" spans="119:119" x14ac:dyDescent="0.2">
      <c r="DO20247" s="303" t="s">
        <v>232</v>
      </c>
    </row>
    <row r="20248" spans="119:119" x14ac:dyDescent="0.2">
      <c r="DO20248" s="303" t="s">
        <v>232</v>
      </c>
    </row>
    <row r="20249" spans="119:119" x14ac:dyDescent="0.2">
      <c r="DO20249" s="303" t="s">
        <v>232</v>
      </c>
    </row>
    <row r="20250" spans="119:119" x14ac:dyDescent="0.2">
      <c r="DO20250" s="303" t="s">
        <v>232</v>
      </c>
    </row>
    <row r="20251" spans="119:119" x14ac:dyDescent="0.2">
      <c r="DO20251" s="303" t="s">
        <v>232</v>
      </c>
    </row>
    <row r="20252" spans="119:119" x14ac:dyDescent="0.2">
      <c r="DO20252" s="303" t="s">
        <v>232</v>
      </c>
    </row>
    <row r="20253" spans="119:119" x14ac:dyDescent="0.2">
      <c r="DO20253" s="303" t="s">
        <v>232</v>
      </c>
    </row>
    <row r="20254" spans="119:119" x14ac:dyDescent="0.2">
      <c r="DO20254" s="303" t="s">
        <v>232</v>
      </c>
    </row>
    <row r="20255" spans="119:119" x14ac:dyDescent="0.2">
      <c r="DO20255" s="303" t="s">
        <v>232</v>
      </c>
    </row>
    <row r="20256" spans="119:119" x14ac:dyDescent="0.2">
      <c r="DO20256" s="303" t="s">
        <v>232</v>
      </c>
    </row>
    <row r="20257" spans="119:119" x14ac:dyDescent="0.2">
      <c r="DO20257" s="303" t="s">
        <v>232</v>
      </c>
    </row>
    <row r="20258" spans="119:119" x14ac:dyDescent="0.2">
      <c r="DO20258" s="303" t="s">
        <v>232</v>
      </c>
    </row>
    <row r="20259" spans="119:119" x14ac:dyDescent="0.2">
      <c r="DO20259" s="303" t="s">
        <v>232</v>
      </c>
    </row>
    <row r="20260" spans="119:119" x14ac:dyDescent="0.2">
      <c r="DO20260" s="303" t="s">
        <v>232</v>
      </c>
    </row>
    <row r="20261" spans="119:119" x14ac:dyDescent="0.2">
      <c r="DO20261" s="303" t="s">
        <v>232</v>
      </c>
    </row>
    <row r="20262" spans="119:119" x14ac:dyDescent="0.2">
      <c r="DO20262" s="303" t="s">
        <v>232</v>
      </c>
    </row>
    <row r="20263" spans="119:119" x14ac:dyDescent="0.2">
      <c r="DO20263" s="303" t="s">
        <v>232</v>
      </c>
    </row>
    <row r="20264" spans="119:119" x14ac:dyDescent="0.2">
      <c r="DO20264" s="303" t="s">
        <v>232</v>
      </c>
    </row>
    <row r="20265" spans="119:119" x14ac:dyDescent="0.2">
      <c r="DO20265" s="303" t="s">
        <v>232</v>
      </c>
    </row>
    <row r="20266" spans="119:119" x14ac:dyDescent="0.2">
      <c r="DO20266" s="303" t="s">
        <v>232</v>
      </c>
    </row>
    <row r="20267" spans="119:119" x14ac:dyDescent="0.2">
      <c r="DO20267" s="303" t="s">
        <v>232</v>
      </c>
    </row>
    <row r="20268" spans="119:119" x14ac:dyDescent="0.2">
      <c r="DO20268" s="303" t="s">
        <v>232</v>
      </c>
    </row>
    <row r="20269" spans="119:119" x14ac:dyDescent="0.2">
      <c r="DO20269" s="303" t="s">
        <v>232</v>
      </c>
    </row>
    <row r="20270" spans="119:119" x14ac:dyDescent="0.2">
      <c r="DO20270" s="303" t="s">
        <v>232</v>
      </c>
    </row>
    <row r="20271" spans="119:119" x14ac:dyDescent="0.2">
      <c r="DO20271" s="303" t="s">
        <v>232</v>
      </c>
    </row>
    <row r="20272" spans="119:119" x14ac:dyDescent="0.2">
      <c r="DO20272" s="303" t="s">
        <v>232</v>
      </c>
    </row>
    <row r="20273" spans="119:119" x14ac:dyDescent="0.2">
      <c r="DO20273" s="303" t="s">
        <v>232</v>
      </c>
    </row>
    <row r="20274" spans="119:119" x14ac:dyDescent="0.2">
      <c r="DO20274" s="303" t="s">
        <v>232</v>
      </c>
    </row>
    <row r="20275" spans="119:119" x14ac:dyDescent="0.2">
      <c r="DO20275" s="303" t="s">
        <v>232</v>
      </c>
    </row>
    <row r="20276" spans="119:119" x14ac:dyDescent="0.2">
      <c r="DO20276" s="303" t="s">
        <v>232</v>
      </c>
    </row>
    <row r="20277" spans="119:119" x14ac:dyDescent="0.2">
      <c r="DO20277" s="303" t="s">
        <v>232</v>
      </c>
    </row>
    <row r="20278" spans="119:119" x14ac:dyDescent="0.2">
      <c r="DO20278" s="303" t="s">
        <v>232</v>
      </c>
    </row>
    <row r="20279" spans="119:119" x14ac:dyDescent="0.2">
      <c r="DO20279" s="303" t="s">
        <v>232</v>
      </c>
    </row>
    <row r="20280" spans="119:119" x14ac:dyDescent="0.2">
      <c r="DO20280" s="303" t="s">
        <v>232</v>
      </c>
    </row>
    <row r="20281" spans="119:119" x14ac:dyDescent="0.2">
      <c r="DO20281" s="303" t="s">
        <v>232</v>
      </c>
    </row>
    <row r="20282" spans="119:119" x14ac:dyDescent="0.2">
      <c r="DO20282" s="303" t="s">
        <v>232</v>
      </c>
    </row>
    <row r="20283" spans="119:119" x14ac:dyDescent="0.2">
      <c r="DO20283" s="303" t="s">
        <v>232</v>
      </c>
    </row>
    <row r="20284" spans="119:119" x14ac:dyDescent="0.2">
      <c r="DO20284" s="303" t="s">
        <v>232</v>
      </c>
    </row>
    <row r="20285" spans="119:119" x14ac:dyDescent="0.2">
      <c r="DO20285" s="303" t="s">
        <v>232</v>
      </c>
    </row>
    <row r="20286" spans="119:119" x14ac:dyDescent="0.2">
      <c r="DO20286" s="303" t="s">
        <v>232</v>
      </c>
    </row>
    <row r="20287" spans="119:119" x14ac:dyDescent="0.2">
      <c r="DO20287" s="303" t="s">
        <v>232</v>
      </c>
    </row>
    <row r="20288" spans="119:119" x14ac:dyDescent="0.2">
      <c r="DO20288" s="303" t="s">
        <v>232</v>
      </c>
    </row>
    <row r="20289" spans="119:119" x14ac:dyDescent="0.2">
      <c r="DO20289" s="303" t="s">
        <v>232</v>
      </c>
    </row>
    <row r="20290" spans="119:119" x14ac:dyDescent="0.2">
      <c r="DO20290" s="303" t="s">
        <v>232</v>
      </c>
    </row>
    <row r="20291" spans="119:119" x14ac:dyDescent="0.2">
      <c r="DO20291" s="303" t="s">
        <v>232</v>
      </c>
    </row>
    <row r="20292" spans="119:119" x14ac:dyDescent="0.2">
      <c r="DO20292" s="303" t="s">
        <v>232</v>
      </c>
    </row>
    <row r="20293" spans="119:119" x14ac:dyDescent="0.2">
      <c r="DO20293" s="303" t="s">
        <v>232</v>
      </c>
    </row>
    <row r="20294" spans="119:119" x14ac:dyDescent="0.2">
      <c r="DO20294" s="303" t="s">
        <v>232</v>
      </c>
    </row>
    <row r="20295" spans="119:119" x14ac:dyDescent="0.2">
      <c r="DO20295" s="303" t="s">
        <v>232</v>
      </c>
    </row>
    <row r="20296" spans="119:119" x14ac:dyDescent="0.2">
      <c r="DO20296" s="303" t="s">
        <v>232</v>
      </c>
    </row>
    <row r="20297" spans="119:119" x14ac:dyDescent="0.2">
      <c r="DO20297" s="303" t="s">
        <v>232</v>
      </c>
    </row>
    <row r="20298" spans="119:119" x14ac:dyDescent="0.2">
      <c r="DO20298" s="303" t="s">
        <v>232</v>
      </c>
    </row>
    <row r="20299" spans="119:119" x14ac:dyDescent="0.2">
      <c r="DO20299" s="303" t="s">
        <v>232</v>
      </c>
    </row>
    <row r="20300" spans="119:119" x14ac:dyDescent="0.2">
      <c r="DO20300" s="303" t="s">
        <v>232</v>
      </c>
    </row>
    <row r="20301" spans="119:119" x14ac:dyDescent="0.2">
      <c r="DO20301" s="303" t="s">
        <v>232</v>
      </c>
    </row>
    <row r="20302" spans="119:119" x14ac:dyDescent="0.2">
      <c r="DO20302" s="303" t="s">
        <v>232</v>
      </c>
    </row>
    <row r="20303" spans="119:119" x14ac:dyDescent="0.2">
      <c r="DO20303" s="303" t="s">
        <v>232</v>
      </c>
    </row>
    <row r="20304" spans="119:119" x14ac:dyDescent="0.2">
      <c r="DO20304" s="303" t="s">
        <v>232</v>
      </c>
    </row>
    <row r="20305" spans="119:119" x14ac:dyDescent="0.2">
      <c r="DO20305" s="303" t="s">
        <v>232</v>
      </c>
    </row>
    <row r="20306" spans="119:119" x14ac:dyDescent="0.2">
      <c r="DO20306" s="303" t="s">
        <v>232</v>
      </c>
    </row>
    <row r="20307" spans="119:119" x14ac:dyDescent="0.2">
      <c r="DO20307" s="303" t="s">
        <v>232</v>
      </c>
    </row>
    <row r="20308" spans="119:119" x14ac:dyDescent="0.2">
      <c r="DO20308" s="303" t="s">
        <v>232</v>
      </c>
    </row>
    <row r="20309" spans="119:119" x14ac:dyDescent="0.2">
      <c r="DO20309" s="303" t="s">
        <v>232</v>
      </c>
    </row>
    <row r="20310" spans="119:119" x14ac:dyDescent="0.2">
      <c r="DO20310" s="303" t="s">
        <v>232</v>
      </c>
    </row>
    <row r="20311" spans="119:119" x14ac:dyDescent="0.2">
      <c r="DO20311" s="303" t="s">
        <v>232</v>
      </c>
    </row>
    <row r="20312" spans="119:119" x14ac:dyDescent="0.2">
      <c r="DO20312" s="303" t="s">
        <v>232</v>
      </c>
    </row>
    <row r="20313" spans="119:119" x14ac:dyDescent="0.2">
      <c r="DO20313" s="303" t="s">
        <v>232</v>
      </c>
    </row>
    <row r="20314" spans="119:119" x14ac:dyDescent="0.2">
      <c r="DO20314" s="303" t="s">
        <v>232</v>
      </c>
    </row>
    <row r="20315" spans="119:119" x14ac:dyDescent="0.2">
      <c r="DO20315" s="303" t="s">
        <v>232</v>
      </c>
    </row>
    <row r="20316" spans="119:119" x14ac:dyDescent="0.2">
      <c r="DO20316" s="303" t="s">
        <v>232</v>
      </c>
    </row>
    <row r="20317" spans="119:119" x14ac:dyDescent="0.2">
      <c r="DO20317" s="303" t="s">
        <v>232</v>
      </c>
    </row>
    <row r="20318" spans="119:119" x14ac:dyDescent="0.2">
      <c r="DO20318" s="303" t="s">
        <v>232</v>
      </c>
    </row>
    <row r="20319" spans="119:119" x14ac:dyDescent="0.2">
      <c r="DO20319" s="303" t="s">
        <v>232</v>
      </c>
    </row>
    <row r="20320" spans="119:119" x14ac:dyDescent="0.2">
      <c r="DO20320" s="303" t="s">
        <v>232</v>
      </c>
    </row>
    <row r="20321" spans="119:119" x14ac:dyDescent="0.2">
      <c r="DO20321" s="303" t="s">
        <v>232</v>
      </c>
    </row>
    <row r="20322" spans="119:119" x14ac:dyDescent="0.2">
      <c r="DO20322" s="303" t="s">
        <v>232</v>
      </c>
    </row>
    <row r="20323" spans="119:119" x14ac:dyDescent="0.2">
      <c r="DO20323" s="303" t="s">
        <v>232</v>
      </c>
    </row>
    <row r="20324" spans="119:119" x14ac:dyDescent="0.2">
      <c r="DO20324" s="303" t="s">
        <v>232</v>
      </c>
    </row>
    <row r="20325" spans="119:119" x14ac:dyDescent="0.2">
      <c r="DO20325" s="303" t="s">
        <v>232</v>
      </c>
    </row>
    <row r="20326" spans="119:119" x14ac:dyDescent="0.2">
      <c r="DO20326" s="303" t="s">
        <v>232</v>
      </c>
    </row>
    <row r="20327" spans="119:119" x14ac:dyDescent="0.2">
      <c r="DO20327" s="303" t="s">
        <v>232</v>
      </c>
    </row>
    <row r="20328" spans="119:119" x14ac:dyDescent="0.2">
      <c r="DO20328" s="303" t="s">
        <v>232</v>
      </c>
    </row>
    <row r="20329" spans="119:119" x14ac:dyDescent="0.2">
      <c r="DO20329" s="303" t="s">
        <v>232</v>
      </c>
    </row>
    <row r="20330" spans="119:119" x14ac:dyDescent="0.2">
      <c r="DO20330" s="303" t="s">
        <v>232</v>
      </c>
    </row>
    <row r="20331" spans="119:119" x14ac:dyDescent="0.2">
      <c r="DO20331" s="303" t="s">
        <v>232</v>
      </c>
    </row>
    <row r="20332" spans="119:119" x14ac:dyDescent="0.2">
      <c r="DO20332" s="303" t="s">
        <v>232</v>
      </c>
    </row>
    <row r="20333" spans="119:119" x14ac:dyDescent="0.2">
      <c r="DO20333" s="303" t="s">
        <v>232</v>
      </c>
    </row>
    <row r="20334" spans="119:119" x14ac:dyDescent="0.2">
      <c r="DO20334" s="303" t="s">
        <v>232</v>
      </c>
    </row>
    <row r="20335" spans="119:119" x14ac:dyDescent="0.2">
      <c r="DO20335" s="303" t="s">
        <v>232</v>
      </c>
    </row>
    <row r="20336" spans="119:119" x14ac:dyDescent="0.2">
      <c r="DO20336" s="303" t="s">
        <v>232</v>
      </c>
    </row>
    <row r="20337" spans="119:119" x14ac:dyDescent="0.2">
      <c r="DO20337" s="303" t="s">
        <v>232</v>
      </c>
    </row>
    <row r="20338" spans="119:119" x14ac:dyDescent="0.2">
      <c r="DO20338" s="303" t="s">
        <v>232</v>
      </c>
    </row>
    <row r="20339" spans="119:119" x14ac:dyDescent="0.2">
      <c r="DO20339" s="303" t="s">
        <v>232</v>
      </c>
    </row>
    <row r="20340" spans="119:119" x14ac:dyDescent="0.2">
      <c r="DO20340" s="303" t="s">
        <v>232</v>
      </c>
    </row>
    <row r="20341" spans="119:119" x14ac:dyDescent="0.2">
      <c r="DO20341" s="303" t="s">
        <v>232</v>
      </c>
    </row>
    <row r="20342" spans="119:119" x14ac:dyDescent="0.2">
      <c r="DO20342" s="303" t="s">
        <v>232</v>
      </c>
    </row>
    <row r="20343" spans="119:119" x14ac:dyDescent="0.2">
      <c r="DO20343" s="303" t="s">
        <v>232</v>
      </c>
    </row>
    <row r="20344" spans="119:119" x14ac:dyDescent="0.2">
      <c r="DO20344" s="303" t="s">
        <v>232</v>
      </c>
    </row>
    <row r="20345" spans="119:119" x14ac:dyDescent="0.2">
      <c r="DO20345" s="303" t="s">
        <v>232</v>
      </c>
    </row>
    <row r="20346" spans="119:119" x14ac:dyDescent="0.2">
      <c r="DO20346" s="303" t="s">
        <v>232</v>
      </c>
    </row>
    <row r="20347" spans="119:119" x14ac:dyDescent="0.2">
      <c r="DO20347" s="303" t="s">
        <v>232</v>
      </c>
    </row>
    <row r="20348" spans="119:119" x14ac:dyDescent="0.2">
      <c r="DO20348" s="303" t="s">
        <v>232</v>
      </c>
    </row>
    <row r="20349" spans="119:119" x14ac:dyDescent="0.2">
      <c r="DO20349" s="303" t="s">
        <v>232</v>
      </c>
    </row>
    <row r="20350" spans="119:119" x14ac:dyDescent="0.2">
      <c r="DO20350" s="303" t="s">
        <v>232</v>
      </c>
    </row>
    <row r="20351" spans="119:119" x14ac:dyDescent="0.2">
      <c r="DO20351" s="303" t="s">
        <v>232</v>
      </c>
    </row>
    <row r="20352" spans="119:119" x14ac:dyDescent="0.2">
      <c r="DO20352" s="303" t="s">
        <v>232</v>
      </c>
    </row>
    <row r="20353" spans="119:119" x14ac:dyDescent="0.2">
      <c r="DO20353" s="303" t="s">
        <v>232</v>
      </c>
    </row>
    <row r="20354" spans="119:119" x14ac:dyDescent="0.2">
      <c r="DO20354" s="303" t="s">
        <v>232</v>
      </c>
    </row>
    <row r="20355" spans="119:119" x14ac:dyDescent="0.2">
      <c r="DO20355" s="303" t="s">
        <v>232</v>
      </c>
    </row>
    <row r="20356" spans="119:119" x14ac:dyDescent="0.2">
      <c r="DO20356" s="303" t="s">
        <v>232</v>
      </c>
    </row>
    <row r="20357" spans="119:119" x14ac:dyDescent="0.2">
      <c r="DO20357" s="303" t="s">
        <v>232</v>
      </c>
    </row>
    <row r="20358" spans="119:119" x14ac:dyDescent="0.2">
      <c r="DO20358" s="303" t="s">
        <v>232</v>
      </c>
    </row>
    <row r="20359" spans="119:119" x14ac:dyDescent="0.2">
      <c r="DO20359" s="303" t="s">
        <v>232</v>
      </c>
    </row>
    <row r="20360" spans="119:119" x14ac:dyDescent="0.2">
      <c r="DO20360" s="303" t="s">
        <v>232</v>
      </c>
    </row>
    <row r="20361" spans="119:119" x14ac:dyDescent="0.2">
      <c r="DO20361" s="303" t="s">
        <v>232</v>
      </c>
    </row>
    <row r="20362" spans="119:119" x14ac:dyDescent="0.2">
      <c r="DO20362" s="303" t="s">
        <v>232</v>
      </c>
    </row>
    <row r="20363" spans="119:119" x14ac:dyDescent="0.2">
      <c r="DO20363" s="303" t="s">
        <v>232</v>
      </c>
    </row>
    <row r="20364" spans="119:119" x14ac:dyDescent="0.2">
      <c r="DO20364" s="303" t="s">
        <v>232</v>
      </c>
    </row>
    <row r="20365" spans="119:119" x14ac:dyDescent="0.2">
      <c r="DO20365" s="303" t="s">
        <v>232</v>
      </c>
    </row>
    <row r="20366" spans="119:119" x14ac:dyDescent="0.2">
      <c r="DO20366" s="303" t="s">
        <v>232</v>
      </c>
    </row>
    <row r="20367" spans="119:119" x14ac:dyDescent="0.2">
      <c r="DO20367" s="303" t="s">
        <v>232</v>
      </c>
    </row>
    <row r="20368" spans="119:119" x14ac:dyDescent="0.2">
      <c r="DO20368" s="303" t="s">
        <v>232</v>
      </c>
    </row>
    <row r="20369" spans="119:119" x14ac:dyDescent="0.2">
      <c r="DO20369" s="303" t="s">
        <v>232</v>
      </c>
    </row>
    <row r="20370" spans="119:119" x14ac:dyDescent="0.2">
      <c r="DO20370" s="303" t="s">
        <v>232</v>
      </c>
    </row>
    <row r="20371" spans="119:119" x14ac:dyDescent="0.2">
      <c r="DO20371" s="303" t="s">
        <v>232</v>
      </c>
    </row>
    <row r="20372" spans="119:119" x14ac:dyDescent="0.2">
      <c r="DO20372" s="303" t="s">
        <v>232</v>
      </c>
    </row>
    <row r="20373" spans="119:119" x14ac:dyDescent="0.2">
      <c r="DO20373" s="303" t="s">
        <v>232</v>
      </c>
    </row>
    <row r="20374" spans="119:119" x14ac:dyDescent="0.2">
      <c r="DO20374" s="303" t="s">
        <v>232</v>
      </c>
    </row>
    <row r="20375" spans="119:119" x14ac:dyDescent="0.2">
      <c r="DO20375" s="303" t="s">
        <v>232</v>
      </c>
    </row>
    <row r="20376" spans="119:119" x14ac:dyDescent="0.2">
      <c r="DO20376" s="303" t="s">
        <v>232</v>
      </c>
    </row>
    <row r="20377" spans="119:119" x14ac:dyDescent="0.2">
      <c r="DO20377" s="303" t="s">
        <v>232</v>
      </c>
    </row>
    <row r="20378" spans="119:119" x14ac:dyDescent="0.2">
      <c r="DO20378" s="303" t="s">
        <v>232</v>
      </c>
    </row>
    <row r="20379" spans="119:119" x14ac:dyDescent="0.2">
      <c r="DO20379" s="303" t="s">
        <v>232</v>
      </c>
    </row>
    <row r="20380" spans="119:119" x14ac:dyDescent="0.2">
      <c r="DO20380" s="303" t="s">
        <v>232</v>
      </c>
    </row>
    <row r="20381" spans="119:119" x14ac:dyDescent="0.2">
      <c r="DO20381" s="303" t="s">
        <v>232</v>
      </c>
    </row>
    <row r="20382" spans="119:119" x14ac:dyDescent="0.2">
      <c r="DO20382" s="303" t="s">
        <v>232</v>
      </c>
    </row>
    <row r="20383" spans="119:119" x14ac:dyDescent="0.2">
      <c r="DO20383" s="303" t="s">
        <v>232</v>
      </c>
    </row>
    <row r="20384" spans="119:119" x14ac:dyDescent="0.2">
      <c r="DO20384" s="303" t="s">
        <v>232</v>
      </c>
    </row>
    <row r="20385" spans="119:119" x14ac:dyDescent="0.2">
      <c r="DO20385" s="303" t="s">
        <v>232</v>
      </c>
    </row>
    <row r="20386" spans="119:119" x14ac:dyDescent="0.2">
      <c r="DO20386" s="303" t="s">
        <v>232</v>
      </c>
    </row>
    <row r="20387" spans="119:119" x14ac:dyDescent="0.2">
      <c r="DO20387" s="303" t="s">
        <v>232</v>
      </c>
    </row>
    <row r="20388" spans="119:119" x14ac:dyDescent="0.2">
      <c r="DO20388" s="303" t="s">
        <v>232</v>
      </c>
    </row>
    <row r="20389" spans="119:119" x14ac:dyDescent="0.2">
      <c r="DO20389" s="303" t="s">
        <v>232</v>
      </c>
    </row>
    <row r="20390" spans="119:119" x14ac:dyDescent="0.2">
      <c r="DO20390" s="303" t="s">
        <v>232</v>
      </c>
    </row>
    <row r="20391" spans="119:119" x14ac:dyDescent="0.2">
      <c r="DO20391" s="303" t="s">
        <v>232</v>
      </c>
    </row>
    <row r="20392" spans="119:119" x14ac:dyDescent="0.2">
      <c r="DO20392" s="303" t="s">
        <v>232</v>
      </c>
    </row>
    <row r="20393" spans="119:119" x14ac:dyDescent="0.2">
      <c r="DO20393" s="303" t="s">
        <v>232</v>
      </c>
    </row>
    <row r="20394" spans="119:119" x14ac:dyDescent="0.2">
      <c r="DO20394" s="303" t="s">
        <v>232</v>
      </c>
    </row>
    <row r="20395" spans="119:119" x14ac:dyDescent="0.2">
      <c r="DO20395" s="303" t="s">
        <v>232</v>
      </c>
    </row>
    <row r="20396" spans="119:119" x14ac:dyDescent="0.2">
      <c r="DO20396" s="303" t="s">
        <v>232</v>
      </c>
    </row>
    <row r="20397" spans="119:119" x14ac:dyDescent="0.2">
      <c r="DO20397" s="303" t="s">
        <v>232</v>
      </c>
    </row>
    <row r="20398" spans="119:119" x14ac:dyDescent="0.2">
      <c r="DO20398" s="303" t="s">
        <v>232</v>
      </c>
    </row>
    <row r="20399" spans="119:119" x14ac:dyDescent="0.2">
      <c r="DO20399" s="303" t="s">
        <v>232</v>
      </c>
    </row>
    <row r="20400" spans="119:119" x14ac:dyDescent="0.2">
      <c r="DO20400" s="303" t="s">
        <v>232</v>
      </c>
    </row>
    <row r="20401" spans="119:119" x14ac:dyDescent="0.2">
      <c r="DO20401" s="303" t="s">
        <v>232</v>
      </c>
    </row>
    <row r="20402" spans="119:119" x14ac:dyDescent="0.2">
      <c r="DO20402" s="303" t="s">
        <v>232</v>
      </c>
    </row>
    <row r="20403" spans="119:119" x14ac:dyDescent="0.2">
      <c r="DO20403" s="303" t="s">
        <v>232</v>
      </c>
    </row>
    <row r="20404" spans="119:119" x14ac:dyDescent="0.2">
      <c r="DO20404" s="303" t="s">
        <v>232</v>
      </c>
    </row>
    <row r="20405" spans="119:119" x14ac:dyDescent="0.2">
      <c r="DO20405" s="303" t="s">
        <v>232</v>
      </c>
    </row>
    <row r="20406" spans="119:119" x14ac:dyDescent="0.2">
      <c r="DO20406" s="303" t="s">
        <v>232</v>
      </c>
    </row>
    <row r="20407" spans="119:119" x14ac:dyDescent="0.2">
      <c r="DO20407" s="303" t="s">
        <v>232</v>
      </c>
    </row>
    <row r="20408" spans="119:119" x14ac:dyDescent="0.2">
      <c r="DO20408" s="303" t="s">
        <v>232</v>
      </c>
    </row>
    <row r="20409" spans="119:119" x14ac:dyDescent="0.2">
      <c r="DO20409" s="303" t="s">
        <v>232</v>
      </c>
    </row>
    <row r="20410" spans="119:119" x14ac:dyDescent="0.2">
      <c r="DO20410" s="303" t="s">
        <v>232</v>
      </c>
    </row>
    <row r="20411" spans="119:119" x14ac:dyDescent="0.2">
      <c r="DO20411" s="303" t="s">
        <v>232</v>
      </c>
    </row>
    <row r="20412" spans="119:119" x14ac:dyDescent="0.2">
      <c r="DO20412" s="303" t="s">
        <v>232</v>
      </c>
    </row>
    <row r="20413" spans="119:119" x14ac:dyDescent="0.2">
      <c r="DO20413" s="303" t="s">
        <v>232</v>
      </c>
    </row>
    <row r="20414" spans="119:119" x14ac:dyDescent="0.2">
      <c r="DO20414" s="303" t="s">
        <v>232</v>
      </c>
    </row>
    <row r="20415" spans="119:119" x14ac:dyDescent="0.2">
      <c r="DO20415" s="303" t="s">
        <v>232</v>
      </c>
    </row>
    <row r="20416" spans="119:119" x14ac:dyDescent="0.2">
      <c r="DO20416" s="303" t="s">
        <v>232</v>
      </c>
    </row>
    <row r="20417" spans="119:119" x14ac:dyDescent="0.2">
      <c r="DO20417" s="303" t="s">
        <v>232</v>
      </c>
    </row>
    <row r="20418" spans="119:119" x14ac:dyDescent="0.2">
      <c r="DO20418" s="303" t="s">
        <v>232</v>
      </c>
    </row>
    <row r="20419" spans="119:119" x14ac:dyDescent="0.2">
      <c r="DO20419" s="303" t="s">
        <v>232</v>
      </c>
    </row>
    <row r="20420" spans="119:119" x14ac:dyDescent="0.2">
      <c r="DO20420" s="303" t="s">
        <v>232</v>
      </c>
    </row>
    <row r="20421" spans="119:119" x14ac:dyDescent="0.2">
      <c r="DO20421" s="303" t="s">
        <v>232</v>
      </c>
    </row>
    <row r="20422" spans="119:119" x14ac:dyDescent="0.2">
      <c r="DO20422" s="303" t="s">
        <v>232</v>
      </c>
    </row>
    <row r="20423" spans="119:119" x14ac:dyDescent="0.2">
      <c r="DO20423" s="303" t="s">
        <v>232</v>
      </c>
    </row>
    <row r="20424" spans="119:119" x14ac:dyDescent="0.2">
      <c r="DO20424" s="303" t="s">
        <v>232</v>
      </c>
    </row>
    <row r="20425" spans="119:119" x14ac:dyDescent="0.2">
      <c r="DO20425" s="303" t="s">
        <v>232</v>
      </c>
    </row>
    <row r="20426" spans="119:119" x14ac:dyDescent="0.2">
      <c r="DO20426" s="303" t="s">
        <v>232</v>
      </c>
    </row>
    <row r="20427" spans="119:119" x14ac:dyDescent="0.2">
      <c r="DO20427" s="303" t="s">
        <v>232</v>
      </c>
    </row>
    <row r="20428" spans="119:119" x14ac:dyDescent="0.2">
      <c r="DO20428" s="303" t="s">
        <v>232</v>
      </c>
    </row>
    <row r="20429" spans="119:119" x14ac:dyDescent="0.2">
      <c r="DO20429" s="303" t="s">
        <v>232</v>
      </c>
    </row>
    <row r="20430" spans="119:119" x14ac:dyDescent="0.2">
      <c r="DO20430" s="303" t="s">
        <v>232</v>
      </c>
    </row>
    <row r="20431" spans="119:119" x14ac:dyDescent="0.2">
      <c r="DO20431" s="303" t="s">
        <v>232</v>
      </c>
    </row>
    <row r="20432" spans="119:119" x14ac:dyDescent="0.2">
      <c r="DO20432" s="303" t="s">
        <v>232</v>
      </c>
    </row>
    <row r="20433" spans="119:119" x14ac:dyDescent="0.2">
      <c r="DO20433" s="303" t="s">
        <v>232</v>
      </c>
    </row>
    <row r="20434" spans="119:119" x14ac:dyDescent="0.2">
      <c r="DO20434" s="303" t="s">
        <v>232</v>
      </c>
    </row>
    <row r="20435" spans="119:119" x14ac:dyDescent="0.2">
      <c r="DO20435" s="303" t="s">
        <v>232</v>
      </c>
    </row>
    <row r="20436" spans="119:119" x14ac:dyDescent="0.2">
      <c r="DO20436" s="303" t="s">
        <v>232</v>
      </c>
    </row>
    <row r="20437" spans="119:119" x14ac:dyDescent="0.2">
      <c r="DO20437" s="303" t="s">
        <v>232</v>
      </c>
    </row>
    <row r="20438" spans="119:119" x14ac:dyDescent="0.2">
      <c r="DO20438" s="303" t="s">
        <v>232</v>
      </c>
    </row>
    <row r="20439" spans="119:119" x14ac:dyDescent="0.2">
      <c r="DO20439" s="303" t="s">
        <v>232</v>
      </c>
    </row>
    <row r="20440" spans="119:119" x14ac:dyDescent="0.2">
      <c r="DO20440" s="303" t="s">
        <v>232</v>
      </c>
    </row>
    <row r="20441" spans="119:119" x14ac:dyDescent="0.2">
      <c r="DO20441" s="303" t="s">
        <v>232</v>
      </c>
    </row>
    <row r="20442" spans="119:119" x14ac:dyDescent="0.2">
      <c r="DO20442" s="303" t="s">
        <v>232</v>
      </c>
    </row>
    <row r="20443" spans="119:119" x14ac:dyDescent="0.2">
      <c r="DO20443" s="303" t="s">
        <v>232</v>
      </c>
    </row>
    <row r="20444" spans="119:119" x14ac:dyDescent="0.2">
      <c r="DO20444" s="303" t="s">
        <v>232</v>
      </c>
    </row>
    <row r="20445" spans="119:119" x14ac:dyDescent="0.2">
      <c r="DO20445" s="303" t="s">
        <v>232</v>
      </c>
    </row>
    <row r="20446" spans="119:119" x14ac:dyDescent="0.2">
      <c r="DO20446" s="303" t="s">
        <v>232</v>
      </c>
    </row>
    <row r="20447" spans="119:119" x14ac:dyDescent="0.2">
      <c r="DO20447" s="303" t="s">
        <v>232</v>
      </c>
    </row>
    <row r="20448" spans="119:119" x14ac:dyDescent="0.2">
      <c r="DO20448" s="303" t="s">
        <v>232</v>
      </c>
    </row>
    <row r="20449" spans="119:119" x14ac:dyDescent="0.2">
      <c r="DO20449" s="303" t="s">
        <v>232</v>
      </c>
    </row>
    <row r="20450" spans="119:119" x14ac:dyDescent="0.2">
      <c r="DO20450" s="303" t="s">
        <v>232</v>
      </c>
    </row>
    <row r="20451" spans="119:119" x14ac:dyDescent="0.2">
      <c r="DO20451" s="303" t="s">
        <v>232</v>
      </c>
    </row>
    <row r="20452" spans="119:119" x14ac:dyDescent="0.2">
      <c r="DO20452" s="303" t="s">
        <v>232</v>
      </c>
    </row>
    <row r="20453" spans="119:119" x14ac:dyDescent="0.2">
      <c r="DO20453" s="303" t="s">
        <v>232</v>
      </c>
    </row>
    <row r="20454" spans="119:119" x14ac:dyDescent="0.2">
      <c r="DO20454" s="303" t="s">
        <v>232</v>
      </c>
    </row>
    <row r="20455" spans="119:119" x14ac:dyDescent="0.2">
      <c r="DO20455" s="303" t="s">
        <v>232</v>
      </c>
    </row>
    <row r="20456" spans="119:119" x14ac:dyDescent="0.2">
      <c r="DO20456" s="303" t="s">
        <v>232</v>
      </c>
    </row>
    <row r="20457" spans="119:119" x14ac:dyDescent="0.2">
      <c r="DO20457" s="303" t="s">
        <v>232</v>
      </c>
    </row>
    <row r="20458" spans="119:119" x14ac:dyDescent="0.2">
      <c r="DO20458" s="303" t="s">
        <v>232</v>
      </c>
    </row>
    <row r="20459" spans="119:119" x14ac:dyDescent="0.2">
      <c r="DO20459" s="303" t="s">
        <v>232</v>
      </c>
    </row>
    <row r="20460" spans="119:119" x14ac:dyDescent="0.2">
      <c r="DO20460" s="303" t="s">
        <v>232</v>
      </c>
    </row>
    <row r="20461" spans="119:119" x14ac:dyDescent="0.2">
      <c r="DO20461" s="303" t="s">
        <v>232</v>
      </c>
    </row>
    <row r="20462" spans="119:119" x14ac:dyDescent="0.2">
      <c r="DO20462" s="303" t="s">
        <v>232</v>
      </c>
    </row>
    <row r="20463" spans="119:119" x14ac:dyDescent="0.2">
      <c r="DO20463" s="303" t="s">
        <v>232</v>
      </c>
    </row>
    <row r="20464" spans="119:119" x14ac:dyDescent="0.2">
      <c r="DO20464" s="303" t="s">
        <v>232</v>
      </c>
    </row>
    <row r="20465" spans="119:119" x14ac:dyDescent="0.2">
      <c r="DO20465" s="303" t="s">
        <v>232</v>
      </c>
    </row>
    <row r="20466" spans="119:119" x14ac:dyDescent="0.2">
      <c r="DO20466" s="303" t="s">
        <v>232</v>
      </c>
    </row>
    <row r="20467" spans="119:119" x14ac:dyDescent="0.2">
      <c r="DO20467" s="303" t="s">
        <v>232</v>
      </c>
    </row>
    <row r="20468" spans="119:119" x14ac:dyDescent="0.2">
      <c r="DO20468" s="303" t="s">
        <v>232</v>
      </c>
    </row>
    <row r="20469" spans="119:119" x14ac:dyDescent="0.2">
      <c r="DO20469" s="303" t="s">
        <v>232</v>
      </c>
    </row>
    <row r="20470" spans="119:119" x14ac:dyDescent="0.2">
      <c r="DO20470" s="303" t="s">
        <v>232</v>
      </c>
    </row>
    <row r="20471" spans="119:119" x14ac:dyDescent="0.2">
      <c r="DO20471" s="303" t="s">
        <v>232</v>
      </c>
    </row>
    <row r="20472" spans="119:119" x14ac:dyDescent="0.2">
      <c r="DO20472" s="303" t="s">
        <v>232</v>
      </c>
    </row>
    <row r="20473" spans="119:119" x14ac:dyDescent="0.2">
      <c r="DO20473" s="303" t="s">
        <v>232</v>
      </c>
    </row>
    <row r="20474" spans="119:119" x14ac:dyDescent="0.2">
      <c r="DO20474" s="303" t="s">
        <v>232</v>
      </c>
    </row>
    <row r="20475" spans="119:119" x14ac:dyDescent="0.2">
      <c r="DO20475" s="303" t="s">
        <v>232</v>
      </c>
    </row>
    <row r="20476" spans="119:119" x14ac:dyDescent="0.2">
      <c r="DO20476" s="303" t="s">
        <v>232</v>
      </c>
    </row>
    <row r="20477" spans="119:119" x14ac:dyDescent="0.2">
      <c r="DO20477" s="303" t="s">
        <v>232</v>
      </c>
    </row>
    <row r="20478" spans="119:119" x14ac:dyDescent="0.2">
      <c r="DO20478" s="303" t="s">
        <v>232</v>
      </c>
    </row>
    <row r="20479" spans="119:119" x14ac:dyDescent="0.2">
      <c r="DO20479" s="303" t="s">
        <v>232</v>
      </c>
    </row>
    <row r="20480" spans="119:119" x14ac:dyDescent="0.2">
      <c r="DO20480" s="303" t="s">
        <v>232</v>
      </c>
    </row>
    <row r="20481" spans="119:119" x14ac:dyDescent="0.2">
      <c r="DO20481" s="303" t="s">
        <v>232</v>
      </c>
    </row>
    <row r="20482" spans="119:119" x14ac:dyDescent="0.2">
      <c r="DO20482" s="303" t="s">
        <v>232</v>
      </c>
    </row>
    <row r="20483" spans="119:119" x14ac:dyDescent="0.2">
      <c r="DO20483" s="303" t="s">
        <v>232</v>
      </c>
    </row>
    <row r="20484" spans="119:119" x14ac:dyDescent="0.2">
      <c r="DO20484" s="303" t="s">
        <v>232</v>
      </c>
    </row>
    <row r="20485" spans="119:119" x14ac:dyDescent="0.2">
      <c r="DO20485" s="303" t="s">
        <v>232</v>
      </c>
    </row>
    <row r="20486" spans="119:119" x14ac:dyDescent="0.2">
      <c r="DO20486" s="303" t="s">
        <v>232</v>
      </c>
    </row>
    <row r="20487" spans="119:119" x14ac:dyDescent="0.2">
      <c r="DO20487" s="303" t="s">
        <v>232</v>
      </c>
    </row>
    <row r="20488" spans="119:119" x14ac:dyDescent="0.2">
      <c r="DO20488" s="303" t="s">
        <v>232</v>
      </c>
    </row>
    <row r="20489" spans="119:119" x14ac:dyDescent="0.2">
      <c r="DO20489" s="303" t="s">
        <v>232</v>
      </c>
    </row>
    <row r="20490" spans="119:119" x14ac:dyDescent="0.2">
      <c r="DO20490" s="303" t="s">
        <v>232</v>
      </c>
    </row>
    <row r="20491" spans="119:119" x14ac:dyDescent="0.2">
      <c r="DO20491" s="303" t="s">
        <v>232</v>
      </c>
    </row>
    <row r="20492" spans="119:119" x14ac:dyDescent="0.2">
      <c r="DO20492" s="303" t="s">
        <v>232</v>
      </c>
    </row>
    <row r="20493" spans="119:119" x14ac:dyDescent="0.2">
      <c r="DO20493" s="303" t="s">
        <v>232</v>
      </c>
    </row>
    <row r="20494" spans="119:119" x14ac:dyDescent="0.2">
      <c r="DO20494" s="303" t="s">
        <v>232</v>
      </c>
    </row>
    <row r="20495" spans="119:119" x14ac:dyDescent="0.2">
      <c r="DO20495" s="303" t="s">
        <v>232</v>
      </c>
    </row>
    <row r="20496" spans="119:119" x14ac:dyDescent="0.2">
      <c r="DO20496" s="303" t="s">
        <v>232</v>
      </c>
    </row>
    <row r="20497" spans="119:119" x14ac:dyDescent="0.2">
      <c r="DO20497" s="303" t="s">
        <v>232</v>
      </c>
    </row>
    <row r="20498" spans="119:119" x14ac:dyDescent="0.2">
      <c r="DO20498" s="303" t="s">
        <v>232</v>
      </c>
    </row>
    <row r="20499" spans="119:119" x14ac:dyDescent="0.2">
      <c r="DO20499" s="303" t="s">
        <v>232</v>
      </c>
    </row>
    <row r="20500" spans="119:119" x14ac:dyDescent="0.2">
      <c r="DO20500" s="303" t="s">
        <v>232</v>
      </c>
    </row>
    <row r="20501" spans="119:119" x14ac:dyDescent="0.2">
      <c r="DO20501" s="303" t="s">
        <v>232</v>
      </c>
    </row>
    <row r="20502" spans="119:119" x14ac:dyDescent="0.2">
      <c r="DO20502" s="303" t="s">
        <v>232</v>
      </c>
    </row>
    <row r="20503" spans="119:119" x14ac:dyDescent="0.2">
      <c r="DO20503" s="303" t="s">
        <v>232</v>
      </c>
    </row>
    <row r="20504" spans="119:119" x14ac:dyDescent="0.2">
      <c r="DO20504" s="303" t="s">
        <v>232</v>
      </c>
    </row>
    <row r="20505" spans="119:119" x14ac:dyDescent="0.2">
      <c r="DO20505" s="303" t="s">
        <v>232</v>
      </c>
    </row>
    <row r="20506" spans="119:119" x14ac:dyDescent="0.2">
      <c r="DO20506" s="303" t="s">
        <v>232</v>
      </c>
    </row>
    <row r="20507" spans="119:119" x14ac:dyDescent="0.2">
      <c r="DO20507" s="303" t="s">
        <v>232</v>
      </c>
    </row>
    <row r="20508" spans="119:119" x14ac:dyDescent="0.2">
      <c r="DO20508" s="303" t="s">
        <v>232</v>
      </c>
    </row>
    <row r="20509" spans="119:119" x14ac:dyDescent="0.2">
      <c r="DO20509" s="303" t="s">
        <v>232</v>
      </c>
    </row>
    <row r="20510" spans="119:119" x14ac:dyDescent="0.2">
      <c r="DO20510" s="303" t="s">
        <v>232</v>
      </c>
    </row>
    <row r="20511" spans="119:119" x14ac:dyDescent="0.2">
      <c r="DO20511" s="303" t="s">
        <v>232</v>
      </c>
    </row>
    <row r="20512" spans="119:119" x14ac:dyDescent="0.2">
      <c r="DO20512" s="303" t="s">
        <v>232</v>
      </c>
    </row>
    <row r="20513" spans="119:119" x14ac:dyDescent="0.2">
      <c r="DO20513" s="303" t="s">
        <v>232</v>
      </c>
    </row>
    <row r="20514" spans="119:119" x14ac:dyDescent="0.2">
      <c r="DO20514" s="303" t="s">
        <v>232</v>
      </c>
    </row>
    <row r="20515" spans="119:119" x14ac:dyDescent="0.2">
      <c r="DO20515" s="303" t="s">
        <v>232</v>
      </c>
    </row>
    <row r="20516" spans="119:119" x14ac:dyDescent="0.2">
      <c r="DO20516" s="303" t="s">
        <v>232</v>
      </c>
    </row>
    <row r="20517" spans="119:119" x14ac:dyDescent="0.2">
      <c r="DO20517" s="303" t="s">
        <v>232</v>
      </c>
    </row>
    <row r="20518" spans="119:119" x14ac:dyDescent="0.2">
      <c r="DO20518" s="303" t="s">
        <v>232</v>
      </c>
    </row>
    <row r="20519" spans="119:119" x14ac:dyDescent="0.2">
      <c r="DO20519" s="303" t="s">
        <v>232</v>
      </c>
    </row>
    <row r="20520" spans="119:119" x14ac:dyDescent="0.2">
      <c r="DO20520" s="303" t="s">
        <v>232</v>
      </c>
    </row>
    <row r="20521" spans="119:119" x14ac:dyDescent="0.2">
      <c r="DO20521" s="303" t="s">
        <v>232</v>
      </c>
    </row>
    <row r="20522" spans="119:119" x14ac:dyDescent="0.2">
      <c r="DO20522" s="303" t="s">
        <v>232</v>
      </c>
    </row>
    <row r="20523" spans="119:119" x14ac:dyDescent="0.2">
      <c r="DO20523" s="303" t="s">
        <v>232</v>
      </c>
    </row>
    <row r="20524" spans="119:119" x14ac:dyDescent="0.2">
      <c r="DO20524" s="303" t="s">
        <v>232</v>
      </c>
    </row>
    <row r="20525" spans="119:119" x14ac:dyDescent="0.2">
      <c r="DO20525" s="303" t="s">
        <v>232</v>
      </c>
    </row>
    <row r="20526" spans="119:119" x14ac:dyDescent="0.2">
      <c r="DO20526" s="303" t="s">
        <v>232</v>
      </c>
    </row>
    <row r="20527" spans="119:119" x14ac:dyDescent="0.2">
      <c r="DO20527" s="303" t="s">
        <v>232</v>
      </c>
    </row>
    <row r="20528" spans="119:119" x14ac:dyDescent="0.2">
      <c r="DO20528" s="303" t="s">
        <v>232</v>
      </c>
    </row>
    <row r="20529" spans="119:119" x14ac:dyDescent="0.2">
      <c r="DO20529" s="303" t="s">
        <v>232</v>
      </c>
    </row>
    <row r="20530" spans="119:119" x14ac:dyDescent="0.2">
      <c r="DO20530" s="303" t="s">
        <v>232</v>
      </c>
    </row>
    <row r="20531" spans="119:119" x14ac:dyDescent="0.2">
      <c r="DO20531" s="303" t="s">
        <v>232</v>
      </c>
    </row>
    <row r="20532" spans="119:119" x14ac:dyDescent="0.2">
      <c r="DO20532" s="303" t="s">
        <v>232</v>
      </c>
    </row>
    <row r="20533" spans="119:119" x14ac:dyDescent="0.2">
      <c r="DO20533" s="303" t="s">
        <v>232</v>
      </c>
    </row>
    <row r="20534" spans="119:119" x14ac:dyDescent="0.2">
      <c r="DO20534" s="303" t="s">
        <v>232</v>
      </c>
    </row>
    <row r="20535" spans="119:119" x14ac:dyDescent="0.2">
      <c r="DO20535" s="303" t="s">
        <v>232</v>
      </c>
    </row>
    <row r="20536" spans="119:119" x14ac:dyDescent="0.2">
      <c r="DO20536" s="303" t="s">
        <v>232</v>
      </c>
    </row>
    <row r="20537" spans="119:119" x14ac:dyDescent="0.2">
      <c r="DO20537" s="303" t="s">
        <v>232</v>
      </c>
    </row>
    <row r="20538" spans="119:119" x14ac:dyDescent="0.2">
      <c r="DO20538" s="303" t="s">
        <v>232</v>
      </c>
    </row>
    <row r="20539" spans="119:119" x14ac:dyDescent="0.2">
      <c r="DO20539" s="303" t="s">
        <v>232</v>
      </c>
    </row>
    <row r="20540" spans="119:119" x14ac:dyDescent="0.2">
      <c r="DO20540" s="303" t="s">
        <v>232</v>
      </c>
    </row>
    <row r="20541" spans="119:119" x14ac:dyDescent="0.2">
      <c r="DO20541" s="303" t="s">
        <v>232</v>
      </c>
    </row>
    <row r="20542" spans="119:119" x14ac:dyDescent="0.2">
      <c r="DO20542" s="303" t="s">
        <v>232</v>
      </c>
    </row>
    <row r="20543" spans="119:119" x14ac:dyDescent="0.2">
      <c r="DO20543" s="303" t="s">
        <v>232</v>
      </c>
    </row>
    <row r="20544" spans="119:119" x14ac:dyDescent="0.2">
      <c r="DO20544" s="303" t="s">
        <v>232</v>
      </c>
    </row>
    <row r="20545" spans="119:119" x14ac:dyDescent="0.2">
      <c r="DO20545" s="303" t="s">
        <v>232</v>
      </c>
    </row>
    <row r="20546" spans="119:119" x14ac:dyDescent="0.2">
      <c r="DO20546" s="303" t="s">
        <v>232</v>
      </c>
    </row>
    <row r="20547" spans="119:119" x14ac:dyDescent="0.2">
      <c r="DO20547" s="303" t="s">
        <v>232</v>
      </c>
    </row>
    <row r="20548" spans="119:119" x14ac:dyDescent="0.2">
      <c r="DO20548" s="303" t="s">
        <v>232</v>
      </c>
    </row>
    <row r="20549" spans="119:119" x14ac:dyDescent="0.2">
      <c r="DO20549" s="303" t="s">
        <v>232</v>
      </c>
    </row>
    <row r="20550" spans="119:119" x14ac:dyDescent="0.2">
      <c r="DO20550" s="303" t="s">
        <v>232</v>
      </c>
    </row>
    <row r="20551" spans="119:119" x14ac:dyDescent="0.2">
      <c r="DO20551" s="303" t="s">
        <v>232</v>
      </c>
    </row>
    <row r="20552" spans="119:119" x14ac:dyDescent="0.2">
      <c r="DO20552" s="303" t="s">
        <v>232</v>
      </c>
    </row>
    <row r="20553" spans="119:119" x14ac:dyDescent="0.2">
      <c r="DO20553" s="303" t="s">
        <v>232</v>
      </c>
    </row>
    <row r="20554" spans="119:119" x14ac:dyDescent="0.2">
      <c r="DO20554" s="303" t="s">
        <v>232</v>
      </c>
    </row>
    <row r="20555" spans="119:119" x14ac:dyDescent="0.2">
      <c r="DO20555" s="303" t="s">
        <v>232</v>
      </c>
    </row>
    <row r="20556" spans="119:119" x14ac:dyDescent="0.2">
      <c r="DO20556" s="303" t="s">
        <v>232</v>
      </c>
    </row>
    <row r="20557" spans="119:119" x14ac:dyDescent="0.2">
      <c r="DO20557" s="303" t="s">
        <v>232</v>
      </c>
    </row>
    <row r="20558" spans="119:119" x14ac:dyDescent="0.2">
      <c r="DO20558" s="303" t="s">
        <v>232</v>
      </c>
    </row>
    <row r="20559" spans="119:119" x14ac:dyDescent="0.2">
      <c r="DO20559" s="303" t="s">
        <v>232</v>
      </c>
    </row>
    <row r="20560" spans="119:119" x14ac:dyDescent="0.2">
      <c r="DO20560" s="303" t="s">
        <v>232</v>
      </c>
    </row>
    <row r="20561" spans="119:119" x14ac:dyDescent="0.2">
      <c r="DO20561" s="303" t="s">
        <v>232</v>
      </c>
    </row>
    <row r="20562" spans="119:119" x14ac:dyDescent="0.2">
      <c r="DO20562" s="303" t="s">
        <v>232</v>
      </c>
    </row>
    <row r="20563" spans="119:119" x14ac:dyDescent="0.2">
      <c r="DO20563" s="303" t="s">
        <v>232</v>
      </c>
    </row>
    <row r="20564" spans="119:119" x14ac:dyDescent="0.2">
      <c r="DO20564" s="303" t="s">
        <v>232</v>
      </c>
    </row>
    <row r="20565" spans="119:119" x14ac:dyDescent="0.2">
      <c r="DO20565" s="303" t="s">
        <v>232</v>
      </c>
    </row>
    <row r="20566" spans="119:119" x14ac:dyDescent="0.2">
      <c r="DO20566" s="303" t="s">
        <v>232</v>
      </c>
    </row>
    <row r="20567" spans="119:119" x14ac:dyDescent="0.2">
      <c r="DO20567" s="303" t="s">
        <v>232</v>
      </c>
    </row>
    <row r="20568" spans="119:119" x14ac:dyDescent="0.2">
      <c r="DO20568" s="303" t="s">
        <v>232</v>
      </c>
    </row>
    <row r="20569" spans="119:119" x14ac:dyDescent="0.2">
      <c r="DO20569" s="303" t="s">
        <v>232</v>
      </c>
    </row>
    <row r="20570" spans="119:119" x14ac:dyDescent="0.2">
      <c r="DO20570" s="303" t="s">
        <v>232</v>
      </c>
    </row>
    <row r="20571" spans="119:119" x14ac:dyDescent="0.2">
      <c r="DO20571" s="303" t="s">
        <v>232</v>
      </c>
    </row>
    <row r="20572" spans="119:119" x14ac:dyDescent="0.2">
      <c r="DO20572" s="303" t="s">
        <v>232</v>
      </c>
    </row>
    <row r="20573" spans="119:119" x14ac:dyDescent="0.2">
      <c r="DO20573" s="303" t="s">
        <v>232</v>
      </c>
    </row>
    <row r="20574" spans="119:119" x14ac:dyDescent="0.2">
      <c r="DO20574" s="303" t="s">
        <v>232</v>
      </c>
    </row>
    <row r="20575" spans="119:119" x14ac:dyDescent="0.2">
      <c r="DO20575" s="303" t="s">
        <v>232</v>
      </c>
    </row>
    <row r="20576" spans="119:119" x14ac:dyDescent="0.2">
      <c r="DO20576" s="303" t="s">
        <v>232</v>
      </c>
    </row>
    <row r="20577" spans="119:119" x14ac:dyDescent="0.2">
      <c r="DO20577" s="303" t="s">
        <v>232</v>
      </c>
    </row>
    <row r="20578" spans="119:119" x14ac:dyDescent="0.2">
      <c r="DO20578" s="303" t="s">
        <v>232</v>
      </c>
    </row>
    <row r="20579" spans="119:119" x14ac:dyDescent="0.2">
      <c r="DO20579" s="303" t="s">
        <v>232</v>
      </c>
    </row>
    <row r="20580" spans="119:119" x14ac:dyDescent="0.2">
      <c r="DO20580" s="303" t="s">
        <v>232</v>
      </c>
    </row>
    <row r="20581" spans="119:119" x14ac:dyDescent="0.2">
      <c r="DO20581" s="303" t="s">
        <v>232</v>
      </c>
    </row>
    <row r="20582" spans="119:119" x14ac:dyDescent="0.2">
      <c r="DO20582" s="303" t="s">
        <v>232</v>
      </c>
    </row>
    <row r="20583" spans="119:119" x14ac:dyDescent="0.2">
      <c r="DO20583" s="303" t="s">
        <v>232</v>
      </c>
    </row>
    <row r="20584" spans="119:119" x14ac:dyDescent="0.2">
      <c r="DO20584" s="303" t="s">
        <v>232</v>
      </c>
    </row>
    <row r="20585" spans="119:119" x14ac:dyDescent="0.2">
      <c r="DO20585" s="303" t="s">
        <v>232</v>
      </c>
    </row>
    <row r="20586" spans="119:119" x14ac:dyDescent="0.2">
      <c r="DO20586" s="303" t="s">
        <v>232</v>
      </c>
    </row>
    <row r="20587" spans="119:119" x14ac:dyDescent="0.2">
      <c r="DO20587" s="303" t="s">
        <v>232</v>
      </c>
    </row>
    <row r="20588" spans="119:119" x14ac:dyDescent="0.2">
      <c r="DO20588" s="303" t="s">
        <v>232</v>
      </c>
    </row>
    <row r="20589" spans="119:119" x14ac:dyDescent="0.2">
      <c r="DO20589" s="303" t="s">
        <v>232</v>
      </c>
    </row>
    <row r="20590" spans="119:119" x14ac:dyDescent="0.2">
      <c r="DO20590" s="303" t="s">
        <v>232</v>
      </c>
    </row>
    <row r="20591" spans="119:119" x14ac:dyDescent="0.2">
      <c r="DO20591" s="303" t="s">
        <v>232</v>
      </c>
    </row>
    <row r="20592" spans="119:119" x14ac:dyDescent="0.2">
      <c r="DO20592" s="303" t="s">
        <v>232</v>
      </c>
    </row>
    <row r="20593" spans="119:119" x14ac:dyDescent="0.2">
      <c r="DO20593" s="303" t="s">
        <v>232</v>
      </c>
    </row>
    <row r="20594" spans="119:119" x14ac:dyDescent="0.2">
      <c r="DO20594" s="303" t="s">
        <v>232</v>
      </c>
    </row>
    <row r="20595" spans="119:119" x14ac:dyDescent="0.2">
      <c r="DO20595" s="303" t="s">
        <v>232</v>
      </c>
    </row>
    <row r="20596" spans="119:119" x14ac:dyDescent="0.2">
      <c r="DO20596" s="303" t="s">
        <v>232</v>
      </c>
    </row>
    <row r="20597" spans="119:119" x14ac:dyDescent="0.2">
      <c r="DO20597" s="303" t="s">
        <v>232</v>
      </c>
    </row>
    <row r="20598" spans="119:119" x14ac:dyDescent="0.2">
      <c r="DO20598" s="303" t="s">
        <v>232</v>
      </c>
    </row>
    <row r="20599" spans="119:119" x14ac:dyDescent="0.2">
      <c r="DO20599" s="303" t="s">
        <v>232</v>
      </c>
    </row>
    <row r="20600" spans="119:119" x14ac:dyDescent="0.2">
      <c r="DO20600" s="303" t="s">
        <v>232</v>
      </c>
    </row>
    <row r="20601" spans="119:119" x14ac:dyDescent="0.2">
      <c r="DO20601" s="303" t="s">
        <v>232</v>
      </c>
    </row>
    <row r="20602" spans="119:119" x14ac:dyDescent="0.2">
      <c r="DO20602" s="303" t="s">
        <v>232</v>
      </c>
    </row>
    <row r="20603" spans="119:119" x14ac:dyDescent="0.2">
      <c r="DO20603" s="303" t="s">
        <v>232</v>
      </c>
    </row>
    <row r="20604" spans="119:119" x14ac:dyDescent="0.2">
      <c r="DO20604" s="303" t="s">
        <v>232</v>
      </c>
    </row>
    <row r="20605" spans="119:119" x14ac:dyDescent="0.2">
      <c r="DO20605" s="303" t="s">
        <v>232</v>
      </c>
    </row>
    <row r="20606" spans="119:119" x14ac:dyDescent="0.2">
      <c r="DO20606" s="303" t="s">
        <v>232</v>
      </c>
    </row>
    <row r="20607" spans="119:119" x14ac:dyDescent="0.2">
      <c r="DO20607" s="303" t="s">
        <v>232</v>
      </c>
    </row>
    <row r="20608" spans="119:119" x14ac:dyDescent="0.2">
      <c r="DO20608" s="303" t="s">
        <v>232</v>
      </c>
    </row>
    <row r="20609" spans="119:119" x14ac:dyDescent="0.2">
      <c r="DO20609" s="303" t="s">
        <v>232</v>
      </c>
    </row>
    <row r="20610" spans="119:119" x14ac:dyDescent="0.2">
      <c r="DO20610" s="303" t="s">
        <v>232</v>
      </c>
    </row>
    <row r="20611" spans="119:119" x14ac:dyDescent="0.2">
      <c r="DO20611" s="303" t="s">
        <v>232</v>
      </c>
    </row>
    <row r="20612" spans="119:119" x14ac:dyDescent="0.2">
      <c r="DO20612" s="303" t="s">
        <v>232</v>
      </c>
    </row>
    <row r="20613" spans="119:119" x14ac:dyDescent="0.2">
      <c r="DO20613" s="303" t="s">
        <v>232</v>
      </c>
    </row>
    <row r="20614" spans="119:119" x14ac:dyDescent="0.2">
      <c r="DO20614" s="303" t="s">
        <v>232</v>
      </c>
    </row>
    <row r="20615" spans="119:119" x14ac:dyDescent="0.2">
      <c r="DO20615" s="303" t="s">
        <v>232</v>
      </c>
    </row>
    <row r="20616" spans="119:119" x14ac:dyDescent="0.2">
      <c r="DO20616" s="303" t="s">
        <v>232</v>
      </c>
    </row>
    <row r="20617" spans="119:119" x14ac:dyDescent="0.2">
      <c r="DO20617" s="303" t="s">
        <v>232</v>
      </c>
    </row>
    <row r="20618" spans="119:119" x14ac:dyDescent="0.2">
      <c r="DO20618" s="303" t="s">
        <v>232</v>
      </c>
    </row>
    <row r="20619" spans="119:119" x14ac:dyDescent="0.2">
      <c r="DO20619" s="303" t="s">
        <v>232</v>
      </c>
    </row>
    <row r="20620" spans="119:119" x14ac:dyDescent="0.2">
      <c r="DO20620" s="303" t="s">
        <v>232</v>
      </c>
    </row>
    <row r="20621" spans="119:119" x14ac:dyDescent="0.2">
      <c r="DO20621" s="303" t="s">
        <v>232</v>
      </c>
    </row>
    <row r="20622" spans="119:119" x14ac:dyDescent="0.2">
      <c r="DO20622" s="303" t="s">
        <v>232</v>
      </c>
    </row>
    <row r="20623" spans="119:119" x14ac:dyDescent="0.2">
      <c r="DO20623" s="303" t="s">
        <v>232</v>
      </c>
    </row>
    <row r="20624" spans="119:119" x14ac:dyDescent="0.2">
      <c r="DO20624" s="303" t="s">
        <v>232</v>
      </c>
    </row>
    <row r="20625" spans="119:119" x14ac:dyDescent="0.2">
      <c r="DO20625" s="303" t="s">
        <v>232</v>
      </c>
    </row>
    <row r="20626" spans="119:119" x14ac:dyDescent="0.2">
      <c r="DO20626" s="303" t="s">
        <v>232</v>
      </c>
    </row>
    <row r="20627" spans="119:119" x14ac:dyDescent="0.2">
      <c r="DO20627" s="303" t="s">
        <v>232</v>
      </c>
    </row>
    <row r="20628" spans="119:119" x14ac:dyDescent="0.2">
      <c r="DO20628" s="303" t="s">
        <v>232</v>
      </c>
    </row>
    <row r="20629" spans="119:119" x14ac:dyDescent="0.2">
      <c r="DO20629" s="303" t="s">
        <v>232</v>
      </c>
    </row>
    <row r="20630" spans="119:119" x14ac:dyDescent="0.2">
      <c r="DO20630" s="303" t="s">
        <v>232</v>
      </c>
    </row>
    <row r="20631" spans="119:119" x14ac:dyDescent="0.2">
      <c r="DO20631" s="303" t="s">
        <v>232</v>
      </c>
    </row>
    <row r="20632" spans="119:119" x14ac:dyDescent="0.2">
      <c r="DO20632" s="303" t="s">
        <v>232</v>
      </c>
    </row>
    <row r="20633" spans="119:119" x14ac:dyDescent="0.2">
      <c r="DO20633" s="303" t="s">
        <v>232</v>
      </c>
    </row>
    <row r="20634" spans="119:119" x14ac:dyDescent="0.2">
      <c r="DO20634" s="303" t="s">
        <v>232</v>
      </c>
    </row>
    <row r="20635" spans="119:119" x14ac:dyDescent="0.2">
      <c r="DO20635" s="303" t="s">
        <v>232</v>
      </c>
    </row>
    <row r="20636" spans="119:119" x14ac:dyDescent="0.2">
      <c r="DO20636" s="303" t="s">
        <v>232</v>
      </c>
    </row>
    <row r="20637" spans="119:119" x14ac:dyDescent="0.2">
      <c r="DO20637" s="303" t="s">
        <v>232</v>
      </c>
    </row>
    <row r="20638" spans="119:119" x14ac:dyDescent="0.2">
      <c r="DO20638" s="303" t="s">
        <v>232</v>
      </c>
    </row>
    <row r="20639" spans="119:119" x14ac:dyDescent="0.2">
      <c r="DO20639" s="303" t="s">
        <v>232</v>
      </c>
    </row>
    <row r="20640" spans="119:119" x14ac:dyDescent="0.2">
      <c r="DO20640" s="303" t="s">
        <v>232</v>
      </c>
    </row>
    <row r="20641" spans="119:119" x14ac:dyDescent="0.2">
      <c r="DO20641" s="303" t="s">
        <v>232</v>
      </c>
    </row>
    <row r="20642" spans="119:119" x14ac:dyDescent="0.2">
      <c r="DO20642" s="303" t="s">
        <v>232</v>
      </c>
    </row>
    <row r="20643" spans="119:119" x14ac:dyDescent="0.2">
      <c r="DO20643" s="303" t="s">
        <v>232</v>
      </c>
    </row>
    <row r="20644" spans="119:119" x14ac:dyDescent="0.2">
      <c r="DO20644" s="303" t="s">
        <v>232</v>
      </c>
    </row>
    <row r="20645" spans="119:119" x14ac:dyDescent="0.2">
      <c r="DO20645" s="303" t="s">
        <v>232</v>
      </c>
    </row>
    <row r="20646" spans="119:119" x14ac:dyDescent="0.2">
      <c r="DO20646" s="303" t="s">
        <v>232</v>
      </c>
    </row>
    <row r="20647" spans="119:119" x14ac:dyDescent="0.2">
      <c r="DO20647" s="303" t="s">
        <v>232</v>
      </c>
    </row>
    <row r="20648" spans="119:119" x14ac:dyDescent="0.2">
      <c r="DO20648" s="303" t="s">
        <v>232</v>
      </c>
    </row>
    <row r="20649" spans="119:119" x14ac:dyDescent="0.2">
      <c r="DO20649" s="303" t="s">
        <v>232</v>
      </c>
    </row>
    <row r="20650" spans="119:119" x14ac:dyDescent="0.2">
      <c r="DO20650" s="303" t="s">
        <v>232</v>
      </c>
    </row>
    <row r="20651" spans="119:119" x14ac:dyDescent="0.2">
      <c r="DO20651" s="303" t="s">
        <v>232</v>
      </c>
    </row>
    <row r="20652" spans="119:119" x14ac:dyDescent="0.2">
      <c r="DO20652" s="303" t="s">
        <v>232</v>
      </c>
    </row>
    <row r="20653" spans="119:119" x14ac:dyDescent="0.2">
      <c r="DO20653" s="303" t="s">
        <v>232</v>
      </c>
    </row>
    <row r="20654" spans="119:119" x14ac:dyDescent="0.2">
      <c r="DO20654" s="303" t="s">
        <v>232</v>
      </c>
    </row>
    <row r="20655" spans="119:119" x14ac:dyDescent="0.2">
      <c r="DO20655" s="303" t="s">
        <v>232</v>
      </c>
    </row>
    <row r="20656" spans="119:119" x14ac:dyDescent="0.2">
      <c r="DO20656" s="303" t="s">
        <v>232</v>
      </c>
    </row>
    <row r="20657" spans="119:119" x14ac:dyDescent="0.2">
      <c r="DO20657" s="303" t="s">
        <v>232</v>
      </c>
    </row>
    <row r="20658" spans="119:119" x14ac:dyDescent="0.2">
      <c r="DO20658" s="303" t="s">
        <v>232</v>
      </c>
    </row>
    <row r="20659" spans="119:119" x14ac:dyDescent="0.2">
      <c r="DO20659" s="303" t="s">
        <v>232</v>
      </c>
    </row>
    <row r="20660" spans="119:119" x14ac:dyDescent="0.2">
      <c r="DO20660" s="303" t="s">
        <v>232</v>
      </c>
    </row>
    <row r="20661" spans="119:119" x14ac:dyDescent="0.2">
      <c r="DO20661" s="303" t="s">
        <v>232</v>
      </c>
    </row>
    <row r="20662" spans="119:119" x14ac:dyDescent="0.2">
      <c r="DO20662" s="303" t="s">
        <v>232</v>
      </c>
    </row>
    <row r="20663" spans="119:119" x14ac:dyDescent="0.2">
      <c r="DO20663" s="303" t="s">
        <v>232</v>
      </c>
    </row>
    <row r="20664" spans="119:119" x14ac:dyDescent="0.2">
      <c r="DO20664" s="303" t="s">
        <v>232</v>
      </c>
    </row>
    <row r="20665" spans="119:119" x14ac:dyDescent="0.2">
      <c r="DO20665" s="303" t="s">
        <v>232</v>
      </c>
    </row>
    <row r="20666" spans="119:119" x14ac:dyDescent="0.2">
      <c r="DO20666" s="303" t="s">
        <v>232</v>
      </c>
    </row>
    <row r="20667" spans="119:119" x14ac:dyDescent="0.2">
      <c r="DO20667" s="303" t="s">
        <v>232</v>
      </c>
    </row>
    <row r="20668" spans="119:119" x14ac:dyDescent="0.2">
      <c r="DO20668" s="303" t="s">
        <v>232</v>
      </c>
    </row>
    <row r="20669" spans="119:119" x14ac:dyDescent="0.2">
      <c r="DO20669" s="303" t="s">
        <v>232</v>
      </c>
    </row>
    <row r="20670" spans="119:119" x14ac:dyDescent="0.2">
      <c r="DO20670" s="303" t="s">
        <v>232</v>
      </c>
    </row>
    <row r="20671" spans="119:119" x14ac:dyDescent="0.2">
      <c r="DO20671" s="303" t="s">
        <v>232</v>
      </c>
    </row>
    <row r="20672" spans="119:119" x14ac:dyDescent="0.2">
      <c r="DO20672" s="303" t="s">
        <v>232</v>
      </c>
    </row>
    <row r="20673" spans="119:119" x14ac:dyDescent="0.2">
      <c r="DO20673" s="303" t="s">
        <v>232</v>
      </c>
    </row>
    <row r="20674" spans="119:119" x14ac:dyDescent="0.2">
      <c r="DO20674" s="303" t="s">
        <v>232</v>
      </c>
    </row>
    <row r="20675" spans="119:119" x14ac:dyDescent="0.2">
      <c r="DO20675" s="303" t="s">
        <v>232</v>
      </c>
    </row>
    <row r="20676" spans="119:119" x14ac:dyDescent="0.2">
      <c r="DO20676" s="303" t="s">
        <v>232</v>
      </c>
    </row>
    <row r="20677" spans="119:119" x14ac:dyDescent="0.2">
      <c r="DO20677" s="303" t="s">
        <v>232</v>
      </c>
    </row>
    <row r="20678" spans="119:119" x14ac:dyDescent="0.2">
      <c r="DO20678" s="303" t="s">
        <v>232</v>
      </c>
    </row>
    <row r="20679" spans="119:119" x14ac:dyDescent="0.2">
      <c r="DO20679" s="303" t="s">
        <v>232</v>
      </c>
    </row>
    <row r="20680" spans="119:119" x14ac:dyDescent="0.2">
      <c r="DO20680" s="303" t="s">
        <v>232</v>
      </c>
    </row>
    <row r="20681" spans="119:119" x14ac:dyDescent="0.2">
      <c r="DO20681" s="303" t="s">
        <v>232</v>
      </c>
    </row>
    <row r="20682" spans="119:119" x14ac:dyDescent="0.2">
      <c r="DO20682" s="303" t="s">
        <v>232</v>
      </c>
    </row>
    <row r="20683" spans="119:119" x14ac:dyDescent="0.2">
      <c r="DO20683" s="303" t="s">
        <v>232</v>
      </c>
    </row>
    <row r="20684" spans="119:119" x14ac:dyDescent="0.2">
      <c r="DO20684" s="303" t="s">
        <v>232</v>
      </c>
    </row>
    <row r="20685" spans="119:119" x14ac:dyDescent="0.2">
      <c r="DO20685" s="303" t="s">
        <v>232</v>
      </c>
    </row>
    <row r="20686" spans="119:119" x14ac:dyDescent="0.2">
      <c r="DO20686" s="303" t="s">
        <v>232</v>
      </c>
    </row>
    <row r="20687" spans="119:119" x14ac:dyDescent="0.2">
      <c r="DO20687" s="303" t="s">
        <v>232</v>
      </c>
    </row>
    <row r="20688" spans="119:119" x14ac:dyDescent="0.2">
      <c r="DO20688" s="303" t="s">
        <v>232</v>
      </c>
    </row>
    <row r="20689" spans="119:119" x14ac:dyDescent="0.2">
      <c r="DO20689" s="303" t="s">
        <v>232</v>
      </c>
    </row>
    <row r="20690" spans="119:119" x14ac:dyDescent="0.2">
      <c r="DO20690" s="303" t="s">
        <v>232</v>
      </c>
    </row>
    <row r="20691" spans="119:119" x14ac:dyDescent="0.2">
      <c r="DO20691" s="303" t="s">
        <v>232</v>
      </c>
    </row>
    <row r="20692" spans="119:119" x14ac:dyDescent="0.2">
      <c r="DO20692" s="303" t="s">
        <v>232</v>
      </c>
    </row>
    <row r="20693" spans="119:119" x14ac:dyDescent="0.2">
      <c r="DO20693" s="303" t="s">
        <v>232</v>
      </c>
    </row>
    <row r="20694" spans="119:119" x14ac:dyDescent="0.2">
      <c r="DO20694" s="303" t="s">
        <v>232</v>
      </c>
    </row>
    <row r="20695" spans="119:119" x14ac:dyDescent="0.2">
      <c r="DO20695" s="303" t="s">
        <v>232</v>
      </c>
    </row>
    <row r="20696" spans="119:119" x14ac:dyDescent="0.2">
      <c r="DO20696" s="303" t="s">
        <v>232</v>
      </c>
    </row>
    <row r="20697" spans="119:119" x14ac:dyDescent="0.2">
      <c r="DO20697" s="303" t="s">
        <v>232</v>
      </c>
    </row>
    <row r="20698" spans="119:119" x14ac:dyDescent="0.2">
      <c r="DO20698" s="303" t="s">
        <v>232</v>
      </c>
    </row>
    <row r="20699" spans="119:119" x14ac:dyDescent="0.2">
      <c r="DO20699" s="303" t="s">
        <v>232</v>
      </c>
    </row>
    <row r="20700" spans="119:119" x14ac:dyDescent="0.2">
      <c r="DO20700" s="303" t="s">
        <v>232</v>
      </c>
    </row>
    <row r="20701" spans="119:119" x14ac:dyDescent="0.2">
      <c r="DO20701" s="303" t="s">
        <v>232</v>
      </c>
    </row>
    <row r="20702" spans="119:119" x14ac:dyDescent="0.2">
      <c r="DO20702" s="303" t="s">
        <v>232</v>
      </c>
    </row>
    <row r="20703" spans="119:119" x14ac:dyDescent="0.2">
      <c r="DO20703" s="303" t="s">
        <v>232</v>
      </c>
    </row>
    <row r="20704" spans="119:119" x14ac:dyDescent="0.2">
      <c r="DO20704" s="303" t="s">
        <v>232</v>
      </c>
    </row>
    <row r="20705" spans="119:119" x14ac:dyDescent="0.2">
      <c r="DO20705" s="303" t="s">
        <v>232</v>
      </c>
    </row>
    <row r="20706" spans="119:119" x14ac:dyDescent="0.2">
      <c r="DO20706" s="303" t="s">
        <v>232</v>
      </c>
    </row>
    <row r="20707" spans="119:119" x14ac:dyDescent="0.2">
      <c r="DO20707" s="303" t="s">
        <v>232</v>
      </c>
    </row>
    <row r="20708" spans="119:119" x14ac:dyDescent="0.2">
      <c r="DO20708" s="303" t="s">
        <v>232</v>
      </c>
    </row>
    <row r="20709" spans="119:119" x14ac:dyDescent="0.2">
      <c r="DO20709" s="303" t="s">
        <v>232</v>
      </c>
    </row>
    <row r="20710" spans="119:119" x14ac:dyDescent="0.2">
      <c r="DO20710" s="303" t="s">
        <v>232</v>
      </c>
    </row>
    <row r="20711" spans="119:119" x14ac:dyDescent="0.2">
      <c r="DO20711" s="303" t="s">
        <v>232</v>
      </c>
    </row>
    <row r="20712" spans="119:119" x14ac:dyDescent="0.2">
      <c r="DO20712" s="303" t="s">
        <v>232</v>
      </c>
    </row>
    <row r="20713" spans="119:119" x14ac:dyDescent="0.2">
      <c r="DO20713" s="303" t="s">
        <v>232</v>
      </c>
    </row>
    <row r="20714" spans="119:119" x14ac:dyDescent="0.2">
      <c r="DO20714" s="303" t="s">
        <v>232</v>
      </c>
    </row>
    <row r="20715" spans="119:119" x14ac:dyDescent="0.2">
      <c r="DO20715" s="303" t="s">
        <v>232</v>
      </c>
    </row>
    <row r="20716" spans="119:119" x14ac:dyDescent="0.2">
      <c r="DO20716" s="303" t="s">
        <v>232</v>
      </c>
    </row>
    <row r="20717" spans="119:119" x14ac:dyDescent="0.2">
      <c r="DO20717" s="303" t="s">
        <v>232</v>
      </c>
    </row>
    <row r="20718" spans="119:119" x14ac:dyDescent="0.2">
      <c r="DO20718" s="303" t="s">
        <v>232</v>
      </c>
    </row>
    <row r="20719" spans="119:119" x14ac:dyDescent="0.2">
      <c r="DO20719" s="303" t="s">
        <v>232</v>
      </c>
    </row>
    <row r="20720" spans="119:119" x14ac:dyDescent="0.2">
      <c r="DO20720" s="303" t="s">
        <v>232</v>
      </c>
    </row>
    <row r="20721" spans="119:119" x14ac:dyDescent="0.2">
      <c r="DO20721" s="303" t="s">
        <v>232</v>
      </c>
    </row>
    <row r="20722" spans="119:119" x14ac:dyDescent="0.2">
      <c r="DO20722" s="303" t="s">
        <v>232</v>
      </c>
    </row>
    <row r="20723" spans="119:119" x14ac:dyDescent="0.2">
      <c r="DO20723" s="303" t="s">
        <v>232</v>
      </c>
    </row>
    <row r="20724" spans="119:119" x14ac:dyDescent="0.2">
      <c r="DO20724" s="303" t="s">
        <v>232</v>
      </c>
    </row>
    <row r="20725" spans="119:119" x14ac:dyDescent="0.2">
      <c r="DO20725" s="303" t="s">
        <v>232</v>
      </c>
    </row>
    <row r="20726" spans="119:119" x14ac:dyDescent="0.2">
      <c r="DO20726" s="303" t="s">
        <v>232</v>
      </c>
    </row>
    <row r="20727" spans="119:119" x14ac:dyDescent="0.2">
      <c r="DO20727" s="303" t="s">
        <v>232</v>
      </c>
    </row>
    <row r="20728" spans="119:119" x14ac:dyDescent="0.2">
      <c r="DO20728" s="303" t="s">
        <v>232</v>
      </c>
    </row>
    <row r="20729" spans="119:119" x14ac:dyDescent="0.2">
      <c r="DO20729" s="303" t="s">
        <v>232</v>
      </c>
    </row>
    <row r="20730" spans="119:119" x14ac:dyDescent="0.2">
      <c r="DO20730" s="303" t="s">
        <v>232</v>
      </c>
    </row>
    <row r="20731" spans="119:119" x14ac:dyDescent="0.2">
      <c r="DO20731" s="303" t="s">
        <v>232</v>
      </c>
    </row>
    <row r="20732" spans="119:119" x14ac:dyDescent="0.2">
      <c r="DO20732" s="303" t="s">
        <v>232</v>
      </c>
    </row>
    <row r="20733" spans="119:119" x14ac:dyDescent="0.2">
      <c r="DO20733" s="303" t="s">
        <v>232</v>
      </c>
    </row>
    <row r="20734" spans="119:119" x14ac:dyDescent="0.2">
      <c r="DO20734" s="303" t="s">
        <v>232</v>
      </c>
    </row>
    <row r="20735" spans="119:119" x14ac:dyDescent="0.2">
      <c r="DO20735" s="303" t="s">
        <v>232</v>
      </c>
    </row>
    <row r="20736" spans="119:119" x14ac:dyDescent="0.2">
      <c r="DO20736" s="303" t="s">
        <v>232</v>
      </c>
    </row>
    <row r="20737" spans="119:119" x14ac:dyDescent="0.2">
      <c r="DO20737" s="303" t="s">
        <v>232</v>
      </c>
    </row>
    <row r="20738" spans="119:119" x14ac:dyDescent="0.2">
      <c r="DO20738" s="303" t="s">
        <v>232</v>
      </c>
    </row>
    <row r="20739" spans="119:119" x14ac:dyDescent="0.2">
      <c r="DO20739" s="303" t="s">
        <v>232</v>
      </c>
    </row>
    <row r="20740" spans="119:119" x14ac:dyDescent="0.2">
      <c r="DO20740" s="303" t="s">
        <v>232</v>
      </c>
    </row>
    <row r="20741" spans="119:119" x14ac:dyDescent="0.2">
      <c r="DO20741" s="303" t="s">
        <v>232</v>
      </c>
    </row>
    <row r="20742" spans="119:119" x14ac:dyDescent="0.2">
      <c r="DO20742" s="303" t="s">
        <v>232</v>
      </c>
    </row>
    <row r="20743" spans="119:119" x14ac:dyDescent="0.2">
      <c r="DO20743" s="303" t="s">
        <v>232</v>
      </c>
    </row>
    <row r="20744" spans="119:119" x14ac:dyDescent="0.2">
      <c r="DO20744" s="303" t="s">
        <v>232</v>
      </c>
    </row>
    <row r="20745" spans="119:119" x14ac:dyDescent="0.2">
      <c r="DO20745" s="303" t="s">
        <v>232</v>
      </c>
    </row>
    <row r="20746" spans="119:119" x14ac:dyDescent="0.2">
      <c r="DO20746" s="303" t="s">
        <v>232</v>
      </c>
    </row>
    <row r="20747" spans="119:119" x14ac:dyDescent="0.2">
      <c r="DO20747" s="303" t="s">
        <v>232</v>
      </c>
    </row>
    <row r="20748" spans="119:119" x14ac:dyDescent="0.2">
      <c r="DO20748" s="303" t="s">
        <v>232</v>
      </c>
    </row>
    <row r="20749" spans="119:119" x14ac:dyDescent="0.2">
      <c r="DO20749" s="303" t="s">
        <v>232</v>
      </c>
    </row>
    <row r="20750" spans="119:119" x14ac:dyDescent="0.2">
      <c r="DO20750" s="303" t="s">
        <v>232</v>
      </c>
    </row>
    <row r="20751" spans="119:119" x14ac:dyDescent="0.2">
      <c r="DO20751" s="303" t="s">
        <v>232</v>
      </c>
    </row>
    <row r="20752" spans="119:119" x14ac:dyDescent="0.2">
      <c r="DO20752" s="303" t="s">
        <v>232</v>
      </c>
    </row>
    <row r="20753" spans="119:119" x14ac:dyDescent="0.2">
      <c r="DO20753" s="303" t="s">
        <v>232</v>
      </c>
    </row>
    <row r="20754" spans="119:119" x14ac:dyDescent="0.2">
      <c r="DO20754" s="303" t="s">
        <v>232</v>
      </c>
    </row>
    <row r="20755" spans="119:119" x14ac:dyDescent="0.2">
      <c r="DO20755" s="303" t="s">
        <v>232</v>
      </c>
    </row>
    <row r="20756" spans="119:119" x14ac:dyDescent="0.2">
      <c r="DO20756" s="303" t="s">
        <v>232</v>
      </c>
    </row>
    <row r="20757" spans="119:119" x14ac:dyDescent="0.2">
      <c r="DO20757" s="303" t="s">
        <v>232</v>
      </c>
    </row>
    <row r="20758" spans="119:119" x14ac:dyDescent="0.2">
      <c r="DO20758" s="303" t="s">
        <v>232</v>
      </c>
    </row>
    <row r="20759" spans="119:119" x14ac:dyDescent="0.2">
      <c r="DO20759" s="303" t="s">
        <v>232</v>
      </c>
    </row>
    <row r="20760" spans="119:119" x14ac:dyDescent="0.2">
      <c r="DO20760" s="303" t="s">
        <v>232</v>
      </c>
    </row>
    <row r="20761" spans="119:119" x14ac:dyDescent="0.2">
      <c r="DO20761" s="303" t="s">
        <v>232</v>
      </c>
    </row>
    <row r="20762" spans="119:119" x14ac:dyDescent="0.2">
      <c r="DO20762" s="303" t="s">
        <v>232</v>
      </c>
    </row>
    <row r="20763" spans="119:119" x14ac:dyDescent="0.2">
      <c r="DO20763" s="303" t="s">
        <v>232</v>
      </c>
    </row>
    <row r="20764" spans="119:119" x14ac:dyDescent="0.2">
      <c r="DO20764" s="303" t="s">
        <v>232</v>
      </c>
    </row>
    <row r="20765" spans="119:119" x14ac:dyDescent="0.2">
      <c r="DO20765" s="303" t="s">
        <v>232</v>
      </c>
    </row>
    <row r="20766" spans="119:119" x14ac:dyDescent="0.2">
      <c r="DO20766" s="303" t="s">
        <v>232</v>
      </c>
    </row>
    <row r="20767" spans="119:119" x14ac:dyDescent="0.2">
      <c r="DO20767" s="303" t="s">
        <v>232</v>
      </c>
    </row>
    <row r="20768" spans="119:119" x14ac:dyDescent="0.2">
      <c r="DO20768" s="303" t="s">
        <v>232</v>
      </c>
    </row>
    <row r="20769" spans="119:119" x14ac:dyDescent="0.2">
      <c r="DO20769" s="303" t="s">
        <v>232</v>
      </c>
    </row>
    <row r="20770" spans="119:119" x14ac:dyDescent="0.2">
      <c r="DO20770" s="303" t="s">
        <v>232</v>
      </c>
    </row>
    <row r="20771" spans="119:119" x14ac:dyDescent="0.2">
      <c r="DO20771" s="303" t="s">
        <v>232</v>
      </c>
    </row>
    <row r="20772" spans="119:119" x14ac:dyDescent="0.2">
      <c r="DO20772" s="303" t="s">
        <v>232</v>
      </c>
    </row>
    <row r="20773" spans="119:119" x14ac:dyDescent="0.2">
      <c r="DO20773" s="303" t="s">
        <v>232</v>
      </c>
    </row>
    <row r="20774" spans="119:119" x14ac:dyDescent="0.2">
      <c r="DO20774" s="303" t="s">
        <v>232</v>
      </c>
    </row>
    <row r="20775" spans="119:119" x14ac:dyDescent="0.2">
      <c r="DO20775" s="303" t="s">
        <v>232</v>
      </c>
    </row>
    <row r="20776" spans="119:119" x14ac:dyDescent="0.2">
      <c r="DO20776" s="303" t="s">
        <v>232</v>
      </c>
    </row>
    <row r="20777" spans="119:119" x14ac:dyDescent="0.2">
      <c r="DO20777" s="303" t="s">
        <v>232</v>
      </c>
    </row>
    <row r="20778" spans="119:119" x14ac:dyDescent="0.2">
      <c r="DO20778" s="303" t="s">
        <v>232</v>
      </c>
    </row>
    <row r="20779" spans="119:119" x14ac:dyDescent="0.2">
      <c r="DO20779" s="303" t="s">
        <v>232</v>
      </c>
    </row>
    <row r="20780" spans="119:119" x14ac:dyDescent="0.2">
      <c r="DO20780" s="303" t="s">
        <v>232</v>
      </c>
    </row>
    <row r="20781" spans="119:119" x14ac:dyDescent="0.2">
      <c r="DO20781" s="303" t="s">
        <v>232</v>
      </c>
    </row>
    <row r="20782" spans="119:119" x14ac:dyDescent="0.2">
      <c r="DO20782" s="303" t="s">
        <v>232</v>
      </c>
    </row>
    <row r="20783" spans="119:119" x14ac:dyDescent="0.2">
      <c r="DO20783" s="303" t="s">
        <v>232</v>
      </c>
    </row>
    <row r="20784" spans="119:119" x14ac:dyDescent="0.2">
      <c r="DO20784" s="303" t="s">
        <v>232</v>
      </c>
    </row>
    <row r="20785" spans="119:119" x14ac:dyDescent="0.2">
      <c r="DO20785" s="303" t="s">
        <v>232</v>
      </c>
    </row>
    <row r="20786" spans="119:119" x14ac:dyDescent="0.2">
      <c r="DO20786" s="303" t="s">
        <v>232</v>
      </c>
    </row>
    <row r="20787" spans="119:119" x14ac:dyDescent="0.2">
      <c r="DO20787" s="303" t="s">
        <v>232</v>
      </c>
    </row>
    <row r="20788" spans="119:119" x14ac:dyDescent="0.2">
      <c r="DO20788" s="303" t="s">
        <v>232</v>
      </c>
    </row>
    <row r="20789" spans="119:119" x14ac:dyDescent="0.2">
      <c r="DO20789" s="303" t="s">
        <v>232</v>
      </c>
    </row>
    <row r="20790" spans="119:119" x14ac:dyDescent="0.2">
      <c r="DO20790" s="303" t="s">
        <v>232</v>
      </c>
    </row>
    <row r="20791" spans="119:119" x14ac:dyDescent="0.2">
      <c r="DO20791" s="303" t="s">
        <v>232</v>
      </c>
    </row>
    <row r="20792" spans="119:119" x14ac:dyDescent="0.2">
      <c r="DO20792" s="303" t="s">
        <v>232</v>
      </c>
    </row>
    <row r="20793" spans="119:119" x14ac:dyDescent="0.2">
      <c r="DO20793" s="303" t="s">
        <v>232</v>
      </c>
    </row>
    <row r="20794" spans="119:119" x14ac:dyDescent="0.2">
      <c r="DO20794" s="303" t="s">
        <v>232</v>
      </c>
    </row>
    <row r="20795" spans="119:119" x14ac:dyDescent="0.2">
      <c r="DO20795" s="303" t="s">
        <v>232</v>
      </c>
    </row>
    <row r="20796" spans="119:119" x14ac:dyDescent="0.2">
      <c r="DO20796" s="303" t="s">
        <v>232</v>
      </c>
    </row>
    <row r="20797" spans="119:119" x14ac:dyDescent="0.2">
      <c r="DO20797" s="303" t="s">
        <v>232</v>
      </c>
    </row>
    <row r="20798" spans="119:119" x14ac:dyDescent="0.2">
      <c r="DO20798" s="303" t="s">
        <v>232</v>
      </c>
    </row>
    <row r="20799" spans="119:119" x14ac:dyDescent="0.2">
      <c r="DO20799" s="303" t="s">
        <v>232</v>
      </c>
    </row>
    <row r="20800" spans="119:119" x14ac:dyDescent="0.2">
      <c r="DO20800" s="303" t="s">
        <v>232</v>
      </c>
    </row>
    <row r="20801" spans="119:119" x14ac:dyDescent="0.2">
      <c r="DO20801" s="303" t="s">
        <v>232</v>
      </c>
    </row>
    <row r="20802" spans="119:119" x14ac:dyDescent="0.2">
      <c r="DO20802" s="303" t="s">
        <v>232</v>
      </c>
    </row>
    <row r="20803" spans="119:119" x14ac:dyDescent="0.2">
      <c r="DO20803" s="303" t="s">
        <v>232</v>
      </c>
    </row>
    <row r="20804" spans="119:119" x14ac:dyDescent="0.2">
      <c r="DO20804" s="303" t="s">
        <v>232</v>
      </c>
    </row>
    <row r="20805" spans="119:119" x14ac:dyDescent="0.2">
      <c r="DO20805" s="303" t="s">
        <v>232</v>
      </c>
    </row>
    <row r="20806" spans="119:119" x14ac:dyDescent="0.2">
      <c r="DO20806" s="303" t="s">
        <v>232</v>
      </c>
    </row>
    <row r="20807" spans="119:119" x14ac:dyDescent="0.2">
      <c r="DO20807" s="303" t="s">
        <v>232</v>
      </c>
    </row>
    <row r="20808" spans="119:119" x14ac:dyDescent="0.2">
      <c r="DO20808" s="303" t="s">
        <v>232</v>
      </c>
    </row>
    <row r="20809" spans="119:119" x14ac:dyDescent="0.2">
      <c r="DO20809" s="303" t="s">
        <v>232</v>
      </c>
    </row>
    <row r="20810" spans="119:119" x14ac:dyDescent="0.2">
      <c r="DO20810" s="303" t="s">
        <v>232</v>
      </c>
    </row>
    <row r="20811" spans="119:119" x14ac:dyDescent="0.2">
      <c r="DO20811" s="303" t="s">
        <v>232</v>
      </c>
    </row>
    <row r="20812" spans="119:119" x14ac:dyDescent="0.2">
      <c r="DO20812" s="303" t="s">
        <v>232</v>
      </c>
    </row>
    <row r="20813" spans="119:119" x14ac:dyDescent="0.2">
      <c r="DO20813" s="303" t="s">
        <v>232</v>
      </c>
    </row>
    <row r="20814" spans="119:119" x14ac:dyDescent="0.2">
      <c r="DO20814" s="303" t="s">
        <v>232</v>
      </c>
    </row>
    <row r="20815" spans="119:119" x14ac:dyDescent="0.2">
      <c r="DO20815" s="303" t="s">
        <v>232</v>
      </c>
    </row>
    <row r="20816" spans="119:119" x14ac:dyDescent="0.2">
      <c r="DO20816" s="303" t="s">
        <v>232</v>
      </c>
    </row>
    <row r="20817" spans="119:119" x14ac:dyDescent="0.2">
      <c r="DO20817" s="303" t="s">
        <v>232</v>
      </c>
    </row>
    <row r="20818" spans="119:119" x14ac:dyDescent="0.2">
      <c r="DO20818" s="303" t="s">
        <v>232</v>
      </c>
    </row>
    <row r="20819" spans="119:119" x14ac:dyDescent="0.2">
      <c r="DO20819" s="303" t="s">
        <v>232</v>
      </c>
    </row>
    <row r="20820" spans="119:119" x14ac:dyDescent="0.2">
      <c r="DO20820" s="303" t="s">
        <v>232</v>
      </c>
    </row>
    <row r="20821" spans="119:119" x14ac:dyDescent="0.2">
      <c r="DO20821" s="303" t="s">
        <v>232</v>
      </c>
    </row>
    <row r="20822" spans="119:119" x14ac:dyDescent="0.2">
      <c r="DO20822" s="303" t="s">
        <v>232</v>
      </c>
    </row>
    <row r="20823" spans="119:119" x14ac:dyDescent="0.2">
      <c r="DO20823" s="303" t="s">
        <v>232</v>
      </c>
    </row>
    <row r="20824" spans="119:119" x14ac:dyDescent="0.2">
      <c r="DO20824" s="303" t="s">
        <v>232</v>
      </c>
    </row>
    <row r="20825" spans="119:119" x14ac:dyDescent="0.2">
      <c r="DO20825" s="303" t="s">
        <v>232</v>
      </c>
    </row>
    <row r="20826" spans="119:119" x14ac:dyDescent="0.2">
      <c r="DO20826" s="303" t="s">
        <v>232</v>
      </c>
    </row>
    <row r="20827" spans="119:119" x14ac:dyDescent="0.2">
      <c r="DO20827" s="303" t="s">
        <v>232</v>
      </c>
    </row>
    <row r="20828" spans="119:119" x14ac:dyDescent="0.2">
      <c r="DO20828" s="303" t="s">
        <v>232</v>
      </c>
    </row>
    <row r="20829" spans="119:119" x14ac:dyDescent="0.2">
      <c r="DO20829" s="303" t="s">
        <v>232</v>
      </c>
    </row>
    <row r="20830" spans="119:119" x14ac:dyDescent="0.2">
      <c r="DO20830" s="303" t="s">
        <v>232</v>
      </c>
    </row>
    <row r="20831" spans="119:119" x14ac:dyDescent="0.2">
      <c r="DO20831" s="303" t="s">
        <v>232</v>
      </c>
    </row>
    <row r="20832" spans="119:119" x14ac:dyDescent="0.2">
      <c r="DO20832" s="303" t="s">
        <v>232</v>
      </c>
    </row>
    <row r="20833" spans="119:119" x14ac:dyDescent="0.2">
      <c r="DO20833" s="303" t="s">
        <v>232</v>
      </c>
    </row>
    <row r="20834" spans="119:119" x14ac:dyDescent="0.2">
      <c r="DO20834" s="303" t="s">
        <v>232</v>
      </c>
    </row>
    <row r="20835" spans="119:119" x14ac:dyDescent="0.2">
      <c r="DO20835" s="303" t="s">
        <v>232</v>
      </c>
    </row>
    <row r="20836" spans="119:119" x14ac:dyDescent="0.2">
      <c r="DO20836" s="303" t="s">
        <v>232</v>
      </c>
    </row>
    <row r="20837" spans="119:119" x14ac:dyDescent="0.2">
      <c r="DO20837" s="303" t="s">
        <v>232</v>
      </c>
    </row>
    <row r="20838" spans="119:119" x14ac:dyDescent="0.2">
      <c r="DO20838" s="303" t="s">
        <v>232</v>
      </c>
    </row>
    <row r="20839" spans="119:119" x14ac:dyDescent="0.2">
      <c r="DO20839" s="303" t="s">
        <v>232</v>
      </c>
    </row>
    <row r="20840" spans="119:119" x14ac:dyDescent="0.2">
      <c r="DO20840" s="303" t="s">
        <v>232</v>
      </c>
    </row>
    <row r="20841" spans="119:119" x14ac:dyDescent="0.2">
      <c r="DO20841" s="303" t="s">
        <v>232</v>
      </c>
    </row>
    <row r="20842" spans="119:119" x14ac:dyDescent="0.2">
      <c r="DO20842" s="303" t="s">
        <v>232</v>
      </c>
    </row>
    <row r="20843" spans="119:119" x14ac:dyDescent="0.2">
      <c r="DO20843" s="303" t="s">
        <v>232</v>
      </c>
    </row>
    <row r="20844" spans="119:119" x14ac:dyDescent="0.2">
      <c r="DO20844" s="303" t="s">
        <v>232</v>
      </c>
    </row>
    <row r="20845" spans="119:119" x14ac:dyDescent="0.2">
      <c r="DO20845" s="303" t="s">
        <v>232</v>
      </c>
    </row>
    <row r="20846" spans="119:119" x14ac:dyDescent="0.2">
      <c r="DO20846" s="303" t="s">
        <v>232</v>
      </c>
    </row>
    <row r="20847" spans="119:119" x14ac:dyDescent="0.2">
      <c r="DO20847" s="303" t="s">
        <v>232</v>
      </c>
    </row>
    <row r="20848" spans="119:119" x14ac:dyDescent="0.2">
      <c r="DO20848" s="303" t="s">
        <v>232</v>
      </c>
    </row>
    <row r="20849" spans="119:119" x14ac:dyDescent="0.2">
      <c r="DO20849" s="303" t="s">
        <v>232</v>
      </c>
    </row>
    <row r="20850" spans="119:119" x14ac:dyDescent="0.2">
      <c r="DO20850" s="303" t="s">
        <v>232</v>
      </c>
    </row>
    <row r="20851" spans="119:119" x14ac:dyDescent="0.2">
      <c r="DO20851" s="303" t="s">
        <v>232</v>
      </c>
    </row>
    <row r="20852" spans="119:119" x14ac:dyDescent="0.2">
      <c r="DO20852" s="303" t="s">
        <v>232</v>
      </c>
    </row>
    <row r="20853" spans="119:119" x14ac:dyDescent="0.2">
      <c r="DO20853" s="303" t="s">
        <v>232</v>
      </c>
    </row>
    <row r="20854" spans="119:119" x14ac:dyDescent="0.2">
      <c r="DO20854" s="303" t="s">
        <v>232</v>
      </c>
    </row>
    <row r="20855" spans="119:119" x14ac:dyDescent="0.2">
      <c r="DO20855" s="303" t="s">
        <v>232</v>
      </c>
    </row>
    <row r="20856" spans="119:119" x14ac:dyDescent="0.2">
      <c r="DO20856" s="303" t="s">
        <v>232</v>
      </c>
    </row>
    <row r="20857" spans="119:119" x14ac:dyDescent="0.2">
      <c r="DO20857" s="303" t="s">
        <v>232</v>
      </c>
    </row>
    <row r="20858" spans="119:119" x14ac:dyDescent="0.2">
      <c r="DO20858" s="303" t="s">
        <v>232</v>
      </c>
    </row>
    <row r="20859" spans="119:119" x14ac:dyDescent="0.2">
      <c r="DO20859" s="303" t="s">
        <v>232</v>
      </c>
    </row>
    <row r="20860" spans="119:119" x14ac:dyDescent="0.2">
      <c r="DO20860" s="303" t="s">
        <v>232</v>
      </c>
    </row>
    <row r="20861" spans="119:119" x14ac:dyDescent="0.2">
      <c r="DO20861" s="303" t="s">
        <v>232</v>
      </c>
    </row>
    <row r="20862" spans="119:119" x14ac:dyDescent="0.2">
      <c r="DO20862" s="303" t="s">
        <v>232</v>
      </c>
    </row>
    <row r="20863" spans="119:119" x14ac:dyDescent="0.2">
      <c r="DO20863" s="303" t="s">
        <v>232</v>
      </c>
    </row>
    <row r="20864" spans="119:119" x14ac:dyDescent="0.2">
      <c r="DO20864" s="303" t="s">
        <v>232</v>
      </c>
    </row>
    <row r="20865" spans="119:119" x14ac:dyDescent="0.2">
      <c r="DO20865" s="303" t="s">
        <v>232</v>
      </c>
    </row>
    <row r="20866" spans="119:119" x14ac:dyDescent="0.2">
      <c r="DO20866" s="303" t="s">
        <v>232</v>
      </c>
    </row>
    <row r="20867" spans="119:119" x14ac:dyDescent="0.2">
      <c r="DO20867" s="303" t="s">
        <v>232</v>
      </c>
    </row>
    <row r="20868" spans="119:119" x14ac:dyDescent="0.2">
      <c r="DO20868" s="303" t="s">
        <v>232</v>
      </c>
    </row>
    <row r="20869" spans="119:119" x14ac:dyDescent="0.2">
      <c r="DO20869" s="303" t="s">
        <v>232</v>
      </c>
    </row>
    <row r="20870" spans="119:119" x14ac:dyDescent="0.2">
      <c r="DO20870" s="303" t="s">
        <v>232</v>
      </c>
    </row>
    <row r="20871" spans="119:119" x14ac:dyDescent="0.2">
      <c r="DO20871" s="303" t="s">
        <v>232</v>
      </c>
    </row>
    <row r="20872" spans="119:119" x14ac:dyDescent="0.2">
      <c r="DO20872" s="303" t="s">
        <v>232</v>
      </c>
    </row>
    <row r="20873" spans="119:119" x14ac:dyDescent="0.2">
      <c r="DO20873" s="303" t="s">
        <v>232</v>
      </c>
    </row>
    <row r="20874" spans="119:119" x14ac:dyDescent="0.2">
      <c r="DO20874" s="303" t="s">
        <v>232</v>
      </c>
    </row>
    <row r="20875" spans="119:119" x14ac:dyDescent="0.2">
      <c r="DO20875" s="303" t="s">
        <v>232</v>
      </c>
    </row>
    <row r="20876" spans="119:119" x14ac:dyDescent="0.2">
      <c r="DO20876" s="303" t="s">
        <v>232</v>
      </c>
    </row>
    <row r="20877" spans="119:119" x14ac:dyDescent="0.2">
      <c r="DO20877" s="303" t="s">
        <v>232</v>
      </c>
    </row>
    <row r="20878" spans="119:119" x14ac:dyDescent="0.2">
      <c r="DO20878" s="303" t="s">
        <v>232</v>
      </c>
    </row>
    <row r="20879" spans="119:119" x14ac:dyDescent="0.2">
      <c r="DO20879" s="303" t="s">
        <v>232</v>
      </c>
    </row>
    <row r="20880" spans="119:119" x14ac:dyDescent="0.2">
      <c r="DO20880" s="303" t="s">
        <v>232</v>
      </c>
    </row>
    <row r="20881" spans="119:119" x14ac:dyDescent="0.2">
      <c r="DO20881" s="303" t="s">
        <v>232</v>
      </c>
    </row>
    <row r="20882" spans="119:119" x14ac:dyDescent="0.2">
      <c r="DO20882" s="303" t="s">
        <v>232</v>
      </c>
    </row>
    <row r="20883" spans="119:119" x14ac:dyDescent="0.2">
      <c r="DO20883" s="303" t="s">
        <v>232</v>
      </c>
    </row>
    <row r="20884" spans="119:119" x14ac:dyDescent="0.2">
      <c r="DO20884" s="303" t="s">
        <v>232</v>
      </c>
    </row>
    <row r="20885" spans="119:119" x14ac:dyDescent="0.2">
      <c r="DO20885" s="303" t="s">
        <v>232</v>
      </c>
    </row>
    <row r="20886" spans="119:119" x14ac:dyDescent="0.2">
      <c r="DO20886" s="303" t="s">
        <v>232</v>
      </c>
    </row>
    <row r="20887" spans="119:119" x14ac:dyDescent="0.2">
      <c r="DO20887" s="303" t="s">
        <v>232</v>
      </c>
    </row>
    <row r="20888" spans="119:119" x14ac:dyDescent="0.2">
      <c r="DO20888" s="303" t="s">
        <v>232</v>
      </c>
    </row>
    <row r="20889" spans="119:119" x14ac:dyDescent="0.2">
      <c r="DO20889" s="303" t="s">
        <v>232</v>
      </c>
    </row>
    <row r="20890" spans="119:119" x14ac:dyDescent="0.2">
      <c r="DO20890" s="303" t="s">
        <v>232</v>
      </c>
    </row>
    <row r="20891" spans="119:119" x14ac:dyDescent="0.2">
      <c r="DO20891" s="303" t="s">
        <v>232</v>
      </c>
    </row>
    <row r="20892" spans="119:119" x14ac:dyDescent="0.2">
      <c r="DO20892" s="303" t="s">
        <v>232</v>
      </c>
    </row>
    <row r="20893" spans="119:119" x14ac:dyDescent="0.2">
      <c r="DO20893" s="303" t="s">
        <v>232</v>
      </c>
    </row>
    <row r="20894" spans="119:119" x14ac:dyDescent="0.2">
      <c r="DO20894" s="303" t="s">
        <v>232</v>
      </c>
    </row>
    <row r="20895" spans="119:119" x14ac:dyDescent="0.2">
      <c r="DO20895" s="303" t="s">
        <v>232</v>
      </c>
    </row>
    <row r="20896" spans="119:119" x14ac:dyDescent="0.2">
      <c r="DO20896" s="303" t="s">
        <v>232</v>
      </c>
    </row>
    <row r="20897" spans="119:119" x14ac:dyDescent="0.2">
      <c r="DO20897" s="303" t="s">
        <v>232</v>
      </c>
    </row>
    <row r="20898" spans="119:119" x14ac:dyDescent="0.2">
      <c r="DO20898" s="303" t="s">
        <v>232</v>
      </c>
    </row>
    <row r="20899" spans="119:119" x14ac:dyDescent="0.2">
      <c r="DO20899" s="303" t="s">
        <v>232</v>
      </c>
    </row>
    <row r="20900" spans="119:119" x14ac:dyDescent="0.2">
      <c r="DO20900" s="303" t="s">
        <v>232</v>
      </c>
    </row>
    <row r="20901" spans="119:119" x14ac:dyDescent="0.2">
      <c r="DO20901" s="303" t="s">
        <v>232</v>
      </c>
    </row>
    <row r="20902" spans="119:119" x14ac:dyDescent="0.2">
      <c r="DO20902" s="303" t="s">
        <v>232</v>
      </c>
    </row>
    <row r="20903" spans="119:119" x14ac:dyDescent="0.2">
      <c r="DO20903" s="303" t="s">
        <v>232</v>
      </c>
    </row>
    <row r="20904" spans="119:119" x14ac:dyDescent="0.2">
      <c r="DO20904" s="303" t="s">
        <v>232</v>
      </c>
    </row>
    <row r="20905" spans="119:119" x14ac:dyDescent="0.2">
      <c r="DO20905" s="303" t="s">
        <v>232</v>
      </c>
    </row>
    <row r="20906" spans="119:119" x14ac:dyDescent="0.2">
      <c r="DO20906" s="303" t="s">
        <v>232</v>
      </c>
    </row>
    <row r="20907" spans="119:119" x14ac:dyDescent="0.2">
      <c r="DO20907" s="303" t="s">
        <v>232</v>
      </c>
    </row>
    <row r="20908" spans="119:119" x14ac:dyDescent="0.2">
      <c r="DO20908" s="303" t="s">
        <v>232</v>
      </c>
    </row>
    <row r="20909" spans="119:119" x14ac:dyDescent="0.2">
      <c r="DO20909" s="303" t="s">
        <v>232</v>
      </c>
    </row>
    <row r="20910" spans="119:119" x14ac:dyDescent="0.2">
      <c r="DO20910" s="303" t="s">
        <v>232</v>
      </c>
    </row>
    <row r="20911" spans="119:119" x14ac:dyDescent="0.2">
      <c r="DO20911" s="303" t="s">
        <v>232</v>
      </c>
    </row>
    <row r="20912" spans="119:119" x14ac:dyDescent="0.2">
      <c r="DO20912" s="303" t="s">
        <v>232</v>
      </c>
    </row>
    <row r="20913" spans="119:119" x14ac:dyDescent="0.2">
      <c r="DO20913" s="303" t="s">
        <v>232</v>
      </c>
    </row>
    <row r="20914" spans="119:119" x14ac:dyDescent="0.2">
      <c r="DO20914" s="303" t="s">
        <v>232</v>
      </c>
    </row>
    <row r="20915" spans="119:119" x14ac:dyDescent="0.2">
      <c r="DO20915" s="303" t="s">
        <v>232</v>
      </c>
    </row>
    <row r="20916" spans="119:119" x14ac:dyDescent="0.2">
      <c r="DO20916" s="303" t="s">
        <v>232</v>
      </c>
    </row>
    <row r="20917" spans="119:119" x14ac:dyDescent="0.2">
      <c r="DO20917" s="303" t="s">
        <v>232</v>
      </c>
    </row>
    <row r="20918" spans="119:119" x14ac:dyDescent="0.2">
      <c r="DO20918" s="303" t="s">
        <v>232</v>
      </c>
    </row>
    <row r="20919" spans="119:119" x14ac:dyDescent="0.2">
      <c r="DO20919" s="303" t="s">
        <v>232</v>
      </c>
    </row>
    <row r="20920" spans="119:119" x14ac:dyDescent="0.2">
      <c r="DO20920" s="303" t="s">
        <v>232</v>
      </c>
    </row>
    <row r="20921" spans="119:119" x14ac:dyDescent="0.2">
      <c r="DO20921" s="303" t="s">
        <v>232</v>
      </c>
    </row>
    <row r="20922" spans="119:119" x14ac:dyDescent="0.2">
      <c r="DO20922" s="303" t="s">
        <v>232</v>
      </c>
    </row>
    <row r="20923" spans="119:119" x14ac:dyDescent="0.2">
      <c r="DO20923" s="303" t="s">
        <v>232</v>
      </c>
    </row>
    <row r="20924" spans="119:119" x14ac:dyDescent="0.2">
      <c r="DO20924" s="303" t="s">
        <v>232</v>
      </c>
    </row>
    <row r="20925" spans="119:119" x14ac:dyDescent="0.2">
      <c r="DO20925" s="303" t="s">
        <v>232</v>
      </c>
    </row>
    <row r="20926" spans="119:119" x14ac:dyDescent="0.2">
      <c r="DO20926" s="303" t="s">
        <v>232</v>
      </c>
    </row>
    <row r="20927" spans="119:119" x14ac:dyDescent="0.2">
      <c r="DO20927" s="303" t="s">
        <v>232</v>
      </c>
    </row>
    <row r="20928" spans="119:119" x14ac:dyDescent="0.2">
      <c r="DO20928" s="303" t="s">
        <v>232</v>
      </c>
    </row>
    <row r="20929" spans="119:119" x14ac:dyDescent="0.2">
      <c r="DO20929" s="303" t="s">
        <v>232</v>
      </c>
    </row>
    <row r="20930" spans="119:119" x14ac:dyDescent="0.2">
      <c r="DO20930" s="303" t="s">
        <v>232</v>
      </c>
    </row>
    <row r="20931" spans="119:119" x14ac:dyDescent="0.2">
      <c r="DO20931" s="303" t="s">
        <v>232</v>
      </c>
    </row>
    <row r="20932" spans="119:119" x14ac:dyDescent="0.2">
      <c r="DO20932" s="303" t="s">
        <v>232</v>
      </c>
    </row>
    <row r="20933" spans="119:119" x14ac:dyDescent="0.2">
      <c r="DO20933" s="303" t="s">
        <v>232</v>
      </c>
    </row>
    <row r="20934" spans="119:119" x14ac:dyDescent="0.2">
      <c r="DO20934" s="303" t="s">
        <v>232</v>
      </c>
    </row>
    <row r="20935" spans="119:119" x14ac:dyDescent="0.2">
      <c r="DO20935" s="303" t="s">
        <v>232</v>
      </c>
    </row>
    <row r="20936" spans="119:119" x14ac:dyDescent="0.2">
      <c r="DO20936" s="303" t="s">
        <v>232</v>
      </c>
    </row>
    <row r="20937" spans="119:119" x14ac:dyDescent="0.2">
      <c r="DO20937" s="303" t="s">
        <v>232</v>
      </c>
    </row>
    <row r="20938" spans="119:119" x14ac:dyDescent="0.2">
      <c r="DO20938" s="303" t="s">
        <v>232</v>
      </c>
    </row>
    <row r="20939" spans="119:119" x14ac:dyDescent="0.2">
      <c r="DO20939" s="303" t="s">
        <v>232</v>
      </c>
    </row>
    <row r="20940" spans="119:119" x14ac:dyDescent="0.2">
      <c r="DO20940" s="303" t="s">
        <v>232</v>
      </c>
    </row>
    <row r="20941" spans="119:119" x14ac:dyDescent="0.2">
      <c r="DO20941" s="303" t="s">
        <v>232</v>
      </c>
    </row>
    <row r="20942" spans="119:119" x14ac:dyDescent="0.2">
      <c r="DO20942" s="303" t="s">
        <v>232</v>
      </c>
    </row>
    <row r="20943" spans="119:119" x14ac:dyDescent="0.2">
      <c r="DO20943" s="303" t="s">
        <v>232</v>
      </c>
    </row>
    <row r="20944" spans="119:119" x14ac:dyDescent="0.2">
      <c r="DO20944" s="303" t="s">
        <v>232</v>
      </c>
    </row>
    <row r="20945" spans="119:119" x14ac:dyDescent="0.2">
      <c r="DO20945" s="303" t="s">
        <v>232</v>
      </c>
    </row>
    <row r="20946" spans="119:119" x14ac:dyDescent="0.2">
      <c r="DO20946" s="303" t="s">
        <v>232</v>
      </c>
    </row>
    <row r="20947" spans="119:119" x14ac:dyDescent="0.2">
      <c r="DO20947" s="303" t="s">
        <v>232</v>
      </c>
    </row>
    <row r="20948" spans="119:119" x14ac:dyDescent="0.2">
      <c r="DO20948" s="303" t="s">
        <v>232</v>
      </c>
    </row>
    <row r="20949" spans="119:119" x14ac:dyDescent="0.2">
      <c r="DO20949" s="303" t="s">
        <v>232</v>
      </c>
    </row>
    <row r="20950" spans="119:119" x14ac:dyDescent="0.2">
      <c r="DO20950" s="303" t="s">
        <v>232</v>
      </c>
    </row>
    <row r="20951" spans="119:119" x14ac:dyDescent="0.2">
      <c r="DO20951" s="303" t="s">
        <v>232</v>
      </c>
    </row>
    <row r="20952" spans="119:119" x14ac:dyDescent="0.2">
      <c r="DO20952" s="303" t="s">
        <v>232</v>
      </c>
    </row>
    <row r="20953" spans="119:119" x14ac:dyDescent="0.2">
      <c r="DO20953" s="303" t="s">
        <v>232</v>
      </c>
    </row>
    <row r="20954" spans="119:119" x14ac:dyDescent="0.2">
      <c r="DO20954" s="303" t="s">
        <v>232</v>
      </c>
    </row>
    <row r="20955" spans="119:119" x14ac:dyDescent="0.2">
      <c r="DO20955" s="303" t="s">
        <v>232</v>
      </c>
    </row>
    <row r="20956" spans="119:119" x14ac:dyDescent="0.2">
      <c r="DO20956" s="303" t="s">
        <v>232</v>
      </c>
    </row>
    <row r="20957" spans="119:119" x14ac:dyDescent="0.2">
      <c r="DO20957" s="303" t="s">
        <v>232</v>
      </c>
    </row>
    <row r="20958" spans="119:119" x14ac:dyDescent="0.2">
      <c r="DO20958" s="303" t="s">
        <v>232</v>
      </c>
    </row>
    <row r="20959" spans="119:119" x14ac:dyDescent="0.2">
      <c r="DO20959" s="303" t="s">
        <v>232</v>
      </c>
    </row>
    <row r="20960" spans="119:119" x14ac:dyDescent="0.2">
      <c r="DO20960" s="303" t="s">
        <v>232</v>
      </c>
    </row>
    <row r="20961" spans="119:119" x14ac:dyDescent="0.2">
      <c r="DO20961" s="303" t="s">
        <v>232</v>
      </c>
    </row>
    <row r="20962" spans="119:119" x14ac:dyDescent="0.2">
      <c r="DO20962" s="303" t="s">
        <v>232</v>
      </c>
    </row>
    <row r="20963" spans="119:119" x14ac:dyDescent="0.2">
      <c r="DO20963" s="303" t="s">
        <v>232</v>
      </c>
    </row>
    <row r="20964" spans="119:119" x14ac:dyDescent="0.2">
      <c r="DO20964" s="303" t="s">
        <v>232</v>
      </c>
    </row>
    <row r="20965" spans="119:119" x14ac:dyDescent="0.2">
      <c r="DO20965" s="303" t="s">
        <v>232</v>
      </c>
    </row>
    <row r="20966" spans="119:119" x14ac:dyDescent="0.2">
      <c r="DO20966" s="303" t="s">
        <v>232</v>
      </c>
    </row>
    <row r="20967" spans="119:119" x14ac:dyDescent="0.2">
      <c r="DO20967" s="303" t="s">
        <v>232</v>
      </c>
    </row>
    <row r="20968" spans="119:119" x14ac:dyDescent="0.2">
      <c r="DO20968" s="303" t="s">
        <v>232</v>
      </c>
    </row>
    <row r="20969" spans="119:119" x14ac:dyDescent="0.2">
      <c r="DO20969" s="303" t="s">
        <v>232</v>
      </c>
    </row>
    <row r="20970" spans="119:119" x14ac:dyDescent="0.2">
      <c r="DO20970" s="303" t="s">
        <v>232</v>
      </c>
    </row>
    <row r="20971" spans="119:119" x14ac:dyDescent="0.2">
      <c r="DO20971" s="303" t="s">
        <v>232</v>
      </c>
    </row>
    <row r="20972" spans="119:119" x14ac:dyDescent="0.2">
      <c r="DO20972" s="303" t="s">
        <v>232</v>
      </c>
    </row>
    <row r="20973" spans="119:119" x14ac:dyDescent="0.2">
      <c r="DO20973" s="303" t="s">
        <v>232</v>
      </c>
    </row>
    <row r="20974" spans="119:119" x14ac:dyDescent="0.2">
      <c r="DO20974" s="303" t="s">
        <v>232</v>
      </c>
    </row>
    <row r="20975" spans="119:119" x14ac:dyDescent="0.2">
      <c r="DO20975" s="303" t="s">
        <v>232</v>
      </c>
    </row>
    <row r="20976" spans="119:119" x14ac:dyDescent="0.2">
      <c r="DO20976" s="303" t="s">
        <v>232</v>
      </c>
    </row>
    <row r="20977" spans="119:119" x14ac:dyDescent="0.2">
      <c r="DO20977" s="303" t="s">
        <v>232</v>
      </c>
    </row>
    <row r="20978" spans="119:119" x14ac:dyDescent="0.2">
      <c r="DO20978" s="303" t="s">
        <v>232</v>
      </c>
    </row>
    <row r="20979" spans="119:119" x14ac:dyDescent="0.2">
      <c r="DO20979" s="303" t="s">
        <v>232</v>
      </c>
    </row>
    <row r="20980" spans="119:119" x14ac:dyDescent="0.2">
      <c r="DO20980" s="303" t="s">
        <v>232</v>
      </c>
    </row>
    <row r="20981" spans="119:119" x14ac:dyDescent="0.2">
      <c r="DO20981" s="303" t="s">
        <v>232</v>
      </c>
    </row>
    <row r="20982" spans="119:119" x14ac:dyDescent="0.2">
      <c r="DO20982" s="303" t="s">
        <v>232</v>
      </c>
    </row>
    <row r="20983" spans="119:119" x14ac:dyDescent="0.2">
      <c r="DO20983" s="303" t="s">
        <v>232</v>
      </c>
    </row>
    <row r="20984" spans="119:119" x14ac:dyDescent="0.2">
      <c r="DO20984" s="303" t="s">
        <v>232</v>
      </c>
    </row>
    <row r="20985" spans="119:119" x14ac:dyDescent="0.2">
      <c r="DO20985" s="303" t="s">
        <v>232</v>
      </c>
    </row>
    <row r="20986" spans="119:119" x14ac:dyDescent="0.2">
      <c r="DO20986" s="303" t="s">
        <v>232</v>
      </c>
    </row>
    <row r="20987" spans="119:119" x14ac:dyDescent="0.2">
      <c r="DO20987" s="303" t="s">
        <v>232</v>
      </c>
    </row>
    <row r="20988" spans="119:119" x14ac:dyDescent="0.2">
      <c r="DO20988" s="303" t="s">
        <v>232</v>
      </c>
    </row>
    <row r="20989" spans="119:119" x14ac:dyDescent="0.2">
      <c r="DO20989" s="303" t="s">
        <v>232</v>
      </c>
    </row>
    <row r="20990" spans="119:119" x14ac:dyDescent="0.2">
      <c r="DO20990" s="303" t="s">
        <v>232</v>
      </c>
    </row>
    <row r="20991" spans="119:119" x14ac:dyDescent="0.2">
      <c r="DO20991" s="303" t="s">
        <v>232</v>
      </c>
    </row>
    <row r="20992" spans="119:119" x14ac:dyDescent="0.2">
      <c r="DO20992" s="303" t="s">
        <v>232</v>
      </c>
    </row>
    <row r="20993" spans="119:119" x14ac:dyDescent="0.2">
      <c r="DO20993" s="303" t="s">
        <v>232</v>
      </c>
    </row>
    <row r="20994" spans="119:119" x14ac:dyDescent="0.2">
      <c r="DO20994" s="303" t="s">
        <v>232</v>
      </c>
    </row>
    <row r="20995" spans="119:119" x14ac:dyDescent="0.2">
      <c r="DO20995" s="303" t="s">
        <v>232</v>
      </c>
    </row>
    <row r="20996" spans="119:119" x14ac:dyDescent="0.2">
      <c r="DO20996" s="303" t="s">
        <v>232</v>
      </c>
    </row>
    <row r="20997" spans="119:119" x14ac:dyDescent="0.2">
      <c r="DO20997" s="303" t="s">
        <v>232</v>
      </c>
    </row>
    <row r="20998" spans="119:119" x14ac:dyDescent="0.2">
      <c r="DO20998" s="303" t="s">
        <v>232</v>
      </c>
    </row>
    <row r="20999" spans="119:119" x14ac:dyDescent="0.2">
      <c r="DO20999" s="303" t="s">
        <v>232</v>
      </c>
    </row>
    <row r="21000" spans="119:119" x14ac:dyDescent="0.2">
      <c r="DO21000" s="303" t="s">
        <v>232</v>
      </c>
    </row>
    <row r="21001" spans="119:119" x14ac:dyDescent="0.2">
      <c r="DO21001" s="303" t="s">
        <v>232</v>
      </c>
    </row>
    <row r="21002" spans="119:119" x14ac:dyDescent="0.2">
      <c r="DO21002" s="303" t="s">
        <v>232</v>
      </c>
    </row>
    <row r="21003" spans="119:119" x14ac:dyDescent="0.2">
      <c r="DO21003" s="303" t="s">
        <v>232</v>
      </c>
    </row>
    <row r="21004" spans="119:119" x14ac:dyDescent="0.2">
      <c r="DO21004" s="303" t="s">
        <v>232</v>
      </c>
    </row>
    <row r="21005" spans="119:119" x14ac:dyDescent="0.2">
      <c r="DO21005" s="303" t="s">
        <v>232</v>
      </c>
    </row>
    <row r="21006" spans="119:119" x14ac:dyDescent="0.2">
      <c r="DO21006" s="303" t="s">
        <v>232</v>
      </c>
    </row>
    <row r="21007" spans="119:119" x14ac:dyDescent="0.2">
      <c r="DO21007" s="303" t="s">
        <v>232</v>
      </c>
    </row>
    <row r="21008" spans="119:119" x14ac:dyDescent="0.2">
      <c r="DO21008" s="303" t="s">
        <v>232</v>
      </c>
    </row>
    <row r="21009" spans="119:119" x14ac:dyDescent="0.2">
      <c r="DO21009" s="303" t="s">
        <v>232</v>
      </c>
    </row>
    <row r="21010" spans="119:119" x14ac:dyDescent="0.2">
      <c r="DO21010" s="303" t="s">
        <v>232</v>
      </c>
    </row>
    <row r="21011" spans="119:119" x14ac:dyDescent="0.2">
      <c r="DO21011" s="303" t="s">
        <v>232</v>
      </c>
    </row>
    <row r="21012" spans="119:119" x14ac:dyDescent="0.2">
      <c r="DO21012" s="303" t="s">
        <v>232</v>
      </c>
    </row>
    <row r="21013" spans="119:119" x14ac:dyDescent="0.2">
      <c r="DO21013" s="303" t="s">
        <v>232</v>
      </c>
    </row>
    <row r="21014" spans="119:119" x14ac:dyDescent="0.2">
      <c r="DO21014" s="303" t="s">
        <v>232</v>
      </c>
    </row>
    <row r="21015" spans="119:119" x14ac:dyDescent="0.2">
      <c r="DO21015" s="303" t="s">
        <v>232</v>
      </c>
    </row>
    <row r="21016" spans="119:119" x14ac:dyDescent="0.2">
      <c r="DO21016" s="303" t="s">
        <v>232</v>
      </c>
    </row>
    <row r="21017" spans="119:119" x14ac:dyDescent="0.2">
      <c r="DO21017" s="303" t="s">
        <v>232</v>
      </c>
    </row>
    <row r="21018" spans="119:119" x14ac:dyDescent="0.2">
      <c r="DO21018" s="303" t="s">
        <v>232</v>
      </c>
    </row>
    <row r="21019" spans="119:119" x14ac:dyDescent="0.2">
      <c r="DO21019" s="303" t="s">
        <v>232</v>
      </c>
    </row>
    <row r="21020" spans="119:119" x14ac:dyDescent="0.2">
      <c r="DO21020" s="303" t="s">
        <v>232</v>
      </c>
    </row>
    <row r="21021" spans="119:119" x14ac:dyDescent="0.2">
      <c r="DO21021" s="303" t="s">
        <v>232</v>
      </c>
    </row>
    <row r="21022" spans="119:119" x14ac:dyDescent="0.2">
      <c r="DO21022" s="303" t="s">
        <v>232</v>
      </c>
    </row>
    <row r="21023" spans="119:119" x14ac:dyDescent="0.2">
      <c r="DO21023" s="303" t="s">
        <v>232</v>
      </c>
    </row>
    <row r="21024" spans="119:119" x14ac:dyDescent="0.2">
      <c r="DO21024" s="303" t="s">
        <v>232</v>
      </c>
    </row>
    <row r="21025" spans="119:119" x14ac:dyDescent="0.2">
      <c r="DO21025" s="303" t="s">
        <v>232</v>
      </c>
    </row>
    <row r="21026" spans="119:119" x14ac:dyDescent="0.2">
      <c r="DO21026" s="303" t="s">
        <v>232</v>
      </c>
    </row>
    <row r="21027" spans="119:119" x14ac:dyDescent="0.2">
      <c r="DO21027" s="303" t="s">
        <v>232</v>
      </c>
    </row>
    <row r="21028" spans="119:119" x14ac:dyDescent="0.2">
      <c r="DO21028" s="303" t="s">
        <v>232</v>
      </c>
    </row>
    <row r="21029" spans="119:119" x14ac:dyDescent="0.2">
      <c r="DO21029" s="303" t="s">
        <v>232</v>
      </c>
    </row>
    <row r="21030" spans="119:119" x14ac:dyDescent="0.2">
      <c r="DO21030" s="303" t="s">
        <v>232</v>
      </c>
    </row>
    <row r="21031" spans="119:119" x14ac:dyDescent="0.2">
      <c r="DO21031" s="303" t="s">
        <v>232</v>
      </c>
    </row>
    <row r="21032" spans="119:119" x14ac:dyDescent="0.2">
      <c r="DO21032" s="303" t="s">
        <v>232</v>
      </c>
    </row>
    <row r="21033" spans="119:119" x14ac:dyDescent="0.2">
      <c r="DO21033" s="303" t="s">
        <v>232</v>
      </c>
    </row>
    <row r="21034" spans="119:119" x14ac:dyDescent="0.2">
      <c r="DO21034" s="303" t="s">
        <v>232</v>
      </c>
    </row>
    <row r="21035" spans="119:119" x14ac:dyDescent="0.2">
      <c r="DO21035" s="303" t="s">
        <v>232</v>
      </c>
    </row>
    <row r="21036" spans="119:119" x14ac:dyDescent="0.2">
      <c r="DO21036" s="303" t="s">
        <v>232</v>
      </c>
    </row>
    <row r="21037" spans="119:119" x14ac:dyDescent="0.2">
      <c r="DO21037" s="303" t="s">
        <v>232</v>
      </c>
    </row>
    <row r="21038" spans="119:119" x14ac:dyDescent="0.2">
      <c r="DO21038" s="303" t="s">
        <v>232</v>
      </c>
    </row>
    <row r="21039" spans="119:119" x14ac:dyDescent="0.2">
      <c r="DO21039" s="303" t="s">
        <v>232</v>
      </c>
    </row>
    <row r="21040" spans="119:119" x14ac:dyDescent="0.2">
      <c r="DO21040" s="303" t="s">
        <v>232</v>
      </c>
    </row>
    <row r="21041" spans="119:119" x14ac:dyDescent="0.2">
      <c r="DO21041" s="303" t="s">
        <v>232</v>
      </c>
    </row>
    <row r="21042" spans="119:119" x14ac:dyDescent="0.2">
      <c r="DO21042" s="303" t="s">
        <v>232</v>
      </c>
    </row>
    <row r="21043" spans="119:119" x14ac:dyDescent="0.2">
      <c r="DO21043" s="303" t="s">
        <v>232</v>
      </c>
    </row>
    <row r="21044" spans="119:119" x14ac:dyDescent="0.2">
      <c r="DO21044" s="303" t="s">
        <v>232</v>
      </c>
    </row>
    <row r="21045" spans="119:119" x14ac:dyDescent="0.2">
      <c r="DO21045" s="303" t="s">
        <v>232</v>
      </c>
    </row>
    <row r="21046" spans="119:119" x14ac:dyDescent="0.2">
      <c r="DO21046" s="303" t="s">
        <v>232</v>
      </c>
    </row>
    <row r="21047" spans="119:119" x14ac:dyDescent="0.2">
      <c r="DO21047" s="303" t="s">
        <v>232</v>
      </c>
    </row>
    <row r="21048" spans="119:119" x14ac:dyDescent="0.2">
      <c r="DO21048" s="303" t="s">
        <v>232</v>
      </c>
    </row>
    <row r="21049" spans="119:119" x14ac:dyDescent="0.2">
      <c r="DO21049" s="303" t="s">
        <v>232</v>
      </c>
    </row>
    <row r="21050" spans="119:119" x14ac:dyDescent="0.2">
      <c r="DO21050" s="303" t="s">
        <v>232</v>
      </c>
    </row>
    <row r="21051" spans="119:119" x14ac:dyDescent="0.2">
      <c r="DO21051" s="303" t="s">
        <v>232</v>
      </c>
    </row>
    <row r="21052" spans="119:119" x14ac:dyDescent="0.2">
      <c r="DO21052" s="303" t="s">
        <v>232</v>
      </c>
    </row>
    <row r="21053" spans="119:119" x14ac:dyDescent="0.2">
      <c r="DO21053" s="303" t="s">
        <v>232</v>
      </c>
    </row>
    <row r="21054" spans="119:119" x14ac:dyDescent="0.2">
      <c r="DO21054" s="303" t="s">
        <v>232</v>
      </c>
    </row>
    <row r="21055" spans="119:119" x14ac:dyDescent="0.2">
      <c r="DO21055" s="303" t="s">
        <v>232</v>
      </c>
    </row>
    <row r="21056" spans="119:119" x14ac:dyDescent="0.2">
      <c r="DO21056" s="303" t="s">
        <v>232</v>
      </c>
    </row>
    <row r="21057" spans="119:119" x14ac:dyDescent="0.2">
      <c r="DO21057" s="303" t="s">
        <v>232</v>
      </c>
    </row>
    <row r="21058" spans="119:119" x14ac:dyDescent="0.2">
      <c r="DO21058" s="303" t="s">
        <v>232</v>
      </c>
    </row>
    <row r="21059" spans="119:119" x14ac:dyDescent="0.2">
      <c r="DO21059" s="303" t="s">
        <v>232</v>
      </c>
    </row>
    <row r="21060" spans="119:119" x14ac:dyDescent="0.2">
      <c r="DO21060" s="303" t="s">
        <v>232</v>
      </c>
    </row>
    <row r="21061" spans="119:119" x14ac:dyDescent="0.2">
      <c r="DO21061" s="303" t="s">
        <v>232</v>
      </c>
    </row>
    <row r="21062" spans="119:119" x14ac:dyDescent="0.2">
      <c r="DO21062" s="303" t="s">
        <v>232</v>
      </c>
    </row>
    <row r="21063" spans="119:119" x14ac:dyDescent="0.2">
      <c r="DO21063" s="303" t="s">
        <v>232</v>
      </c>
    </row>
    <row r="21064" spans="119:119" x14ac:dyDescent="0.2">
      <c r="DO21064" s="303" t="s">
        <v>232</v>
      </c>
    </row>
    <row r="21065" spans="119:119" x14ac:dyDescent="0.2">
      <c r="DO21065" s="303" t="s">
        <v>232</v>
      </c>
    </row>
    <row r="21066" spans="119:119" x14ac:dyDescent="0.2">
      <c r="DO21066" s="303" t="s">
        <v>232</v>
      </c>
    </row>
    <row r="21067" spans="119:119" x14ac:dyDescent="0.2">
      <c r="DO21067" s="303" t="s">
        <v>232</v>
      </c>
    </row>
    <row r="21068" spans="119:119" x14ac:dyDescent="0.2">
      <c r="DO21068" s="303" t="s">
        <v>232</v>
      </c>
    </row>
    <row r="21069" spans="119:119" x14ac:dyDescent="0.2">
      <c r="DO21069" s="303" t="s">
        <v>232</v>
      </c>
    </row>
    <row r="21070" spans="119:119" x14ac:dyDescent="0.2">
      <c r="DO21070" s="303" t="s">
        <v>232</v>
      </c>
    </row>
    <row r="21071" spans="119:119" x14ac:dyDescent="0.2">
      <c r="DO21071" s="303" t="s">
        <v>232</v>
      </c>
    </row>
    <row r="21072" spans="119:119" x14ac:dyDescent="0.2">
      <c r="DO21072" s="303" t="s">
        <v>232</v>
      </c>
    </row>
    <row r="21073" spans="119:119" x14ac:dyDescent="0.2">
      <c r="DO21073" s="303" t="s">
        <v>232</v>
      </c>
    </row>
    <row r="21074" spans="119:119" x14ac:dyDescent="0.2">
      <c r="DO21074" s="303" t="s">
        <v>232</v>
      </c>
    </row>
    <row r="21075" spans="119:119" x14ac:dyDescent="0.2">
      <c r="DO21075" s="303" t="s">
        <v>232</v>
      </c>
    </row>
    <row r="21076" spans="119:119" x14ac:dyDescent="0.2">
      <c r="DO21076" s="303" t="s">
        <v>232</v>
      </c>
    </row>
    <row r="21077" spans="119:119" x14ac:dyDescent="0.2">
      <c r="DO21077" s="303" t="s">
        <v>232</v>
      </c>
    </row>
    <row r="21078" spans="119:119" x14ac:dyDescent="0.2">
      <c r="DO21078" s="303" t="s">
        <v>232</v>
      </c>
    </row>
    <row r="21079" spans="119:119" x14ac:dyDescent="0.2">
      <c r="DO21079" s="303" t="s">
        <v>232</v>
      </c>
    </row>
    <row r="21080" spans="119:119" x14ac:dyDescent="0.2">
      <c r="DO21080" s="303" t="s">
        <v>232</v>
      </c>
    </row>
    <row r="21081" spans="119:119" x14ac:dyDescent="0.2">
      <c r="DO21081" s="303" t="s">
        <v>232</v>
      </c>
    </row>
    <row r="21082" spans="119:119" x14ac:dyDescent="0.2">
      <c r="DO21082" s="303" t="s">
        <v>232</v>
      </c>
    </row>
    <row r="21083" spans="119:119" x14ac:dyDescent="0.2">
      <c r="DO21083" s="303" t="s">
        <v>232</v>
      </c>
    </row>
    <row r="21084" spans="119:119" x14ac:dyDescent="0.2">
      <c r="DO21084" s="303" t="s">
        <v>232</v>
      </c>
    </row>
    <row r="21085" spans="119:119" x14ac:dyDescent="0.2">
      <c r="DO21085" s="303" t="s">
        <v>232</v>
      </c>
    </row>
    <row r="21086" spans="119:119" x14ac:dyDescent="0.2">
      <c r="DO21086" s="303" t="s">
        <v>232</v>
      </c>
    </row>
    <row r="21087" spans="119:119" x14ac:dyDescent="0.2">
      <c r="DO21087" s="303" t="s">
        <v>232</v>
      </c>
    </row>
    <row r="21088" spans="119:119" x14ac:dyDescent="0.2">
      <c r="DO21088" s="303" t="s">
        <v>232</v>
      </c>
    </row>
    <row r="21089" spans="119:119" x14ac:dyDescent="0.2">
      <c r="DO21089" s="303" t="s">
        <v>232</v>
      </c>
    </row>
    <row r="21090" spans="119:119" x14ac:dyDescent="0.2">
      <c r="DO21090" s="303" t="s">
        <v>232</v>
      </c>
    </row>
    <row r="21091" spans="119:119" x14ac:dyDescent="0.2">
      <c r="DO21091" s="303" t="s">
        <v>232</v>
      </c>
    </row>
    <row r="21092" spans="119:119" x14ac:dyDescent="0.2">
      <c r="DO21092" s="303" t="s">
        <v>232</v>
      </c>
    </row>
    <row r="21093" spans="119:119" x14ac:dyDescent="0.2">
      <c r="DO21093" s="303" t="s">
        <v>232</v>
      </c>
    </row>
    <row r="21094" spans="119:119" x14ac:dyDescent="0.2">
      <c r="DO21094" s="303" t="s">
        <v>232</v>
      </c>
    </row>
    <row r="21095" spans="119:119" x14ac:dyDescent="0.2">
      <c r="DO21095" s="303" t="s">
        <v>232</v>
      </c>
    </row>
    <row r="21096" spans="119:119" x14ac:dyDescent="0.2">
      <c r="DO21096" s="303" t="s">
        <v>232</v>
      </c>
    </row>
    <row r="21097" spans="119:119" x14ac:dyDescent="0.2">
      <c r="DO21097" s="303" t="s">
        <v>232</v>
      </c>
    </row>
    <row r="21098" spans="119:119" x14ac:dyDescent="0.2">
      <c r="DO21098" s="303" t="s">
        <v>232</v>
      </c>
    </row>
    <row r="21099" spans="119:119" x14ac:dyDescent="0.2">
      <c r="DO21099" s="303" t="s">
        <v>232</v>
      </c>
    </row>
    <row r="21100" spans="119:119" x14ac:dyDescent="0.2">
      <c r="DO21100" s="303" t="s">
        <v>232</v>
      </c>
    </row>
    <row r="21101" spans="119:119" x14ac:dyDescent="0.2">
      <c r="DO21101" s="303" t="s">
        <v>232</v>
      </c>
    </row>
    <row r="21102" spans="119:119" x14ac:dyDescent="0.2">
      <c r="DO21102" s="303" t="s">
        <v>232</v>
      </c>
    </row>
    <row r="21103" spans="119:119" x14ac:dyDescent="0.2">
      <c r="DO21103" s="303" t="s">
        <v>232</v>
      </c>
    </row>
    <row r="21104" spans="119:119" x14ac:dyDescent="0.2">
      <c r="DO21104" s="303" t="s">
        <v>232</v>
      </c>
    </row>
    <row r="21105" spans="119:119" x14ac:dyDescent="0.2">
      <c r="DO21105" s="303" t="s">
        <v>232</v>
      </c>
    </row>
    <row r="21106" spans="119:119" x14ac:dyDescent="0.2">
      <c r="DO21106" s="303" t="s">
        <v>232</v>
      </c>
    </row>
    <row r="21107" spans="119:119" x14ac:dyDescent="0.2">
      <c r="DO21107" s="303" t="s">
        <v>232</v>
      </c>
    </row>
    <row r="21108" spans="119:119" x14ac:dyDescent="0.2">
      <c r="DO21108" s="303" t="s">
        <v>232</v>
      </c>
    </row>
    <row r="21109" spans="119:119" x14ac:dyDescent="0.2">
      <c r="DO21109" s="303" t="s">
        <v>232</v>
      </c>
    </row>
    <row r="21110" spans="119:119" x14ac:dyDescent="0.2">
      <c r="DO21110" s="303" t="s">
        <v>232</v>
      </c>
    </row>
    <row r="21111" spans="119:119" x14ac:dyDescent="0.2">
      <c r="DO21111" s="303" t="s">
        <v>232</v>
      </c>
    </row>
    <row r="21112" spans="119:119" x14ac:dyDescent="0.2">
      <c r="DO21112" s="303" t="s">
        <v>232</v>
      </c>
    </row>
    <row r="21113" spans="119:119" x14ac:dyDescent="0.2">
      <c r="DO21113" s="303" t="s">
        <v>232</v>
      </c>
    </row>
    <row r="21114" spans="119:119" x14ac:dyDescent="0.2">
      <c r="DO21114" s="303" t="s">
        <v>232</v>
      </c>
    </row>
    <row r="21115" spans="119:119" x14ac:dyDescent="0.2">
      <c r="DO21115" s="303" t="s">
        <v>232</v>
      </c>
    </row>
    <row r="21116" spans="119:119" x14ac:dyDescent="0.2">
      <c r="DO21116" s="303" t="s">
        <v>232</v>
      </c>
    </row>
    <row r="21117" spans="119:119" x14ac:dyDescent="0.2">
      <c r="DO21117" s="303" t="s">
        <v>232</v>
      </c>
    </row>
    <row r="21118" spans="119:119" x14ac:dyDescent="0.2">
      <c r="DO21118" s="303" t="s">
        <v>232</v>
      </c>
    </row>
    <row r="21119" spans="119:119" x14ac:dyDescent="0.2">
      <c r="DO21119" s="303" t="s">
        <v>232</v>
      </c>
    </row>
    <row r="21120" spans="119:119" x14ac:dyDescent="0.2">
      <c r="DO21120" s="303" t="s">
        <v>232</v>
      </c>
    </row>
    <row r="21121" spans="119:119" x14ac:dyDescent="0.2">
      <c r="DO21121" s="303" t="s">
        <v>232</v>
      </c>
    </row>
    <row r="21122" spans="119:119" x14ac:dyDescent="0.2">
      <c r="DO21122" s="303" t="s">
        <v>232</v>
      </c>
    </row>
    <row r="21123" spans="119:119" x14ac:dyDescent="0.2">
      <c r="DO21123" s="303" t="s">
        <v>232</v>
      </c>
    </row>
    <row r="21124" spans="119:119" x14ac:dyDescent="0.2">
      <c r="DO21124" s="303" t="s">
        <v>232</v>
      </c>
    </row>
    <row r="21125" spans="119:119" x14ac:dyDescent="0.2">
      <c r="DO21125" s="303" t="s">
        <v>232</v>
      </c>
    </row>
    <row r="21126" spans="119:119" x14ac:dyDescent="0.2">
      <c r="DO21126" s="303" t="s">
        <v>232</v>
      </c>
    </row>
    <row r="21127" spans="119:119" x14ac:dyDescent="0.2">
      <c r="DO21127" s="303" t="s">
        <v>232</v>
      </c>
    </row>
    <row r="21128" spans="119:119" x14ac:dyDescent="0.2">
      <c r="DO21128" s="303" t="s">
        <v>232</v>
      </c>
    </row>
    <row r="21129" spans="119:119" x14ac:dyDescent="0.2">
      <c r="DO21129" s="303" t="s">
        <v>232</v>
      </c>
    </row>
    <row r="21130" spans="119:119" x14ac:dyDescent="0.2">
      <c r="DO21130" s="303" t="s">
        <v>232</v>
      </c>
    </row>
    <row r="21131" spans="119:119" x14ac:dyDescent="0.2">
      <c r="DO21131" s="303" t="s">
        <v>232</v>
      </c>
    </row>
    <row r="21132" spans="119:119" x14ac:dyDescent="0.2">
      <c r="DO21132" s="303" t="s">
        <v>232</v>
      </c>
    </row>
    <row r="21133" spans="119:119" x14ac:dyDescent="0.2">
      <c r="DO21133" s="303" t="s">
        <v>232</v>
      </c>
    </row>
    <row r="21134" spans="119:119" x14ac:dyDescent="0.2">
      <c r="DO21134" s="303" t="s">
        <v>232</v>
      </c>
    </row>
    <row r="21135" spans="119:119" x14ac:dyDescent="0.2">
      <c r="DO21135" s="303" t="s">
        <v>232</v>
      </c>
    </row>
    <row r="21136" spans="119:119" x14ac:dyDescent="0.2">
      <c r="DO21136" s="303" t="s">
        <v>232</v>
      </c>
    </row>
    <row r="21137" spans="119:119" x14ac:dyDescent="0.2">
      <c r="DO21137" s="303" t="s">
        <v>232</v>
      </c>
    </row>
    <row r="21138" spans="119:119" x14ac:dyDescent="0.2">
      <c r="DO21138" s="303" t="s">
        <v>232</v>
      </c>
    </row>
    <row r="21139" spans="119:119" x14ac:dyDescent="0.2">
      <c r="DO21139" s="303" t="s">
        <v>232</v>
      </c>
    </row>
    <row r="21140" spans="119:119" x14ac:dyDescent="0.2">
      <c r="DO21140" s="303" t="s">
        <v>232</v>
      </c>
    </row>
    <row r="21141" spans="119:119" x14ac:dyDescent="0.2">
      <c r="DO21141" s="303" t="s">
        <v>232</v>
      </c>
    </row>
    <row r="21142" spans="119:119" x14ac:dyDescent="0.2">
      <c r="DO21142" s="303" t="s">
        <v>232</v>
      </c>
    </row>
    <row r="21143" spans="119:119" x14ac:dyDescent="0.2">
      <c r="DO21143" s="303" t="s">
        <v>232</v>
      </c>
    </row>
    <row r="21144" spans="119:119" x14ac:dyDescent="0.2">
      <c r="DO21144" s="303" t="s">
        <v>232</v>
      </c>
    </row>
    <row r="21145" spans="119:119" x14ac:dyDescent="0.2">
      <c r="DO21145" s="303" t="s">
        <v>232</v>
      </c>
    </row>
    <row r="21146" spans="119:119" x14ac:dyDescent="0.2">
      <c r="DO21146" s="303" t="s">
        <v>232</v>
      </c>
    </row>
    <row r="21147" spans="119:119" x14ac:dyDescent="0.2">
      <c r="DO21147" s="303" t="s">
        <v>232</v>
      </c>
    </row>
    <row r="21148" spans="119:119" x14ac:dyDescent="0.2">
      <c r="DO21148" s="303" t="s">
        <v>232</v>
      </c>
    </row>
    <row r="21149" spans="119:119" x14ac:dyDescent="0.2">
      <c r="DO21149" s="303" t="s">
        <v>232</v>
      </c>
    </row>
    <row r="21150" spans="119:119" x14ac:dyDescent="0.2">
      <c r="DO21150" s="303" t="s">
        <v>232</v>
      </c>
    </row>
    <row r="21151" spans="119:119" x14ac:dyDescent="0.2">
      <c r="DO21151" s="303" t="s">
        <v>232</v>
      </c>
    </row>
    <row r="21152" spans="119:119" x14ac:dyDescent="0.2">
      <c r="DO21152" s="303" t="s">
        <v>232</v>
      </c>
    </row>
    <row r="21153" spans="119:119" x14ac:dyDescent="0.2">
      <c r="DO21153" s="303" t="s">
        <v>232</v>
      </c>
    </row>
    <row r="21154" spans="119:119" x14ac:dyDescent="0.2">
      <c r="DO21154" s="303" t="s">
        <v>232</v>
      </c>
    </row>
    <row r="21155" spans="119:119" x14ac:dyDescent="0.2">
      <c r="DO21155" s="303" t="s">
        <v>232</v>
      </c>
    </row>
    <row r="21156" spans="119:119" x14ac:dyDescent="0.2">
      <c r="DO21156" s="303" t="s">
        <v>232</v>
      </c>
    </row>
    <row r="21157" spans="119:119" x14ac:dyDescent="0.2">
      <c r="DO21157" s="303" t="s">
        <v>232</v>
      </c>
    </row>
    <row r="21158" spans="119:119" x14ac:dyDescent="0.2">
      <c r="DO21158" s="303" t="s">
        <v>232</v>
      </c>
    </row>
    <row r="21159" spans="119:119" x14ac:dyDescent="0.2">
      <c r="DO21159" s="303" t="s">
        <v>232</v>
      </c>
    </row>
    <row r="21160" spans="119:119" x14ac:dyDescent="0.2">
      <c r="DO21160" s="303" t="s">
        <v>232</v>
      </c>
    </row>
    <row r="21161" spans="119:119" x14ac:dyDescent="0.2">
      <c r="DO21161" s="303" t="s">
        <v>232</v>
      </c>
    </row>
    <row r="21162" spans="119:119" x14ac:dyDescent="0.2">
      <c r="DO21162" s="303" t="s">
        <v>232</v>
      </c>
    </row>
    <row r="21163" spans="119:119" x14ac:dyDescent="0.2">
      <c r="DO21163" s="303" t="s">
        <v>232</v>
      </c>
    </row>
    <row r="21164" spans="119:119" x14ac:dyDescent="0.2">
      <c r="DO21164" s="303" t="s">
        <v>232</v>
      </c>
    </row>
    <row r="21165" spans="119:119" x14ac:dyDescent="0.2">
      <c r="DO21165" s="303" t="s">
        <v>232</v>
      </c>
    </row>
    <row r="21166" spans="119:119" x14ac:dyDescent="0.2">
      <c r="DO21166" s="303" t="s">
        <v>232</v>
      </c>
    </row>
    <row r="21167" spans="119:119" x14ac:dyDescent="0.2">
      <c r="DO21167" s="303" t="s">
        <v>232</v>
      </c>
    </row>
    <row r="21168" spans="119:119" x14ac:dyDescent="0.2">
      <c r="DO21168" s="303" t="s">
        <v>232</v>
      </c>
    </row>
    <row r="21169" spans="119:119" x14ac:dyDescent="0.2">
      <c r="DO21169" s="303" t="s">
        <v>232</v>
      </c>
    </row>
    <row r="21170" spans="119:119" x14ac:dyDescent="0.2">
      <c r="DO21170" s="303" t="s">
        <v>232</v>
      </c>
    </row>
    <row r="21171" spans="119:119" x14ac:dyDescent="0.2">
      <c r="DO21171" s="303" t="s">
        <v>232</v>
      </c>
    </row>
    <row r="21172" spans="119:119" x14ac:dyDescent="0.2">
      <c r="DO21172" s="303" t="s">
        <v>232</v>
      </c>
    </row>
    <row r="21173" spans="119:119" x14ac:dyDescent="0.2">
      <c r="DO21173" s="303" t="s">
        <v>232</v>
      </c>
    </row>
    <row r="21174" spans="119:119" x14ac:dyDescent="0.2">
      <c r="DO21174" s="303" t="s">
        <v>232</v>
      </c>
    </row>
    <row r="21175" spans="119:119" x14ac:dyDescent="0.2">
      <c r="DO21175" s="303" t="s">
        <v>232</v>
      </c>
    </row>
    <row r="21176" spans="119:119" x14ac:dyDescent="0.2">
      <c r="DO21176" s="303" t="s">
        <v>232</v>
      </c>
    </row>
    <row r="21177" spans="119:119" x14ac:dyDescent="0.2">
      <c r="DO21177" s="303" t="s">
        <v>232</v>
      </c>
    </row>
    <row r="21178" spans="119:119" x14ac:dyDescent="0.2">
      <c r="DO21178" s="303" t="s">
        <v>232</v>
      </c>
    </row>
    <row r="21179" spans="119:119" x14ac:dyDescent="0.2">
      <c r="DO21179" s="303" t="s">
        <v>232</v>
      </c>
    </row>
    <row r="21180" spans="119:119" x14ac:dyDescent="0.2">
      <c r="DO21180" s="303" t="s">
        <v>232</v>
      </c>
    </row>
    <row r="21181" spans="119:119" x14ac:dyDescent="0.2">
      <c r="DO21181" s="303" t="s">
        <v>232</v>
      </c>
    </row>
    <row r="21182" spans="119:119" x14ac:dyDescent="0.2">
      <c r="DO21182" s="303" t="s">
        <v>232</v>
      </c>
    </row>
    <row r="21183" spans="119:119" x14ac:dyDescent="0.2">
      <c r="DO21183" s="303" t="s">
        <v>232</v>
      </c>
    </row>
    <row r="21184" spans="119:119" x14ac:dyDescent="0.2">
      <c r="DO21184" s="303" t="s">
        <v>232</v>
      </c>
    </row>
    <row r="21185" spans="119:119" x14ac:dyDescent="0.2">
      <c r="DO21185" s="303" t="s">
        <v>232</v>
      </c>
    </row>
    <row r="21186" spans="119:119" x14ac:dyDescent="0.2">
      <c r="DO21186" s="303" t="s">
        <v>232</v>
      </c>
    </row>
    <row r="21187" spans="119:119" x14ac:dyDescent="0.2">
      <c r="DO21187" s="303" t="s">
        <v>232</v>
      </c>
    </row>
    <row r="21188" spans="119:119" x14ac:dyDescent="0.2">
      <c r="DO21188" s="303" t="s">
        <v>232</v>
      </c>
    </row>
    <row r="21189" spans="119:119" x14ac:dyDescent="0.2">
      <c r="DO21189" s="303" t="s">
        <v>232</v>
      </c>
    </row>
    <row r="21190" spans="119:119" x14ac:dyDescent="0.2">
      <c r="DO21190" s="303" t="s">
        <v>232</v>
      </c>
    </row>
    <row r="21191" spans="119:119" x14ac:dyDescent="0.2">
      <c r="DO21191" s="303" t="s">
        <v>232</v>
      </c>
    </row>
    <row r="21192" spans="119:119" x14ac:dyDescent="0.2">
      <c r="DO21192" s="303" t="s">
        <v>232</v>
      </c>
    </row>
    <row r="21193" spans="119:119" x14ac:dyDescent="0.2">
      <c r="DO21193" s="303" t="s">
        <v>232</v>
      </c>
    </row>
    <row r="21194" spans="119:119" x14ac:dyDescent="0.2">
      <c r="DO21194" s="303" t="s">
        <v>232</v>
      </c>
    </row>
    <row r="21195" spans="119:119" x14ac:dyDescent="0.2">
      <c r="DO21195" s="303" t="s">
        <v>232</v>
      </c>
    </row>
    <row r="21196" spans="119:119" x14ac:dyDescent="0.2">
      <c r="DO21196" s="303" t="s">
        <v>232</v>
      </c>
    </row>
    <row r="21197" spans="119:119" x14ac:dyDescent="0.2">
      <c r="DO21197" s="303" t="s">
        <v>232</v>
      </c>
    </row>
    <row r="21198" spans="119:119" x14ac:dyDescent="0.2">
      <c r="DO21198" s="303" t="s">
        <v>232</v>
      </c>
    </row>
    <row r="21199" spans="119:119" x14ac:dyDescent="0.2">
      <c r="DO21199" s="303" t="s">
        <v>232</v>
      </c>
    </row>
    <row r="21200" spans="119:119" x14ac:dyDescent="0.2">
      <c r="DO21200" s="303" t="s">
        <v>232</v>
      </c>
    </row>
    <row r="21201" spans="119:119" x14ac:dyDescent="0.2">
      <c r="DO21201" s="303" t="s">
        <v>232</v>
      </c>
    </row>
    <row r="21202" spans="119:119" x14ac:dyDescent="0.2">
      <c r="DO21202" s="303" t="s">
        <v>232</v>
      </c>
    </row>
    <row r="21203" spans="119:119" x14ac:dyDescent="0.2">
      <c r="DO21203" s="303" t="s">
        <v>232</v>
      </c>
    </row>
    <row r="21204" spans="119:119" x14ac:dyDescent="0.2">
      <c r="DO21204" s="303" t="s">
        <v>232</v>
      </c>
    </row>
    <row r="21205" spans="119:119" x14ac:dyDescent="0.2">
      <c r="DO21205" s="303" t="s">
        <v>232</v>
      </c>
    </row>
    <row r="21206" spans="119:119" x14ac:dyDescent="0.2">
      <c r="DO21206" s="303" t="s">
        <v>232</v>
      </c>
    </row>
    <row r="21207" spans="119:119" x14ac:dyDescent="0.2">
      <c r="DO21207" s="303" t="s">
        <v>232</v>
      </c>
    </row>
    <row r="21208" spans="119:119" x14ac:dyDescent="0.2">
      <c r="DO21208" s="303" t="s">
        <v>232</v>
      </c>
    </row>
    <row r="21209" spans="119:119" x14ac:dyDescent="0.2">
      <c r="DO21209" s="303" t="s">
        <v>232</v>
      </c>
    </row>
    <row r="21210" spans="119:119" x14ac:dyDescent="0.2">
      <c r="DO21210" s="303" t="s">
        <v>232</v>
      </c>
    </row>
    <row r="21211" spans="119:119" x14ac:dyDescent="0.2">
      <c r="DO21211" s="303" t="s">
        <v>232</v>
      </c>
    </row>
    <row r="21212" spans="119:119" x14ac:dyDescent="0.2">
      <c r="DO21212" s="303" t="s">
        <v>232</v>
      </c>
    </row>
    <row r="21213" spans="119:119" x14ac:dyDescent="0.2">
      <c r="DO21213" s="303" t="s">
        <v>232</v>
      </c>
    </row>
    <row r="21214" spans="119:119" x14ac:dyDescent="0.2">
      <c r="DO21214" s="303" t="s">
        <v>232</v>
      </c>
    </row>
    <row r="21215" spans="119:119" x14ac:dyDescent="0.2">
      <c r="DO21215" s="303" t="s">
        <v>232</v>
      </c>
    </row>
    <row r="21216" spans="119:119" x14ac:dyDescent="0.2">
      <c r="DO21216" s="303" t="s">
        <v>232</v>
      </c>
    </row>
    <row r="21217" spans="119:119" x14ac:dyDescent="0.2">
      <c r="DO21217" s="303" t="s">
        <v>232</v>
      </c>
    </row>
    <row r="21218" spans="119:119" x14ac:dyDescent="0.2">
      <c r="DO21218" s="303" t="s">
        <v>232</v>
      </c>
    </row>
    <row r="21219" spans="119:119" x14ac:dyDescent="0.2">
      <c r="DO21219" s="303" t="s">
        <v>232</v>
      </c>
    </row>
    <row r="21220" spans="119:119" x14ac:dyDescent="0.2">
      <c r="DO21220" s="303" t="s">
        <v>232</v>
      </c>
    </row>
    <row r="21221" spans="119:119" x14ac:dyDescent="0.2">
      <c r="DO21221" s="303" t="s">
        <v>232</v>
      </c>
    </row>
    <row r="21222" spans="119:119" x14ac:dyDescent="0.2">
      <c r="DO21222" s="303" t="s">
        <v>232</v>
      </c>
    </row>
    <row r="21223" spans="119:119" x14ac:dyDescent="0.2">
      <c r="DO21223" s="303" t="s">
        <v>232</v>
      </c>
    </row>
    <row r="21224" spans="119:119" x14ac:dyDescent="0.2">
      <c r="DO21224" s="303" t="s">
        <v>232</v>
      </c>
    </row>
    <row r="21225" spans="119:119" x14ac:dyDescent="0.2">
      <c r="DO21225" s="303" t="s">
        <v>232</v>
      </c>
    </row>
    <row r="21226" spans="119:119" x14ac:dyDescent="0.2">
      <c r="DO21226" s="303" t="s">
        <v>232</v>
      </c>
    </row>
    <row r="21227" spans="119:119" x14ac:dyDescent="0.2">
      <c r="DO21227" s="303" t="s">
        <v>232</v>
      </c>
    </row>
    <row r="21228" spans="119:119" x14ac:dyDescent="0.2">
      <c r="DO21228" s="303" t="s">
        <v>232</v>
      </c>
    </row>
    <row r="21229" spans="119:119" x14ac:dyDescent="0.2">
      <c r="DO21229" s="303" t="s">
        <v>232</v>
      </c>
    </row>
    <row r="21230" spans="119:119" x14ac:dyDescent="0.2">
      <c r="DO21230" s="303" t="s">
        <v>232</v>
      </c>
    </row>
    <row r="21231" spans="119:119" x14ac:dyDescent="0.2">
      <c r="DO21231" s="303" t="s">
        <v>232</v>
      </c>
    </row>
    <row r="21232" spans="119:119" x14ac:dyDescent="0.2">
      <c r="DO21232" s="303" t="s">
        <v>232</v>
      </c>
    </row>
    <row r="21233" spans="119:119" x14ac:dyDescent="0.2">
      <c r="DO21233" s="303" t="s">
        <v>232</v>
      </c>
    </row>
    <row r="21234" spans="119:119" x14ac:dyDescent="0.2">
      <c r="DO21234" s="303" t="s">
        <v>232</v>
      </c>
    </row>
    <row r="21235" spans="119:119" x14ac:dyDescent="0.2">
      <c r="DO21235" s="303" t="s">
        <v>232</v>
      </c>
    </row>
    <row r="21236" spans="119:119" x14ac:dyDescent="0.2">
      <c r="DO21236" s="303" t="s">
        <v>232</v>
      </c>
    </row>
    <row r="21237" spans="119:119" x14ac:dyDescent="0.2">
      <c r="DO21237" s="303" t="s">
        <v>232</v>
      </c>
    </row>
    <row r="21238" spans="119:119" x14ac:dyDescent="0.2">
      <c r="DO21238" s="303" t="s">
        <v>232</v>
      </c>
    </row>
    <row r="21239" spans="119:119" x14ac:dyDescent="0.2">
      <c r="DO21239" s="303" t="s">
        <v>232</v>
      </c>
    </row>
    <row r="21240" spans="119:119" x14ac:dyDescent="0.2">
      <c r="DO21240" s="303" t="s">
        <v>232</v>
      </c>
    </row>
    <row r="21241" spans="119:119" x14ac:dyDescent="0.2">
      <c r="DO21241" s="303" t="s">
        <v>232</v>
      </c>
    </row>
    <row r="21242" spans="119:119" x14ac:dyDescent="0.2">
      <c r="DO21242" s="303" t="s">
        <v>232</v>
      </c>
    </row>
    <row r="21243" spans="119:119" x14ac:dyDescent="0.2">
      <c r="DO21243" s="303" t="s">
        <v>232</v>
      </c>
    </row>
    <row r="21244" spans="119:119" x14ac:dyDescent="0.2">
      <c r="DO21244" s="303" t="s">
        <v>232</v>
      </c>
    </row>
    <row r="21245" spans="119:119" x14ac:dyDescent="0.2">
      <c r="DO21245" s="303" t="s">
        <v>232</v>
      </c>
    </row>
    <row r="21246" spans="119:119" x14ac:dyDescent="0.2">
      <c r="DO21246" s="303" t="s">
        <v>232</v>
      </c>
    </row>
    <row r="21247" spans="119:119" x14ac:dyDescent="0.2">
      <c r="DO21247" s="303" t="s">
        <v>232</v>
      </c>
    </row>
    <row r="21248" spans="119:119" x14ac:dyDescent="0.2">
      <c r="DO21248" s="303" t="s">
        <v>232</v>
      </c>
    </row>
    <row r="21249" spans="119:119" x14ac:dyDescent="0.2">
      <c r="DO21249" s="303" t="s">
        <v>232</v>
      </c>
    </row>
    <row r="21250" spans="119:119" x14ac:dyDescent="0.2">
      <c r="DO21250" s="303" t="s">
        <v>232</v>
      </c>
    </row>
    <row r="21251" spans="119:119" x14ac:dyDescent="0.2">
      <c r="DO21251" s="303" t="s">
        <v>232</v>
      </c>
    </row>
    <row r="21252" spans="119:119" x14ac:dyDescent="0.2">
      <c r="DO21252" s="303" t="s">
        <v>232</v>
      </c>
    </row>
    <row r="21253" spans="119:119" x14ac:dyDescent="0.2">
      <c r="DO21253" s="303" t="s">
        <v>232</v>
      </c>
    </row>
    <row r="21254" spans="119:119" x14ac:dyDescent="0.2">
      <c r="DO21254" s="303" t="s">
        <v>232</v>
      </c>
    </row>
    <row r="21255" spans="119:119" x14ac:dyDescent="0.2">
      <c r="DO21255" s="303" t="s">
        <v>232</v>
      </c>
    </row>
    <row r="21256" spans="119:119" x14ac:dyDescent="0.2">
      <c r="DO21256" s="303" t="s">
        <v>232</v>
      </c>
    </row>
    <row r="21257" spans="119:119" x14ac:dyDescent="0.2">
      <c r="DO21257" s="303" t="s">
        <v>232</v>
      </c>
    </row>
    <row r="21258" spans="119:119" x14ac:dyDescent="0.2">
      <c r="DO21258" s="303" t="s">
        <v>232</v>
      </c>
    </row>
    <row r="21259" spans="119:119" x14ac:dyDescent="0.2">
      <c r="DO21259" s="303" t="s">
        <v>232</v>
      </c>
    </row>
    <row r="21260" spans="119:119" x14ac:dyDescent="0.2">
      <c r="DO21260" s="303" t="s">
        <v>232</v>
      </c>
    </row>
    <row r="21261" spans="119:119" x14ac:dyDescent="0.2">
      <c r="DO21261" s="303" t="s">
        <v>232</v>
      </c>
    </row>
    <row r="21262" spans="119:119" x14ac:dyDescent="0.2">
      <c r="DO21262" s="303" t="s">
        <v>232</v>
      </c>
    </row>
    <row r="21263" spans="119:119" x14ac:dyDescent="0.2">
      <c r="DO21263" s="303" t="s">
        <v>232</v>
      </c>
    </row>
    <row r="21264" spans="119:119" x14ac:dyDescent="0.2">
      <c r="DO21264" s="303" t="s">
        <v>232</v>
      </c>
    </row>
    <row r="21265" spans="119:119" x14ac:dyDescent="0.2">
      <c r="DO21265" s="303" t="s">
        <v>232</v>
      </c>
    </row>
    <row r="21266" spans="119:119" x14ac:dyDescent="0.2">
      <c r="DO21266" s="303" t="s">
        <v>232</v>
      </c>
    </row>
    <row r="21267" spans="119:119" x14ac:dyDescent="0.2">
      <c r="DO21267" s="303" t="s">
        <v>232</v>
      </c>
    </row>
    <row r="21268" spans="119:119" x14ac:dyDescent="0.2">
      <c r="DO21268" s="303" t="s">
        <v>232</v>
      </c>
    </row>
    <row r="21269" spans="119:119" x14ac:dyDescent="0.2">
      <c r="DO21269" s="303" t="s">
        <v>232</v>
      </c>
    </row>
    <row r="21270" spans="119:119" x14ac:dyDescent="0.2">
      <c r="DO21270" s="303" t="s">
        <v>232</v>
      </c>
    </row>
    <row r="21271" spans="119:119" x14ac:dyDescent="0.2">
      <c r="DO21271" s="303" t="s">
        <v>232</v>
      </c>
    </row>
    <row r="21272" spans="119:119" x14ac:dyDescent="0.2">
      <c r="DO21272" s="303" t="s">
        <v>232</v>
      </c>
    </row>
    <row r="21273" spans="119:119" x14ac:dyDescent="0.2">
      <c r="DO21273" s="303" t="s">
        <v>232</v>
      </c>
    </row>
    <row r="21274" spans="119:119" x14ac:dyDescent="0.2">
      <c r="DO21274" s="303" t="s">
        <v>232</v>
      </c>
    </row>
    <row r="21275" spans="119:119" x14ac:dyDescent="0.2">
      <c r="DO21275" s="303" t="s">
        <v>232</v>
      </c>
    </row>
    <row r="21276" spans="119:119" x14ac:dyDescent="0.2">
      <c r="DO21276" s="303" t="s">
        <v>232</v>
      </c>
    </row>
    <row r="21277" spans="119:119" x14ac:dyDescent="0.2">
      <c r="DO21277" s="303" t="s">
        <v>232</v>
      </c>
    </row>
    <row r="21278" spans="119:119" x14ac:dyDescent="0.2">
      <c r="DO21278" s="303" t="s">
        <v>232</v>
      </c>
    </row>
    <row r="21279" spans="119:119" x14ac:dyDescent="0.2">
      <c r="DO21279" s="303" t="s">
        <v>232</v>
      </c>
    </row>
    <row r="21280" spans="119:119" x14ac:dyDescent="0.2">
      <c r="DO21280" s="303" t="s">
        <v>232</v>
      </c>
    </row>
    <row r="21281" spans="119:119" x14ac:dyDescent="0.2">
      <c r="DO21281" s="303" t="s">
        <v>232</v>
      </c>
    </row>
    <row r="21282" spans="119:119" x14ac:dyDescent="0.2">
      <c r="DO21282" s="303" t="s">
        <v>232</v>
      </c>
    </row>
    <row r="21283" spans="119:119" x14ac:dyDescent="0.2">
      <c r="DO21283" s="303" t="s">
        <v>232</v>
      </c>
    </row>
    <row r="21284" spans="119:119" x14ac:dyDescent="0.2">
      <c r="DO21284" s="303" t="s">
        <v>232</v>
      </c>
    </row>
    <row r="21285" spans="119:119" x14ac:dyDescent="0.2">
      <c r="DO21285" s="303" t="s">
        <v>232</v>
      </c>
    </row>
    <row r="21286" spans="119:119" x14ac:dyDescent="0.2">
      <c r="DO21286" s="303" t="s">
        <v>232</v>
      </c>
    </row>
    <row r="21287" spans="119:119" x14ac:dyDescent="0.2">
      <c r="DO21287" s="303" t="s">
        <v>232</v>
      </c>
    </row>
    <row r="21288" spans="119:119" x14ac:dyDescent="0.2">
      <c r="DO21288" s="303" t="s">
        <v>232</v>
      </c>
    </row>
    <row r="21289" spans="119:119" x14ac:dyDescent="0.2">
      <c r="DO21289" s="303" t="s">
        <v>232</v>
      </c>
    </row>
    <row r="21290" spans="119:119" x14ac:dyDescent="0.2">
      <c r="DO21290" s="303" t="s">
        <v>232</v>
      </c>
    </row>
    <row r="21291" spans="119:119" x14ac:dyDescent="0.2">
      <c r="DO21291" s="303" t="s">
        <v>232</v>
      </c>
    </row>
    <row r="21292" spans="119:119" x14ac:dyDescent="0.2">
      <c r="DO21292" s="303" t="s">
        <v>232</v>
      </c>
    </row>
    <row r="21293" spans="119:119" x14ac:dyDescent="0.2">
      <c r="DO21293" s="303" t="s">
        <v>232</v>
      </c>
    </row>
    <row r="21294" spans="119:119" x14ac:dyDescent="0.2">
      <c r="DO21294" s="303" t="s">
        <v>232</v>
      </c>
    </row>
    <row r="21295" spans="119:119" x14ac:dyDescent="0.2">
      <c r="DO21295" s="303" t="s">
        <v>232</v>
      </c>
    </row>
    <row r="21296" spans="119:119" x14ac:dyDescent="0.2">
      <c r="DO21296" s="303" t="s">
        <v>232</v>
      </c>
    </row>
    <row r="21297" spans="119:119" x14ac:dyDescent="0.2">
      <c r="DO21297" s="303" t="s">
        <v>232</v>
      </c>
    </row>
    <row r="21298" spans="119:119" x14ac:dyDescent="0.2">
      <c r="DO21298" s="303" t="s">
        <v>232</v>
      </c>
    </row>
    <row r="21299" spans="119:119" x14ac:dyDescent="0.2">
      <c r="DO21299" s="303" t="s">
        <v>232</v>
      </c>
    </row>
    <row r="21300" spans="119:119" x14ac:dyDescent="0.2">
      <c r="DO21300" s="303" t="s">
        <v>232</v>
      </c>
    </row>
    <row r="21301" spans="119:119" x14ac:dyDescent="0.2">
      <c r="DO21301" s="303" t="s">
        <v>232</v>
      </c>
    </row>
    <row r="21302" spans="119:119" x14ac:dyDescent="0.2">
      <c r="DO21302" s="303" t="s">
        <v>232</v>
      </c>
    </row>
    <row r="21303" spans="119:119" x14ac:dyDescent="0.2">
      <c r="DO21303" s="303" t="s">
        <v>232</v>
      </c>
    </row>
    <row r="21304" spans="119:119" x14ac:dyDescent="0.2">
      <c r="DO21304" s="303" t="s">
        <v>232</v>
      </c>
    </row>
    <row r="21305" spans="119:119" x14ac:dyDescent="0.2">
      <c r="DO21305" s="303" t="s">
        <v>232</v>
      </c>
    </row>
    <row r="21306" spans="119:119" x14ac:dyDescent="0.2">
      <c r="DO21306" s="303" t="s">
        <v>232</v>
      </c>
    </row>
    <row r="21307" spans="119:119" x14ac:dyDescent="0.2">
      <c r="DO21307" s="303" t="s">
        <v>232</v>
      </c>
    </row>
    <row r="21308" spans="119:119" x14ac:dyDescent="0.2">
      <c r="DO21308" s="303" t="s">
        <v>232</v>
      </c>
    </row>
    <row r="21309" spans="119:119" x14ac:dyDescent="0.2">
      <c r="DO21309" s="303" t="s">
        <v>232</v>
      </c>
    </row>
    <row r="21310" spans="119:119" x14ac:dyDescent="0.2">
      <c r="DO21310" s="303" t="s">
        <v>232</v>
      </c>
    </row>
    <row r="21311" spans="119:119" x14ac:dyDescent="0.2">
      <c r="DO21311" s="303" t="s">
        <v>232</v>
      </c>
    </row>
    <row r="21312" spans="119:119" x14ac:dyDescent="0.2">
      <c r="DO21312" s="303" t="s">
        <v>232</v>
      </c>
    </row>
    <row r="21313" spans="119:119" x14ac:dyDescent="0.2">
      <c r="DO21313" s="303" t="s">
        <v>232</v>
      </c>
    </row>
    <row r="21314" spans="119:119" x14ac:dyDescent="0.2">
      <c r="DO21314" s="303" t="s">
        <v>232</v>
      </c>
    </row>
    <row r="21315" spans="119:119" x14ac:dyDescent="0.2">
      <c r="DO21315" s="303" t="s">
        <v>232</v>
      </c>
    </row>
    <row r="21316" spans="119:119" x14ac:dyDescent="0.2">
      <c r="DO21316" s="303" t="s">
        <v>232</v>
      </c>
    </row>
    <row r="21317" spans="119:119" x14ac:dyDescent="0.2">
      <c r="DO21317" s="303" t="s">
        <v>232</v>
      </c>
    </row>
    <row r="21318" spans="119:119" x14ac:dyDescent="0.2">
      <c r="DO21318" s="303" t="s">
        <v>232</v>
      </c>
    </row>
    <row r="21319" spans="119:119" x14ac:dyDescent="0.2">
      <c r="DO21319" s="303" t="s">
        <v>232</v>
      </c>
    </row>
    <row r="21320" spans="119:119" x14ac:dyDescent="0.2">
      <c r="DO21320" s="303" t="s">
        <v>232</v>
      </c>
    </row>
    <row r="21321" spans="119:119" x14ac:dyDescent="0.2">
      <c r="DO21321" s="303" t="s">
        <v>232</v>
      </c>
    </row>
    <row r="21322" spans="119:119" x14ac:dyDescent="0.2">
      <c r="DO21322" s="303" t="s">
        <v>232</v>
      </c>
    </row>
    <row r="21323" spans="119:119" x14ac:dyDescent="0.2">
      <c r="DO21323" s="303" t="s">
        <v>232</v>
      </c>
    </row>
    <row r="21324" spans="119:119" x14ac:dyDescent="0.2">
      <c r="DO21324" s="303" t="s">
        <v>232</v>
      </c>
    </row>
    <row r="21325" spans="119:119" x14ac:dyDescent="0.2">
      <c r="DO21325" s="303" t="s">
        <v>232</v>
      </c>
    </row>
    <row r="21326" spans="119:119" x14ac:dyDescent="0.2">
      <c r="DO21326" s="303" t="s">
        <v>232</v>
      </c>
    </row>
    <row r="21327" spans="119:119" x14ac:dyDescent="0.2">
      <c r="DO21327" s="303" t="s">
        <v>232</v>
      </c>
    </row>
    <row r="21328" spans="119:119" x14ac:dyDescent="0.2">
      <c r="DO21328" s="303" t="s">
        <v>232</v>
      </c>
    </row>
    <row r="21329" spans="119:119" x14ac:dyDescent="0.2">
      <c r="DO21329" s="303" t="s">
        <v>232</v>
      </c>
    </row>
    <row r="21330" spans="119:119" x14ac:dyDescent="0.2">
      <c r="DO21330" s="303" t="s">
        <v>232</v>
      </c>
    </row>
    <row r="21331" spans="119:119" x14ac:dyDescent="0.2">
      <c r="DO21331" s="303" t="s">
        <v>232</v>
      </c>
    </row>
    <row r="21332" spans="119:119" x14ac:dyDescent="0.2">
      <c r="DO21332" s="303" t="s">
        <v>232</v>
      </c>
    </row>
    <row r="21333" spans="119:119" x14ac:dyDescent="0.2">
      <c r="DO21333" s="303" t="s">
        <v>232</v>
      </c>
    </row>
    <row r="21334" spans="119:119" x14ac:dyDescent="0.2">
      <c r="DO21334" s="303" t="s">
        <v>232</v>
      </c>
    </row>
    <row r="21335" spans="119:119" x14ac:dyDescent="0.2">
      <c r="DO21335" s="303" t="s">
        <v>232</v>
      </c>
    </row>
    <row r="21336" spans="119:119" x14ac:dyDescent="0.2">
      <c r="DO21336" s="303" t="s">
        <v>232</v>
      </c>
    </row>
    <row r="21337" spans="119:119" x14ac:dyDescent="0.2">
      <c r="DO21337" s="303" t="s">
        <v>232</v>
      </c>
    </row>
    <row r="21338" spans="119:119" x14ac:dyDescent="0.2">
      <c r="DO21338" s="303" t="s">
        <v>232</v>
      </c>
    </row>
    <row r="21339" spans="119:119" x14ac:dyDescent="0.2">
      <c r="DO21339" s="303" t="s">
        <v>232</v>
      </c>
    </row>
    <row r="21340" spans="119:119" x14ac:dyDescent="0.2">
      <c r="DO21340" s="303" t="s">
        <v>232</v>
      </c>
    </row>
    <row r="21341" spans="119:119" x14ac:dyDescent="0.2">
      <c r="DO21341" s="303" t="s">
        <v>232</v>
      </c>
    </row>
    <row r="21342" spans="119:119" x14ac:dyDescent="0.2">
      <c r="DO21342" s="303" t="s">
        <v>232</v>
      </c>
    </row>
    <row r="21343" spans="119:119" x14ac:dyDescent="0.2">
      <c r="DO21343" s="303" t="s">
        <v>232</v>
      </c>
    </row>
    <row r="21344" spans="119:119" x14ac:dyDescent="0.2">
      <c r="DO21344" s="303" t="s">
        <v>232</v>
      </c>
    </row>
    <row r="21345" spans="119:119" x14ac:dyDescent="0.2">
      <c r="DO21345" s="303" t="s">
        <v>232</v>
      </c>
    </row>
    <row r="21346" spans="119:119" x14ac:dyDescent="0.2">
      <c r="DO21346" s="303" t="s">
        <v>232</v>
      </c>
    </row>
    <row r="21347" spans="119:119" x14ac:dyDescent="0.2">
      <c r="DO21347" s="303" t="s">
        <v>232</v>
      </c>
    </row>
    <row r="21348" spans="119:119" x14ac:dyDescent="0.2">
      <c r="DO21348" s="303" t="s">
        <v>232</v>
      </c>
    </row>
    <row r="21349" spans="119:119" x14ac:dyDescent="0.2">
      <c r="DO21349" s="303" t="s">
        <v>232</v>
      </c>
    </row>
    <row r="21350" spans="119:119" x14ac:dyDescent="0.2">
      <c r="DO21350" s="303" t="s">
        <v>232</v>
      </c>
    </row>
    <row r="21351" spans="119:119" x14ac:dyDescent="0.2">
      <c r="DO21351" s="303" t="s">
        <v>232</v>
      </c>
    </row>
    <row r="21352" spans="119:119" x14ac:dyDescent="0.2">
      <c r="DO21352" s="303" t="s">
        <v>232</v>
      </c>
    </row>
    <row r="21353" spans="119:119" x14ac:dyDescent="0.2">
      <c r="DO21353" s="303" t="s">
        <v>232</v>
      </c>
    </row>
    <row r="21354" spans="119:119" x14ac:dyDescent="0.2">
      <c r="DO21354" s="303" t="s">
        <v>232</v>
      </c>
    </row>
    <row r="21355" spans="119:119" x14ac:dyDescent="0.2">
      <c r="DO21355" s="303" t="s">
        <v>232</v>
      </c>
    </row>
    <row r="21356" spans="119:119" x14ac:dyDescent="0.2">
      <c r="DO21356" s="303" t="s">
        <v>232</v>
      </c>
    </row>
    <row r="21357" spans="119:119" x14ac:dyDescent="0.2">
      <c r="DO21357" s="303" t="s">
        <v>232</v>
      </c>
    </row>
    <row r="21358" spans="119:119" x14ac:dyDescent="0.2">
      <c r="DO21358" s="303" t="s">
        <v>232</v>
      </c>
    </row>
    <row r="21359" spans="119:119" x14ac:dyDescent="0.2">
      <c r="DO21359" s="303" t="s">
        <v>232</v>
      </c>
    </row>
    <row r="21360" spans="119:119" x14ac:dyDescent="0.2">
      <c r="DO21360" s="303" t="s">
        <v>232</v>
      </c>
    </row>
    <row r="21361" spans="119:119" x14ac:dyDescent="0.2">
      <c r="DO21361" s="303" t="s">
        <v>232</v>
      </c>
    </row>
    <row r="21362" spans="119:119" x14ac:dyDescent="0.2">
      <c r="DO21362" s="303" t="s">
        <v>232</v>
      </c>
    </row>
    <row r="21363" spans="119:119" x14ac:dyDescent="0.2">
      <c r="DO21363" s="303" t="s">
        <v>232</v>
      </c>
    </row>
    <row r="21364" spans="119:119" x14ac:dyDescent="0.2">
      <c r="DO21364" s="303" t="s">
        <v>232</v>
      </c>
    </row>
    <row r="21365" spans="119:119" x14ac:dyDescent="0.2">
      <c r="DO21365" s="303" t="s">
        <v>232</v>
      </c>
    </row>
    <row r="21366" spans="119:119" x14ac:dyDescent="0.2">
      <c r="DO21366" s="303" t="s">
        <v>232</v>
      </c>
    </row>
    <row r="21367" spans="119:119" x14ac:dyDescent="0.2">
      <c r="DO21367" s="303" t="s">
        <v>232</v>
      </c>
    </row>
    <row r="21368" spans="119:119" x14ac:dyDescent="0.2">
      <c r="DO21368" s="303" t="s">
        <v>232</v>
      </c>
    </row>
    <row r="21369" spans="119:119" x14ac:dyDescent="0.2">
      <c r="DO21369" s="303" t="s">
        <v>232</v>
      </c>
    </row>
    <row r="21370" spans="119:119" x14ac:dyDescent="0.2">
      <c r="DO21370" s="303" t="s">
        <v>232</v>
      </c>
    </row>
    <row r="21371" spans="119:119" x14ac:dyDescent="0.2">
      <c r="DO21371" s="303" t="s">
        <v>232</v>
      </c>
    </row>
    <row r="21372" spans="119:119" x14ac:dyDescent="0.2">
      <c r="DO21372" s="303" t="s">
        <v>232</v>
      </c>
    </row>
    <row r="21373" spans="119:119" x14ac:dyDescent="0.2">
      <c r="DO21373" s="303" t="s">
        <v>232</v>
      </c>
    </row>
    <row r="21374" spans="119:119" x14ac:dyDescent="0.2">
      <c r="DO21374" s="303" t="s">
        <v>232</v>
      </c>
    </row>
    <row r="21375" spans="119:119" x14ac:dyDescent="0.2">
      <c r="DO21375" s="303" t="s">
        <v>232</v>
      </c>
    </row>
    <row r="21376" spans="119:119" x14ac:dyDescent="0.2">
      <c r="DO21376" s="303" t="s">
        <v>232</v>
      </c>
    </row>
    <row r="21377" spans="119:119" x14ac:dyDescent="0.2">
      <c r="DO21377" s="303" t="s">
        <v>232</v>
      </c>
    </row>
    <row r="21378" spans="119:119" x14ac:dyDescent="0.2">
      <c r="DO21378" s="303" t="s">
        <v>232</v>
      </c>
    </row>
    <row r="21379" spans="119:119" x14ac:dyDescent="0.2">
      <c r="DO21379" s="303" t="s">
        <v>232</v>
      </c>
    </row>
    <row r="21380" spans="119:119" x14ac:dyDescent="0.2">
      <c r="DO21380" s="303" t="s">
        <v>232</v>
      </c>
    </row>
    <row r="21381" spans="119:119" x14ac:dyDescent="0.2">
      <c r="DO21381" s="303" t="s">
        <v>232</v>
      </c>
    </row>
    <row r="21382" spans="119:119" x14ac:dyDescent="0.2">
      <c r="DO21382" s="303" t="s">
        <v>232</v>
      </c>
    </row>
    <row r="21383" spans="119:119" x14ac:dyDescent="0.2">
      <c r="DO21383" s="303" t="s">
        <v>232</v>
      </c>
    </row>
    <row r="21384" spans="119:119" x14ac:dyDescent="0.2">
      <c r="DO21384" s="303" t="s">
        <v>232</v>
      </c>
    </row>
    <row r="21385" spans="119:119" x14ac:dyDescent="0.2">
      <c r="DO21385" s="303" t="s">
        <v>232</v>
      </c>
    </row>
    <row r="21386" spans="119:119" x14ac:dyDescent="0.2">
      <c r="DO21386" s="303" t="s">
        <v>232</v>
      </c>
    </row>
    <row r="21387" spans="119:119" x14ac:dyDescent="0.2">
      <c r="DO21387" s="303" t="s">
        <v>232</v>
      </c>
    </row>
    <row r="21388" spans="119:119" x14ac:dyDescent="0.2">
      <c r="DO21388" s="303" t="s">
        <v>232</v>
      </c>
    </row>
    <row r="21389" spans="119:119" x14ac:dyDescent="0.2">
      <c r="DO21389" s="303" t="s">
        <v>232</v>
      </c>
    </row>
    <row r="21390" spans="119:119" x14ac:dyDescent="0.2">
      <c r="DO21390" s="303" t="s">
        <v>232</v>
      </c>
    </row>
    <row r="21391" spans="119:119" x14ac:dyDescent="0.2">
      <c r="DO21391" s="303" t="s">
        <v>232</v>
      </c>
    </row>
    <row r="21392" spans="119:119" x14ac:dyDescent="0.2">
      <c r="DO21392" s="303" t="s">
        <v>232</v>
      </c>
    </row>
    <row r="21393" spans="119:119" x14ac:dyDescent="0.2">
      <c r="DO21393" s="303" t="s">
        <v>232</v>
      </c>
    </row>
    <row r="21394" spans="119:119" x14ac:dyDescent="0.2">
      <c r="DO21394" s="303" t="s">
        <v>232</v>
      </c>
    </row>
    <row r="21395" spans="119:119" x14ac:dyDescent="0.2">
      <c r="DO21395" s="303" t="s">
        <v>232</v>
      </c>
    </row>
    <row r="21396" spans="119:119" x14ac:dyDescent="0.2">
      <c r="DO21396" s="303" t="s">
        <v>232</v>
      </c>
    </row>
    <row r="21397" spans="119:119" x14ac:dyDescent="0.2">
      <c r="DO21397" s="303" t="s">
        <v>232</v>
      </c>
    </row>
    <row r="21398" spans="119:119" x14ac:dyDescent="0.2">
      <c r="DO21398" s="303" t="s">
        <v>232</v>
      </c>
    </row>
    <row r="21399" spans="119:119" x14ac:dyDescent="0.2">
      <c r="DO21399" s="303" t="s">
        <v>232</v>
      </c>
    </row>
    <row r="21400" spans="119:119" x14ac:dyDescent="0.2">
      <c r="DO21400" s="303" t="s">
        <v>232</v>
      </c>
    </row>
    <row r="21401" spans="119:119" x14ac:dyDescent="0.2">
      <c r="DO21401" s="303" t="s">
        <v>232</v>
      </c>
    </row>
    <row r="21402" spans="119:119" x14ac:dyDescent="0.2">
      <c r="DO21402" s="303" t="s">
        <v>232</v>
      </c>
    </row>
    <row r="21403" spans="119:119" x14ac:dyDescent="0.2">
      <c r="DO21403" s="303" t="s">
        <v>232</v>
      </c>
    </row>
    <row r="21404" spans="119:119" x14ac:dyDescent="0.2">
      <c r="DO21404" s="303" t="s">
        <v>232</v>
      </c>
    </row>
    <row r="21405" spans="119:119" x14ac:dyDescent="0.2">
      <c r="DO21405" s="303" t="s">
        <v>232</v>
      </c>
    </row>
    <row r="21406" spans="119:119" x14ac:dyDescent="0.2">
      <c r="DO21406" s="303" t="s">
        <v>232</v>
      </c>
    </row>
    <row r="21407" spans="119:119" x14ac:dyDescent="0.2">
      <c r="DO21407" s="303" t="s">
        <v>232</v>
      </c>
    </row>
    <row r="21408" spans="119:119" x14ac:dyDescent="0.2">
      <c r="DO21408" s="303" t="s">
        <v>232</v>
      </c>
    </row>
    <row r="21409" spans="119:119" x14ac:dyDescent="0.2">
      <c r="DO21409" s="303" t="s">
        <v>232</v>
      </c>
    </row>
    <row r="21410" spans="119:119" x14ac:dyDescent="0.2">
      <c r="DO21410" s="303" t="s">
        <v>232</v>
      </c>
    </row>
    <row r="21411" spans="119:119" x14ac:dyDescent="0.2">
      <c r="DO21411" s="303" t="s">
        <v>232</v>
      </c>
    </row>
    <row r="21412" spans="119:119" x14ac:dyDescent="0.2">
      <c r="DO21412" s="303" t="s">
        <v>232</v>
      </c>
    </row>
    <row r="21413" spans="119:119" x14ac:dyDescent="0.2">
      <c r="DO21413" s="303" t="s">
        <v>232</v>
      </c>
    </row>
    <row r="21414" spans="119:119" x14ac:dyDescent="0.2">
      <c r="DO21414" s="303" t="s">
        <v>232</v>
      </c>
    </row>
    <row r="21415" spans="119:119" x14ac:dyDescent="0.2">
      <c r="DO21415" s="303" t="s">
        <v>232</v>
      </c>
    </row>
    <row r="21416" spans="119:119" x14ac:dyDescent="0.2">
      <c r="DO21416" s="303" t="s">
        <v>232</v>
      </c>
    </row>
    <row r="21417" spans="119:119" x14ac:dyDescent="0.2">
      <c r="DO21417" s="303" t="s">
        <v>232</v>
      </c>
    </row>
    <row r="21418" spans="119:119" x14ac:dyDescent="0.2">
      <c r="DO21418" s="303" t="s">
        <v>232</v>
      </c>
    </row>
    <row r="21419" spans="119:119" x14ac:dyDescent="0.2">
      <c r="DO21419" s="303" t="s">
        <v>232</v>
      </c>
    </row>
    <row r="21420" spans="119:119" x14ac:dyDescent="0.2">
      <c r="DO21420" s="303" t="s">
        <v>232</v>
      </c>
    </row>
    <row r="21421" spans="119:119" x14ac:dyDescent="0.2">
      <c r="DO21421" s="303" t="s">
        <v>232</v>
      </c>
    </row>
    <row r="21422" spans="119:119" x14ac:dyDescent="0.2">
      <c r="DO21422" s="303" t="s">
        <v>232</v>
      </c>
    </row>
    <row r="21423" spans="119:119" x14ac:dyDescent="0.2">
      <c r="DO21423" s="303" t="s">
        <v>232</v>
      </c>
    </row>
    <row r="21424" spans="119:119" x14ac:dyDescent="0.2">
      <c r="DO21424" s="303" t="s">
        <v>232</v>
      </c>
    </row>
    <row r="21425" spans="119:119" x14ac:dyDescent="0.2">
      <c r="DO21425" s="303" t="s">
        <v>232</v>
      </c>
    </row>
    <row r="21426" spans="119:119" x14ac:dyDescent="0.2">
      <c r="DO21426" s="303" t="s">
        <v>232</v>
      </c>
    </row>
    <row r="21427" spans="119:119" x14ac:dyDescent="0.2">
      <c r="DO21427" s="303" t="s">
        <v>232</v>
      </c>
    </row>
    <row r="21428" spans="119:119" x14ac:dyDescent="0.2">
      <c r="DO21428" s="303" t="s">
        <v>232</v>
      </c>
    </row>
    <row r="21429" spans="119:119" x14ac:dyDescent="0.2">
      <c r="DO21429" s="303" t="s">
        <v>232</v>
      </c>
    </row>
    <row r="21430" spans="119:119" x14ac:dyDescent="0.2">
      <c r="DO21430" s="303" t="s">
        <v>232</v>
      </c>
    </row>
    <row r="21431" spans="119:119" x14ac:dyDescent="0.2">
      <c r="DO21431" s="303" t="s">
        <v>232</v>
      </c>
    </row>
    <row r="21432" spans="119:119" x14ac:dyDescent="0.2">
      <c r="DO21432" s="303" t="s">
        <v>232</v>
      </c>
    </row>
    <row r="21433" spans="119:119" x14ac:dyDescent="0.2">
      <c r="DO21433" s="303" t="s">
        <v>232</v>
      </c>
    </row>
    <row r="21434" spans="119:119" x14ac:dyDescent="0.2">
      <c r="DO21434" s="303" t="s">
        <v>232</v>
      </c>
    </row>
    <row r="21435" spans="119:119" x14ac:dyDescent="0.2">
      <c r="DO21435" s="303" t="s">
        <v>232</v>
      </c>
    </row>
    <row r="21436" spans="119:119" x14ac:dyDescent="0.2">
      <c r="DO21436" s="303" t="s">
        <v>232</v>
      </c>
    </row>
    <row r="21437" spans="119:119" x14ac:dyDescent="0.2">
      <c r="DO21437" s="303" t="s">
        <v>232</v>
      </c>
    </row>
    <row r="21438" spans="119:119" x14ac:dyDescent="0.2">
      <c r="DO21438" s="303" t="s">
        <v>232</v>
      </c>
    </row>
    <row r="21439" spans="119:119" x14ac:dyDescent="0.2">
      <c r="DO21439" s="303" t="s">
        <v>232</v>
      </c>
    </row>
    <row r="21440" spans="119:119" x14ac:dyDescent="0.2">
      <c r="DO21440" s="303" t="s">
        <v>232</v>
      </c>
    </row>
    <row r="21441" spans="119:119" x14ac:dyDescent="0.2">
      <c r="DO21441" s="303" t="s">
        <v>232</v>
      </c>
    </row>
    <row r="21442" spans="119:119" x14ac:dyDescent="0.2">
      <c r="DO21442" s="303" t="s">
        <v>232</v>
      </c>
    </row>
    <row r="21443" spans="119:119" x14ac:dyDescent="0.2">
      <c r="DO21443" s="303" t="s">
        <v>232</v>
      </c>
    </row>
    <row r="21444" spans="119:119" x14ac:dyDescent="0.2">
      <c r="DO21444" s="303" t="s">
        <v>232</v>
      </c>
    </row>
    <row r="21445" spans="119:119" x14ac:dyDescent="0.2">
      <c r="DO21445" s="303" t="s">
        <v>232</v>
      </c>
    </row>
    <row r="21446" spans="119:119" x14ac:dyDescent="0.2">
      <c r="DO21446" s="303" t="s">
        <v>232</v>
      </c>
    </row>
    <row r="21447" spans="119:119" x14ac:dyDescent="0.2">
      <c r="DO21447" s="303" t="s">
        <v>232</v>
      </c>
    </row>
    <row r="21448" spans="119:119" x14ac:dyDescent="0.2">
      <c r="DO21448" s="303" t="s">
        <v>232</v>
      </c>
    </row>
    <row r="21449" spans="119:119" x14ac:dyDescent="0.2">
      <c r="DO21449" s="303" t="s">
        <v>232</v>
      </c>
    </row>
    <row r="21450" spans="119:119" x14ac:dyDescent="0.2">
      <c r="DO21450" s="303" t="s">
        <v>232</v>
      </c>
    </row>
    <row r="21451" spans="119:119" x14ac:dyDescent="0.2">
      <c r="DO21451" s="303" t="s">
        <v>232</v>
      </c>
    </row>
    <row r="21452" spans="119:119" x14ac:dyDescent="0.2">
      <c r="DO21452" s="303" t="s">
        <v>232</v>
      </c>
    </row>
    <row r="21453" spans="119:119" x14ac:dyDescent="0.2">
      <c r="DO21453" s="303" t="s">
        <v>232</v>
      </c>
    </row>
    <row r="21454" spans="119:119" x14ac:dyDescent="0.2">
      <c r="DO21454" s="303" t="s">
        <v>232</v>
      </c>
    </row>
    <row r="21455" spans="119:119" x14ac:dyDescent="0.2">
      <c r="DO21455" s="303" t="s">
        <v>232</v>
      </c>
    </row>
    <row r="21456" spans="119:119" x14ac:dyDescent="0.2">
      <c r="DO21456" s="303" t="s">
        <v>232</v>
      </c>
    </row>
    <row r="21457" spans="119:119" x14ac:dyDescent="0.2">
      <c r="DO21457" s="303" t="s">
        <v>232</v>
      </c>
    </row>
    <row r="21458" spans="119:119" x14ac:dyDescent="0.2">
      <c r="DO21458" s="303" t="s">
        <v>232</v>
      </c>
    </row>
    <row r="21459" spans="119:119" x14ac:dyDescent="0.2">
      <c r="DO21459" s="303" t="s">
        <v>232</v>
      </c>
    </row>
    <row r="21460" spans="119:119" x14ac:dyDescent="0.2">
      <c r="DO21460" s="303" t="s">
        <v>232</v>
      </c>
    </row>
    <row r="21461" spans="119:119" x14ac:dyDescent="0.2">
      <c r="DO21461" s="303" t="s">
        <v>232</v>
      </c>
    </row>
    <row r="21462" spans="119:119" x14ac:dyDescent="0.2">
      <c r="DO21462" s="303" t="s">
        <v>232</v>
      </c>
    </row>
    <row r="21463" spans="119:119" x14ac:dyDescent="0.2">
      <c r="DO21463" s="303" t="s">
        <v>232</v>
      </c>
    </row>
    <row r="21464" spans="119:119" x14ac:dyDescent="0.2">
      <c r="DO21464" s="303" t="s">
        <v>232</v>
      </c>
    </row>
    <row r="21465" spans="119:119" x14ac:dyDescent="0.2">
      <c r="DO21465" s="303" t="s">
        <v>232</v>
      </c>
    </row>
    <row r="21466" spans="119:119" x14ac:dyDescent="0.2">
      <c r="DO21466" s="303" t="s">
        <v>232</v>
      </c>
    </row>
    <row r="21467" spans="119:119" x14ac:dyDescent="0.2">
      <c r="DO21467" s="303" t="s">
        <v>232</v>
      </c>
    </row>
    <row r="21468" spans="119:119" x14ac:dyDescent="0.2">
      <c r="DO21468" s="303" t="s">
        <v>232</v>
      </c>
    </row>
    <row r="21469" spans="119:119" x14ac:dyDescent="0.2">
      <c r="DO21469" s="303" t="s">
        <v>232</v>
      </c>
    </row>
    <row r="21470" spans="119:119" x14ac:dyDescent="0.2">
      <c r="DO21470" s="303" t="s">
        <v>232</v>
      </c>
    </row>
    <row r="21471" spans="119:119" x14ac:dyDescent="0.2">
      <c r="DO21471" s="303" t="s">
        <v>232</v>
      </c>
    </row>
    <row r="21472" spans="119:119" x14ac:dyDescent="0.2">
      <c r="DO21472" s="303" t="s">
        <v>232</v>
      </c>
    </row>
    <row r="21473" spans="119:119" x14ac:dyDescent="0.2">
      <c r="DO21473" s="303" t="s">
        <v>232</v>
      </c>
    </row>
    <row r="21474" spans="119:119" x14ac:dyDescent="0.2">
      <c r="DO21474" s="303" t="s">
        <v>232</v>
      </c>
    </row>
    <row r="21475" spans="119:119" x14ac:dyDescent="0.2">
      <c r="DO21475" s="303" t="s">
        <v>232</v>
      </c>
    </row>
    <row r="21476" spans="119:119" x14ac:dyDescent="0.2">
      <c r="DO21476" s="303" t="s">
        <v>232</v>
      </c>
    </row>
    <row r="21477" spans="119:119" x14ac:dyDescent="0.2">
      <c r="DO21477" s="303" t="s">
        <v>232</v>
      </c>
    </row>
    <row r="21478" spans="119:119" x14ac:dyDescent="0.2">
      <c r="DO21478" s="303" t="s">
        <v>232</v>
      </c>
    </row>
    <row r="21479" spans="119:119" x14ac:dyDescent="0.2">
      <c r="DO21479" s="303" t="s">
        <v>232</v>
      </c>
    </row>
    <row r="21480" spans="119:119" x14ac:dyDescent="0.2">
      <c r="DO21480" s="303" t="s">
        <v>232</v>
      </c>
    </row>
    <row r="21481" spans="119:119" x14ac:dyDescent="0.2">
      <c r="DO21481" s="303" t="s">
        <v>232</v>
      </c>
    </row>
    <row r="21482" spans="119:119" x14ac:dyDescent="0.2">
      <c r="DO21482" s="303" t="s">
        <v>232</v>
      </c>
    </row>
    <row r="21483" spans="119:119" x14ac:dyDescent="0.2">
      <c r="DO21483" s="303" t="s">
        <v>232</v>
      </c>
    </row>
    <row r="21484" spans="119:119" x14ac:dyDescent="0.2">
      <c r="DO21484" s="303" t="s">
        <v>232</v>
      </c>
    </row>
    <row r="21485" spans="119:119" x14ac:dyDescent="0.2">
      <c r="DO21485" s="303" t="s">
        <v>232</v>
      </c>
    </row>
    <row r="21486" spans="119:119" x14ac:dyDescent="0.2">
      <c r="DO21486" s="303" t="s">
        <v>232</v>
      </c>
    </row>
    <row r="21487" spans="119:119" x14ac:dyDescent="0.2">
      <c r="DO21487" s="303" t="s">
        <v>232</v>
      </c>
    </row>
    <row r="21488" spans="119:119" x14ac:dyDescent="0.2">
      <c r="DO21488" s="303" t="s">
        <v>232</v>
      </c>
    </row>
    <row r="21489" spans="119:119" x14ac:dyDescent="0.2">
      <c r="DO21489" s="303" t="s">
        <v>232</v>
      </c>
    </row>
    <row r="21490" spans="119:119" x14ac:dyDescent="0.2">
      <c r="DO21490" s="303" t="s">
        <v>232</v>
      </c>
    </row>
    <row r="21491" spans="119:119" x14ac:dyDescent="0.2">
      <c r="DO21491" s="303" t="s">
        <v>232</v>
      </c>
    </row>
    <row r="21492" spans="119:119" x14ac:dyDescent="0.2">
      <c r="DO21492" s="303" t="s">
        <v>232</v>
      </c>
    </row>
    <row r="21493" spans="119:119" x14ac:dyDescent="0.2">
      <c r="DO21493" s="303" t="s">
        <v>232</v>
      </c>
    </row>
    <row r="21494" spans="119:119" x14ac:dyDescent="0.2">
      <c r="DO21494" s="303" t="s">
        <v>232</v>
      </c>
    </row>
    <row r="21495" spans="119:119" x14ac:dyDescent="0.2">
      <c r="DO21495" s="303" t="s">
        <v>232</v>
      </c>
    </row>
    <row r="21496" spans="119:119" x14ac:dyDescent="0.2">
      <c r="DO21496" s="303" t="s">
        <v>232</v>
      </c>
    </row>
    <row r="21497" spans="119:119" x14ac:dyDescent="0.2">
      <c r="DO21497" s="303" t="s">
        <v>232</v>
      </c>
    </row>
    <row r="21498" spans="119:119" x14ac:dyDescent="0.2">
      <c r="DO21498" s="303" t="s">
        <v>232</v>
      </c>
    </row>
    <row r="21499" spans="119:119" x14ac:dyDescent="0.2">
      <c r="DO21499" s="303" t="s">
        <v>232</v>
      </c>
    </row>
    <row r="21500" spans="119:119" x14ac:dyDescent="0.2">
      <c r="DO21500" s="303" t="s">
        <v>232</v>
      </c>
    </row>
    <row r="21501" spans="119:119" x14ac:dyDescent="0.2">
      <c r="DO21501" s="303" t="s">
        <v>232</v>
      </c>
    </row>
    <row r="21502" spans="119:119" x14ac:dyDescent="0.2">
      <c r="DO21502" s="303" t="s">
        <v>232</v>
      </c>
    </row>
    <row r="21503" spans="119:119" x14ac:dyDescent="0.2">
      <c r="DO21503" s="303" t="s">
        <v>232</v>
      </c>
    </row>
    <row r="21504" spans="119:119" x14ac:dyDescent="0.2">
      <c r="DO21504" s="303" t="s">
        <v>232</v>
      </c>
    </row>
    <row r="21505" spans="119:119" x14ac:dyDescent="0.2">
      <c r="DO21505" s="303" t="s">
        <v>232</v>
      </c>
    </row>
    <row r="21506" spans="119:119" x14ac:dyDescent="0.2">
      <c r="DO21506" s="303" t="s">
        <v>232</v>
      </c>
    </row>
    <row r="21507" spans="119:119" x14ac:dyDescent="0.2">
      <c r="DO21507" s="303" t="s">
        <v>232</v>
      </c>
    </row>
    <row r="21508" spans="119:119" x14ac:dyDescent="0.2">
      <c r="DO21508" s="303" t="s">
        <v>232</v>
      </c>
    </row>
    <row r="21509" spans="119:119" x14ac:dyDescent="0.2">
      <c r="DO21509" s="303" t="s">
        <v>232</v>
      </c>
    </row>
    <row r="21510" spans="119:119" x14ac:dyDescent="0.2">
      <c r="DO21510" s="303" t="s">
        <v>232</v>
      </c>
    </row>
    <row r="21511" spans="119:119" x14ac:dyDescent="0.2">
      <c r="DO21511" s="303" t="s">
        <v>232</v>
      </c>
    </row>
    <row r="21512" spans="119:119" x14ac:dyDescent="0.2">
      <c r="DO21512" s="303" t="s">
        <v>232</v>
      </c>
    </row>
    <row r="21513" spans="119:119" x14ac:dyDescent="0.2">
      <c r="DO21513" s="303" t="s">
        <v>232</v>
      </c>
    </row>
    <row r="21514" spans="119:119" x14ac:dyDescent="0.2">
      <c r="DO21514" s="303" t="s">
        <v>232</v>
      </c>
    </row>
    <row r="21515" spans="119:119" x14ac:dyDescent="0.2">
      <c r="DO21515" s="303" t="s">
        <v>232</v>
      </c>
    </row>
    <row r="21516" spans="119:119" x14ac:dyDescent="0.2">
      <c r="DO21516" s="303" t="s">
        <v>232</v>
      </c>
    </row>
    <row r="21517" spans="119:119" x14ac:dyDescent="0.2">
      <c r="DO21517" s="303" t="s">
        <v>232</v>
      </c>
    </row>
    <row r="21518" spans="119:119" x14ac:dyDescent="0.2">
      <c r="DO21518" s="303" t="s">
        <v>232</v>
      </c>
    </row>
    <row r="21519" spans="119:119" x14ac:dyDescent="0.2">
      <c r="DO21519" s="303" t="s">
        <v>232</v>
      </c>
    </row>
    <row r="21520" spans="119:119" x14ac:dyDescent="0.2">
      <c r="DO21520" s="303" t="s">
        <v>232</v>
      </c>
    </row>
    <row r="21521" spans="119:119" x14ac:dyDescent="0.2">
      <c r="DO21521" s="303" t="s">
        <v>232</v>
      </c>
    </row>
    <row r="21522" spans="119:119" x14ac:dyDescent="0.2">
      <c r="DO21522" s="303" t="s">
        <v>232</v>
      </c>
    </row>
    <row r="21523" spans="119:119" x14ac:dyDescent="0.2">
      <c r="DO21523" s="303" t="s">
        <v>232</v>
      </c>
    </row>
    <row r="21524" spans="119:119" x14ac:dyDescent="0.2">
      <c r="DO21524" s="303" t="s">
        <v>232</v>
      </c>
    </row>
    <row r="21525" spans="119:119" x14ac:dyDescent="0.2">
      <c r="DO21525" s="303" t="s">
        <v>232</v>
      </c>
    </row>
    <row r="21526" spans="119:119" x14ac:dyDescent="0.2">
      <c r="DO21526" s="303" t="s">
        <v>232</v>
      </c>
    </row>
    <row r="21527" spans="119:119" x14ac:dyDescent="0.2">
      <c r="DO21527" s="303" t="s">
        <v>232</v>
      </c>
    </row>
    <row r="21528" spans="119:119" x14ac:dyDescent="0.2">
      <c r="DO21528" s="303" t="s">
        <v>232</v>
      </c>
    </row>
    <row r="21529" spans="119:119" x14ac:dyDescent="0.2">
      <c r="DO21529" s="303" t="s">
        <v>232</v>
      </c>
    </row>
    <row r="21530" spans="119:119" x14ac:dyDescent="0.2">
      <c r="DO21530" s="303" t="s">
        <v>232</v>
      </c>
    </row>
    <row r="21531" spans="119:119" x14ac:dyDescent="0.2">
      <c r="DO21531" s="303" t="s">
        <v>232</v>
      </c>
    </row>
    <row r="21532" spans="119:119" x14ac:dyDescent="0.2">
      <c r="DO21532" s="303" t="s">
        <v>232</v>
      </c>
    </row>
    <row r="21533" spans="119:119" x14ac:dyDescent="0.2">
      <c r="DO21533" s="303" t="s">
        <v>232</v>
      </c>
    </row>
    <row r="21534" spans="119:119" x14ac:dyDescent="0.2">
      <c r="DO21534" s="303" t="s">
        <v>232</v>
      </c>
    </row>
    <row r="21535" spans="119:119" x14ac:dyDescent="0.2">
      <c r="DO21535" s="303" t="s">
        <v>232</v>
      </c>
    </row>
    <row r="21536" spans="119:119" x14ac:dyDescent="0.2">
      <c r="DO21536" s="303" t="s">
        <v>232</v>
      </c>
    </row>
    <row r="21537" spans="119:119" x14ac:dyDescent="0.2">
      <c r="DO21537" s="303" t="s">
        <v>232</v>
      </c>
    </row>
    <row r="21538" spans="119:119" x14ac:dyDescent="0.2">
      <c r="DO21538" s="303" t="s">
        <v>232</v>
      </c>
    </row>
    <row r="21539" spans="119:119" x14ac:dyDescent="0.2">
      <c r="DO21539" s="303" t="s">
        <v>232</v>
      </c>
    </row>
    <row r="21540" spans="119:119" x14ac:dyDescent="0.2">
      <c r="DO21540" s="303" t="s">
        <v>232</v>
      </c>
    </row>
    <row r="21541" spans="119:119" x14ac:dyDescent="0.2">
      <c r="DO21541" s="303" t="s">
        <v>232</v>
      </c>
    </row>
    <row r="21542" spans="119:119" x14ac:dyDescent="0.2">
      <c r="DO21542" s="303" t="s">
        <v>232</v>
      </c>
    </row>
    <row r="21543" spans="119:119" x14ac:dyDescent="0.2">
      <c r="DO21543" s="303" t="s">
        <v>232</v>
      </c>
    </row>
    <row r="21544" spans="119:119" x14ac:dyDescent="0.2">
      <c r="DO21544" s="303" t="s">
        <v>232</v>
      </c>
    </row>
    <row r="21545" spans="119:119" x14ac:dyDescent="0.2">
      <c r="DO21545" s="303" t="s">
        <v>232</v>
      </c>
    </row>
    <row r="21546" spans="119:119" x14ac:dyDescent="0.2">
      <c r="DO21546" s="303" t="s">
        <v>232</v>
      </c>
    </row>
    <row r="21547" spans="119:119" x14ac:dyDescent="0.2">
      <c r="DO21547" s="303" t="s">
        <v>232</v>
      </c>
    </row>
    <row r="21548" spans="119:119" x14ac:dyDescent="0.2">
      <c r="DO21548" s="303" t="s">
        <v>232</v>
      </c>
    </row>
    <row r="21549" spans="119:119" x14ac:dyDescent="0.2">
      <c r="DO21549" s="303" t="s">
        <v>232</v>
      </c>
    </row>
    <row r="21550" spans="119:119" x14ac:dyDescent="0.2">
      <c r="DO21550" s="303" t="s">
        <v>232</v>
      </c>
    </row>
    <row r="21551" spans="119:119" x14ac:dyDescent="0.2">
      <c r="DO21551" s="303" t="s">
        <v>232</v>
      </c>
    </row>
    <row r="21552" spans="119:119" x14ac:dyDescent="0.2">
      <c r="DO21552" s="303" t="s">
        <v>232</v>
      </c>
    </row>
    <row r="21553" spans="119:119" x14ac:dyDescent="0.2">
      <c r="DO21553" s="303" t="s">
        <v>232</v>
      </c>
    </row>
    <row r="21554" spans="119:119" x14ac:dyDescent="0.2">
      <c r="DO21554" s="303" t="s">
        <v>232</v>
      </c>
    </row>
    <row r="21555" spans="119:119" x14ac:dyDescent="0.2">
      <c r="DO21555" s="303" t="s">
        <v>232</v>
      </c>
    </row>
    <row r="21556" spans="119:119" x14ac:dyDescent="0.2">
      <c r="DO21556" s="303" t="s">
        <v>232</v>
      </c>
    </row>
    <row r="21557" spans="119:119" x14ac:dyDescent="0.2">
      <c r="DO21557" s="303" t="s">
        <v>232</v>
      </c>
    </row>
    <row r="21558" spans="119:119" x14ac:dyDescent="0.2">
      <c r="DO21558" s="303" t="s">
        <v>232</v>
      </c>
    </row>
    <row r="21559" spans="119:119" x14ac:dyDescent="0.2">
      <c r="DO21559" s="303" t="s">
        <v>232</v>
      </c>
    </row>
    <row r="21560" spans="119:119" x14ac:dyDescent="0.2">
      <c r="DO21560" s="303" t="s">
        <v>232</v>
      </c>
    </row>
    <row r="21561" spans="119:119" x14ac:dyDescent="0.2">
      <c r="DO21561" s="303" t="s">
        <v>232</v>
      </c>
    </row>
    <row r="21562" spans="119:119" x14ac:dyDescent="0.2">
      <c r="DO21562" s="303" t="s">
        <v>232</v>
      </c>
    </row>
    <row r="21563" spans="119:119" x14ac:dyDescent="0.2">
      <c r="DO21563" s="303" t="s">
        <v>232</v>
      </c>
    </row>
    <row r="21564" spans="119:119" x14ac:dyDescent="0.2">
      <c r="DO21564" s="303" t="s">
        <v>232</v>
      </c>
    </row>
    <row r="21565" spans="119:119" x14ac:dyDescent="0.2">
      <c r="DO21565" s="303" t="s">
        <v>232</v>
      </c>
    </row>
    <row r="21566" spans="119:119" x14ac:dyDescent="0.2">
      <c r="DO21566" s="303" t="s">
        <v>232</v>
      </c>
    </row>
    <row r="21567" spans="119:119" x14ac:dyDescent="0.2">
      <c r="DO21567" s="303" t="s">
        <v>232</v>
      </c>
    </row>
    <row r="21568" spans="119:119" x14ac:dyDescent="0.2">
      <c r="DO21568" s="303" t="s">
        <v>232</v>
      </c>
    </row>
    <row r="21569" spans="119:119" x14ac:dyDescent="0.2">
      <c r="DO21569" s="303" t="s">
        <v>232</v>
      </c>
    </row>
    <row r="21570" spans="119:119" x14ac:dyDescent="0.2">
      <c r="DO21570" s="303" t="s">
        <v>232</v>
      </c>
    </row>
    <row r="21571" spans="119:119" x14ac:dyDescent="0.2">
      <c r="DO21571" s="303" t="s">
        <v>232</v>
      </c>
    </row>
    <row r="21572" spans="119:119" x14ac:dyDescent="0.2">
      <c r="DO21572" s="303" t="s">
        <v>232</v>
      </c>
    </row>
    <row r="21573" spans="119:119" x14ac:dyDescent="0.2">
      <c r="DO21573" s="303" t="s">
        <v>232</v>
      </c>
    </row>
    <row r="21574" spans="119:119" x14ac:dyDescent="0.2">
      <c r="DO21574" s="303" t="s">
        <v>232</v>
      </c>
    </row>
    <row r="21575" spans="119:119" x14ac:dyDescent="0.2">
      <c r="DO21575" s="303" t="s">
        <v>232</v>
      </c>
    </row>
    <row r="21576" spans="119:119" x14ac:dyDescent="0.2">
      <c r="DO21576" s="303" t="s">
        <v>232</v>
      </c>
    </row>
    <row r="21577" spans="119:119" x14ac:dyDescent="0.2">
      <c r="DO21577" s="303" t="s">
        <v>232</v>
      </c>
    </row>
    <row r="21578" spans="119:119" x14ac:dyDescent="0.2">
      <c r="DO21578" s="303" t="s">
        <v>232</v>
      </c>
    </row>
    <row r="21579" spans="119:119" x14ac:dyDescent="0.2">
      <c r="DO21579" s="303" t="s">
        <v>232</v>
      </c>
    </row>
    <row r="21580" spans="119:119" x14ac:dyDescent="0.2">
      <c r="DO21580" s="303" t="s">
        <v>232</v>
      </c>
    </row>
    <row r="21581" spans="119:119" x14ac:dyDescent="0.2">
      <c r="DO21581" s="303" t="s">
        <v>232</v>
      </c>
    </row>
    <row r="21582" spans="119:119" x14ac:dyDescent="0.2">
      <c r="DO21582" s="303" t="s">
        <v>232</v>
      </c>
    </row>
    <row r="21583" spans="119:119" x14ac:dyDescent="0.2">
      <c r="DO21583" s="303" t="s">
        <v>232</v>
      </c>
    </row>
    <row r="21584" spans="119:119" x14ac:dyDescent="0.2">
      <c r="DO21584" s="303" t="s">
        <v>232</v>
      </c>
    </row>
    <row r="21585" spans="119:119" x14ac:dyDescent="0.2">
      <c r="DO21585" s="303" t="s">
        <v>232</v>
      </c>
    </row>
    <row r="21586" spans="119:119" x14ac:dyDescent="0.2">
      <c r="DO21586" s="303" t="s">
        <v>232</v>
      </c>
    </row>
    <row r="21587" spans="119:119" x14ac:dyDescent="0.2">
      <c r="DO21587" s="303" t="s">
        <v>232</v>
      </c>
    </row>
    <row r="21588" spans="119:119" x14ac:dyDescent="0.2">
      <c r="DO21588" s="303" t="s">
        <v>232</v>
      </c>
    </row>
    <row r="21589" spans="119:119" x14ac:dyDescent="0.2">
      <c r="DO21589" s="303" t="s">
        <v>232</v>
      </c>
    </row>
    <row r="21590" spans="119:119" x14ac:dyDescent="0.2">
      <c r="DO21590" s="303" t="s">
        <v>232</v>
      </c>
    </row>
    <row r="21591" spans="119:119" x14ac:dyDescent="0.2">
      <c r="DO21591" s="303" t="s">
        <v>232</v>
      </c>
    </row>
    <row r="21592" spans="119:119" x14ac:dyDescent="0.2">
      <c r="DO21592" s="303" t="s">
        <v>232</v>
      </c>
    </row>
    <row r="21593" spans="119:119" x14ac:dyDescent="0.2">
      <c r="DO21593" s="303" t="s">
        <v>232</v>
      </c>
    </row>
    <row r="21594" spans="119:119" x14ac:dyDescent="0.2">
      <c r="DO21594" s="303" t="s">
        <v>232</v>
      </c>
    </row>
    <row r="21595" spans="119:119" x14ac:dyDescent="0.2">
      <c r="DO21595" s="303" t="s">
        <v>232</v>
      </c>
    </row>
    <row r="21596" spans="119:119" x14ac:dyDescent="0.2">
      <c r="DO21596" s="303" t="s">
        <v>232</v>
      </c>
    </row>
    <row r="21597" spans="119:119" x14ac:dyDescent="0.2">
      <c r="DO21597" s="303" t="s">
        <v>232</v>
      </c>
    </row>
    <row r="21598" spans="119:119" x14ac:dyDescent="0.2">
      <c r="DO21598" s="303" t="s">
        <v>232</v>
      </c>
    </row>
    <row r="21599" spans="119:119" x14ac:dyDescent="0.2">
      <c r="DO21599" s="303" t="s">
        <v>232</v>
      </c>
    </row>
    <row r="21600" spans="119:119" x14ac:dyDescent="0.2">
      <c r="DO21600" s="303" t="s">
        <v>232</v>
      </c>
    </row>
    <row r="21601" spans="119:119" x14ac:dyDescent="0.2">
      <c r="DO21601" s="303" t="s">
        <v>232</v>
      </c>
    </row>
    <row r="21602" spans="119:119" x14ac:dyDescent="0.2">
      <c r="DO21602" s="303" t="s">
        <v>232</v>
      </c>
    </row>
    <row r="21603" spans="119:119" x14ac:dyDescent="0.2">
      <c r="DO21603" s="303" t="s">
        <v>232</v>
      </c>
    </row>
    <row r="21604" spans="119:119" x14ac:dyDescent="0.2">
      <c r="DO21604" s="303" t="s">
        <v>232</v>
      </c>
    </row>
    <row r="21605" spans="119:119" x14ac:dyDescent="0.2">
      <c r="DO21605" s="303" t="s">
        <v>232</v>
      </c>
    </row>
    <row r="21606" spans="119:119" x14ac:dyDescent="0.2">
      <c r="DO21606" s="303" t="s">
        <v>232</v>
      </c>
    </row>
    <row r="21607" spans="119:119" x14ac:dyDescent="0.2">
      <c r="DO21607" s="303" t="s">
        <v>232</v>
      </c>
    </row>
    <row r="21608" spans="119:119" x14ac:dyDescent="0.2">
      <c r="DO21608" s="303" t="s">
        <v>232</v>
      </c>
    </row>
    <row r="21609" spans="119:119" x14ac:dyDescent="0.2">
      <c r="DO21609" s="303" t="s">
        <v>232</v>
      </c>
    </row>
    <row r="21610" spans="119:119" x14ac:dyDescent="0.2">
      <c r="DO21610" s="303" t="s">
        <v>232</v>
      </c>
    </row>
    <row r="21611" spans="119:119" x14ac:dyDescent="0.2">
      <c r="DO21611" s="303" t="s">
        <v>232</v>
      </c>
    </row>
    <row r="21612" spans="119:119" x14ac:dyDescent="0.2">
      <c r="DO21612" s="303" t="s">
        <v>232</v>
      </c>
    </row>
    <row r="21613" spans="119:119" x14ac:dyDescent="0.2">
      <c r="DO21613" s="303" t="s">
        <v>232</v>
      </c>
    </row>
    <row r="21614" spans="119:119" x14ac:dyDescent="0.2">
      <c r="DO21614" s="303" t="s">
        <v>232</v>
      </c>
    </row>
    <row r="21615" spans="119:119" x14ac:dyDescent="0.2">
      <c r="DO21615" s="303" t="s">
        <v>232</v>
      </c>
    </row>
    <row r="21616" spans="119:119" x14ac:dyDescent="0.2">
      <c r="DO21616" s="303" t="s">
        <v>232</v>
      </c>
    </row>
    <row r="21617" spans="119:119" x14ac:dyDescent="0.2">
      <c r="DO21617" s="303" t="s">
        <v>232</v>
      </c>
    </row>
    <row r="21618" spans="119:119" x14ac:dyDescent="0.2">
      <c r="DO21618" s="303" t="s">
        <v>232</v>
      </c>
    </row>
    <row r="21619" spans="119:119" x14ac:dyDescent="0.2">
      <c r="DO21619" s="303" t="s">
        <v>232</v>
      </c>
    </row>
    <row r="21620" spans="119:119" x14ac:dyDescent="0.2">
      <c r="DO21620" s="303" t="s">
        <v>232</v>
      </c>
    </row>
    <row r="21621" spans="119:119" x14ac:dyDescent="0.2">
      <c r="DO21621" s="303" t="s">
        <v>232</v>
      </c>
    </row>
    <row r="21622" spans="119:119" x14ac:dyDescent="0.2">
      <c r="DO21622" s="303" t="s">
        <v>232</v>
      </c>
    </row>
    <row r="21623" spans="119:119" x14ac:dyDescent="0.2">
      <c r="DO21623" s="303" t="s">
        <v>232</v>
      </c>
    </row>
    <row r="21624" spans="119:119" x14ac:dyDescent="0.2">
      <c r="DO21624" s="303" t="s">
        <v>232</v>
      </c>
    </row>
    <row r="21625" spans="119:119" x14ac:dyDescent="0.2">
      <c r="DO21625" s="303" t="s">
        <v>232</v>
      </c>
    </row>
    <row r="21626" spans="119:119" x14ac:dyDescent="0.2">
      <c r="DO21626" s="303" t="s">
        <v>232</v>
      </c>
    </row>
    <row r="21627" spans="119:119" x14ac:dyDescent="0.2">
      <c r="DO21627" s="303" t="s">
        <v>232</v>
      </c>
    </row>
    <row r="21628" spans="119:119" x14ac:dyDescent="0.2">
      <c r="DO21628" s="303" t="s">
        <v>232</v>
      </c>
    </row>
    <row r="21629" spans="119:119" x14ac:dyDescent="0.2">
      <c r="DO21629" s="303" t="s">
        <v>232</v>
      </c>
    </row>
    <row r="21630" spans="119:119" x14ac:dyDescent="0.2">
      <c r="DO21630" s="303" t="s">
        <v>232</v>
      </c>
    </row>
    <row r="21631" spans="119:119" x14ac:dyDescent="0.2">
      <c r="DO21631" s="303" t="s">
        <v>232</v>
      </c>
    </row>
    <row r="21632" spans="119:119" x14ac:dyDescent="0.2">
      <c r="DO21632" s="303" t="s">
        <v>232</v>
      </c>
    </row>
    <row r="21633" spans="119:119" x14ac:dyDescent="0.2">
      <c r="DO21633" s="303" t="s">
        <v>232</v>
      </c>
    </row>
    <row r="21634" spans="119:119" x14ac:dyDescent="0.2">
      <c r="DO21634" s="303" t="s">
        <v>232</v>
      </c>
    </row>
    <row r="21635" spans="119:119" x14ac:dyDescent="0.2">
      <c r="DO21635" s="303" t="s">
        <v>232</v>
      </c>
    </row>
    <row r="21636" spans="119:119" x14ac:dyDescent="0.2">
      <c r="DO21636" s="303" t="s">
        <v>232</v>
      </c>
    </row>
    <row r="21637" spans="119:119" x14ac:dyDescent="0.2">
      <c r="DO21637" s="303" t="s">
        <v>232</v>
      </c>
    </row>
    <row r="21638" spans="119:119" x14ac:dyDescent="0.2">
      <c r="DO21638" s="303" t="s">
        <v>232</v>
      </c>
    </row>
    <row r="21639" spans="119:119" x14ac:dyDescent="0.2">
      <c r="DO21639" s="303" t="s">
        <v>232</v>
      </c>
    </row>
    <row r="21640" spans="119:119" x14ac:dyDescent="0.2">
      <c r="DO21640" s="303" t="s">
        <v>232</v>
      </c>
    </row>
    <row r="21641" spans="119:119" x14ac:dyDescent="0.2">
      <c r="DO21641" s="303" t="s">
        <v>232</v>
      </c>
    </row>
    <row r="21642" spans="119:119" x14ac:dyDescent="0.2">
      <c r="DO21642" s="303" t="s">
        <v>232</v>
      </c>
    </row>
    <row r="21643" spans="119:119" x14ac:dyDescent="0.2">
      <c r="DO21643" s="303" t="s">
        <v>232</v>
      </c>
    </row>
    <row r="21644" spans="119:119" x14ac:dyDescent="0.2">
      <c r="DO21644" s="303" t="s">
        <v>232</v>
      </c>
    </row>
    <row r="21645" spans="119:119" x14ac:dyDescent="0.2">
      <c r="DO21645" s="303" t="s">
        <v>232</v>
      </c>
    </row>
    <row r="21646" spans="119:119" x14ac:dyDescent="0.2">
      <c r="DO21646" s="303" t="s">
        <v>232</v>
      </c>
    </row>
    <row r="21647" spans="119:119" x14ac:dyDescent="0.2">
      <c r="DO21647" s="303" t="s">
        <v>232</v>
      </c>
    </row>
    <row r="21648" spans="119:119" x14ac:dyDescent="0.2">
      <c r="DO21648" s="303" t="s">
        <v>232</v>
      </c>
    </row>
    <row r="21649" spans="119:119" x14ac:dyDescent="0.2">
      <c r="DO21649" s="303" t="s">
        <v>232</v>
      </c>
    </row>
    <row r="21650" spans="119:119" x14ac:dyDescent="0.2">
      <c r="DO21650" s="303" t="s">
        <v>232</v>
      </c>
    </row>
    <row r="21651" spans="119:119" x14ac:dyDescent="0.2">
      <c r="DO21651" s="303" t="s">
        <v>232</v>
      </c>
    </row>
    <row r="21652" spans="119:119" x14ac:dyDescent="0.2">
      <c r="DO21652" s="303" t="s">
        <v>232</v>
      </c>
    </row>
    <row r="21653" spans="119:119" x14ac:dyDescent="0.2">
      <c r="DO21653" s="303" t="s">
        <v>232</v>
      </c>
    </row>
    <row r="21654" spans="119:119" x14ac:dyDescent="0.2">
      <c r="DO21654" s="303" t="s">
        <v>232</v>
      </c>
    </row>
    <row r="21655" spans="119:119" x14ac:dyDescent="0.2">
      <c r="DO21655" s="303" t="s">
        <v>232</v>
      </c>
    </row>
    <row r="21656" spans="119:119" x14ac:dyDescent="0.2">
      <c r="DO21656" s="303" t="s">
        <v>232</v>
      </c>
    </row>
    <row r="21657" spans="119:119" x14ac:dyDescent="0.2">
      <c r="DO21657" s="303" t="s">
        <v>232</v>
      </c>
    </row>
    <row r="21658" spans="119:119" x14ac:dyDescent="0.2">
      <c r="DO21658" s="303" t="s">
        <v>232</v>
      </c>
    </row>
    <row r="21659" spans="119:119" x14ac:dyDescent="0.2">
      <c r="DO21659" s="303" t="s">
        <v>232</v>
      </c>
    </row>
    <row r="21660" spans="119:119" x14ac:dyDescent="0.2">
      <c r="DO21660" s="303" t="s">
        <v>232</v>
      </c>
    </row>
    <row r="21661" spans="119:119" x14ac:dyDescent="0.2">
      <c r="DO21661" s="303" t="s">
        <v>232</v>
      </c>
    </row>
    <row r="21662" spans="119:119" x14ac:dyDescent="0.2">
      <c r="DO21662" s="303" t="s">
        <v>232</v>
      </c>
    </row>
    <row r="21663" spans="119:119" x14ac:dyDescent="0.2">
      <c r="DO21663" s="303" t="s">
        <v>232</v>
      </c>
    </row>
    <row r="21664" spans="119:119" x14ac:dyDescent="0.2">
      <c r="DO21664" s="303" t="s">
        <v>232</v>
      </c>
    </row>
    <row r="21665" spans="119:119" x14ac:dyDescent="0.2">
      <c r="DO21665" s="303" t="s">
        <v>232</v>
      </c>
    </row>
    <row r="21666" spans="119:119" x14ac:dyDescent="0.2">
      <c r="DO21666" s="303" t="s">
        <v>232</v>
      </c>
    </row>
    <row r="21667" spans="119:119" x14ac:dyDescent="0.2">
      <c r="DO21667" s="303" t="s">
        <v>232</v>
      </c>
    </row>
    <row r="21668" spans="119:119" x14ac:dyDescent="0.2">
      <c r="DO21668" s="303" t="s">
        <v>232</v>
      </c>
    </row>
    <row r="21669" spans="119:119" x14ac:dyDescent="0.2">
      <c r="DO21669" s="303" t="s">
        <v>232</v>
      </c>
    </row>
    <row r="21670" spans="119:119" x14ac:dyDescent="0.2">
      <c r="DO21670" s="303" t="s">
        <v>232</v>
      </c>
    </row>
    <row r="21671" spans="119:119" x14ac:dyDescent="0.2">
      <c r="DO21671" s="303" t="s">
        <v>232</v>
      </c>
    </row>
    <row r="21672" spans="119:119" x14ac:dyDescent="0.2">
      <c r="DO21672" s="303" t="s">
        <v>232</v>
      </c>
    </row>
    <row r="21673" spans="119:119" x14ac:dyDescent="0.2">
      <c r="DO21673" s="303" t="s">
        <v>232</v>
      </c>
    </row>
    <row r="21674" spans="119:119" x14ac:dyDescent="0.2">
      <c r="DO21674" s="303" t="s">
        <v>232</v>
      </c>
    </row>
    <row r="21675" spans="119:119" x14ac:dyDescent="0.2">
      <c r="DO21675" s="303" t="s">
        <v>232</v>
      </c>
    </row>
    <row r="21676" spans="119:119" x14ac:dyDescent="0.2">
      <c r="DO21676" s="303" t="s">
        <v>232</v>
      </c>
    </row>
    <row r="21677" spans="119:119" x14ac:dyDescent="0.2">
      <c r="DO21677" s="303" t="s">
        <v>232</v>
      </c>
    </row>
    <row r="21678" spans="119:119" x14ac:dyDescent="0.2">
      <c r="DO21678" s="303" t="s">
        <v>232</v>
      </c>
    </row>
    <row r="21679" spans="119:119" x14ac:dyDescent="0.2">
      <c r="DO21679" s="303" t="s">
        <v>232</v>
      </c>
    </row>
    <row r="21680" spans="119:119" x14ac:dyDescent="0.2">
      <c r="DO21680" s="303" t="s">
        <v>232</v>
      </c>
    </row>
    <row r="21681" spans="119:119" x14ac:dyDescent="0.2">
      <c r="DO21681" s="303" t="s">
        <v>232</v>
      </c>
    </row>
    <row r="21682" spans="119:119" x14ac:dyDescent="0.2">
      <c r="DO21682" s="303" t="s">
        <v>232</v>
      </c>
    </row>
    <row r="21683" spans="119:119" x14ac:dyDescent="0.2">
      <c r="DO21683" s="303" t="s">
        <v>232</v>
      </c>
    </row>
    <row r="21684" spans="119:119" x14ac:dyDescent="0.2">
      <c r="DO21684" s="303" t="s">
        <v>232</v>
      </c>
    </row>
    <row r="21685" spans="119:119" x14ac:dyDescent="0.2">
      <c r="DO21685" s="303" t="s">
        <v>232</v>
      </c>
    </row>
    <row r="21686" spans="119:119" x14ac:dyDescent="0.2">
      <c r="DO21686" s="303" t="s">
        <v>232</v>
      </c>
    </row>
    <row r="21687" spans="119:119" x14ac:dyDescent="0.2">
      <c r="DO21687" s="303" t="s">
        <v>232</v>
      </c>
    </row>
    <row r="21688" spans="119:119" x14ac:dyDescent="0.2">
      <c r="DO21688" s="303" t="s">
        <v>232</v>
      </c>
    </row>
    <row r="21689" spans="119:119" x14ac:dyDescent="0.2">
      <c r="DO21689" s="303" t="s">
        <v>232</v>
      </c>
    </row>
    <row r="21690" spans="119:119" x14ac:dyDescent="0.2">
      <c r="DO21690" s="303" t="s">
        <v>232</v>
      </c>
    </row>
    <row r="21691" spans="119:119" x14ac:dyDescent="0.2">
      <c r="DO21691" s="303" t="s">
        <v>232</v>
      </c>
    </row>
    <row r="21692" spans="119:119" x14ac:dyDescent="0.2">
      <c r="DO21692" s="303" t="s">
        <v>232</v>
      </c>
    </row>
    <row r="21693" spans="119:119" x14ac:dyDescent="0.2">
      <c r="DO21693" s="303" t="s">
        <v>232</v>
      </c>
    </row>
    <row r="21694" spans="119:119" x14ac:dyDescent="0.2">
      <c r="DO21694" s="303" t="s">
        <v>232</v>
      </c>
    </row>
    <row r="21695" spans="119:119" x14ac:dyDescent="0.2">
      <c r="DO21695" s="303" t="s">
        <v>232</v>
      </c>
    </row>
    <row r="21696" spans="119:119" x14ac:dyDescent="0.2">
      <c r="DO21696" s="303" t="s">
        <v>232</v>
      </c>
    </row>
    <row r="21697" spans="119:119" x14ac:dyDescent="0.2">
      <c r="DO21697" s="303" t="s">
        <v>232</v>
      </c>
    </row>
    <row r="21698" spans="119:119" x14ac:dyDescent="0.2">
      <c r="DO21698" s="303" t="s">
        <v>232</v>
      </c>
    </row>
    <row r="21699" spans="119:119" x14ac:dyDescent="0.2">
      <c r="DO21699" s="303" t="s">
        <v>232</v>
      </c>
    </row>
    <row r="21700" spans="119:119" x14ac:dyDescent="0.2">
      <c r="DO21700" s="303" t="s">
        <v>232</v>
      </c>
    </row>
    <row r="21701" spans="119:119" x14ac:dyDescent="0.2">
      <c r="DO21701" s="303" t="s">
        <v>232</v>
      </c>
    </row>
    <row r="21702" spans="119:119" x14ac:dyDescent="0.2">
      <c r="DO21702" s="303" t="s">
        <v>232</v>
      </c>
    </row>
    <row r="21703" spans="119:119" x14ac:dyDescent="0.2">
      <c r="DO21703" s="303" t="s">
        <v>232</v>
      </c>
    </row>
    <row r="21704" spans="119:119" x14ac:dyDescent="0.2">
      <c r="DO21704" s="303" t="s">
        <v>232</v>
      </c>
    </row>
    <row r="21705" spans="119:119" x14ac:dyDescent="0.2">
      <c r="DO21705" s="303" t="s">
        <v>232</v>
      </c>
    </row>
    <row r="21706" spans="119:119" x14ac:dyDescent="0.2">
      <c r="DO21706" s="303" t="s">
        <v>232</v>
      </c>
    </row>
    <row r="21707" spans="119:119" x14ac:dyDescent="0.2">
      <c r="DO21707" s="303" t="s">
        <v>232</v>
      </c>
    </row>
    <row r="21708" spans="119:119" x14ac:dyDescent="0.2">
      <c r="DO21708" s="303" t="s">
        <v>232</v>
      </c>
    </row>
    <row r="21709" spans="119:119" x14ac:dyDescent="0.2">
      <c r="DO21709" s="303" t="s">
        <v>232</v>
      </c>
    </row>
    <row r="21710" spans="119:119" x14ac:dyDescent="0.2">
      <c r="DO21710" s="303" t="s">
        <v>232</v>
      </c>
    </row>
    <row r="21711" spans="119:119" x14ac:dyDescent="0.2">
      <c r="DO21711" s="303" t="s">
        <v>232</v>
      </c>
    </row>
    <row r="21712" spans="119:119" x14ac:dyDescent="0.2">
      <c r="DO21712" s="303" t="s">
        <v>232</v>
      </c>
    </row>
    <row r="21713" spans="119:119" x14ac:dyDescent="0.2">
      <c r="DO21713" s="303" t="s">
        <v>232</v>
      </c>
    </row>
    <row r="21714" spans="119:119" x14ac:dyDescent="0.2">
      <c r="DO21714" s="303" t="s">
        <v>232</v>
      </c>
    </row>
    <row r="21715" spans="119:119" x14ac:dyDescent="0.2">
      <c r="DO21715" s="303" t="s">
        <v>232</v>
      </c>
    </row>
    <row r="21716" spans="119:119" x14ac:dyDescent="0.2">
      <c r="DO21716" s="303" t="s">
        <v>232</v>
      </c>
    </row>
    <row r="21717" spans="119:119" x14ac:dyDescent="0.2">
      <c r="DO21717" s="303" t="s">
        <v>232</v>
      </c>
    </row>
    <row r="21718" spans="119:119" x14ac:dyDescent="0.2">
      <c r="DO21718" s="303" t="s">
        <v>232</v>
      </c>
    </row>
    <row r="21719" spans="119:119" x14ac:dyDescent="0.2">
      <c r="DO21719" s="303" t="s">
        <v>232</v>
      </c>
    </row>
    <row r="21720" spans="119:119" x14ac:dyDescent="0.2">
      <c r="DO21720" s="303" t="s">
        <v>232</v>
      </c>
    </row>
    <row r="21721" spans="119:119" x14ac:dyDescent="0.2">
      <c r="DO21721" s="303" t="s">
        <v>232</v>
      </c>
    </row>
    <row r="21722" spans="119:119" x14ac:dyDescent="0.2">
      <c r="DO21722" s="303" t="s">
        <v>232</v>
      </c>
    </row>
    <row r="21723" spans="119:119" x14ac:dyDescent="0.2">
      <c r="DO21723" s="303" t="s">
        <v>232</v>
      </c>
    </row>
    <row r="21724" spans="119:119" x14ac:dyDescent="0.2">
      <c r="DO21724" s="303" t="s">
        <v>232</v>
      </c>
    </row>
    <row r="21725" spans="119:119" x14ac:dyDescent="0.2">
      <c r="DO21725" s="303" t="s">
        <v>232</v>
      </c>
    </row>
    <row r="21726" spans="119:119" x14ac:dyDescent="0.2">
      <c r="DO21726" s="303" t="s">
        <v>232</v>
      </c>
    </row>
    <row r="21727" spans="119:119" x14ac:dyDescent="0.2">
      <c r="DO21727" s="303" t="s">
        <v>232</v>
      </c>
    </row>
    <row r="21728" spans="119:119" x14ac:dyDescent="0.2">
      <c r="DO21728" s="303" t="s">
        <v>232</v>
      </c>
    </row>
    <row r="21729" spans="119:119" x14ac:dyDescent="0.2">
      <c r="DO21729" s="303" t="s">
        <v>232</v>
      </c>
    </row>
    <row r="21730" spans="119:119" x14ac:dyDescent="0.2">
      <c r="DO21730" s="303" t="s">
        <v>232</v>
      </c>
    </row>
    <row r="21731" spans="119:119" x14ac:dyDescent="0.2">
      <c r="DO21731" s="303" t="s">
        <v>232</v>
      </c>
    </row>
    <row r="21732" spans="119:119" x14ac:dyDescent="0.2">
      <c r="DO21732" s="303" t="s">
        <v>232</v>
      </c>
    </row>
    <row r="21733" spans="119:119" x14ac:dyDescent="0.2">
      <c r="DO21733" s="303" t="s">
        <v>232</v>
      </c>
    </row>
    <row r="21734" spans="119:119" x14ac:dyDescent="0.2">
      <c r="DO21734" s="303" t="s">
        <v>232</v>
      </c>
    </row>
    <row r="21735" spans="119:119" x14ac:dyDescent="0.2">
      <c r="DO21735" s="303" t="s">
        <v>232</v>
      </c>
    </row>
    <row r="21736" spans="119:119" x14ac:dyDescent="0.2">
      <c r="DO21736" s="303" t="s">
        <v>232</v>
      </c>
    </row>
    <row r="21737" spans="119:119" x14ac:dyDescent="0.2">
      <c r="DO21737" s="303" t="s">
        <v>232</v>
      </c>
    </row>
    <row r="21738" spans="119:119" x14ac:dyDescent="0.2">
      <c r="DO21738" s="303" t="s">
        <v>232</v>
      </c>
    </row>
    <row r="21739" spans="119:119" x14ac:dyDescent="0.2">
      <c r="DO21739" s="303" t="s">
        <v>232</v>
      </c>
    </row>
    <row r="21740" spans="119:119" x14ac:dyDescent="0.2">
      <c r="DO21740" s="303" t="s">
        <v>232</v>
      </c>
    </row>
    <row r="21741" spans="119:119" x14ac:dyDescent="0.2">
      <c r="DO21741" s="303" t="s">
        <v>232</v>
      </c>
    </row>
    <row r="21742" spans="119:119" x14ac:dyDescent="0.2">
      <c r="DO21742" s="303" t="s">
        <v>232</v>
      </c>
    </row>
    <row r="21743" spans="119:119" x14ac:dyDescent="0.2">
      <c r="DO21743" s="303" t="s">
        <v>232</v>
      </c>
    </row>
    <row r="21744" spans="119:119" x14ac:dyDescent="0.2">
      <c r="DO21744" s="303" t="s">
        <v>232</v>
      </c>
    </row>
    <row r="21745" spans="119:119" x14ac:dyDescent="0.2">
      <c r="DO21745" s="303" t="s">
        <v>232</v>
      </c>
    </row>
    <row r="21746" spans="119:119" x14ac:dyDescent="0.2">
      <c r="DO21746" s="303" t="s">
        <v>232</v>
      </c>
    </row>
    <row r="21747" spans="119:119" x14ac:dyDescent="0.2">
      <c r="DO21747" s="303" t="s">
        <v>232</v>
      </c>
    </row>
    <row r="21748" spans="119:119" x14ac:dyDescent="0.2">
      <c r="DO21748" s="303" t="s">
        <v>232</v>
      </c>
    </row>
    <row r="21749" spans="119:119" x14ac:dyDescent="0.2">
      <c r="DO21749" s="303" t="s">
        <v>232</v>
      </c>
    </row>
    <row r="21750" spans="119:119" x14ac:dyDescent="0.2">
      <c r="DO21750" s="303" t="s">
        <v>232</v>
      </c>
    </row>
    <row r="21751" spans="119:119" x14ac:dyDescent="0.2">
      <c r="DO21751" s="303" t="s">
        <v>232</v>
      </c>
    </row>
    <row r="21752" spans="119:119" x14ac:dyDescent="0.2">
      <c r="DO21752" s="303" t="s">
        <v>232</v>
      </c>
    </row>
    <row r="21753" spans="119:119" x14ac:dyDescent="0.2">
      <c r="DO21753" s="303" t="s">
        <v>232</v>
      </c>
    </row>
    <row r="21754" spans="119:119" x14ac:dyDescent="0.2">
      <c r="DO21754" s="303" t="s">
        <v>232</v>
      </c>
    </row>
    <row r="21755" spans="119:119" x14ac:dyDescent="0.2">
      <c r="DO21755" s="303" t="s">
        <v>232</v>
      </c>
    </row>
    <row r="21756" spans="119:119" x14ac:dyDescent="0.2">
      <c r="DO21756" s="303" t="s">
        <v>232</v>
      </c>
    </row>
    <row r="21757" spans="119:119" x14ac:dyDescent="0.2">
      <c r="DO21757" s="303" t="s">
        <v>232</v>
      </c>
    </row>
    <row r="21758" spans="119:119" x14ac:dyDescent="0.2">
      <c r="DO21758" s="303" t="s">
        <v>232</v>
      </c>
    </row>
    <row r="21759" spans="119:119" x14ac:dyDescent="0.2">
      <c r="DO21759" s="303" t="s">
        <v>232</v>
      </c>
    </row>
    <row r="21760" spans="119:119" x14ac:dyDescent="0.2">
      <c r="DO21760" s="303" t="s">
        <v>232</v>
      </c>
    </row>
    <row r="21761" spans="119:119" x14ac:dyDescent="0.2">
      <c r="DO21761" s="303" t="s">
        <v>232</v>
      </c>
    </row>
    <row r="21762" spans="119:119" x14ac:dyDescent="0.2">
      <c r="DO21762" s="303" t="s">
        <v>232</v>
      </c>
    </row>
    <row r="21763" spans="119:119" x14ac:dyDescent="0.2">
      <c r="DO21763" s="303" t="s">
        <v>232</v>
      </c>
    </row>
    <row r="21764" spans="119:119" x14ac:dyDescent="0.2">
      <c r="DO21764" s="303" t="s">
        <v>232</v>
      </c>
    </row>
    <row r="21765" spans="119:119" x14ac:dyDescent="0.2">
      <c r="DO21765" s="303" t="s">
        <v>232</v>
      </c>
    </row>
    <row r="21766" spans="119:119" x14ac:dyDescent="0.2">
      <c r="DO21766" s="303" t="s">
        <v>232</v>
      </c>
    </row>
    <row r="21767" spans="119:119" x14ac:dyDescent="0.2">
      <c r="DO21767" s="303" t="s">
        <v>232</v>
      </c>
    </row>
    <row r="21768" spans="119:119" x14ac:dyDescent="0.2">
      <c r="DO21768" s="303" t="s">
        <v>232</v>
      </c>
    </row>
    <row r="21769" spans="119:119" x14ac:dyDescent="0.2">
      <c r="DO21769" s="303" t="s">
        <v>232</v>
      </c>
    </row>
    <row r="21770" spans="119:119" x14ac:dyDescent="0.2">
      <c r="DO21770" s="303" t="s">
        <v>232</v>
      </c>
    </row>
    <row r="21771" spans="119:119" x14ac:dyDescent="0.2">
      <c r="DO21771" s="303" t="s">
        <v>232</v>
      </c>
    </row>
    <row r="21772" spans="119:119" x14ac:dyDescent="0.2">
      <c r="DO21772" s="303" t="s">
        <v>232</v>
      </c>
    </row>
    <row r="21773" spans="119:119" x14ac:dyDescent="0.2">
      <c r="DO21773" s="303" t="s">
        <v>232</v>
      </c>
    </row>
    <row r="21774" spans="119:119" x14ac:dyDescent="0.2">
      <c r="DO21774" s="303" t="s">
        <v>232</v>
      </c>
    </row>
    <row r="21775" spans="119:119" x14ac:dyDescent="0.2">
      <c r="DO21775" s="303" t="s">
        <v>232</v>
      </c>
    </row>
    <row r="21776" spans="119:119" x14ac:dyDescent="0.2">
      <c r="DO21776" s="303" t="s">
        <v>232</v>
      </c>
    </row>
    <row r="21777" spans="119:119" x14ac:dyDescent="0.2">
      <c r="DO21777" s="303" t="s">
        <v>232</v>
      </c>
    </row>
    <row r="21778" spans="119:119" x14ac:dyDescent="0.2">
      <c r="DO21778" s="303" t="s">
        <v>232</v>
      </c>
    </row>
    <row r="21779" spans="119:119" x14ac:dyDescent="0.2">
      <c r="DO21779" s="303" t="s">
        <v>232</v>
      </c>
    </row>
    <row r="21780" spans="119:119" x14ac:dyDescent="0.2">
      <c r="DO21780" s="303" t="s">
        <v>232</v>
      </c>
    </row>
    <row r="21781" spans="119:119" x14ac:dyDescent="0.2">
      <c r="DO21781" s="303" t="s">
        <v>232</v>
      </c>
    </row>
    <row r="21782" spans="119:119" x14ac:dyDescent="0.2">
      <c r="DO21782" s="303" t="s">
        <v>232</v>
      </c>
    </row>
    <row r="21783" spans="119:119" x14ac:dyDescent="0.2">
      <c r="DO21783" s="303" t="s">
        <v>232</v>
      </c>
    </row>
    <row r="21784" spans="119:119" x14ac:dyDescent="0.2">
      <c r="DO21784" s="303" t="s">
        <v>232</v>
      </c>
    </row>
    <row r="21785" spans="119:119" x14ac:dyDescent="0.2">
      <c r="DO21785" s="303" t="s">
        <v>232</v>
      </c>
    </row>
    <row r="21786" spans="119:119" x14ac:dyDescent="0.2">
      <c r="DO21786" s="303" t="s">
        <v>232</v>
      </c>
    </row>
    <row r="21787" spans="119:119" x14ac:dyDescent="0.2">
      <c r="DO21787" s="303" t="s">
        <v>232</v>
      </c>
    </row>
    <row r="21788" spans="119:119" x14ac:dyDescent="0.2">
      <c r="DO21788" s="303" t="s">
        <v>232</v>
      </c>
    </row>
    <row r="21789" spans="119:119" x14ac:dyDescent="0.2">
      <c r="DO21789" s="303" t="s">
        <v>232</v>
      </c>
    </row>
    <row r="21790" spans="119:119" x14ac:dyDescent="0.2">
      <c r="DO21790" s="303" t="s">
        <v>232</v>
      </c>
    </row>
    <row r="21791" spans="119:119" x14ac:dyDescent="0.2">
      <c r="DO21791" s="303" t="s">
        <v>232</v>
      </c>
    </row>
    <row r="21792" spans="119:119" x14ac:dyDescent="0.2">
      <c r="DO21792" s="303" t="s">
        <v>232</v>
      </c>
    </row>
    <row r="21793" spans="119:119" x14ac:dyDescent="0.2">
      <c r="DO21793" s="303" t="s">
        <v>232</v>
      </c>
    </row>
    <row r="21794" spans="119:119" x14ac:dyDescent="0.2">
      <c r="DO21794" s="303" t="s">
        <v>232</v>
      </c>
    </row>
    <row r="21795" spans="119:119" x14ac:dyDescent="0.2">
      <c r="DO21795" s="303" t="s">
        <v>232</v>
      </c>
    </row>
    <row r="21796" spans="119:119" x14ac:dyDescent="0.2">
      <c r="DO21796" s="303" t="s">
        <v>232</v>
      </c>
    </row>
    <row r="21797" spans="119:119" x14ac:dyDescent="0.2">
      <c r="DO21797" s="303" t="s">
        <v>232</v>
      </c>
    </row>
    <row r="21798" spans="119:119" x14ac:dyDescent="0.2">
      <c r="DO21798" s="303" t="s">
        <v>232</v>
      </c>
    </row>
    <row r="21799" spans="119:119" x14ac:dyDescent="0.2">
      <c r="DO21799" s="303" t="s">
        <v>232</v>
      </c>
    </row>
    <row r="21800" spans="119:119" x14ac:dyDescent="0.2">
      <c r="DO21800" s="303" t="s">
        <v>232</v>
      </c>
    </row>
    <row r="21801" spans="119:119" x14ac:dyDescent="0.2">
      <c r="DO21801" s="303" t="s">
        <v>232</v>
      </c>
    </row>
    <row r="21802" spans="119:119" x14ac:dyDescent="0.2">
      <c r="DO21802" s="303" t="s">
        <v>232</v>
      </c>
    </row>
    <row r="21803" spans="119:119" x14ac:dyDescent="0.2">
      <c r="DO21803" s="303" t="s">
        <v>232</v>
      </c>
    </row>
    <row r="21804" spans="119:119" x14ac:dyDescent="0.2">
      <c r="DO21804" s="303" t="s">
        <v>232</v>
      </c>
    </row>
    <row r="21805" spans="119:119" x14ac:dyDescent="0.2">
      <c r="DO21805" s="303" t="s">
        <v>232</v>
      </c>
    </row>
    <row r="21806" spans="119:119" x14ac:dyDescent="0.2">
      <c r="DO21806" s="303" t="s">
        <v>232</v>
      </c>
    </row>
    <row r="21807" spans="119:119" x14ac:dyDescent="0.2">
      <c r="DO21807" s="303" t="s">
        <v>232</v>
      </c>
    </row>
    <row r="21808" spans="119:119" x14ac:dyDescent="0.2">
      <c r="DO21808" s="303" t="s">
        <v>232</v>
      </c>
    </row>
    <row r="21809" spans="119:119" x14ac:dyDescent="0.2">
      <c r="DO21809" s="303" t="s">
        <v>232</v>
      </c>
    </row>
    <row r="21810" spans="119:119" x14ac:dyDescent="0.2">
      <c r="DO21810" s="303" t="s">
        <v>232</v>
      </c>
    </row>
    <row r="21811" spans="119:119" x14ac:dyDescent="0.2">
      <c r="DO21811" s="303" t="s">
        <v>232</v>
      </c>
    </row>
    <row r="21812" spans="119:119" x14ac:dyDescent="0.2">
      <c r="DO21812" s="303" t="s">
        <v>232</v>
      </c>
    </row>
    <row r="21813" spans="119:119" x14ac:dyDescent="0.2">
      <c r="DO21813" s="303" t="s">
        <v>232</v>
      </c>
    </row>
    <row r="21814" spans="119:119" x14ac:dyDescent="0.2">
      <c r="DO21814" s="303" t="s">
        <v>232</v>
      </c>
    </row>
    <row r="21815" spans="119:119" x14ac:dyDescent="0.2">
      <c r="DO21815" s="303" t="s">
        <v>232</v>
      </c>
    </row>
    <row r="21816" spans="119:119" x14ac:dyDescent="0.2">
      <c r="DO21816" s="303" t="s">
        <v>232</v>
      </c>
    </row>
    <row r="21817" spans="119:119" x14ac:dyDescent="0.2">
      <c r="DO21817" s="303" t="s">
        <v>232</v>
      </c>
    </row>
    <row r="21818" spans="119:119" x14ac:dyDescent="0.2">
      <c r="DO21818" s="303" t="s">
        <v>232</v>
      </c>
    </row>
    <row r="21819" spans="119:119" x14ac:dyDescent="0.2">
      <c r="DO21819" s="303" t="s">
        <v>232</v>
      </c>
    </row>
    <row r="21820" spans="119:119" x14ac:dyDescent="0.2">
      <c r="DO21820" s="303" t="s">
        <v>232</v>
      </c>
    </row>
    <row r="21821" spans="119:119" x14ac:dyDescent="0.2">
      <c r="DO21821" s="303" t="s">
        <v>232</v>
      </c>
    </row>
    <row r="21822" spans="119:119" x14ac:dyDescent="0.2">
      <c r="DO21822" s="303" t="s">
        <v>232</v>
      </c>
    </row>
    <row r="21823" spans="119:119" x14ac:dyDescent="0.2">
      <c r="DO21823" s="303" t="s">
        <v>232</v>
      </c>
    </row>
    <row r="21824" spans="119:119" x14ac:dyDescent="0.2">
      <c r="DO21824" s="303" t="s">
        <v>232</v>
      </c>
    </row>
    <row r="21825" spans="119:119" x14ac:dyDescent="0.2">
      <c r="DO21825" s="303" t="s">
        <v>232</v>
      </c>
    </row>
    <row r="21826" spans="119:119" x14ac:dyDescent="0.2">
      <c r="DO21826" s="303" t="s">
        <v>232</v>
      </c>
    </row>
    <row r="21827" spans="119:119" x14ac:dyDescent="0.2">
      <c r="DO21827" s="303" t="s">
        <v>232</v>
      </c>
    </row>
    <row r="21828" spans="119:119" x14ac:dyDescent="0.2">
      <c r="DO21828" s="303" t="s">
        <v>232</v>
      </c>
    </row>
    <row r="21829" spans="119:119" x14ac:dyDescent="0.2">
      <c r="DO21829" s="303" t="s">
        <v>232</v>
      </c>
    </row>
    <row r="21830" spans="119:119" x14ac:dyDescent="0.2">
      <c r="DO21830" s="303" t="s">
        <v>232</v>
      </c>
    </row>
    <row r="21831" spans="119:119" x14ac:dyDescent="0.2">
      <c r="DO21831" s="303" t="s">
        <v>232</v>
      </c>
    </row>
    <row r="21832" spans="119:119" x14ac:dyDescent="0.2">
      <c r="DO21832" s="303" t="s">
        <v>232</v>
      </c>
    </row>
    <row r="21833" spans="119:119" x14ac:dyDescent="0.2">
      <c r="DO21833" s="303" t="s">
        <v>232</v>
      </c>
    </row>
    <row r="21834" spans="119:119" x14ac:dyDescent="0.2">
      <c r="DO21834" s="303" t="s">
        <v>232</v>
      </c>
    </row>
    <row r="21835" spans="119:119" x14ac:dyDescent="0.2">
      <c r="DO21835" s="303" t="s">
        <v>232</v>
      </c>
    </row>
    <row r="21836" spans="119:119" x14ac:dyDescent="0.2">
      <c r="DO21836" s="303" t="s">
        <v>232</v>
      </c>
    </row>
    <row r="21837" spans="119:119" x14ac:dyDescent="0.2">
      <c r="DO21837" s="303" t="s">
        <v>232</v>
      </c>
    </row>
    <row r="21838" spans="119:119" x14ac:dyDescent="0.2">
      <c r="DO21838" s="303" t="s">
        <v>232</v>
      </c>
    </row>
    <row r="21839" spans="119:119" x14ac:dyDescent="0.2">
      <c r="DO21839" s="303" t="s">
        <v>232</v>
      </c>
    </row>
    <row r="21840" spans="119:119" x14ac:dyDescent="0.2">
      <c r="DO21840" s="303" t="s">
        <v>232</v>
      </c>
    </row>
    <row r="21841" spans="119:119" x14ac:dyDescent="0.2">
      <c r="DO21841" s="303" t="s">
        <v>232</v>
      </c>
    </row>
    <row r="21842" spans="119:119" x14ac:dyDescent="0.2">
      <c r="DO21842" s="303" t="s">
        <v>232</v>
      </c>
    </row>
    <row r="21843" spans="119:119" x14ac:dyDescent="0.2">
      <c r="DO21843" s="303" t="s">
        <v>232</v>
      </c>
    </row>
    <row r="21844" spans="119:119" x14ac:dyDescent="0.2">
      <c r="DO21844" s="303" t="s">
        <v>232</v>
      </c>
    </row>
    <row r="21845" spans="119:119" x14ac:dyDescent="0.2">
      <c r="DO21845" s="303" t="s">
        <v>232</v>
      </c>
    </row>
    <row r="21846" spans="119:119" x14ac:dyDescent="0.2">
      <c r="DO21846" s="303" t="s">
        <v>232</v>
      </c>
    </row>
    <row r="21847" spans="119:119" x14ac:dyDescent="0.2">
      <c r="DO21847" s="303" t="s">
        <v>232</v>
      </c>
    </row>
    <row r="21848" spans="119:119" x14ac:dyDescent="0.2">
      <c r="DO21848" s="303" t="s">
        <v>232</v>
      </c>
    </row>
    <row r="21849" spans="119:119" x14ac:dyDescent="0.2">
      <c r="DO21849" s="303" t="s">
        <v>232</v>
      </c>
    </row>
    <row r="21850" spans="119:119" x14ac:dyDescent="0.2">
      <c r="DO21850" s="303" t="s">
        <v>232</v>
      </c>
    </row>
    <row r="21851" spans="119:119" x14ac:dyDescent="0.2">
      <c r="DO21851" s="303" t="s">
        <v>232</v>
      </c>
    </row>
    <row r="21852" spans="119:119" x14ac:dyDescent="0.2">
      <c r="DO21852" s="303" t="s">
        <v>232</v>
      </c>
    </row>
    <row r="21853" spans="119:119" x14ac:dyDescent="0.2">
      <c r="DO21853" s="303" t="s">
        <v>232</v>
      </c>
    </row>
    <row r="21854" spans="119:119" x14ac:dyDescent="0.2">
      <c r="DO21854" s="303" t="s">
        <v>232</v>
      </c>
    </row>
    <row r="21855" spans="119:119" x14ac:dyDescent="0.2">
      <c r="DO21855" s="303" t="s">
        <v>232</v>
      </c>
    </row>
    <row r="21856" spans="119:119" x14ac:dyDescent="0.2">
      <c r="DO21856" s="303" t="s">
        <v>232</v>
      </c>
    </row>
    <row r="21857" spans="119:119" x14ac:dyDescent="0.2">
      <c r="DO21857" s="303" t="s">
        <v>232</v>
      </c>
    </row>
    <row r="21858" spans="119:119" x14ac:dyDescent="0.2">
      <c r="DO21858" s="303" t="s">
        <v>232</v>
      </c>
    </row>
    <row r="21859" spans="119:119" x14ac:dyDescent="0.2">
      <c r="DO21859" s="303" t="s">
        <v>232</v>
      </c>
    </row>
    <row r="21860" spans="119:119" x14ac:dyDescent="0.2">
      <c r="DO21860" s="303" t="s">
        <v>232</v>
      </c>
    </row>
    <row r="21861" spans="119:119" x14ac:dyDescent="0.2">
      <c r="DO21861" s="303" t="s">
        <v>232</v>
      </c>
    </row>
    <row r="21862" spans="119:119" x14ac:dyDescent="0.2">
      <c r="DO21862" s="303" t="s">
        <v>232</v>
      </c>
    </row>
    <row r="21863" spans="119:119" x14ac:dyDescent="0.2">
      <c r="DO21863" s="303" t="s">
        <v>232</v>
      </c>
    </row>
    <row r="21864" spans="119:119" x14ac:dyDescent="0.2">
      <c r="DO21864" s="303" t="s">
        <v>232</v>
      </c>
    </row>
    <row r="21865" spans="119:119" x14ac:dyDescent="0.2">
      <c r="DO21865" s="303" t="s">
        <v>232</v>
      </c>
    </row>
    <row r="21866" spans="119:119" x14ac:dyDescent="0.2">
      <c r="DO21866" s="303" t="s">
        <v>232</v>
      </c>
    </row>
    <row r="21867" spans="119:119" x14ac:dyDescent="0.2">
      <c r="DO21867" s="303" t="s">
        <v>232</v>
      </c>
    </row>
    <row r="21868" spans="119:119" x14ac:dyDescent="0.2">
      <c r="DO21868" s="303" t="s">
        <v>232</v>
      </c>
    </row>
    <row r="21869" spans="119:119" x14ac:dyDescent="0.2">
      <c r="DO21869" s="303" t="s">
        <v>232</v>
      </c>
    </row>
    <row r="21870" spans="119:119" x14ac:dyDescent="0.2">
      <c r="DO21870" s="303" t="s">
        <v>232</v>
      </c>
    </row>
    <row r="21871" spans="119:119" x14ac:dyDescent="0.2">
      <c r="DO21871" s="303" t="s">
        <v>232</v>
      </c>
    </row>
    <row r="21872" spans="119:119" x14ac:dyDescent="0.2">
      <c r="DO21872" s="303" t="s">
        <v>232</v>
      </c>
    </row>
    <row r="21873" spans="119:119" x14ac:dyDescent="0.2">
      <c r="DO21873" s="303" t="s">
        <v>232</v>
      </c>
    </row>
    <row r="21874" spans="119:119" x14ac:dyDescent="0.2">
      <c r="DO21874" s="303" t="s">
        <v>232</v>
      </c>
    </row>
    <row r="21875" spans="119:119" x14ac:dyDescent="0.2">
      <c r="DO21875" s="303" t="s">
        <v>232</v>
      </c>
    </row>
    <row r="21876" spans="119:119" x14ac:dyDescent="0.2">
      <c r="DO21876" s="303" t="s">
        <v>232</v>
      </c>
    </row>
    <row r="21877" spans="119:119" x14ac:dyDescent="0.2">
      <c r="DO21877" s="303" t="s">
        <v>232</v>
      </c>
    </row>
    <row r="21878" spans="119:119" x14ac:dyDescent="0.2">
      <c r="DO21878" s="303" t="s">
        <v>232</v>
      </c>
    </row>
    <row r="21879" spans="119:119" x14ac:dyDescent="0.2">
      <c r="DO21879" s="303" t="s">
        <v>232</v>
      </c>
    </row>
    <row r="21880" spans="119:119" x14ac:dyDescent="0.2">
      <c r="DO21880" s="303" t="s">
        <v>232</v>
      </c>
    </row>
    <row r="21881" spans="119:119" x14ac:dyDescent="0.2">
      <c r="DO21881" s="303" t="s">
        <v>232</v>
      </c>
    </row>
    <row r="21882" spans="119:119" x14ac:dyDescent="0.2">
      <c r="DO21882" s="303" t="s">
        <v>232</v>
      </c>
    </row>
    <row r="21883" spans="119:119" x14ac:dyDescent="0.2">
      <c r="DO21883" s="303" t="s">
        <v>232</v>
      </c>
    </row>
    <row r="21884" spans="119:119" x14ac:dyDescent="0.2">
      <c r="DO21884" s="303" t="s">
        <v>232</v>
      </c>
    </row>
    <row r="21885" spans="119:119" x14ac:dyDescent="0.2">
      <c r="DO21885" s="303" t="s">
        <v>232</v>
      </c>
    </row>
    <row r="21886" spans="119:119" x14ac:dyDescent="0.2">
      <c r="DO21886" s="303" t="s">
        <v>232</v>
      </c>
    </row>
    <row r="21887" spans="119:119" x14ac:dyDescent="0.2">
      <c r="DO21887" s="303" t="s">
        <v>232</v>
      </c>
    </row>
    <row r="21888" spans="119:119" x14ac:dyDescent="0.2">
      <c r="DO21888" s="303" t="s">
        <v>232</v>
      </c>
    </row>
    <row r="21889" spans="119:119" x14ac:dyDescent="0.2">
      <c r="DO21889" s="303" t="s">
        <v>232</v>
      </c>
    </row>
    <row r="21890" spans="119:119" x14ac:dyDescent="0.2">
      <c r="DO21890" s="303" t="s">
        <v>232</v>
      </c>
    </row>
    <row r="21891" spans="119:119" x14ac:dyDescent="0.2">
      <c r="DO21891" s="303" t="s">
        <v>232</v>
      </c>
    </row>
    <row r="21892" spans="119:119" x14ac:dyDescent="0.2">
      <c r="DO21892" s="303" t="s">
        <v>232</v>
      </c>
    </row>
    <row r="21893" spans="119:119" x14ac:dyDescent="0.2">
      <c r="DO21893" s="303" t="s">
        <v>232</v>
      </c>
    </row>
    <row r="21894" spans="119:119" x14ac:dyDescent="0.2">
      <c r="DO21894" s="303" t="s">
        <v>232</v>
      </c>
    </row>
    <row r="21895" spans="119:119" x14ac:dyDescent="0.2">
      <c r="DO21895" s="303" t="s">
        <v>232</v>
      </c>
    </row>
    <row r="21896" spans="119:119" x14ac:dyDescent="0.2">
      <c r="DO21896" s="303" t="s">
        <v>232</v>
      </c>
    </row>
    <row r="21897" spans="119:119" x14ac:dyDescent="0.2">
      <c r="DO21897" s="303" t="s">
        <v>232</v>
      </c>
    </row>
    <row r="21898" spans="119:119" x14ac:dyDescent="0.2">
      <c r="DO21898" s="303" t="s">
        <v>232</v>
      </c>
    </row>
    <row r="21899" spans="119:119" x14ac:dyDescent="0.2">
      <c r="DO21899" s="303" t="s">
        <v>232</v>
      </c>
    </row>
    <row r="21900" spans="119:119" x14ac:dyDescent="0.2">
      <c r="DO21900" s="303" t="s">
        <v>232</v>
      </c>
    </row>
    <row r="21901" spans="119:119" x14ac:dyDescent="0.2">
      <c r="DO21901" s="303" t="s">
        <v>232</v>
      </c>
    </row>
    <row r="21902" spans="119:119" x14ac:dyDescent="0.2">
      <c r="DO21902" s="303" t="s">
        <v>232</v>
      </c>
    </row>
    <row r="21903" spans="119:119" x14ac:dyDescent="0.2">
      <c r="DO21903" s="303" t="s">
        <v>232</v>
      </c>
    </row>
    <row r="21904" spans="119:119" x14ac:dyDescent="0.2">
      <c r="DO21904" s="303" t="s">
        <v>232</v>
      </c>
    </row>
    <row r="21905" spans="119:119" x14ac:dyDescent="0.2">
      <c r="DO21905" s="303" t="s">
        <v>232</v>
      </c>
    </row>
    <row r="21906" spans="119:119" x14ac:dyDescent="0.2">
      <c r="DO21906" s="303" t="s">
        <v>232</v>
      </c>
    </row>
    <row r="21907" spans="119:119" x14ac:dyDescent="0.2">
      <c r="DO21907" s="303" t="s">
        <v>232</v>
      </c>
    </row>
    <row r="21908" spans="119:119" x14ac:dyDescent="0.2">
      <c r="DO21908" s="303" t="s">
        <v>232</v>
      </c>
    </row>
    <row r="21909" spans="119:119" x14ac:dyDescent="0.2">
      <c r="DO21909" s="303" t="s">
        <v>232</v>
      </c>
    </row>
    <row r="21910" spans="119:119" x14ac:dyDescent="0.2">
      <c r="DO21910" s="303" t="s">
        <v>232</v>
      </c>
    </row>
    <row r="21911" spans="119:119" x14ac:dyDescent="0.2">
      <c r="DO21911" s="303" t="s">
        <v>232</v>
      </c>
    </row>
    <row r="21912" spans="119:119" x14ac:dyDescent="0.2">
      <c r="DO21912" s="303" t="s">
        <v>232</v>
      </c>
    </row>
    <row r="21913" spans="119:119" x14ac:dyDescent="0.2">
      <c r="DO21913" s="303" t="s">
        <v>232</v>
      </c>
    </row>
    <row r="21914" spans="119:119" x14ac:dyDescent="0.2">
      <c r="DO21914" s="303" t="s">
        <v>232</v>
      </c>
    </row>
    <row r="21915" spans="119:119" x14ac:dyDescent="0.2">
      <c r="DO21915" s="303" t="s">
        <v>232</v>
      </c>
    </row>
    <row r="21916" spans="119:119" x14ac:dyDescent="0.2">
      <c r="DO21916" s="303" t="s">
        <v>232</v>
      </c>
    </row>
    <row r="21917" spans="119:119" x14ac:dyDescent="0.2">
      <c r="DO21917" s="303" t="s">
        <v>232</v>
      </c>
    </row>
    <row r="21918" spans="119:119" x14ac:dyDescent="0.2">
      <c r="DO21918" s="303" t="s">
        <v>232</v>
      </c>
    </row>
    <row r="21919" spans="119:119" x14ac:dyDescent="0.2">
      <c r="DO21919" s="303" t="s">
        <v>232</v>
      </c>
    </row>
    <row r="21920" spans="119:119" x14ac:dyDescent="0.2">
      <c r="DO21920" s="303" t="s">
        <v>232</v>
      </c>
    </row>
    <row r="21921" spans="119:119" x14ac:dyDescent="0.2">
      <c r="DO21921" s="303" t="s">
        <v>232</v>
      </c>
    </row>
    <row r="21922" spans="119:119" x14ac:dyDescent="0.2">
      <c r="DO21922" s="303" t="s">
        <v>232</v>
      </c>
    </row>
    <row r="21923" spans="119:119" x14ac:dyDescent="0.2">
      <c r="DO21923" s="303" t="s">
        <v>232</v>
      </c>
    </row>
    <row r="21924" spans="119:119" x14ac:dyDescent="0.2">
      <c r="DO21924" s="303" t="s">
        <v>232</v>
      </c>
    </row>
    <row r="21925" spans="119:119" x14ac:dyDescent="0.2">
      <c r="DO21925" s="303" t="s">
        <v>232</v>
      </c>
    </row>
    <row r="21926" spans="119:119" x14ac:dyDescent="0.2">
      <c r="DO21926" s="303" t="s">
        <v>232</v>
      </c>
    </row>
    <row r="21927" spans="119:119" x14ac:dyDescent="0.2">
      <c r="DO21927" s="303" t="s">
        <v>232</v>
      </c>
    </row>
    <row r="21928" spans="119:119" x14ac:dyDescent="0.2">
      <c r="DO21928" s="303" t="s">
        <v>232</v>
      </c>
    </row>
    <row r="21929" spans="119:119" x14ac:dyDescent="0.2">
      <c r="DO21929" s="303" t="s">
        <v>232</v>
      </c>
    </row>
    <row r="21930" spans="119:119" x14ac:dyDescent="0.2">
      <c r="DO21930" s="303" t="s">
        <v>232</v>
      </c>
    </row>
    <row r="21931" spans="119:119" x14ac:dyDescent="0.2">
      <c r="DO21931" s="303" t="s">
        <v>232</v>
      </c>
    </row>
    <row r="21932" spans="119:119" x14ac:dyDescent="0.2">
      <c r="DO21932" s="303" t="s">
        <v>232</v>
      </c>
    </row>
    <row r="21933" spans="119:119" x14ac:dyDescent="0.2">
      <c r="DO21933" s="303" t="s">
        <v>232</v>
      </c>
    </row>
    <row r="21934" spans="119:119" x14ac:dyDescent="0.2">
      <c r="DO21934" s="303" t="s">
        <v>232</v>
      </c>
    </row>
    <row r="21935" spans="119:119" x14ac:dyDescent="0.2">
      <c r="DO21935" s="303" t="s">
        <v>232</v>
      </c>
    </row>
    <row r="21936" spans="119:119" x14ac:dyDescent="0.2">
      <c r="DO21936" s="303" t="s">
        <v>232</v>
      </c>
    </row>
    <row r="21937" spans="119:119" x14ac:dyDescent="0.2">
      <c r="DO21937" s="303" t="s">
        <v>232</v>
      </c>
    </row>
    <row r="21938" spans="119:119" x14ac:dyDescent="0.2">
      <c r="DO21938" s="303" t="s">
        <v>232</v>
      </c>
    </row>
    <row r="21939" spans="119:119" x14ac:dyDescent="0.2">
      <c r="DO21939" s="303" t="s">
        <v>232</v>
      </c>
    </row>
    <row r="21940" spans="119:119" x14ac:dyDescent="0.2">
      <c r="DO21940" s="303" t="s">
        <v>232</v>
      </c>
    </row>
    <row r="21941" spans="119:119" x14ac:dyDescent="0.2">
      <c r="DO21941" s="303" t="s">
        <v>232</v>
      </c>
    </row>
    <row r="21942" spans="119:119" x14ac:dyDescent="0.2">
      <c r="DO21942" s="303" t="s">
        <v>232</v>
      </c>
    </row>
    <row r="21943" spans="119:119" x14ac:dyDescent="0.2">
      <c r="DO21943" s="303" t="s">
        <v>232</v>
      </c>
    </row>
    <row r="21944" spans="119:119" x14ac:dyDescent="0.2">
      <c r="DO21944" s="303" t="s">
        <v>232</v>
      </c>
    </row>
    <row r="21945" spans="119:119" x14ac:dyDescent="0.2">
      <c r="DO21945" s="303" t="s">
        <v>232</v>
      </c>
    </row>
    <row r="21946" spans="119:119" x14ac:dyDescent="0.2">
      <c r="DO21946" s="303" t="s">
        <v>232</v>
      </c>
    </row>
    <row r="21947" spans="119:119" x14ac:dyDescent="0.2">
      <c r="DO21947" s="303" t="s">
        <v>232</v>
      </c>
    </row>
    <row r="21948" spans="119:119" x14ac:dyDescent="0.2">
      <c r="DO21948" s="303" t="s">
        <v>232</v>
      </c>
    </row>
    <row r="21949" spans="119:119" x14ac:dyDescent="0.2">
      <c r="DO21949" s="303" t="s">
        <v>232</v>
      </c>
    </row>
    <row r="21950" spans="119:119" x14ac:dyDescent="0.2">
      <c r="DO21950" s="303" t="s">
        <v>232</v>
      </c>
    </row>
    <row r="21951" spans="119:119" x14ac:dyDescent="0.2">
      <c r="DO21951" s="303" t="s">
        <v>232</v>
      </c>
    </row>
    <row r="21952" spans="119:119" x14ac:dyDescent="0.2">
      <c r="DO21952" s="303" t="s">
        <v>232</v>
      </c>
    </row>
    <row r="21953" spans="119:119" x14ac:dyDescent="0.2">
      <c r="DO21953" s="303" t="s">
        <v>232</v>
      </c>
    </row>
    <row r="21954" spans="119:119" x14ac:dyDescent="0.2">
      <c r="DO21954" s="303" t="s">
        <v>232</v>
      </c>
    </row>
    <row r="21955" spans="119:119" x14ac:dyDescent="0.2">
      <c r="DO21955" s="303" t="s">
        <v>232</v>
      </c>
    </row>
    <row r="21956" spans="119:119" x14ac:dyDescent="0.2">
      <c r="DO21956" s="303" t="s">
        <v>232</v>
      </c>
    </row>
    <row r="21957" spans="119:119" x14ac:dyDescent="0.2">
      <c r="DO21957" s="303" t="s">
        <v>232</v>
      </c>
    </row>
    <row r="21958" spans="119:119" x14ac:dyDescent="0.2">
      <c r="DO21958" s="303" t="s">
        <v>232</v>
      </c>
    </row>
    <row r="21959" spans="119:119" x14ac:dyDescent="0.2">
      <c r="DO21959" s="303" t="s">
        <v>232</v>
      </c>
    </row>
    <row r="21960" spans="119:119" x14ac:dyDescent="0.2">
      <c r="DO21960" s="303" t="s">
        <v>232</v>
      </c>
    </row>
    <row r="21961" spans="119:119" x14ac:dyDescent="0.2">
      <c r="DO21961" s="303" t="s">
        <v>232</v>
      </c>
    </row>
    <row r="21962" spans="119:119" x14ac:dyDescent="0.2">
      <c r="DO21962" s="303" t="s">
        <v>232</v>
      </c>
    </row>
    <row r="21963" spans="119:119" x14ac:dyDescent="0.2">
      <c r="DO21963" s="303" t="s">
        <v>232</v>
      </c>
    </row>
    <row r="21964" spans="119:119" x14ac:dyDescent="0.2">
      <c r="DO21964" s="303" t="s">
        <v>232</v>
      </c>
    </row>
    <row r="21965" spans="119:119" x14ac:dyDescent="0.2">
      <c r="DO21965" s="303" t="s">
        <v>232</v>
      </c>
    </row>
    <row r="21966" spans="119:119" x14ac:dyDescent="0.2">
      <c r="DO21966" s="303" t="s">
        <v>232</v>
      </c>
    </row>
    <row r="21967" spans="119:119" x14ac:dyDescent="0.2">
      <c r="DO21967" s="303" t="s">
        <v>232</v>
      </c>
    </row>
    <row r="21968" spans="119:119" x14ac:dyDescent="0.2">
      <c r="DO21968" s="303" t="s">
        <v>232</v>
      </c>
    </row>
    <row r="21969" spans="119:119" x14ac:dyDescent="0.2">
      <c r="DO21969" s="303" t="s">
        <v>232</v>
      </c>
    </row>
    <row r="21970" spans="119:119" x14ac:dyDescent="0.2">
      <c r="DO21970" s="303" t="s">
        <v>232</v>
      </c>
    </row>
    <row r="21971" spans="119:119" x14ac:dyDescent="0.2">
      <c r="DO21971" s="303" t="s">
        <v>232</v>
      </c>
    </row>
    <row r="21972" spans="119:119" x14ac:dyDescent="0.2">
      <c r="DO21972" s="303" t="s">
        <v>232</v>
      </c>
    </row>
    <row r="21973" spans="119:119" x14ac:dyDescent="0.2">
      <c r="DO21973" s="303" t="s">
        <v>232</v>
      </c>
    </row>
    <row r="21974" spans="119:119" x14ac:dyDescent="0.2">
      <c r="DO21974" s="303" t="s">
        <v>232</v>
      </c>
    </row>
    <row r="21975" spans="119:119" x14ac:dyDescent="0.2">
      <c r="DO21975" s="303" t="s">
        <v>232</v>
      </c>
    </row>
    <row r="21976" spans="119:119" x14ac:dyDescent="0.2">
      <c r="DO21976" s="303" t="s">
        <v>232</v>
      </c>
    </row>
    <row r="21977" spans="119:119" x14ac:dyDescent="0.2">
      <c r="DO21977" s="303" t="s">
        <v>232</v>
      </c>
    </row>
    <row r="21978" spans="119:119" x14ac:dyDescent="0.2">
      <c r="DO21978" s="303" t="s">
        <v>232</v>
      </c>
    </row>
    <row r="21979" spans="119:119" x14ac:dyDescent="0.2">
      <c r="DO21979" s="303" t="s">
        <v>232</v>
      </c>
    </row>
    <row r="21980" spans="119:119" x14ac:dyDescent="0.2">
      <c r="DO21980" s="303" t="s">
        <v>232</v>
      </c>
    </row>
    <row r="21981" spans="119:119" x14ac:dyDescent="0.2">
      <c r="DO21981" s="303" t="s">
        <v>232</v>
      </c>
    </row>
    <row r="21982" spans="119:119" x14ac:dyDescent="0.2">
      <c r="DO21982" s="303" t="s">
        <v>232</v>
      </c>
    </row>
    <row r="21983" spans="119:119" x14ac:dyDescent="0.2">
      <c r="DO21983" s="303" t="s">
        <v>232</v>
      </c>
    </row>
    <row r="21984" spans="119:119" x14ac:dyDescent="0.2">
      <c r="DO21984" s="303" t="s">
        <v>232</v>
      </c>
    </row>
    <row r="21985" spans="119:119" x14ac:dyDescent="0.2">
      <c r="DO21985" s="303" t="s">
        <v>232</v>
      </c>
    </row>
    <row r="21986" spans="119:119" x14ac:dyDescent="0.2">
      <c r="DO21986" s="303" t="s">
        <v>232</v>
      </c>
    </row>
    <row r="21987" spans="119:119" x14ac:dyDescent="0.2">
      <c r="DO21987" s="303" t="s">
        <v>232</v>
      </c>
    </row>
    <row r="21988" spans="119:119" x14ac:dyDescent="0.2">
      <c r="DO21988" s="303" t="s">
        <v>232</v>
      </c>
    </row>
    <row r="21989" spans="119:119" x14ac:dyDescent="0.2">
      <c r="DO21989" s="303" t="s">
        <v>232</v>
      </c>
    </row>
    <row r="21990" spans="119:119" x14ac:dyDescent="0.2">
      <c r="DO21990" s="303" t="s">
        <v>232</v>
      </c>
    </row>
    <row r="21991" spans="119:119" x14ac:dyDescent="0.2">
      <c r="DO21991" s="303" t="s">
        <v>232</v>
      </c>
    </row>
    <row r="21992" spans="119:119" x14ac:dyDescent="0.2">
      <c r="DO21992" s="303" t="s">
        <v>232</v>
      </c>
    </row>
    <row r="21993" spans="119:119" x14ac:dyDescent="0.2">
      <c r="DO21993" s="303" t="s">
        <v>232</v>
      </c>
    </row>
    <row r="21994" spans="119:119" x14ac:dyDescent="0.2">
      <c r="DO21994" s="303" t="s">
        <v>232</v>
      </c>
    </row>
    <row r="21995" spans="119:119" x14ac:dyDescent="0.2">
      <c r="DO21995" s="303" t="s">
        <v>232</v>
      </c>
    </row>
    <row r="21996" spans="119:119" x14ac:dyDescent="0.2">
      <c r="DO21996" s="303" t="s">
        <v>232</v>
      </c>
    </row>
    <row r="21997" spans="119:119" x14ac:dyDescent="0.2">
      <c r="DO21997" s="303" t="s">
        <v>232</v>
      </c>
    </row>
    <row r="21998" spans="119:119" x14ac:dyDescent="0.2">
      <c r="DO21998" s="303" t="s">
        <v>232</v>
      </c>
    </row>
    <row r="21999" spans="119:119" x14ac:dyDescent="0.2">
      <c r="DO21999" s="303" t="s">
        <v>232</v>
      </c>
    </row>
    <row r="22000" spans="119:119" x14ac:dyDescent="0.2">
      <c r="DO22000" s="303" t="s">
        <v>232</v>
      </c>
    </row>
    <row r="22001" spans="119:119" x14ac:dyDescent="0.2">
      <c r="DO22001" s="303" t="s">
        <v>232</v>
      </c>
    </row>
    <row r="22002" spans="119:119" x14ac:dyDescent="0.2">
      <c r="DO22002" s="303" t="s">
        <v>232</v>
      </c>
    </row>
    <row r="22003" spans="119:119" x14ac:dyDescent="0.2">
      <c r="DO22003" s="303" t="s">
        <v>232</v>
      </c>
    </row>
    <row r="22004" spans="119:119" x14ac:dyDescent="0.2">
      <c r="DO22004" s="303" t="s">
        <v>232</v>
      </c>
    </row>
    <row r="22005" spans="119:119" x14ac:dyDescent="0.2">
      <c r="DO22005" s="303" t="s">
        <v>232</v>
      </c>
    </row>
    <row r="22006" spans="119:119" x14ac:dyDescent="0.2">
      <c r="DO22006" s="303" t="s">
        <v>232</v>
      </c>
    </row>
    <row r="22007" spans="119:119" x14ac:dyDescent="0.2">
      <c r="DO22007" s="303" t="s">
        <v>232</v>
      </c>
    </row>
    <row r="22008" spans="119:119" x14ac:dyDescent="0.2">
      <c r="DO22008" s="303" t="s">
        <v>232</v>
      </c>
    </row>
    <row r="22009" spans="119:119" x14ac:dyDescent="0.2">
      <c r="DO22009" s="303" t="s">
        <v>232</v>
      </c>
    </row>
    <row r="22010" spans="119:119" x14ac:dyDescent="0.2">
      <c r="DO22010" s="303" t="s">
        <v>232</v>
      </c>
    </row>
    <row r="22011" spans="119:119" x14ac:dyDescent="0.2">
      <c r="DO22011" s="303" t="s">
        <v>232</v>
      </c>
    </row>
    <row r="22012" spans="119:119" x14ac:dyDescent="0.2">
      <c r="DO22012" s="303" t="s">
        <v>232</v>
      </c>
    </row>
    <row r="22013" spans="119:119" x14ac:dyDescent="0.2">
      <c r="DO22013" s="303" t="s">
        <v>232</v>
      </c>
    </row>
    <row r="22014" spans="119:119" x14ac:dyDescent="0.2">
      <c r="DO22014" s="303" t="s">
        <v>232</v>
      </c>
    </row>
    <row r="22015" spans="119:119" x14ac:dyDescent="0.2">
      <c r="DO22015" s="303" t="s">
        <v>232</v>
      </c>
    </row>
    <row r="22016" spans="119:119" x14ac:dyDescent="0.2">
      <c r="DO22016" s="303" t="s">
        <v>232</v>
      </c>
    </row>
    <row r="22017" spans="119:119" x14ac:dyDescent="0.2">
      <c r="DO22017" s="303" t="s">
        <v>232</v>
      </c>
    </row>
    <row r="22018" spans="119:119" x14ac:dyDescent="0.2">
      <c r="DO22018" s="303" t="s">
        <v>232</v>
      </c>
    </row>
    <row r="22019" spans="119:119" x14ac:dyDescent="0.2">
      <c r="DO22019" s="303" t="s">
        <v>232</v>
      </c>
    </row>
    <row r="22020" spans="119:119" x14ac:dyDescent="0.2">
      <c r="DO22020" s="303" t="s">
        <v>232</v>
      </c>
    </row>
    <row r="22021" spans="119:119" x14ac:dyDescent="0.2">
      <c r="DO22021" s="303" t="s">
        <v>232</v>
      </c>
    </row>
    <row r="22022" spans="119:119" x14ac:dyDescent="0.2">
      <c r="DO22022" s="303" t="s">
        <v>232</v>
      </c>
    </row>
    <row r="22023" spans="119:119" x14ac:dyDescent="0.2">
      <c r="DO22023" s="303" t="s">
        <v>232</v>
      </c>
    </row>
    <row r="22024" spans="119:119" x14ac:dyDescent="0.2">
      <c r="DO22024" s="303" t="s">
        <v>232</v>
      </c>
    </row>
    <row r="22025" spans="119:119" x14ac:dyDescent="0.2">
      <c r="DO22025" s="303" t="s">
        <v>232</v>
      </c>
    </row>
    <row r="22026" spans="119:119" x14ac:dyDescent="0.2">
      <c r="DO22026" s="303" t="s">
        <v>232</v>
      </c>
    </row>
    <row r="22027" spans="119:119" x14ac:dyDescent="0.2">
      <c r="DO22027" s="303" t="s">
        <v>232</v>
      </c>
    </row>
    <row r="22028" spans="119:119" x14ac:dyDescent="0.2">
      <c r="DO22028" s="303" t="s">
        <v>232</v>
      </c>
    </row>
    <row r="22029" spans="119:119" x14ac:dyDescent="0.2">
      <c r="DO22029" s="303" t="s">
        <v>232</v>
      </c>
    </row>
    <row r="22030" spans="119:119" x14ac:dyDescent="0.2">
      <c r="DO22030" s="303" t="s">
        <v>232</v>
      </c>
    </row>
    <row r="22031" spans="119:119" x14ac:dyDescent="0.2">
      <c r="DO22031" s="303" t="s">
        <v>232</v>
      </c>
    </row>
    <row r="22032" spans="119:119" x14ac:dyDescent="0.2">
      <c r="DO22032" s="303" t="s">
        <v>232</v>
      </c>
    </row>
    <row r="22033" spans="119:119" x14ac:dyDescent="0.2">
      <c r="DO22033" s="303" t="s">
        <v>232</v>
      </c>
    </row>
    <row r="22034" spans="119:119" x14ac:dyDescent="0.2">
      <c r="DO22034" s="303" t="s">
        <v>232</v>
      </c>
    </row>
    <row r="22035" spans="119:119" x14ac:dyDescent="0.2">
      <c r="DO22035" s="303" t="s">
        <v>232</v>
      </c>
    </row>
    <row r="22036" spans="119:119" x14ac:dyDescent="0.2">
      <c r="DO22036" s="303" t="s">
        <v>232</v>
      </c>
    </row>
    <row r="22037" spans="119:119" x14ac:dyDescent="0.2">
      <c r="DO22037" s="303" t="s">
        <v>232</v>
      </c>
    </row>
    <row r="22038" spans="119:119" x14ac:dyDescent="0.2">
      <c r="DO22038" s="303" t="s">
        <v>232</v>
      </c>
    </row>
    <row r="22039" spans="119:119" x14ac:dyDescent="0.2">
      <c r="DO22039" s="303" t="s">
        <v>232</v>
      </c>
    </row>
    <row r="22040" spans="119:119" x14ac:dyDescent="0.2">
      <c r="DO22040" s="303" t="s">
        <v>232</v>
      </c>
    </row>
    <row r="22041" spans="119:119" x14ac:dyDescent="0.2">
      <c r="DO22041" s="303" t="s">
        <v>232</v>
      </c>
    </row>
    <row r="22042" spans="119:119" x14ac:dyDescent="0.2">
      <c r="DO22042" s="303" t="s">
        <v>232</v>
      </c>
    </row>
    <row r="22043" spans="119:119" x14ac:dyDescent="0.2">
      <c r="DO22043" s="303" t="s">
        <v>232</v>
      </c>
    </row>
    <row r="22044" spans="119:119" x14ac:dyDescent="0.2">
      <c r="DO22044" s="303" t="s">
        <v>232</v>
      </c>
    </row>
    <row r="22045" spans="119:119" x14ac:dyDescent="0.2">
      <c r="DO22045" s="303" t="s">
        <v>232</v>
      </c>
    </row>
    <row r="22046" spans="119:119" x14ac:dyDescent="0.2">
      <c r="DO22046" s="303" t="s">
        <v>232</v>
      </c>
    </row>
    <row r="22047" spans="119:119" x14ac:dyDescent="0.2">
      <c r="DO22047" s="303" t="s">
        <v>232</v>
      </c>
    </row>
    <row r="22048" spans="119:119" x14ac:dyDescent="0.2">
      <c r="DO22048" s="303" t="s">
        <v>232</v>
      </c>
    </row>
    <row r="22049" spans="119:119" x14ac:dyDescent="0.2">
      <c r="DO22049" s="303" t="s">
        <v>232</v>
      </c>
    </row>
    <row r="22050" spans="119:119" x14ac:dyDescent="0.2">
      <c r="DO22050" s="303" t="s">
        <v>232</v>
      </c>
    </row>
    <row r="22051" spans="119:119" x14ac:dyDescent="0.2">
      <c r="DO22051" s="303" t="s">
        <v>232</v>
      </c>
    </row>
    <row r="22052" spans="119:119" x14ac:dyDescent="0.2">
      <c r="DO22052" s="303" t="s">
        <v>232</v>
      </c>
    </row>
    <row r="22053" spans="119:119" x14ac:dyDescent="0.2">
      <c r="DO22053" s="303" t="s">
        <v>232</v>
      </c>
    </row>
    <row r="22054" spans="119:119" x14ac:dyDescent="0.2">
      <c r="DO22054" s="303" t="s">
        <v>232</v>
      </c>
    </row>
    <row r="22055" spans="119:119" x14ac:dyDescent="0.2">
      <c r="DO22055" s="303" t="s">
        <v>232</v>
      </c>
    </row>
    <row r="22056" spans="119:119" x14ac:dyDescent="0.2">
      <c r="DO22056" s="303" t="s">
        <v>232</v>
      </c>
    </row>
    <row r="22057" spans="119:119" x14ac:dyDescent="0.2">
      <c r="DO22057" s="303" t="s">
        <v>232</v>
      </c>
    </row>
    <row r="22058" spans="119:119" x14ac:dyDescent="0.2">
      <c r="DO22058" s="303" t="s">
        <v>232</v>
      </c>
    </row>
    <row r="22059" spans="119:119" x14ac:dyDescent="0.2">
      <c r="DO22059" s="303" t="s">
        <v>232</v>
      </c>
    </row>
    <row r="22060" spans="119:119" x14ac:dyDescent="0.2">
      <c r="DO22060" s="303" t="s">
        <v>232</v>
      </c>
    </row>
    <row r="22061" spans="119:119" x14ac:dyDescent="0.2">
      <c r="DO22061" s="303" t="s">
        <v>232</v>
      </c>
    </row>
    <row r="22062" spans="119:119" x14ac:dyDescent="0.2">
      <c r="DO22062" s="303" t="s">
        <v>232</v>
      </c>
    </row>
    <row r="22063" spans="119:119" x14ac:dyDescent="0.2">
      <c r="DO22063" s="303" t="s">
        <v>232</v>
      </c>
    </row>
    <row r="22064" spans="119:119" x14ac:dyDescent="0.2">
      <c r="DO22064" s="303" t="s">
        <v>232</v>
      </c>
    </row>
    <row r="22065" spans="119:119" x14ac:dyDescent="0.2">
      <c r="DO22065" s="303" t="s">
        <v>232</v>
      </c>
    </row>
    <row r="22066" spans="119:119" x14ac:dyDescent="0.2">
      <c r="DO22066" s="303" t="s">
        <v>232</v>
      </c>
    </row>
    <row r="22067" spans="119:119" x14ac:dyDescent="0.2">
      <c r="DO22067" s="303" t="s">
        <v>232</v>
      </c>
    </row>
    <row r="22068" spans="119:119" x14ac:dyDescent="0.2">
      <c r="DO22068" s="303" t="s">
        <v>232</v>
      </c>
    </row>
    <row r="22069" spans="119:119" x14ac:dyDescent="0.2">
      <c r="DO22069" s="303" t="s">
        <v>232</v>
      </c>
    </row>
    <row r="22070" spans="119:119" x14ac:dyDescent="0.2">
      <c r="DO22070" s="303" t="s">
        <v>232</v>
      </c>
    </row>
    <row r="22071" spans="119:119" x14ac:dyDescent="0.2">
      <c r="DO22071" s="303" t="s">
        <v>232</v>
      </c>
    </row>
    <row r="22072" spans="119:119" x14ac:dyDescent="0.2">
      <c r="DO22072" s="303" t="s">
        <v>232</v>
      </c>
    </row>
    <row r="22073" spans="119:119" x14ac:dyDescent="0.2">
      <c r="DO22073" s="303" t="s">
        <v>232</v>
      </c>
    </row>
    <row r="22074" spans="119:119" x14ac:dyDescent="0.2">
      <c r="DO22074" s="303" t="s">
        <v>232</v>
      </c>
    </row>
    <row r="22075" spans="119:119" x14ac:dyDescent="0.2">
      <c r="DO22075" s="303" t="s">
        <v>232</v>
      </c>
    </row>
    <row r="22076" spans="119:119" x14ac:dyDescent="0.2">
      <c r="DO22076" s="303" t="s">
        <v>232</v>
      </c>
    </row>
    <row r="22077" spans="119:119" x14ac:dyDescent="0.2">
      <c r="DO22077" s="303" t="s">
        <v>232</v>
      </c>
    </row>
    <row r="22078" spans="119:119" x14ac:dyDescent="0.2">
      <c r="DO22078" s="303" t="s">
        <v>232</v>
      </c>
    </row>
    <row r="22079" spans="119:119" x14ac:dyDescent="0.2">
      <c r="DO22079" s="303" t="s">
        <v>232</v>
      </c>
    </row>
    <row r="22080" spans="119:119" x14ac:dyDescent="0.2">
      <c r="DO22080" s="303" t="s">
        <v>232</v>
      </c>
    </row>
    <row r="22081" spans="119:119" x14ac:dyDescent="0.2">
      <c r="DO22081" s="303" t="s">
        <v>232</v>
      </c>
    </row>
    <row r="22082" spans="119:119" x14ac:dyDescent="0.2">
      <c r="DO22082" s="303" t="s">
        <v>232</v>
      </c>
    </row>
    <row r="22083" spans="119:119" x14ac:dyDescent="0.2">
      <c r="DO22083" s="303" t="s">
        <v>232</v>
      </c>
    </row>
    <row r="22084" spans="119:119" x14ac:dyDescent="0.2">
      <c r="DO22084" s="303" t="s">
        <v>232</v>
      </c>
    </row>
    <row r="22085" spans="119:119" x14ac:dyDescent="0.2">
      <c r="DO22085" s="303" t="s">
        <v>232</v>
      </c>
    </row>
    <row r="22086" spans="119:119" x14ac:dyDescent="0.2">
      <c r="DO22086" s="303" t="s">
        <v>232</v>
      </c>
    </row>
    <row r="22087" spans="119:119" x14ac:dyDescent="0.2">
      <c r="DO22087" s="303" t="s">
        <v>232</v>
      </c>
    </row>
    <row r="22088" spans="119:119" x14ac:dyDescent="0.2">
      <c r="DO22088" s="303" t="s">
        <v>232</v>
      </c>
    </row>
    <row r="22089" spans="119:119" x14ac:dyDescent="0.2">
      <c r="DO22089" s="303" t="s">
        <v>232</v>
      </c>
    </row>
    <row r="22090" spans="119:119" x14ac:dyDescent="0.2">
      <c r="DO22090" s="303" t="s">
        <v>232</v>
      </c>
    </row>
    <row r="22091" spans="119:119" x14ac:dyDescent="0.2">
      <c r="DO22091" s="303" t="s">
        <v>232</v>
      </c>
    </row>
    <row r="22092" spans="119:119" x14ac:dyDescent="0.2">
      <c r="DO22092" s="303" t="s">
        <v>232</v>
      </c>
    </row>
    <row r="22093" spans="119:119" x14ac:dyDescent="0.2">
      <c r="DO22093" s="303" t="s">
        <v>232</v>
      </c>
    </row>
    <row r="22094" spans="119:119" x14ac:dyDescent="0.2">
      <c r="DO22094" s="303" t="s">
        <v>232</v>
      </c>
    </row>
    <row r="22095" spans="119:119" x14ac:dyDescent="0.2">
      <c r="DO22095" s="303" t="s">
        <v>232</v>
      </c>
    </row>
    <row r="22096" spans="119:119" x14ac:dyDescent="0.2">
      <c r="DO22096" s="303" t="s">
        <v>232</v>
      </c>
    </row>
    <row r="22097" spans="119:119" x14ac:dyDescent="0.2">
      <c r="DO22097" s="303" t="s">
        <v>232</v>
      </c>
    </row>
    <row r="22098" spans="119:119" x14ac:dyDescent="0.2">
      <c r="DO22098" s="303" t="s">
        <v>232</v>
      </c>
    </row>
    <row r="22099" spans="119:119" x14ac:dyDescent="0.2">
      <c r="DO22099" s="303" t="s">
        <v>232</v>
      </c>
    </row>
    <row r="22100" spans="119:119" x14ac:dyDescent="0.2">
      <c r="DO22100" s="303" t="s">
        <v>232</v>
      </c>
    </row>
    <row r="22101" spans="119:119" x14ac:dyDescent="0.2">
      <c r="DO22101" s="303" t="s">
        <v>232</v>
      </c>
    </row>
    <row r="22102" spans="119:119" x14ac:dyDescent="0.2">
      <c r="DO22102" s="303" t="s">
        <v>232</v>
      </c>
    </row>
    <row r="22103" spans="119:119" x14ac:dyDescent="0.2">
      <c r="DO22103" s="303" t="s">
        <v>232</v>
      </c>
    </row>
    <row r="22104" spans="119:119" x14ac:dyDescent="0.2">
      <c r="DO22104" s="303" t="s">
        <v>232</v>
      </c>
    </row>
    <row r="22105" spans="119:119" x14ac:dyDescent="0.2">
      <c r="DO22105" s="303" t="s">
        <v>232</v>
      </c>
    </row>
    <row r="22106" spans="119:119" x14ac:dyDescent="0.2">
      <c r="DO22106" s="303" t="s">
        <v>232</v>
      </c>
    </row>
    <row r="22107" spans="119:119" x14ac:dyDescent="0.2">
      <c r="DO22107" s="303" t="s">
        <v>232</v>
      </c>
    </row>
    <row r="22108" spans="119:119" x14ac:dyDescent="0.2">
      <c r="DO22108" s="303" t="s">
        <v>232</v>
      </c>
    </row>
    <row r="22109" spans="119:119" x14ac:dyDescent="0.2">
      <c r="DO22109" s="303" t="s">
        <v>232</v>
      </c>
    </row>
    <row r="22110" spans="119:119" x14ac:dyDescent="0.2">
      <c r="DO22110" s="303" t="s">
        <v>232</v>
      </c>
    </row>
    <row r="22111" spans="119:119" x14ac:dyDescent="0.2">
      <c r="DO22111" s="303" t="s">
        <v>232</v>
      </c>
    </row>
    <row r="22112" spans="119:119" x14ac:dyDescent="0.2">
      <c r="DO22112" s="303" t="s">
        <v>232</v>
      </c>
    </row>
    <row r="22113" spans="119:119" x14ac:dyDescent="0.2">
      <c r="DO22113" s="303" t="s">
        <v>232</v>
      </c>
    </row>
    <row r="22114" spans="119:119" x14ac:dyDescent="0.2">
      <c r="DO22114" s="303" t="s">
        <v>232</v>
      </c>
    </row>
    <row r="22115" spans="119:119" x14ac:dyDescent="0.2">
      <c r="DO22115" s="303" t="s">
        <v>232</v>
      </c>
    </row>
    <row r="22116" spans="119:119" x14ac:dyDescent="0.2">
      <c r="DO22116" s="303" t="s">
        <v>232</v>
      </c>
    </row>
    <row r="22117" spans="119:119" x14ac:dyDescent="0.2">
      <c r="DO22117" s="303" t="s">
        <v>232</v>
      </c>
    </row>
    <row r="22118" spans="119:119" x14ac:dyDescent="0.2">
      <c r="DO22118" s="303" t="s">
        <v>232</v>
      </c>
    </row>
    <row r="22119" spans="119:119" x14ac:dyDescent="0.2">
      <c r="DO22119" s="303" t="s">
        <v>232</v>
      </c>
    </row>
    <row r="22120" spans="119:119" x14ac:dyDescent="0.2">
      <c r="DO22120" s="303" t="s">
        <v>232</v>
      </c>
    </row>
    <row r="22121" spans="119:119" x14ac:dyDescent="0.2">
      <c r="DO22121" s="303" t="s">
        <v>232</v>
      </c>
    </row>
    <row r="22122" spans="119:119" x14ac:dyDescent="0.2">
      <c r="DO22122" s="303" t="s">
        <v>232</v>
      </c>
    </row>
    <row r="22123" spans="119:119" x14ac:dyDescent="0.2">
      <c r="DO22123" s="303" t="s">
        <v>232</v>
      </c>
    </row>
    <row r="22124" spans="119:119" x14ac:dyDescent="0.2">
      <c r="DO22124" s="303" t="s">
        <v>232</v>
      </c>
    </row>
    <row r="22125" spans="119:119" x14ac:dyDescent="0.2">
      <c r="DO22125" s="303" t="s">
        <v>232</v>
      </c>
    </row>
    <row r="22126" spans="119:119" x14ac:dyDescent="0.2">
      <c r="DO22126" s="303" t="s">
        <v>232</v>
      </c>
    </row>
    <row r="22127" spans="119:119" x14ac:dyDescent="0.2">
      <c r="DO22127" s="303" t="s">
        <v>232</v>
      </c>
    </row>
    <row r="22128" spans="119:119" x14ac:dyDescent="0.2">
      <c r="DO22128" s="303" t="s">
        <v>232</v>
      </c>
    </row>
    <row r="22129" spans="119:119" x14ac:dyDescent="0.2">
      <c r="DO22129" s="303" t="s">
        <v>232</v>
      </c>
    </row>
    <row r="22130" spans="119:119" x14ac:dyDescent="0.2">
      <c r="DO22130" s="303" t="s">
        <v>232</v>
      </c>
    </row>
    <row r="22131" spans="119:119" x14ac:dyDescent="0.2">
      <c r="DO22131" s="303" t="s">
        <v>232</v>
      </c>
    </row>
    <row r="22132" spans="119:119" x14ac:dyDescent="0.2">
      <c r="DO22132" s="303" t="s">
        <v>232</v>
      </c>
    </row>
    <row r="22133" spans="119:119" x14ac:dyDescent="0.2">
      <c r="DO22133" s="303" t="s">
        <v>232</v>
      </c>
    </row>
    <row r="22134" spans="119:119" x14ac:dyDescent="0.2">
      <c r="DO22134" s="303" t="s">
        <v>232</v>
      </c>
    </row>
    <row r="22135" spans="119:119" x14ac:dyDescent="0.2">
      <c r="DO22135" s="303" t="s">
        <v>232</v>
      </c>
    </row>
    <row r="22136" spans="119:119" x14ac:dyDescent="0.2">
      <c r="DO22136" s="303" t="s">
        <v>232</v>
      </c>
    </row>
    <row r="22137" spans="119:119" x14ac:dyDescent="0.2">
      <c r="DO22137" s="303" t="s">
        <v>232</v>
      </c>
    </row>
    <row r="22138" spans="119:119" x14ac:dyDescent="0.2">
      <c r="DO22138" s="303" t="s">
        <v>232</v>
      </c>
    </row>
    <row r="22139" spans="119:119" x14ac:dyDescent="0.2">
      <c r="DO22139" s="303" t="s">
        <v>232</v>
      </c>
    </row>
    <row r="22140" spans="119:119" x14ac:dyDescent="0.2">
      <c r="DO22140" s="303" t="s">
        <v>232</v>
      </c>
    </row>
    <row r="22141" spans="119:119" x14ac:dyDescent="0.2">
      <c r="DO22141" s="303" t="s">
        <v>232</v>
      </c>
    </row>
    <row r="22142" spans="119:119" x14ac:dyDescent="0.2">
      <c r="DO22142" s="303" t="s">
        <v>232</v>
      </c>
    </row>
    <row r="22143" spans="119:119" x14ac:dyDescent="0.2">
      <c r="DO22143" s="303" t="s">
        <v>232</v>
      </c>
    </row>
    <row r="22144" spans="119:119" x14ac:dyDescent="0.2">
      <c r="DO22144" s="303" t="s">
        <v>232</v>
      </c>
    </row>
    <row r="22145" spans="119:119" x14ac:dyDescent="0.2">
      <c r="DO22145" s="303" t="s">
        <v>232</v>
      </c>
    </row>
    <row r="22146" spans="119:119" x14ac:dyDescent="0.2">
      <c r="DO22146" s="303" t="s">
        <v>232</v>
      </c>
    </row>
    <row r="22147" spans="119:119" x14ac:dyDescent="0.2">
      <c r="DO22147" s="303" t="s">
        <v>232</v>
      </c>
    </row>
    <row r="22148" spans="119:119" x14ac:dyDescent="0.2">
      <c r="DO22148" s="303" t="s">
        <v>232</v>
      </c>
    </row>
    <row r="22149" spans="119:119" x14ac:dyDescent="0.2">
      <c r="DO22149" s="303" t="s">
        <v>232</v>
      </c>
    </row>
    <row r="22150" spans="119:119" x14ac:dyDescent="0.2">
      <c r="DO22150" s="303" t="s">
        <v>232</v>
      </c>
    </row>
    <row r="22151" spans="119:119" x14ac:dyDescent="0.2">
      <c r="DO22151" s="303" t="s">
        <v>232</v>
      </c>
    </row>
    <row r="22152" spans="119:119" x14ac:dyDescent="0.2">
      <c r="DO22152" s="303" t="s">
        <v>232</v>
      </c>
    </row>
    <row r="22153" spans="119:119" x14ac:dyDescent="0.2">
      <c r="DO22153" s="303" t="s">
        <v>232</v>
      </c>
    </row>
    <row r="22154" spans="119:119" x14ac:dyDescent="0.2">
      <c r="DO22154" s="303" t="s">
        <v>232</v>
      </c>
    </row>
    <row r="22155" spans="119:119" x14ac:dyDescent="0.2">
      <c r="DO22155" s="303" t="s">
        <v>232</v>
      </c>
    </row>
    <row r="22156" spans="119:119" x14ac:dyDescent="0.2">
      <c r="DO22156" s="303" t="s">
        <v>232</v>
      </c>
    </row>
    <row r="22157" spans="119:119" x14ac:dyDescent="0.2">
      <c r="DO22157" s="303" t="s">
        <v>232</v>
      </c>
    </row>
    <row r="22158" spans="119:119" x14ac:dyDescent="0.2">
      <c r="DO22158" s="303" t="s">
        <v>232</v>
      </c>
    </row>
    <row r="22159" spans="119:119" x14ac:dyDescent="0.2">
      <c r="DO22159" s="303" t="s">
        <v>232</v>
      </c>
    </row>
    <row r="22160" spans="119:119" x14ac:dyDescent="0.2">
      <c r="DO22160" s="303" t="s">
        <v>232</v>
      </c>
    </row>
    <row r="22161" spans="119:119" x14ac:dyDescent="0.2">
      <c r="DO22161" s="303" t="s">
        <v>232</v>
      </c>
    </row>
    <row r="22162" spans="119:119" x14ac:dyDescent="0.2">
      <c r="DO22162" s="303" t="s">
        <v>232</v>
      </c>
    </row>
    <row r="22163" spans="119:119" x14ac:dyDescent="0.2">
      <c r="DO22163" s="303" t="s">
        <v>232</v>
      </c>
    </row>
    <row r="22164" spans="119:119" x14ac:dyDescent="0.2">
      <c r="DO22164" s="303" t="s">
        <v>232</v>
      </c>
    </row>
    <row r="22165" spans="119:119" x14ac:dyDescent="0.2">
      <c r="DO22165" s="303" t="s">
        <v>232</v>
      </c>
    </row>
    <row r="22166" spans="119:119" x14ac:dyDescent="0.2">
      <c r="DO22166" s="303" t="s">
        <v>232</v>
      </c>
    </row>
    <row r="22167" spans="119:119" x14ac:dyDescent="0.2">
      <c r="DO22167" s="303" t="s">
        <v>232</v>
      </c>
    </row>
    <row r="22168" spans="119:119" x14ac:dyDescent="0.2">
      <c r="DO22168" s="303" t="s">
        <v>232</v>
      </c>
    </row>
    <row r="22169" spans="119:119" x14ac:dyDescent="0.2">
      <c r="DO22169" s="303" t="s">
        <v>232</v>
      </c>
    </row>
    <row r="22170" spans="119:119" x14ac:dyDescent="0.2">
      <c r="DO22170" s="303" t="s">
        <v>232</v>
      </c>
    </row>
    <row r="22171" spans="119:119" x14ac:dyDescent="0.2">
      <c r="DO22171" s="303" t="s">
        <v>232</v>
      </c>
    </row>
    <row r="22172" spans="119:119" x14ac:dyDescent="0.2">
      <c r="DO22172" s="303" t="s">
        <v>232</v>
      </c>
    </row>
    <row r="22173" spans="119:119" x14ac:dyDescent="0.2">
      <c r="DO22173" s="303" t="s">
        <v>232</v>
      </c>
    </row>
    <row r="22174" spans="119:119" x14ac:dyDescent="0.2">
      <c r="DO22174" s="303" t="s">
        <v>232</v>
      </c>
    </row>
    <row r="22175" spans="119:119" x14ac:dyDescent="0.2">
      <c r="DO22175" s="303" t="s">
        <v>232</v>
      </c>
    </row>
    <row r="22176" spans="119:119" x14ac:dyDescent="0.2">
      <c r="DO22176" s="303" t="s">
        <v>232</v>
      </c>
    </row>
    <row r="22177" spans="119:119" x14ac:dyDescent="0.2">
      <c r="DO22177" s="303" t="s">
        <v>232</v>
      </c>
    </row>
    <row r="22178" spans="119:119" x14ac:dyDescent="0.2">
      <c r="DO22178" s="303" t="s">
        <v>232</v>
      </c>
    </row>
    <row r="22179" spans="119:119" x14ac:dyDescent="0.2">
      <c r="DO22179" s="303" t="s">
        <v>232</v>
      </c>
    </row>
    <row r="22180" spans="119:119" x14ac:dyDescent="0.2">
      <c r="DO22180" s="303" t="s">
        <v>232</v>
      </c>
    </row>
    <row r="22181" spans="119:119" x14ac:dyDescent="0.2">
      <c r="DO22181" s="303" t="s">
        <v>232</v>
      </c>
    </row>
    <row r="22182" spans="119:119" x14ac:dyDescent="0.2">
      <c r="DO22182" s="303" t="s">
        <v>232</v>
      </c>
    </row>
    <row r="22183" spans="119:119" x14ac:dyDescent="0.2">
      <c r="DO22183" s="303" t="s">
        <v>232</v>
      </c>
    </row>
    <row r="22184" spans="119:119" x14ac:dyDescent="0.2">
      <c r="DO22184" s="303" t="s">
        <v>232</v>
      </c>
    </row>
    <row r="22185" spans="119:119" x14ac:dyDescent="0.2">
      <c r="DO22185" s="303" t="s">
        <v>232</v>
      </c>
    </row>
    <row r="22186" spans="119:119" x14ac:dyDescent="0.2">
      <c r="DO22186" s="303" t="s">
        <v>232</v>
      </c>
    </row>
    <row r="22187" spans="119:119" x14ac:dyDescent="0.2">
      <c r="DO22187" s="303" t="s">
        <v>232</v>
      </c>
    </row>
    <row r="22188" spans="119:119" x14ac:dyDescent="0.2">
      <c r="DO22188" s="303" t="s">
        <v>232</v>
      </c>
    </row>
    <row r="22189" spans="119:119" x14ac:dyDescent="0.2">
      <c r="DO22189" s="303" t="s">
        <v>232</v>
      </c>
    </row>
    <row r="22190" spans="119:119" x14ac:dyDescent="0.2">
      <c r="DO22190" s="303" t="s">
        <v>232</v>
      </c>
    </row>
    <row r="22191" spans="119:119" x14ac:dyDescent="0.2">
      <c r="DO22191" s="303" t="s">
        <v>232</v>
      </c>
    </row>
    <row r="22192" spans="119:119" x14ac:dyDescent="0.2">
      <c r="DO22192" s="303" t="s">
        <v>232</v>
      </c>
    </row>
    <row r="22193" spans="119:119" x14ac:dyDescent="0.2">
      <c r="DO22193" s="303" t="s">
        <v>232</v>
      </c>
    </row>
    <row r="22194" spans="119:119" x14ac:dyDescent="0.2">
      <c r="DO22194" s="303" t="s">
        <v>232</v>
      </c>
    </row>
    <row r="22195" spans="119:119" x14ac:dyDescent="0.2">
      <c r="DO22195" s="303" t="s">
        <v>232</v>
      </c>
    </row>
    <row r="22196" spans="119:119" x14ac:dyDescent="0.2">
      <c r="DO22196" s="303" t="s">
        <v>232</v>
      </c>
    </row>
    <row r="22197" spans="119:119" x14ac:dyDescent="0.2">
      <c r="DO22197" s="303" t="s">
        <v>232</v>
      </c>
    </row>
    <row r="22198" spans="119:119" x14ac:dyDescent="0.2">
      <c r="DO22198" s="303" t="s">
        <v>232</v>
      </c>
    </row>
    <row r="22199" spans="119:119" x14ac:dyDescent="0.2">
      <c r="DO22199" s="303" t="s">
        <v>232</v>
      </c>
    </row>
    <row r="22200" spans="119:119" x14ac:dyDescent="0.2">
      <c r="DO22200" s="303" t="s">
        <v>232</v>
      </c>
    </row>
    <row r="22201" spans="119:119" x14ac:dyDescent="0.2">
      <c r="DO22201" s="303" t="s">
        <v>232</v>
      </c>
    </row>
    <row r="22202" spans="119:119" x14ac:dyDescent="0.2">
      <c r="DO22202" s="303" t="s">
        <v>232</v>
      </c>
    </row>
    <row r="22203" spans="119:119" x14ac:dyDescent="0.2">
      <c r="DO22203" s="303" t="s">
        <v>232</v>
      </c>
    </row>
    <row r="22204" spans="119:119" x14ac:dyDescent="0.2">
      <c r="DO22204" s="303" t="s">
        <v>232</v>
      </c>
    </row>
    <row r="22205" spans="119:119" x14ac:dyDescent="0.2">
      <c r="DO22205" s="303" t="s">
        <v>232</v>
      </c>
    </row>
    <row r="22206" spans="119:119" x14ac:dyDescent="0.2">
      <c r="DO22206" s="303" t="s">
        <v>232</v>
      </c>
    </row>
    <row r="22207" spans="119:119" x14ac:dyDescent="0.2">
      <c r="DO22207" s="303" t="s">
        <v>232</v>
      </c>
    </row>
    <row r="22208" spans="119:119" x14ac:dyDescent="0.2">
      <c r="DO22208" s="303" t="s">
        <v>232</v>
      </c>
    </row>
    <row r="22209" spans="119:119" x14ac:dyDescent="0.2">
      <c r="DO22209" s="303" t="s">
        <v>232</v>
      </c>
    </row>
    <row r="22210" spans="119:119" x14ac:dyDescent="0.2">
      <c r="DO22210" s="303" t="s">
        <v>232</v>
      </c>
    </row>
    <row r="22211" spans="119:119" x14ac:dyDescent="0.2">
      <c r="DO22211" s="303" t="s">
        <v>232</v>
      </c>
    </row>
    <row r="22212" spans="119:119" x14ac:dyDescent="0.2">
      <c r="DO22212" s="303" t="s">
        <v>232</v>
      </c>
    </row>
    <row r="22213" spans="119:119" x14ac:dyDescent="0.2">
      <c r="DO22213" s="303" t="s">
        <v>232</v>
      </c>
    </row>
    <row r="22214" spans="119:119" x14ac:dyDescent="0.2">
      <c r="DO22214" s="303" t="s">
        <v>232</v>
      </c>
    </row>
    <row r="22215" spans="119:119" x14ac:dyDescent="0.2">
      <c r="DO22215" s="303" t="s">
        <v>232</v>
      </c>
    </row>
    <row r="22216" spans="119:119" x14ac:dyDescent="0.2">
      <c r="DO22216" s="303" t="s">
        <v>232</v>
      </c>
    </row>
    <row r="22217" spans="119:119" x14ac:dyDescent="0.2">
      <c r="DO22217" s="303" t="s">
        <v>232</v>
      </c>
    </row>
    <row r="22218" spans="119:119" x14ac:dyDescent="0.2">
      <c r="DO22218" s="303" t="s">
        <v>232</v>
      </c>
    </row>
    <row r="22219" spans="119:119" x14ac:dyDescent="0.2">
      <c r="DO22219" s="303" t="s">
        <v>232</v>
      </c>
    </row>
    <row r="22220" spans="119:119" x14ac:dyDescent="0.2">
      <c r="DO22220" s="303" t="s">
        <v>232</v>
      </c>
    </row>
    <row r="22221" spans="119:119" x14ac:dyDescent="0.2">
      <c r="DO22221" s="303" t="s">
        <v>232</v>
      </c>
    </row>
    <row r="22222" spans="119:119" x14ac:dyDescent="0.2">
      <c r="DO22222" s="303" t="s">
        <v>232</v>
      </c>
    </row>
    <row r="22223" spans="119:119" x14ac:dyDescent="0.2">
      <c r="DO22223" s="303" t="s">
        <v>232</v>
      </c>
    </row>
    <row r="22224" spans="119:119" x14ac:dyDescent="0.2">
      <c r="DO22224" s="303" t="s">
        <v>232</v>
      </c>
    </row>
    <row r="22225" spans="119:119" x14ac:dyDescent="0.2">
      <c r="DO22225" s="303" t="s">
        <v>232</v>
      </c>
    </row>
    <row r="22226" spans="119:119" x14ac:dyDescent="0.2">
      <c r="DO22226" s="303" t="s">
        <v>232</v>
      </c>
    </row>
    <row r="22227" spans="119:119" x14ac:dyDescent="0.2">
      <c r="DO22227" s="303" t="s">
        <v>232</v>
      </c>
    </row>
    <row r="22228" spans="119:119" x14ac:dyDescent="0.2">
      <c r="DO22228" s="303" t="s">
        <v>232</v>
      </c>
    </row>
    <row r="22229" spans="119:119" x14ac:dyDescent="0.2">
      <c r="DO22229" s="303" t="s">
        <v>232</v>
      </c>
    </row>
    <row r="22230" spans="119:119" x14ac:dyDescent="0.2">
      <c r="DO22230" s="303" t="s">
        <v>232</v>
      </c>
    </row>
    <row r="22231" spans="119:119" x14ac:dyDescent="0.2">
      <c r="DO22231" s="303" t="s">
        <v>232</v>
      </c>
    </row>
    <row r="22232" spans="119:119" x14ac:dyDescent="0.2">
      <c r="DO22232" s="303" t="s">
        <v>232</v>
      </c>
    </row>
    <row r="22233" spans="119:119" x14ac:dyDescent="0.2">
      <c r="DO22233" s="303" t="s">
        <v>232</v>
      </c>
    </row>
    <row r="22234" spans="119:119" x14ac:dyDescent="0.2">
      <c r="DO22234" s="303" t="s">
        <v>232</v>
      </c>
    </row>
    <row r="22235" spans="119:119" x14ac:dyDescent="0.2">
      <c r="DO22235" s="303" t="s">
        <v>232</v>
      </c>
    </row>
    <row r="22236" spans="119:119" x14ac:dyDescent="0.2">
      <c r="DO22236" s="303" t="s">
        <v>232</v>
      </c>
    </row>
    <row r="22237" spans="119:119" x14ac:dyDescent="0.2">
      <c r="DO22237" s="303" t="s">
        <v>232</v>
      </c>
    </row>
    <row r="22238" spans="119:119" x14ac:dyDescent="0.2">
      <c r="DO22238" s="303" t="s">
        <v>232</v>
      </c>
    </row>
    <row r="22239" spans="119:119" x14ac:dyDescent="0.2">
      <c r="DO22239" s="303" t="s">
        <v>232</v>
      </c>
    </row>
    <row r="22240" spans="119:119" x14ac:dyDescent="0.2">
      <c r="DO22240" s="303" t="s">
        <v>232</v>
      </c>
    </row>
    <row r="22241" spans="119:119" x14ac:dyDescent="0.2">
      <c r="DO22241" s="303" t="s">
        <v>232</v>
      </c>
    </row>
    <row r="22242" spans="119:119" x14ac:dyDescent="0.2">
      <c r="DO22242" s="303" t="s">
        <v>232</v>
      </c>
    </row>
    <row r="22243" spans="119:119" x14ac:dyDescent="0.2">
      <c r="DO22243" s="303" t="s">
        <v>232</v>
      </c>
    </row>
    <row r="22244" spans="119:119" x14ac:dyDescent="0.2">
      <c r="DO22244" s="303" t="s">
        <v>232</v>
      </c>
    </row>
    <row r="22245" spans="119:119" x14ac:dyDescent="0.2">
      <c r="DO22245" s="303" t="s">
        <v>232</v>
      </c>
    </row>
    <row r="22246" spans="119:119" x14ac:dyDescent="0.2">
      <c r="DO22246" s="303" t="s">
        <v>232</v>
      </c>
    </row>
    <row r="22247" spans="119:119" x14ac:dyDescent="0.2">
      <c r="DO22247" s="303" t="s">
        <v>232</v>
      </c>
    </row>
    <row r="22248" spans="119:119" x14ac:dyDescent="0.2">
      <c r="DO22248" s="303" t="s">
        <v>232</v>
      </c>
    </row>
    <row r="22249" spans="119:119" x14ac:dyDescent="0.2">
      <c r="DO22249" s="303" t="s">
        <v>232</v>
      </c>
    </row>
    <row r="22250" spans="119:119" x14ac:dyDescent="0.2">
      <c r="DO22250" s="303" t="s">
        <v>232</v>
      </c>
    </row>
    <row r="22251" spans="119:119" x14ac:dyDescent="0.2">
      <c r="DO22251" s="303" t="s">
        <v>232</v>
      </c>
    </row>
    <row r="22252" spans="119:119" x14ac:dyDescent="0.2">
      <c r="DO22252" s="303" t="s">
        <v>232</v>
      </c>
    </row>
    <row r="22253" spans="119:119" x14ac:dyDescent="0.2">
      <c r="DO22253" s="303" t="s">
        <v>232</v>
      </c>
    </row>
    <row r="22254" spans="119:119" x14ac:dyDescent="0.2">
      <c r="DO22254" s="303" t="s">
        <v>232</v>
      </c>
    </row>
    <row r="22255" spans="119:119" x14ac:dyDescent="0.2">
      <c r="DO22255" s="303" t="s">
        <v>232</v>
      </c>
    </row>
    <row r="22256" spans="119:119" x14ac:dyDescent="0.2">
      <c r="DO22256" s="303" t="s">
        <v>232</v>
      </c>
    </row>
    <row r="22257" spans="119:119" x14ac:dyDescent="0.2">
      <c r="DO22257" s="303" t="s">
        <v>232</v>
      </c>
    </row>
    <row r="22258" spans="119:119" x14ac:dyDescent="0.2">
      <c r="DO22258" s="303" t="s">
        <v>232</v>
      </c>
    </row>
    <row r="22259" spans="119:119" x14ac:dyDescent="0.2">
      <c r="DO22259" s="303" t="s">
        <v>232</v>
      </c>
    </row>
    <row r="22260" spans="119:119" x14ac:dyDescent="0.2">
      <c r="DO22260" s="303" t="s">
        <v>232</v>
      </c>
    </row>
    <row r="22261" spans="119:119" x14ac:dyDescent="0.2">
      <c r="DO22261" s="303" t="s">
        <v>232</v>
      </c>
    </row>
    <row r="22262" spans="119:119" x14ac:dyDescent="0.2">
      <c r="DO22262" s="303" t="s">
        <v>232</v>
      </c>
    </row>
    <row r="22263" spans="119:119" x14ac:dyDescent="0.2">
      <c r="DO22263" s="303" t="s">
        <v>232</v>
      </c>
    </row>
    <row r="22264" spans="119:119" x14ac:dyDescent="0.2">
      <c r="DO22264" s="303" t="s">
        <v>232</v>
      </c>
    </row>
    <row r="22265" spans="119:119" x14ac:dyDescent="0.2">
      <c r="DO22265" s="303" t="s">
        <v>232</v>
      </c>
    </row>
    <row r="22266" spans="119:119" x14ac:dyDescent="0.2">
      <c r="DO22266" s="303" t="s">
        <v>232</v>
      </c>
    </row>
    <row r="22267" spans="119:119" x14ac:dyDescent="0.2">
      <c r="DO22267" s="303" t="s">
        <v>232</v>
      </c>
    </row>
    <row r="22268" spans="119:119" x14ac:dyDescent="0.2">
      <c r="DO22268" s="303" t="s">
        <v>232</v>
      </c>
    </row>
    <row r="22269" spans="119:119" x14ac:dyDescent="0.2">
      <c r="DO22269" s="303" t="s">
        <v>232</v>
      </c>
    </row>
    <row r="22270" spans="119:119" x14ac:dyDescent="0.2">
      <c r="DO22270" s="303" t="s">
        <v>232</v>
      </c>
    </row>
    <row r="22271" spans="119:119" x14ac:dyDescent="0.2">
      <c r="DO22271" s="303" t="s">
        <v>232</v>
      </c>
    </row>
    <row r="22272" spans="119:119" x14ac:dyDescent="0.2">
      <c r="DO22272" s="303" t="s">
        <v>232</v>
      </c>
    </row>
    <row r="22273" spans="119:119" x14ac:dyDescent="0.2">
      <c r="DO22273" s="303" t="s">
        <v>232</v>
      </c>
    </row>
    <row r="22274" spans="119:119" x14ac:dyDescent="0.2">
      <c r="DO22274" s="303" t="s">
        <v>232</v>
      </c>
    </row>
    <row r="22275" spans="119:119" x14ac:dyDescent="0.2">
      <c r="DO22275" s="303" t="s">
        <v>232</v>
      </c>
    </row>
    <row r="22276" spans="119:119" x14ac:dyDescent="0.2">
      <c r="DO22276" s="303" t="s">
        <v>232</v>
      </c>
    </row>
    <row r="22277" spans="119:119" x14ac:dyDescent="0.2">
      <c r="DO22277" s="303" t="s">
        <v>232</v>
      </c>
    </row>
    <row r="22278" spans="119:119" x14ac:dyDescent="0.2">
      <c r="DO22278" s="303" t="s">
        <v>232</v>
      </c>
    </row>
    <row r="22279" spans="119:119" x14ac:dyDescent="0.2">
      <c r="DO22279" s="303" t="s">
        <v>232</v>
      </c>
    </row>
    <row r="22280" spans="119:119" x14ac:dyDescent="0.2">
      <c r="DO22280" s="303" t="s">
        <v>232</v>
      </c>
    </row>
    <row r="22281" spans="119:119" x14ac:dyDescent="0.2">
      <c r="DO22281" s="303" t="s">
        <v>232</v>
      </c>
    </row>
    <row r="22282" spans="119:119" x14ac:dyDescent="0.2">
      <c r="DO22282" s="303" t="s">
        <v>232</v>
      </c>
    </row>
    <row r="22283" spans="119:119" x14ac:dyDescent="0.2">
      <c r="DO22283" s="303" t="s">
        <v>232</v>
      </c>
    </row>
    <row r="22284" spans="119:119" x14ac:dyDescent="0.2">
      <c r="DO22284" s="303" t="s">
        <v>232</v>
      </c>
    </row>
    <row r="22285" spans="119:119" x14ac:dyDescent="0.2">
      <c r="DO22285" s="303" t="s">
        <v>232</v>
      </c>
    </row>
    <row r="22286" spans="119:119" x14ac:dyDescent="0.2">
      <c r="DO22286" s="303" t="s">
        <v>232</v>
      </c>
    </row>
    <row r="22287" spans="119:119" x14ac:dyDescent="0.2">
      <c r="DO22287" s="303" t="s">
        <v>232</v>
      </c>
    </row>
    <row r="22288" spans="119:119" x14ac:dyDescent="0.2">
      <c r="DO22288" s="303" t="s">
        <v>232</v>
      </c>
    </row>
    <row r="22289" spans="119:119" x14ac:dyDescent="0.2">
      <c r="DO22289" s="303" t="s">
        <v>232</v>
      </c>
    </row>
    <row r="22290" spans="119:119" x14ac:dyDescent="0.2">
      <c r="DO22290" s="303" t="s">
        <v>232</v>
      </c>
    </row>
    <row r="22291" spans="119:119" x14ac:dyDescent="0.2">
      <c r="DO22291" s="303" t="s">
        <v>232</v>
      </c>
    </row>
    <row r="22292" spans="119:119" x14ac:dyDescent="0.2">
      <c r="DO22292" s="303" t="s">
        <v>232</v>
      </c>
    </row>
    <row r="22293" spans="119:119" x14ac:dyDescent="0.2">
      <c r="DO22293" s="303" t="s">
        <v>232</v>
      </c>
    </row>
    <row r="22294" spans="119:119" x14ac:dyDescent="0.2">
      <c r="DO22294" s="303" t="s">
        <v>232</v>
      </c>
    </row>
    <row r="22295" spans="119:119" x14ac:dyDescent="0.2">
      <c r="DO22295" s="303" t="s">
        <v>232</v>
      </c>
    </row>
    <row r="22296" spans="119:119" x14ac:dyDescent="0.2">
      <c r="DO22296" s="303" t="s">
        <v>232</v>
      </c>
    </row>
    <row r="22297" spans="119:119" x14ac:dyDescent="0.2">
      <c r="DO22297" s="303" t="s">
        <v>232</v>
      </c>
    </row>
    <row r="22298" spans="119:119" x14ac:dyDescent="0.2">
      <c r="DO22298" s="303" t="s">
        <v>232</v>
      </c>
    </row>
    <row r="22299" spans="119:119" x14ac:dyDescent="0.2">
      <c r="DO22299" s="303" t="s">
        <v>232</v>
      </c>
    </row>
    <row r="22300" spans="119:119" x14ac:dyDescent="0.2">
      <c r="DO22300" s="303" t="s">
        <v>232</v>
      </c>
    </row>
    <row r="22301" spans="119:119" x14ac:dyDescent="0.2">
      <c r="DO22301" s="303" t="s">
        <v>232</v>
      </c>
    </row>
    <row r="22302" spans="119:119" x14ac:dyDescent="0.2">
      <c r="DO22302" s="303" t="s">
        <v>232</v>
      </c>
    </row>
    <row r="22303" spans="119:119" x14ac:dyDescent="0.2">
      <c r="DO22303" s="303" t="s">
        <v>232</v>
      </c>
    </row>
    <row r="22304" spans="119:119" x14ac:dyDescent="0.2">
      <c r="DO22304" s="303" t="s">
        <v>232</v>
      </c>
    </row>
    <row r="22305" spans="119:119" x14ac:dyDescent="0.2">
      <c r="DO22305" s="303" t="s">
        <v>232</v>
      </c>
    </row>
    <row r="22306" spans="119:119" x14ac:dyDescent="0.2">
      <c r="DO22306" s="303" t="s">
        <v>232</v>
      </c>
    </row>
    <row r="22307" spans="119:119" x14ac:dyDescent="0.2">
      <c r="DO22307" s="303" t="s">
        <v>232</v>
      </c>
    </row>
    <row r="22308" spans="119:119" x14ac:dyDescent="0.2">
      <c r="DO22308" s="303" t="s">
        <v>232</v>
      </c>
    </row>
    <row r="22309" spans="119:119" x14ac:dyDescent="0.2">
      <c r="DO22309" s="303" t="s">
        <v>232</v>
      </c>
    </row>
    <row r="22310" spans="119:119" x14ac:dyDescent="0.2">
      <c r="DO22310" s="303" t="s">
        <v>232</v>
      </c>
    </row>
    <row r="22311" spans="119:119" x14ac:dyDescent="0.2">
      <c r="DO22311" s="303" t="s">
        <v>232</v>
      </c>
    </row>
    <row r="22312" spans="119:119" x14ac:dyDescent="0.2">
      <c r="DO22312" s="303" t="s">
        <v>232</v>
      </c>
    </row>
    <row r="22313" spans="119:119" x14ac:dyDescent="0.2">
      <c r="DO22313" s="303" t="s">
        <v>232</v>
      </c>
    </row>
    <row r="22314" spans="119:119" x14ac:dyDescent="0.2">
      <c r="DO22314" s="303" t="s">
        <v>232</v>
      </c>
    </row>
    <row r="22315" spans="119:119" x14ac:dyDescent="0.2">
      <c r="DO22315" s="303" t="s">
        <v>232</v>
      </c>
    </row>
    <row r="22316" spans="119:119" x14ac:dyDescent="0.2">
      <c r="DO22316" s="303" t="s">
        <v>232</v>
      </c>
    </row>
    <row r="22317" spans="119:119" x14ac:dyDescent="0.2">
      <c r="DO22317" s="303" t="s">
        <v>232</v>
      </c>
    </row>
    <row r="22318" spans="119:119" x14ac:dyDescent="0.2">
      <c r="DO22318" s="303" t="s">
        <v>232</v>
      </c>
    </row>
    <row r="22319" spans="119:119" x14ac:dyDescent="0.2">
      <c r="DO22319" s="303" t="s">
        <v>232</v>
      </c>
    </row>
    <row r="22320" spans="119:119" x14ac:dyDescent="0.2">
      <c r="DO22320" s="303" t="s">
        <v>232</v>
      </c>
    </row>
    <row r="22321" spans="119:119" x14ac:dyDescent="0.2">
      <c r="DO22321" s="303" t="s">
        <v>232</v>
      </c>
    </row>
    <row r="22322" spans="119:119" x14ac:dyDescent="0.2">
      <c r="DO22322" s="303" t="s">
        <v>232</v>
      </c>
    </row>
    <row r="22323" spans="119:119" x14ac:dyDescent="0.2">
      <c r="DO22323" s="303" t="s">
        <v>232</v>
      </c>
    </row>
    <row r="22324" spans="119:119" x14ac:dyDescent="0.2">
      <c r="DO22324" s="303" t="s">
        <v>232</v>
      </c>
    </row>
    <row r="22325" spans="119:119" x14ac:dyDescent="0.2">
      <c r="DO22325" s="303" t="s">
        <v>232</v>
      </c>
    </row>
    <row r="22326" spans="119:119" x14ac:dyDescent="0.2">
      <c r="DO22326" s="303" t="s">
        <v>232</v>
      </c>
    </row>
    <row r="22327" spans="119:119" x14ac:dyDescent="0.2">
      <c r="DO22327" s="303" t="s">
        <v>232</v>
      </c>
    </row>
    <row r="22328" spans="119:119" x14ac:dyDescent="0.2">
      <c r="DO22328" s="303" t="s">
        <v>232</v>
      </c>
    </row>
    <row r="22329" spans="119:119" x14ac:dyDescent="0.2">
      <c r="DO22329" s="303" t="s">
        <v>232</v>
      </c>
    </row>
    <row r="22330" spans="119:119" x14ac:dyDescent="0.2">
      <c r="DO22330" s="303" t="s">
        <v>232</v>
      </c>
    </row>
    <row r="22331" spans="119:119" x14ac:dyDescent="0.2">
      <c r="DO22331" s="303" t="s">
        <v>232</v>
      </c>
    </row>
    <row r="22332" spans="119:119" x14ac:dyDescent="0.2">
      <c r="DO22332" s="303" t="s">
        <v>232</v>
      </c>
    </row>
    <row r="22333" spans="119:119" x14ac:dyDescent="0.2">
      <c r="DO22333" s="303" t="s">
        <v>232</v>
      </c>
    </row>
    <row r="22334" spans="119:119" x14ac:dyDescent="0.2">
      <c r="DO22334" s="303" t="s">
        <v>232</v>
      </c>
    </row>
    <row r="22335" spans="119:119" x14ac:dyDescent="0.2">
      <c r="DO22335" s="303" t="s">
        <v>232</v>
      </c>
    </row>
    <row r="22336" spans="119:119" x14ac:dyDescent="0.2">
      <c r="DO22336" s="303" t="s">
        <v>232</v>
      </c>
    </row>
    <row r="22337" spans="119:119" x14ac:dyDescent="0.2">
      <c r="DO22337" s="303" t="s">
        <v>232</v>
      </c>
    </row>
    <row r="22338" spans="119:119" x14ac:dyDescent="0.2">
      <c r="DO22338" s="303" t="s">
        <v>232</v>
      </c>
    </row>
    <row r="22339" spans="119:119" x14ac:dyDescent="0.2">
      <c r="DO22339" s="303" t="s">
        <v>232</v>
      </c>
    </row>
    <row r="22340" spans="119:119" x14ac:dyDescent="0.2">
      <c r="DO22340" s="303" t="s">
        <v>232</v>
      </c>
    </row>
    <row r="22341" spans="119:119" x14ac:dyDescent="0.2">
      <c r="DO22341" s="303" t="s">
        <v>232</v>
      </c>
    </row>
    <row r="22342" spans="119:119" x14ac:dyDescent="0.2">
      <c r="DO22342" s="303" t="s">
        <v>232</v>
      </c>
    </row>
    <row r="22343" spans="119:119" x14ac:dyDescent="0.2">
      <c r="DO22343" s="303" t="s">
        <v>232</v>
      </c>
    </row>
    <row r="22344" spans="119:119" x14ac:dyDescent="0.2">
      <c r="DO22344" s="303" t="s">
        <v>232</v>
      </c>
    </row>
    <row r="22345" spans="119:119" x14ac:dyDescent="0.2">
      <c r="DO22345" s="303" t="s">
        <v>232</v>
      </c>
    </row>
    <row r="22346" spans="119:119" x14ac:dyDescent="0.2">
      <c r="DO22346" s="303" t="s">
        <v>232</v>
      </c>
    </row>
    <row r="22347" spans="119:119" x14ac:dyDescent="0.2">
      <c r="DO22347" s="303" t="s">
        <v>232</v>
      </c>
    </row>
    <row r="22348" spans="119:119" x14ac:dyDescent="0.2">
      <c r="DO22348" s="303" t="s">
        <v>232</v>
      </c>
    </row>
    <row r="22349" spans="119:119" x14ac:dyDescent="0.2">
      <c r="DO22349" s="303" t="s">
        <v>232</v>
      </c>
    </row>
    <row r="22350" spans="119:119" x14ac:dyDescent="0.2">
      <c r="DO22350" s="303" t="s">
        <v>232</v>
      </c>
    </row>
    <row r="22351" spans="119:119" x14ac:dyDescent="0.2">
      <c r="DO22351" s="303" t="s">
        <v>232</v>
      </c>
    </row>
    <row r="22352" spans="119:119" x14ac:dyDescent="0.2">
      <c r="DO22352" s="303" t="s">
        <v>232</v>
      </c>
    </row>
    <row r="22353" spans="119:119" x14ac:dyDescent="0.2">
      <c r="DO22353" s="303" t="s">
        <v>232</v>
      </c>
    </row>
    <row r="22354" spans="119:119" x14ac:dyDescent="0.2">
      <c r="DO22354" s="303" t="s">
        <v>232</v>
      </c>
    </row>
    <row r="22355" spans="119:119" x14ac:dyDescent="0.2">
      <c r="DO22355" s="303" t="s">
        <v>232</v>
      </c>
    </row>
    <row r="22356" spans="119:119" x14ac:dyDescent="0.2">
      <c r="DO22356" s="303" t="s">
        <v>232</v>
      </c>
    </row>
    <row r="22357" spans="119:119" x14ac:dyDescent="0.2">
      <c r="DO22357" s="303" t="s">
        <v>232</v>
      </c>
    </row>
    <row r="22358" spans="119:119" x14ac:dyDescent="0.2">
      <c r="DO22358" s="303" t="s">
        <v>232</v>
      </c>
    </row>
    <row r="22359" spans="119:119" x14ac:dyDescent="0.2">
      <c r="DO22359" s="303" t="s">
        <v>232</v>
      </c>
    </row>
    <row r="22360" spans="119:119" x14ac:dyDescent="0.2">
      <c r="DO22360" s="303" t="s">
        <v>232</v>
      </c>
    </row>
    <row r="22361" spans="119:119" x14ac:dyDescent="0.2">
      <c r="DO22361" s="303" t="s">
        <v>232</v>
      </c>
    </row>
    <row r="22362" spans="119:119" x14ac:dyDescent="0.2">
      <c r="DO22362" s="303" t="s">
        <v>232</v>
      </c>
    </row>
    <row r="22363" spans="119:119" x14ac:dyDescent="0.2">
      <c r="DO22363" s="303" t="s">
        <v>232</v>
      </c>
    </row>
    <row r="22364" spans="119:119" x14ac:dyDescent="0.2">
      <c r="DO22364" s="303" t="s">
        <v>232</v>
      </c>
    </row>
    <row r="22365" spans="119:119" x14ac:dyDescent="0.2">
      <c r="DO22365" s="303" t="s">
        <v>232</v>
      </c>
    </row>
    <row r="22366" spans="119:119" x14ac:dyDescent="0.2">
      <c r="DO22366" s="303" t="s">
        <v>232</v>
      </c>
    </row>
    <row r="22367" spans="119:119" x14ac:dyDescent="0.2">
      <c r="DO22367" s="303" t="s">
        <v>232</v>
      </c>
    </row>
    <row r="22368" spans="119:119" x14ac:dyDescent="0.2">
      <c r="DO22368" s="303" t="s">
        <v>232</v>
      </c>
    </row>
    <row r="22369" spans="119:119" x14ac:dyDescent="0.2">
      <c r="DO22369" s="303" t="s">
        <v>232</v>
      </c>
    </row>
    <row r="22370" spans="119:119" x14ac:dyDescent="0.2">
      <c r="DO22370" s="303" t="s">
        <v>232</v>
      </c>
    </row>
    <row r="22371" spans="119:119" x14ac:dyDescent="0.2">
      <c r="DO22371" s="303" t="s">
        <v>232</v>
      </c>
    </row>
    <row r="22372" spans="119:119" x14ac:dyDescent="0.2">
      <c r="DO22372" s="303" t="s">
        <v>232</v>
      </c>
    </row>
    <row r="22373" spans="119:119" x14ac:dyDescent="0.2">
      <c r="DO22373" s="303" t="s">
        <v>232</v>
      </c>
    </row>
    <row r="22374" spans="119:119" x14ac:dyDescent="0.2">
      <c r="DO22374" s="303" t="s">
        <v>232</v>
      </c>
    </row>
    <row r="22375" spans="119:119" x14ac:dyDescent="0.2">
      <c r="DO22375" s="303" t="s">
        <v>232</v>
      </c>
    </row>
    <row r="22376" spans="119:119" x14ac:dyDescent="0.2">
      <c r="DO22376" s="303" t="s">
        <v>232</v>
      </c>
    </row>
    <row r="22377" spans="119:119" x14ac:dyDescent="0.2">
      <c r="DO22377" s="303" t="s">
        <v>232</v>
      </c>
    </row>
    <row r="22378" spans="119:119" x14ac:dyDescent="0.2">
      <c r="DO22378" s="303" t="s">
        <v>232</v>
      </c>
    </row>
    <row r="22379" spans="119:119" x14ac:dyDescent="0.2">
      <c r="DO22379" s="303" t="s">
        <v>232</v>
      </c>
    </row>
    <row r="22380" spans="119:119" x14ac:dyDescent="0.2">
      <c r="DO22380" s="303" t="s">
        <v>232</v>
      </c>
    </row>
    <row r="22381" spans="119:119" x14ac:dyDescent="0.2">
      <c r="DO22381" s="303" t="s">
        <v>232</v>
      </c>
    </row>
    <row r="22382" spans="119:119" x14ac:dyDescent="0.2">
      <c r="DO22382" s="303" t="s">
        <v>232</v>
      </c>
    </row>
    <row r="22383" spans="119:119" x14ac:dyDescent="0.2">
      <c r="DO22383" s="303" t="s">
        <v>232</v>
      </c>
    </row>
    <row r="22384" spans="119:119" x14ac:dyDescent="0.2">
      <c r="DO22384" s="303" t="s">
        <v>232</v>
      </c>
    </row>
    <row r="22385" spans="119:119" x14ac:dyDescent="0.2">
      <c r="DO22385" s="303" t="s">
        <v>232</v>
      </c>
    </row>
    <row r="22386" spans="119:119" x14ac:dyDescent="0.2">
      <c r="DO22386" s="303" t="s">
        <v>232</v>
      </c>
    </row>
    <row r="22387" spans="119:119" x14ac:dyDescent="0.2">
      <c r="DO22387" s="303" t="s">
        <v>232</v>
      </c>
    </row>
    <row r="22388" spans="119:119" x14ac:dyDescent="0.2">
      <c r="DO22388" s="303" t="s">
        <v>232</v>
      </c>
    </row>
    <row r="22389" spans="119:119" x14ac:dyDescent="0.2">
      <c r="DO22389" s="303" t="s">
        <v>232</v>
      </c>
    </row>
    <row r="22390" spans="119:119" x14ac:dyDescent="0.2">
      <c r="DO22390" s="303" t="s">
        <v>232</v>
      </c>
    </row>
    <row r="22391" spans="119:119" x14ac:dyDescent="0.2">
      <c r="DO22391" s="303" t="s">
        <v>232</v>
      </c>
    </row>
    <row r="22392" spans="119:119" x14ac:dyDescent="0.2">
      <c r="DO22392" s="303" t="s">
        <v>232</v>
      </c>
    </row>
    <row r="22393" spans="119:119" x14ac:dyDescent="0.2">
      <c r="DO22393" s="303" t="s">
        <v>232</v>
      </c>
    </row>
    <row r="22394" spans="119:119" x14ac:dyDescent="0.2">
      <c r="DO22394" s="303" t="s">
        <v>232</v>
      </c>
    </row>
    <row r="22395" spans="119:119" x14ac:dyDescent="0.2">
      <c r="DO22395" s="303" t="s">
        <v>232</v>
      </c>
    </row>
    <row r="22396" spans="119:119" x14ac:dyDescent="0.2">
      <c r="DO22396" s="303" t="s">
        <v>232</v>
      </c>
    </row>
    <row r="22397" spans="119:119" x14ac:dyDescent="0.2">
      <c r="DO22397" s="303" t="s">
        <v>232</v>
      </c>
    </row>
    <row r="22398" spans="119:119" x14ac:dyDescent="0.2">
      <c r="DO22398" s="303" t="s">
        <v>232</v>
      </c>
    </row>
    <row r="22399" spans="119:119" x14ac:dyDescent="0.2">
      <c r="DO22399" s="303" t="s">
        <v>232</v>
      </c>
    </row>
    <row r="22400" spans="119:119" x14ac:dyDescent="0.2">
      <c r="DO22400" s="303" t="s">
        <v>232</v>
      </c>
    </row>
    <row r="22401" spans="119:119" x14ac:dyDescent="0.2">
      <c r="DO22401" s="303" t="s">
        <v>232</v>
      </c>
    </row>
    <row r="22402" spans="119:119" x14ac:dyDescent="0.2">
      <c r="DO22402" s="303" t="s">
        <v>232</v>
      </c>
    </row>
    <row r="22403" spans="119:119" x14ac:dyDescent="0.2">
      <c r="DO22403" s="303" t="s">
        <v>232</v>
      </c>
    </row>
    <row r="22404" spans="119:119" x14ac:dyDescent="0.2">
      <c r="DO22404" s="303" t="s">
        <v>232</v>
      </c>
    </row>
    <row r="22405" spans="119:119" x14ac:dyDescent="0.2">
      <c r="DO22405" s="303" t="s">
        <v>232</v>
      </c>
    </row>
    <row r="22406" spans="119:119" x14ac:dyDescent="0.2">
      <c r="DO22406" s="303" t="s">
        <v>232</v>
      </c>
    </row>
    <row r="22407" spans="119:119" x14ac:dyDescent="0.2">
      <c r="DO22407" s="303" t="s">
        <v>232</v>
      </c>
    </row>
    <row r="22408" spans="119:119" x14ac:dyDescent="0.2">
      <c r="DO22408" s="303" t="s">
        <v>232</v>
      </c>
    </row>
    <row r="22409" spans="119:119" x14ac:dyDescent="0.2">
      <c r="DO22409" s="303" t="s">
        <v>232</v>
      </c>
    </row>
    <row r="22410" spans="119:119" x14ac:dyDescent="0.2">
      <c r="DO22410" s="303" t="s">
        <v>232</v>
      </c>
    </row>
    <row r="22411" spans="119:119" x14ac:dyDescent="0.2">
      <c r="DO22411" s="303" t="s">
        <v>232</v>
      </c>
    </row>
    <row r="22412" spans="119:119" x14ac:dyDescent="0.2">
      <c r="DO22412" s="303" t="s">
        <v>232</v>
      </c>
    </row>
    <row r="22413" spans="119:119" x14ac:dyDescent="0.2">
      <c r="DO22413" s="303" t="s">
        <v>232</v>
      </c>
    </row>
    <row r="22414" spans="119:119" x14ac:dyDescent="0.2">
      <c r="DO22414" s="303" t="s">
        <v>232</v>
      </c>
    </row>
    <row r="22415" spans="119:119" x14ac:dyDescent="0.2">
      <c r="DO22415" s="303" t="s">
        <v>232</v>
      </c>
    </row>
    <row r="22416" spans="119:119" x14ac:dyDescent="0.2">
      <c r="DO22416" s="303" t="s">
        <v>232</v>
      </c>
    </row>
    <row r="22417" spans="119:119" x14ac:dyDescent="0.2">
      <c r="DO22417" s="303" t="s">
        <v>232</v>
      </c>
    </row>
    <row r="22418" spans="119:119" x14ac:dyDescent="0.2">
      <c r="DO22418" s="303" t="s">
        <v>232</v>
      </c>
    </row>
    <row r="22419" spans="119:119" x14ac:dyDescent="0.2">
      <c r="DO22419" s="303" t="s">
        <v>232</v>
      </c>
    </row>
    <row r="22420" spans="119:119" x14ac:dyDescent="0.2">
      <c r="DO22420" s="303" t="s">
        <v>232</v>
      </c>
    </row>
    <row r="22421" spans="119:119" x14ac:dyDescent="0.2">
      <c r="DO22421" s="303" t="s">
        <v>232</v>
      </c>
    </row>
    <row r="22422" spans="119:119" x14ac:dyDescent="0.2">
      <c r="DO22422" s="303" t="s">
        <v>232</v>
      </c>
    </row>
    <row r="22423" spans="119:119" x14ac:dyDescent="0.2">
      <c r="DO22423" s="303" t="s">
        <v>232</v>
      </c>
    </row>
    <row r="22424" spans="119:119" x14ac:dyDescent="0.2">
      <c r="DO22424" s="303" t="s">
        <v>232</v>
      </c>
    </row>
    <row r="22425" spans="119:119" x14ac:dyDescent="0.2">
      <c r="DO22425" s="303" t="s">
        <v>232</v>
      </c>
    </row>
    <row r="22426" spans="119:119" x14ac:dyDescent="0.2">
      <c r="DO22426" s="303" t="s">
        <v>232</v>
      </c>
    </row>
    <row r="22427" spans="119:119" x14ac:dyDescent="0.2">
      <c r="DO22427" s="303" t="s">
        <v>232</v>
      </c>
    </row>
    <row r="22428" spans="119:119" x14ac:dyDescent="0.2">
      <c r="DO22428" s="303" t="s">
        <v>232</v>
      </c>
    </row>
    <row r="22429" spans="119:119" x14ac:dyDescent="0.2">
      <c r="DO22429" s="303" t="s">
        <v>232</v>
      </c>
    </row>
    <row r="22430" spans="119:119" x14ac:dyDescent="0.2">
      <c r="DO22430" s="303" t="s">
        <v>232</v>
      </c>
    </row>
    <row r="22431" spans="119:119" x14ac:dyDescent="0.2">
      <c r="DO22431" s="303" t="s">
        <v>232</v>
      </c>
    </row>
    <row r="22432" spans="119:119" x14ac:dyDescent="0.2">
      <c r="DO22432" s="303" t="s">
        <v>232</v>
      </c>
    </row>
    <row r="22433" spans="119:119" x14ac:dyDescent="0.2">
      <c r="DO22433" s="303" t="s">
        <v>232</v>
      </c>
    </row>
    <row r="22434" spans="119:119" x14ac:dyDescent="0.2">
      <c r="DO22434" s="303" t="s">
        <v>232</v>
      </c>
    </row>
    <row r="22435" spans="119:119" x14ac:dyDescent="0.2">
      <c r="DO22435" s="303" t="s">
        <v>232</v>
      </c>
    </row>
    <row r="22436" spans="119:119" x14ac:dyDescent="0.2">
      <c r="DO22436" s="303" t="s">
        <v>232</v>
      </c>
    </row>
    <row r="22437" spans="119:119" x14ac:dyDescent="0.2">
      <c r="DO22437" s="303" t="s">
        <v>232</v>
      </c>
    </row>
    <row r="22438" spans="119:119" x14ac:dyDescent="0.2">
      <c r="DO22438" s="303" t="s">
        <v>232</v>
      </c>
    </row>
    <row r="22439" spans="119:119" x14ac:dyDescent="0.2">
      <c r="DO22439" s="303" t="s">
        <v>232</v>
      </c>
    </row>
    <row r="22440" spans="119:119" x14ac:dyDescent="0.2">
      <c r="DO22440" s="303" t="s">
        <v>232</v>
      </c>
    </row>
    <row r="22441" spans="119:119" x14ac:dyDescent="0.2">
      <c r="DO22441" s="303" t="s">
        <v>232</v>
      </c>
    </row>
    <row r="22442" spans="119:119" x14ac:dyDescent="0.2">
      <c r="DO22442" s="303" t="s">
        <v>232</v>
      </c>
    </row>
    <row r="22443" spans="119:119" x14ac:dyDescent="0.2">
      <c r="DO22443" s="303" t="s">
        <v>232</v>
      </c>
    </row>
    <row r="22444" spans="119:119" x14ac:dyDescent="0.2">
      <c r="DO22444" s="303" t="s">
        <v>232</v>
      </c>
    </row>
    <row r="22445" spans="119:119" x14ac:dyDescent="0.2">
      <c r="DO22445" s="303" t="s">
        <v>232</v>
      </c>
    </row>
    <row r="22446" spans="119:119" x14ac:dyDescent="0.2">
      <c r="DO22446" s="303" t="s">
        <v>232</v>
      </c>
    </row>
    <row r="22447" spans="119:119" x14ac:dyDescent="0.2">
      <c r="DO22447" s="303" t="s">
        <v>232</v>
      </c>
    </row>
    <row r="22448" spans="119:119" x14ac:dyDescent="0.2">
      <c r="DO22448" s="303" t="s">
        <v>232</v>
      </c>
    </row>
    <row r="22449" spans="119:119" x14ac:dyDescent="0.2">
      <c r="DO22449" s="303" t="s">
        <v>232</v>
      </c>
    </row>
    <row r="22450" spans="119:119" x14ac:dyDescent="0.2">
      <c r="DO22450" s="303" t="s">
        <v>232</v>
      </c>
    </row>
    <row r="22451" spans="119:119" x14ac:dyDescent="0.2">
      <c r="DO22451" s="303" t="s">
        <v>232</v>
      </c>
    </row>
    <row r="22452" spans="119:119" x14ac:dyDescent="0.2">
      <c r="DO22452" s="303" t="s">
        <v>232</v>
      </c>
    </row>
    <row r="22453" spans="119:119" x14ac:dyDescent="0.2">
      <c r="DO22453" s="303" t="s">
        <v>232</v>
      </c>
    </row>
    <row r="22454" spans="119:119" x14ac:dyDescent="0.2">
      <c r="DO22454" s="303" t="s">
        <v>232</v>
      </c>
    </row>
    <row r="22455" spans="119:119" x14ac:dyDescent="0.2">
      <c r="DO22455" s="303" t="s">
        <v>232</v>
      </c>
    </row>
    <row r="22456" spans="119:119" x14ac:dyDescent="0.2">
      <c r="DO22456" s="303" t="s">
        <v>232</v>
      </c>
    </row>
    <row r="22457" spans="119:119" x14ac:dyDescent="0.2">
      <c r="DO22457" s="303" t="s">
        <v>232</v>
      </c>
    </row>
    <row r="22458" spans="119:119" x14ac:dyDescent="0.2">
      <c r="DO22458" s="303" t="s">
        <v>232</v>
      </c>
    </row>
    <row r="22459" spans="119:119" x14ac:dyDescent="0.2">
      <c r="DO22459" s="303" t="s">
        <v>232</v>
      </c>
    </row>
    <row r="22460" spans="119:119" x14ac:dyDescent="0.2">
      <c r="DO22460" s="303" t="s">
        <v>232</v>
      </c>
    </row>
    <row r="22461" spans="119:119" x14ac:dyDescent="0.2">
      <c r="DO22461" s="303" t="s">
        <v>232</v>
      </c>
    </row>
    <row r="22462" spans="119:119" x14ac:dyDescent="0.2">
      <c r="DO22462" s="303" t="s">
        <v>232</v>
      </c>
    </row>
    <row r="22463" spans="119:119" x14ac:dyDescent="0.2">
      <c r="DO22463" s="303" t="s">
        <v>232</v>
      </c>
    </row>
    <row r="22464" spans="119:119" x14ac:dyDescent="0.2">
      <c r="DO22464" s="303" t="s">
        <v>232</v>
      </c>
    </row>
    <row r="22465" spans="119:119" x14ac:dyDescent="0.2">
      <c r="DO22465" s="303" t="s">
        <v>232</v>
      </c>
    </row>
    <row r="22466" spans="119:119" x14ac:dyDescent="0.2">
      <c r="DO22466" s="303" t="s">
        <v>232</v>
      </c>
    </row>
    <row r="22467" spans="119:119" x14ac:dyDescent="0.2">
      <c r="DO22467" s="303" t="s">
        <v>232</v>
      </c>
    </row>
    <row r="22468" spans="119:119" x14ac:dyDescent="0.2">
      <c r="DO22468" s="303" t="s">
        <v>232</v>
      </c>
    </row>
    <row r="22469" spans="119:119" x14ac:dyDescent="0.2">
      <c r="DO22469" s="303" t="s">
        <v>232</v>
      </c>
    </row>
    <row r="22470" spans="119:119" x14ac:dyDescent="0.2">
      <c r="DO22470" s="303" t="s">
        <v>232</v>
      </c>
    </row>
    <row r="22471" spans="119:119" x14ac:dyDescent="0.2">
      <c r="DO22471" s="303" t="s">
        <v>232</v>
      </c>
    </row>
    <row r="22472" spans="119:119" x14ac:dyDescent="0.2">
      <c r="DO22472" s="303" t="s">
        <v>232</v>
      </c>
    </row>
    <row r="22473" spans="119:119" x14ac:dyDescent="0.2">
      <c r="DO22473" s="303" t="s">
        <v>232</v>
      </c>
    </row>
    <row r="22474" spans="119:119" x14ac:dyDescent="0.2">
      <c r="DO22474" s="303" t="s">
        <v>232</v>
      </c>
    </row>
    <row r="22475" spans="119:119" x14ac:dyDescent="0.2">
      <c r="DO22475" s="303" t="s">
        <v>232</v>
      </c>
    </row>
    <row r="22476" spans="119:119" x14ac:dyDescent="0.2">
      <c r="DO22476" s="303" t="s">
        <v>232</v>
      </c>
    </row>
    <row r="22477" spans="119:119" x14ac:dyDescent="0.2">
      <c r="DO22477" s="303" t="s">
        <v>232</v>
      </c>
    </row>
    <row r="22478" spans="119:119" x14ac:dyDescent="0.2">
      <c r="DO22478" s="303" t="s">
        <v>232</v>
      </c>
    </row>
    <row r="22479" spans="119:119" x14ac:dyDescent="0.2">
      <c r="DO22479" s="303" t="s">
        <v>232</v>
      </c>
    </row>
    <row r="22480" spans="119:119" x14ac:dyDescent="0.2">
      <c r="DO22480" s="303" t="s">
        <v>232</v>
      </c>
    </row>
    <row r="22481" spans="119:119" x14ac:dyDescent="0.2">
      <c r="DO22481" s="303" t="s">
        <v>232</v>
      </c>
    </row>
    <row r="22482" spans="119:119" x14ac:dyDescent="0.2">
      <c r="DO22482" s="303" t="s">
        <v>232</v>
      </c>
    </row>
    <row r="22483" spans="119:119" x14ac:dyDescent="0.2">
      <c r="DO22483" s="303" t="s">
        <v>232</v>
      </c>
    </row>
    <row r="22484" spans="119:119" x14ac:dyDescent="0.2">
      <c r="DO22484" s="303" t="s">
        <v>232</v>
      </c>
    </row>
    <row r="22485" spans="119:119" x14ac:dyDescent="0.2">
      <c r="DO22485" s="303" t="s">
        <v>232</v>
      </c>
    </row>
    <row r="22486" spans="119:119" x14ac:dyDescent="0.2">
      <c r="DO22486" s="303" t="s">
        <v>232</v>
      </c>
    </row>
    <row r="22487" spans="119:119" x14ac:dyDescent="0.2">
      <c r="DO22487" s="303" t="s">
        <v>232</v>
      </c>
    </row>
    <row r="22488" spans="119:119" x14ac:dyDescent="0.2">
      <c r="DO22488" s="303" t="s">
        <v>232</v>
      </c>
    </row>
    <row r="22489" spans="119:119" x14ac:dyDescent="0.2">
      <c r="DO22489" s="303" t="s">
        <v>232</v>
      </c>
    </row>
    <row r="22490" spans="119:119" x14ac:dyDescent="0.2">
      <c r="DO22490" s="303" t="s">
        <v>232</v>
      </c>
    </row>
    <row r="22491" spans="119:119" x14ac:dyDescent="0.2">
      <c r="DO22491" s="303" t="s">
        <v>232</v>
      </c>
    </row>
    <row r="22492" spans="119:119" x14ac:dyDescent="0.2">
      <c r="DO22492" s="303" t="s">
        <v>232</v>
      </c>
    </row>
    <row r="22493" spans="119:119" x14ac:dyDescent="0.2">
      <c r="DO22493" s="303" t="s">
        <v>232</v>
      </c>
    </row>
    <row r="22494" spans="119:119" x14ac:dyDescent="0.2">
      <c r="DO22494" s="303" t="s">
        <v>232</v>
      </c>
    </row>
    <row r="22495" spans="119:119" x14ac:dyDescent="0.2">
      <c r="DO22495" s="303" t="s">
        <v>232</v>
      </c>
    </row>
    <row r="22496" spans="119:119" x14ac:dyDescent="0.2">
      <c r="DO22496" s="303" t="s">
        <v>232</v>
      </c>
    </row>
    <row r="22497" spans="119:119" x14ac:dyDescent="0.2">
      <c r="DO22497" s="303" t="s">
        <v>232</v>
      </c>
    </row>
    <row r="22498" spans="119:119" x14ac:dyDescent="0.2">
      <c r="DO22498" s="303" t="s">
        <v>232</v>
      </c>
    </row>
    <row r="22499" spans="119:119" x14ac:dyDescent="0.2">
      <c r="DO22499" s="303" t="s">
        <v>232</v>
      </c>
    </row>
    <row r="22500" spans="119:119" x14ac:dyDescent="0.2">
      <c r="DO22500" s="303" t="s">
        <v>232</v>
      </c>
    </row>
    <row r="22501" spans="119:119" x14ac:dyDescent="0.2">
      <c r="DO22501" s="303" t="s">
        <v>232</v>
      </c>
    </row>
    <row r="22502" spans="119:119" x14ac:dyDescent="0.2">
      <c r="DO22502" s="303" t="s">
        <v>232</v>
      </c>
    </row>
    <row r="22503" spans="119:119" x14ac:dyDescent="0.2">
      <c r="DO22503" s="303" t="s">
        <v>232</v>
      </c>
    </row>
    <row r="22504" spans="119:119" x14ac:dyDescent="0.2">
      <c r="DO22504" s="303" t="s">
        <v>232</v>
      </c>
    </row>
    <row r="22505" spans="119:119" x14ac:dyDescent="0.2">
      <c r="DO22505" s="303" t="s">
        <v>232</v>
      </c>
    </row>
    <row r="22506" spans="119:119" x14ac:dyDescent="0.2">
      <c r="DO22506" s="303" t="s">
        <v>232</v>
      </c>
    </row>
    <row r="22507" spans="119:119" x14ac:dyDescent="0.2">
      <c r="DO22507" s="303" t="s">
        <v>232</v>
      </c>
    </row>
    <row r="22508" spans="119:119" x14ac:dyDescent="0.2">
      <c r="DO22508" s="303" t="s">
        <v>232</v>
      </c>
    </row>
    <row r="22509" spans="119:119" x14ac:dyDescent="0.2">
      <c r="DO22509" s="303" t="s">
        <v>232</v>
      </c>
    </row>
    <row r="22510" spans="119:119" x14ac:dyDescent="0.2">
      <c r="DO22510" s="303" t="s">
        <v>232</v>
      </c>
    </row>
    <row r="22511" spans="119:119" x14ac:dyDescent="0.2">
      <c r="DO22511" s="303" t="s">
        <v>232</v>
      </c>
    </row>
    <row r="22512" spans="119:119" x14ac:dyDescent="0.2">
      <c r="DO22512" s="303" t="s">
        <v>232</v>
      </c>
    </row>
    <row r="22513" spans="119:119" x14ac:dyDescent="0.2">
      <c r="DO22513" s="303" t="s">
        <v>232</v>
      </c>
    </row>
    <row r="22514" spans="119:119" x14ac:dyDescent="0.2">
      <c r="DO22514" s="303" t="s">
        <v>232</v>
      </c>
    </row>
    <row r="22515" spans="119:119" x14ac:dyDescent="0.2">
      <c r="DO22515" s="303" t="s">
        <v>232</v>
      </c>
    </row>
    <row r="22516" spans="119:119" x14ac:dyDescent="0.2">
      <c r="DO22516" s="303" t="s">
        <v>232</v>
      </c>
    </row>
    <row r="22517" spans="119:119" x14ac:dyDescent="0.2">
      <c r="DO22517" s="303" t="s">
        <v>232</v>
      </c>
    </row>
    <row r="22518" spans="119:119" x14ac:dyDescent="0.2">
      <c r="DO22518" s="303" t="s">
        <v>232</v>
      </c>
    </row>
    <row r="22519" spans="119:119" x14ac:dyDescent="0.2">
      <c r="DO22519" s="303" t="s">
        <v>232</v>
      </c>
    </row>
    <row r="22520" spans="119:119" x14ac:dyDescent="0.2">
      <c r="DO22520" s="303" t="s">
        <v>232</v>
      </c>
    </row>
    <row r="22521" spans="119:119" x14ac:dyDescent="0.2">
      <c r="DO22521" s="303" t="s">
        <v>232</v>
      </c>
    </row>
    <row r="22522" spans="119:119" x14ac:dyDescent="0.2">
      <c r="DO22522" s="303" t="s">
        <v>232</v>
      </c>
    </row>
    <row r="22523" spans="119:119" x14ac:dyDescent="0.2">
      <c r="DO22523" s="303" t="s">
        <v>232</v>
      </c>
    </row>
    <row r="22524" spans="119:119" x14ac:dyDescent="0.2">
      <c r="DO22524" s="303" t="s">
        <v>232</v>
      </c>
    </row>
    <row r="22525" spans="119:119" x14ac:dyDescent="0.2">
      <c r="DO22525" s="303" t="s">
        <v>232</v>
      </c>
    </row>
    <row r="22526" spans="119:119" x14ac:dyDescent="0.2">
      <c r="DO22526" s="303" t="s">
        <v>232</v>
      </c>
    </row>
    <row r="22527" spans="119:119" x14ac:dyDescent="0.2">
      <c r="DO22527" s="303" t="s">
        <v>232</v>
      </c>
    </row>
    <row r="22528" spans="119:119" x14ac:dyDescent="0.2">
      <c r="DO22528" s="303" t="s">
        <v>232</v>
      </c>
    </row>
    <row r="22529" spans="119:119" x14ac:dyDescent="0.2">
      <c r="DO22529" s="303" t="s">
        <v>232</v>
      </c>
    </row>
    <row r="22530" spans="119:119" x14ac:dyDescent="0.2">
      <c r="DO22530" s="303" t="s">
        <v>232</v>
      </c>
    </row>
    <row r="22531" spans="119:119" x14ac:dyDescent="0.2">
      <c r="DO22531" s="303" t="s">
        <v>232</v>
      </c>
    </row>
    <row r="22532" spans="119:119" x14ac:dyDescent="0.2">
      <c r="DO22532" s="303" t="s">
        <v>232</v>
      </c>
    </row>
    <row r="22533" spans="119:119" x14ac:dyDescent="0.2">
      <c r="DO22533" s="303" t="s">
        <v>232</v>
      </c>
    </row>
    <row r="22534" spans="119:119" x14ac:dyDescent="0.2">
      <c r="DO22534" s="303" t="s">
        <v>232</v>
      </c>
    </row>
    <row r="22535" spans="119:119" x14ac:dyDescent="0.2">
      <c r="DO22535" s="303" t="s">
        <v>232</v>
      </c>
    </row>
    <row r="22536" spans="119:119" x14ac:dyDescent="0.2">
      <c r="DO22536" s="303" t="s">
        <v>232</v>
      </c>
    </row>
    <row r="22537" spans="119:119" x14ac:dyDescent="0.2">
      <c r="DO22537" s="303" t="s">
        <v>232</v>
      </c>
    </row>
    <row r="22538" spans="119:119" x14ac:dyDescent="0.2">
      <c r="DO22538" s="303" t="s">
        <v>232</v>
      </c>
    </row>
    <row r="22539" spans="119:119" x14ac:dyDescent="0.2">
      <c r="DO22539" s="303" t="s">
        <v>232</v>
      </c>
    </row>
    <row r="22540" spans="119:119" x14ac:dyDescent="0.2">
      <c r="DO22540" s="303" t="s">
        <v>232</v>
      </c>
    </row>
    <row r="22541" spans="119:119" x14ac:dyDescent="0.2">
      <c r="DO22541" s="303" t="s">
        <v>232</v>
      </c>
    </row>
    <row r="22542" spans="119:119" x14ac:dyDescent="0.2">
      <c r="DO22542" s="303" t="s">
        <v>232</v>
      </c>
    </row>
    <row r="22543" spans="119:119" x14ac:dyDescent="0.2">
      <c r="DO22543" s="303" t="s">
        <v>232</v>
      </c>
    </row>
    <row r="22544" spans="119:119" x14ac:dyDescent="0.2">
      <c r="DO22544" s="303" t="s">
        <v>232</v>
      </c>
    </row>
    <row r="22545" spans="119:119" x14ac:dyDescent="0.2">
      <c r="DO22545" s="303" t="s">
        <v>232</v>
      </c>
    </row>
    <row r="22546" spans="119:119" x14ac:dyDescent="0.2">
      <c r="DO22546" s="303" t="s">
        <v>232</v>
      </c>
    </row>
    <row r="22547" spans="119:119" x14ac:dyDescent="0.2">
      <c r="DO22547" s="303" t="s">
        <v>232</v>
      </c>
    </row>
    <row r="22548" spans="119:119" x14ac:dyDescent="0.2">
      <c r="DO22548" s="303" t="s">
        <v>232</v>
      </c>
    </row>
    <row r="22549" spans="119:119" x14ac:dyDescent="0.2">
      <c r="DO22549" s="303" t="s">
        <v>232</v>
      </c>
    </row>
    <row r="22550" spans="119:119" x14ac:dyDescent="0.2">
      <c r="DO22550" s="303" t="s">
        <v>232</v>
      </c>
    </row>
    <row r="22551" spans="119:119" x14ac:dyDescent="0.2">
      <c r="DO22551" s="303" t="s">
        <v>232</v>
      </c>
    </row>
    <row r="22552" spans="119:119" x14ac:dyDescent="0.2">
      <c r="DO22552" s="303" t="s">
        <v>232</v>
      </c>
    </row>
    <row r="22553" spans="119:119" x14ac:dyDescent="0.2">
      <c r="DO22553" s="303" t="s">
        <v>232</v>
      </c>
    </row>
    <row r="22554" spans="119:119" x14ac:dyDescent="0.2">
      <c r="DO22554" s="303" t="s">
        <v>232</v>
      </c>
    </row>
    <row r="22555" spans="119:119" x14ac:dyDescent="0.2">
      <c r="DO22555" s="303" t="s">
        <v>232</v>
      </c>
    </row>
    <row r="22556" spans="119:119" x14ac:dyDescent="0.2">
      <c r="DO22556" s="303" t="s">
        <v>232</v>
      </c>
    </row>
    <row r="22557" spans="119:119" x14ac:dyDescent="0.2">
      <c r="DO22557" s="303" t="s">
        <v>232</v>
      </c>
    </row>
    <row r="22558" spans="119:119" x14ac:dyDescent="0.2">
      <c r="DO22558" s="303" t="s">
        <v>232</v>
      </c>
    </row>
    <row r="22559" spans="119:119" x14ac:dyDescent="0.2">
      <c r="DO22559" s="303" t="s">
        <v>232</v>
      </c>
    </row>
    <row r="22560" spans="119:119" x14ac:dyDescent="0.2">
      <c r="DO22560" s="303" t="s">
        <v>232</v>
      </c>
    </row>
    <row r="22561" spans="119:119" x14ac:dyDescent="0.2">
      <c r="DO22561" s="303" t="s">
        <v>232</v>
      </c>
    </row>
    <row r="22562" spans="119:119" x14ac:dyDescent="0.2">
      <c r="DO22562" s="303" t="s">
        <v>232</v>
      </c>
    </row>
    <row r="22563" spans="119:119" x14ac:dyDescent="0.2">
      <c r="DO22563" s="303" t="s">
        <v>232</v>
      </c>
    </row>
    <row r="22564" spans="119:119" x14ac:dyDescent="0.2">
      <c r="DO22564" s="303" t="s">
        <v>232</v>
      </c>
    </row>
    <row r="22565" spans="119:119" x14ac:dyDescent="0.2">
      <c r="DO22565" s="303" t="s">
        <v>232</v>
      </c>
    </row>
    <row r="22566" spans="119:119" x14ac:dyDescent="0.2">
      <c r="DO22566" s="303" t="s">
        <v>232</v>
      </c>
    </row>
    <row r="22567" spans="119:119" x14ac:dyDescent="0.2">
      <c r="DO22567" s="303" t="s">
        <v>232</v>
      </c>
    </row>
    <row r="22568" spans="119:119" x14ac:dyDescent="0.2">
      <c r="DO22568" s="303" t="s">
        <v>232</v>
      </c>
    </row>
    <row r="22569" spans="119:119" x14ac:dyDescent="0.2">
      <c r="DO22569" s="303" t="s">
        <v>232</v>
      </c>
    </row>
    <row r="22570" spans="119:119" x14ac:dyDescent="0.2">
      <c r="DO22570" s="303" t="s">
        <v>232</v>
      </c>
    </row>
    <row r="22571" spans="119:119" x14ac:dyDescent="0.2">
      <c r="DO22571" s="303" t="s">
        <v>232</v>
      </c>
    </row>
    <row r="22572" spans="119:119" x14ac:dyDescent="0.2">
      <c r="DO22572" s="303" t="s">
        <v>232</v>
      </c>
    </row>
    <row r="22573" spans="119:119" x14ac:dyDescent="0.2">
      <c r="DO22573" s="303" t="s">
        <v>232</v>
      </c>
    </row>
    <row r="22574" spans="119:119" x14ac:dyDescent="0.2">
      <c r="DO22574" s="303" t="s">
        <v>232</v>
      </c>
    </row>
    <row r="22575" spans="119:119" x14ac:dyDescent="0.2">
      <c r="DO22575" s="303" t="s">
        <v>232</v>
      </c>
    </row>
    <row r="22576" spans="119:119" x14ac:dyDescent="0.2">
      <c r="DO22576" s="303" t="s">
        <v>232</v>
      </c>
    </row>
    <row r="22577" spans="119:119" x14ac:dyDescent="0.2">
      <c r="DO22577" s="303" t="s">
        <v>232</v>
      </c>
    </row>
    <row r="22578" spans="119:119" x14ac:dyDescent="0.2">
      <c r="DO22578" s="303" t="s">
        <v>232</v>
      </c>
    </row>
    <row r="22579" spans="119:119" x14ac:dyDescent="0.2">
      <c r="DO22579" s="303" t="s">
        <v>232</v>
      </c>
    </row>
    <row r="22580" spans="119:119" x14ac:dyDescent="0.2">
      <c r="DO22580" s="303" t="s">
        <v>232</v>
      </c>
    </row>
    <row r="22581" spans="119:119" x14ac:dyDescent="0.2">
      <c r="DO22581" s="303" t="s">
        <v>232</v>
      </c>
    </row>
    <row r="22582" spans="119:119" x14ac:dyDescent="0.2">
      <c r="DO22582" s="303" t="s">
        <v>232</v>
      </c>
    </row>
    <row r="22583" spans="119:119" x14ac:dyDescent="0.2">
      <c r="DO22583" s="303" t="s">
        <v>232</v>
      </c>
    </row>
    <row r="22584" spans="119:119" x14ac:dyDescent="0.2">
      <c r="DO22584" s="303" t="s">
        <v>232</v>
      </c>
    </row>
    <row r="22585" spans="119:119" x14ac:dyDescent="0.2">
      <c r="DO22585" s="303" t="s">
        <v>232</v>
      </c>
    </row>
    <row r="22586" spans="119:119" x14ac:dyDescent="0.2">
      <c r="DO22586" s="303" t="s">
        <v>232</v>
      </c>
    </row>
    <row r="22587" spans="119:119" x14ac:dyDescent="0.2">
      <c r="DO22587" s="303" t="s">
        <v>232</v>
      </c>
    </row>
    <row r="22588" spans="119:119" x14ac:dyDescent="0.2">
      <c r="DO22588" s="303" t="s">
        <v>232</v>
      </c>
    </row>
    <row r="22589" spans="119:119" x14ac:dyDescent="0.2">
      <c r="DO22589" s="303" t="s">
        <v>232</v>
      </c>
    </row>
    <row r="22590" spans="119:119" x14ac:dyDescent="0.2">
      <c r="DO22590" s="303" t="s">
        <v>232</v>
      </c>
    </row>
    <row r="22591" spans="119:119" x14ac:dyDescent="0.2">
      <c r="DO22591" s="303" t="s">
        <v>232</v>
      </c>
    </row>
    <row r="22592" spans="119:119" x14ac:dyDescent="0.2">
      <c r="DO22592" s="303" t="s">
        <v>232</v>
      </c>
    </row>
    <row r="22593" spans="119:119" x14ac:dyDescent="0.2">
      <c r="DO22593" s="303" t="s">
        <v>232</v>
      </c>
    </row>
    <row r="22594" spans="119:119" x14ac:dyDescent="0.2">
      <c r="DO22594" s="303" t="s">
        <v>232</v>
      </c>
    </row>
    <row r="22595" spans="119:119" x14ac:dyDescent="0.2">
      <c r="DO22595" s="303" t="s">
        <v>232</v>
      </c>
    </row>
    <row r="22596" spans="119:119" x14ac:dyDescent="0.2">
      <c r="DO22596" s="303" t="s">
        <v>232</v>
      </c>
    </row>
    <row r="22597" spans="119:119" x14ac:dyDescent="0.2">
      <c r="DO22597" s="303" t="s">
        <v>232</v>
      </c>
    </row>
    <row r="22598" spans="119:119" x14ac:dyDescent="0.2">
      <c r="DO22598" s="303" t="s">
        <v>232</v>
      </c>
    </row>
    <row r="22599" spans="119:119" x14ac:dyDescent="0.2">
      <c r="DO22599" s="303" t="s">
        <v>232</v>
      </c>
    </row>
    <row r="22600" spans="119:119" x14ac:dyDescent="0.2">
      <c r="DO22600" s="303" t="s">
        <v>232</v>
      </c>
    </row>
    <row r="22601" spans="119:119" x14ac:dyDescent="0.2">
      <c r="DO22601" s="303" t="s">
        <v>232</v>
      </c>
    </row>
    <row r="22602" spans="119:119" x14ac:dyDescent="0.2">
      <c r="DO22602" s="303" t="s">
        <v>232</v>
      </c>
    </row>
    <row r="22603" spans="119:119" x14ac:dyDescent="0.2">
      <c r="DO22603" s="303" t="s">
        <v>232</v>
      </c>
    </row>
    <row r="22604" spans="119:119" x14ac:dyDescent="0.2">
      <c r="DO22604" s="303" t="s">
        <v>232</v>
      </c>
    </row>
    <row r="22605" spans="119:119" x14ac:dyDescent="0.2">
      <c r="DO22605" s="303" t="s">
        <v>232</v>
      </c>
    </row>
    <row r="22606" spans="119:119" x14ac:dyDescent="0.2">
      <c r="DO22606" s="303" t="s">
        <v>232</v>
      </c>
    </row>
    <row r="22607" spans="119:119" x14ac:dyDescent="0.2">
      <c r="DO22607" s="303" t="s">
        <v>232</v>
      </c>
    </row>
    <row r="22608" spans="119:119" x14ac:dyDescent="0.2">
      <c r="DO22608" s="303" t="s">
        <v>232</v>
      </c>
    </row>
    <row r="22609" spans="119:119" x14ac:dyDescent="0.2">
      <c r="DO22609" s="303" t="s">
        <v>232</v>
      </c>
    </row>
    <row r="22610" spans="119:119" x14ac:dyDescent="0.2">
      <c r="DO22610" s="303" t="s">
        <v>232</v>
      </c>
    </row>
    <row r="22611" spans="119:119" x14ac:dyDescent="0.2">
      <c r="DO22611" s="303" t="s">
        <v>232</v>
      </c>
    </row>
    <row r="22612" spans="119:119" x14ac:dyDescent="0.2">
      <c r="DO22612" s="303" t="s">
        <v>232</v>
      </c>
    </row>
    <row r="22613" spans="119:119" x14ac:dyDescent="0.2">
      <c r="DO22613" s="303" t="s">
        <v>232</v>
      </c>
    </row>
    <row r="22614" spans="119:119" x14ac:dyDescent="0.2">
      <c r="DO22614" s="303" t="s">
        <v>232</v>
      </c>
    </row>
    <row r="22615" spans="119:119" x14ac:dyDescent="0.2">
      <c r="DO22615" s="303" t="s">
        <v>232</v>
      </c>
    </row>
    <row r="22616" spans="119:119" x14ac:dyDescent="0.2">
      <c r="DO22616" s="303" t="s">
        <v>232</v>
      </c>
    </row>
    <row r="22617" spans="119:119" x14ac:dyDescent="0.2">
      <c r="DO22617" s="303" t="s">
        <v>232</v>
      </c>
    </row>
    <row r="22618" spans="119:119" x14ac:dyDescent="0.2">
      <c r="DO22618" s="303" t="s">
        <v>232</v>
      </c>
    </row>
    <row r="22619" spans="119:119" x14ac:dyDescent="0.2">
      <c r="DO22619" s="303" t="s">
        <v>232</v>
      </c>
    </row>
    <row r="22620" spans="119:119" x14ac:dyDescent="0.2">
      <c r="DO22620" s="303" t="s">
        <v>232</v>
      </c>
    </row>
    <row r="22621" spans="119:119" x14ac:dyDescent="0.2">
      <c r="DO22621" s="303" t="s">
        <v>232</v>
      </c>
    </row>
    <row r="22622" spans="119:119" x14ac:dyDescent="0.2">
      <c r="DO22622" s="303" t="s">
        <v>232</v>
      </c>
    </row>
    <row r="22623" spans="119:119" x14ac:dyDescent="0.2">
      <c r="DO22623" s="303" t="s">
        <v>232</v>
      </c>
    </row>
    <row r="22624" spans="119:119" x14ac:dyDescent="0.2">
      <c r="DO22624" s="303" t="s">
        <v>232</v>
      </c>
    </row>
    <row r="22625" spans="119:119" x14ac:dyDescent="0.2">
      <c r="DO22625" s="303" t="s">
        <v>232</v>
      </c>
    </row>
    <row r="22626" spans="119:119" x14ac:dyDescent="0.2">
      <c r="DO22626" s="303" t="s">
        <v>232</v>
      </c>
    </row>
    <row r="22627" spans="119:119" x14ac:dyDescent="0.2">
      <c r="DO22627" s="303" t="s">
        <v>232</v>
      </c>
    </row>
    <row r="22628" spans="119:119" x14ac:dyDescent="0.2">
      <c r="DO22628" s="303" t="s">
        <v>232</v>
      </c>
    </row>
    <row r="22629" spans="119:119" x14ac:dyDescent="0.2">
      <c r="DO22629" s="303" t="s">
        <v>232</v>
      </c>
    </row>
    <row r="22630" spans="119:119" x14ac:dyDescent="0.2">
      <c r="DO22630" s="303" t="s">
        <v>232</v>
      </c>
    </row>
    <row r="22631" spans="119:119" x14ac:dyDescent="0.2">
      <c r="DO22631" s="303" t="s">
        <v>232</v>
      </c>
    </row>
    <row r="22632" spans="119:119" x14ac:dyDescent="0.2">
      <c r="DO22632" s="303" t="s">
        <v>232</v>
      </c>
    </row>
    <row r="22633" spans="119:119" x14ac:dyDescent="0.2">
      <c r="DO22633" s="303" t="s">
        <v>232</v>
      </c>
    </row>
    <row r="22634" spans="119:119" x14ac:dyDescent="0.2">
      <c r="DO22634" s="303" t="s">
        <v>232</v>
      </c>
    </row>
    <row r="22635" spans="119:119" x14ac:dyDescent="0.2">
      <c r="DO22635" s="303" t="s">
        <v>232</v>
      </c>
    </row>
    <row r="22636" spans="119:119" x14ac:dyDescent="0.2">
      <c r="DO22636" s="303" t="s">
        <v>232</v>
      </c>
    </row>
    <row r="22637" spans="119:119" x14ac:dyDescent="0.2">
      <c r="DO22637" s="303" t="s">
        <v>232</v>
      </c>
    </row>
    <row r="22638" spans="119:119" x14ac:dyDescent="0.2">
      <c r="DO22638" s="303" t="s">
        <v>232</v>
      </c>
    </row>
    <row r="22639" spans="119:119" x14ac:dyDescent="0.2">
      <c r="DO22639" s="303" t="s">
        <v>232</v>
      </c>
    </row>
    <row r="22640" spans="119:119" x14ac:dyDescent="0.2">
      <c r="DO22640" s="303" t="s">
        <v>232</v>
      </c>
    </row>
    <row r="22641" spans="119:119" x14ac:dyDescent="0.2">
      <c r="DO22641" s="303" t="s">
        <v>232</v>
      </c>
    </row>
    <row r="22642" spans="119:119" x14ac:dyDescent="0.2">
      <c r="DO22642" s="303" t="s">
        <v>232</v>
      </c>
    </row>
    <row r="22643" spans="119:119" x14ac:dyDescent="0.2">
      <c r="DO22643" s="303" t="s">
        <v>232</v>
      </c>
    </row>
    <row r="22644" spans="119:119" x14ac:dyDescent="0.2">
      <c r="DO22644" s="303" t="s">
        <v>232</v>
      </c>
    </row>
    <row r="22645" spans="119:119" x14ac:dyDescent="0.2">
      <c r="DO22645" s="303" t="s">
        <v>232</v>
      </c>
    </row>
    <row r="22646" spans="119:119" x14ac:dyDescent="0.2">
      <c r="DO22646" s="303" t="s">
        <v>232</v>
      </c>
    </row>
    <row r="22647" spans="119:119" x14ac:dyDescent="0.2">
      <c r="DO22647" s="303" t="s">
        <v>232</v>
      </c>
    </row>
    <row r="22648" spans="119:119" x14ac:dyDescent="0.2">
      <c r="DO22648" s="303" t="s">
        <v>232</v>
      </c>
    </row>
    <row r="22649" spans="119:119" x14ac:dyDescent="0.2">
      <c r="DO22649" s="303" t="s">
        <v>232</v>
      </c>
    </row>
    <row r="22650" spans="119:119" x14ac:dyDescent="0.2">
      <c r="DO22650" s="303" t="s">
        <v>232</v>
      </c>
    </row>
    <row r="22651" spans="119:119" x14ac:dyDescent="0.2">
      <c r="DO22651" s="303" t="s">
        <v>232</v>
      </c>
    </row>
    <row r="22652" spans="119:119" x14ac:dyDescent="0.2">
      <c r="DO22652" s="303" t="s">
        <v>232</v>
      </c>
    </row>
    <row r="22653" spans="119:119" x14ac:dyDescent="0.2">
      <c r="DO22653" s="303" t="s">
        <v>232</v>
      </c>
    </row>
    <row r="22654" spans="119:119" x14ac:dyDescent="0.2">
      <c r="DO22654" s="303" t="s">
        <v>232</v>
      </c>
    </row>
    <row r="22655" spans="119:119" x14ac:dyDescent="0.2">
      <c r="DO22655" s="303" t="s">
        <v>232</v>
      </c>
    </row>
    <row r="22656" spans="119:119" x14ac:dyDescent="0.2">
      <c r="DO22656" s="303" t="s">
        <v>232</v>
      </c>
    </row>
    <row r="22657" spans="119:119" x14ac:dyDescent="0.2">
      <c r="DO22657" s="303" t="s">
        <v>232</v>
      </c>
    </row>
    <row r="22658" spans="119:119" x14ac:dyDescent="0.2">
      <c r="DO22658" s="303" t="s">
        <v>232</v>
      </c>
    </row>
    <row r="22659" spans="119:119" x14ac:dyDescent="0.2">
      <c r="DO22659" s="303" t="s">
        <v>232</v>
      </c>
    </row>
    <row r="22660" spans="119:119" x14ac:dyDescent="0.2">
      <c r="DO22660" s="303" t="s">
        <v>232</v>
      </c>
    </row>
    <row r="22661" spans="119:119" x14ac:dyDescent="0.2">
      <c r="DO22661" s="303" t="s">
        <v>232</v>
      </c>
    </row>
    <row r="22662" spans="119:119" x14ac:dyDescent="0.2">
      <c r="DO22662" s="303" t="s">
        <v>232</v>
      </c>
    </row>
    <row r="22663" spans="119:119" x14ac:dyDescent="0.2">
      <c r="DO22663" s="303" t="s">
        <v>232</v>
      </c>
    </row>
    <row r="22664" spans="119:119" x14ac:dyDescent="0.2">
      <c r="DO22664" s="303" t="s">
        <v>232</v>
      </c>
    </row>
    <row r="22665" spans="119:119" x14ac:dyDescent="0.2">
      <c r="DO22665" s="303" t="s">
        <v>232</v>
      </c>
    </row>
    <row r="22666" spans="119:119" x14ac:dyDescent="0.2">
      <c r="DO22666" s="303" t="s">
        <v>232</v>
      </c>
    </row>
    <row r="22667" spans="119:119" x14ac:dyDescent="0.2">
      <c r="DO22667" s="303" t="s">
        <v>232</v>
      </c>
    </row>
    <row r="22668" spans="119:119" x14ac:dyDescent="0.2">
      <c r="DO22668" s="303" t="s">
        <v>232</v>
      </c>
    </row>
    <row r="22669" spans="119:119" x14ac:dyDescent="0.2">
      <c r="DO22669" s="303" t="s">
        <v>232</v>
      </c>
    </row>
    <row r="22670" spans="119:119" x14ac:dyDescent="0.2">
      <c r="DO22670" s="303" t="s">
        <v>232</v>
      </c>
    </row>
    <row r="22671" spans="119:119" x14ac:dyDescent="0.2">
      <c r="DO22671" s="303" t="s">
        <v>232</v>
      </c>
    </row>
    <row r="22672" spans="119:119" x14ac:dyDescent="0.2">
      <c r="DO22672" s="303" t="s">
        <v>232</v>
      </c>
    </row>
    <row r="22673" spans="119:119" x14ac:dyDescent="0.2">
      <c r="DO22673" s="303" t="s">
        <v>232</v>
      </c>
    </row>
    <row r="22674" spans="119:119" x14ac:dyDescent="0.2">
      <c r="DO22674" s="303" t="s">
        <v>232</v>
      </c>
    </row>
    <row r="22675" spans="119:119" x14ac:dyDescent="0.2">
      <c r="DO22675" s="303" t="s">
        <v>232</v>
      </c>
    </row>
    <row r="22676" spans="119:119" x14ac:dyDescent="0.2">
      <c r="DO22676" s="303" t="s">
        <v>232</v>
      </c>
    </row>
    <row r="22677" spans="119:119" x14ac:dyDescent="0.2">
      <c r="DO22677" s="303" t="s">
        <v>232</v>
      </c>
    </row>
    <row r="22678" spans="119:119" x14ac:dyDescent="0.2">
      <c r="DO22678" s="303" t="s">
        <v>232</v>
      </c>
    </row>
    <row r="22679" spans="119:119" x14ac:dyDescent="0.2">
      <c r="DO22679" s="303" t="s">
        <v>232</v>
      </c>
    </row>
    <row r="22680" spans="119:119" x14ac:dyDescent="0.2">
      <c r="DO22680" s="303" t="s">
        <v>232</v>
      </c>
    </row>
    <row r="22681" spans="119:119" x14ac:dyDescent="0.2">
      <c r="DO22681" s="303" t="s">
        <v>232</v>
      </c>
    </row>
    <row r="22682" spans="119:119" x14ac:dyDescent="0.2">
      <c r="DO22682" s="303" t="s">
        <v>232</v>
      </c>
    </row>
    <row r="22683" spans="119:119" x14ac:dyDescent="0.2">
      <c r="DO22683" s="303" t="s">
        <v>232</v>
      </c>
    </row>
    <row r="22684" spans="119:119" x14ac:dyDescent="0.2">
      <c r="DO22684" s="303" t="s">
        <v>232</v>
      </c>
    </row>
    <row r="22685" spans="119:119" x14ac:dyDescent="0.2">
      <c r="DO22685" s="303" t="s">
        <v>232</v>
      </c>
    </row>
    <row r="22686" spans="119:119" x14ac:dyDescent="0.2">
      <c r="DO22686" s="303" t="s">
        <v>232</v>
      </c>
    </row>
    <row r="22687" spans="119:119" x14ac:dyDescent="0.2">
      <c r="DO22687" s="303" t="s">
        <v>232</v>
      </c>
    </row>
    <row r="22688" spans="119:119" x14ac:dyDescent="0.2">
      <c r="DO22688" s="303" t="s">
        <v>232</v>
      </c>
    </row>
    <row r="22689" spans="119:119" x14ac:dyDescent="0.2">
      <c r="DO22689" s="303" t="s">
        <v>232</v>
      </c>
    </row>
    <row r="22690" spans="119:119" x14ac:dyDescent="0.2">
      <c r="DO22690" s="303" t="s">
        <v>232</v>
      </c>
    </row>
    <row r="22691" spans="119:119" x14ac:dyDescent="0.2">
      <c r="DO22691" s="303" t="s">
        <v>232</v>
      </c>
    </row>
    <row r="22692" spans="119:119" x14ac:dyDescent="0.2">
      <c r="DO22692" s="303" t="s">
        <v>232</v>
      </c>
    </row>
    <row r="22693" spans="119:119" x14ac:dyDescent="0.2">
      <c r="DO22693" s="303" t="s">
        <v>232</v>
      </c>
    </row>
    <row r="22694" spans="119:119" x14ac:dyDescent="0.2">
      <c r="DO22694" s="303" t="s">
        <v>232</v>
      </c>
    </row>
    <row r="22695" spans="119:119" x14ac:dyDescent="0.2">
      <c r="DO22695" s="303" t="s">
        <v>232</v>
      </c>
    </row>
    <row r="22696" spans="119:119" x14ac:dyDescent="0.2">
      <c r="DO22696" s="303" t="s">
        <v>232</v>
      </c>
    </row>
    <row r="22697" spans="119:119" x14ac:dyDescent="0.2">
      <c r="DO22697" s="303" t="s">
        <v>232</v>
      </c>
    </row>
    <row r="22698" spans="119:119" x14ac:dyDescent="0.2">
      <c r="DO22698" s="303" t="s">
        <v>232</v>
      </c>
    </row>
    <row r="22699" spans="119:119" x14ac:dyDescent="0.2">
      <c r="DO22699" s="303" t="s">
        <v>232</v>
      </c>
    </row>
    <row r="22700" spans="119:119" x14ac:dyDescent="0.2">
      <c r="DO22700" s="303" t="s">
        <v>232</v>
      </c>
    </row>
    <row r="22701" spans="119:119" x14ac:dyDescent="0.2">
      <c r="DO22701" s="303" t="s">
        <v>232</v>
      </c>
    </row>
    <row r="22702" spans="119:119" x14ac:dyDescent="0.2">
      <c r="DO22702" s="303" t="s">
        <v>232</v>
      </c>
    </row>
    <row r="22703" spans="119:119" x14ac:dyDescent="0.2">
      <c r="DO22703" s="303" t="s">
        <v>232</v>
      </c>
    </row>
    <row r="22704" spans="119:119" x14ac:dyDescent="0.2">
      <c r="DO22704" s="303" t="s">
        <v>232</v>
      </c>
    </row>
    <row r="22705" spans="119:119" x14ac:dyDescent="0.2">
      <c r="DO22705" s="303" t="s">
        <v>232</v>
      </c>
    </row>
    <row r="22706" spans="119:119" x14ac:dyDescent="0.2">
      <c r="DO22706" s="303" t="s">
        <v>232</v>
      </c>
    </row>
    <row r="22707" spans="119:119" x14ac:dyDescent="0.2">
      <c r="DO22707" s="303" t="s">
        <v>232</v>
      </c>
    </row>
    <row r="22708" spans="119:119" x14ac:dyDescent="0.2">
      <c r="DO22708" s="303" t="s">
        <v>232</v>
      </c>
    </row>
    <row r="22709" spans="119:119" x14ac:dyDescent="0.2">
      <c r="DO22709" s="303" t="s">
        <v>232</v>
      </c>
    </row>
    <row r="22710" spans="119:119" x14ac:dyDescent="0.2">
      <c r="DO22710" s="303" t="s">
        <v>232</v>
      </c>
    </row>
    <row r="22711" spans="119:119" x14ac:dyDescent="0.2">
      <c r="DO22711" s="303" t="s">
        <v>232</v>
      </c>
    </row>
    <row r="22712" spans="119:119" x14ac:dyDescent="0.2">
      <c r="DO22712" s="303" t="s">
        <v>232</v>
      </c>
    </row>
    <row r="22713" spans="119:119" x14ac:dyDescent="0.2">
      <c r="DO22713" s="303" t="s">
        <v>232</v>
      </c>
    </row>
    <row r="22714" spans="119:119" x14ac:dyDescent="0.2">
      <c r="DO22714" s="303" t="s">
        <v>232</v>
      </c>
    </row>
    <row r="22715" spans="119:119" x14ac:dyDescent="0.2">
      <c r="DO22715" s="303" t="s">
        <v>232</v>
      </c>
    </row>
    <row r="22716" spans="119:119" x14ac:dyDescent="0.2">
      <c r="DO22716" s="303" t="s">
        <v>232</v>
      </c>
    </row>
    <row r="22717" spans="119:119" x14ac:dyDescent="0.2">
      <c r="DO22717" s="303" t="s">
        <v>232</v>
      </c>
    </row>
    <row r="22718" spans="119:119" x14ac:dyDescent="0.2">
      <c r="DO22718" s="303" t="s">
        <v>232</v>
      </c>
    </row>
    <row r="22719" spans="119:119" x14ac:dyDescent="0.2">
      <c r="DO22719" s="303" t="s">
        <v>232</v>
      </c>
    </row>
    <row r="22720" spans="119:119" x14ac:dyDescent="0.2">
      <c r="DO22720" s="303" t="s">
        <v>232</v>
      </c>
    </row>
    <row r="22721" spans="119:119" x14ac:dyDescent="0.2">
      <c r="DO22721" s="303" t="s">
        <v>232</v>
      </c>
    </row>
    <row r="22722" spans="119:119" x14ac:dyDescent="0.2">
      <c r="DO22722" s="303" t="s">
        <v>232</v>
      </c>
    </row>
    <row r="22723" spans="119:119" x14ac:dyDescent="0.2">
      <c r="DO22723" s="303" t="s">
        <v>232</v>
      </c>
    </row>
    <row r="22724" spans="119:119" x14ac:dyDescent="0.2">
      <c r="DO22724" s="303" t="s">
        <v>232</v>
      </c>
    </row>
    <row r="22725" spans="119:119" x14ac:dyDescent="0.2">
      <c r="DO22725" s="303" t="s">
        <v>232</v>
      </c>
    </row>
    <row r="22726" spans="119:119" x14ac:dyDescent="0.2">
      <c r="DO22726" s="303" t="s">
        <v>232</v>
      </c>
    </row>
    <row r="22727" spans="119:119" x14ac:dyDescent="0.2">
      <c r="DO22727" s="303" t="s">
        <v>232</v>
      </c>
    </row>
    <row r="22728" spans="119:119" x14ac:dyDescent="0.2">
      <c r="DO22728" s="303" t="s">
        <v>232</v>
      </c>
    </row>
    <row r="22729" spans="119:119" x14ac:dyDescent="0.2">
      <c r="DO22729" s="303" t="s">
        <v>232</v>
      </c>
    </row>
    <row r="22730" spans="119:119" x14ac:dyDescent="0.2">
      <c r="DO22730" s="303" t="s">
        <v>232</v>
      </c>
    </row>
    <row r="22731" spans="119:119" x14ac:dyDescent="0.2">
      <c r="DO22731" s="303" t="s">
        <v>232</v>
      </c>
    </row>
    <row r="22732" spans="119:119" x14ac:dyDescent="0.2">
      <c r="DO22732" s="303" t="s">
        <v>232</v>
      </c>
    </row>
    <row r="22733" spans="119:119" x14ac:dyDescent="0.2">
      <c r="DO22733" s="303" t="s">
        <v>232</v>
      </c>
    </row>
    <row r="22734" spans="119:119" x14ac:dyDescent="0.2">
      <c r="DO22734" s="303" t="s">
        <v>232</v>
      </c>
    </row>
    <row r="22735" spans="119:119" x14ac:dyDescent="0.2">
      <c r="DO22735" s="303" t="s">
        <v>232</v>
      </c>
    </row>
    <row r="22736" spans="119:119" x14ac:dyDescent="0.2">
      <c r="DO22736" s="303" t="s">
        <v>232</v>
      </c>
    </row>
    <row r="22737" spans="119:119" x14ac:dyDescent="0.2">
      <c r="DO22737" s="303" t="s">
        <v>232</v>
      </c>
    </row>
    <row r="22738" spans="119:119" x14ac:dyDescent="0.2">
      <c r="DO22738" s="303" t="s">
        <v>232</v>
      </c>
    </row>
    <row r="22739" spans="119:119" x14ac:dyDescent="0.2">
      <c r="DO22739" s="303" t="s">
        <v>232</v>
      </c>
    </row>
    <row r="22740" spans="119:119" x14ac:dyDescent="0.2">
      <c r="DO22740" s="303" t="s">
        <v>232</v>
      </c>
    </row>
    <row r="22741" spans="119:119" x14ac:dyDescent="0.2">
      <c r="DO22741" s="303" t="s">
        <v>232</v>
      </c>
    </row>
    <row r="22742" spans="119:119" x14ac:dyDescent="0.2">
      <c r="DO22742" s="303" t="s">
        <v>232</v>
      </c>
    </row>
    <row r="22743" spans="119:119" x14ac:dyDescent="0.2">
      <c r="DO22743" s="303" t="s">
        <v>232</v>
      </c>
    </row>
    <row r="22744" spans="119:119" x14ac:dyDescent="0.2">
      <c r="DO22744" s="303" t="s">
        <v>232</v>
      </c>
    </row>
    <row r="22745" spans="119:119" x14ac:dyDescent="0.2">
      <c r="DO22745" s="303" t="s">
        <v>232</v>
      </c>
    </row>
    <row r="22746" spans="119:119" x14ac:dyDescent="0.2">
      <c r="DO22746" s="303" t="s">
        <v>232</v>
      </c>
    </row>
    <row r="22747" spans="119:119" x14ac:dyDescent="0.2">
      <c r="DO22747" s="303" t="s">
        <v>232</v>
      </c>
    </row>
    <row r="22748" spans="119:119" x14ac:dyDescent="0.2">
      <c r="DO22748" s="303" t="s">
        <v>232</v>
      </c>
    </row>
    <row r="22749" spans="119:119" x14ac:dyDescent="0.2">
      <c r="DO22749" s="303" t="s">
        <v>232</v>
      </c>
    </row>
    <row r="22750" spans="119:119" x14ac:dyDescent="0.2">
      <c r="DO22750" s="303" t="s">
        <v>232</v>
      </c>
    </row>
    <row r="22751" spans="119:119" x14ac:dyDescent="0.2">
      <c r="DO22751" s="303" t="s">
        <v>232</v>
      </c>
    </row>
    <row r="22752" spans="119:119" x14ac:dyDescent="0.2">
      <c r="DO22752" s="303" t="s">
        <v>232</v>
      </c>
    </row>
    <row r="22753" spans="119:119" x14ac:dyDescent="0.2">
      <c r="DO22753" s="303" t="s">
        <v>232</v>
      </c>
    </row>
    <row r="22754" spans="119:119" x14ac:dyDescent="0.2">
      <c r="DO22754" s="303" t="s">
        <v>232</v>
      </c>
    </row>
    <row r="22755" spans="119:119" x14ac:dyDescent="0.2">
      <c r="DO22755" s="303" t="s">
        <v>232</v>
      </c>
    </row>
    <row r="22756" spans="119:119" x14ac:dyDescent="0.2">
      <c r="DO22756" s="303" t="s">
        <v>232</v>
      </c>
    </row>
    <row r="22757" spans="119:119" x14ac:dyDescent="0.2">
      <c r="DO22757" s="303" t="s">
        <v>232</v>
      </c>
    </row>
    <row r="22758" spans="119:119" x14ac:dyDescent="0.2">
      <c r="DO22758" s="303" t="s">
        <v>232</v>
      </c>
    </row>
    <row r="22759" spans="119:119" x14ac:dyDescent="0.2">
      <c r="DO22759" s="303" t="s">
        <v>232</v>
      </c>
    </row>
    <row r="22760" spans="119:119" x14ac:dyDescent="0.2">
      <c r="DO22760" s="303" t="s">
        <v>232</v>
      </c>
    </row>
    <row r="22761" spans="119:119" x14ac:dyDescent="0.2">
      <c r="DO22761" s="303" t="s">
        <v>232</v>
      </c>
    </row>
    <row r="22762" spans="119:119" x14ac:dyDescent="0.2">
      <c r="DO22762" s="303" t="s">
        <v>232</v>
      </c>
    </row>
    <row r="22763" spans="119:119" x14ac:dyDescent="0.2">
      <c r="DO22763" s="303" t="s">
        <v>232</v>
      </c>
    </row>
    <row r="22764" spans="119:119" x14ac:dyDescent="0.2">
      <c r="DO22764" s="303" t="s">
        <v>232</v>
      </c>
    </row>
    <row r="22765" spans="119:119" x14ac:dyDescent="0.2">
      <c r="DO22765" s="303" t="s">
        <v>232</v>
      </c>
    </row>
    <row r="22766" spans="119:119" x14ac:dyDescent="0.2">
      <c r="DO22766" s="303" t="s">
        <v>232</v>
      </c>
    </row>
    <row r="22767" spans="119:119" x14ac:dyDescent="0.2">
      <c r="DO22767" s="303" t="s">
        <v>232</v>
      </c>
    </row>
    <row r="22768" spans="119:119" x14ac:dyDescent="0.2">
      <c r="DO22768" s="303" t="s">
        <v>232</v>
      </c>
    </row>
    <row r="22769" spans="119:119" x14ac:dyDescent="0.2">
      <c r="DO22769" s="303" t="s">
        <v>232</v>
      </c>
    </row>
    <row r="22770" spans="119:119" x14ac:dyDescent="0.2">
      <c r="DO22770" s="303" t="s">
        <v>232</v>
      </c>
    </row>
    <row r="22771" spans="119:119" x14ac:dyDescent="0.2">
      <c r="DO22771" s="303" t="s">
        <v>232</v>
      </c>
    </row>
    <row r="22772" spans="119:119" x14ac:dyDescent="0.2">
      <c r="DO22772" s="303" t="s">
        <v>232</v>
      </c>
    </row>
    <row r="22773" spans="119:119" x14ac:dyDescent="0.2">
      <c r="DO22773" s="303" t="s">
        <v>232</v>
      </c>
    </row>
    <row r="22774" spans="119:119" x14ac:dyDescent="0.2">
      <c r="DO22774" s="303" t="s">
        <v>232</v>
      </c>
    </row>
    <row r="22775" spans="119:119" x14ac:dyDescent="0.2">
      <c r="DO22775" s="303" t="s">
        <v>232</v>
      </c>
    </row>
    <row r="22776" spans="119:119" x14ac:dyDescent="0.2">
      <c r="DO22776" s="303" t="s">
        <v>232</v>
      </c>
    </row>
    <row r="22777" spans="119:119" x14ac:dyDescent="0.2">
      <c r="DO22777" s="303" t="s">
        <v>232</v>
      </c>
    </row>
    <row r="22778" spans="119:119" x14ac:dyDescent="0.2">
      <c r="DO22778" s="303" t="s">
        <v>232</v>
      </c>
    </row>
    <row r="22779" spans="119:119" x14ac:dyDescent="0.2">
      <c r="DO22779" s="303" t="s">
        <v>232</v>
      </c>
    </row>
    <row r="22780" spans="119:119" x14ac:dyDescent="0.2">
      <c r="DO22780" s="303" t="s">
        <v>232</v>
      </c>
    </row>
    <row r="22781" spans="119:119" x14ac:dyDescent="0.2">
      <c r="DO22781" s="303" t="s">
        <v>232</v>
      </c>
    </row>
    <row r="22782" spans="119:119" x14ac:dyDescent="0.2">
      <c r="DO22782" s="303" t="s">
        <v>232</v>
      </c>
    </row>
    <row r="22783" spans="119:119" x14ac:dyDescent="0.2">
      <c r="DO22783" s="303" t="s">
        <v>232</v>
      </c>
    </row>
    <row r="22784" spans="119:119" x14ac:dyDescent="0.2">
      <c r="DO22784" s="303" t="s">
        <v>232</v>
      </c>
    </row>
    <row r="22785" spans="119:119" x14ac:dyDescent="0.2">
      <c r="DO22785" s="303" t="s">
        <v>232</v>
      </c>
    </row>
    <row r="22786" spans="119:119" x14ac:dyDescent="0.2">
      <c r="DO22786" s="303" t="s">
        <v>232</v>
      </c>
    </row>
    <row r="22787" spans="119:119" x14ac:dyDescent="0.2">
      <c r="DO22787" s="303" t="s">
        <v>232</v>
      </c>
    </row>
    <row r="22788" spans="119:119" x14ac:dyDescent="0.2">
      <c r="DO22788" s="303" t="s">
        <v>232</v>
      </c>
    </row>
    <row r="22789" spans="119:119" x14ac:dyDescent="0.2">
      <c r="DO22789" s="303" t="s">
        <v>232</v>
      </c>
    </row>
    <row r="22790" spans="119:119" x14ac:dyDescent="0.2">
      <c r="DO22790" s="303" t="s">
        <v>232</v>
      </c>
    </row>
    <row r="22791" spans="119:119" x14ac:dyDescent="0.2">
      <c r="DO22791" s="303" t="s">
        <v>232</v>
      </c>
    </row>
    <row r="22792" spans="119:119" x14ac:dyDescent="0.2">
      <c r="DO22792" s="303" t="s">
        <v>232</v>
      </c>
    </row>
    <row r="22793" spans="119:119" x14ac:dyDescent="0.2">
      <c r="DO22793" s="303" t="s">
        <v>232</v>
      </c>
    </row>
    <row r="22794" spans="119:119" x14ac:dyDescent="0.2">
      <c r="DO22794" s="303" t="s">
        <v>232</v>
      </c>
    </row>
    <row r="22795" spans="119:119" x14ac:dyDescent="0.2">
      <c r="DO22795" s="303" t="s">
        <v>232</v>
      </c>
    </row>
    <row r="22796" spans="119:119" x14ac:dyDescent="0.2">
      <c r="DO22796" s="303" t="s">
        <v>232</v>
      </c>
    </row>
    <row r="22797" spans="119:119" x14ac:dyDescent="0.2">
      <c r="DO22797" s="303" t="s">
        <v>232</v>
      </c>
    </row>
    <row r="22798" spans="119:119" x14ac:dyDescent="0.2">
      <c r="DO22798" s="303" t="s">
        <v>232</v>
      </c>
    </row>
    <row r="22799" spans="119:119" x14ac:dyDescent="0.2">
      <c r="DO22799" s="303" t="s">
        <v>232</v>
      </c>
    </row>
    <row r="22800" spans="119:119" x14ac:dyDescent="0.2">
      <c r="DO22800" s="303" t="s">
        <v>232</v>
      </c>
    </row>
    <row r="22801" spans="119:119" x14ac:dyDescent="0.2">
      <c r="DO22801" s="303" t="s">
        <v>232</v>
      </c>
    </row>
    <row r="22802" spans="119:119" x14ac:dyDescent="0.2">
      <c r="DO22802" s="303" t="s">
        <v>232</v>
      </c>
    </row>
    <row r="22803" spans="119:119" x14ac:dyDescent="0.2">
      <c r="DO22803" s="303" t="s">
        <v>232</v>
      </c>
    </row>
    <row r="22804" spans="119:119" x14ac:dyDescent="0.2">
      <c r="DO22804" s="303" t="s">
        <v>232</v>
      </c>
    </row>
    <row r="22805" spans="119:119" x14ac:dyDescent="0.2">
      <c r="DO22805" s="303" t="s">
        <v>232</v>
      </c>
    </row>
    <row r="22806" spans="119:119" x14ac:dyDescent="0.2">
      <c r="DO22806" s="303" t="s">
        <v>232</v>
      </c>
    </row>
    <row r="22807" spans="119:119" x14ac:dyDescent="0.2">
      <c r="DO22807" s="303" t="s">
        <v>232</v>
      </c>
    </row>
    <row r="22808" spans="119:119" x14ac:dyDescent="0.2">
      <c r="DO22808" s="303" t="s">
        <v>232</v>
      </c>
    </row>
    <row r="22809" spans="119:119" x14ac:dyDescent="0.2">
      <c r="DO22809" s="303" t="s">
        <v>232</v>
      </c>
    </row>
    <row r="22810" spans="119:119" x14ac:dyDescent="0.2">
      <c r="DO22810" s="303" t="s">
        <v>232</v>
      </c>
    </row>
    <row r="22811" spans="119:119" x14ac:dyDescent="0.2">
      <c r="DO22811" s="303" t="s">
        <v>232</v>
      </c>
    </row>
    <row r="22812" spans="119:119" x14ac:dyDescent="0.2">
      <c r="DO22812" s="303" t="s">
        <v>232</v>
      </c>
    </row>
    <row r="22813" spans="119:119" x14ac:dyDescent="0.2">
      <c r="DO22813" s="303" t="s">
        <v>232</v>
      </c>
    </row>
    <row r="22814" spans="119:119" x14ac:dyDescent="0.2">
      <c r="DO22814" s="303" t="s">
        <v>232</v>
      </c>
    </row>
    <row r="22815" spans="119:119" x14ac:dyDescent="0.2">
      <c r="DO22815" s="303" t="s">
        <v>232</v>
      </c>
    </row>
    <row r="22816" spans="119:119" x14ac:dyDescent="0.2">
      <c r="DO22816" s="303" t="s">
        <v>232</v>
      </c>
    </row>
    <row r="22817" spans="119:119" x14ac:dyDescent="0.2">
      <c r="DO22817" s="303" t="s">
        <v>232</v>
      </c>
    </row>
    <row r="22818" spans="119:119" x14ac:dyDescent="0.2">
      <c r="DO22818" s="303" t="s">
        <v>232</v>
      </c>
    </row>
    <row r="22819" spans="119:119" x14ac:dyDescent="0.2">
      <c r="DO22819" s="303" t="s">
        <v>232</v>
      </c>
    </row>
    <row r="22820" spans="119:119" x14ac:dyDescent="0.2">
      <c r="DO22820" s="303" t="s">
        <v>232</v>
      </c>
    </row>
    <row r="22821" spans="119:119" x14ac:dyDescent="0.2">
      <c r="DO22821" s="303" t="s">
        <v>232</v>
      </c>
    </row>
    <row r="22822" spans="119:119" x14ac:dyDescent="0.2">
      <c r="DO22822" s="303" t="s">
        <v>232</v>
      </c>
    </row>
    <row r="22823" spans="119:119" x14ac:dyDescent="0.2">
      <c r="DO22823" s="303" t="s">
        <v>232</v>
      </c>
    </row>
    <row r="22824" spans="119:119" x14ac:dyDescent="0.2">
      <c r="DO22824" s="303" t="s">
        <v>232</v>
      </c>
    </row>
    <row r="22825" spans="119:119" x14ac:dyDescent="0.2">
      <c r="DO22825" s="303" t="s">
        <v>232</v>
      </c>
    </row>
    <row r="22826" spans="119:119" x14ac:dyDescent="0.2">
      <c r="DO22826" s="303" t="s">
        <v>232</v>
      </c>
    </row>
    <row r="22827" spans="119:119" x14ac:dyDescent="0.2">
      <c r="DO22827" s="303" t="s">
        <v>232</v>
      </c>
    </row>
    <row r="22828" spans="119:119" x14ac:dyDescent="0.2">
      <c r="DO22828" s="303" t="s">
        <v>232</v>
      </c>
    </row>
    <row r="22829" spans="119:119" x14ac:dyDescent="0.2">
      <c r="DO22829" s="303" t="s">
        <v>232</v>
      </c>
    </row>
    <row r="22830" spans="119:119" x14ac:dyDescent="0.2">
      <c r="DO22830" s="303" t="s">
        <v>232</v>
      </c>
    </row>
    <row r="22831" spans="119:119" x14ac:dyDescent="0.2">
      <c r="DO22831" s="303" t="s">
        <v>232</v>
      </c>
    </row>
    <row r="22832" spans="119:119" x14ac:dyDescent="0.2">
      <c r="DO22832" s="303" t="s">
        <v>232</v>
      </c>
    </row>
    <row r="22833" spans="119:119" x14ac:dyDescent="0.2">
      <c r="DO22833" s="303" t="s">
        <v>232</v>
      </c>
    </row>
    <row r="22834" spans="119:119" x14ac:dyDescent="0.2">
      <c r="DO22834" s="303" t="s">
        <v>232</v>
      </c>
    </row>
    <row r="22835" spans="119:119" x14ac:dyDescent="0.2">
      <c r="DO22835" s="303" t="s">
        <v>232</v>
      </c>
    </row>
    <row r="22836" spans="119:119" x14ac:dyDescent="0.2">
      <c r="DO22836" s="303" t="s">
        <v>232</v>
      </c>
    </row>
    <row r="22837" spans="119:119" x14ac:dyDescent="0.2">
      <c r="DO22837" s="303" t="s">
        <v>232</v>
      </c>
    </row>
    <row r="22838" spans="119:119" x14ac:dyDescent="0.2">
      <c r="DO22838" s="303" t="s">
        <v>232</v>
      </c>
    </row>
    <row r="22839" spans="119:119" x14ac:dyDescent="0.2">
      <c r="DO22839" s="303" t="s">
        <v>232</v>
      </c>
    </row>
    <row r="22840" spans="119:119" x14ac:dyDescent="0.2">
      <c r="DO22840" s="303" t="s">
        <v>232</v>
      </c>
    </row>
    <row r="22841" spans="119:119" x14ac:dyDescent="0.2">
      <c r="DO22841" s="303" t="s">
        <v>232</v>
      </c>
    </row>
    <row r="22842" spans="119:119" x14ac:dyDescent="0.2">
      <c r="DO22842" s="303" t="s">
        <v>232</v>
      </c>
    </row>
    <row r="22843" spans="119:119" x14ac:dyDescent="0.2">
      <c r="DO22843" s="303" t="s">
        <v>232</v>
      </c>
    </row>
    <row r="22844" spans="119:119" x14ac:dyDescent="0.2">
      <c r="DO22844" s="303" t="s">
        <v>232</v>
      </c>
    </row>
    <row r="22845" spans="119:119" x14ac:dyDescent="0.2">
      <c r="DO22845" s="303" t="s">
        <v>232</v>
      </c>
    </row>
    <row r="22846" spans="119:119" x14ac:dyDescent="0.2">
      <c r="DO22846" s="303" t="s">
        <v>232</v>
      </c>
    </row>
    <row r="22847" spans="119:119" x14ac:dyDescent="0.2">
      <c r="DO22847" s="303" t="s">
        <v>232</v>
      </c>
    </row>
    <row r="22848" spans="119:119" x14ac:dyDescent="0.2">
      <c r="DO22848" s="303" t="s">
        <v>232</v>
      </c>
    </row>
    <row r="22849" spans="119:119" x14ac:dyDescent="0.2">
      <c r="DO22849" s="303" t="s">
        <v>232</v>
      </c>
    </row>
    <row r="22850" spans="119:119" x14ac:dyDescent="0.2">
      <c r="DO22850" s="303" t="s">
        <v>232</v>
      </c>
    </row>
    <row r="22851" spans="119:119" x14ac:dyDescent="0.2">
      <c r="DO22851" s="303" t="s">
        <v>232</v>
      </c>
    </row>
    <row r="22852" spans="119:119" x14ac:dyDescent="0.2">
      <c r="DO22852" s="303" t="s">
        <v>232</v>
      </c>
    </row>
    <row r="22853" spans="119:119" x14ac:dyDescent="0.2">
      <c r="DO22853" s="303" t="s">
        <v>232</v>
      </c>
    </row>
    <row r="22854" spans="119:119" x14ac:dyDescent="0.2">
      <c r="DO22854" s="303" t="s">
        <v>232</v>
      </c>
    </row>
    <row r="22855" spans="119:119" x14ac:dyDescent="0.2">
      <c r="DO22855" s="303" t="s">
        <v>232</v>
      </c>
    </row>
    <row r="22856" spans="119:119" x14ac:dyDescent="0.2">
      <c r="DO22856" s="303" t="s">
        <v>232</v>
      </c>
    </row>
    <row r="22857" spans="119:119" x14ac:dyDescent="0.2">
      <c r="DO22857" s="303" t="s">
        <v>232</v>
      </c>
    </row>
    <row r="22858" spans="119:119" x14ac:dyDescent="0.2">
      <c r="DO22858" s="303" t="s">
        <v>232</v>
      </c>
    </row>
    <row r="22859" spans="119:119" x14ac:dyDescent="0.2">
      <c r="DO22859" s="303" t="s">
        <v>232</v>
      </c>
    </row>
    <row r="22860" spans="119:119" x14ac:dyDescent="0.2">
      <c r="DO22860" s="303" t="s">
        <v>232</v>
      </c>
    </row>
    <row r="22861" spans="119:119" x14ac:dyDescent="0.2">
      <c r="DO22861" s="303" t="s">
        <v>232</v>
      </c>
    </row>
    <row r="22862" spans="119:119" x14ac:dyDescent="0.2">
      <c r="DO22862" s="303" t="s">
        <v>232</v>
      </c>
    </row>
    <row r="22863" spans="119:119" x14ac:dyDescent="0.2">
      <c r="DO22863" s="303" t="s">
        <v>232</v>
      </c>
    </row>
    <row r="22864" spans="119:119" x14ac:dyDescent="0.2">
      <c r="DO22864" s="303" t="s">
        <v>232</v>
      </c>
    </row>
    <row r="22865" spans="119:119" x14ac:dyDescent="0.2">
      <c r="DO22865" s="303" t="s">
        <v>232</v>
      </c>
    </row>
    <row r="22866" spans="119:119" x14ac:dyDescent="0.2">
      <c r="DO22866" s="303" t="s">
        <v>232</v>
      </c>
    </row>
    <row r="22867" spans="119:119" x14ac:dyDescent="0.2">
      <c r="DO22867" s="303" t="s">
        <v>232</v>
      </c>
    </row>
    <row r="22868" spans="119:119" x14ac:dyDescent="0.2">
      <c r="DO22868" s="303" t="s">
        <v>232</v>
      </c>
    </row>
    <row r="22869" spans="119:119" x14ac:dyDescent="0.2">
      <c r="DO22869" s="303" t="s">
        <v>232</v>
      </c>
    </row>
    <row r="22870" spans="119:119" x14ac:dyDescent="0.2">
      <c r="DO22870" s="303" t="s">
        <v>232</v>
      </c>
    </row>
    <row r="22871" spans="119:119" x14ac:dyDescent="0.2">
      <c r="DO22871" s="303" t="s">
        <v>232</v>
      </c>
    </row>
    <row r="22872" spans="119:119" x14ac:dyDescent="0.2">
      <c r="DO22872" s="303" t="s">
        <v>232</v>
      </c>
    </row>
    <row r="22873" spans="119:119" x14ac:dyDescent="0.2">
      <c r="DO22873" s="303" t="s">
        <v>232</v>
      </c>
    </row>
    <row r="22874" spans="119:119" x14ac:dyDescent="0.2">
      <c r="DO22874" s="303" t="s">
        <v>232</v>
      </c>
    </row>
    <row r="22875" spans="119:119" x14ac:dyDescent="0.2">
      <c r="DO22875" s="303" t="s">
        <v>232</v>
      </c>
    </row>
    <row r="22876" spans="119:119" x14ac:dyDescent="0.2">
      <c r="DO22876" s="303" t="s">
        <v>232</v>
      </c>
    </row>
    <row r="22877" spans="119:119" x14ac:dyDescent="0.2">
      <c r="DO22877" s="303" t="s">
        <v>232</v>
      </c>
    </row>
    <row r="22878" spans="119:119" x14ac:dyDescent="0.2">
      <c r="DO22878" s="303" t="s">
        <v>232</v>
      </c>
    </row>
    <row r="22879" spans="119:119" x14ac:dyDescent="0.2">
      <c r="DO22879" s="303" t="s">
        <v>232</v>
      </c>
    </row>
    <row r="22880" spans="119:119" x14ac:dyDescent="0.2">
      <c r="DO22880" s="303" t="s">
        <v>232</v>
      </c>
    </row>
    <row r="22881" spans="119:119" x14ac:dyDescent="0.2">
      <c r="DO22881" s="303" t="s">
        <v>232</v>
      </c>
    </row>
    <row r="22882" spans="119:119" x14ac:dyDescent="0.2">
      <c r="DO22882" s="303" t="s">
        <v>232</v>
      </c>
    </row>
    <row r="22883" spans="119:119" x14ac:dyDescent="0.2">
      <c r="DO22883" s="303" t="s">
        <v>232</v>
      </c>
    </row>
    <row r="22884" spans="119:119" x14ac:dyDescent="0.2">
      <c r="DO22884" s="303" t="s">
        <v>232</v>
      </c>
    </row>
    <row r="22885" spans="119:119" x14ac:dyDescent="0.2">
      <c r="DO22885" s="303" t="s">
        <v>232</v>
      </c>
    </row>
    <row r="22886" spans="119:119" x14ac:dyDescent="0.2">
      <c r="DO22886" s="303" t="s">
        <v>232</v>
      </c>
    </row>
    <row r="22887" spans="119:119" x14ac:dyDescent="0.2">
      <c r="DO22887" s="303" t="s">
        <v>232</v>
      </c>
    </row>
    <row r="22888" spans="119:119" x14ac:dyDescent="0.2">
      <c r="DO22888" s="303" t="s">
        <v>232</v>
      </c>
    </row>
    <row r="22889" spans="119:119" x14ac:dyDescent="0.2">
      <c r="DO22889" s="303" t="s">
        <v>232</v>
      </c>
    </row>
    <row r="22890" spans="119:119" x14ac:dyDescent="0.2">
      <c r="DO22890" s="303" t="s">
        <v>232</v>
      </c>
    </row>
    <row r="22891" spans="119:119" x14ac:dyDescent="0.2">
      <c r="DO22891" s="303" t="s">
        <v>232</v>
      </c>
    </row>
    <row r="22892" spans="119:119" x14ac:dyDescent="0.2">
      <c r="DO22892" s="303" t="s">
        <v>232</v>
      </c>
    </row>
    <row r="22893" spans="119:119" x14ac:dyDescent="0.2">
      <c r="DO22893" s="303" t="s">
        <v>232</v>
      </c>
    </row>
    <row r="22894" spans="119:119" x14ac:dyDescent="0.2">
      <c r="DO22894" s="303" t="s">
        <v>232</v>
      </c>
    </row>
    <row r="22895" spans="119:119" x14ac:dyDescent="0.2">
      <c r="DO22895" s="303" t="s">
        <v>232</v>
      </c>
    </row>
    <row r="22896" spans="119:119" x14ac:dyDescent="0.2">
      <c r="DO22896" s="303" t="s">
        <v>232</v>
      </c>
    </row>
    <row r="22897" spans="119:119" x14ac:dyDescent="0.2">
      <c r="DO22897" s="303" t="s">
        <v>232</v>
      </c>
    </row>
    <row r="22898" spans="119:119" x14ac:dyDescent="0.2">
      <c r="DO22898" s="303" t="s">
        <v>232</v>
      </c>
    </row>
    <row r="22899" spans="119:119" x14ac:dyDescent="0.2">
      <c r="DO22899" s="303" t="s">
        <v>232</v>
      </c>
    </row>
    <row r="22900" spans="119:119" x14ac:dyDescent="0.2">
      <c r="DO22900" s="303" t="s">
        <v>232</v>
      </c>
    </row>
    <row r="22901" spans="119:119" x14ac:dyDescent="0.2">
      <c r="DO22901" s="303" t="s">
        <v>232</v>
      </c>
    </row>
    <row r="22902" spans="119:119" x14ac:dyDescent="0.2">
      <c r="DO22902" s="303" t="s">
        <v>232</v>
      </c>
    </row>
    <row r="22903" spans="119:119" x14ac:dyDescent="0.2">
      <c r="DO22903" s="303" t="s">
        <v>232</v>
      </c>
    </row>
    <row r="22904" spans="119:119" x14ac:dyDescent="0.2">
      <c r="DO22904" s="303" t="s">
        <v>232</v>
      </c>
    </row>
    <row r="22905" spans="119:119" x14ac:dyDescent="0.2">
      <c r="DO22905" s="303" t="s">
        <v>232</v>
      </c>
    </row>
    <row r="22906" spans="119:119" x14ac:dyDescent="0.2">
      <c r="DO22906" s="303" t="s">
        <v>232</v>
      </c>
    </row>
    <row r="22907" spans="119:119" x14ac:dyDescent="0.2">
      <c r="DO22907" s="303" t="s">
        <v>232</v>
      </c>
    </row>
    <row r="22908" spans="119:119" x14ac:dyDescent="0.2">
      <c r="DO22908" s="303" t="s">
        <v>232</v>
      </c>
    </row>
    <row r="22909" spans="119:119" x14ac:dyDescent="0.2">
      <c r="DO22909" s="303" t="s">
        <v>232</v>
      </c>
    </row>
    <row r="22910" spans="119:119" x14ac:dyDescent="0.2">
      <c r="DO22910" s="303" t="s">
        <v>232</v>
      </c>
    </row>
    <row r="22911" spans="119:119" x14ac:dyDescent="0.2">
      <c r="DO22911" s="303" t="s">
        <v>232</v>
      </c>
    </row>
    <row r="22912" spans="119:119" x14ac:dyDescent="0.2">
      <c r="DO22912" s="303" t="s">
        <v>232</v>
      </c>
    </row>
    <row r="22913" spans="119:119" x14ac:dyDescent="0.2">
      <c r="DO22913" s="303" t="s">
        <v>232</v>
      </c>
    </row>
    <row r="22914" spans="119:119" x14ac:dyDescent="0.2">
      <c r="DO22914" s="303" t="s">
        <v>232</v>
      </c>
    </row>
    <row r="22915" spans="119:119" x14ac:dyDescent="0.2">
      <c r="DO22915" s="303" t="s">
        <v>232</v>
      </c>
    </row>
    <row r="22916" spans="119:119" x14ac:dyDescent="0.2">
      <c r="DO22916" s="303" t="s">
        <v>232</v>
      </c>
    </row>
    <row r="22917" spans="119:119" x14ac:dyDescent="0.2">
      <c r="DO22917" s="303" t="s">
        <v>232</v>
      </c>
    </row>
    <row r="22918" spans="119:119" x14ac:dyDescent="0.2">
      <c r="DO22918" s="303" t="s">
        <v>232</v>
      </c>
    </row>
    <row r="22919" spans="119:119" x14ac:dyDescent="0.2">
      <c r="DO22919" s="303" t="s">
        <v>232</v>
      </c>
    </row>
    <row r="22920" spans="119:119" x14ac:dyDescent="0.2">
      <c r="DO22920" s="303" t="s">
        <v>232</v>
      </c>
    </row>
    <row r="22921" spans="119:119" x14ac:dyDescent="0.2">
      <c r="DO22921" s="303" t="s">
        <v>232</v>
      </c>
    </row>
    <row r="22922" spans="119:119" x14ac:dyDescent="0.2">
      <c r="DO22922" s="303" t="s">
        <v>232</v>
      </c>
    </row>
    <row r="22923" spans="119:119" x14ac:dyDescent="0.2">
      <c r="DO22923" s="303" t="s">
        <v>232</v>
      </c>
    </row>
    <row r="22924" spans="119:119" x14ac:dyDescent="0.2">
      <c r="DO22924" s="303" t="s">
        <v>232</v>
      </c>
    </row>
    <row r="22925" spans="119:119" x14ac:dyDescent="0.2">
      <c r="DO22925" s="303" t="s">
        <v>232</v>
      </c>
    </row>
    <row r="22926" spans="119:119" x14ac:dyDescent="0.2">
      <c r="DO22926" s="303" t="s">
        <v>232</v>
      </c>
    </row>
    <row r="22927" spans="119:119" x14ac:dyDescent="0.2">
      <c r="DO22927" s="303" t="s">
        <v>232</v>
      </c>
    </row>
    <row r="22928" spans="119:119" x14ac:dyDescent="0.2">
      <c r="DO22928" s="303" t="s">
        <v>232</v>
      </c>
    </row>
    <row r="22929" spans="119:119" x14ac:dyDescent="0.2">
      <c r="DO22929" s="303" t="s">
        <v>232</v>
      </c>
    </row>
    <row r="22930" spans="119:119" x14ac:dyDescent="0.2">
      <c r="DO22930" s="303" t="s">
        <v>232</v>
      </c>
    </row>
    <row r="22931" spans="119:119" x14ac:dyDescent="0.2">
      <c r="DO22931" s="303" t="s">
        <v>232</v>
      </c>
    </row>
    <row r="22932" spans="119:119" x14ac:dyDescent="0.2">
      <c r="DO22932" s="303" t="s">
        <v>232</v>
      </c>
    </row>
    <row r="22933" spans="119:119" x14ac:dyDescent="0.2">
      <c r="DO22933" s="303" t="s">
        <v>232</v>
      </c>
    </row>
    <row r="22934" spans="119:119" x14ac:dyDescent="0.2">
      <c r="DO22934" s="303" t="s">
        <v>232</v>
      </c>
    </row>
    <row r="22935" spans="119:119" x14ac:dyDescent="0.2">
      <c r="DO22935" s="303" t="s">
        <v>232</v>
      </c>
    </row>
    <row r="22936" spans="119:119" x14ac:dyDescent="0.2">
      <c r="DO22936" s="303" t="s">
        <v>232</v>
      </c>
    </row>
    <row r="22937" spans="119:119" x14ac:dyDescent="0.2">
      <c r="DO22937" s="303" t="s">
        <v>232</v>
      </c>
    </row>
    <row r="22938" spans="119:119" x14ac:dyDescent="0.2">
      <c r="DO22938" s="303" t="s">
        <v>232</v>
      </c>
    </row>
    <row r="22939" spans="119:119" x14ac:dyDescent="0.2">
      <c r="DO22939" s="303" t="s">
        <v>232</v>
      </c>
    </row>
    <row r="22940" spans="119:119" x14ac:dyDescent="0.2">
      <c r="DO22940" s="303" t="s">
        <v>232</v>
      </c>
    </row>
    <row r="22941" spans="119:119" x14ac:dyDescent="0.2">
      <c r="DO22941" s="303" t="s">
        <v>232</v>
      </c>
    </row>
    <row r="22942" spans="119:119" x14ac:dyDescent="0.2">
      <c r="DO22942" s="303" t="s">
        <v>232</v>
      </c>
    </row>
    <row r="22943" spans="119:119" x14ac:dyDescent="0.2">
      <c r="DO22943" s="303" t="s">
        <v>232</v>
      </c>
    </row>
    <row r="22944" spans="119:119" x14ac:dyDescent="0.2">
      <c r="DO22944" s="303" t="s">
        <v>232</v>
      </c>
    </row>
    <row r="22945" spans="119:119" x14ac:dyDescent="0.2">
      <c r="DO22945" s="303" t="s">
        <v>232</v>
      </c>
    </row>
    <row r="22946" spans="119:119" x14ac:dyDescent="0.2">
      <c r="DO22946" s="303" t="s">
        <v>232</v>
      </c>
    </row>
    <row r="22947" spans="119:119" x14ac:dyDescent="0.2">
      <c r="DO22947" s="303" t="s">
        <v>232</v>
      </c>
    </row>
    <row r="22948" spans="119:119" x14ac:dyDescent="0.2">
      <c r="DO22948" s="303" t="s">
        <v>232</v>
      </c>
    </row>
    <row r="22949" spans="119:119" x14ac:dyDescent="0.2">
      <c r="DO22949" s="303" t="s">
        <v>232</v>
      </c>
    </row>
    <row r="22950" spans="119:119" x14ac:dyDescent="0.2">
      <c r="DO22950" s="303" t="s">
        <v>232</v>
      </c>
    </row>
    <row r="22951" spans="119:119" x14ac:dyDescent="0.2">
      <c r="DO22951" s="303" t="s">
        <v>232</v>
      </c>
    </row>
    <row r="22952" spans="119:119" x14ac:dyDescent="0.2">
      <c r="DO22952" s="303" t="s">
        <v>232</v>
      </c>
    </row>
    <row r="22953" spans="119:119" x14ac:dyDescent="0.2">
      <c r="DO22953" s="303" t="s">
        <v>232</v>
      </c>
    </row>
    <row r="22954" spans="119:119" x14ac:dyDescent="0.2">
      <c r="DO22954" s="303" t="s">
        <v>232</v>
      </c>
    </row>
    <row r="22955" spans="119:119" x14ac:dyDescent="0.2">
      <c r="DO22955" s="303" t="s">
        <v>232</v>
      </c>
    </row>
    <row r="22956" spans="119:119" x14ac:dyDescent="0.2">
      <c r="DO22956" s="303" t="s">
        <v>232</v>
      </c>
    </row>
    <row r="22957" spans="119:119" x14ac:dyDescent="0.2">
      <c r="DO22957" s="303" t="s">
        <v>232</v>
      </c>
    </row>
    <row r="22958" spans="119:119" x14ac:dyDescent="0.2">
      <c r="DO22958" s="303" t="s">
        <v>232</v>
      </c>
    </row>
    <row r="22959" spans="119:119" x14ac:dyDescent="0.2">
      <c r="DO22959" s="303" t="s">
        <v>232</v>
      </c>
    </row>
    <row r="22960" spans="119:119" x14ac:dyDescent="0.2">
      <c r="DO22960" s="303" t="s">
        <v>232</v>
      </c>
    </row>
    <row r="22961" spans="119:119" x14ac:dyDescent="0.2">
      <c r="DO22961" s="303" t="s">
        <v>232</v>
      </c>
    </row>
    <row r="22962" spans="119:119" x14ac:dyDescent="0.2">
      <c r="DO22962" s="303" t="s">
        <v>232</v>
      </c>
    </row>
    <row r="22963" spans="119:119" x14ac:dyDescent="0.2">
      <c r="DO22963" s="303" t="s">
        <v>232</v>
      </c>
    </row>
    <row r="22964" spans="119:119" x14ac:dyDescent="0.2">
      <c r="DO22964" s="303" t="s">
        <v>232</v>
      </c>
    </row>
    <row r="22965" spans="119:119" x14ac:dyDescent="0.2">
      <c r="DO22965" s="303" t="s">
        <v>232</v>
      </c>
    </row>
    <row r="22966" spans="119:119" x14ac:dyDescent="0.2">
      <c r="DO22966" s="303" t="s">
        <v>232</v>
      </c>
    </row>
    <row r="22967" spans="119:119" x14ac:dyDescent="0.2">
      <c r="DO22967" s="303" t="s">
        <v>232</v>
      </c>
    </row>
    <row r="22968" spans="119:119" x14ac:dyDescent="0.2">
      <c r="DO22968" s="303" t="s">
        <v>232</v>
      </c>
    </row>
    <row r="22969" spans="119:119" x14ac:dyDescent="0.2">
      <c r="DO22969" s="303" t="s">
        <v>232</v>
      </c>
    </row>
    <row r="22970" spans="119:119" x14ac:dyDescent="0.2">
      <c r="DO22970" s="303" t="s">
        <v>232</v>
      </c>
    </row>
    <row r="22971" spans="119:119" x14ac:dyDescent="0.2">
      <c r="DO22971" s="303" t="s">
        <v>232</v>
      </c>
    </row>
    <row r="22972" spans="119:119" x14ac:dyDescent="0.2">
      <c r="DO22972" s="303" t="s">
        <v>232</v>
      </c>
    </row>
    <row r="22973" spans="119:119" x14ac:dyDescent="0.2">
      <c r="DO22973" s="303" t="s">
        <v>232</v>
      </c>
    </row>
    <row r="22974" spans="119:119" x14ac:dyDescent="0.2">
      <c r="DO22974" s="303" t="s">
        <v>232</v>
      </c>
    </row>
    <row r="22975" spans="119:119" x14ac:dyDescent="0.2">
      <c r="DO22975" s="303" t="s">
        <v>232</v>
      </c>
    </row>
    <row r="22976" spans="119:119" x14ac:dyDescent="0.2">
      <c r="DO22976" s="303" t="s">
        <v>232</v>
      </c>
    </row>
    <row r="22977" spans="119:119" x14ac:dyDescent="0.2">
      <c r="DO22977" s="303" t="s">
        <v>232</v>
      </c>
    </row>
    <row r="22978" spans="119:119" x14ac:dyDescent="0.2">
      <c r="DO22978" s="303" t="s">
        <v>232</v>
      </c>
    </row>
    <row r="22979" spans="119:119" x14ac:dyDescent="0.2">
      <c r="DO22979" s="303" t="s">
        <v>232</v>
      </c>
    </row>
    <row r="22980" spans="119:119" x14ac:dyDescent="0.2">
      <c r="DO22980" s="303" t="s">
        <v>232</v>
      </c>
    </row>
    <row r="22981" spans="119:119" x14ac:dyDescent="0.2">
      <c r="DO22981" s="303" t="s">
        <v>232</v>
      </c>
    </row>
    <row r="22982" spans="119:119" x14ac:dyDescent="0.2">
      <c r="DO22982" s="303" t="s">
        <v>232</v>
      </c>
    </row>
    <row r="22983" spans="119:119" x14ac:dyDescent="0.2">
      <c r="DO22983" s="303" t="s">
        <v>232</v>
      </c>
    </row>
    <row r="22984" spans="119:119" x14ac:dyDescent="0.2">
      <c r="DO22984" s="303" t="s">
        <v>232</v>
      </c>
    </row>
    <row r="22985" spans="119:119" x14ac:dyDescent="0.2">
      <c r="DO22985" s="303" t="s">
        <v>232</v>
      </c>
    </row>
    <row r="22986" spans="119:119" x14ac:dyDescent="0.2">
      <c r="DO22986" s="303" t="s">
        <v>232</v>
      </c>
    </row>
    <row r="22987" spans="119:119" x14ac:dyDescent="0.2">
      <c r="DO22987" s="303" t="s">
        <v>232</v>
      </c>
    </row>
    <row r="22988" spans="119:119" x14ac:dyDescent="0.2">
      <c r="DO22988" s="303" t="s">
        <v>232</v>
      </c>
    </row>
    <row r="22989" spans="119:119" x14ac:dyDescent="0.2">
      <c r="DO22989" s="303" t="s">
        <v>232</v>
      </c>
    </row>
    <row r="22990" spans="119:119" x14ac:dyDescent="0.2">
      <c r="DO22990" s="303" t="s">
        <v>232</v>
      </c>
    </row>
    <row r="22991" spans="119:119" x14ac:dyDescent="0.2">
      <c r="DO22991" s="303" t="s">
        <v>232</v>
      </c>
    </row>
    <row r="22992" spans="119:119" x14ac:dyDescent="0.2">
      <c r="DO22992" s="303" t="s">
        <v>232</v>
      </c>
    </row>
    <row r="22993" spans="119:119" x14ac:dyDescent="0.2">
      <c r="DO22993" s="303" t="s">
        <v>232</v>
      </c>
    </row>
    <row r="22994" spans="119:119" x14ac:dyDescent="0.2">
      <c r="DO22994" s="303" t="s">
        <v>232</v>
      </c>
    </row>
    <row r="22995" spans="119:119" x14ac:dyDescent="0.2">
      <c r="DO22995" s="303" t="s">
        <v>232</v>
      </c>
    </row>
    <row r="22996" spans="119:119" x14ac:dyDescent="0.2">
      <c r="DO22996" s="303" t="s">
        <v>232</v>
      </c>
    </row>
    <row r="22997" spans="119:119" x14ac:dyDescent="0.2">
      <c r="DO22997" s="303" t="s">
        <v>232</v>
      </c>
    </row>
    <row r="22998" spans="119:119" x14ac:dyDescent="0.2">
      <c r="DO22998" s="303" t="s">
        <v>232</v>
      </c>
    </row>
    <row r="22999" spans="119:119" x14ac:dyDescent="0.2">
      <c r="DO22999" s="303" t="s">
        <v>232</v>
      </c>
    </row>
    <row r="23000" spans="119:119" x14ac:dyDescent="0.2">
      <c r="DO23000" s="303" t="s">
        <v>232</v>
      </c>
    </row>
    <row r="23001" spans="119:119" x14ac:dyDescent="0.2">
      <c r="DO23001" s="303" t="s">
        <v>232</v>
      </c>
    </row>
    <row r="23002" spans="119:119" x14ac:dyDescent="0.2">
      <c r="DO23002" s="303" t="s">
        <v>232</v>
      </c>
    </row>
    <row r="23003" spans="119:119" x14ac:dyDescent="0.2">
      <c r="DO23003" s="303" t="s">
        <v>232</v>
      </c>
    </row>
    <row r="23004" spans="119:119" x14ac:dyDescent="0.2">
      <c r="DO23004" s="303" t="s">
        <v>232</v>
      </c>
    </row>
    <row r="23005" spans="119:119" x14ac:dyDescent="0.2">
      <c r="DO23005" s="303" t="s">
        <v>232</v>
      </c>
    </row>
    <row r="23006" spans="119:119" x14ac:dyDescent="0.2">
      <c r="DO23006" s="303" t="s">
        <v>232</v>
      </c>
    </row>
    <row r="23007" spans="119:119" x14ac:dyDescent="0.2">
      <c r="DO23007" s="303" t="s">
        <v>232</v>
      </c>
    </row>
    <row r="23008" spans="119:119" x14ac:dyDescent="0.2">
      <c r="DO23008" s="303" t="s">
        <v>232</v>
      </c>
    </row>
    <row r="23009" spans="119:119" x14ac:dyDescent="0.2">
      <c r="DO23009" s="303" t="s">
        <v>232</v>
      </c>
    </row>
    <row r="23010" spans="119:119" x14ac:dyDescent="0.2">
      <c r="DO23010" s="303" t="s">
        <v>232</v>
      </c>
    </row>
    <row r="23011" spans="119:119" x14ac:dyDescent="0.2">
      <c r="DO23011" s="303" t="s">
        <v>232</v>
      </c>
    </row>
    <row r="23012" spans="119:119" x14ac:dyDescent="0.2">
      <c r="DO23012" s="303" t="s">
        <v>232</v>
      </c>
    </row>
    <row r="23013" spans="119:119" x14ac:dyDescent="0.2">
      <c r="DO23013" s="303" t="s">
        <v>232</v>
      </c>
    </row>
    <row r="23014" spans="119:119" x14ac:dyDescent="0.2">
      <c r="DO23014" s="303" t="s">
        <v>232</v>
      </c>
    </row>
    <row r="23015" spans="119:119" x14ac:dyDescent="0.2">
      <c r="DO23015" s="303" t="s">
        <v>232</v>
      </c>
    </row>
    <row r="23016" spans="119:119" x14ac:dyDescent="0.2">
      <c r="DO23016" s="303" t="s">
        <v>232</v>
      </c>
    </row>
    <row r="23017" spans="119:119" x14ac:dyDescent="0.2">
      <c r="DO23017" s="303" t="s">
        <v>232</v>
      </c>
    </row>
    <row r="23018" spans="119:119" x14ac:dyDescent="0.2">
      <c r="DO23018" s="303" t="s">
        <v>232</v>
      </c>
    </row>
    <row r="23019" spans="119:119" x14ac:dyDescent="0.2">
      <c r="DO23019" s="303" t="s">
        <v>232</v>
      </c>
    </row>
    <row r="23020" spans="119:119" x14ac:dyDescent="0.2">
      <c r="DO23020" s="303" t="s">
        <v>232</v>
      </c>
    </row>
    <row r="23021" spans="119:119" x14ac:dyDescent="0.2">
      <c r="DO23021" s="303" t="s">
        <v>232</v>
      </c>
    </row>
    <row r="23022" spans="119:119" x14ac:dyDescent="0.2">
      <c r="DO23022" s="303" t="s">
        <v>232</v>
      </c>
    </row>
    <row r="23023" spans="119:119" x14ac:dyDescent="0.2">
      <c r="DO23023" s="303" t="s">
        <v>232</v>
      </c>
    </row>
    <row r="23024" spans="119:119" x14ac:dyDescent="0.2">
      <c r="DO23024" s="303" t="s">
        <v>232</v>
      </c>
    </row>
    <row r="23025" spans="119:119" x14ac:dyDescent="0.2">
      <c r="DO23025" s="303" t="s">
        <v>232</v>
      </c>
    </row>
    <row r="23026" spans="119:119" x14ac:dyDescent="0.2">
      <c r="DO23026" s="303" t="s">
        <v>232</v>
      </c>
    </row>
    <row r="23027" spans="119:119" x14ac:dyDescent="0.2">
      <c r="DO23027" s="303" t="s">
        <v>232</v>
      </c>
    </row>
    <row r="23028" spans="119:119" x14ac:dyDescent="0.2">
      <c r="DO23028" s="303" t="s">
        <v>232</v>
      </c>
    </row>
    <row r="23029" spans="119:119" x14ac:dyDescent="0.2">
      <c r="DO23029" s="303" t="s">
        <v>232</v>
      </c>
    </row>
    <row r="23030" spans="119:119" x14ac:dyDescent="0.2">
      <c r="DO23030" s="303" t="s">
        <v>232</v>
      </c>
    </row>
    <row r="23031" spans="119:119" x14ac:dyDescent="0.2">
      <c r="DO23031" s="303" t="s">
        <v>232</v>
      </c>
    </row>
    <row r="23032" spans="119:119" x14ac:dyDescent="0.2">
      <c r="DO23032" s="303" t="s">
        <v>232</v>
      </c>
    </row>
    <row r="23033" spans="119:119" x14ac:dyDescent="0.2">
      <c r="DO23033" s="303" t="s">
        <v>232</v>
      </c>
    </row>
    <row r="23034" spans="119:119" x14ac:dyDescent="0.2">
      <c r="DO23034" s="303" t="s">
        <v>232</v>
      </c>
    </row>
    <row r="23035" spans="119:119" x14ac:dyDescent="0.2">
      <c r="DO23035" s="303" t="s">
        <v>232</v>
      </c>
    </row>
    <row r="23036" spans="119:119" x14ac:dyDescent="0.2">
      <c r="DO23036" s="303" t="s">
        <v>232</v>
      </c>
    </row>
    <row r="23037" spans="119:119" x14ac:dyDescent="0.2">
      <c r="DO23037" s="303" t="s">
        <v>232</v>
      </c>
    </row>
    <row r="23038" spans="119:119" x14ac:dyDescent="0.2">
      <c r="DO23038" s="303" t="s">
        <v>232</v>
      </c>
    </row>
    <row r="23039" spans="119:119" x14ac:dyDescent="0.2">
      <c r="DO23039" s="303" t="s">
        <v>232</v>
      </c>
    </row>
    <row r="23040" spans="119:119" x14ac:dyDescent="0.2">
      <c r="DO23040" s="303" t="s">
        <v>232</v>
      </c>
    </row>
    <row r="23041" spans="119:119" x14ac:dyDescent="0.2">
      <c r="DO23041" s="303" t="s">
        <v>232</v>
      </c>
    </row>
    <row r="23042" spans="119:119" x14ac:dyDescent="0.2">
      <c r="DO23042" s="303" t="s">
        <v>232</v>
      </c>
    </row>
    <row r="23043" spans="119:119" x14ac:dyDescent="0.2">
      <c r="DO23043" s="303" t="s">
        <v>232</v>
      </c>
    </row>
    <row r="23044" spans="119:119" x14ac:dyDescent="0.2">
      <c r="DO23044" s="303" t="s">
        <v>232</v>
      </c>
    </row>
    <row r="23045" spans="119:119" x14ac:dyDescent="0.2">
      <c r="DO23045" s="303" t="s">
        <v>232</v>
      </c>
    </row>
    <row r="23046" spans="119:119" x14ac:dyDescent="0.2">
      <c r="DO23046" s="303" t="s">
        <v>232</v>
      </c>
    </row>
    <row r="23047" spans="119:119" x14ac:dyDescent="0.2">
      <c r="DO23047" s="303" t="s">
        <v>232</v>
      </c>
    </row>
    <row r="23048" spans="119:119" x14ac:dyDescent="0.2">
      <c r="DO23048" s="303" t="s">
        <v>232</v>
      </c>
    </row>
    <row r="23049" spans="119:119" x14ac:dyDescent="0.2">
      <c r="DO23049" s="303" t="s">
        <v>232</v>
      </c>
    </row>
    <row r="23050" spans="119:119" x14ac:dyDescent="0.2">
      <c r="DO23050" s="303" t="s">
        <v>232</v>
      </c>
    </row>
    <row r="23051" spans="119:119" x14ac:dyDescent="0.2">
      <c r="DO23051" s="303" t="s">
        <v>232</v>
      </c>
    </row>
    <row r="23052" spans="119:119" x14ac:dyDescent="0.2">
      <c r="DO23052" s="303" t="s">
        <v>232</v>
      </c>
    </row>
    <row r="23053" spans="119:119" x14ac:dyDescent="0.2">
      <c r="DO23053" s="303" t="s">
        <v>232</v>
      </c>
    </row>
    <row r="23054" spans="119:119" x14ac:dyDescent="0.2">
      <c r="DO23054" s="303" t="s">
        <v>232</v>
      </c>
    </row>
    <row r="23055" spans="119:119" x14ac:dyDescent="0.2">
      <c r="DO23055" s="303" t="s">
        <v>232</v>
      </c>
    </row>
    <row r="23056" spans="119:119" x14ac:dyDescent="0.2">
      <c r="DO23056" s="303" t="s">
        <v>232</v>
      </c>
    </row>
    <row r="23057" spans="119:119" x14ac:dyDescent="0.2">
      <c r="DO23057" s="303" t="s">
        <v>232</v>
      </c>
    </row>
    <row r="23058" spans="119:119" x14ac:dyDescent="0.2">
      <c r="DO23058" s="303" t="s">
        <v>232</v>
      </c>
    </row>
    <row r="23059" spans="119:119" x14ac:dyDescent="0.2">
      <c r="DO23059" s="303" t="s">
        <v>232</v>
      </c>
    </row>
    <row r="23060" spans="119:119" x14ac:dyDescent="0.2">
      <c r="DO23060" s="303" t="s">
        <v>232</v>
      </c>
    </row>
    <row r="23061" spans="119:119" x14ac:dyDescent="0.2">
      <c r="DO23061" s="303" t="s">
        <v>232</v>
      </c>
    </row>
    <row r="23062" spans="119:119" x14ac:dyDescent="0.2">
      <c r="DO23062" s="303" t="s">
        <v>232</v>
      </c>
    </row>
    <row r="23063" spans="119:119" x14ac:dyDescent="0.2">
      <c r="DO23063" s="303" t="s">
        <v>232</v>
      </c>
    </row>
    <row r="23064" spans="119:119" x14ac:dyDescent="0.2">
      <c r="DO23064" s="303" t="s">
        <v>232</v>
      </c>
    </row>
    <row r="23065" spans="119:119" x14ac:dyDescent="0.2">
      <c r="DO23065" s="303" t="s">
        <v>232</v>
      </c>
    </row>
    <row r="23066" spans="119:119" x14ac:dyDescent="0.2">
      <c r="DO23066" s="303" t="s">
        <v>232</v>
      </c>
    </row>
    <row r="23067" spans="119:119" x14ac:dyDescent="0.2">
      <c r="DO23067" s="303" t="s">
        <v>232</v>
      </c>
    </row>
    <row r="23068" spans="119:119" x14ac:dyDescent="0.2">
      <c r="DO23068" s="303" t="s">
        <v>232</v>
      </c>
    </row>
    <row r="23069" spans="119:119" x14ac:dyDescent="0.2">
      <c r="DO23069" s="303" t="s">
        <v>232</v>
      </c>
    </row>
    <row r="23070" spans="119:119" x14ac:dyDescent="0.2">
      <c r="DO23070" s="303" t="s">
        <v>232</v>
      </c>
    </row>
    <row r="23071" spans="119:119" x14ac:dyDescent="0.2">
      <c r="DO23071" s="303" t="s">
        <v>232</v>
      </c>
    </row>
    <row r="23072" spans="119:119" x14ac:dyDescent="0.2">
      <c r="DO23072" s="303" t="s">
        <v>232</v>
      </c>
    </row>
    <row r="23073" spans="119:119" x14ac:dyDescent="0.2">
      <c r="DO23073" s="303" t="s">
        <v>232</v>
      </c>
    </row>
    <row r="23074" spans="119:119" x14ac:dyDescent="0.2">
      <c r="DO23074" s="303" t="s">
        <v>232</v>
      </c>
    </row>
    <row r="23075" spans="119:119" x14ac:dyDescent="0.2">
      <c r="DO23075" s="303" t="s">
        <v>232</v>
      </c>
    </row>
    <row r="23076" spans="119:119" x14ac:dyDescent="0.2">
      <c r="DO23076" s="303" t="s">
        <v>232</v>
      </c>
    </row>
    <row r="23077" spans="119:119" x14ac:dyDescent="0.2">
      <c r="DO23077" s="303" t="s">
        <v>232</v>
      </c>
    </row>
    <row r="23078" spans="119:119" x14ac:dyDescent="0.2">
      <c r="DO23078" s="303" t="s">
        <v>232</v>
      </c>
    </row>
    <row r="23079" spans="119:119" x14ac:dyDescent="0.2">
      <c r="DO23079" s="303" t="s">
        <v>232</v>
      </c>
    </row>
    <row r="23080" spans="119:119" x14ac:dyDescent="0.2">
      <c r="DO23080" s="303" t="s">
        <v>232</v>
      </c>
    </row>
    <row r="23081" spans="119:119" x14ac:dyDescent="0.2">
      <c r="DO23081" s="303" t="s">
        <v>232</v>
      </c>
    </row>
    <row r="23082" spans="119:119" x14ac:dyDescent="0.2">
      <c r="DO23082" s="303" t="s">
        <v>232</v>
      </c>
    </row>
    <row r="23083" spans="119:119" x14ac:dyDescent="0.2">
      <c r="DO23083" s="303" t="s">
        <v>232</v>
      </c>
    </row>
    <row r="23084" spans="119:119" x14ac:dyDescent="0.2">
      <c r="DO23084" s="303" t="s">
        <v>232</v>
      </c>
    </row>
    <row r="23085" spans="119:119" x14ac:dyDescent="0.2">
      <c r="DO23085" s="303" t="s">
        <v>232</v>
      </c>
    </row>
    <row r="23086" spans="119:119" x14ac:dyDescent="0.2">
      <c r="DO23086" s="303" t="s">
        <v>232</v>
      </c>
    </row>
    <row r="23087" spans="119:119" x14ac:dyDescent="0.2">
      <c r="DO23087" s="303" t="s">
        <v>232</v>
      </c>
    </row>
    <row r="23088" spans="119:119" x14ac:dyDescent="0.2">
      <c r="DO23088" s="303" t="s">
        <v>232</v>
      </c>
    </row>
    <row r="23089" spans="119:119" x14ac:dyDescent="0.2">
      <c r="DO23089" s="303" t="s">
        <v>232</v>
      </c>
    </row>
    <row r="23090" spans="119:119" x14ac:dyDescent="0.2">
      <c r="DO23090" s="303" t="s">
        <v>232</v>
      </c>
    </row>
    <row r="23091" spans="119:119" x14ac:dyDescent="0.2">
      <c r="DO23091" s="303" t="s">
        <v>232</v>
      </c>
    </row>
    <row r="23092" spans="119:119" x14ac:dyDescent="0.2">
      <c r="DO23092" s="303" t="s">
        <v>232</v>
      </c>
    </row>
    <row r="23093" spans="119:119" x14ac:dyDescent="0.2">
      <c r="DO23093" s="303" t="s">
        <v>232</v>
      </c>
    </row>
    <row r="23094" spans="119:119" x14ac:dyDescent="0.2">
      <c r="DO23094" s="303" t="s">
        <v>232</v>
      </c>
    </row>
    <row r="23095" spans="119:119" x14ac:dyDescent="0.2">
      <c r="DO23095" s="303" t="s">
        <v>232</v>
      </c>
    </row>
    <row r="23096" spans="119:119" x14ac:dyDescent="0.2">
      <c r="DO23096" s="303" t="s">
        <v>232</v>
      </c>
    </row>
    <row r="23097" spans="119:119" x14ac:dyDescent="0.2">
      <c r="DO23097" s="303" t="s">
        <v>232</v>
      </c>
    </row>
    <row r="23098" spans="119:119" x14ac:dyDescent="0.2">
      <c r="DO23098" s="303" t="s">
        <v>232</v>
      </c>
    </row>
    <row r="23099" spans="119:119" x14ac:dyDescent="0.2">
      <c r="DO23099" s="303" t="s">
        <v>232</v>
      </c>
    </row>
    <row r="23100" spans="119:119" x14ac:dyDescent="0.2">
      <c r="DO23100" s="303" t="s">
        <v>232</v>
      </c>
    </row>
    <row r="23101" spans="119:119" x14ac:dyDescent="0.2">
      <c r="DO23101" s="303" t="s">
        <v>232</v>
      </c>
    </row>
    <row r="23102" spans="119:119" x14ac:dyDescent="0.2">
      <c r="DO23102" s="303" t="s">
        <v>232</v>
      </c>
    </row>
    <row r="23103" spans="119:119" x14ac:dyDescent="0.2">
      <c r="DO23103" s="303" t="s">
        <v>232</v>
      </c>
    </row>
    <row r="23104" spans="119:119" x14ac:dyDescent="0.2">
      <c r="DO23104" s="303" t="s">
        <v>232</v>
      </c>
    </row>
    <row r="23105" spans="119:119" x14ac:dyDescent="0.2">
      <c r="DO23105" s="303" t="s">
        <v>232</v>
      </c>
    </row>
    <row r="23106" spans="119:119" x14ac:dyDescent="0.2">
      <c r="DO23106" s="303" t="s">
        <v>232</v>
      </c>
    </row>
    <row r="23107" spans="119:119" x14ac:dyDescent="0.2">
      <c r="DO23107" s="303" t="s">
        <v>232</v>
      </c>
    </row>
    <row r="23108" spans="119:119" x14ac:dyDescent="0.2">
      <c r="DO23108" s="303" t="s">
        <v>232</v>
      </c>
    </row>
    <row r="23109" spans="119:119" x14ac:dyDescent="0.2">
      <c r="DO23109" s="303" t="s">
        <v>232</v>
      </c>
    </row>
    <row r="23110" spans="119:119" x14ac:dyDescent="0.2">
      <c r="DO23110" s="303" t="s">
        <v>232</v>
      </c>
    </row>
    <row r="23111" spans="119:119" x14ac:dyDescent="0.2">
      <c r="DO23111" s="303" t="s">
        <v>232</v>
      </c>
    </row>
    <row r="23112" spans="119:119" x14ac:dyDescent="0.2">
      <c r="DO23112" s="303" t="s">
        <v>232</v>
      </c>
    </row>
    <row r="23113" spans="119:119" x14ac:dyDescent="0.2">
      <c r="DO23113" s="303" t="s">
        <v>232</v>
      </c>
    </row>
    <row r="23114" spans="119:119" x14ac:dyDescent="0.2">
      <c r="DO23114" s="303" t="s">
        <v>232</v>
      </c>
    </row>
    <row r="23115" spans="119:119" x14ac:dyDescent="0.2">
      <c r="DO23115" s="303" t="s">
        <v>232</v>
      </c>
    </row>
    <row r="23116" spans="119:119" x14ac:dyDescent="0.2">
      <c r="DO23116" s="303" t="s">
        <v>232</v>
      </c>
    </row>
    <row r="23117" spans="119:119" x14ac:dyDescent="0.2">
      <c r="DO23117" s="303" t="s">
        <v>232</v>
      </c>
    </row>
    <row r="23118" spans="119:119" x14ac:dyDescent="0.2">
      <c r="DO23118" s="303" t="s">
        <v>232</v>
      </c>
    </row>
    <row r="23119" spans="119:119" x14ac:dyDescent="0.2">
      <c r="DO23119" s="303" t="s">
        <v>232</v>
      </c>
    </row>
    <row r="23120" spans="119:119" x14ac:dyDescent="0.2">
      <c r="DO23120" s="303" t="s">
        <v>232</v>
      </c>
    </row>
    <row r="23121" spans="119:119" x14ac:dyDescent="0.2">
      <c r="DO23121" s="303" t="s">
        <v>232</v>
      </c>
    </row>
    <row r="23122" spans="119:119" x14ac:dyDescent="0.2">
      <c r="DO23122" s="303" t="s">
        <v>232</v>
      </c>
    </row>
    <row r="23123" spans="119:119" x14ac:dyDescent="0.2">
      <c r="DO23123" s="303" t="s">
        <v>232</v>
      </c>
    </row>
    <row r="23124" spans="119:119" x14ac:dyDescent="0.2">
      <c r="DO23124" s="303" t="s">
        <v>232</v>
      </c>
    </row>
    <row r="23125" spans="119:119" x14ac:dyDescent="0.2">
      <c r="DO23125" s="303" t="s">
        <v>232</v>
      </c>
    </row>
    <row r="23126" spans="119:119" x14ac:dyDescent="0.2">
      <c r="DO23126" s="303" t="s">
        <v>232</v>
      </c>
    </row>
    <row r="23127" spans="119:119" x14ac:dyDescent="0.2">
      <c r="DO23127" s="303" t="s">
        <v>232</v>
      </c>
    </row>
    <row r="23128" spans="119:119" x14ac:dyDescent="0.2">
      <c r="DO23128" s="303" t="s">
        <v>232</v>
      </c>
    </row>
    <row r="23129" spans="119:119" x14ac:dyDescent="0.2">
      <c r="DO23129" s="303" t="s">
        <v>232</v>
      </c>
    </row>
    <row r="23130" spans="119:119" x14ac:dyDescent="0.2">
      <c r="DO23130" s="303" t="s">
        <v>232</v>
      </c>
    </row>
    <row r="23131" spans="119:119" x14ac:dyDescent="0.2">
      <c r="DO23131" s="303" t="s">
        <v>232</v>
      </c>
    </row>
    <row r="23132" spans="119:119" x14ac:dyDescent="0.2">
      <c r="DO23132" s="303" t="s">
        <v>232</v>
      </c>
    </row>
    <row r="23133" spans="119:119" x14ac:dyDescent="0.2">
      <c r="DO23133" s="303" t="s">
        <v>232</v>
      </c>
    </row>
    <row r="23134" spans="119:119" x14ac:dyDescent="0.2">
      <c r="DO23134" s="303" t="s">
        <v>232</v>
      </c>
    </row>
    <row r="23135" spans="119:119" x14ac:dyDescent="0.2">
      <c r="DO23135" s="303" t="s">
        <v>232</v>
      </c>
    </row>
    <row r="23136" spans="119:119" x14ac:dyDescent="0.2">
      <c r="DO23136" s="303" t="s">
        <v>232</v>
      </c>
    </row>
    <row r="23137" spans="119:119" x14ac:dyDescent="0.2">
      <c r="DO23137" s="303" t="s">
        <v>232</v>
      </c>
    </row>
    <row r="23138" spans="119:119" x14ac:dyDescent="0.2">
      <c r="DO23138" s="303" t="s">
        <v>232</v>
      </c>
    </row>
    <row r="23139" spans="119:119" x14ac:dyDescent="0.2">
      <c r="DO23139" s="303" t="s">
        <v>232</v>
      </c>
    </row>
    <row r="23140" spans="119:119" x14ac:dyDescent="0.2">
      <c r="DO23140" s="303" t="s">
        <v>232</v>
      </c>
    </row>
    <row r="23141" spans="119:119" x14ac:dyDescent="0.2">
      <c r="DO23141" s="303" t="s">
        <v>232</v>
      </c>
    </row>
    <row r="23142" spans="119:119" x14ac:dyDescent="0.2">
      <c r="DO23142" s="303" t="s">
        <v>232</v>
      </c>
    </row>
    <row r="23143" spans="119:119" x14ac:dyDescent="0.2">
      <c r="DO23143" s="303" t="s">
        <v>232</v>
      </c>
    </row>
    <row r="23144" spans="119:119" x14ac:dyDescent="0.2">
      <c r="DO23144" s="303" t="s">
        <v>232</v>
      </c>
    </row>
    <row r="23145" spans="119:119" x14ac:dyDescent="0.2">
      <c r="DO23145" s="303" t="s">
        <v>232</v>
      </c>
    </row>
    <row r="23146" spans="119:119" x14ac:dyDescent="0.2">
      <c r="DO23146" s="303" t="s">
        <v>232</v>
      </c>
    </row>
    <row r="23147" spans="119:119" x14ac:dyDescent="0.2">
      <c r="DO23147" s="303" t="s">
        <v>232</v>
      </c>
    </row>
    <row r="23148" spans="119:119" x14ac:dyDescent="0.2">
      <c r="DO23148" s="303" t="s">
        <v>232</v>
      </c>
    </row>
    <row r="23149" spans="119:119" x14ac:dyDescent="0.2">
      <c r="DO23149" s="303" t="s">
        <v>232</v>
      </c>
    </row>
    <row r="23150" spans="119:119" x14ac:dyDescent="0.2">
      <c r="DO23150" s="303" t="s">
        <v>232</v>
      </c>
    </row>
    <row r="23151" spans="119:119" x14ac:dyDescent="0.2">
      <c r="DO23151" s="303" t="s">
        <v>232</v>
      </c>
    </row>
    <row r="23152" spans="119:119" x14ac:dyDescent="0.2">
      <c r="DO23152" s="303" t="s">
        <v>232</v>
      </c>
    </row>
    <row r="23153" spans="119:119" x14ac:dyDescent="0.2">
      <c r="DO23153" s="303" t="s">
        <v>232</v>
      </c>
    </row>
    <row r="23154" spans="119:119" x14ac:dyDescent="0.2">
      <c r="DO23154" s="303" t="s">
        <v>232</v>
      </c>
    </row>
    <row r="23155" spans="119:119" x14ac:dyDescent="0.2">
      <c r="DO23155" s="303" t="s">
        <v>232</v>
      </c>
    </row>
    <row r="23156" spans="119:119" x14ac:dyDescent="0.2">
      <c r="DO23156" s="303" t="s">
        <v>232</v>
      </c>
    </row>
    <row r="23157" spans="119:119" x14ac:dyDescent="0.2">
      <c r="DO23157" s="303" t="s">
        <v>232</v>
      </c>
    </row>
    <row r="23158" spans="119:119" x14ac:dyDescent="0.2">
      <c r="DO23158" s="303" t="s">
        <v>232</v>
      </c>
    </row>
    <row r="23159" spans="119:119" x14ac:dyDescent="0.2">
      <c r="DO23159" s="303" t="s">
        <v>232</v>
      </c>
    </row>
    <row r="23160" spans="119:119" x14ac:dyDescent="0.2">
      <c r="DO23160" s="303" t="s">
        <v>232</v>
      </c>
    </row>
    <row r="23161" spans="119:119" x14ac:dyDescent="0.2">
      <c r="DO23161" s="303" t="s">
        <v>232</v>
      </c>
    </row>
    <row r="23162" spans="119:119" x14ac:dyDescent="0.2">
      <c r="DO23162" s="303" t="s">
        <v>232</v>
      </c>
    </row>
    <row r="23163" spans="119:119" x14ac:dyDescent="0.2">
      <c r="DO23163" s="303" t="s">
        <v>232</v>
      </c>
    </row>
    <row r="23164" spans="119:119" x14ac:dyDescent="0.2">
      <c r="DO23164" s="303" t="s">
        <v>232</v>
      </c>
    </row>
    <row r="23165" spans="119:119" x14ac:dyDescent="0.2">
      <c r="DO23165" s="303" t="s">
        <v>232</v>
      </c>
    </row>
    <row r="23166" spans="119:119" x14ac:dyDescent="0.2">
      <c r="DO23166" s="303" t="s">
        <v>232</v>
      </c>
    </row>
    <row r="23167" spans="119:119" x14ac:dyDescent="0.2">
      <c r="DO23167" s="303" t="s">
        <v>232</v>
      </c>
    </row>
    <row r="23168" spans="119:119" x14ac:dyDescent="0.2">
      <c r="DO23168" s="303" t="s">
        <v>232</v>
      </c>
    </row>
    <row r="23169" spans="119:119" x14ac:dyDescent="0.2">
      <c r="DO23169" s="303" t="s">
        <v>232</v>
      </c>
    </row>
    <row r="23170" spans="119:119" x14ac:dyDescent="0.2">
      <c r="DO23170" s="303" t="s">
        <v>232</v>
      </c>
    </row>
    <row r="23171" spans="119:119" x14ac:dyDescent="0.2">
      <c r="DO23171" s="303" t="s">
        <v>232</v>
      </c>
    </row>
    <row r="23172" spans="119:119" x14ac:dyDescent="0.2">
      <c r="DO23172" s="303" t="s">
        <v>232</v>
      </c>
    </row>
    <row r="23173" spans="119:119" x14ac:dyDescent="0.2">
      <c r="DO23173" s="303" t="s">
        <v>232</v>
      </c>
    </row>
    <row r="23174" spans="119:119" x14ac:dyDescent="0.2">
      <c r="DO23174" s="303" t="s">
        <v>232</v>
      </c>
    </row>
    <row r="23175" spans="119:119" x14ac:dyDescent="0.2">
      <c r="DO23175" s="303" t="s">
        <v>232</v>
      </c>
    </row>
    <row r="23176" spans="119:119" x14ac:dyDescent="0.2">
      <c r="DO23176" s="303" t="s">
        <v>232</v>
      </c>
    </row>
    <row r="23177" spans="119:119" x14ac:dyDescent="0.2">
      <c r="DO23177" s="303" t="s">
        <v>232</v>
      </c>
    </row>
    <row r="23178" spans="119:119" x14ac:dyDescent="0.2">
      <c r="DO23178" s="303" t="s">
        <v>232</v>
      </c>
    </row>
    <row r="23179" spans="119:119" x14ac:dyDescent="0.2">
      <c r="DO23179" s="303" t="s">
        <v>232</v>
      </c>
    </row>
    <row r="23180" spans="119:119" x14ac:dyDescent="0.2">
      <c r="DO23180" s="303" t="s">
        <v>232</v>
      </c>
    </row>
    <row r="23181" spans="119:119" x14ac:dyDescent="0.2">
      <c r="DO23181" s="303" t="s">
        <v>232</v>
      </c>
    </row>
    <row r="23182" spans="119:119" x14ac:dyDescent="0.2">
      <c r="DO23182" s="303" t="s">
        <v>232</v>
      </c>
    </row>
    <row r="23183" spans="119:119" x14ac:dyDescent="0.2">
      <c r="DO23183" s="303" t="s">
        <v>232</v>
      </c>
    </row>
    <row r="23184" spans="119:119" x14ac:dyDescent="0.2">
      <c r="DO23184" s="303" t="s">
        <v>232</v>
      </c>
    </row>
    <row r="23185" spans="119:119" x14ac:dyDescent="0.2">
      <c r="DO23185" s="303" t="s">
        <v>232</v>
      </c>
    </row>
    <row r="23186" spans="119:119" x14ac:dyDescent="0.2">
      <c r="DO23186" s="303" t="s">
        <v>232</v>
      </c>
    </row>
    <row r="23187" spans="119:119" x14ac:dyDescent="0.2">
      <c r="DO23187" s="303" t="s">
        <v>232</v>
      </c>
    </row>
    <row r="23188" spans="119:119" x14ac:dyDescent="0.2">
      <c r="DO23188" s="303" t="s">
        <v>232</v>
      </c>
    </row>
    <row r="23189" spans="119:119" x14ac:dyDescent="0.2">
      <c r="DO23189" s="303" t="s">
        <v>232</v>
      </c>
    </row>
    <row r="23190" spans="119:119" x14ac:dyDescent="0.2">
      <c r="DO23190" s="303" t="s">
        <v>232</v>
      </c>
    </row>
    <row r="23191" spans="119:119" x14ac:dyDescent="0.2">
      <c r="DO23191" s="303" t="s">
        <v>232</v>
      </c>
    </row>
    <row r="23192" spans="119:119" x14ac:dyDescent="0.2">
      <c r="DO23192" s="303" t="s">
        <v>232</v>
      </c>
    </row>
    <row r="23193" spans="119:119" x14ac:dyDescent="0.2">
      <c r="DO23193" s="303" t="s">
        <v>232</v>
      </c>
    </row>
    <row r="23194" spans="119:119" x14ac:dyDescent="0.2">
      <c r="DO23194" s="303" t="s">
        <v>232</v>
      </c>
    </row>
    <row r="23195" spans="119:119" x14ac:dyDescent="0.2">
      <c r="DO23195" s="303" t="s">
        <v>232</v>
      </c>
    </row>
    <row r="23196" spans="119:119" x14ac:dyDescent="0.2">
      <c r="DO23196" s="303" t="s">
        <v>232</v>
      </c>
    </row>
    <row r="23197" spans="119:119" x14ac:dyDescent="0.2">
      <c r="DO23197" s="303" t="s">
        <v>232</v>
      </c>
    </row>
    <row r="23198" spans="119:119" x14ac:dyDescent="0.2">
      <c r="DO23198" s="303" t="s">
        <v>232</v>
      </c>
    </row>
    <row r="23199" spans="119:119" x14ac:dyDescent="0.2">
      <c r="DO23199" s="303" t="s">
        <v>232</v>
      </c>
    </row>
    <row r="23200" spans="119:119" x14ac:dyDescent="0.2">
      <c r="DO23200" s="303" t="s">
        <v>232</v>
      </c>
    </row>
    <row r="23201" spans="119:119" x14ac:dyDescent="0.2">
      <c r="DO23201" s="303" t="s">
        <v>232</v>
      </c>
    </row>
    <row r="23202" spans="119:119" x14ac:dyDescent="0.2">
      <c r="DO23202" s="303" t="s">
        <v>232</v>
      </c>
    </row>
    <row r="23203" spans="119:119" x14ac:dyDescent="0.2">
      <c r="DO23203" s="303" t="s">
        <v>232</v>
      </c>
    </row>
    <row r="23204" spans="119:119" x14ac:dyDescent="0.2">
      <c r="DO23204" s="303" t="s">
        <v>232</v>
      </c>
    </row>
    <row r="23205" spans="119:119" x14ac:dyDescent="0.2">
      <c r="DO23205" s="303" t="s">
        <v>232</v>
      </c>
    </row>
    <row r="23206" spans="119:119" x14ac:dyDescent="0.2">
      <c r="DO23206" s="303" t="s">
        <v>232</v>
      </c>
    </row>
    <row r="23207" spans="119:119" x14ac:dyDescent="0.2">
      <c r="DO23207" s="303" t="s">
        <v>232</v>
      </c>
    </row>
    <row r="23208" spans="119:119" x14ac:dyDescent="0.2">
      <c r="DO23208" s="303" t="s">
        <v>232</v>
      </c>
    </row>
    <row r="23209" spans="119:119" x14ac:dyDescent="0.2">
      <c r="DO23209" s="303" t="s">
        <v>232</v>
      </c>
    </row>
    <row r="23210" spans="119:119" x14ac:dyDescent="0.2">
      <c r="DO23210" s="303" t="s">
        <v>232</v>
      </c>
    </row>
    <row r="23211" spans="119:119" x14ac:dyDescent="0.2">
      <c r="DO23211" s="303" t="s">
        <v>232</v>
      </c>
    </row>
    <row r="23212" spans="119:119" x14ac:dyDescent="0.2">
      <c r="DO23212" s="303" t="s">
        <v>232</v>
      </c>
    </row>
    <row r="23213" spans="119:119" x14ac:dyDescent="0.2">
      <c r="DO23213" s="303" t="s">
        <v>232</v>
      </c>
    </row>
    <row r="23214" spans="119:119" x14ac:dyDescent="0.2">
      <c r="DO23214" s="303" t="s">
        <v>232</v>
      </c>
    </row>
    <row r="23215" spans="119:119" x14ac:dyDescent="0.2">
      <c r="DO23215" s="303" t="s">
        <v>232</v>
      </c>
    </row>
    <row r="23216" spans="119:119" x14ac:dyDescent="0.2">
      <c r="DO23216" s="303" t="s">
        <v>232</v>
      </c>
    </row>
    <row r="23217" spans="119:119" x14ac:dyDescent="0.2">
      <c r="DO23217" s="303" t="s">
        <v>232</v>
      </c>
    </row>
    <row r="23218" spans="119:119" x14ac:dyDescent="0.2">
      <c r="DO23218" s="303" t="s">
        <v>232</v>
      </c>
    </row>
    <row r="23219" spans="119:119" x14ac:dyDescent="0.2">
      <c r="DO23219" s="303" t="s">
        <v>232</v>
      </c>
    </row>
    <row r="23220" spans="119:119" x14ac:dyDescent="0.2">
      <c r="DO23220" s="303" t="s">
        <v>232</v>
      </c>
    </row>
    <row r="23221" spans="119:119" x14ac:dyDescent="0.2">
      <c r="DO23221" s="303" t="s">
        <v>232</v>
      </c>
    </row>
    <row r="23222" spans="119:119" x14ac:dyDescent="0.2">
      <c r="DO23222" s="303" t="s">
        <v>232</v>
      </c>
    </row>
    <row r="23223" spans="119:119" x14ac:dyDescent="0.2">
      <c r="DO23223" s="303" t="s">
        <v>232</v>
      </c>
    </row>
    <row r="23224" spans="119:119" x14ac:dyDescent="0.2">
      <c r="DO23224" s="303" t="s">
        <v>232</v>
      </c>
    </row>
    <row r="23225" spans="119:119" x14ac:dyDescent="0.2">
      <c r="DO23225" s="303" t="s">
        <v>232</v>
      </c>
    </row>
    <row r="23226" spans="119:119" x14ac:dyDescent="0.2">
      <c r="DO23226" s="303" t="s">
        <v>232</v>
      </c>
    </row>
    <row r="23227" spans="119:119" x14ac:dyDescent="0.2">
      <c r="DO23227" s="303" t="s">
        <v>232</v>
      </c>
    </row>
    <row r="23228" spans="119:119" x14ac:dyDescent="0.2">
      <c r="DO23228" s="303" t="s">
        <v>232</v>
      </c>
    </row>
    <row r="23229" spans="119:119" x14ac:dyDescent="0.2">
      <c r="DO23229" s="303" t="s">
        <v>232</v>
      </c>
    </row>
    <row r="23230" spans="119:119" x14ac:dyDescent="0.2">
      <c r="DO23230" s="303" t="s">
        <v>232</v>
      </c>
    </row>
    <row r="23231" spans="119:119" x14ac:dyDescent="0.2">
      <c r="DO23231" s="303" t="s">
        <v>232</v>
      </c>
    </row>
    <row r="23232" spans="119:119" x14ac:dyDescent="0.2">
      <c r="DO23232" s="303" t="s">
        <v>232</v>
      </c>
    </row>
    <row r="23233" spans="119:119" x14ac:dyDescent="0.2">
      <c r="DO23233" s="303" t="s">
        <v>232</v>
      </c>
    </row>
    <row r="23234" spans="119:119" x14ac:dyDescent="0.2">
      <c r="DO23234" s="303" t="s">
        <v>232</v>
      </c>
    </row>
    <row r="23235" spans="119:119" x14ac:dyDescent="0.2">
      <c r="DO23235" s="303" t="s">
        <v>232</v>
      </c>
    </row>
    <row r="23236" spans="119:119" x14ac:dyDescent="0.2">
      <c r="DO23236" s="303" t="s">
        <v>232</v>
      </c>
    </row>
    <row r="23237" spans="119:119" x14ac:dyDescent="0.2">
      <c r="DO23237" s="303" t="s">
        <v>232</v>
      </c>
    </row>
    <row r="23238" spans="119:119" x14ac:dyDescent="0.2">
      <c r="DO23238" s="303" t="s">
        <v>232</v>
      </c>
    </row>
    <row r="23239" spans="119:119" x14ac:dyDescent="0.2">
      <c r="DO23239" s="303" t="s">
        <v>232</v>
      </c>
    </row>
    <row r="23240" spans="119:119" x14ac:dyDescent="0.2">
      <c r="DO23240" s="303" t="s">
        <v>232</v>
      </c>
    </row>
    <row r="23241" spans="119:119" x14ac:dyDescent="0.2">
      <c r="DO23241" s="303" t="s">
        <v>232</v>
      </c>
    </row>
    <row r="23242" spans="119:119" x14ac:dyDescent="0.2">
      <c r="DO23242" s="303" t="s">
        <v>232</v>
      </c>
    </row>
    <row r="23243" spans="119:119" x14ac:dyDescent="0.2">
      <c r="DO23243" s="303" t="s">
        <v>232</v>
      </c>
    </row>
    <row r="23244" spans="119:119" x14ac:dyDescent="0.2">
      <c r="DO23244" s="303" t="s">
        <v>232</v>
      </c>
    </row>
    <row r="23245" spans="119:119" x14ac:dyDescent="0.2">
      <c r="DO23245" s="303" t="s">
        <v>232</v>
      </c>
    </row>
    <row r="23246" spans="119:119" x14ac:dyDescent="0.2">
      <c r="DO23246" s="303" t="s">
        <v>232</v>
      </c>
    </row>
    <row r="23247" spans="119:119" x14ac:dyDescent="0.2">
      <c r="DO23247" s="303" t="s">
        <v>232</v>
      </c>
    </row>
    <row r="23248" spans="119:119" x14ac:dyDescent="0.2">
      <c r="DO23248" s="303" t="s">
        <v>232</v>
      </c>
    </row>
    <row r="23249" spans="119:119" x14ac:dyDescent="0.2">
      <c r="DO23249" s="303" t="s">
        <v>232</v>
      </c>
    </row>
    <row r="23250" spans="119:119" x14ac:dyDescent="0.2">
      <c r="DO23250" s="303" t="s">
        <v>232</v>
      </c>
    </row>
    <row r="23251" spans="119:119" x14ac:dyDescent="0.2">
      <c r="DO23251" s="303" t="s">
        <v>232</v>
      </c>
    </row>
    <row r="23252" spans="119:119" x14ac:dyDescent="0.2">
      <c r="DO23252" s="303" t="s">
        <v>232</v>
      </c>
    </row>
    <row r="23253" spans="119:119" x14ac:dyDescent="0.2">
      <c r="DO23253" s="303" t="s">
        <v>232</v>
      </c>
    </row>
    <row r="23254" spans="119:119" x14ac:dyDescent="0.2">
      <c r="DO23254" s="303" t="s">
        <v>232</v>
      </c>
    </row>
    <row r="23255" spans="119:119" x14ac:dyDescent="0.2">
      <c r="DO23255" s="303" t="s">
        <v>232</v>
      </c>
    </row>
    <row r="23256" spans="119:119" x14ac:dyDescent="0.2">
      <c r="DO23256" s="303" t="s">
        <v>232</v>
      </c>
    </row>
    <row r="23257" spans="119:119" x14ac:dyDescent="0.2">
      <c r="DO23257" s="303" t="s">
        <v>232</v>
      </c>
    </row>
    <row r="23258" spans="119:119" x14ac:dyDescent="0.2">
      <c r="DO23258" s="303" t="s">
        <v>232</v>
      </c>
    </row>
    <row r="23259" spans="119:119" x14ac:dyDescent="0.2">
      <c r="DO23259" s="303" t="s">
        <v>232</v>
      </c>
    </row>
    <row r="23260" spans="119:119" x14ac:dyDescent="0.2">
      <c r="DO23260" s="303" t="s">
        <v>232</v>
      </c>
    </row>
    <row r="23261" spans="119:119" x14ac:dyDescent="0.2">
      <c r="DO23261" s="303" t="s">
        <v>232</v>
      </c>
    </row>
    <row r="23262" spans="119:119" x14ac:dyDescent="0.2">
      <c r="DO23262" s="303" t="s">
        <v>232</v>
      </c>
    </row>
    <row r="23263" spans="119:119" x14ac:dyDescent="0.2">
      <c r="DO23263" s="303" t="s">
        <v>232</v>
      </c>
    </row>
    <row r="23264" spans="119:119" x14ac:dyDescent="0.2">
      <c r="DO23264" s="303" t="s">
        <v>232</v>
      </c>
    </row>
    <row r="23265" spans="119:119" x14ac:dyDescent="0.2">
      <c r="DO23265" s="303" t="s">
        <v>232</v>
      </c>
    </row>
    <row r="23266" spans="119:119" x14ac:dyDescent="0.2">
      <c r="DO23266" s="303" t="s">
        <v>232</v>
      </c>
    </row>
    <row r="23267" spans="119:119" x14ac:dyDescent="0.2">
      <c r="DO23267" s="303" t="s">
        <v>232</v>
      </c>
    </row>
    <row r="23268" spans="119:119" x14ac:dyDescent="0.2">
      <c r="DO23268" s="303" t="s">
        <v>232</v>
      </c>
    </row>
    <row r="23269" spans="119:119" x14ac:dyDescent="0.2">
      <c r="DO23269" s="303" t="s">
        <v>232</v>
      </c>
    </row>
    <row r="23270" spans="119:119" x14ac:dyDescent="0.2">
      <c r="DO23270" s="303" t="s">
        <v>232</v>
      </c>
    </row>
    <row r="23271" spans="119:119" x14ac:dyDescent="0.2">
      <c r="DO23271" s="303" t="s">
        <v>232</v>
      </c>
    </row>
    <row r="23272" spans="119:119" x14ac:dyDescent="0.2">
      <c r="DO23272" s="303" t="s">
        <v>232</v>
      </c>
    </row>
    <row r="23273" spans="119:119" x14ac:dyDescent="0.2">
      <c r="DO23273" s="303" t="s">
        <v>232</v>
      </c>
    </row>
    <row r="23274" spans="119:119" x14ac:dyDescent="0.2">
      <c r="DO23274" s="303" t="s">
        <v>232</v>
      </c>
    </row>
    <row r="23275" spans="119:119" x14ac:dyDescent="0.2">
      <c r="DO23275" s="303" t="s">
        <v>232</v>
      </c>
    </row>
    <row r="23276" spans="119:119" x14ac:dyDescent="0.2">
      <c r="DO23276" s="303" t="s">
        <v>232</v>
      </c>
    </row>
    <row r="23277" spans="119:119" x14ac:dyDescent="0.2">
      <c r="DO23277" s="303" t="s">
        <v>232</v>
      </c>
    </row>
    <row r="23278" spans="119:119" x14ac:dyDescent="0.2">
      <c r="DO23278" s="303" t="s">
        <v>232</v>
      </c>
    </row>
    <row r="23279" spans="119:119" x14ac:dyDescent="0.2">
      <c r="DO23279" s="303" t="s">
        <v>232</v>
      </c>
    </row>
    <row r="23280" spans="119:119" x14ac:dyDescent="0.2">
      <c r="DO23280" s="303" t="s">
        <v>232</v>
      </c>
    </row>
    <row r="23281" spans="119:119" x14ac:dyDescent="0.2">
      <c r="DO23281" s="303" t="s">
        <v>232</v>
      </c>
    </row>
    <row r="23282" spans="119:119" x14ac:dyDescent="0.2">
      <c r="DO23282" s="303" t="s">
        <v>232</v>
      </c>
    </row>
    <row r="23283" spans="119:119" x14ac:dyDescent="0.2">
      <c r="DO23283" s="303" t="s">
        <v>232</v>
      </c>
    </row>
    <row r="23284" spans="119:119" x14ac:dyDescent="0.2">
      <c r="DO23284" s="303" t="s">
        <v>232</v>
      </c>
    </row>
    <row r="23285" spans="119:119" x14ac:dyDescent="0.2">
      <c r="DO23285" s="303" t="s">
        <v>232</v>
      </c>
    </row>
    <row r="23286" spans="119:119" x14ac:dyDescent="0.2">
      <c r="DO23286" s="303" t="s">
        <v>232</v>
      </c>
    </row>
    <row r="23287" spans="119:119" x14ac:dyDescent="0.2">
      <c r="DO23287" s="303" t="s">
        <v>232</v>
      </c>
    </row>
    <row r="23288" spans="119:119" x14ac:dyDescent="0.2">
      <c r="DO23288" s="303" t="s">
        <v>232</v>
      </c>
    </row>
    <row r="23289" spans="119:119" x14ac:dyDescent="0.2">
      <c r="DO23289" s="303" t="s">
        <v>232</v>
      </c>
    </row>
    <row r="23290" spans="119:119" x14ac:dyDescent="0.2">
      <c r="DO23290" s="303" t="s">
        <v>232</v>
      </c>
    </row>
    <row r="23291" spans="119:119" x14ac:dyDescent="0.2">
      <c r="DO23291" s="303" t="s">
        <v>232</v>
      </c>
    </row>
    <row r="23292" spans="119:119" x14ac:dyDescent="0.2">
      <c r="DO23292" s="303" t="s">
        <v>232</v>
      </c>
    </row>
    <row r="23293" spans="119:119" x14ac:dyDescent="0.2">
      <c r="DO23293" s="303" t="s">
        <v>232</v>
      </c>
    </row>
    <row r="23294" spans="119:119" x14ac:dyDescent="0.2">
      <c r="DO23294" s="303" t="s">
        <v>232</v>
      </c>
    </row>
    <row r="23295" spans="119:119" x14ac:dyDescent="0.2">
      <c r="DO23295" s="303" t="s">
        <v>232</v>
      </c>
    </row>
    <row r="23296" spans="119:119" x14ac:dyDescent="0.2">
      <c r="DO23296" s="303" t="s">
        <v>232</v>
      </c>
    </row>
    <row r="23297" spans="119:119" x14ac:dyDescent="0.2">
      <c r="DO23297" s="303" t="s">
        <v>232</v>
      </c>
    </row>
    <row r="23298" spans="119:119" x14ac:dyDescent="0.2">
      <c r="DO23298" s="303" t="s">
        <v>232</v>
      </c>
    </row>
    <row r="23299" spans="119:119" x14ac:dyDescent="0.2">
      <c r="DO23299" s="303" t="s">
        <v>232</v>
      </c>
    </row>
    <row r="23300" spans="119:119" x14ac:dyDescent="0.2">
      <c r="DO23300" s="303" t="s">
        <v>232</v>
      </c>
    </row>
    <row r="23301" spans="119:119" x14ac:dyDescent="0.2">
      <c r="DO23301" s="303" t="s">
        <v>232</v>
      </c>
    </row>
    <row r="23302" spans="119:119" x14ac:dyDescent="0.2">
      <c r="DO23302" s="303" t="s">
        <v>232</v>
      </c>
    </row>
    <row r="23303" spans="119:119" x14ac:dyDescent="0.2">
      <c r="DO23303" s="303" t="s">
        <v>232</v>
      </c>
    </row>
    <row r="23304" spans="119:119" x14ac:dyDescent="0.2">
      <c r="DO23304" s="303" t="s">
        <v>232</v>
      </c>
    </row>
    <row r="23305" spans="119:119" x14ac:dyDescent="0.2">
      <c r="DO23305" s="303" t="s">
        <v>232</v>
      </c>
    </row>
    <row r="23306" spans="119:119" x14ac:dyDescent="0.2">
      <c r="DO23306" s="303" t="s">
        <v>232</v>
      </c>
    </row>
    <row r="23307" spans="119:119" x14ac:dyDescent="0.2">
      <c r="DO23307" s="303" t="s">
        <v>232</v>
      </c>
    </row>
    <row r="23308" spans="119:119" x14ac:dyDescent="0.2">
      <c r="DO23308" s="303" t="s">
        <v>232</v>
      </c>
    </row>
    <row r="23309" spans="119:119" x14ac:dyDescent="0.2">
      <c r="DO23309" s="303" t="s">
        <v>232</v>
      </c>
    </row>
    <row r="23310" spans="119:119" x14ac:dyDescent="0.2">
      <c r="DO23310" s="303" t="s">
        <v>232</v>
      </c>
    </row>
    <row r="23311" spans="119:119" x14ac:dyDescent="0.2">
      <c r="DO23311" s="303" t="s">
        <v>232</v>
      </c>
    </row>
    <row r="23312" spans="119:119" x14ac:dyDescent="0.2">
      <c r="DO23312" s="303" t="s">
        <v>232</v>
      </c>
    </row>
    <row r="23313" spans="119:119" x14ac:dyDescent="0.2">
      <c r="DO23313" s="303" t="s">
        <v>232</v>
      </c>
    </row>
    <row r="23314" spans="119:119" x14ac:dyDescent="0.2">
      <c r="DO23314" s="303" t="s">
        <v>232</v>
      </c>
    </row>
    <row r="23315" spans="119:119" x14ac:dyDescent="0.2">
      <c r="DO23315" s="303" t="s">
        <v>232</v>
      </c>
    </row>
    <row r="23316" spans="119:119" x14ac:dyDescent="0.2">
      <c r="DO23316" s="303" t="s">
        <v>232</v>
      </c>
    </row>
    <row r="23317" spans="119:119" x14ac:dyDescent="0.2">
      <c r="DO23317" s="303" t="s">
        <v>232</v>
      </c>
    </row>
    <row r="23318" spans="119:119" x14ac:dyDescent="0.2">
      <c r="DO23318" s="303" t="s">
        <v>232</v>
      </c>
    </row>
    <row r="23319" spans="119:119" x14ac:dyDescent="0.2">
      <c r="DO23319" s="303" t="s">
        <v>232</v>
      </c>
    </row>
    <row r="23320" spans="119:119" x14ac:dyDescent="0.2">
      <c r="DO23320" s="303" t="s">
        <v>232</v>
      </c>
    </row>
    <row r="23321" spans="119:119" x14ac:dyDescent="0.2">
      <c r="DO23321" s="303" t="s">
        <v>232</v>
      </c>
    </row>
    <row r="23322" spans="119:119" x14ac:dyDescent="0.2">
      <c r="DO23322" s="303" t="s">
        <v>232</v>
      </c>
    </row>
    <row r="23323" spans="119:119" x14ac:dyDescent="0.2">
      <c r="DO23323" s="303" t="s">
        <v>232</v>
      </c>
    </row>
    <row r="23324" spans="119:119" x14ac:dyDescent="0.2">
      <c r="DO23324" s="303" t="s">
        <v>232</v>
      </c>
    </row>
    <row r="23325" spans="119:119" x14ac:dyDescent="0.2">
      <c r="DO23325" s="303" t="s">
        <v>232</v>
      </c>
    </row>
    <row r="23326" spans="119:119" x14ac:dyDescent="0.2">
      <c r="DO23326" s="303" t="s">
        <v>232</v>
      </c>
    </row>
    <row r="23327" spans="119:119" x14ac:dyDescent="0.2">
      <c r="DO23327" s="303" t="s">
        <v>232</v>
      </c>
    </row>
    <row r="23328" spans="119:119" x14ac:dyDescent="0.2">
      <c r="DO23328" s="303" t="s">
        <v>232</v>
      </c>
    </row>
    <row r="23329" spans="119:119" x14ac:dyDescent="0.2">
      <c r="DO23329" s="303" t="s">
        <v>232</v>
      </c>
    </row>
    <row r="23330" spans="119:119" x14ac:dyDescent="0.2">
      <c r="DO23330" s="303" t="s">
        <v>232</v>
      </c>
    </row>
    <row r="23331" spans="119:119" x14ac:dyDescent="0.2">
      <c r="DO23331" s="303" t="s">
        <v>232</v>
      </c>
    </row>
    <row r="23332" spans="119:119" x14ac:dyDescent="0.2">
      <c r="DO23332" s="303" t="s">
        <v>232</v>
      </c>
    </row>
    <row r="23333" spans="119:119" x14ac:dyDescent="0.2">
      <c r="DO23333" s="303" t="s">
        <v>232</v>
      </c>
    </row>
    <row r="23334" spans="119:119" x14ac:dyDescent="0.2">
      <c r="DO23334" s="303" t="s">
        <v>232</v>
      </c>
    </row>
    <row r="23335" spans="119:119" x14ac:dyDescent="0.2">
      <c r="DO23335" s="303" t="s">
        <v>232</v>
      </c>
    </row>
    <row r="23336" spans="119:119" x14ac:dyDescent="0.2">
      <c r="DO23336" s="303" t="s">
        <v>232</v>
      </c>
    </row>
    <row r="23337" spans="119:119" x14ac:dyDescent="0.2">
      <c r="DO23337" s="303" t="s">
        <v>232</v>
      </c>
    </row>
    <row r="23338" spans="119:119" x14ac:dyDescent="0.2">
      <c r="DO23338" s="303" t="s">
        <v>232</v>
      </c>
    </row>
    <row r="23339" spans="119:119" x14ac:dyDescent="0.2">
      <c r="DO23339" s="303" t="s">
        <v>232</v>
      </c>
    </row>
    <row r="23340" spans="119:119" x14ac:dyDescent="0.2">
      <c r="DO23340" s="303" t="s">
        <v>232</v>
      </c>
    </row>
    <row r="23341" spans="119:119" x14ac:dyDescent="0.2">
      <c r="DO23341" s="303" t="s">
        <v>232</v>
      </c>
    </row>
    <row r="23342" spans="119:119" x14ac:dyDescent="0.2">
      <c r="DO23342" s="303" t="s">
        <v>232</v>
      </c>
    </row>
    <row r="23343" spans="119:119" x14ac:dyDescent="0.2">
      <c r="DO23343" s="303" t="s">
        <v>232</v>
      </c>
    </row>
    <row r="23344" spans="119:119" x14ac:dyDescent="0.2">
      <c r="DO23344" s="303" t="s">
        <v>232</v>
      </c>
    </row>
    <row r="23345" spans="119:119" x14ac:dyDescent="0.2">
      <c r="DO23345" s="303" t="s">
        <v>232</v>
      </c>
    </row>
    <row r="23346" spans="119:119" x14ac:dyDescent="0.2">
      <c r="DO23346" s="303" t="s">
        <v>232</v>
      </c>
    </row>
    <row r="23347" spans="119:119" x14ac:dyDescent="0.2">
      <c r="DO23347" s="303" t="s">
        <v>232</v>
      </c>
    </row>
    <row r="23348" spans="119:119" x14ac:dyDescent="0.2">
      <c r="DO23348" s="303" t="s">
        <v>232</v>
      </c>
    </row>
    <row r="23349" spans="119:119" x14ac:dyDescent="0.2">
      <c r="DO23349" s="303" t="s">
        <v>232</v>
      </c>
    </row>
    <row r="23350" spans="119:119" x14ac:dyDescent="0.2">
      <c r="DO23350" s="303" t="s">
        <v>232</v>
      </c>
    </row>
    <row r="23351" spans="119:119" x14ac:dyDescent="0.2">
      <c r="DO23351" s="303" t="s">
        <v>232</v>
      </c>
    </row>
    <row r="23352" spans="119:119" x14ac:dyDescent="0.2">
      <c r="DO23352" s="303" t="s">
        <v>232</v>
      </c>
    </row>
    <row r="23353" spans="119:119" x14ac:dyDescent="0.2">
      <c r="DO23353" s="303" t="s">
        <v>232</v>
      </c>
    </row>
    <row r="23354" spans="119:119" x14ac:dyDescent="0.2">
      <c r="DO23354" s="303" t="s">
        <v>232</v>
      </c>
    </row>
    <row r="23355" spans="119:119" x14ac:dyDescent="0.2">
      <c r="DO23355" s="303" t="s">
        <v>232</v>
      </c>
    </row>
    <row r="23356" spans="119:119" x14ac:dyDescent="0.2">
      <c r="DO23356" s="303" t="s">
        <v>232</v>
      </c>
    </row>
    <row r="23357" spans="119:119" x14ac:dyDescent="0.2">
      <c r="DO23357" s="303" t="s">
        <v>232</v>
      </c>
    </row>
    <row r="23358" spans="119:119" x14ac:dyDescent="0.2">
      <c r="DO23358" s="303" t="s">
        <v>232</v>
      </c>
    </row>
    <row r="23359" spans="119:119" x14ac:dyDescent="0.2">
      <c r="DO23359" s="303" t="s">
        <v>232</v>
      </c>
    </row>
    <row r="23360" spans="119:119" x14ac:dyDescent="0.2">
      <c r="DO23360" s="303" t="s">
        <v>232</v>
      </c>
    </row>
    <row r="23361" spans="119:119" x14ac:dyDescent="0.2">
      <c r="DO23361" s="303" t="s">
        <v>232</v>
      </c>
    </row>
    <row r="23362" spans="119:119" x14ac:dyDescent="0.2">
      <c r="DO23362" s="303" t="s">
        <v>232</v>
      </c>
    </row>
    <row r="23363" spans="119:119" x14ac:dyDescent="0.2">
      <c r="DO23363" s="303" t="s">
        <v>232</v>
      </c>
    </row>
    <row r="23364" spans="119:119" x14ac:dyDescent="0.2">
      <c r="DO23364" s="303" t="s">
        <v>232</v>
      </c>
    </row>
    <row r="23365" spans="119:119" x14ac:dyDescent="0.2">
      <c r="DO23365" s="303" t="s">
        <v>232</v>
      </c>
    </row>
    <row r="23366" spans="119:119" x14ac:dyDescent="0.2">
      <c r="DO23366" s="303" t="s">
        <v>232</v>
      </c>
    </row>
    <row r="23367" spans="119:119" x14ac:dyDescent="0.2">
      <c r="DO23367" s="303" t="s">
        <v>232</v>
      </c>
    </row>
    <row r="23368" spans="119:119" x14ac:dyDescent="0.2">
      <c r="DO23368" s="303" t="s">
        <v>232</v>
      </c>
    </row>
    <row r="23369" spans="119:119" x14ac:dyDescent="0.2">
      <c r="DO23369" s="303" t="s">
        <v>232</v>
      </c>
    </row>
    <row r="23370" spans="119:119" x14ac:dyDescent="0.2">
      <c r="DO23370" s="303" t="s">
        <v>232</v>
      </c>
    </row>
    <row r="23371" spans="119:119" x14ac:dyDescent="0.2">
      <c r="DO23371" s="303" t="s">
        <v>232</v>
      </c>
    </row>
    <row r="23372" spans="119:119" x14ac:dyDescent="0.2">
      <c r="DO23372" s="303" t="s">
        <v>232</v>
      </c>
    </row>
    <row r="23373" spans="119:119" x14ac:dyDescent="0.2">
      <c r="DO23373" s="303" t="s">
        <v>232</v>
      </c>
    </row>
    <row r="23374" spans="119:119" x14ac:dyDescent="0.2">
      <c r="DO23374" s="303" t="s">
        <v>232</v>
      </c>
    </row>
    <row r="23375" spans="119:119" x14ac:dyDescent="0.2">
      <c r="DO23375" s="303" t="s">
        <v>232</v>
      </c>
    </row>
    <row r="23376" spans="119:119" x14ac:dyDescent="0.2">
      <c r="DO23376" s="303" t="s">
        <v>232</v>
      </c>
    </row>
    <row r="23377" spans="119:119" x14ac:dyDescent="0.2">
      <c r="DO23377" s="303" t="s">
        <v>232</v>
      </c>
    </row>
    <row r="23378" spans="119:119" x14ac:dyDescent="0.2">
      <c r="DO23378" s="303" t="s">
        <v>232</v>
      </c>
    </row>
    <row r="23379" spans="119:119" x14ac:dyDescent="0.2">
      <c r="DO23379" s="303" t="s">
        <v>232</v>
      </c>
    </row>
    <row r="23380" spans="119:119" x14ac:dyDescent="0.2">
      <c r="DO23380" s="303" t="s">
        <v>232</v>
      </c>
    </row>
    <row r="23381" spans="119:119" x14ac:dyDescent="0.2">
      <c r="DO23381" s="303" t="s">
        <v>232</v>
      </c>
    </row>
    <row r="23382" spans="119:119" x14ac:dyDescent="0.2">
      <c r="DO23382" s="303" t="s">
        <v>232</v>
      </c>
    </row>
    <row r="23383" spans="119:119" x14ac:dyDescent="0.2">
      <c r="DO23383" s="303" t="s">
        <v>232</v>
      </c>
    </row>
    <row r="23384" spans="119:119" x14ac:dyDescent="0.2">
      <c r="DO23384" s="303" t="s">
        <v>232</v>
      </c>
    </row>
    <row r="23385" spans="119:119" x14ac:dyDescent="0.2">
      <c r="DO23385" s="303" t="s">
        <v>232</v>
      </c>
    </row>
    <row r="23386" spans="119:119" x14ac:dyDescent="0.2">
      <c r="DO23386" s="303" t="s">
        <v>232</v>
      </c>
    </row>
    <row r="23387" spans="119:119" x14ac:dyDescent="0.2">
      <c r="DO23387" s="303" t="s">
        <v>232</v>
      </c>
    </row>
    <row r="23388" spans="119:119" x14ac:dyDescent="0.2">
      <c r="DO23388" s="303" t="s">
        <v>232</v>
      </c>
    </row>
    <row r="23389" spans="119:119" x14ac:dyDescent="0.2">
      <c r="DO23389" s="303" t="s">
        <v>232</v>
      </c>
    </row>
    <row r="23390" spans="119:119" x14ac:dyDescent="0.2">
      <c r="DO23390" s="303" t="s">
        <v>232</v>
      </c>
    </row>
    <row r="23391" spans="119:119" x14ac:dyDescent="0.2">
      <c r="DO23391" s="303" t="s">
        <v>232</v>
      </c>
    </row>
    <row r="23392" spans="119:119" x14ac:dyDescent="0.2">
      <c r="DO23392" s="303" t="s">
        <v>232</v>
      </c>
    </row>
    <row r="23393" spans="119:119" x14ac:dyDescent="0.2">
      <c r="DO23393" s="303" t="s">
        <v>232</v>
      </c>
    </row>
    <row r="23394" spans="119:119" x14ac:dyDescent="0.2">
      <c r="DO23394" s="303" t="s">
        <v>232</v>
      </c>
    </row>
    <row r="23395" spans="119:119" x14ac:dyDescent="0.2">
      <c r="DO23395" s="303" t="s">
        <v>232</v>
      </c>
    </row>
    <row r="23396" spans="119:119" x14ac:dyDescent="0.2">
      <c r="DO23396" s="303" t="s">
        <v>232</v>
      </c>
    </row>
    <row r="23397" spans="119:119" x14ac:dyDescent="0.2">
      <c r="DO23397" s="303" t="s">
        <v>232</v>
      </c>
    </row>
    <row r="23398" spans="119:119" x14ac:dyDescent="0.2">
      <c r="DO23398" s="303" t="s">
        <v>232</v>
      </c>
    </row>
    <row r="23399" spans="119:119" x14ac:dyDescent="0.2">
      <c r="DO23399" s="303" t="s">
        <v>232</v>
      </c>
    </row>
    <row r="23400" spans="119:119" x14ac:dyDescent="0.2">
      <c r="DO23400" s="303" t="s">
        <v>232</v>
      </c>
    </row>
    <row r="23401" spans="119:119" x14ac:dyDescent="0.2">
      <c r="DO23401" s="303" t="s">
        <v>232</v>
      </c>
    </row>
    <row r="23402" spans="119:119" x14ac:dyDescent="0.2">
      <c r="DO23402" s="303" t="s">
        <v>232</v>
      </c>
    </row>
    <row r="23403" spans="119:119" x14ac:dyDescent="0.2">
      <c r="DO23403" s="303" t="s">
        <v>232</v>
      </c>
    </row>
    <row r="23404" spans="119:119" x14ac:dyDescent="0.2">
      <c r="DO23404" s="303" t="s">
        <v>232</v>
      </c>
    </row>
    <row r="23405" spans="119:119" x14ac:dyDescent="0.2">
      <c r="DO23405" s="303" t="s">
        <v>232</v>
      </c>
    </row>
    <row r="23406" spans="119:119" x14ac:dyDescent="0.2">
      <c r="DO23406" s="303" t="s">
        <v>232</v>
      </c>
    </row>
    <row r="23407" spans="119:119" x14ac:dyDescent="0.2">
      <c r="DO23407" s="303" t="s">
        <v>232</v>
      </c>
    </row>
    <row r="23408" spans="119:119" x14ac:dyDescent="0.2">
      <c r="DO23408" s="303" t="s">
        <v>232</v>
      </c>
    </row>
    <row r="23409" spans="119:119" x14ac:dyDescent="0.2">
      <c r="DO23409" s="303" t="s">
        <v>232</v>
      </c>
    </row>
    <row r="23410" spans="119:119" x14ac:dyDescent="0.2">
      <c r="DO23410" s="303" t="s">
        <v>232</v>
      </c>
    </row>
    <row r="23411" spans="119:119" x14ac:dyDescent="0.2">
      <c r="DO23411" s="303" t="s">
        <v>232</v>
      </c>
    </row>
    <row r="23412" spans="119:119" x14ac:dyDescent="0.2">
      <c r="DO23412" s="303" t="s">
        <v>232</v>
      </c>
    </row>
    <row r="23413" spans="119:119" x14ac:dyDescent="0.2">
      <c r="DO23413" s="303" t="s">
        <v>232</v>
      </c>
    </row>
    <row r="23414" spans="119:119" x14ac:dyDescent="0.2">
      <c r="DO23414" s="303" t="s">
        <v>232</v>
      </c>
    </row>
    <row r="23415" spans="119:119" x14ac:dyDescent="0.2">
      <c r="DO23415" s="303" t="s">
        <v>232</v>
      </c>
    </row>
    <row r="23416" spans="119:119" x14ac:dyDescent="0.2">
      <c r="DO23416" s="303" t="s">
        <v>232</v>
      </c>
    </row>
    <row r="23417" spans="119:119" x14ac:dyDescent="0.2">
      <c r="DO23417" s="303" t="s">
        <v>232</v>
      </c>
    </row>
    <row r="23418" spans="119:119" x14ac:dyDescent="0.2">
      <c r="DO23418" s="303" t="s">
        <v>232</v>
      </c>
    </row>
    <row r="23419" spans="119:119" x14ac:dyDescent="0.2">
      <c r="DO23419" s="303" t="s">
        <v>232</v>
      </c>
    </row>
    <row r="23420" spans="119:119" x14ac:dyDescent="0.2">
      <c r="DO23420" s="303" t="s">
        <v>232</v>
      </c>
    </row>
    <row r="23421" spans="119:119" x14ac:dyDescent="0.2">
      <c r="DO23421" s="303" t="s">
        <v>232</v>
      </c>
    </row>
    <row r="23422" spans="119:119" x14ac:dyDescent="0.2">
      <c r="DO23422" s="303" t="s">
        <v>232</v>
      </c>
    </row>
    <row r="23423" spans="119:119" x14ac:dyDescent="0.2">
      <c r="DO23423" s="303" t="s">
        <v>232</v>
      </c>
    </row>
    <row r="23424" spans="119:119" x14ac:dyDescent="0.2">
      <c r="DO23424" s="303" t="s">
        <v>232</v>
      </c>
    </row>
    <row r="23425" spans="119:119" x14ac:dyDescent="0.2">
      <c r="DO23425" s="303" t="s">
        <v>232</v>
      </c>
    </row>
    <row r="23426" spans="119:119" x14ac:dyDescent="0.2">
      <c r="DO23426" s="303" t="s">
        <v>232</v>
      </c>
    </row>
    <row r="23427" spans="119:119" x14ac:dyDescent="0.2">
      <c r="DO23427" s="303" t="s">
        <v>232</v>
      </c>
    </row>
    <row r="23428" spans="119:119" x14ac:dyDescent="0.2">
      <c r="DO23428" s="303" t="s">
        <v>232</v>
      </c>
    </row>
    <row r="23429" spans="119:119" x14ac:dyDescent="0.2">
      <c r="DO23429" s="303" t="s">
        <v>232</v>
      </c>
    </row>
    <row r="23430" spans="119:119" x14ac:dyDescent="0.2">
      <c r="DO23430" s="303" t="s">
        <v>232</v>
      </c>
    </row>
    <row r="23431" spans="119:119" x14ac:dyDescent="0.2">
      <c r="DO23431" s="303" t="s">
        <v>232</v>
      </c>
    </row>
    <row r="23432" spans="119:119" x14ac:dyDescent="0.2">
      <c r="DO23432" s="303" t="s">
        <v>232</v>
      </c>
    </row>
    <row r="23433" spans="119:119" x14ac:dyDescent="0.2">
      <c r="DO23433" s="303" t="s">
        <v>232</v>
      </c>
    </row>
    <row r="23434" spans="119:119" x14ac:dyDescent="0.2">
      <c r="DO23434" s="303" t="s">
        <v>232</v>
      </c>
    </row>
    <row r="23435" spans="119:119" x14ac:dyDescent="0.2">
      <c r="DO23435" s="303" t="s">
        <v>232</v>
      </c>
    </row>
    <row r="23436" spans="119:119" x14ac:dyDescent="0.2">
      <c r="DO23436" s="303" t="s">
        <v>232</v>
      </c>
    </row>
    <row r="23437" spans="119:119" x14ac:dyDescent="0.2">
      <c r="DO23437" s="303" t="s">
        <v>232</v>
      </c>
    </row>
    <row r="23438" spans="119:119" x14ac:dyDescent="0.2">
      <c r="DO23438" s="303" t="s">
        <v>232</v>
      </c>
    </row>
    <row r="23439" spans="119:119" x14ac:dyDescent="0.2">
      <c r="DO23439" s="303" t="s">
        <v>232</v>
      </c>
    </row>
    <row r="23440" spans="119:119" x14ac:dyDescent="0.2">
      <c r="DO23440" s="303" t="s">
        <v>232</v>
      </c>
    </row>
    <row r="23441" spans="119:119" x14ac:dyDescent="0.2">
      <c r="DO23441" s="303" t="s">
        <v>232</v>
      </c>
    </row>
    <row r="23442" spans="119:119" x14ac:dyDescent="0.2">
      <c r="DO23442" s="303" t="s">
        <v>232</v>
      </c>
    </row>
    <row r="23443" spans="119:119" x14ac:dyDescent="0.2">
      <c r="DO23443" s="303" t="s">
        <v>232</v>
      </c>
    </row>
    <row r="23444" spans="119:119" x14ac:dyDescent="0.2">
      <c r="DO23444" s="303" t="s">
        <v>232</v>
      </c>
    </row>
    <row r="23445" spans="119:119" x14ac:dyDescent="0.2">
      <c r="DO23445" s="303" t="s">
        <v>232</v>
      </c>
    </row>
    <row r="23446" spans="119:119" x14ac:dyDescent="0.2">
      <c r="DO23446" s="303" t="s">
        <v>232</v>
      </c>
    </row>
    <row r="23447" spans="119:119" x14ac:dyDescent="0.2">
      <c r="DO23447" s="303" t="s">
        <v>232</v>
      </c>
    </row>
    <row r="23448" spans="119:119" x14ac:dyDescent="0.2">
      <c r="DO23448" s="303" t="s">
        <v>232</v>
      </c>
    </row>
    <row r="23449" spans="119:119" x14ac:dyDescent="0.2">
      <c r="DO23449" s="303" t="s">
        <v>232</v>
      </c>
    </row>
    <row r="23450" spans="119:119" x14ac:dyDescent="0.2">
      <c r="DO23450" s="303" t="s">
        <v>232</v>
      </c>
    </row>
    <row r="23451" spans="119:119" x14ac:dyDescent="0.2">
      <c r="DO23451" s="303" t="s">
        <v>232</v>
      </c>
    </row>
    <row r="23452" spans="119:119" x14ac:dyDescent="0.2">
      <c r="DO23452" s="303" t="s">
        <v>232</v>
      </c>
    </row>
    <row r="23453" spans="119:119" x14ac:dyDescent="0.2">
      <c r="DO23453" s="303" t="s">
        <v>232</v>
      </c>
    </row>
    <row r="23454" spans="119:119" x14ac:dyDescent="0.2">
      <c r="DO23454" s="303" t="s">
        <v>232</v>
      </c>
    </row>
    <row r="23455" spans="119:119" x14ac:dyDescent="0.2">
      <c r="DO23455" s="303" t="s">
        <v>232</v>
      </c>
    </row>
    <row r="23456" spans="119:119" x14ac:dyDescent="0.2">
      <c r="DO23456" s="303" t="s">
        <v>232</v>
      </c>
    </row>
    <row r="23457" spans="119:119" x14ac:dyDescent="0.2">
      <c r="DO23457" s="303" t="s">
        <v>232</v>
      </c>
    </row>
    <row r="23458" spans="119:119" x14ac:dyDescent="0.2">
      <c r="DO23458" s="303" t="s">
        <v>232</v>
      </c>
    </row>
    <row r="23459" spans="119:119" x14ac:dyDescent="0.2">
      <c r="DO23459" s="303" t="s">
        <v>232</v>
      </c>
    </row>
    <row r="23460" spans="119:119" x14ac:dyDescent="0.2">
      <c r="DO23460" s="303" t="s">
        <v>232</v>
      </c>
    </row>
    <row r="23461" spans="119:119" x14ac:dyDescent="0.2">
      <c r="DO23461" s="303" t="s">
        <v>232</v>
      </c>
    </row>
    <row r="23462" spans="119:119" x14ac:dyDescent="0.2">
      <c r="DO23462" s="303" t="s">
        <v>232</v>
      </c>
    </row>
    <row r="23463" spans="119:119" x14ac:dyDescent="0.2">
      <c r="DO23463" s="303" t="s">
        <v>232</v>
      </c>
    </row>
    <row r="23464" spans="119:119" x14ac:dyDescent="0.2">
      <c r="DO23464" s="303" t="s">
        <v>232</v>
      </c>
    </row>
    <row r="23465" spans="119:119" x14ac:dyDescent="0.2">
      <c r="DO23465" s="303" t="s">
        <v>232</v>
      </c>
    </row>
    <row r="23466" spans="119:119" x14ac:dyDescent="0.2">
      <c r="DO23466" s="303" t="s">
        <v>232</v>
      </c>
    </row>
    <row r="23467" spans="119:119" x14ac:dyDescent="0.2">
      <c r="DO23467" s="303" t="s">
        <v>232</v>
      </c>
    </row>
    <row r="23468" spans="119:119" x14ac:dyDescent="0.2">
      <c r="DO23468" s="303" t="s">
        <v>232</v>
      </c>
    </row>
    <row r="23469" spans="119:119" x14ac:dyDescent="0.2">
      <c r="DO23469" s="303" t="s">
        <v>232</v>
      </c>
    </row>
    <row r="23470" spans="119:119" x14ac:dyDescent="0.2">
      <c r="DO23470" s="303" t="s">
        <v>232</v>
      </c>
    </row>
    <row r="23471" spans="119:119" x14ac:dyDescent="0.2">
      <c r="DO23471" s="303" t="s">
        <v>232</v>
      </c>
    </row>
    <row r="23472" spans="119:119" x14ac:dyDescent="0.2">
      <c r="DO23472" s="303" t="s">
        <v>232</v>
      </c>
    </row>
    <row r="23473" spans="119:119" x14ac:dyDescent="0.2">
      <c r="DO23473" s="303" t="s">
        <v>232</v>
      </c>
    </row>
    <row r="23474" spans="119:119" x14ac:dyDescent="0.2">
      <c r="DO23474" s="303" t="s">
        <v>232</v>
      </c>
    </row>
    <row r="23475" spans="119:119" x14ac:dyDescent="0.2">
      <c r="DO23475" s="303" t="s">
        <v>232</v>
      </c>
    </row>
    <row r="23476" spans="119:119" x14ac:dyDescent="0.2">
      <c r="DO23476" s="303" t="s">
        <v>232</v>
      </c>
    </row>
    <row r="23477" spans="119:119" x14ac:dyDescent="0.2">
      <c r="DO23477" s="303" t="s">
        <v>232</v>
      </c>
    </row>
    <row r="23478" spans="119:119" x14ac:dyDescent="0.2">
      <c r="DO23478" s="303" t="s">
        <v>232</v>
      </c>
    </row>
    <row r="23479" spans="119:119" x14ac:dyDescent="0.2">
      <c r="DO23479" s="303" t="s">
        <v>232</v>
      </c>
    </row>
    <row r="23480" spans="119:119" x14ac:dyDescent="0.2">
      <c r="DO23480" s="303" t="s">
        <v>232</v>
      </c>
    </row>
    <row r="23481" spans="119:119" x14ac:dyDescent="0.2">
      <c r="DO23481" s="303" t="s">
        <v>232</v>
      </c>
    </row>
    <row r="23482" spans="119:119" x14ac:dyDescent="0.2">
      <c r="DO23482" s="303" t="s">
        <v>232</v>
      </c>
    </row>
    <row r="23483" spans="119:119" x14ac:dyDescent="0.2">
      <c r="DO23483" s="303" t="s">
        <v>232</v>
      </c>
    </row>
    <row r="23484" spans="119:119" x14ac:dyDescent="0.2">
      <c r="DO23484" s="303" t="s">
        <v>232</v>
      </c>
    </row>
    <row r="23485" spans="119:119" x14ac:dyDescent="0.2">
      <c r="DO23485" s="303" t="s">
        <v>232</v>
      </c>
    </row>
    <row r="23486" spans="119:119" x14ac:dyDescent="0.2">
      <c r="DO23486" s="303" t="s">
        <v>232</v>
      </c>
    </row>
    <row r="23487" spans="119:119" x14ac:dyDescent="0.2">
      <c r="DO23487" s="303" t="s">
        <v>232</v>
      </c>
    </row>
    <row r="23488" spans="119:119" x14ac:dyDescent="0.2">
      <c r="DO23488" s="303" t="s">
        <v>232</v>
      </c>
    </row>
    <row r="23489" spans="119:119" x14ac:dyDescent="0.2">
      <c r="DO23489" s="303" t="s">
        <v>232</v>
      </c>
    </row>
    <row r="23490" spans="119:119" x14ac:dyDescent="0.2">
      <c r="DO23490" s="303" t="s">
        <v>232</v>
      </c>
    </row>
    <row r="23491" spans="119:119" x14ac:dyDescent="0.2">
      <c r="DO23491" s="303" t="s">
        <v>232</v>
      </c>
    </row>
    <row r="23492" spans="119:119" x14ac:dyDescent="0.2">
      <c r="DO23492" s="303" t="s">
        <v>232</v>
      </c>
    </row>
    <row r="23493" spans="119:119" x14ac:dyDescent="0.2">
      <c r="DO23493" s="303" t="s">
        <v>232</v>
      </c>
    </row>
    <row r="23494" spans="119:119" x14ac:dyDescent="0.2">
      <c r="DO23494" s="303" t="s">
        <v>232</v>
      </c>
    </row>
    <row r="23495" spans="119:119" x14ac:dyDescent="0.2">
      <c r="DO23495" s="303" t="s">
        <v>232</v>
      </c>
    </row>
    <row r="23496" spans="119:119" x14ac:dyDescent="0.2">
      <c r="DO23496" s="303" t="s">
        <v>232</v>
      </c>
    </row>
    <row r="23497" spans="119:119" x14ac:dyDescent="0.2">
      <c r="DO23497" s="303" t="s">
        <v>232</v>
      </c>
    </row>
    <row r="23498" spans="119:119" x14ac:dyDescent="0.2">
      <c r="DO23498" s="303" t="s">
        <v>232</v>
      </c>
    </row>
    <row r="23499" spans="119:119" x14ac:dyDescent="0.2">
      <c r="DO23499" s="303" t="s">
        <v>232</v>
      </c>
    </row>
    <row r="23500" spans="119:119" x14ac:dyDescent="0.2">
      <c r="DO23500" s="303" t="s">
        <v>232</v>
      </c>
    </row>
    <row r="23501" spans="119:119" x14ac:dyDescent="0.2">
      <c r="DO23501" s="303" t="s">
        <v>232</v>
      </c>
    </row>
    <row r="23502" spans="119:119" x14ac:dyDescent="0.2">
      <c r="DO23502" s="303" t="s">
        <v>232</v>
      </c>
    </row>
    <row r="23503" spans="119:119" x14ac:dyDescent="0.2">
      <c r="DO23503" s="303" t="s">
        <v>232</v>
      </c>
    </row>
    <row r="23504" spans="119:119" x14ac:dyDescent="0.2">
      <c r="DO23504" s="303" t="s">
        <v>232</v>
      </c>
    </row>
    <row r="23505" spans="119:119" x14ac:dyDescent="0.2">
      <c r="DO23505" s="303" t="s">
        <v>232</v>
      </c>
    </row>
    <row r="23506" spans="119:119" x14ac:dyDescent="0.2">
      <c r="DO23506" s="303" t="s">
        <v>232</v>
      </c>
    </row>
    <row r="23507" spans="119:119" x14ac:dyDescent="0.2">
      <c r="DO23507" s="303" t="s">
        <v>232</v>
      </c>
    </row>
    <row r="23508" spans="119:119" x14ac:dyDescent="0.2">
      <c r="DO23508" s="303" t="s">
        <v>232</v>
      </c>
    </row>
    <row r="23509" spans="119:119" x14ac:dyDescent="0.2">
      <c r="DO23509" s="303" t="s">
        <v>232</v>
      </c>
    </row>
    <row r="23510" spans="119:119" x14ac:dyDescent="0.2">
      <c r="DO23510" s="303" t="s">
        <v>232</v>
      </c>
    </row>
    <row r="23511" spans="119:119" x14ac:dyDescent="0.2">
      <c r="DO23511" s="303" t="s">
        <v>232</v>
      </c>
    </row>
    <row r="23512" spans="119:119" x14ac:dyDescent="0.2">
      <c r="DO23512" s="303" t="s">
        <v>232</v>
      </c>
    </row>
    <row r="23513" spans="119:119" x14ac:dyDescent="0.2">
      <c r="DO23513" s="303" t="s">
        <v>232</v>
      </c>
    </row>
    <row r="23514" spans="119:119" x14ac:dyDescent="0.2">
      <c r="DO23514" s="303" t="s">
        <v>232</v>
      </c>
    </row>
    <row r="23515" spans="119:119" x14ac:dyDescent="0.2">
      <c r="DO23515" s="303" t="s">
        <v>232</v>
      </c>
    </row>
    <row r="23516" spans="119:119" x14ac:dyDescent="0.2">
      <c r="DO23516" s="303" t="s">
        <v>232</v>
      </c>
    </row>
    <row r="23517" spans="119:119" x14ac:dyDescent="0.2">
      <c r="DO23517" s="303" t="s">
        <v>232</v>
      </c>
    </row>
    <row r="23518" spans="119:119" x14ac:dyDescent="0.2">
      <c r="DO23518" s="303" t="s">
        <v>232</v>
      </c>
    </row>
    <row r="23519" spans="119:119" x14ac:dyDescent="0.2">
      <c r="DO23519" s="303" t="s">
        <v>232</v>
      </c>
    </row>
    <row r="23520" spans="119:119" x14ac:dyDescent="0.2">
      <c r="DO23520" s="303" t="s">
        <v>232</v>
      </c>
    </row>
    <row r="23521" spans="119:119" x14ac:dyDescent="0.2">
      <c r="DO23521" s="303" t="s">
        <v>232</v>
      </c>
    </row>
    <row r="23522" spans="119:119" x14ac:dyDescent="0.2">
      <c r="DO23522" s="303" t="s">
        <v>232</v>
      </c>
    </row>
    <row r="23523" spans="119:119" x14ac:dyDescent="0.2">
      <c r="DO23523" s="303" t="s">
        <v>232</v>
      </c>
    </row>
    <row r="23524" spans="119:119" x14ac:dyDescent="0.2">
      <c r="DO23524" s="303" t="s">
        <v>232</v>
      </c>
    </row>
    <row r="23525" spans="119:119" x14ac:dyDescent="0.2">
      <c r="DO23525" s="303" t="s">
        <v>232</v>
      </c>
    </row>
    <row r="23526" spans="119:119" x14ac:dyDescent="0.2">
      <c r="DO23526" s="303" t="s">
        <v>232</v>
      </c>
    </row>
    <row r="23527" spans="119:119" x14ac:dyDescent="0.2">
      <c r="DO23527" s="303" t="s">
        <v>232</v>
      </c>
    </row>
    <row r="23528" spans="119:119" x14ac:dyDescent="0.2">
      <c r="DO23528" s="303" t="s">
        <v>232</v>
      </c>
    </row>
    <row r="23529" spans="119:119" x14ac:dyDescent="0.2">
      <c r="DO23529" s="303" t="s">
        <v>232</v>
      </c>
    </row>
    <row r="23530" spans="119:119" x14ac:dyDescent="0.2">
      <c r="DO23530" s="303" t="s">
        <v>232</v>
      </c>
    </row>
    <row r="23531" spans="119:119" x14ac:dyDescent="0.2">
      <c r="DO23531" s="303" t="s">
        <v>232</v>
      </c>
    </row>
    <row r="23532" spans="119:119" x14ac:dyDescent="0.2">
      <c r="DO23532" s="303" t="s">
        <v>232</v>
      </c>
    </row>
    <row r="23533" spans="119:119" x14ac:dyDescent="0.2">
      <c r="DO23533" s="303" t="s">
        <v>232</v>
      </c>
    </row>
    <row r="23534" spans="119:119" x14ac:dyDescent="0.2">
      <c r="DO23534" s="303" t="s">
        <v>232</v>
      </c>
    </row>
    <row r="23535" spans="119:119" x14ac:dyDescent="0.2">
      <c r="DO23535" s="303" t="s">
        <v>232</v>
      </c>
    </row>
    <row r="23536" spans="119:119" x14ac:dyDescent="0.2">
      <c r="DO23536" s="303" t="s">
        <v>232</v>
      </c>
    </row>
    <row r="23537" spans="119:119" x14ac:dyDescent="0.2">
      <c r="DO23537" s="303" t="s">
        <v>232</v>
      </c>
    </row>
    <row r="23538" spans="119:119" x14ac:dyDescent="0.2">
      <c r="DO23538" s="303" t="s">
        <v>232</v>
      </c>
    </row>
    <row r="23539" spans="119:119" x14ac:dyDescent="0.2">
      <c r="DO23539" s="303" t="s">
        <v>232</v>
      </c>
    </row>
    <row r="23540" spans="119:119" x14ac:dyDescent="0.2">
      <c r="DO23540" s="303" t="s">
        <v>232</v>
      </c>
    </row>
    <row r="23541" spans="119:119" x14ac:dyDescent="0.2">
      <c r="DO23541" s="303" t="s">
        <v>232</v>
      </c>
    </row>
    <row r="23542" spans="119:119" x14ac:dyDescent="0.2">
      <c r="DO23542" s="303" t="s">
        <v>232</v>
      </c>
    </row>
    <row r="23543" spans="119:119" x14ac:dyDescent="0.2">
      <c r="DO23543" s="303" t="s">
        <v>232</v>
      </c>
    </row>
    <row r="23544" spans="119:119" x14ac:dyDescent="0.2">
      <c r="DO23544" s="303" t="s">
        <v>232</v>
      </c>
    </row>
    <row r="23545" spans="119:119" x14ac:dyDescent="0.2">
      <c r="DO23545" s="303" t="s">
        <v>232</v>
      </c>
    </row>
    <row r="23546" spans="119:119" x14ac:dyDescent="0.2">
      <c r="DO23546" s="303" t="s">
        <v>232</v>
      </c>
    </row>
    <row r="23547" spans="119:119" x14ac:dyDescent="0.2">
      <c r="DO23547" s="303" t="s">
        <v>232</v>
      </c>
    </row>
    <row r="23548" spans="119:119" x14ac:dyDescent="0.2">
      <c r="DO23548" s="303" t="s">
        <v>232</v>
      </c>
    </row>
    <row r="23549" spans="119:119" x14ac:dyDescent="0.2">
      <c r="DO23549" s="303" t="s">
        <v>232</v>
      </c>
    </row>
    <row r="23550" spans="119:119" x14ac:dyDescent="0.2">
      <c r="DO23550" s="303" t="s">
        <v>232</v>
      </c>
    </row>
    <row r="23551" spans="119:119" x14ac:dyDescent="0.2">
      <c r="DO23551" s="303" t="s">
        <v>232</v>
      </c>
    </row>
    <row r="23552" spans="119:119" x14ac:dyDescent="0.2">
      <c r="DO23552" s="303" t="s">
        <v>232</v>
      </c>
    </row>
    <row r="23553" spans="119:119" x14ac:dyDescent="0.2">
      <c r="DO23553" s="303" t="s">
        <v>232</v>
      </c>
    </row>
    <row r="23554" spans="119:119" x14ac:dyDescent="0.2">
      <c r="DO23554" s="303" t="s">
        <v>232</v>
      </c>
    </row>
    <row r="23555" spans="119:119" x14ac:dyDescent="0.2">
      <c r="DO23555" s="303" t="s">
        <v>232</v>
      </c>
    </row>
    <row r="23556" spans="119:119" x14ac:dyDescent="0.2">
      <c r="DO23556" s="303" t="s">
        <v>232</v>
      </c>
    </row>
    <row r="23557" spans="119:119" x14ac:dyDescent="0.2">
      <c r="DO23557" s="303" t="s">
        <v>232</v>
      </c>
    </row>
    <row r="23558" spans="119:119" x14ac:dyDescent="0.2">
      <c r="DO23558" s="303" t="s">
        <v>232</v>
      </c>
    </row>
    <row r="23559" spans="119:119" x14ac:dyDescent="0.2">
      <c r="DO23559" s="303" t="s">
        <v>232</v>
      </c>
    </row>
    <row r="23560" spans="119:119" x14ac:dyDescent="0.2">
      <c r="DO23560" s="303" t="s">
        <v>232</v>
      </c>
    </row>
    <row r="23561" spans="119:119" x14ac:dyDescent="0.2">
      <c r="DO23561" s="303" t="s">
        <v>232</v>
      </c>
    </row>
    <row r="23562" spans="119:119" x14ac:dyDescent="0.2">
      <c r="DO23562" s="303" t="s">
        <v>232</v>
      </c>
    </row>
    <row r="23563" spans="119:119" x14ac:dyDescent="0.2">
      <c r="DO23563" s="303" t="s">
        <v>232</v>
      </c>
    </row>
    <row r="23564" spans="119:119" x14ac:dyDescent="0.2">
      <c r="DO23564" s="303" t="s">
        <v>232</v>
      </c>
    </row>
    <row r="23565" spans="119:119" x14ac:dyDescent="0.2">
      <c r="DO23565" s="303" t="s">
        <v>232</v>
      </c>
    </row>
    <row r="23566" spans="119:119" x14ac:dyDescent="0.2">
      <c r="DO23566" s="303" t="s">
        <v>232</v>
      </c>
    </row>
    <row r="23567" spans="119:119" x14ac:dyDescent="0.2">
      <c r="DO23567" s="303" t="s">
        <v>232</v>
      </c>
    </row>
    <row r="23568" spans="119:119" x14ac:dyDescent="0.2">
      <c r="DO23568" s="303" t="s">
        <v>232</v>
      </c>
    </row>
    <row r="23569" spans="119:119" x14ac:dyDescent="0.2">
      <c r="DO23569" s="303" t="s">
        <v>232</v>
      </c>
    </row>
    <row r="23570" spans="119:119" x14ac:dyDescent="0.2">
      <c r="DO23570" s="303" t="s">
        <v>232</v>
      </c>
    </row>
    <row r="23571" spans="119:119" x14ac:dyDescent="0.2">
      <c r="DO23571" s="303" t="s">
        <v>232</v>
      </c>
    </row>
    <row r="23572" spans="119:119" x14ac:dyDescent="0.2">
      <c r="DO23572" s="303" t="s">
        <v>232</v>
      </c>
    </row>
    <row r="23573" spans="119:119" x14ac:dyDescent="0.2">
      <c r="DO23573" s="303" t="s">
        <v>232</v>
      </c>
    </row>
    <row r="23574" spans="119:119" x14ac:dyDescent="0.2">
      <c r="DO23574" s="303" t="s">
        <v>232</v>
      </c>
    </row>
    <row r="23575" spans="119:119" x14ac:dyDescent="0.2">
      <c r="DO23575" s="303" t="s">
        <v>232</v>
      </c>
    </row>
    <row r="23576" spans="119:119" x14ac:dyDescent="0.2">
      <c r="DO23576" s="303" t="s">
        <v>232</v>
      </c>
    </row>
    <row r="23577" spans="119:119" x14ac:dyDescent="0.2">
      <c r="DO23577" s="303" t="s">
        <v>232</v>
      </c>
    </row>
    <row r="23578" spans="119:119" x14ac:dyDescent="0.2">
      <c r="DO23578" s="303" t="s">
        <v>232</v>
      </c>
    </row>
    <row r="23579" spans="119:119" x14ac:dyDescent="0.2">
      <c r="DO23579" s="303" t="s">
        <v>232</v>
      </c>
    </row>
    <row r="23580" spans="119:119" x14ac:dyDescent="0.2">
      <c r="DO23580" s="303" t="s">
        <v>232</v>
      </c>
    </row>
    <row r="23581" spans="119:119" x14ac:dyDescent="0.2">
      <c r="DO23581" s="303" t="s">
        <v>232</v>
      </c>
    </row>
    <row r="23582" spans="119:119" x14ac:dyDescent="0.2">
      <c r="DO23582" s="303" t="s">
        <v>232</v>
      </c>
    </row>
    <row r="23583" spans="119:119" x14ac:dyDescent="0.2">
      <c r="DO23583" s="303" t="s">
        <v>232</v>
      </c>
    </row>
    <row r="23584" spans="119:119" x14ac:dyDescent="0.2">
      <c r="DO23584" s="303" t="s">
        <v>232</v>
      </c>
    </row>
    <row r="23585" spans="119:119" x14ac:dyDescent="0.2">
      <c r="DO23585" s="303" t="s">
        <v>232</v>
      </c>
    </row>
    <row r="23586" spans="119:119" x14ac:dyDescent="0.2">
      <c r="DO23586" s="303" t="s">
        <v>232</v>
      </c>
    </row>
    <row r="23587" spans="119:119" x14ac:dyDescent="0.2">
      <c r="DO23587" s="303" t="s">
        <v>232</v>
      </c>
    </row>
    <row r="23588" spans="119:119" x14ac:dyDescent="0.2">
      <c r="DO23588" s="303" t="s">
        <v>232</v>
      </c>
    </row>
    <row r="23589" spans="119:119" x14ac:dyDescent="0.2">
      <c r="DO23589" s="303" t="s">
        <v>232</v>
      </c>
    </row>
    <row r="23590" spans="119:119" x14ac:dyDescent="0.2">
      <c r="DO23590" s="303" t="s">
        <v>232</v>
      </c>
    </row>
    <row r="23591" spans="119:119" x14ac:dyDescent="0.2">
      <c r="DO23591" s="303" t="s">
        <v>232</v>
      </c>
    </row>
    <row r="23592" spans="119:119" x14ac:dyDescent="0.2">
      <c r="DO23592" s="303" t="s">
        <v>232</v>
      </c>
    </row>
    <row r="23593" spans="119:119" x14ac:dyDescent="0.2">
      <c r="DO23593" s="303" t="s">
        <v>232</v>
      </c>
    </row>
    <row r="23594" spans="119:119" x14ac:dyDescent="0.2">
      <c r="DO23594" s="303" t="s">
        <v>232</v>
      </c>
    </row>
    <row r="23595" spans="119:119" x14ac:dyDescent="0.2">
      <c r="DO23595" s="303" t="s">
        <v>232</v>
      </c>
    </row>
    <row r="23596" spans="119:119" x14ac:dyDescent="0.2">
      <c r="DO23596" s="303" t="s">
        <v>232</v>
      </c>
    </row>
    <row r="23597" spans="119:119" x14ac:dyDescent="0.2">
      <c r="DO23597" s="303" t="s">
        <v>232</v>
      </c>
    </row>
    <row r="23598" spans="119:119" x14ac:dyDescent="0.2">
      <c r="DO23598" s="303" t="s">
        <v>232</v>
      </c>
    </row>
    <row r="23599" spans="119:119" x14ac:dyDescent="0.2">
      <c r="DO23599" s="303" t="s">
        <v>232</v>
      </c>
    </row>
    <row r="23600" spans="119:119" x14ac:dyDescent="0.2">
      <c r="DO23600" s="303" t="s">
        <v>232</v>
      </c>
    </row>
    <row r="23601" spans="119:119" x14ac:dyDescent="0.2">
      <c r="DO23601" s="303" t="s">
        <v>232</v>
      </c>
    </row>
    <row r="23602" spans="119:119" x14ac:dyDescent="0.2">
      <c r="DO23602" s="303" t="s">
        <v>232</v>
      </c>
    </row>
    <row r="23603" spans="119:119" x14ac:dyDescent="0.2">
      <c r="DO23603" s="303" t="s">
        <v>232</v>
      </c>
    </row>
    <row r="23604" spans="119:119" x14ac:dyDescent="0.2">
      <c r="DO23604" s="303" t="s">
        <v>232</v>
      </c>
    </row>
    <row r="23605" spans="119:119" x14ac:dyDescent="0.2">
      <c r="DO23605" s="303" t="s">
        <v>232</v>
      </c>
    </row>
    <row r="23606" spans="119:119" x14ac:dyDescent="0.2">
      <c r="DO23606" s="303" t="s">
        <v>232</v>
      </c>
    </row>
    <row r="23607" spans="119:119" x14ac:dyDescent="0.2">
      <c r="DO23607" s="303" t="s">
        <v>232</v>
      </c>
    </row>
    <row r="23608" spans="119:119" x14ac:dyDescent="0.2">
      <c r="DO23608" s="303" t="s">
        <v>232</v>
      </c>
    </row>
    <row r="23609" spans="119:119" x14ac:dyDescent="0.2">
      <c r="DO23609" s="303" t="s">
        <v>232</v>
      </c>
    </row>
    <row r="23610" spans="119:119" x14ac:dyDescent="0.2">
      <c r="DO23610" s="303" t="s">
        <v>232</v>
      </c>
    </row>
    <row r="23611" spans="119:119" x14ac:dyDescent="0.2">
      <c r="DO23611" s="303" t="s">
        <v>232</v>
      </c>
    </row>
    <row r="23612" spans="119:119" x14ac:dyDescent="0.2">
      <c r="DO23612" s="303" t="s">
        <v>232</v>
      </c>
    </row>
    <row r="23613" spans="119:119" x14ac:dyDescent="0.2">
      <c r="DO23613" s="303" t="s">
        <v>232</v>
      </c>
    </row>
    <row r="23614" spans="119:119" x14ac:dyDescent="0.2">
      <c r="DO23614" s="303" t="s">
        <v>232</v>
      </c>
    </row>
    <row r="23615" spans="119:119" x14ac:dyDescent="0.2">
      <c r="DO23615" s="303" t="s">
        <v>232</v>
      </c>
    </row>
    <row r="23616" spans="119:119" x14ac:dyDescent="0.2">
      <c r="DO23616" s="303" t="s">
        <v>232</v>
      </c>
    </row>
    <row r="23617" spans="119:119" x14ac:dyDescent="0.2">
      <c r="DO23617" s="303" t="s">
        <v>232</v>
      </c>
    </row>
    <row r="23618" spans="119:119" x14ac:dyDescent="0.2">
      <c r="DO23618" s="303" t="s">
        <v>232</v>
      </c>
    </row>
    <row r="23619" spans="119:119" x14ac:dyDescent="0.2">
      <c r="DO23619" s="303" t="s">
        <v>232</v>
      </c>
    </row>
    <row r="23620" spans="119:119" x14ac:dyDescent="0.2">
      <c r="DO23620" s="303" t="s">
        <v>232</v>
      </c>
    </row>
    <row r="23621" spans="119:119" x14ac:dyDescent="0.2">
      <c r="DO23621" s="303" t="s">
        <v>232</v>
      </c>
    </row>
    <row r="23622" spans="119:119" x14ac:dyDescent="0.2">
      <c r="DO23622" s="303" t="s">
        <v>232</v>
      </c>
    </row>
    <row r="23623" spans="119:119" x14ac:dyDescent="0.2">
      <c r="DO23623" s="303" t="s">
        <v>232</v>
      </c>
    </row>
    <row r="23624" spans="119:119" x14ac:dyDescent="0.2">
      <c r="DO23624" s="303" t="s">
        <v>232</v>
      </c>
    </row>
    <row r="23625" spans="119:119" x14ac:dyDescent="0.2">
      <c r="DO23625" s="303" t="s">
        <v>232</v>
      </c>
    </row>
    <row r="23626" spans="119:119" x14ac:dyDescent="0.2">
      <c r="DO23626" s="303" t="s">
        <v>232</v>
      </c>
    </row>
    <row r="23627" spans="119:119" x14ac:dyDescent="0.2">
      <c r="DO23627" s="303" t="s">
        <v>232</v>
      </c>
    </row>
    <row r="23628" spans="119:119" x14ac:dyDescent="0.2">
      <c r="DO23628" s="303" t="s">
        <v>232</v>
      </c>
    </row>
    <row r="23629" spans="119:119" x14ac:dyDescent="0.2">
      <c r="DO23629" s="303" t="s">
        <v>232</v>
      </c>
    </row>
    <row r="23630" spans="119:119" x14ac:dyDescent="0.2">
      <c r="DO23630" s="303" t="s">
        <v>232</v>
      </c>
    </row>
    <row r="23631" spans="119:119" x14ac:dyDescent="0.2">
      <c r="DO23631" s="303" t="s">
        <v>232</v>
      </c>
    </row>
    <row r="23632" spans="119:119" x14ac:dyDescent="0.2">
      <c r="DO23632" s="303" t="s">
        <v>232</v>
      </c>
    </row>
    <row r="23633" spans="119:119" x14ac:dyDescent="0.2">
      <c r="DO23633" s="303" t="s">
        <v>232</v>
      </c>
    </row>
    <row r="23634" spans="119:119" x14ac:dyDescent="0.2">
      <c r="DO23634" s="303" t="s">
        <v>232</v>
      </c>
    </row>
    <row r="23635" spans="119:119" x14ac:dyDescent="0.2">
      <c r="DO23635" s="303" t="s">
        <v>232</v>
      </c>
    </row>
    <row r="23636" spans="119:119" x14ac:dyDescent="0.2">
      <c r="DO23636" s="303" t="s">
        <v>232</v>
      </c>
    </row>
    <row r="23637" spans="119:119" x14ac:dyDescent="0.2">
      <c r="DO23637" s="303" t="s">
        <v>232</v>
      </c>
    </row>
    <row r="23638" spans="119:119" x14ac:dyDescent="0.2">
      <c r="DO23638" s="303" t="s">
        <v>232</v>
      </c>
    </row>
    <row r="23639" spans="119:119" x14ac:dyDescent="0.2">
      <c r="DO23639" s="303" t="s">
        <v>232</v>
      </c>
    </row>
    <row r="23640" spans="119:119" x14ac:dyDescent="0.2">
      <c r="DO23640" s="303" t="s">
        <v>232</v>
      </c>
    </row>
    <row r="23641" spans="119:119" x14ac:dyDescent="0.2">
      <c r="DO23641" s="303" t="s">
        <v>232</v>
      </c>
    </row>
    <row r="23642" spans="119:119" x14ac:dyDescent="0.2">
      <c r="DO23642" s="303" t="s">
        <v>232</v>
      </c>
    </row>
    <row r="23643" spans="119:119" x14ac:dyDescent="0.2">
      <c r="DO23643" s="303" t="s">
        <v>232</v>
      </c>
    </row>
    <row r="23644" spans="119:119" x14ac:dyDescent="0.2">
      <c r="DO23644" s="303" t="s">
        <v>232</v>
      </c>
    </row>
    <row r="23645" spans="119:119" x14ac:dyDescent="0.2">
      <c r="DO23645" s="303" t="s">
        <v>232</v>
      </c>
    </row>
    <row r="23646" spans="119:119" x14ac:dyDescent="0.2">
      <c r="DO23646" s="303" t="s">
        <v>232</v>
      </c>
    </row>
    <row r="23647" spans="119:119" x14ac:dyDescent="0.2">
      <c r="DO23647" s="303" t="s">
        <v>232</v>
      </c>
    </row>
    <row r="23648" spans="119:119" x14ac:dyDescent="0.2">
      <c r="DO23648" s="303" t="s">
        <v>232</v>
      </c>
    </row>
    <row r="23649" spans="119:119" x14ac:dyDescent="0.2">
      <c r="DO23649" s="303" t="s">
        <v>232</v>
      </c>
    </row>
    <row r="23650" spans="119:119" x14ac:dyDescent="0.2">
      <c r="DO23650" s="303" t="s">
        <v>232</v>
      </c>
    </row>
    <row r="23651" spans="119:119" x14ac:dyDescent="0.2">
      <c r="DO23651" s="303" t="s">
        <v>232</v>
      </c>
    </row>
    <row r="23652" spans="119:119" x14ac:dyDescent="0.2">
      <c r="DO23652" s="303" t="s">
        <v>232</v>
      </c>
    </row>
    <row r="23653" spans="119:119" x14ac:dyDescent="0.2">
      <c r="DO23653" s="303" t="s">
        <v>232</v>
      </c>
    </row>
    <row r="23654" spans="119:119" x14ac:dyDescent="0.2">
      <c r="DO23654" s="303" t="s">
        <v>232</v>
      </c>
    </row>
    <row r="23655" spans="119:119" x14ac:dyDescent="0.2">
      <c r="DO23655" s="303" t="s">
        <v>232</v>
      </c>
    </row>
    <row r="23656" spans="119:119" x14ac:dyDescent="0.2">
      <c r="DO23656" s="303" t="s">
        <v>232</v>
      </c>
    </row>
    <row r="23657" spans="119:119" x14ac:dyDescent="0.2">
      <c r="DO23657" s="303" t="s">
        <v>232</v>
      </c>
    </row>
    <row r="23658" spans="119:119" x14ac:dyDescent="0.2">
      <c r="DO23658" s="303" t="s">
        <v>232</v>
      </c>
    </row>
    <row r="23659" spans="119:119" x14ac:dyDescent="0.2">
      <c r="DO23659" s="303" t="s">
        <v>232</v>
      </c>
    </row>
    <row r="23660" spans="119:119" x14ac:dyDescent="0.2">
      <c r="DO23660" s="303" t="s">
        <v>232</v>
      </c>
    </row>
    <row r="23661" spans="119:119" x14ac:dyDescent="0.2">
      <c r="DO23661" s="303" t="s">
        <v>232</v>
      </c>
    </row>
    <row r="23662" spans="119:119" x14ac:dyDescent="0.2">
      <c r="DO23662" s="303" t="s">
        <v>232</v>
      </c>
    </row>
    <row r="23663" spans="119:119" x14ac:dyDescent="0.2">
      <c r="DO23663" s="303" t="s">
        <v>232</v>
      </c>
    </row>
    <row r="23664" spans="119:119" x14ac:dyDescent="0.2">
      <c r="DO23664" s="303" t="s">
        <v>232</v>
      </c>
    </row>
    <row r="23665" spans="119:119" x14ac:dyDescent="0.2">
      <c r="DO23665" s="303" t="s">
        <v>232</v>
      </c>
    </row>
    <row r="23666" spans="119:119" x14ac:dyDescent="0.2">
      <c r="DO23666" s="303" t="s">
        <v>232</v>
      </c>
    </row>
    <row r="23667" spans="119:119" x14ac:dyDescent="0.2">
      <c r="DO23667" s="303" t="s">
        <v>232</v>
      </c>
    </row>
    <row r="23668" spans="119:119" x14ac:dyDescent="0.2">
      <c r="DO23668" s="303" t="s">
        <v>232</v>
      </c>
    </row>
    <row r="23669" spans="119:119" x14ac:dyDescent="0.2">
      <c r="DO23669" s="303" t="s">
        <v>232</v>
      </c>
    </row>
    <row r="23670" spans="119:119" x14ac:dyDescent="0.2">
      <c r="DO23670" s="303" t="s">
        <v>232</v>
      </c>
    </row>
    <row r="23671" spans="119:119" x14ac:dyDescent="0.2">
      <c r="DO23671" s="303" t="s">
        <v>232</v>
      </c>
    </row>
    <row r="23672" spans="119:119" x14ac:dyDescent="0.2">
      <c r="DO23672" s="303" t="s">
        <v>232</v>
      </c>
    </row>
    <row r="23673" spans="119:119" x14ac:dyDescent="0.2">
      <c r="DO23673" s="303" t="s">
        <v>232</v>
      </c>
    </row>
    <row r="23674" spans="119:119" x14ac:dyDescent="0.2">
      <c r="DO23674" s="303" t="s">
        <v>232</v>
      </c>
    </row>
    <row r="23675" spans="119:119" x14ac:dyDescent="0.2">
      <c r="DO23675" s="303" t="s">
        <v>232</v>
      </c>
    </row>
    <row r="23676" spans="119:119" x14ac:dyDescent="0.2">
      <c r="DO23676" s="303" t="s">
        <v>232</v>
      </c>
    </row>
    <row r="23677" spans="119:119" x14ac:dyDescent="0.2">
      <c r="DO23677" s="303" t="s">
        <v>232</v>
      </c>
    </row>
    <row r="23678" spans="119:119" x14ac:dyDescent="0.2">
      <c r="DO23678" s="303" t="s">
        <v>232</v>
      </c>
    </row>
    <row r="23679" spans="119:119" x14ac:dyDescent="0.2">
      <c r="DO23679" s="303" t="s">
        <v>232</v>
      </c>
    </row>
    <row r="23680" spans="119:119" x14ac:dyDescent="0.2">
      <c r="DO23680" s="303" t="s">
        <v>232</v>
      </c>
    </row>
    <row r="23681" spans="119:119" x14ac:dyDescent="0.2">
      <c r="DO23681" s="303" t="s">
        <v>232</v>
      </c>
    </row>
    <row r="23682" spans="119:119" x14ac:dyDescent="0.2">
      <c r="DO23682" s="303" t="s">
        <v>232</v>
      </c>
    </row>
    <row r="23683" spans="119:119" x14ac:dyDescent="0.2">
      <c r="DO23683" s="303" t="s">
        <v>232</v>
      </c>
    </row>
    <row r="23684" spans="119:119" x14ac:dyDescent="0.2">
      <c r="DO23684" s="303" t="s">
        <v>232</v>
      </c>
    </row>
    <row r="23685" spans="119:119" x14ac:dyDescent="0.2">
      <c r="DO23685" s="303" t="s">
        <v>232</v>
      </c>
    </row>
    <row r="23686" spans="119:119" x14ac:dyDescent="0.2">
      <c r="DO23686" s="303" t="s">
        <v>232</v>
      </c>
    </row>
    <row r="23687" spans="119:119" x14ac:dyDescent="0.2">
      <c r="DO23687" s="303" t="s">
        <v>232</v>
      </c>
    </row>
    <row r="23688" spans="119:119" x14ac:dyDescent="0.2">
      <c r="DO23688" s="303" t="s">
        <v>232</v>
      </c>
    </row>
    <row r="23689" spans="119:119" x14ac:dyDescent="0.2">
      <c r="DO23689" s="303" t="s">
        <v>232</v>
      </c>
    </row>
    <row r="23690" spans="119:119" x14ac:dyDescent="0.2">
      <c r="DO23690" s="303" t="s">
        <v>232</v>
      </c>
    </row>
    <row r="23691" spans="119:119" x14ac:dyDescent="0.2">
      <c r="DO23691" s="303" t="s">
        <v>232</v>
      </c>
    </row>
    <row r="23692" spans="119:119" x14ac:dyDescent="0.2">
      <c r="DO23692" s="303" t="s">
        <v>232</v>
      </c>
    </row>
    <row r="23693" spans="119:119" x14ac:dyDescent="0.2">
      <c r="DO23693" s="303" t="s">
        <v>232</v>
      </c>
    </row>
    <row r="23694" spans="119:119" x14ac:dyDescent="0.2">
      <c r="DO23694" s="303" t="s">
        <v>232</v>
      </c>
    </row>
    <row r="23695" spans="119:119" x14ac:dyDescent="0.2">
      <c r="DO23695" s="303" t="s">
        <v>232</v>
      </c>
    </row>
    <row r="23696" spans="119:119" x14ac:dyDescent="0.2">
      <c r="DO23696" s="303" t="s">
        <v>232</v>
      </c>
    </row>
    <row r="23697" spans="119:119" x14ac:dyDescent="0.2">
      <c r="DO23697" s="303" t="s">
        <v>232</v>
      </c>
    </row>
    <row r="23698" spans="119:119" x14ac:dyDescent="0.2">
      <c r="DO23698" s="303" t="s">
        <v>232</v>
      </c>
    </row>
    <row r="23699" spans="119:119" x14ac:dyDescent="0.2">
      <c r="DO23699" s="303" t="s">
        <v>232</v>
      </c>
    </row>
    <row r="23700" spans="119:119" x14ac:dyDescent="0.2">
      <c r="DO23700" s="303" t="s">
        <v>232</v>
      </c>
    </row>
    <row r="23701" spans="119:119" x14ac:dyDescent="0.2">
      <c r="DO23701" s="303" t="s">
        <v>232</v>
      </c>
    </row>
    <row r="23702" spans="119:119" x14ac:dyDescent="0.2">
      <c r="DO23702" s="303" t="s">
        <v>232</v>
      </c>
    </row>
    <row r="23703" spans="119:119" x14ac:dyDescent="0.2">
      <c r="DO23703" s="303" t="s">
        <v>232</v>
      </c>
    </row>
    <row r="23704" spans="119:119" x14ac:dyDescent="0.2">
      <c r="DO23704" s="303" t="s">
        <v>232</v>
      </c>
    </row>
    <row r="23705" spans="119:119" x14ac:dyDescent="0.2">
      <c r="DO23705" s="303" t="s">
        <v>232</v>
      </c>
    </row>
    <row r="23706" spans="119:119" x14ac:dyDescent="0.2">
      <c r="DO23706" s="303" t="s">
        <v>232</v>
      </c>
    </row>
    <row r="23707" spans="119:119" x14ac:dyDescent="0.2">
      <c r="DO23707" s="303" t="s">
        <v>232</v>
      </c>
    </row>
    <row r="23708" spans="119:119" x14ac:dyDescent="0.2">
      <c r="DO23708" s="303" t="s">
        <v>232</v>
      </c>
    </row>
    <row r="23709" spans="119:119" x14ac:dyDescent="0.2">
      <c r="DO23709" s="303" t="s">
        <v>232</v>
      </c>
    </row>
    <row r="23710" spans="119:119" x14ac:dyDescent="0.2">
      <c r="DO23710" s="303" t="s">
        <v>232</v>
      </c>
    </row>
    <row r="23711" spans="119:119" x14ac:dyDescent="0.2">
      <c r="DO23711" s="303" t="s">
        <v>232</v>
      </c>
    </row>
    <row r="23712" spans="119:119" x14ac:dyDescent="0.2">
      <c r="DO23712" s="303" t="s">
        <v>232</v>
      </c>
    </row>
    <row r="23713" spans="119:119" x14ac:dyDescent="0.2">
      <c r="DO23713" s="303" t="s">
        <v>232</v>
      </c>
    </row>
    <row r="23714" spans="119:119" x14ac:dyDescent="0.2">
      <c r="DO23714" s="303" t="s">
        <v>232</v>
      </c>
    </row>
    <row r="23715" spans="119:119" x14ac:dyDescent="0.2">
      <c r="DO23715" s="303" t="s">
        <v>232</v>
      </c>
    </row>
    <row r="23716" spans="119:119" x14ac:dyDescent="0.2">
      <c r="DO23716" s="303" t="s">
        <v>232</v>
      </c>
    </row>
    <row r="23717" spans="119:119" x14ac:dyDescent="0.2">
      <c r="DO23717" s="303" t="s">
        <v>232</v>
      </c>
    </row>
    <row r="23718" spans="119:119" x14ac:dyDescent="0.2">
      <c r="DO23718" s="303" t="s">
        <v>232</v>
      </c>
    </row>
    <row r="23719" spans="119:119" x14ac:dyDescent="0.2">
      <c r="DO23719" s="303" t="s">
        <v>232</v>
      </c>
    </row>
    <row r="23720" spans="119:119" x14ac:dyDescent="0.2">
      <c r="DO23720" s="303" t="s">
        <v>232</v>
      </c>
    </row>
    <row r="23721" spans="119:119" x14ac:dyDescent="0.2">
      <c r="DO23721" s="303" t="s">
        <v>232</v>
      </c>
    </row>
    <row r="23722" spans="119:119" x14ac:dyDescent="0.2">
      <c r="DO23722" s="303" t="s">
        <v>232</v>
      </c>
    </row>
    <row r="23723" spans="119:119" x14ac:dyDescent="0.2">
      <c r="DO23723" s="303" t="s">
        <v>232</v>
      </c>
    </row>
    <row r="23724" spans="119:119" x14ac:dyDescent="0.2">
      <c r="DO23724" s="303" t="s">
        <v>232</v>
      </c>
    </row>
    <row r="23725" spans="119:119" x14ac:dyDescent="0.2">
      <c r="DO23725" s="303" t="s">
        <v>232</v>
      </c>
    </row>
    <row r="23726" spans="119:119" x14ac:dyDescent="0.2">
      <c r="DO23726" s="303" t="s">
        <v>232</v>
      </c>
    </row>
    <row r="23727" spans="119:119" x14ac:dyDescent="0.2">
      <c r="DO23727" s="303" t="s">
        <v>232</v>
      </c>
    </row>
    <row r="23728" spans="119:119" x14ac:dyDescent="0.2">
      <c r="DO23728" s="303" t="s">
        <v>232</v>
      </c>
    </row>
    <row r="23729" spans="119:119" x14ac:dyDescent="0.2">
      <c r="DO23729" s="303" t="s">
        <v>232</v>
      </c>
    </row>
    <row r="23730" spans="119:119" x14ac:dyDescent="0.2">
      <c r="DO23730" s="303" t="s">
        <v>232</v>
      </c>
    </row>
    <row r="23731" spans="119:119" x14ac:dyDescent="0.2">
      <c r="DO23731" s="303" t="s">
        <v>232</v>
      </c>
    </row>
    <row r="23732" spans="119:119" x14ac:dyDescent="0.2">
      <c r="DO23732" s="303" t="s">
        <v>232</v>
      </c>
    </row>
    <row r="23733" spans="119:119" x14ac:dyDescent="0.2">
      <c r="DO23733" s="303" t="s">
        <v>232</v>
      </c>
    </row>
    <row r="23734" spans="119:119" x14ac:dyDescent="0.2">
      <c r="DO23734" s="303" t="s">
        <v>232</v>
      </c>
    </row>
    <row r="23735" spans="119:119" x14ac:dyDescent="0.2">
      <c r="DO23735" s="303" t="s">
        <v>232</v>
      </c>
    </row>
    <row r="23736" spans="119:119" x14ac:dyDescent="0.2">
      <c r="DO23736" s="303" t="s">
        <v>232</v>
      </c>
    </row>
    <row r="23737" spans="119:119" x14ac:dyDescent="0.2">
      <c r="DO23737" s="303" t="s">
        <v>232</v>
      </c>
    </row>
    <row r="23738" spans="119:119" x14ac:dyDescent="0.2">
      <c r="DO23738" s="303" t="s">
        <v>232</v>
      </c>
    </row>
    <row r="23739" spans="119:119" x14ac:dyDescent="0.2">
      <c r="DO23739" s="303" t="s">
        <v>232</v>
      </c>
    </row>
    <row r="23740" spans="119:119" x14ac:dyDescent="0.2">
      <c r="DO23740" s="303" t="s">
        <v>232</v>
      </c>
    </row>
    <row r="23741" spans="119:119" x14ac:dyDescent="0.2">
      <c r="DO23741" s="303" t="s">
        <v>232</v>
      </c>
    </row>
    <row r="23742" spans="119:119" x14ac:dyDescent="0.2">
      <c r="DO23742" s="303" t="s">
        <v>232</v>
      </c>
    </row>
    <row r="23743" spans="119:119" x14ac:dyDescent="0.2">
      <c r="DO23743" s="303" t="s">
        <v>232</v>
      </c>
    </row>
    <row r="23744" spans="119:119" x14ac:dyDescent="0.2">
      <c r="DO23744" s="303" t="s">
        <v>232</v>
      </c>
    </row>
    <row r="23745" spans="119:119" x14ac:dyDescent="0.2">
      <c r="DO23745" s="303" t="s">
        <v>232</v>
      </c>
    </row>
    <row r="23746" spans="119:119" x14ac:dyDescent="0.2">
      <c r="DO23746" s="303" t="s">
        <v>232</v>
      </c>
    </row>
    <row r="23747" spans="119:119" x14ac:dyDescent="0.2">
      <c r="DO23747" s="303" t="s">
        <v>232</v>
      </c>
    </row>
    <row r="23748" spans="119:119" x14ac:dyDescent="0.2">
      <c r="DO23748" s="303" t="s">
        <v>232</v>
      </c>
    </row>
    <row r="23749" spans="119:119" x14ac:dyDescent="0.2">
      <c r="DO23749" s="303" t="s">
        <v>232</v>
      </c>
    </row>
    <row r="23750" spans="119:119" x14ac:dyDescent="0.2">
      <c r="DO23750" s="303" t="s">
        <v>232</v>
      </c>
    </row>
    <row r="23751" spans="119:119" x14ac:dyDescent="0.2">
      <c r="DO23751" s="303" t="s">
        <v>232</v>
      </c>
    </row>
    <row r="23752" spans="119:119" x14ac:dyDescent="0.2">
      <c r="DO23752" s="303" t="s">
        <v>232</v>
      </c>
    </row>
    <row r="23753" spans="119:119" x14ac:dyDescent="0.2">
      <c r="DO23753" s="303" t="s">
        <v>232</v>
      </c>
    </row>
    <row r="23754" spans="119:119" x14ac:dyDescent="0.2">
      <c r="DO23754" s="303" t="s">
        <v>232</v>
      </c>
    </row>
    <row r="23755" spans="119:119" x14ac:dyDescent="0.2">
      <c r="DO23755" s="303" t="s">
        <v>232</v>
      </c>
    </row>
    <row r="23756" spans="119:119" x14ac:dyDescent="0.2">
      <c r="DO23756" s="303" t="s">
        <v>232</v>
      </c>
    </row>
    <row r="23757" spans="119:119" x14ac:dyDescent="0.2">
      <c r="DO23757" s="303" t="s">
        <v>232</v>
      </c>
    </row>
    <row r="23758" spans="119:119" x14ac:dyDescent="0.2">
      <c r="DO23758" s="303" t="s">
        <v>232</v>
      </c>
    </row>
    <row r="23759" spans="119:119" x14ac:dyDescent="0.2">
      <c r="DO23759" s="303" t="s">
        <v>232</v>
      </c>
    </row>
    <row r="23760" spans="119:119" x14ac:dyDescent="0.2">
      <c r="DO23760" s="303" t="s">
        <v>232</v>
      </c>
    </row>
    <row r="23761" spans="119:119" x14ac:dyDescent="0.2">
      <c r="DO23761" s="303" t="s">
        <v>232</v>
      </c>
    </row>
    <row r="23762" spans="119:119" x14ac:dyDescent="0.2">
      <c r="DO23762" s="303" t="s">
        <v>232</v>
      </c>
    </row>
    <row r="23763" spans="119:119" x14ac:dyDescent="0.2">
      <c r="DO23763" s="303" t="s">
        <v>232</v>
      </c>
    </row>
    <row r="23764" spans="119:119" x14ac:dyDescent="0.2">
      <c r="DO23764" s="303" t="s">
        <v>232</v>
      </c>
    </row>
    <row r="23765" spans="119:119" x14ac:dyDescent="0.2">
      <c r="DO23765" s="303" t="s">
        <v>232</v>
      </c>
    </row>
    <row r="23766" spans="119:119" x14ac:dyDescent="0.2">
      <c r="DO23766" s="303" t="s">
        <v>232</v>
      </c>
    </row>
    <row r="23767" spans="119:119" x14ac:dyDescent="0.2">
      <c r="DO23767" s="303" t="s">
        <v>232</v>
      </c>
    </row>
    <row r="23768" spans="119:119" x14ac:dyDescent="0.2">
      <c r="DO23768" s="303" t="s">
        <v>232</v>
      </c>
    </row>
    <row r="23769" spans="119:119" x14ac:dyDescent="0.2">
      <c r="DO23769" s="303" t="s">
        <v>232</v>
      </c>
    </row>
    <row r="23770" spans="119:119" x14ac:dyDescent="0.2">
      <c r="DO23770" s="303" t="s">
        <v>232</v>
      </c>
    </row>
    <row r="23771" spans="119:119" x14ac:dyDescent="0.2">
      <c r="DO23771" s="303" t="s">
        <v>232</v>
      </c>
    </row>
    <row r="23772" spans="119:119" x14ac:dyDescent="0.2">
      <c r="DO23772" s="303" t="s">
        <v>232</v>
      </c>
    </row>
    <row r="23773" spans="119:119" x14ac:dyDescent="0.2">
      <c r="DO23773" s="303" t="s">
        <v>232</v>
      </c>
    </row>
    <row r="23774" spans="119:119" x14ac:dyDescent="0.2">
      <c r="DO23774" s="303" t="s">
        <v>232</v>
      </c>
    </row>
    <row r="23775" spans="119:119" x14ac:dyDescent="0.2">
      <c r="DO23775" s="303" t="s">
        <v>232</v>
      </c>
    </row>
    <row r="23776" spans="119:119" x14ac:dyDescent="0.2">
      <c r="DO23776" s="303" t="s">
        <v>232</v>
      </c>
    </row>
    <row r="23777" spans="119:119" x14ac:dyDescent="0.2">
      <c r="DO23777" s="303" t="s">
        <v>232</v>
      </c>
    </row>
    <row r="23778" spans="119:119" x14ac:dyDescent="0.2">
      <c r="DO23778" s="303" t="s">
        <v>232</v>
      </c>
    </row>
    <row r="23779" spans="119:119" x14ac:dyDescent="0.2">
      <c r="DO23779" s="303" t="s">
        <v>232</v>
      </c>
    </row>
    <row r="23780" spans="119:119" x14ac:dyDescent="0.2">
      <c r="DO23780" s="303" t="s">
        <v>232</v>
      </c>
    </row>
    <row r="23781" spans="119:119" x14ac:dyDescent="0.2">
      <c r="DO23781" s="303" t="s">
        <v>232</v>
      </c>
    </row>
    <row r="23782" spans="119:119" x14ac:dyDescent="0.2">
      <c r="DO23782" s="303" t="s">
        <v>232</v>
      </c>
    </row>
    <row r="23783" spans="119:119" x14ac:dyDescent="0.2">
      <c r="DO23783" s="303" t="s">
        <v>232</v>
      </c>
    </row>
    <row r="23784" spans="119:119" x14ac:dyDescent="0.2">
      <c r="DO23784" s="303" t="s">
        <v>232</v>
      </c>
    </row>
    <row r="23785" spans="119:119" x14ac:dyDescent="0.2">
      <c r="DO23785" s="303" t="s">
        <v>232</v>
      </c>
    </row>
    <row r="23786" spans="119:119" x14ac:dyDescent="0.2">
      <c r="DO23786" s="303" t="s">
        <v>232</v>
      </c>
    </row>
    <row r="23787" spans="119:119" x14ac:dyDescent="0.2">
      <c r="DO23787" s="303" t="s">
        <v>232</v>
      </c>
    </row>
    <row r="23788" spans="119:119" x14ac:dyDescent="0.2">
      <c r="DO23788" s="303" t="s">
        <v>232</v>
      </c>
    </row>
    <row r="23789" spans="119:119" x14ac:dyDescent="0.2">
      <c r="DO23789" s="303" t="s">
        <v>232</v>
      </c>
    </row>
    <row r="23790" spans="119:119" x14ac:dyDescent="0.2">
      <c r="DO23790" s="303" t="s">
        <v>232</v>
      </c>
    </row>
    <row r="23791" spans="119:119" x14ac:dyDescent="0.2">
      <c r="DO23791" s="303" t="s">
        <v>232</v>
      </c>
    </row>
    <row r="23792" spans="119:119" x14ac:dyDescent="0.2">
      <c r="DO23792" s="303" t="s">
        <v>232</v>
      </c>
    </row>
    <row r="23793" spans="119:119" x14ac:dyDescent="0.2">
      <c r="DO23793" s="303" t="s">
        <v>232</v>
      </c>
    </row>
    <row r="23794" spans="119:119" x14ac:dyDescent="0.2">
      <c r="DO23794" s="303" t="s">
        <v>232</v>
      </c>
    </row>
    <row r="23795" spans="119:119" x14ac:dyDescent="0.2">
      <c r="DO23795" s="303" t="s">
        <v>232</v>
      </c>
    </row>
    <row r="23796" spans="119:119" x14ac:dyDescent="0.2">
      <c r="DO23796" s="303" t="s">
        <v>232</v>
      </c>
    </row>
    <row r="23797" spans="119:119" x14ac:dyDescent="0.2">
      <c r="DO23797" s="303" t="s">
        <v>232</v>
      </c>
    </row>
    <row r="23798" spans="119:119" x14ac:dyDescent="0.2">
      <c r="DO23798" s="303" t="s">
        <v>232</v>
      </c>
    </row>
    <row r="23799" spans="119:119" x14ac:dyDescent="0.2">
      <c r="DO23799" s="303" t="s">
        <v>232</v>
      </c>
    </row>
    <row r="23800" spans="119:119" x14ac:dyDescent="0.2">
      <c r="DO23800" s="303" t="s">
        <v>232</v>
      </c>
    </row>
    <row r="23801" spans="119:119" x14ac:dyDescent="0.2">
      <c r="DO23801" s="303" t="s">
        <v>232</v>
      </c>
    </row>
    <row r="23802" spans="119:119" x14ac:dyDescent="0.2">
      <c r="DO23802" s="303" t="s">
        <v>232</v>
      </c>
    </row>
    <row r="23803" spans="119:119" x14ac:dyDescent="0.2">
      <c r="DO23803" s="303" t="s">
        <v>232</v>
      </c>
    </row>
    <row r="23804" spans="119:119" x14ac:dyDescent="0.2">
      <c r="DO23804" s="303" t="s">
        <v>232</v>
      </c>
    </row>
    <row r="23805" spans="119:119" x14ac:dyDescent="0.2">
      <c r="DO23805" s="303" t="s">
        <v>232</v>
      </c>
    </row>
    <row r="23806" spans="119:119" x14ac:dyDescent="0.2">
      <c r="DO23806" s="303" t="s">
        <v>232</v>
      </c>
    </row>
    <row r="23807" spans="119:119" x14ac:dyDescent="0.2">
      <c r="DO23807" s="303" t="s">
        <v>232</v>
      </c>
    </row>
    <row r="23808" spans="119:119" x14ac:dyDescent="0.2">
      <c r="DO23808" s="303" t="s">
        <v>232</v>
      </c>
    </row>
    <row r="23809" spans="119:119" x14ac:dyDescent="0.2">
      <c r="DO23809" s="303" t="s">
        <v>232</v>
      </c>
    </row>
    <row r="23810" spans="119:119" x14ac:dyDescent="0.2">
      <c r="DO23810" s="303" t="s">
        <v>232</v>
      </c>
    </row>
    <row r="23811" spans="119:119" x14ac:dyDescent="0.2">
      <c r="DO23811" s="303" t="s">
        <v>232</v>
      </c>
    </row>
    <row r="23812" spans="119:119" x14ac:dyDescent="0.2">
      <c r="DO23812" s="303" t="s">
        <v>232</v>
      </c>
    </row>
    <row r="23813" spans="119:119" x14ac:dyDescent="0.2">
      <c r="DO23813" s="303" t="s">
        <v>232</v>
      </c>
    </row>
    <row r="23814" spans="119:119" x14ac:dyDescent="0.2">
      <c r="DO23814" s="303" t="s">
        <v>232</v>
      </c>
    </row>
    <row r="23815" spans="119:119" x14ac:dyDescent="0.2">
      <c r="DO23815" s="303" t="s">
        <v>232</v>
      </c>
    </row>
    <row r="23816" spans="119:119" x14ac:dyDescent="0.2">
      <c r="DO23816" s="303" t="s">
        <v>232</v>
      </c>
    </row>
    <row r="23817" spans="119:119" x14ac:dyDescent="0.2">
      <c r="DO23817" s="303" t="s">
        <v>232</v>
      </c>
    </row>
    <row r="23818" spans="119:119" x14ac:dyDescent="0.2">
      <c r="DO23818" s="303" t="s">
        <v>232</v>
      </c>
    </row>
    <row r="23819" spans="119:119" x14ac:dyDescent="0.2">
      <c r="DO23819" s="303" t="s">
        <v>232</v>
      </c>
    </row>
    <row r="23820" spans="119:119" x14ac:dyDescent="0.2">
      <c r="DO23820" s="303" t="s">
        <v>232</v>
      </c>
    </row>
    <row r="23821" spans="119:119" x14ac:dyDescent="0.2">
      <c r="DO23821" s="303" t="s">
        <v>232</v>
      </c>
    </row>
    <row r="23822" spans="119:119" x14ac:dyDescent="0.2">
      <c r="DO23822" s="303" t="s">
        <v>232</v>
      </c>
    </row>
    <row r="23823" spans="119:119" x14ac:dyDescent="0.2">
      <c r="DO23823" s="303" t="s">
        <v>232</v>
      </c>
    </row>
    <row r="23824" spans="119:119" x14ac:dyDescent="0.2">
      <c r="DO23824" s="303" t="s">
        <v>232</v>
      </c>
    </row>
    <row r="23825" spans="119:119" x14ac:dyDescent="0.2">
      <c r="DO23825" s="303" t="s">
        <v>232</v>
      </c>
    </row>
    <row r="23826" spans="119:119" x14ac:dyDescent="0.2">
      <c r="DO23826" s="303" t="s">
        <v>232</v>
      </c>
    </row>
    <row r="23827" spans="119:119" x14ac:dyDescent="0.2">
      <c r="DO23827" s="303" t="s">
        <v>232</v>
      </c>
    </row>
    <row r="23828" spans="119:119" x14ac:dyDescent="0.2">
      <c r="DO23828" s="303" t="s">
        <v>232</v>
      </c>
    </row>
    <row r="23829" spans="119:119" x14ac:dyDescent="0.2">
      <c r="DO23829" s="303" t="s">
        <v>232</v>
      </c>
    </row>
    <row r="23830" spans="119:119" x14ac:dyDescent="0.2">
      <c r="DO23830" s="303" t="s">
        <v>232</v>
      </c>
    </row>
    <row r="23831" spans="119:119" x14ac:dyDescent="0.2">
      <c r="DO23831" s="303" t="s">
        <v>232</v>
      </c>
    </row>
    <row r="23832" spans="119:119" x14ac:dyDescent="0.2">
      <c r="DO23832" s="303" t="s">
        <v>232</v>
      </c>
    </row>
    <row r="23833" spans="119:119" x14ac:dyDescent="0.2">
      <c r="DO23833" s="303" t="s">
        <v>232</v>
      </c>
    </row>
    <row r="23834" spans="119:119" x14ac:dyDescent="0.2">
      <c r="DO23834" s="303" t="s">
        <v>232</v>
      </c>
    </row>
    <row r="23835" spans="119:119" x14ac:dyDescent="0.2">
      <c r="DO23835" s="303" t="s">
        <v>232</v>
      </c>
    </row>
    <row r="23836" spans="119:119" x14ac:dyDescent="0.2">
      <c r="DO23836" s="303" t="s">
        <v>232</v>
      </c>
    </row>
    <row r="23837" spans="119:119" x14ac:dyDescent="0.2">
      <c r="DO23837" s="303" t="s">
        <v>232</v>
      </c>
    </row>
    <row r="23838" spans="119:119" x14ac:dyDescent="0.2">
      <c r="DO23838" s="303" t="s">
        <v>232</v>
      </c>
    </row>
    <row r="23839" spans="119:119" x14ac:dyDescent="0.2">
      <c r="DO23839" s="303" t="s">
        <v>232</v>
      </c>
    </row>
    <row r="23840" spans="119:119" x14ac:dyDescent="0.2">
      <c r="DO23840" s="303" t="s">
        <v>232</v>
      </c>
    </row>
    <row r="23841" spans="119:119" x14ac:dyDescent="0.2">
      <c r="DO23841" s="303" t="s">
        <v>232</v>
      </c>
    </row>
    <row r="23842" spans="119:119" x14ac:dyDescent="0.2">
      <c r="DO23842" s="303" t="s">
        <v>232</v>
      </c>
    </row>
    <row r="23843" spans="119:119" x14ac:dyDescent="0.2">
      <c r="DO23843" s="303" t="s">
        <v>232</v>
      </c>
    </row>
    <row r="23844" spans="119:119" x14ac:dyDescent="0.2">
      <c r="DO23844" s="303" t="s">
        <v>232</v>
      </c>
    </row>
    <row r="23845" spans="119:119" x14ac:dyDescent="0.2">
      <c r="DO23845" s="303" t="s">
        <v>232</v>
      </c>
    </row>
    <row r="23846" spans="119:119" x14ac:dyDescent="0.2">
      <c r="DO23846" s="303" t="s">
        <v>232</v>
      </c>
    </row>
    <row r="23847" spans="119:119" x14ac:dyDescent="0.2">
      <c r="DO23847" s="303" t="s">
        <v>232</v>
      </c>
    </row>
    <row r="23848" spans="119:119" x14ac:dyDescent="0.2">
      <c r="DO23848" s="303" t="s">
        <v>232</v>
      </c>
    </row>
    <row r="23849" spans="119:119" x14ac:dyDescent="0.2">
      <c r="DO23849" s="303" t="s">
        <v>232</v>
      </c>
    </row>
    <row r="23850" spans="119:119" x14ac:dyDescent="0.2">
      <c r="DO23850" s="303" t="s">
        <v>232</v>
      </c>
    </row>
    <row r="23851" spans="119:119" x14ac:dyDescent="0.2">
      <c r="DO23851" s="303" t="s">
        <v>232</v>
      </c>
    </row>
    <row r="23852" spans="119:119" x14ac:dyDescent="0.2">
      <c r="DO23852" s="303" t="s">
        <v>232</v>
      </c>
    </row>
    <row r="23853" spans="119:119" x14ac:dyDescent="0.2">
      <c r="DO23853" s="303" t="s">
        <v>232</v>
      </c>
    </row>
    <row r="23854" spans="119:119" x14ac:dyDescent="0.2">
      <c r="DO23854" s="303" t="s">
        <v>232</v>
      </c>
    </row>
    <row r="23855" spans="119:119" x14ac:dyDescent="0.2">
      <c r="DO23855" s="303" t="s">
        <v>232</v>
      </c>
    </row>
    <row r="23856" spans="119:119" x14ac:dyDescent="0.2">
      <c r="DO23856" s="303" t="s">
        <v>232</v>
      </c>
    </row>
    <row r="23857" spans="119:119" x14ac:dyDescent="0.2">
      <c r="DO23857" s="303" t="s">
        <v>232</v>
      </c>
    </row>
    <row r="23858" spans="119:119" x14ac:dyDescent="0.2">
      <c r="DO23858" s="303" t="s">
        <v>232</v>
      </c>
    </row>
    <row r="23859" spans="119:119" x14ac:dyDescent="0.2">
      <c r="DO23859" s="303" t="s">
        <v>232</v>
      </c>
    </row>
    <row r="23860" spans="119:119" x14ac:dyDescent="0.2">
      <c r="DO23860" s="303" t="s">
        <v>232</v>
      </c>
    </row>
    <row r="23861" spans="119:119" x14ac:dyDescent="0.2">
      <c r="DO23861" s="303" t="s">
        <v>232</v>
      </c>
    </row>
    <row r="23862" spans="119:119" x14ac:dyDescent="0.2">
      <c r="DO23862" s="303" t="s">
        <v>232</v>
      </c>
    </row>
    <row r="23863" spans="119:119" x14ac:dyDescent="0.2">
      <c r="DO23863" s="303" t="s">
        <v>232</v>
      </c>
    </row>
    <row r="23864" spans="119:119" x14ac:dyDescent="0.2">
      <c r="DO23864" s="303" t="s">
        <v>232</v>
      </c>
    </row>
    <row r="23865" spans="119:119" x14ac:dyDescent="0.2">
      <c r="DO23865" s="303" t="s">
        <v>232</v>
      </c>
    </row>
    <row r="23866" spans="119:119" x14ac:dyDescent="0.2">
      <c r="DO23866" s="303" t="s">
        <v>232</v>
      </c>
    </row>
    <row r="23867" spans="119:119" x14ac:dyDescent="0.2">
      <c r="DO23867" s="303" t="s">
        <v>232</v>
      </c>
    </row>
    <row r="23868" spans="119:119" x14ac:dyDescent="0.2">
      <c r="DO23868" s="303" t="s">
        <v>232</v>
      </c>
    </row>
    <row r="23869" spans="119:119" x14ac:dyDescent="0.2">
      <c r="DO23869" s="303" t="s">
        <v>232</v>
      </c>
    </row>
    <row r="23870" spans="119:119" x14ac:dyDescent="0.2">
      <c r="DO23870" s="303" t="s">
        <v>232</v>
      </c>
    </row>
    <row r="23871" spans="119:119" x14ac:dyDescent="0.2">
      <c r="DO23871" s="303" t="s">
        <v>232</v>
      </c>
    </row>
    <row r="23872" spans="119:119" x14ac:dyDescent="0.2">
      <c r="DO23872" s="303" t="s">
        <v>232</v>
      </c>
    </row>
    <row r="23873" spans="119:119" x14ac:dyDescent="0.2">
      <c r="DO23873" s="303" t="s">
        <v>232</v>
      </c>
    </row>
    <row r="23874" spans="119:119" x14ac:dyDescent="0.2">
      <c r="DO23874" s="303" t="s">
        <v>232</v>
      </c>
    </row>
    <row r="23875" spans="119:119" x14ac:dyDescent="0.2">
      <c r="DO23875" s="303" t="s">
        <v>232</v>
      </c>
    </row>
    <row r="23876" spans="119:119" x14ac:dyDescent="0.2">
      <c r="DO23876" s="303" t="s">
        <v>232</v>
      </c>
    </row>
    <row r="23877" spans="119:119" x14ac:dyDescent="0.2">
      <c r="DO23877" s="303" t="s">
        <v>232</v>
      </c>
    </row>
    <row r="23878" spans="119:119" x14ac:dyDescent="0.2">
      <c r="DO23878" s="303" t="s">
        <v>232</v>
      </c>
    </row>
    <row r="23879" spans="119:119" x14ac:dyDescent="0.2">
      <c r="DO23879" s="303" t="s">
        <v>232</v>
      </c>
    </row>
    <row r="23880" spans="119:119" x14ac:dyDescent="0.2">
      <c r="DO23880" s="303" t="s">
        <v>232</v>
      </c>
    </row>
    <row r="23881" spans="119:119" x14ac:dyDescent="0.2">
      <c r="DO23881" s="303" t="s">
        <v>232</v>
      </c>
    </row>
    <row r="23882" spans="119:119" x14ac:dyDescent="0.2">
      <c r="DO23882" s="303" t="s">
        <v>232</v>
      </c>
    </row>
    <row r="23883" spans="119:119" x14ac:dyDescent="0.2">
      <c r="DO23883" s="303" t="s">
        <v>232</v>
      </c>
    </row>
    <row r="23884" spans="119:119" x14ac:dyDescent="0.2">
      <c r="DO23884" s="303" t="s">
        <v>232</v>
      </c>
    </row>
    <row r="23885" spans="119:119" x14ac:dyDescent="0.2">
      <c r="DO23885" s="303" t="s">
        <v>232</v>
      </c>
    </row>
    <row r="23886" spans="119:119" x14ac:dyDescent="0.2">
      <c r="DO23886" s="303" t="s">
        <v>232</v>
      </c>
    </row>
    <row r="23887" spans="119:119" x14ac:dyDescent="0.2">
      <c r="DO23887" s="303" t="s">
        <v>232</v>
      </c>
    </row>
    <row r="23888" spans="119:119" x14ac:dyDescent="0.2">
      <c r="DO23888" s="303" t="s">
        <v>232</v>
      </c>
    </row>
    <row r="23889" spans="119:119" x14ac:dyDescent="0.2">
      <c r="DO23889" s="303" t="s">
        <v>232</v>
      </c>
    </row>
    <row r="23890" spans="119:119" x14ac:dyDescent="0.2">
      <c r="DO23890" s="303" t="s">
        <v>232</v>
      </c>
    </row>
    <row r="23891" spans="119:119" x14ac:dyDescent="0.2">
      <c r="DO23891" s="303" t="s">
        <v>232</v>
      </c>
    </row>
    <row r="23892" spans="119:119" x14ac:dyDescent="0.2">
      <c r="DO23892" s="303" t="s">
        <v>232</v>
      </c>
    </row>
    <row r="23893" spans="119:119" x14ac:dyDescent="0.2">
      <c r="DO23893" s="303" t="s">
        <v>232</v>
      </c>
    </row>
    <row r="23894" spans="119:119" x14ac:dyDescent="0.2">
      <c r="DO23894" s="303" t="s">
        <v>232</v>
      </c>
    </row>
    <row r="23895" spans="119:119" x14ac:dyDescent="0.2">
      <c r="DO23895" s="303" t="s">
        <v>232</v>
      </c>
    </row>
    <row r="23896" spans="119:119" x14ac:dyDescent="0.2">
      <c r="DO23896" s="303" t="s">
        <v>232</v>
      </c>
    </row>
    <row r="23897" spans="119:119" x14ac:dyDescent="0.2">
      <c r="DO23897" s="303" t="s">
        <v>232</v>
      </c>
    </row>
    <row r="23898" spans="119:119" x14ac:dyDescent="0.2">
      <c r="DO23898" s="303" t="s">
        <v>232</v>
      </c>
    </row>
    <row r="23899" spans="119:119" x14ac:dyDescent="0.2">
      <c r="DO23899" s="303" t="s">
        <v>232</v>
      </c>
    </row>
    <row r="23900" spans="119:119" x14ac:dyDescent="0.2">
      <c r="DO23900" s="303" t="s">
        <v>232</v>
      </c>
    </row>
    <row r="23901" spans="119:119" x14ac:dyDescent="0.2">
      <c r="DO23901" s="303" t="s">
        <v>232</v>
      </c>
    </row>
    <row r="23902" spans="119:119" x14ac:dyDescent="0.2">
      <c r="DO23902" s="303" t="s">
        <v>232</v>
      </c>
    </row>
    <row r="23903" spans="119:119" x14ac:dyDescent="0.2">
      <c r="DO23903" s="303" t="s">
        <v>232</v>
      </c>
    </row>
    <row r="23904" spans="119:119" x14ac:dyDescent="0.2">
      <c r="DO23904" s="303" t="s">
        <v>232</v>
      </c>
    </row>
    <row r="23905" spans="119:119" x14ac:dyDescent="0.2">
      <c r="DO23905" s="303" t="s">
        <v>232</v>
      </c>
    </row>
    <row r="23906" spans="119:119" x14ac:dyDescent="0.2">
      <c r="DO23906" s="303" t="s">
        <v>232</v>
      </c>
    </row>
    <row r="23907" spans="119:119" x14ac:dyDescent="0.2">
      <c r="DO23907" s="303" t="s">
        <v>232</v>
      </c>
    </row>
    <row r="23908" spans="119:119" x14ac:dyDescent="0.2">
      <c r="DO23908" s="303" t="s">
        <v>232</v>
      </c>
    </row>
    <row r="23909" spans="119:119" x14ac:dyDescent="0.2">
      <c r="DO23909" s="303" t="s">
        <v>232</v>
      </c>
    </row>
    <row r="23910" spans="119:119" x14ac:dyDescent="0.2">
      <c r="DO23910" s="303" t="s">
        <v>232</v>
      </c>
    </row>
    <row r="23911" spans="119:119" x14ac:dyDescent="0.2">
      <c r="DO23911" s="303" t="s">
        <v>232</v>
      </c>
    </row>
    <row r="23912" spans="119:119" x14ac:dyDescent="0.2">
      <c r="DO23912" s="303" t="s">
        <v>232</v>
      </c>
    </row>
    <row r="23913" spans="119:119" x14ac:dyDescent="0.2">
      <c r="DO23913" s="303" t="s">
        <v>232</v>
      </c>
    </row>
    <row r="23914" spans="119:119" x14ac:dyDescent="0.2">
      <c r="DO23914" s="303" t="s">
        <v>232</v>
      </c>
    </row>
    <row r="23915" spans="119:119" x14ac:dyDescent="0.2">
      <c r="DO23915" s="303" t="s">
        <v>232</v>
      </c>
    </row>
    <row r="23916" spans="119:119" x14ac:dyDescent="0.2">
      <c r="DO23916" s="303" t="s">
        <v>232</v>
      </c>
    </row>
    <row r="23917" spans="119:119" x14ac:dyDescent="0.2">
      <c r="DO23917" s="303" t="s">
        <v>232</v>
      </c>
    </row>
    <row r="23918" spans="119:119" x14ac:dyDescent="0.2">
      <c r="DO23918" s="303" t="s">
        <v>232</v>
      </c>
    </row>
    <row r="23919" spans="119:119" x14ac:dyDescent="0.2">
      <c r="DO23919" s="303" t="s">
        <v>232</v>
      </c>
    </row>
    <row r="23920" spans="119:119" x14ac:dyDescent="0.2">
      <c r="DO23920" s="303" t="s">
        <v>232</v>
      </c>
    </row>
    <row r="23921" spans="119:119" x14ac:dyDescent="0.2">
      <c r="DO23921" s="303" t="s">
        <v>232</v>
      </c>
    </row>
    <row r="23922" spans="119:119" x14ac:dyDescent="0.2">
      <c r="DO23922" s="303" t="s">
        <v>232</v>
      </c>
    </row>
    <row r="23923" spans="119:119" x14ac:dyDescent="0.2">
      <c r="DO23923" s="303" t="s">
        <v>232</v>
      </c>
    </row>
    <row r="23924" spans="119:119" x14ac:dyDescent="0.2">
      <c r="DO23924" s="303" t="s">
        <v>232</v>
      </c>
    </row>
    <row r="23925" spans="119:119" x14ac:dyDescent="0.2">
      <c r="DO23925" s="303" t="s">
        <v>232</v>
      </c>
    </row>
    <row r="23926" spans="119:119" x14ac:dyDescent="0.2">
      <c r="DO23926" s="303" t="s">
        <v>232</v>
      </c>
    </row>
    <row r="23927" spans="119:119" x14ac:dyDescent="0.2">
      <c r="DO23927" s="303" t="s">
        <v>232</v>
      </c>
    </row>
    <row r="23928" spans="119:119" x14ac:dyDescent="0.2">
      <c r="DO23928" s="303" t="s">
        <v>232</v>
      </c>
    </row>
    <row r="23929" spans="119:119" x14ac:dyDescent="0.2">
      <c r="DO23929" s="303" t="s">
        <v>232</v>
      </c>
    </row>
    <row r="23930" spans="119:119" x14ac:dyDescent="0.2">
      <c r="DO23930" s="303" t="s">
        <v>232</v>
      </c>
    </row>
    <row r="23931" spans="119:119" x14ac:dyDescent="0.2">
      <c r="DO23931" s="303" t="s">
        <v>232</v>
      </c>
    </row>
    <row r="23932" spans="119:119" x14ac:dyDescent="0.2">
      <c r="DO23932" s="303" t="s">
        <v>232</v>
      </c>
    </row>
    <row r="23933" spans="119:119" x14ac:dyDescent="0.2">
      <c r="DO23933" s="303" t="s">
        <v>232</v>
      </c>
    </row>
    <row r="23934" spans="119:119" x14ac:dyDescent="0.2">
      <c r="DO23934" s="303" t="s">
        <v>232</v>
      </c>
    </row>
    <row r="23935" spans="119:119" x14ac:dyDescent="0.2">
      <c r="DO23935" s="303" t="s">
        <v>232</v>
      </c>
    </row>
    <row r="23936" spans="119:119" x14ac:dyDescent="0.2">
      <c r="DO23936" s="303" t="s">
        <v>232</v>
      </c>
    </row>
    <row r="23937" spans="119:119" x14ac:dyDescent="0.2">
      <c r="DO23937" s="303" t="s">
        <v>232</v>
      </c>
    </row>
    <row r="23938" spans="119:119" x14ac:dyDescent="0.2">
      <c r="DO23938" s="303" t="s">
        <v>232</v>
      </c>
    </row>
    <row r="23939" spans="119:119" x14ac:dyDescent="0.2">
      <c r="DO23939" s="303" t="s">
        <v>232</v>
      </c>
    </row>
    <row r="23940" spans="119:119" x14ac:dyDescent="0.2">
      <c r="DO23940" s="303" t="s">
        <v>232</v>
      </c>
    </row>
    <row r="23941" spans="119:119" x14ac:dyDescent="0.2">
      <c r="DO23941" s="303" t="s">
        <v>232</v>
      </c>
    </row>
    <row r="23942" spans="119:119" x14ac:dyDescent="0.2">
      <c r="DO23942" s="303" t="s">
        <v>232</v>
      </c>
    </row>
    <row r="23943" spans="119:119" x14ac:dyDescent="0.2">
      <c r="DO23943" s="303" t="s">
        <v>232</v>
      </c>
    </row>
    <row r="23944" spans="119:119" x14ac:dyDescent="0.2">
      <c r="DO23944" s="303" t="s">
        <v>232</v>
      </c>
    </row>
    <row r="23945" spans="119:119" x14ac:dyDescent="0.2">
      <c r="DO23945" s="303" t="s">
        <v>232</v>
      </c>
    </row>
    <row r="23946" spans="119:119" x14ac:dyDescent="0.2">
      <c r="DO23946" s="303" t="s">
        <v>232</v>
      </c>
    </row>
    <row r="23947" spans="119:119" x14ac:dyDescent="0.2">
      <c r="DO23947" s="303" t="s">
        <v>232</v>
      </c>
    </row>
    <row r="23948" spans="119:119" x14ac:dyDescent="0.2">
      <c r="DO23948" s="303" t="s">
        <v>232</v>
      </c>
    </row>
    <row r="23949" spans="119:119" x14ac:dyDescent="0.2">
      <c r="DO23949" s="303" t="s">
        <v>232</v>
      </c>
    </row>
    <row r="23950" spans="119:119" x14ac:dyDescent="0.2">
      <c r="DO23950" s="303" t="s">
        <v>232</v>
      </c>
    </row>
    <row r="23951" spans="119:119" x14ac:dyDescent="0.2">
      <c r="DO23951" s="303" t="s">
        <v>232</v>
      </c>
    </row>
    <row r="23952" spans="119:119" x14ac:dyDescent="0.2">
      <c r="DO23952" s="303" t="s">
        <v>232</v>
      </c>
    </row>
    <row r="23953" spans="119:119" x14ac:dyDescent="0.2">
      <c r="DO23953" s="303" t="s">
        <v>232</v>
      </c>
    </row>
    <row r="23954" spans="119:119" x14ac:dyDescent="0.2">
      <c r="DO23954" s="303" t="s">
        <v>232</v>
      </c>
    </row>
    <row r="23955" spans="119:119" x14ac:dyDescent="0.2">
      <c r="DO23955" s="303" t="s">
        <v>232</v>
      </c>
    </row>
    <row r="23956" spans="119:119" x14ac:dyDescent="0.2">
      <c r="DO23956" s="303" t="s">
        <v>232</v>
      </c>
    </row>
    <row r="23957" spans="119:119" x14ac:dyDescent="0.2">
      <c r="DO23957" s="303" t="s">
        <v>232</v>
      </c>
    </row>
    <row r="23958" spans="119:119" x14ac:dyDescent="0.2">
      <c r="DO23958" s="303" t="s">
        <v>232</v>
      </c>
    </row>
    <row r="23959" spans="119:119" x14ac:dyDescent="0.2">
      <c r="DO23959" s="303" t="s">
        <v>232</v>
      </c>
    </row>
    <row r="23960" spans="119:119" x14ac:dyDescent="0.2">
      <c r="DO23960" s="303" t="s">
        <v>232</v>
      </c>
    </row>
    <row r="23961" spans="119:119" x14ac:dyDescent="0.2">
      <c r="DO23961" s="303" t="s">
        <v>232</v>
      </c>
    </row>
    <row r="23962" spans="119:119" x14ac:dyDescent="0.2">
      <c r="DO23962" s="303" t="s">
        <v>232</v>
      </c>
    </row>
    <row r="23963" spans="119:119" x14ac:dyDescent="0.2">
      <c r="DO23963" s="303" t="s">
        <v>232</v>
      </c>
    </row>
    <row r="23964" spans="119:119" x14ac:dyDescent="0.2">
      <c r="DO23964" s="303" t="s">
        <v>232</v>
      </c>
    </row>
    <row r="23965" spans="119:119" x14ac:dyDescent="0.2">
      <c r="DO23965" s="303" t="s">
        <v>232</v>
      </c>
    </row>
    <row r="23966" spans="119:119" x14ac:dyDescent="0.2">
      <c r="DO23966" s="303" t="s">
        <v>232</v>
      </c>
    </row>
    <row r="23967" spans="119:119" x14ac:dyDescent="0.2">
      <c r="DO23967" s="303" t="s">
        <v>232</v>
      </c>
    </row>
    <row r="23968" spans="119:119" x14ac:dyDescent="0.2">
      <c r="DO23968" s="303" t="s">
        <v>232</v>
      </c>
    </row>
    <row r="23969" spans="119:119" x14ac:dyDescent="0.2">
      <c r="DO23969" s="303" t="s">
        <v>232</v>
      </c>
    </row>
    <row r="23970" spans="119:119" x14ac:dyDescent="0.2">
      <c r="DO23970" s="303" t="s">
        <v>232</v>
      </c>
    </row>
    <row r="23971" spans="119:119" x14ac:dyDescent="0.2">
      <c r="DO23971" s="303" t="s">
        <v>232</v>
      </c>
    </row>
    <row r="23972" spans="119:119" x14ac:dyDescent="0.2">
      <c r="DO23972" s="303" t="s">
        <v>232</v>
      </c>
    </row>
    <row r="23973" spans="119:119" x14ac:dyDescent="0.2">
      <c r="DO23973" s="303" t="s">
        <v>232</v>
      </c>
    </row>
    <row r="23974" spans="119:119" x14ac:dyDescent="0.2">
      <c r="DO23974" s="303" t="s">
        <v>232</v>
      </c>
    </row>
    <row r="23975" spans="119:119" x14ac:dyDescent="0.2">
      <c r="DO23975" s="303" t="s">
        <v>232</v>
      </c>
    </row>
    <row r="23976" spans="119:119" x14ac:dyDescent="0.2">
      <c r="DO23976" s="303" t="s">
        <v>232</v>
      </c>
    </row>
    <row r="23977" spans="119:119" x14ac:dyDescent="0.2">
      <c r="DO23977" s="303" t="s">
        <v>232</v>
      </c>
    </row>
    <row r="23978" spans="119:119" x14ac:dyDescent="0.2">
      <c r="DO23978" s="303" t="s">
        <v>232</v>
      </c>
    </row>
    <row r="23979" spans="119:119" x14ac:dyDescent="0.2">
      <c r="DO23979" s="303" t="s">
        <v>232</v>
      </c>
    </row>
    <row r="23980" spans="119:119" x14ac:dyDescent="0.2">
      <c r="DO23980" s="303" t="s">
        <v>232</v>
      </c>
    </row>
    <row r="23981" spans="119:119" x14ac:dyDescent="0.2">
      <c r="DO23981" s="303" t="s">
        <v>232</v>
      </c>
    </row>
    <row r="23982" spans="119:119" x14ac:dyDescent="0.2">
      <c r="DO23982" s="303" t="s">
        <v>232</v>
      </c>
    </row>
    <row r="23983" spans="119:119" x14ac:dyDescent="0.2">
      <c r="DO23983" s="303" t="s">
        <v>232</v>
      </c>
    </row>
    <row r="23984" spans="119:119" x14ac:dyDescent="0.2">
      <c r="DO23984" s="303" t="s">
        <v>232</v>
      </c>
    </row>
    <row r="23985" spans="119:119" x14ac:dyDescent="0.2">
      <c r="DO23985" s="303" t="s">
        <v>232</v>
      </c>
    </row>
    <row r="23986" spans="119:119" x14ac:dyDescent="0.2">
      <c r="DO23986" s="303" t="s">
        <v>232</v>
      </c>
    </row>
    <row r="23987" spans="119:119" x14ac:dyDescent="0.2">
      <c r="DO23987" s="303" t="s">
        <v>232</v>
      </c>
    </row>
    <row r="23988" spans="119:119" x14ac:dyDescent="0.2">
      <c r="DO23988" s="303" t="s">
        <v>232</v>
      </c>
    </row>
    <row r="23989" spans="119:119" x14ac:dyDescent="0.2">
      <c r="DO23989" s="303" t="s">
        <v>232</v>
      </c>
    </row>
    <row r="23990" spans="119:119" x14ac:dyDescent="0.2">
      <c r="DO23990" s="303" t="s">
        <v>232</v>
      </c>
    </row>
    <row r="23991" spans="119:119" x14ac:dyDescent="0.2">
      <c r="DO23991" s="303" t="s">
        <v>232</v>
      </c>
    </row>
    <row r="23992" spans="119:119" x14ac:dyDescent="0.2">
      <c r="DO23992" s="303" t="s">
        <v>232</v>
      </c>
    </row>
    <row r="23993" spans="119:119" x14ac:dyDescent="0.2">
      <c r="DO23993" s="303" t="s">
        <v>232</v>
      </c>
    </row>
    <row r="23994" spans="119:119" x14ac:dyDescent="0.2">
      <c r="DO23994" s="303" t="s">
        <v>232</v>
      </c>
    </row>
    <row r="23995" spans="119:119" x14ac:dyDescent="0.2">
      <c r="DO23995" s="303" t="s">
        <v>232</v>
      </c>
    </row>
    <row r="23996" spans="119:119" x14ac:dyDescent="0.2">
      <c r="DO23996" s="303" t="s">
        <v>232</v>
      </c>
    </row>
    <row r="23997" spans="119:119" x14ac:dyDescent="0.2">
      <c r="DO23997" s="303" t="s">
        <v>232</v>
      </c>
    </row>
    <row r="23998" spans="119:119" x14ac:dyDescent="0.2">
      <c r="DO23998" s="303" t="s">
        <v>232</v>
      </c>
    </row>
    <row r="23999" spans="119:119" x14ac:dyDescent="0.2">
      <c r="DO23999" s="303" t="s">
        <v>232</v>
      </c>
    </row>
    <row r="24000" spans="119:119" x14ac:dyDescent="0.2">
      <c r="DO24000" s="303" t="s">
        <v>232</v>
      </c>
    </row>
    <row r="24001" spans="119:119" x14ac:dyDescent="0.2">
      <c r="DO24001" s="303" t="s">
        <v>232</v>
      </c>
    </row>
    <row r="24002" spans="119:119" x14ac:dyDescent="0.2">
      <c r="DO24002" s="303" t="s">
        <v>232</v>
      </c>
    </row>
    <row r="24003" spans="119:119" x14ac:dyDescent="0.2">
      <c r="DO24003" s="303" t="s">
        <v>232</v>
      </c>
    </row>
    <row r="24004" spans="119:119" x14ac:dyDescent="0.2">
      <c r="DO24004" s="303" t="s">
        <v>232</v>
      </c>
    </row>
    <row r="24005" spans="119:119" x14ac:dyDescent="0.2">
      <c r="DO24005" s="303" t="s">
        <v>232</v>
      </c>
    </row>
    <row r="24006" spans="119:119" x14ac:dyDescent="0.2">
      <c r="DO24006" s="303" t="s">
        <v>232</v>
      </c>
    </row>
    <row r="24007" spans="119:119" x14ac:dyDescent="0.2">
      <c r="DO24007" s="303" t="s">
        <v>232</v>
      </c>
    </row>
    <row r="24008" spans="119:119" x14ac:dyDescent="0.2">
      <c r="DO24008" s="303" t="s">
        <v>232</v>
      </c>
    </row>
    <row r="24009" spans="119:119" x14ac:dyDescent="0.2">
      <c r="DO24009" s="303" t="s">
        <v>232</v>
      </c>
    </row>
    <row r="24010" spans="119:119" x14ac:dyDescent="0.2">
      <c r="DO24010" s="303" t="s">
        <v>232</v>
      </c>
    </row>
    <row r="24011" spans="119:119" x14ac:dyDescent="0.2">
      <c r="DO24011" s="303" t="s">
        <v>232</v>
      </c>
    </row>
    <row r="24012" spans="119:119" x14ac:dyDescent="0.2">
      <c r="DO24012" s="303" t="s">
        <v>232</v>
      </c>
    </row>
    <row r="24013" spans="119:119" x14ac:dyDescent="0.2">
      <c r="DO24013" s="303" t="s">
        <v>232</v>
      </c>
    </row>
    <row r="24014" spans="119:119" x14ac:dyDescent="0.2">
      <c r="DO24014" s="303" t="s">
        <v>232</v>
      </c>
    </row>
    <row r="24015" spans="119:119" x14ac:dyDescent="0.2">
      <c r="DO24015" s="303" t="s">
        <v>232</v>
      </c>
    </row>
    <row r="24016" spans="119:119" x14ac:dyDescent="0.2">
      <c r="DO24016" s="303" t="s">
        <v>232</v>
      </c>
    </row>
    <row r="24017" spans="119:119" x14ac:dyDescent="0.2">
      <c r="DO24017" s="303" t="s">
        <v>232</v>
      </c>
    </row>
    <row r="24018" spans="119:119" x14ac:dyDescent="0.2">
      <c r="DO24018" s="303" t="s">
        <v>232</v>
      </c>
    </row>
    <row r="24019" spans="119:119" x14ac:dyDescent="0.2">
      <c r="DO24019" s="303" t="s">
        <v>232</v>
      </c>
    </row>
    <row r="24020" spans="119:119" x14ac:dyDescent="0.2">
      <c r="DO24020" s="303" t="s">
        <v>232</v>
      </c>
    </row>
    <row r="24021" spans="119:119" x14ac:dyDescent="0.2">
      <c r="DO24021" s="303" t="s">
        <v>232</v>
      </c>
    </row>
    <row r="24022" spans="119:119" x14ac:dyDescent="0.2">
      <c r="DO24022" s="303" t="s">
        <v>232</v>
      </c>
    </row>
    <row r="24023" spans="119:119" x14ac:dyDescent="0.2">
      <c r="DO24023" s="303" t="s">
        <v>232</v>
      </c>
    </row>
    <row r="24024" spans="119:119" x14ac:dyDescent="0.2">
      <c r="DO24024" s="303" t="s">
        <v>232</v>
      </c>
    </row>
    <row r="24025" spans="119:119" x14ac:dyDescent="0.2">
      <c r="DO24025" s="303" t="s">
        <v>232</v>
      </c>
    </row>
    <row r="24026" spans="119:119" x14ac:dyDescent="0.2">
      <c r="DO24026" s="303" t="s">
        <v>232</v>
      </c>
    </row>
    <row r="24027" spans="119:119" x14ac:dyDescent="0.2">
      <c r="DO24027" s="303" t="s">
        <v>232</v>
      </c>
    </row>
    <row r="24028" spans="119:119" x14ac:dyDescent="0.2">
      <c r="DO24028" s="303" t="s">
        <v>232</v>
      </c>
    </row>
    <row r="24029" spans="119:119" x14ac:dyDescent="0.2">
      <c r="DO24029" s="303" t="s">
        <v>232</v>
      </c>
    </row>
    <row r="24030" spans="119:119" x14ac:dyDescent="0.2">
      <c r="DO24030" s="303" t="s">
        <v>232</v>
      </c>
    </row>
    <row r="24031" spans="119:119" x14ac:dyDescent="0.2">
      <c r="DO24031" s="303" t="s">
        <v>232</v>
      </c>
    </row>
    <row r="24032" spans="119:119" x14ac:dyDescent="0.2">
      <c r="DO24032" s="303" t="s">
        <v>232</v>
      </c>
    </row>
    <row r="24033" spans="119:119" x14ac:dyDescent="0.2">
      <c r="DO24033" s="303" t="s">
        <v>232</v>
      </c>
    </row>
    <row r="24034" spans="119:119" x14ac:dyDescent="0.2">
      <c r="DO24034" s="303" t="s">
        <v>232</v>
      </c>
    </row>
    <row r="24035" spans="119:119" x14ac:dyDescent="0.2">
      <c r="DO24035" s="303" t="s">
        <v>232</v>
      </c>
    </row>
    <row r="24036" spans="119:119" x14ac:dyDescent="0.2">
      <c r="DO24036" s="303" t="s">
        <v>232</v>
      </c>
    </row>
    <row r="24037" spans="119:119" x14ac:dyDescent="0.2">
      <c r="DO24037" s="303" t="s">
        <v>232</v>
      </c>
    </row>
    <row r="24038" spans="119:119" x14ac:dyDescent="0.2">
      <c r="DO24038" s="303" t="s">
        <v>232</v>
      </c>
    </row>
    <row r="24039" spans="119:119" x14ac:dyDescent="0.2">
      <c r="DO24039" s="303" t="s">
        <v>232</v>
      </c>
    </row>
    <row r="24040" spans="119:119" x14ac:dyDescent="0.2">
      <c r="DO24040" s="303" t="s">
        <v>232</v>
      </c>
    </row>
    <row r="24041" spans="119:119" x14ac:dyDescent="0.2">
      <c r="DO24041" s="303" t="s">
        <v>232</v>
      </c>
    </row>
    <row r="24042" spans="119:119" x14ac:dyDescent="0.2">
      <c r="DO24042" s="303" t="s">
        <v>232</v>
      </c>
    </row>
    <row r="24043" spans="119:119" x14ac:dyDescent="0.2">
      <c r="DO24043" s="303" t="s">
        <v>232</v>
      </c>
    </row>
    <row r="24044" spans="119:119" x14ac:dyDescent="0.2">
      <c r="DO24044" s="303" t="s">
        <v>232</v>
      </c>
    </row>
    <row r="24045" spans="119:119" x14ac:dyDescent="0.2">
      <c r="DO24045" s="303" t="s">
        <v>232</v>
      </c>
    </row>
    <row r="24046" spans="119:119" x14ac:dyDescent="0.2">
      <c r="DO24046" s="303" t="s">
        <v>232</v>
      </c>
    </row>
    <row r="24047" spans="119:119" x14ac:dyDescent="0.2">
      <c r="DO24047" s="303" t="s">
        <v>232</v>
      </c>
    </row>
    <row r="24048" spans="119:119" x14ac:dyDescent="0.2">
      <c r="DO24048" s="303" t="s">
        <v>232</v>
      </c>
    </row>
    <row r="24049" spans="119:119" x14ac:dyDescent="0.2">
      <c r="DO24049" s="303" t="s">
        <v>232</v>
      </c>
    </row>
    <row r="24050" spans="119:119" x14ac:dyDescent="0.2">
      <c r="DO24050" s="303" t="s">
        <v>232</v>
      </c>
    </row>
    <row r="24051" spans="119:119" x14ac:dyDescent="0.2">
      <c r="DO24051" s="303" t="s">
        <v>232</v>
      </c>
    </row>
    <row r="24052" spans="119:119" x14ac:dyDescent="0.2">
      <c r="DO24052" s="303" t="s">
        <v>232</v>
      </c>
    </row>
    <row r="24053" spans="119:119" x14ac:dyDescent="0.2">
      <c r="DO24053" s="303" t="s">
        <v>232</v>
      </c>
    </row>
    <row r="24054" spans="119:119" x14ac:dyDescent="0.2">
      <c r="DO24054" s="303" t="s">
        <v>232</v>
      </c>
    </row>
    <row r="24055" spans="119:119" x14ac:dyDescent="0.2">
      <c r="DO24055" s="303" t="s">
        <v>232</v>
      </c>
    </row>
    <row r="24056" spans="119:119" x14ac:dyDescent="0.2">
      <c r="DO24056" s="303" t="s">
        <v>232</v>
      </c>
    </row>
    <row r="24057" spans="119:119" x14ac:dyDescent="0.2">
      <c r="DO24057" s="303" t="s">
        <v>232</v>
      </c>
    </row>
    <row r="24058" spans="119:119" x14ac:dyDescent="0.2">
      <c r="DO24058" s="303" t="s">
        <v>232</v>
      </c>
    </row>
    <row r="24059" spans="119:119" x14ac:dyDescent="0.2">
      <c r="DO24059" s="303" t="s">
        <v>232</v>
      </c>
    </row>
    <row r="24060" spans="119:119" x14ac:dyDescent="0.2">
      <c r="DO24060" s="303" t="s">
        <v>232</v>
      </c>
    </row>
    <row r="24061" spans="119:119" x14ac:dyDescent="0.2">
      <c r="DO24061" s="303" t="s">
        <v>232</v>
      </c>
    </row>
    <row r="24062" spans="119:119" x14ac:dyDescent="0.2">
      <c r="DO24062" s="303" t="s">
        <v>232</v>
      </c>
    </row>
    <row r="24063" spans="119:119" x14ac:dyDescent="0.2">
      <c r="DO24063" s="303" t="s">
        <v>232</v>
      </c>
    </row>
    <row r="24064" spans="119:119" x14ac:dyDescent="0.2">
      <c r="DO24064" s="303" t="s">
        <v>232</v>
      </c>
    </row>
    <row r="24065" spans="119:119" x14ac:dyDescent="0.2">
      <c r="DO24065" s="303" t="s">
        <v>232</v>
      </c>
    </row>
    <row r="24066" spans="119:119" x14ac:dyDescent="0.2">
      <c r="DO24066" s="303" t="s">
        <v>232</v>
      </c>
    </row>
    <row r="24067" spans="119:119" x14ac:dyDescent="0.2">
      <c r="DO24067" s="303" t="s">
        <v>232</v>
      </c>
    </row>
    <row r="24068" spans="119:119" x14ac:dyDescent="0.2">
      <c r="DO24068" s="303" t="s">
        <v>232</v>
      </c>
    </row>
    <row r="24069" spans="119:119" x14ac:dyDescent="0.2">
      <c r="DO24069" s="303" t="s">
        <v>232</v>
      </c>
    </row>
    <row r="24070" spans="119:119" x14ac:dyDescent="0.2">
      <c r="DO24070" s="303" t="s">
        <v>232</v>
      </c>
    </row>
    <row r="24071" spans="119:119" x14ac:dyDescent="0.2">
      <c r="DO24071" s="303" t="s">
        <v>232</v>
      </c>
    </row>
    <row r="24072" spans="119:119" x14ac:dyDescent="0.2">
      <c r="DO24072" s="303" t="s">
        <v>232</v>
      </c>
    </row>
    <row r="24073" spans="119:119" x14ac:dyDescent="0.2">
      <c r="DO24073" s="303" t="s">
        <v>232</v>
      </c>
    </row>
    <row r="24074" spans="119:119" x14ac:dyDescent="0.2">
      <c r="DO24074" s="303" t="s">
        <v>232</v>
      </c>
    </row>
    <row r="24075" spans="119:119" x14ac:dyDescent="0.2">
      <c r="DO24075" s="303" t="s">
        <v>232</v>
      </c>
    </row>
    <row r="24076" spans="119:119" x14ac:dyDescent="0.2">
      <c r="DO24076" s="303" t="s">
        <v>232</v>
      </c>
    </row>
    <row r="24077" spans="119:119" x14ac:dyDescent="0.2">
      <c r="DO24077" s="303" t="s">
        <v>232</v>
      </c>
    </row>
    <row r="24078" spans="119:119" x14ac:dyDescent="0.2">
      <c r="DO24078" s="303" t="s">
        <v>232</v>
      </c>
    </row>
    <row r="24079" spans="119:119" x14ac:dyDescent="0.2">
      <c r="DO24079" s="303" t="s">
        <v>232</v>
      </c>
    </row>
    <row r="24080" spans="119:119" x14ac:dyDescent="0.2">
      <c r="DO24080" s="303" t="s">
        <v>232</v>
      </c>
    </row>
    <row r="24081" spans="119:119" x14ac:dyDescent="0.2">
      <c r="DO24081" s="303" t="s">
        <v>232</v>
      </c>
    </row>
    <row r="24082" spans="119:119" x14ac:dyDescent="0.2">
      <c r="DO24082" s="303" t="s">
        <v>232</v>
      </c>
    </row>
    <row r="24083" spans="119:119" x14ac:dyDescent="0.2">
      <c r="DO24083" s="303" t="s">
        <v>232</v>
      </c>
    </row>
    <row r="24084" spans="119:119" x14ac:dyDescent="0.2">
      <c r="DO24084" s="303" t="s">
        <v>232</v>
      </c>
    </row>
    <row r="24085" spans="119:119" x14ac:dyDescent="0.2">
      <c r="DO24085" s="303" t="s">
        <v>232</v>
      </c>
    </row>
    <row r="24086" spans="119:119" x14ac:dyDescent="0.2">
      <c r="DO24086" s="303" t="s">
        <v>232</v>
      </c>
    </row>
    <row r="24087" spans="119:119" x14ac:dyDescent="0.2">
      <c r="DO24087" s="303" t="s">
        <v>232</v>
      </c>
    </row>
    <row r="24088" spans="119:119" x14ac:dyDescent="0.2">
      <c r="DO24088" s="303" t="s">
        <v>232</v>
      </c>
    </row>
    <row r="24089" spans="119:119" x14ac:dyDescent="0.2">
      <c r="DO24089" s="303" t="s">
        <v>232</v>
      </c>
    </row>
    <row r="24090" spans="119:119" x14ac:dyDescent="0.2">
      <c r="DO24090" s="303" t="s">
        <v>232</v>
      </c>
    </row>
    <row r="24091" spans="119:119" x14ac:dyDescent="0.2">
      <c r="DO24091" s="303" t="s">
        <v>232</v>
      </c>
    </row>
    <row r="24092" spans="119:119" x14ac:dyDescent="0.2">
      <c r="DO24092" s="303" t="s">
        <v>232</v>
      </c>
    </row>
    <row r="24093" spans="119:119" x14ac:dyDescent="0.2">
      <c r="DO24093" s="303" t="s">
        <v>232</v>
      </c>
    </row>
    <row r="24094" spans="119:119" x14ac:dyDescent="0.2">
      <c r="DO24094" s="303" t="s">
        <v>232</v>
      </c>
    </row>
    <row r="24095" spans="119:119" x14ac:dyDescent="0.2">
      <c r="DO24095" s="303" t="s">
        <v>232</v>
      </c>
    </row>
    <row r="24096" spans="119:119" x14ac:dyDescent="0.2">
      <c r="DO24096" s="303" t="s">
        <v>232</v>
      </c>
    </row>
    <row r="24097" spans="119:119" x14ac:dyDescent="0.2">
      <c r="DO24097" s="303" t="s">
        <v>232</v>
      </c>
    </row>
    <row r="24098" spans="119:119" x14ac:dyDescent="0.2">
      <c r="DO24098" s="303" t="s">
        <v>232</v>
      </c>
    </row>
    <row r="24099" spans="119:119" x14ac:dyDescent="0.2">
      <c r="DO24099" s="303" t="s">
        <v>232</v>
      </c>
    </row>
    <row r="24100" spans="119:119" x14ac:dyDescent="0.2">
      <c r="DO24100" s="303" t="s">
        <v>232</v>
      </c>
    </row>
    <row r="24101" spans="119:119" x14ac:dyDescent="0.2">
      <c r="DO24101" s="303" t="s">
        <v>232</v>
      </c>
    </row>
    <row r="24102" spans="119:119" x14ac:dyDescent="0.2">
      <c r="DO24102" s="303" t="s">
        <v>232</v>
      </c>
    </row>
    <row r="24103" spans="119:119" x14ac:dyDescent="0.2">
      <c r="DO24103" s="303" t="s">
        <v>232</v>
      </c>
    </row>
    <row r="24104" spans="119:119" x14ac:dyDescent="0.2">
      <c r="DO24104" s="303" t="s">
        <v>232</v>
      </c>
    </row>
    <row r="24105" spans="119:119" x14ac:dyDescent="0.2">
      <c r="DO24105" s="303" t="s">
        <v>232</v>
      </c>
    </row>
    <row r="24106" spans="119:119" x14ac:dyDescent="0.2">
      <c r="DO24106" s="303" t="s">
        <v>232</v>
      </c>
    </row>
    <row r="24107" spans="119:119" x14ac:dyDescent="0.2">
      <c r="DO24107" s="303" t="s">
        <v>232</v>
      </c>
    </row>
    <row r="24108" spans="119:119" x14ac:dyDescent="0.2">
      <c r="DO24108" s="303" t="s">
        <v>232</v>
      </c>
    </row>
    <row r="24109" spans="119:119" x14ac:dyDescent="0.2">
      <c r="DO24109" s="303" t="s">
        <v>232</v>
      </c>
    </row>
    <row r="24110" spans="119:119" x14ac:dyDescent="0.2">
      <c r="DO24110" s="303" t="s">
        <v>232</v>
      </c>
    </row>
    <row r="24111" spans="119:119" x14ac:dyDescent="0.2">
      <c r="DO24111" s="303" t="s">
        <v>232</v>
      </c>
    </row>
    <row r="24112" spans="119:119" x14ac:dyDescent="0.2">
      <c r="DO24112" s="303" t="s">
        <v>232</v>
      </c>
    </row>
    <row r="24113" spans="119:119" x14ac:dyDescent="0.2">
      <c r="DO24113" s="303" t="s">
        <v>232</v>
      </c>
    </row>
    <row r="24114" spans="119:119" x14ac:dyDescent="0.2">
      <c r="DO24114" s="303" t="s">
        <v>232</v>
      </c>
    </row>
    <row r="24115" spans="119:119" x14ac:dyDescent="0.2">
      <c r="DO24115" s="303" t="s">
        <v>232</v>
      </c>
    </row>
    <row r="24116" spans="119:119" x14ac:dyDescent="0.2">
      <c r="DO24116" s="303" t="s">
        <v>232</v>
      </c>
    </row>
    <row r="24117" spans="119:119" x14ac:dyDescent="0.2">
      <c r="DO24117" s="303" t="s">
        <v>232</v>
      </c>
    </row>
    <row r="24118" spans="119:119" x14ac:dyDescent="0.2">
      <c r="DO24118" s="303" t="s">
        <v>232</v>
      </c>
    </row>
    <row r="24119" spans="119:119" x14ac:dyDescent="0.2">
      <c r="DO24119" s="303" t="s">
        <v>232</v>
      </c>
    </row>
    <row r="24120" spans="119:119" x14ac:dyDescent="0.2">
      <c r="DO24120" s="303" t="s">
        <v>232</v>
      </c>
    </row>
    <row r="24121" spans="119:119" x14ac:dyDescent="0.2">
      <c r="DO24121" s="303" t="s">
        <v>232</v>
      </c>
    </row>
    <row r="24122" spans="119:119" x14ac:dyDescent="0.2">
      <c r="DO24122" s="303" t="s">
        <v>232</v>
      </c>
    </row>
    <row r="24123" spans="119:119" x14ac:dyDescent="0.2">
      <c r="DO24123" s="303" t="s">
        <v>232</v>
      </c>
    </row>
    <row r="24124" spans="119:119" x14ac:dyDescent="0.2">
      <c r="DO24124" s="303" t="s">
        <v>232</v>
      </c>
    </row>
    <row r="24125" spans="119:119" x14ac:dyDescent="0.2">
      <c r="DO24125" s="303" t="s">
        <v>232</v>
      </c>
    </row>
    <row r="24126" spans="119:119" x14ac:dyDescent="0.2">
      <c r="DO24126" s="303" t="s">
        <v>232</v>
      </c>
    </row>
    <row r="24127" spans="119:119" x14ac:dyDescent="0.2">
      <c r="DO24127" s="303" t="s">
        <v>232</v>
      </c>
    </row>
    <row r="24128" spans="119:119" x14ac:dyDescent="0.2">
      <c r="DO24128" s="303" t="s">
        <v>232</v>
      </c>
    </row>
    <row r="24129" spans="119:119" x14ac:dyDescent="0.2">
      <c r="DO24129" s="303" t="s">
        <v>232</v>
      </c>
    </row>
    <row r="24130" spans="119:119" x14ac:dyDescent="0.2">
      <c r="DO24130" s="303" t="s">
        <v>232</v>
      </c>
    </row>
    <row r="24131" spans="119:119" x14ac:dyDescent="0.2">
      <c r="DO24131" s="303" t="s">
        <v>232</v>
      </c>
    </row>
    <row r="24132" spans="119:119" x14ac:dyDescent="0.2">
      <c r="DO24132" s="303" t="s">
        <v>232</v>
      </c>
    </row>
    <row r="24133" spans="119:119" x14ac:dyDescent="0.2">
      <c r="DO24133" s="303" t="s">
        <v>232</v>
      </c>
    </row>
    <row r="24134" spans="119:119" x14ac:dyDescent="0.2">
      <c r="DO24134" s="303" t="s">
        <v>232</v>
      </c>
    </row>
    <row r="24135" spans="119:119" x14ac:dyDescent="0.2">
      <c r="DO24135" s="303" t="s">
        <v>232</v>
      </c>
    </row>
    <row r="24136" spans="119:119" x14ac:dyDescent="0.2">
      <c r="DO24136" s="303" t="s">
        <v>232</v>
      </c>
    </row>
    <row r="24137" spans="119:119" x14ac:dyDescent="0.2">
      <c r="DO24137" s="303" t="s">
        <v>232</v>
      </c>
    </row>
    <row r="24138" spans="119:119" x14ac:dyDescent="0.2">
      <c r="DO24138" s="303" t="s">
        <v>232</v>
      </c>
    </row>
    <row r="24139" spans="119:119" x14ac:dyDescent="0.2">
      <c r="DO24139" s="303" t="s">
        <v>232</v>
      </c>
    </row>
    <row r="24140" spans="119:119" x14ac:dyDescent="0.2">
      <c r="DO24140" s="303" t="s">
        <v>232</v>
      </c>
    </row>
    <row r="24141" spans="119:119" x14ac:dyDescent="0.2">
      <c r="DO24141" s="303" t="s">
        <v>232</v>
      </c>
    </row>
    <row r="24142" spans="119:119" x14ac:dyDescent="0.2">
      <c r="DO24142" s="303" t="s">
        <v>232</v>
      </c>
    </row>
    <row r="24143" spans="119:119" x14ac:dyDescent="0.2">
      <c r="DO24143" s="303" t="s">
        <v>232</v>
      </c>
    </row>
    <row r="24144" spans="119:119" x14ac:dyDescent="0.2">
      <c r="DO24144" s="303" t="s">
        <v>232</v>
      </c>
    </row>
    <row r="24145" spans="119:119" x14ac:dyDescent="0.2">
      <c r="DO24145" s="303" t="s">
        <v>232</v>
      </c>
    </row>
    <row r="24146" spans="119:119" x14ac:dyDescent="0.2">
      <c r="DO24146" s="303" t="s">
        <v>232</v>
      </c>
    </row>
    <row r="24147" spans="119:119" x14ac:dyDescent="0.2">
      <c r="DO24147" s="303" t="s">
        <v>232</v>
      </c>
    </row>
    <row r="24148" spans="119:119" x14ac:dyDescent="0.2">
      <c r="DO24148" s="303" t="s">
        <v>232</v>
      </c>
    </row>
    <row r="24149" spans="119:119" x14ac:dyDescent="0.2">
      <c r="DO24149" s="303" t="s">
        <v>232</v>
      </c>
    </row>
    <row r="24150" spans="119:119" x14ac:dyDescent="0.2">
      <c r="DO24150" s="303" t="s">
        <v>232</v>
      </c>
    </row>
    <row r="24151" spans="119:119" x14ac:dyDescent="0.2">
      <c r="DO24151" s="303" t="s">
        <v>232</v>
      </c>
    </row>
    <row r="24152" spans="119:119" x14ac:dyDescent="0.2">
      <c r="DO24152" s="303" t="s">
        <v>232</v>
      </c>
    </row>
    <row r="24153" spans="119:119" x14ac:dyDescent="0.2">
      <c r="DO24153" s="303" t="s">
        <v>232</v>
      </c>
    </row>
    <row r="24154" spans="119:119" x14ac:dyDescent="0.2">
      <c r="DO24154" s="303" t="s">
        <v>232</v>
      </c>
    </row>
    <row r="24155" spans="119:119" x14ac:dyDescent="0.2">
      <c r="DO24155" s="303" t="s">
        <v>232</v>
      </c>
    </row>
    <row r="24156" spans="119:119" x14ac:dyDescent="0.2">
      <c r="DO24156" s="303" t="s">
        <v>232</v>
      </c>
    </row>
    <row r="24157" spans="119:119" x14ac:dyDescent="0.2">
      <c r="DO24157" s="303" t="s">
        <v>232</v>
      </c>
    </row>
    <row r="24158" spans="119:119" x14ac:dyDescent="0.2">
      <c r="DO24158" s="303" t="s">
        <v>232</v>
      </c>
    </row>
    <row r="24159" spans="119:119" x14ac:dyDescent="0.2">
      <c r="DO24159" s="303" t="s">
        <v>232</v>
      </c>
    </row>
    <row r="24160" spans="119:119" x14ac:dyDescent="0.2">
      <c r="DO24160" s="303" t="s">
        <v>232</v>
      </c>
    </row>
    <row r="24161" spans="119:119" x14ac:dyDescent="0.2">
      <c r="DO24161" s="303" t="s">
        <v>232</v>
      </c>
    </row>
    <row r="24162" spans="119:119" x14ac:dyDescent="0.2">
      <c r="DO24162" s="303" t="s">
        <v>232</v>
      </c>
    </row>
    <row r="24163" spans="119:119" x14ac:dyDescent="0.2">
      <c r="DO24163" s="303" t="s">
        <v>232</v>
      </c>
    </row>
    <row r="24164" spans="119:119" x14ac:dyDescent="0.2">
      <c r="DO24164" s="303" t="s">
        <v>232</v>
      </c>
    </row>
    <row r="24165" spans="119:119" x14ac:dyDescent="0.2">
      <c r="DO24165" s="303" t="s">
        <v>232</v>
      </c>
    </row>
    <row r="24166" spans="119:119" x14ac:dyDescent="0.2">
      <c r="DO24166" s="303" t="s">
        <v>232</v>
      </c>
    </row>
    <row r="24167" spans="119:119" x14ac:dyDescent="0.2">
      <c r="DO24167" s="303" t="s">
        <v>232</v>
      </c>
    </row>
    <row r="24168" spans="119:119" x14ac:dyDescent="0.2">
      <c r="DO24168" s="303" t="s">
        <v>232</v>
      </c>
    </row>
    <row r="24169" spans="119:119" x14ac:dyDescent="0.2">
      <c r="DO24169" s="303" t="s">
        <v>232</v>
      </c>
    </row>
    <row r="24170" spans="119:119" x14ac:dyDescent="0.2">
      <c r="DO24170" s="303" t="s">
        <v>232</v>
      </c>
    </row>
    <row r="24171" spans="119:119" x14ac:dyDescent="0.2">
      <c r="DO24171" s="303" t="s">
        <v>232</v>
      </c>
    </row>
    <row r="24172" spans="119:119" x14ac:dyDescent="0.2">
      <c r="DO24172" s="303" t="s">
        <v>232</v>
      </c>
    </row>
    <row r="24173" spans="119:119" x14ac:dyDescent="0.2">
      <c r="DO24173" s="303" t="s">
        <v>232</v>
      </c>
    </row>
    <row r="24174" spans="119:119" x14ac:dyDescent="0.2">
      <c r="DO24174" s="303" t="s">
        <v>232</v>
      </c>
    </row>
    <row r="24175" spans="119:119" x14ac:dyDescent="0.2">
      <c r="DO24175" s="303" t="s">
        <v>232</v>
      </c>
    </row>
    <row r="24176" spans="119:119" x14ac:dyDescent="0.2">
      <c r="DO24176" s="303" t="s">
        <v>232</v>
      </c>
    </row>
    <row r="24177" spans="119:119" x14ac:dyDescent="0.2">
      <c r="DO24177" s="303" t="s">
        <v>232</v>
      </c>
    </row>
    <row r="24178" spans="119:119" x14ac:dyDescent="0.2">
      <c r="DO24178" s="303" t="s">
        <v>232</v>
      </c>
    </row>
    <row r="24179" spans="119:119" x14ac:dyDescent="0.2">
      <c r="DO24179" s="303" t="s">
        <v>232</v>
      </c>
    </row>
    <row r="24180" spans="119:119" x14ac:dyDescent="0.2">
      <c r="DO24180" s="303" t="s">
        <v>232</v>
      </c>
    </row>
    <row r="24181" spans="119:119" x14ac:dyDescent="0.2">
      <c r="DO24181" s="303" t="s">
        <v>232</v>
      </c>
    </row>
    <row r="24182" spans="119:119" x14ac:dyDescent="0.2">
      <c r="DO24182" s="303" t="s">
        <v>232</v>
      </c>
    </row>
    <row r="24183" spans="119:119" x14ac:dyDescent="0.2">
      <c r="DO24183" s="303" t="s">
        <v>232</v>
      </c>
    </row>
    <row r="24184" spans="119:119" x14ac:dyDescent="0.2">
      <c r="DO24184" s="303" t="s">
        <v>232</v>
      </c>
    </row>
    <row r="24185" spans="119:119" x14ac:dyDescent="0.2">
      <c r="DO24185" s="303" t="s">
        <v>232</v>
      </c>
    </row>
    <row r="24186" spans="119:119" x14ac:dyDescent="0.2">
      <c r="DO24186" s="303" t="s">
        <v>232</v>
      </c>
    </row>
    <row r="24187" spans="119:119" x14ac:dyDescent="0.2">
      <c r="DO24187" s="303" t="s">
        <v>232</v>
      </c>
    </row>
    <row r="24188" spans="119:119" x14ac:dyDescent="0.2">
      <c r="DO24188" s="303" t="s">
        <v>232</v>
      </c>
    </row>
    <row r="24189" spans="119:119" x14ac:dyDescent="0.2">
      <c r="DO24189" s="303" t="s">
        <v>232</v>
      </c>
    </row>
    <row r="24190" spans="119:119" x14ac:dyDescent="0.2">
      <c r="DO24190" s="303" t="s">
        <v>232</v>
      </c>
    </row>
    <row r="24191" spans="119:119" x14ac:dyDescent="0.2">
      <c r="DO24191" s="303" t="s">
        <v>232</v>
      </c>
    </row>
    <row r="24192" spans="119:119" x14ac:dyDescent="0.2">
      <c r="DO24192" s="303" t="s">
        <v>232</v>
      </c>
    </row>
    <row r="24193" spans="119:119" x14ac:dyDescent="0.2">
      <c r="DO24193" s="303" t="s">
        <v>232</v>
      </c>
    </row>
    <row r="24194" spans="119:119" x14ac:dyDescent="0.2">
      <c r="DO24194" s="303" t="s">
        <v>232</v>
      </c>
    </row>
    <row r="24195" spans="119:119" x14ac:dyDescent="0.2">
      <c r="DO24195" s="303" t="s">
        <v>232</v>
      </c>
    </row>
    <row r="24196" spans="119:119" x14ac:dyDescent="0.2">
      <c r="DO24196" s="303" t="s">
        <v>232</v>
      </c>
    </row>
    <row r="24197" spans="119:119" x14ac:dyDescent="0.2">
      <c r="DO24197" s="303" t="s">
        <v>232</v>
      </c>
    </row>
    <row r="24198" spans="119:119" x14ac:dyDescent="0.2">
      <c r="DO24198" s="303" t="s">
        <v>232</v>
      </c>
    </row>
    <row r="24199" spans="119:119" x14ac:dyDescent="0.2">
      <c r="DO24199" s="303" t="s">
        <v>232</v>
      </c>
    </row>
    <row r="24200" spans="119:119" x14ac:dyDescent="0.2">
      <c r="DO24200" s="303" t="s">
        <v>232</v>
      </c>
    </row>
    <row r="24201" spans="119:119" x14ac:dyDescent="0.2">
      <c r="DO24201" s="303" t="s">
        <v>232</v>
      </c>
    </row>
    <row r="24202" spans="119:119" x14ac:dyDescent="0.2">
      <c r="DO24202" s="303" t="s">
        <v>232</v>
      </c>
    </row>
    <row r="24203" spans="119:119" x14ac:dyDescent="0.2">
      <c r="DO24203" s="303" t="s">
        <v>232</v>
      </c>
    </row>
    <row r="24204" spans="119:119" x14ac:dyDescent="0.2">
      <c r="DO24204" s="303" t="s">
        <v>232</v>
      </c>
    </row>
    <row r="24205" spans="119:119" x14ac:dyDescent="0.2">
      <c r="DO24205" s="303" t="s">
        <v>232</v>
      </c>
    </row>
    <row r="24206" spans="119:119" x14ac:dyDescent="0.2">
      <c r="DO24206" s="303" t="s">
        <v>232</v>
      </c>
    </row>
    <row r="24207" spans="119:119" x14ac:dyDescent="0.2">
      <c r="DO24207" s="303" t="s">
        <v>232</v>
      </c>
    </row>
    <row r="24208" spans="119:119" x14ac:dyDescent="0.2">
      <c r="DO24208" s="303" t="s">
        <v>232</v>
      </c>
    </row>
    <row r="24209" spans="119:119" x14ac:dyDescent="0.2">
      <c r="DO24209" s="303" t="s">
        <v>232</v>
      </c>
    </row>
    <row r="24210" spans="119:119" x14ac:dyDescent="0.2">
      <c r="DO24210" s="303" t="s">
        <v>232</v>
      </c>
    </row>
    <row r="24211" spans="119:119" x14ac:dyDescent="0.2">
      <c r="DO24211" s="303" t="s">
        <v>232</v>
      </c>
    </row>
    <row r="24212" spans="119:119" x14ac:dyDescent="0.2">
      <c r="DO24212" s="303" t="s">
        <v>232</v>
      </c>
    </row>
    <row r="24213" spans="119:119" x14ac:dyDescent="0.2">
      <c r="DO24213" s="303" t="s">
        <v>232</v>
      </c>
    </row>
    <row r="24214" spans="119:119" x14ac:dyDescent="0.2">
      <c r="DO24214" s="303" t="s">
        <v>232</v>
      </c>
    </row>
    <row r="24215" spans="119:119" x14ac:dyDescent="0.2">
      <c r="DO24215" s="303" t="s">
        <v>232</v>
      </c>
    </row>
    <row r="24216" spans="119:119" x14ac:dyDescent="0.2">
      <c r="DO24216" s="303" t="s">
        <v>232</v>
      </c>
    </row>
    <row r="24217" spans="119:119" x14ac:dyDescent="0.2">
      <c r="DO24217" s="303" t="s">
        <v>232</v>
      </c>
    </row>
    <row r="24218" spans="119:119" x14ac:dyDescent="0.2">
      <c r="DO24218" s="303" t="s">
        <v>232</v>
      </c>
    </row>
    <row r="24219" spans="119:119" x14ac:dyDescent="0.2">
      <c r="DO24219" s="303" t="s">
        <v>232</v>
      </c>
    </row>
    <row r="24220" spans="119:119" x14ac:dyDescent="0.2">
      <c r="DO24220" s="303" t="s">
        <v>232</v>
      </c>
    </row>
    <row r="24221" spans="119:119" x14ac:dyDescent="0.2">
      <c r="DO24221" s="303" t="s">
        <v>232</v>
      </c>
    </row>
    <row r="24222" spans="119:119" x14ac:dyDescent="0.2">
      <c r="DO24222" s="303" t="s">
        <v>232</v>
      </c>
    </row>
    <row r="24223" spans="119:119" x14ac:dyDescent="0.2">
      <c r="DO24223" s="303" t="s">
        <v>232</v>
      </c>
    </row>
    <row r="24224" spans="119:119" x14ac:dyDescent="0.2">
      <c r="DO24224" s="303" t="s">
        <v>232</v>
      </c>
    </row>
    <row r="24225" spans="119:119" x14ac:dyDescent="0.2">
      <c r="DO24225" s="303" t="s">
        <v>232</v>
      </c>
    </row>
    <row r="24226" spans="119:119" x14ac:dyDescent="0.2">
      <c r="DO24226" s="303" t="s">
        <v>232</v>
      </c>
    </row>
    <row r="24227" spans="119:119" x14ac:dyDescent="0.2">
      <c r="DO24227" s="303" t="s">
        <v>232</v>
      </c>
    </row>
    <row r="24228" spans="119:119" x14ac:dyDescent="0.2">
      <c r="DO24228" s="303" t="s">
        <v>232</v>
      </c>
    </row>
    <row r="24229" spans="119:119" x14ac:dyDescent="0.2">
      <c r="DO24229" s="303" t="s">
        <v>232</v>
      </c>
    </row>
    <row r="24230" spans="119:119" x14ac:dyDescent="0.2">
      <c r="DO24230" s="303" t="s">
        <v>232</v>
      </c>
    </row>
    <row r="24231" spans="119:119" x14ac:dyDescent="0.2">
      <c r="DO24231" s="303" t="s">
        <v>232</v>
      </c>
    </row>
    <row r="24232" spans="119:119" x14ac:dyDescent="0.2">
      <c r="DO24232" s="303" t="s">
        <v>232</v>
      </c>
    </row>
    <row r="24233" spans="119:119" x14ac:dyDescent="0.2">
      <c r="DO24233" s="303" t="s">
        <v>232</v>
      </c>
    </row>
    <row r="24234" spans="119:119" x14ac:dyDescent="0.2">
      <c r="DO24234" s="303" t="s">
        <v>232</v>
      </c>
    </row>
    <row r="24235" spans="119:119" x14ac:dyDescent="0.2">
      <c r="DO24235" s="303" t="s">
        <v>232</v>
      </c>
    </row>
    <row r="24236" spans="119:119" x14ac:dyDescent="0.2">
      <c r="DO24236" s="303" t="s">
        <v>232</v>
      </c>
    </row>
    <row r="24237" spans="119:119" x14ac:dyDescent="0.2">
      <c r="DO24237" s="303" t="s">
        <v>232</v>
      </c>
    </row>
    <row r="24238" spans="119:119" x14ac:dyDescent="0.2">
      <c r="DO24238" s="303" t="s">
        <v>232</v>
      </c>
    </row>
    <row r="24239" spans="119:119" x14ac:dyDescent="0.2">
      <c r="DO24239" s="303" t="s">
        <v>232</v>
      </c>
    </row>
    <row r="24240" spans="119:119" x14ac:dyDescent="0.2">
      <c r="DO24240" s="303" t="s">
        <v>232</v>
      </c>
    </row>
    <row r="24241" spans="119:119" x14ac:dyDescent="0.2">
      <c r="DO24241" s="303" t="s">
        <v>232</v>
      </c>
    </row>
    <row r="24242" spans="119:119" x14ac:dyDescent="0.2">
      <c r="DO24242" s="303" t="s">
        <v>232</v>
      </c>
    </row>
    <row r="24243" spans="119:119" x14ac:dyDescent="0.2">
      <c r="DO24243" s="303" t="s">
        <v>232</v>
      </c>
    </row>
    <row r="24244" spans="119:119" x14ac:dyDescent="0.2">
      <c r="DO24244" s="303" t="s">
        <v>232</v>
      </c>
    </row>
    <row r="24245" spans="119:119" x14ac:dyDescent="0.2">
      <c r="DO24245" s="303" t="s">
        <v>232</v>
      </c>
    </row>
    <row r="24246" spans="119:119" x14ac:dyDescent="0.2">
      <c r="DO24246" s="303" t="s">
        <v>232</v>
      </c>
    </row>
    <row r="24247" spans="119:119" x14ac:dyDescent="0.2">
      <c r="DO24247" s="303" t="s">
        <v>232</v>
      </c>
    </row>
    <row r="24248" spans="119:119" x14ac:dyDescent="0.2">
      <c r="DO24248" s="303" t="s">
        <v>232</v>
      </c>
    </row>
    <row r="24249" spans="119:119" x14ac:dyDescent="0.2">
      <c r="DO24249" s="303" t="s">
        <v>232</v>
      </c>
    </row>
    <row r="24250" spans="119:119" x14ac:dyDescent="0.2">
      <c r="DO24250" s="303" t="s">
        <v>232</v>
      </c>
    </row>
    <row r="24251" spans="119:119" x14ac:dyDescent="0.2">
      <c r="DO24251" s="303" t="s">
        <v>232</v>
      </c>
    </row>
    <row r="24252" spans="119:119" x14ac:dyDescent="0.2">
      <c r="DO24252" s="303" t="s">
        <v>232</v>
      </c>
    </row>
    <row r="24253" spans="119:119" x14ac:dyDescent="0.2">
      <c r="DO24253" s="303" t="s">
        <v>232</v>
      </c>
    </row>
    <row r="24254" spans="119:119" x14ac:dyDescent="0.2">
      <c r="DO24254" s="303" t="s">
        <v>232</v>
      </c>
    </row>
    <row r="24255" spans="119:119" x14ac:dyDescent="0.2">
      <c r="DO24255" s="303" t="s">
        <v>232</v>
      </c>
    </row>
    <row r="24256" spans="119:119" x14ac:dyDescent="0.2">
      <c r="DO24256" s="303" t="s">
        <v>232</v>
      </c>
    </row>
    <row r="24257" spans="119:119" x14ac:dyDescent="0.2">
      <c r="DO24257" s="303" t="s">
        <v>232</v>
      </c>
    </row>
    <row r="24258" spans="119:119" x14ac:dyDescent="0.2">
      <c r="DO24258" s="303" t="s">
        <v>232</v>
      </c>
    </row>
    <row r="24259" spans="119:119" x14ac:dyDescent="0.2">
      <c r="DO24259" s="303" t="s">
        <v>232</v>
      </c>
    </row>
    <row r="24260" spans="119:119" x14ac:dyDescent="0.2">
      <c r="DO24260" s="303" t="s">
        <v>232</v>
      </c>
    </row>
    <row r="24261" spans="119:119" x14ac:dyDescent="0.2">
      <c r="DO24261" s="303" t="s">
        <v>232</v>
      </c>
    </row>
    <row r="24262" spans="119:119" x14ac:dyDescent="0.2">
      <c r="DO24262" s="303" t="s">
        <v>232</v>
      </c>
    </row>
    <row r="24263" spans="119:119" x14ac:dyDescent="0.2">
      <c r="DO24263" s="303" t="s">
        <v>232</v>
      </c>
    </row>
    <row r="24264" spans="119:119" x14ac:dyDescent="0.2">
      <c r="DO24264" s="303" t="s">
        <v>232</v>
      </c>
    </row>
    <row r="24265" spans="119:119" x14ac:dyDescent="0.2">
      <c r="DO24265" s="303" t="s">
        <v>232</v>
      </c>
    </row>
    <row r="24266" spans="119:119" x14ac:dyDescent="0.2">
      <c r="DO24266" s="303" t="s">
        <v>232</v>
      </c>
    </row>
    <row r="24267" spans="119:119" x14ac:dyDescent="0.2">
      <c r="DO24267" s="303" t="s">
        <v>232</v>
      </c>
    </row>
    <row r="24268" spans="119:119" x14ac:dyDescent="0.2">
      <c r="DO24268" s="303" t="s">
        <v>232</v>
      </c>
    </row>
    <row r="24269" spans="119:119" x14ac:dyDescent="0.2">
      <c r="DO24269" s="303" t="s">
        <v>232</v>
      </c>
    </row>
    <row r="24270" spans="119:119" x14ac:dyDescent="0.2">
      <c r="DO24270" s="303" t="s">
        <v>232</v>
      </c>
    </row>
    <row r="24271" spans="119:119" x14ac:dyDescent="0.2">
      <c r="DO24271" s="303" t="s">
        <v>232</v>
      </c>
    </row>
    <row r="24272" spans="119:119" x14ac:dyDescent="0.2">
      <c r="DO24272" s="303" t="s">
        <v>232</v>
      </c>
    </row>
    <row r="24273" spans="119:119" x14ac:dyDescent="0.2">
      <c r="DO24273" s="303" t="s">
        <v>232</v>
      </c>
    </row>
    <row r="24274" spans="119:119" x14ac:dyDescent="0.2">
      <c r="DO24274" s="303" t="s">
        <v>232</v>
      </c>
    </row>
    <row r="24275" spans="119:119" x14ac:dyDescent="0.2">
      <c r="DO24275" s="303" t="s">
        <v>232</v>
      </c>
    </row>
    <row r="24276" spans="119:119" x14ac:dyDescent="0.2">
      <c r="DO24276" s="303" t="s">
        <v>232</v>
      </c>
    </row>
    <row r="24277" spans="119:119" x14ac:dyDescent="0.2">
      <c r="DO24277" s="303" t="s">
        <v>232</v>
      </c>
    </row>
    <row r="24278" spans="119:119" x14ac:dyDescent="0.2">
      <c r="DO24278" s="303" t="s">
        <v>232</v>
      </c>
    </row>
    <row r="24279" spans="119:119" x14ac:dyDescent="0.2">
      <c r="DO24279" s="303" t="s">
        <v>232</v>
      </c>
    </row>
    <row r="24280" spans="119:119" x14ac:dyDescent="0.2">
      <c r="DO24280" s="303" t="s">
        <v>232</v>
      </c>
    </row>
    <row r="24281" spans="119:119" x14ac:dyDescent="0.2">
      <c r="DO24281" s="303" t="s">
        <v>232</v>
      </c>
    </row>
    <row r="24282" spans="119:119" x14ac:dyDescent="0.2">
      <c r="DO24282" s="303" t="s">
        <v>232</v>
      </c>
    </row>
    <row r="24283" spans="119:119" x14ac:dyDescent="0.2">
      <c r="DO24283" s="303" t="s">
        <v>232</v>
      </c>
    </row>
    <row r="24284" spans="119:119" x14ac:dyDescent="0.2">
      <c r="DO24284" s="303" t="s">
        <v>232</v>
      </c>
    </row>
    <row r="24285" spans="119:119" x14ac:dyDescent="0.2">
      <c r="DO24285" s="303" t="s">
        <v>232</v>
      </c>
    </row>
    <row r="24286" spans="119:119" x14ac:dyDescent="0.2">
      <c r="DO24286" s="303" t="s">
        <v>232</v>
      </c>
    </row>
    <row r="24287" spans="119:119" x14ac:dyDescent="0.2">
      <c r="DO24287" s="303" t="s">
        <v>232</v>
      </c>
    </row>
    <row r="24288" spans="119:119" x14ac:dyDescent="0.2">
      <c r="DO24288" s="303" t="s">
        <v>232</v>
      </c>
    </row>
    <row r="24289" spans="119:119" x14ac:dyDescent="0.2">
      <c r="DO24289" s="303" t="s">
        <v>232</v>
      </c>
    </row>
    <row r="24290" spans="119:119" x14ac:dyDescent="0.2">
      <c r="DO24290" s="303" t="s">
        <v>232</v>
      </c>
    </row>
    <row r="24291" spans="119:119" x14ac:dyDescent="0.2">
      <c r="DO24291" s="303" t="s">
        <v>232</v>
      </c>
    </row>
    <row r="24292" spans="119:119" x14ac:dyDescent="0.2">
      <c r="DO24292" s="303" t="s">
        <v>232</v>
      </c>
    </row>
    <row r="24293" spans="119:119" x14ac:dyDescent="0.2">
      <c r="DO24293" s="303" t="s">
        <v>232</v>
      </c>
    </row>
    <row r="24294" spans="119:119" x14ac:dyDescent="0.2">
      <c r="DO24294" s="303" t="s">
        <v>232</v>
      </c>
    </row>
    <row r="24295" spans="119:119" x14ac:dyDescent="0.2">
      <c r="DO24295" s="303" t="s">
        <v>232</v>
      </c>
    </row>
    <row r="24296" spans="119:119" x14ac:dyDescent="0.2">
      <c r="DO24296" s="303" t="s">
        <v>232</v>
      </c>
    </row>
    <row r="24297" spans="119:119" x14ac:dyDescent="0.2">
      <c r="DO24297" s="303" t="s">
        <v>232</v>
      </c>
    </row>
    <row r="24298" spans="119:119" x14ac:dyDescent="0.2">
      <c r="DO24298" s="303" t="s">
        <v>232</v>
      </c>
    </row>
    <row r="24299" spans="119:119" x14ac:dyDescent="0.2">
      <c r="DO24299" s="303" t="s">
        <v>232</v>
      </c>
    </row>
    <row r="24300" spans="119:119" x14ac:dyDescent="0.2">
      <c r="DO24300" s="303" t="s">
        <v>232</v>
      </c>
    </row>
    <row r="24301" spans="119:119" x14ac:dyDescent="0.2">
      <c r="DO24301" s="303" t="s">
        <v>232</v>
      </c>
    </row>
    <row r="24302" spans="119:119" x14ac:dyDescent="0.2">
      <c r="DO24302" s="303" t="s">
        <v>232</v>
      </c>
    </row>
    <row r="24303" spans="119:119" x14ac:dyDescent="0.2">
      <c r="DO24303" s="303" t="s">
        <v>232</v>
      </c>
    </row>
    <row r="24304" spans="119:119" x14ac:dyDescent="0.2">
      <c r="DO24304" s="303" t="s">
        <v>232</v>
      </c>
    </row>
    <row r="24305" spans="119:119" x14ac:dyDescent="0.2">
      <c r="DO24305" s="303" t="s">
        <v>232</v>
      </c>
    </row>
    <row r="24306" spans="119:119" x14ac:dyDescent="0.2">
      <c r="DO24306" s="303" t="s">
        <v>232</v>
      </c>
    </row>
    <row r="24307" spans="119:119" x14ac:dyDescent="0.2">
      <c r="DO24307" s="303" t="s">
        <v>232</v>
      </c>
    </row>
    <row r="24308" spans="119:119" x14ac:dyDescent="0.2">
      <c r="DO24308" s="303" t="s">
        <v>232</v>
      </c>
    </row>
    <row r="24309" spans="119:119" x14ac:dyDescent="0.2">
      <c r="DO24309" s="303" t="s">
        <v>232</v>
      </c>
    </row>
    <row r="24310" spans="119:119" x14ac:dyDescent="0.2">
      <c r="DO24310" s="303" t="s">
        <v>232</v>
      </c>
    </row>
    <row r="24311" spans="119:119" x14ac:dyDescent="0.2">
      <c r="DO24311" s="303" t="s">
        <v>232</v>
      </c>
    </row>
    <row r="24312" spans="119:119" x14ac:dyDescent="0.2">
      <c r="DO24312" s="303" t="s">
        <v>232</v>
      </c>
    </row>
    <row r="24313" spans="119:119" x14ac:dyDescent="0.2">
      <c r="DO24313" s="303" t="s">
        <v>232</v>
      </c>
    </row>
    <row r="24314" spans="119:119" x14ac:dyDescent="0.2">
      <c r="DO24314" s="303" t="s">
        <v>232</v>
      </c>
    </row>
    <row r="24315" spans="119:119" x14ac:dyDescent="0.2">
      <c r="DO24315" s="303" t="s">
        <v>232</v>
      </c>
    </row>
    <row r="24316" spans="119:119" x14ac:dyDescent="0.2">
      <c r="DO24316" s="303" t="s">
        <v>232</v>
      </c>
    </row>
    <row r="24317" spans="119:119" x14ac:dyDescent="0.2">
      <c r="DO24317" s="303" t="s">
        <v>232</v>
      </c>
    </row>
    <row r="24318" spans="119:119" x14ac:dyDescent="0.2">
      <c r="DO24318" s="303" t="s">
        <v>232</v>
      </c>
    </row>
    <row r="24319" spans="119:119" x14ac:dyDescent="0.2">
      <c r="DO24319" s="303" t="s">
        <v>232</v>
      </c>
    </row>
    <row r="24320" spans="119:119" x14ac:dyDescent="0.2">
      <c r="DO24320" s="303" t="s">
        <v>232</v>
      </c>
    </row>
    <row r="24321" spans="119:119" x14ac:dyDescent="0.2">
      <c r="DO24321" s="303" t="s">
        <v>232</v>
      </c>
    </row>
    <row r="24322" spans="119:119" x14ac:dyDescent="0.2">
      <c r="DO24322" s="303" t="s">
        <v>232</v>
      </c>
    </row>
    <row r="24323" spans="119:119" x14ac:dyDescent="0.2">
      <c r="DO24323" s="303" t="s">
        <v>232</v>
      </c>
    </row>
    <row r="24324" spans="119:119" x14ac:dyDescent="0.2">
      <c r="DO24324" s="303" t="s">
        <v>232</v>
      </c>
    </row>
    <row r="24325" spans="119:119" x14ac:dyDescent="0.2">
      <c r="DO24325" s="303" t="s">
        <v>232</v>
      </c>
    </row>
    <row r="24326" spans="119:119" x14ac:dyDescent="0.2">
      <c r="DO24326" s="303" t="s">
        <v>232</v>
      </c>
    </row>
    <row r="24327" spans="119:119" x14ac:dyDescent="0.2">
      <c r="DO24327" s="303" t="s">
        <v>232</v>
      </c>
    </row>
    <row r="24328" spans="119:119" x14ac:dyDescent="0.2">
      <c r="DO24328" s="303" t="s">
        <v>232</v>
      </c>
    </row>
    <row r="24329" spans="119:119" x14ac:dyDescent="0.2">
      <c r="DO24329" s="303" t="s">
        <v>232</v>
      </c>
    </row>
    <row r="24330" spans="119:119" x14ac:dyDescent="0.2">
      <c r="DO24330" s="303" t="s">
        <v>232</v>
      </c>
    </row>
    <row r="24331" spans="119:119" x14ac:dyDescent="0.2">
      <c r="DO24331" s="303" t="s">
        <v>232</v>
      </c>
    </row>
    <row r="24332" spans="119:119" x14ac:dyDescent="0.2">
      <c r="DO24332" s="303" t="s">
        <v>232</v>
      </c>
    </row>
    <row r="24333" spans="119:119" x14ac:dyDescent="0.2">
      <c r="DO24333" s="303" t="s">
        <v>232</v>
      </c>
    </row>
    <row r="24334" spans="119:119" x14ac:dyDescent="0.2">
      <c r="DO24334" s="303" t="s">
        <v>232</v>
      </c>
    </row>
    <row r="24335" spans="119:119" x14ac:dyDescent="0.2">
      <c r="DO24335" s="303" t="s">
        <v>232</v>
      </c>
    </row>
    <row r="24336" spans="119:119" x14ac:dyDescent="0.2">
      <c r="DO24336" s="303" t="s">
        <v>232</v>
      </c>
    </row>
    <row r="24337" spans="119:119" x14ac:dyDescent="0.2">
      <c r="DO24337" s="303" t="s">
        <v>232</v>
      </c>
    </row>
    <row r="24338" spans="119:119" x14ac:dyDescent="0.2">
      <c r="DO24338" s="303" t="s">
        <v>232</v>
      </c>
    </row>
    <row r="24339" spans="119:119" x14ac:dyDescent="0.2">
      <c r="DO24339" s="303" t="s">
        <v>232</v>
      </c>
    </row>
    <row r="24340" spans="119:119" x14ac:dyDescent="0.2">
      <c r="DO24340" s="303" t="s">
        <v>232</v>
      </c>
    </row>
    <row r="24341" spans="119:119" x14ac:dyDescent="0.2">
      <c r="DO24341" s="303" t="s">
        <v>232</v>
      </c>
    </row>
    <row r="24342" spans="119:119" x14ac:dyDescent="0.2">
      <c r="DO24342" s="303" t="s">
        <v>232</v>
      </c>
    </row>
    <row r="24343" spans="119:119" x14ac:dyDescent="0.2">
      <c r="DO24343" s="303" t="s">
        <v>232</v>
      </c>
    </row>
    <row r="24344" spans="119:119" x14ac:dyDescent="0.2">
      <c r="DO24344" s="303" t="s">
        <v>232</v>
      </c>
    </row>
    <row r="24345" spans="119:119" x14ac:dyDescent="0.2">
      <c r="DO24345" s="303" t="s">
        <v>232</v>
      </c>
    </row>
    <row r="24346" spans="119:119" x14ac:dyDescent="0.2">
      <c r="DO24346" s="303" t="s">
        <v>232</v>
      </c>
    </row>
    <row r="24347" spans="119:119" x14ac:dyDescent="0.2">
      <c r="DO24347" s="303" t="s">
        <v>232</v>
      </c>
    </row>
    <row r="24348" spans="119:119" x14ac:dyDescent="0.2">
      <c r="DO24348" s="303" t="s">
        <v>232</v>
      </c>
    </row>
    <row r="24349" spans="119:119" x14ac:dyDescent="0.2">
      <c r="DO24349" s="303" t="s">
        <v>232</v>
      </c>
    </row>
    <row r="24350" spans="119:119" x14ac:dyDescent="0.2">
      <c r="DO24350" s="303" t="s">
        <v>232</v>
      </c>
    </row>
    <row r="24351" spans="119:119" x14ac:dyDescent="0.2">
      <c r="DO24351" s="303" t="s">
        <v>232</v>
      </c>
    </row>
    <row r="24352" spans="119:119" x14ac:dyDescent="0.2">
      <c r="DO24352" s="303" t="s">
        <v>232</v>
      </c>
    </row>
    <row r="24353" spans="119:119" x14ac:dyDescent="0.2">
      <c r="DO24353" s="303" t="s">
        <v>232</v>
      </c>
    </row>
    <row r="24354" spans="119:119" x14ac:dyDescent="0.2">
      <c r="DO24354" s="303" t="s">
        <v>232</v>
      </c>
    </row>
    <row r="24355" spans="119:119" x14ac:dyDescent="0.2">
      <c r="DO24355" s="303" t="s">
        <v>232</v>
      </c>
    </row>
    <row r="24356" spans="119:119" x14ac:dyDescent="0.2">
      <c r="DO24356" s="303" t="s">
        <v>232</v>
      </c>
    </row>
    <row r="24357" spans="119:119" x14ac:dyDescent="0.2">
      <c r="DO24357" s="303" t="s">
        <v>232</v>
      </c>
    </row>
    <row r="24358" spans="119:119" x14ac:dyDescent="0.2">
      <c r="DO24358" s="303" t="s">
        <v>232</v>
      </c>
    </row>
    <row r="24359" spans="119:119" x14ac:dyDescent="0.2">
      <c r="DO24359" s="303" t="s">
        <v>232</v>
      </c>
    </row>
    <row r="24360" spans="119:119" x14ac:dyDescent="0.2">
      <c r="DO24360" s="303" t="s">
        <v>232</v>
      </c>
    </row>
    <row r="24361" spans="119:119" x14ac:dyDescent="0.2">
      <c r="DO24361" s="303" t="s">
        <v>232</v>
      </c>
    </row>
    <row r="24362" spans="119:119" x14ac:dyDescent="0.2">
      <c r="DO24362" s="303" t="s">
        <v>232</v>
      </c>
    </row>
    <row r="24363" spans="119:119" x14ac:dyDescent="0.2">
      <c r="DO24363" s="303" t="s">
        <v>232</v>
      </c>
    </row>
    <row r="24364" spans="119:119" x14ac:dyDescent="0.2">
      <c r="DO24364" s="303" t="s">
        <v>232</v>
      </c>
    </row>
    <row r="24365" spans="119:119" x14ac:dyDescent="0.2">
      <c r="DO24365" s="303" t="s">
        <v>232</v>
      </c>
    </row>
    <row r="24366" spans="119:119" x14ac:dyDescent="0.2">
      <c r="DO24366" s="303" t="s">
        <v>232</v>
      </c>
    </row>
    <row r="24367" spans="119:119" x14ac:dyDescent="0.2">
      <c r="DO24367" s="303" t="s">
        <v>232</v>
      </c>
    </row>
    <row r="24368" spans="119:119" x14ac:dyDescent="0.2">
      <c r="DO24368" s="303" t="s">
        <v>232</v>
      </c>
    </row>
    <row r="24369" spans="119:119" x14ac:dyDescent="0.2">
      <c r="DO24369" s="303" t="s">
        <v>232</v>
      </c>
    </row>
    <row r="24370" spans="119:119" x14ac:dyDescent="0.2">
      <c r="DO24370" s="303" t="s">
        <v>232</v>
      </c>
    </row>
    <row r="24371" spans="119:119" x14ac:dyDescent="0.2">
      <c r="DO24371" s="303" t="s">
        <v>232</v>
      </c>
    </row>
    <row r="24372" spans="119:119" x14ac:dyDescent="0.2">
      <c r="DO24372" s="303" t="s">
        <v>232</v>
      </c>
    </row>
    <row r="24373" spans="119:119" x14ac:dyDescent="0.2">
      <c r="DO24373" s="303" t="s">
        <v>232</v>
      </c>
    </row>
    <row r="24374" spans="119:119" x14ac:dyDescent="0.2">
      <c r="DO24374" s="303" t="s">
        <v>232</v>
      </c>
    </row>
    <row r="24375" spans="119:119" x14ac:dyDescent="0.2">
      <c r="DO24375" s="303" t="s">
        <v>232</v>
      </c>
    </row>
    <row r="24376" spans="119:119" x14ac:dyDescent="0.2">
      <c r="DO24376" s="303" t="s">
        <v>232</v>
      </c>
    </row>
    <row r="24377" spans="119:119" x14ac:dyDescent="0.2">
      <c r="DO24377" s="303" t="s">
        <v>232</v>
      </c>
    </row>
    <row r="24378" spans="119:119" x14ac:dyDescent="0.2">
      <c r="DO24378" s="303" t="s">
        <v>232</v>
      </c>
    </row>
    <row r="24379" spans="119:119" x14ac:dyDescent="0.2">
      <c r="DO24379" s="303" t="s">
        <v>232</v>
      </c>
    </row>
    <row r="24380" spans="119:119" x14ac:dyDescent="0.2">
      <c r="DO24380" s="303" t="s">
        <v>232</v>
      </c>
    </row>
    <row r="24381" spans="119:119" x14ac:dyDescent="0.2">
      <c r="DO24381" s="303" t="s">
        <v>232</v>
      </c>
    </row>
    <row r="24382" spans="119:119" x14ac:dyDescent="0.2">
      <c r="DO24382" s="303" t="s">
        <v>232</v>
      </c>
    </row>
    <row r="24383" spans="119:119" x14ac:dyDescent="0.2">
      <c r="DO24383" s="303" t="s">
        <v>232</v>
      </c>
    </row>
    <row r="24384" spans="119:119" x14ac:dyDescent="0.2">
      <c r="DO24384" s="303" t="s">
        <v>232</v>
      </c>
    </row>
    <row r="24385" spans="119:119" x14ac:dyDescent="0.2">
      <c r="DO24385" s="303" t="s">
        <v>232</v>
      </c>
    </row>
    <row r="24386" spans="119:119" x14ac:dyDescent="0.2">
      <c r="DO24386" s="303" t="s">
        <v>232</v>
      </c>
    </row>
    <row r="24387" spans="119:119" x14ac:dyDescent="0.2">
      <c r="DO24387" s="303" t="s">
        <v>232</v>
      </c>
    </row>
    <row r="24388" spans="119:119" x14ac:dyDescent="0.2">
      <c r="DO24388" s="303" t="s">
        <v>232</v>
      </c>
    </row>
    <row r="24389" spans="119:119" x14ac:dyDescent="0.2">
      <c r="DO24389" s="303" t="s">
        <v>232</v>
      </c>
    </row>
    <row r="24390" spans="119:119" x14ac:dyDescent="0.2">
      <c r="DO24390" s="303" t="s">
        <v>232</v>
      </c>
    </row>
    <row r="24391" spans="119:119" x14ac:dyDescent="0.2">
      <c r="DO24391" s="303" t="s">
        <v>232</v>
      </c>
    </row>
    <row r="24392" spans="119:119" x14ac:dyDescent="0.2">
      <c r="DO24392" s="303" t="s">
        <v>232</v>
      </c>
    </row>
    <row r="24393" spans="119:119" x14ac:dyDescent="0.2">
      <c r="DO24393" s="303" t="s">
        <v>232</v>
      </c>
    </row>
    <row r="24394" spans="119:119" x14ac:dyDescent="0.2">
      <c r="DO24394" s="303" t="s">
        <v>232</v>
      </c>
    </row>
    <row r="24395" spans="119:119" x14ac:dyDescent="0.2">
      <c r="DO24395" s="303" t="s">
        <v>232</v>
      </c>
    </row>
    <row r="24396" spans="119:119" x14ac:dyDescent="0.2">
      <c r="DO24396" s="303" t="s">
        <v>232</v>
      </c>
    </row>
    <row r="24397" spans="119:119" x14ac:dyDescent="0.2">
      <c r="DO24397" s="303" t="s">
        <v>232</v>
      </c>
    </row>
    <row r="24398" spans="119:119" x14ac:dyDescent="0.2">
      <c r="DO24398" s="303" t="s">
        <v>232</v>
      </c>
    </row>
    <row r="24399" spans="119:119" x14ac:dyDescent="0.2">
      <c r="DO24399" s="303" t="s">
        <v>232</v>
      </c>
    </row>
    <row r="24400" spans="119:119" x14ac:dyDescent="0.2">
      <c r="DO24400" s="303" t="s">
        <v>232</v>
      </c>
    </row>
    <row r="24401" spans="119:119" x14ac:dyDescent="0.2">
      <c r="DO24401" s="303" t="s">
        <v>232</v>
      </c>
    </row>
    <row r="24402" spans="119:119" x14ac:dyDescent="0.2">
      <c r="DO24402" s="303" t="s">
        <v>232</v>
      </c>
    </row>
    <row r="24403" spans="119:119" x14ac:dyDescent="0.2">
      <c r="DO24403" s="303" t="s">
        <v>232</v>
      </c>
    </row>
    <row r="24404" spans="119:119" x14ac:dyDescent="0.2">
      <c r="DO24404" s="303" t="s">
        <v>232</v>
      </c>
    </row>
    <row r="24405" spans="119:119" x14ac:dyDescent="0.2">
      <c r="DO24405" s="303" t="s">
        <v>232</v>
      </c>
    </row>
    <row r="24406" spans="119:119" x14ac:dyDescent="0.2">
      <c r="DO24406" s="303" t="s">
        <v>232</v>
      </c>
    </row>
    <row r="24407" spans="119:119" x14ac:dyDescent="0.2">
      <c r="DO24407" s="303" t="s">
        <v>232</v>
      </c>
    </row>
    <row r="24408" spans="119:119" x14ac:dyDescent="0.2">
      <c r="DO24408" s="303" t="s">
        <v>232</v>
      </c>
    </row>
    <row r="24409" spans="119:119" x14ac:dyDescent="0.2">
      <c r="DO24409" s="303" t="s">
        <v>232</v>
      </c>
    </row>
    <row r="24410" spans="119:119" x14ac:dyDescent="0.2">
      <c r="DO24410" s="303" t="s">
        <v>232</v>
      </c>
    </row>
    <row r="24411" spans="119:119" x14ac:dyDescent="0.2">
      <c r="DO24411" s="303" t="s">
        <v>232</v>
      </c>
    </row>
    <row r="24412" spans="119:119" x14ac:dyDescent="0.2">
      <c r="DO24412" s="303" t="s">
        <v>232</v>
      </c>
    </row>
    <row r="24413" spans="119:119" x14ac:dyDescent="0.2">
      <c r="DO24413" s="303" t="s">
        <v>232</v>
      </c>
    </row>
    <row r="24414" spans="119:119" x14ac:dyDescent="0.2">
      <c r="DO24414" s="303" t="s">
        <v>232</v>
      </c>
    </row>
    <row r="24415" spans="119:119" x14ac:dyDescent="0.2">
      <c r="DO24415" s="303" t="s">
        <v>232</v>
      </c>
    </row>
    <row r="24416" spans="119:119" x14ac:dyDescent="0.2">
      <c r="DO24416" s="303" t="s">
        <v>232</v>
      </c>
    </row>
    <row r="24417" spans="119:119" x14ac:dyDescent="0.2">
      <c r="DO24417" s="303" t="s">
        <v>232</v>
      </c>
    </row>
    <row r="24418" spans="119:119" x14ac:dyDescent="0.2">
      <c r="DO24418" s="303" t="s">
        <v>232</v>
      </c>
    </row>
    <row r="24419" spans="119:119" x14ac:dyDescent="0.2">
      <c r="DO24419" s="303" t="s">
        <v>232</v>
      </c>
    </row>
    <row r="24420" spans="119:119" x14ac:dyDescent="0.2">
      <c r="DO24420" s="303" t="s">
        <v>232</v>
      </c>
    </row>
    <row r="24421" spans="119:119" x14ac:dyDescent="0.2">
      <c r="DO24421" s="303" t="s">
        <v>232</v>
      </c>
    </row>
    <row r="24422" spans="119:119" x14ac:dyDescent="0.2">
      <c r="DO24422" s="303" t="s">
        <v>232</v>
      </c>
    </row>
    <row r="24423" spans="119:119" x14ac:dyDescent="0.2">
      <c r="DO24423" s="303" t="s">
        <v>232</v>
      </c>
    </row>
    <row r="24424" spans="119:119" x14ac:dyDescent="0.2">
      <c r="DO24424" s="303" t="s">
        <v>232</v>
      </c>
    </row>
    <row r="24425" spans="119:119" x14ac:dyDescent="0.2">
      <c r="DO24425" s="303" t="s">
        <v>232</v>
      </c>
    </row>
    <row r="24426" spans="119:119" x14ac:dyDescent="0.2">
      <c r="DO24426" s="303" t="s">
        <v>232</v>
      </c>
    </row>
    <row r="24427" spans="119:119" x14ac:dyDescent="0.2">
      <c r="DO24427" s="303" t="s">
        <v>232</v>
      </c>
    </row>
    <row r="24428" spans="119:119" x14ac:dyDescent="0.2">
      <c r="DO24428" s="303" t="s">
        <v>232</v>
      </c>
    </row>
    <row r="24429" spans="119:119" x14ac:dyDescent="0.2">
      <c r="DO24429" s="303" t="s">
        <v>232</v>
      </c>
    </row>
    <row r="24430" spans="119:119" x14ac:dyDescent="0.2">
      <c r="DO24430" s="303" t="s">
        <v>232</v>
      </c>
    </row>
    <row r="24431" spans="119:119" x14ac:dyDescent="0.2">
      <c r="DO24431" s="303" t="s">
        <v>232</v>
      </c>
    </row>
    <row r="24432" spans="119:119" x14ac:dyDescent="0.2">
      <c r="DO24432" s="303" t="s">
        <v>232</v>
      </c>
    </row>
    <row r="24433" spans="119:119" x14ac:dyDescent="0.2">
      <c r="DO24433" s="303" t="s">
        <v>232</v>
      </c>
    </row>
    <row r="24434" spans="119:119" x14ac:dyDescent="0.2">
      <c r="DO24434" s="303" t="s">
        <v>232</v>
      </c>
    </row>
    <row r="24435" spans="119:119" x14ac:dyDescent="0.2">
      <c r="DO24435" s="303" t="s">
        <v>232</v>
      </c>
    </row>
    <row r="24436" spans="119:119" x14ac:dyDescent="0.2">
      <c r="DO24436" s="303" t="s">
        <v>232</v>
      </c>
    </row>
    <row r="24437" spans="119:119" x14ac:dyDescent="0.2">
      <c r="DO24437" s="303" t="s">
        <v>232</v>
      </c>
    </row>
    <row r="24438" spans="119:119" x14ac:dyDescent="0.2">
      <c r="DO24438" s="303" t="s">
        <v>232</v>
      </c>
    </row>
    <row r="24439" spans="119:119" x14ac:dyDescent="0.2">
      <c r="DO24439" s="303" t="s">
        <v>232</v>
      </c>
    </row>
    <row r="24440" spans="119:119" x14ac:dyDescent="0.2">
      <c r="DO24440" s="303" t="s">
        <v>232</v>
      </c>
    </row>
    <row r="24441" spans="119:119" x14ac:dyDescent="0.2">
      <c r="DO24441" s="303" t="s">
        <v>232</v>
      </c>
    </row>
    <row r="24442" spans="119:119" x14ac:dyDescent="0.2">
      <c r="DO24442" s="303" t="s">
        <v>232</v>
      </c>
    </row>
    <row r="24443" spans="119:119" x14ac:dyDescent="0.2">
      <c r="DO24443" s="303" t="s">
        <v>232</v>
      </c>
    </row>
    <row r="24444" spans="119:119" x14ac:dyDescent="0.2">
      <c r="DO24444" s="303" t="s">
        <v>232</v>
      </c>
    </row>
    <row r="24445" spans="119:119" x14ac:dyDescent="0.2">
      <c r="DO24445" s="303" t="s">
        <v>232</v>
      </c>
    </row>
    <row r="24446" spans="119:119" x14ac:dyDescent="0.2">
      <c r="DO24446" s="303" t="s">
        <v>232</v>
      </c>
    </row>
    <row r="24447" spans="119:119" x14ac:dyDescent="0.2">
      <c r="DO24447" s="303" t="s">
        <v>232</v>
      </c>
    </row>
    <row r="24448" spans="119:119" x14ac:dyDescent="0.2">
      <c r="DO24448" s="303" t="s">
        <v>232</v>
      </c>
    </row>
    <row r="24449" spans="119:119" x14ac:dyDescent="0.2">
      <c r="DO24449" s="303" t="s">
        <v>232</v>
      </c>
    </row>
    <row r="24450" spans="119:119" x14ac:dyDescent="0.2">
      <c r="DO24450" s="303" t="s">
        <v>232</v>
      </c>
    </row>
    <row r="24451" spans="119:119" x14ac:dyDescent="0.2">
      <c r="DO24451" s="303" t="s">
        <v>232</v>
      </c>
    </row>
    <row r="24452" spans="119:119" x14ac:dyDescent="0.2">
      <c r="DO24452" s="303" t="s">
        <v>232</v>
      </c>
    </row>
    <row r="24453" spans="119:119" x14ac:dyDescent="0.2">
      <c r="DO24453" s="303" t="s">
        <v>232</v>
      </c>
    </row>
    <row r="24454" spans="119:119" x14ac:dyDescent="0.2">
      <c r="DO24454" s="303" t="s">
        <v>232</v>
      </c>
    </row>
    <row r="24455" spans="119:119" x14ac:dyDescent="0.2">
      <c r="DO24455" s="303" t="s">
        <v>232</v>
      </c>
    </row>
    <row r="24456" spans="119:119" x14ac:dyDescent="0.2">
      <c r="DO24456" s="303" t="s">
        <v>232</v>
      </c>
    </row>
    <row r="24457" spans="119:119" x14ac:dyDescent="0.2">
      <c r="DO24457" s="303" t="s">
        <v>232</v>
      </c>
    </row>
    <row r="24458" spans="119:119" x14ac:dyDescent="0.2">
      <c r="DO24458" s="303" t="s">
        <v>232</v>
      </c>
    </row>
    <row r="24459" spans="119:119" x14ac:dyDescent="0.2">
      <c r="DO24459" s="303" t="s">
        <v>232</v>
      </c>
    </row>
    <row r="24460" spans="119:119" x14ac:dyDescent="0.2">
      <c r="DO24460" s="303" t="s">
        <v>232</v>
      </c>
    </row>
    <row r="24461" spans="119:119" x14ac:dyDescent="0.2">
      <c r="DO24461" s="303" t="s">
        <v>232</v>
      </c>
    </row>
    <row r="24462" spans="119:119" x14ac:dyDescent="0.2">
      <c r="DO24462" s="303" t="s">
        <v>232</v>
      </c>
    </row>
    <row r="24463" spans="119:119" x14ac:dyDescent="0.2">
      <c r="DO24463" s="303" t="s">
        <v>232</v>
      </c>
    </row>
    <row r="24464" spans="119:119" x14ac:dyDescent="0.2">
      <c r="DO24464" s="303" t="s">
        <v>232</v>
      </c>
    </row>
    <row r="24465" spans="119:119" x14ac:dyDescent="0.2">
      <c r="DO24465" s="303" t="s">
        <v>232</v>
      </c>
    </row>
    <row r="24466" spans="119:119" x14ac:dyDescent="0.2">
      <c r="DO24466" s="303" t="s">
        <v>232</v>
      </c>
    </row>
    <row r="24467" spans="119:119" x14ac:dyDescent="0.2">
      <c r="DO24467" s="303" t="s">
        <v>232</v>
      </c>
    </row>
    <row r="24468" spans="119:119" x14ac:dyDescent="0.2">
      <c r="DO24468" s="303" t="s">
        <v>232</v>
      </c>
    </row>
    <row r="24469" spans="119:119" x14ac:dyDescent="0.2">
      <c r="DO24469" s="303" t="s">
        <v>232</v>
      </c>
    </row>
    <row r="24470" spans="119:119" x14ac:dyDescent="0.2">
      <c r="DO24470" s="303" t="s">
        <v>232</v>
      </c>
    </row>
    <row r="24471" spans="119:119" x14ac:dyDescent="0.2">
      <c r="DO24471" s="303" t="s">
        <v>232</v>
      </c>
    </row>
    <row r="24472" spans="119:119" x14ac:dyDescent="0.2">
      <c r="DO24472" s="303" t="s">
        <v>232</v>
      </c>
    </row>
    <row r="24473" spans="119:119" x14ac:dyDescent="0.2">
      <c r="DO24473" s="303" t="s">
        <v>232</v>
      </c>
    </row>
    <row r="24474" spans="119:119" x14ac:dyDescent="0.2">
      <c r="DO24474" s="303" t="s">
        <v>232</v>
      </c>
    </row>
    <row r="24475" spans="119:119" x14ac:dyDescent="0.2">
      <c r="DO24475" s="303" t="s">
        <v>232</v>
      </c>
    </row>
    <row r="24476" spans="119:119" x14ac:dyDescent="0.2">
      <c r="DO24476" s="303" t="s">
        <v>232</v>
      </c>
    </row>
    <row r="24477" spans="119:119" x14ac:dyDescent="0.2">
      <c r="DO24477" s="303" t="s">
        <v>232</v>
      </c>
    </row>
    <row r="24478" spans="119:119" x14ac:dyDescent="0.2">
      <c r="DO24478" s="303" t="s">
        <v>232</v>
      </c>
    </row>
    <row r="24479" spans="119:119" x14ac:dyDescent="0.2">
      <c r="DO24479" s="303" t="s">
        <v>232</v>
      </c>
    </row>
    <row r="24480" spans="119:119" x14ac:dyDescent="0.2">
      <c r="DO24480" s="303" t="s">
        <v>232</v>
      </c>
    </row>
    <row r="24481" spans="119:119" x14ac:dyDescent="0.2">
      <c r="DO24481" s="303" t="s">
        <v>232</v>
      </c>
    </row>
    <row r="24482" spans="119:119" x14ac:dyDescent="0.2">
      <c r="DO24482" s="303" t="s">
        <v>232</v>
      </c>
    </row>
    <row r="24483" spans="119:119" x14ac:dyDescent="0.2">
      <c r="DO24483" s="303" t="s">
        <v>232</v>
      </c>
    </row>
    <row r="24484" spans="119:119" x14ac:dyDescent="0.2">
      <c r="DO24484" s="303" t="s">
        <v>232</v>
      </c>
    </row>
    <row r="24485" spans="119:119" x14ac:dyDescent="0.2">
      <c r="DO24485" s="303" t="s">
        <v>232</v>
      </c>
    </row>
    <row r="24486" spans="119:119" x14ac:dyDescent="0.2">
      <c r="DO24486" s="303" t="s">
        <v>232</v>
      </c>
    </row>
    <row r="24487" spans="119:119" x14ac:dyDescent="0.2">
      <c r="DO24487" s="303" t="s">
        <v>232</v>
      </c>
    </row>
    <row r="24488" spans="119:119" x14ac:dyDescent="0.2">
      <c r="DO24488" s="303" t="s">
        <v>232</v>
      </c>
    </row>
    <row r="24489" spans="119:119" x14ac:dyDescent="0.2">
      <c r="DO24489" s="303" t="s">
        <v>232</v>
      </c>
    </row>
    <row r="24490" spans="119:119" x14ac:dyDescent="0.2">
      <c r="DO24490" s="303" t="s">
        <v>232</v>
      </c>
    </row>
    <row r="24491" spans="119:119" x14ac:dyDescent="0.2">
      <c r="DO24491" s="303" t="s">
        <v>232</v>
      </c>
    </row>
    <row r="24492" spans="119:119" x14ac:dyDescent="0.2">
      <c r="DO24492" s="303" t="s">
        <v>232</v>
      </c>
    </row>
    <row r="24493" spans="119:119" x14ac:dyDescent="0.2">
      <c r="DO24493" s="303" t="s">
        <v>232</v>
      </c>
    </row>
    <row r="24494" spans="119:119" x14ac:dyDescent="0.2">
      <c r="DO24494" s="303" t="s">
        <v>232</v>
      </c>
    </row>
    <row r="24495" spans="119:119" x14ac:dyDescent="0.2">
      <c r="DO24495" s="303" t="s">
        <v>232</v>
      </c>
    </row>
    <row r="24496" spans="119:119" x14ac:dyDescent="0.2">
      <c r="DO24496" s="303" t="s">
        <v>232</v>
      </c>
    </row>
    <row r="24497" spans="119:119" x14ac:dyDescent="0.2">
      <c r="DO24497" s="303" t="s">
        <v>232</v>
      </c>
    </row>
    <row r="24498" spans="119:119" x14ac:dyDescent="0.2">
      <c r="DO24498" s="303" t="s">
        <v>232</v>
      </c>
    </row>
    <row r="24499" spans="119:119" x14ac:dyDescent="0.2">
      <c r="DO24499" s="303" t="s">
        <v>232</v>
      </c>
    </row>
    <row r="24500" spans="119:119" x14ac:dyDescent="0.2">
      <c r="DO24500" s="303" t="s">
        <v>232</v>
      </c>
    </row>
    <row r="24501" spans="119:119" x14ac:dyDescent="0.2">
      <c r="DO24501" s="303" t="s">
        <v>232</v>
      </c>
    </row>
    <row r="24502" spans="119:119" x14ac:dyDescent="0.2">
      <c r="DO24502" s="303" t="s">
        <v>232</v>
      </c>
    </row>
    <row r="24503" spans="119:119" x14ac:dyDescent="0.2">
      <c r="DO24503" s="303" t="s">
        <v>232</v>
      </c>
    </row>
    <row r="24504" spans="119:119" x14ac:dyDescent="0.2">
      <c r="DO24504" s="303" t="s">
        <v>232</v>
      </c>
    </row>
    <row r="24505" spans="119:119" x14ac:dyDescent="0.2">
      <c r="DO24505" s="303" t="s">
        <v>232</v>
      </c>
    </row>
    <row r="24506" spans="119:119" x14ac:dyDescent="0.2">
      <c r="DO24506" s="303" t="s">
        <v>232</v>
      </c>
    </row>
    <row r="24507" spans="119:119" x14ac:dyDescent="0.2">
      <c r="DO24507" s="303" t="s">
        <v>232</v>
      </c>
    </row>
    <row r="24508" spans="119:119" x14ac:dyDescent="0.2">
      <c r="DO24508" s="303" t="s">
        <v>232</v>
      </c>
    </row>
    <row r="24509" spans="119:119" x14ac:dyDescent="0.2">
      <c r="DO24509" s="303" t="s">
        <v>232</v>
      </c>
    </row>
    <row r="24510" spans="119:119" x14ac:dyDescent="0.2">
      <c r="DO24510" s="303" t="s">
        <v>232</v>
      </c>
    </row>
    <row r="24511" spans="119:119" x14ac:dyDescent="0.2">
      <c r="DO24511" s="303" t="s">
        <v>232</v>
      </c>
    </row>
    <row r="24512" spans="119:119" x14ac:dyDescent="0.2">
      <c r="DO24512" s="303" t="s">
        <v>232</v>
      </c>
    </row>
    <row r="24513" spans="119:119" x14ac:dyDescent="0.2">
      <c r="DO24513" s="303" t="s">
        <v>232</v>
      </c>
    </row>
    <row r="24514" spans="119:119" x14ac:dyDescent="0.2">
      <c r="DO24514" s="303" t="s">
        <v>232</v>
      </c>
    </row>
    <row r="24515" spans="119:119" x14ac:dyDescent="0.2">
      <c r="DO24515" s="303" t="s">
        <v>232</v>
      </c>
    </row>
    <row r="24516" spans="119:119" x14ac:dyDescent="0.2">
      <c r="DO24516" s="303" t="s">
        <v>232</v>
      </c>
    </row>
    <row r="24517" spans="119:119" x14ac:dyDescent="0.2">
      <c r="DO24517" s="303" t="s">
        <v>232</v>
      </c>
    </row>
    <row r="24518" spans="119:119" x14ac:dyDescent="0.2">
      <c r="DO24518" s="303" t="s">
        <v>232</v>
      </c>
    </row>
    <row r="24519" spans="119:119" x14ac:dyDescent="0.2">
      <c r="DO24519" s="303" t="s">
        <v>232</v>
      </c>
    </row>
    <row r="24520" spans="119:119" x14ac:dyDescent="0.2">
      <c r="DO24520" s="303" t="s">
        <v>232</v>
      </c>
    </row>
    <row r="24521" spans="119:119" x14ac:dyDescent="0.2">
      <c r="DO24521" s="303" t="s">
        <v>232</v>
      </c>
    </row>
    <row r="24522" spans="119:119" x14ac:dyDescent="0.2">
      <c r="DO24522" s="303" t="s">
        <v>232</v>
      </c>
    </row>
    <row r="24523" spans="119:119" x14ac:dyDescent="0.2">
      <c r="DO24523" s="303" t="s">
        <v>232</v>
      </c>
    </row>
    <row r="24524" spans="119:119" x14ac:dyDescent="0.2">
      <c r="DO24524" s="303" t="s">
        <v>232</v>
      </c>
    </row>
    <row r="24525" spans="119:119" x14ac:dyDescent="0.2">
      <c r="DO24525" s="303" t="s">
        <v>232</v>
      </c>
    </row>
    <row r="24526" spans="119:119" x14ac:dyDescent="0.2">
      <c r="DO24526" s="303" t="s">
        <v>232</v>
      </c>
    </row>
    <row r="24527" spans="119:119" x14ac:dyDescent="0.2">
      <c r="DO24527" s="303" t="s">
        <v>232</v>
      </c>
    </row>
    <row r="24528" spans="119:119" x14ac:dyDescent="0.2">
      <c r="DO24528" s="303" t="s">
        <v>232</v>
      </c>
    </row>
    <row r="24529" spans="119:119" x14ac:dyDescent="0.2">
      <c r="DO24529" s="303" t="s">
        <v>232</v>
      </c>
    </row>
    <row r="24530" spans="119:119" x14ac:dyDescent="0.2">
      <c r="DO24530" s="303" t="s">
        <v>232</v>
      </c>
    </row>
    <row r="24531" spans="119:119" x14ac:dyDescent="0.2">
      <c r="DO24531" s="303" t="s">
        <v>232</v>
      </c>
    </row>
    <row r="24532" spans="119:119" x14ac:dyDescent="0.2">
      <c r="DO24532" s="303" t="s">
        <v>232</v>
      </c>
    </row>
    <row r="24533" spans="119:119" x14ac:dyDescent="0.2">
      <c r="DO24533" s="303" t="s">
        <v>232</v>
      </c>
    </row>
    <row r="24534" spans="119:119" x14ac:dyDescent="0.2">
      <c r="DO24534" s="303" t="s">
        <v>232</v>
      </c>
    </row>
    <row r="24535" spans="119:119" x14ac:dyDescent="0.2">
      <c r="DO24535" s="303" t="s">
        <v>232</v>
      </c>
    </row>
    <row r="24536" spans="119:119" x14ac:dyDescent="0.2">
      <c r="DO24536" s="303" t="s">
        <v>232</v>
      </c>
    </row>
    <row r="24537" spans="119:119" x14ac:dyDescent="0.2">
      <c r="DO24537" s="303" t="s">
        <v>232</v>
      </c>
    </row>
    <row r="24538" spans="119:119" x14ac:dyDescent="0.2">
      <c r="DO24538" s="303" t="s">
        <v>232</v>
      </c>
    </row>
    <row r="24539" spans="119:119" x14ac:dyDescent="0.2">
      <c r="DO24539" s="303" t="s">
        <v>232</v>
      </c>
    </row>
    <row r="24540" spans="119:119" x14ac:dyDescent="0.2">
      <c r="DO24540" s="303" t="s">
        <v>232</v>
      </c>
    </row>
    <row r="24541" spans="119:119" x14ac:dyDescent="0.2">
      <c r="DO24541" s="303" t="s">
        <v>232</v>
      </c>
    </row>
    <row r="24542" spans="119:119" x14ac:dyDescent="0.2">
      <c r="DO24542" s="303" t="s">
        <v>232</v>
      </c>
    </row>
    <row r="24543" spans="119:119" x14ac:dyDescent="0.2">
      <c r="DO24543" s="303" t="s">
        <v>232</v>
      </c>
    </row>
    <row r="24544" spans="119:119" x14ac:dyDescent="0.2">
      <c r="DO24544" s="303" t="s">
        <v>232</v>
      </c>
    </row>
    <row r="24545" spans="119:119" x14ac:dyDescent="0.2">
      <c r="DO24545" s="303" t="s">
        <v>232</v>
      </c>
    </row>
    <row r="24546" spans="119:119" x14ac:dyDescent="0.2">
      <c r="DO24546" s="303" t="s">
        <v>232</v>
      </c>
    </row>
    <row r="24547" spans="119:119" x14ac:dyDescent="0.2">
      <c r="DO24547" s="303" t="s">
        <v>232</v>
      </c>
    </row>
    <row r="24548" spans="119:119" x14ac:dyDescent="0.2">
      <c r="DO24548" s="303" t="s">
        <v>232</v>
      </c>
    </row>
    <row r="24549" spans="119:119" x14ac:dyDescent="0.2">
      <c r="DO24549" s="303" t="s">
        <v>232</v>
      </c>
    </row>
    <row r="24550" spans="119:119" x14ac:dyDescent="0.2">
      <c r="DO24550" s="303" t="s">
        <v>232</v>
      </c>
    </row>
    <row r="24551" spans="119:119" x14ac:dyDescent="0.2">
      <c r="DO24551" s="303" t="s">
        <v>232</v>
      </c>
    </row>
    <row r="24552" spans="119:119" x14ac:dyDescent="0.2">
      <c r="DO24552" s="303" t="s">
        <v>232</v>
      </c>
    </row>
    <row r="24553" spans="119:119" x14ac:dyDescent="0.2">
      <c r="DO24553" s="303" t="s">
        <v>232</v>
      </c>
    </row>
    <row r="24554" spans="119:119" x14ac:dyDescent="0.2">
      <c r="DO24554" s="303" t="s">
        <v>232</v>
      </c>
    </row>
    <row r="24555" spans="119:119" x14ac:dyDescent="0.2">
      <c r="DO24555" s="303" t="s">
        <v>232</v>
      </c>
    </row>
    <row r="24556" spans="119:119" x14ac:dyDescent="0.2">
      <c r="DO24556" s="303" t="s">
        <v>232</v>
      </c>
    </row>
    <row r="24557" spans="119:119" x14ac:dyDescent="0.2">
      <c r="DO24557" s="303" t="s">
        <v>232</v>
      </c>
    </row>
    <row r="24558" spans="119:119" x14ac:dyDescent="0.2">
      <c r="DO24558" s="303" t="s">
        <v>232</v>
      </c>
    </row>
    <row r="24559" spans="119:119" x14ac:dyDescent="0.2">
      <c r="DO24559" s="303" t="s">
        <v>232</v>
      </c>
    </row>
    <row r="24560" spans="119:119" x14ac:dyDescent="0.2">
      <c r="DO24560" s="303" t="s">
        <v>232</v>
      </c>
    </row>
    <row r="24561" spans="119:119" x14ac:dyDescent="0.2">
      <c r="DO24561" s="303" t="s">
        <v>232</v>
      </c>
    </row>
    <row r="24562" spans="119:119" x14ac:dyDescent="0.2">
      <c r="DO24562" s="303" t="s">
        <v>232</v>
      </c>
    </row>
    <row r="24563" spans="119:119" x14ac:dyDescent="0.2">
      <c r="DO24563" s="303" t="s">
        <v>232</v>
      </c>
    </row>
    <row r="24564" spans="119:119" x14ac:dyDescent="0.2">
      <c r="DO24564" s="303" t="s">
        <v>232</v>
      </c>
    </row>
    <row r="24565" spans="119:119" x14ac:dyDescent="0.2">
      <c r="DO24565" s="303" t="s">
        <v>232</v>
      </c>
    </row>
    <row r="24566" spans="119:119" x14ac:dyDescent="0.2">
      <c r="DO24566" s="303" t="s">
        <v>232</v>
      </c>
    </row>
    <row r="24567" spans="119:119" x14ac:dyDescent="0.2">
      <c r="DO24567" s="303" t="s">
        <v>232</v>
      </c>
    </row>
    <row r="24568" spans="119:119" x14ac:dyDescent="0.2">
      <c r="DO24568" s="303" t="s">
        <v>232</v>
      </c>
    </row>
    <row r="24569" spans="119:119" x14ac:dyDescent="0.2">
      <c r="DO24569" s="303" t="s">
        <v>232</v>
      </c>
    </row>
    <row r="24570" spans="119:119" x14ac:dyDescent="0.2">
      <c r="DO24570" s="303" t="s">
        <v>232</v>
      </c>
    </row>
    <row r="24571" spans="119:119" x14ac:dyDescent="0.2">
      <c r="DO24571" s="303" t="s">
        <v>232</v>
      </c>
    </row>
    <row r="24572" spans="119:119" x14ac:dyDescent="0.2">
      <c r="DO24572" s="303" t="s">
        <v>232</v>
      </c>
    </row>
    <row r="24573" spans="119:119" x14ac:dyDescent="0.2">
      <c r="DO24573" s="303" t="s">
        <v>232</v>
      </c>
    </row>
    <row r="24574" spans="119:119" x14ac:dyDescent="0.2">
      <c r="DO24574" s="303" t="s">
        <v>232</v>
      </c>
    </row>
    <row r="24575" spans="119:119" x14ac:dyDescent="0.2">
      <c r="DO24575" s="303" t="s">
        <v>232</v>
      </c>
    </row>
    <row r="24576" spans="119:119" x14ac:dyDescent="0.2">
      <c r="DO24576" s="303" t="s">
        <v>232</v>
      </c>
    </row>
    <row r="24577" spans="119:119" x14ac:dyDescent="0.2">
      <c r="DO24577" s="303" t="s">
        <v>232</v>
      </c>
    </row>
    <row r="24578" spans="119:119" x14ac:dyDescent="0.2">
      <c r="DO24578" s="303" t="s">
        <v>232</v>
      </c>
    </row>
    <row r="24579" spans="119:119" x14ac:dyDescent="0.2">
      <c r="DO24579" s="303" t="s">
        <v>232</v>
      </c>
    </row>
    <row r="24580" spans="119:119" x14ac:dyDescent="0.2">
      <c r="DO24580" s="303" t="s">
        <v>232</v>
      </c>
    </row>
    <row r="24581" spans="119:119" x14ac:dyDescent="0.2">
      <c r="DO24581" s="303" t="s">
        <v>232</v>
      </c>
    </row>
    <row r="24582" spans="119:119" x14ac:dyDescent="0.2">
      <c r="DO24582" s="303" t="s">
        <v>232</v>
      </c>
    </row>
    <row r="24583" spans="119:119" x14ac:dyDescent="0.2">
      <c r="DO24583" s="303" t="s">
        <v>232</v>
      </c>
    </row>
    <row r="24584" spans="119:119" x14ac:dyDescent="0.2">
      <c r="DO24584" s="303" t="s">
        <v>232</v>
      </c>
    </row>
    <row r="24585" spans="119:119" x14ac:dyDescent="0.2">
      <c r="DO24585" s="303" t="s">
        <v>232</v>
      </c>
    </row>
    <row r="24586" spans="119:119" x14ac:dyDescent="0.2">
      <c r="DO24586" s="303" t="s">
        <v>232</v>
      </c>
    </row>
    <row r="24587" spans="119:119" x14ac:dyDescent="0.2">
      <c r="DO24587" s="303" t="s">
        <v>232</v>
      </c>
    </row>
    <row r="24588" spans="119:119" x14ac:dyDescent="0.2">
      <c r="DO24588" s="303" t="s">
        <v>232</v>
      </c>
    </row>
    <row r="24589" spans="119:119" x14ac:dyDescent="0.2">
      <c r="DO24589" s="303" t="s">
        <v>232</v>
      </c>
    </row>
    <row r="24590" spans="119:119" x14ac:dyDescent="0.2">
      <c r="DO24590" s="303" t="s">
        <v>232</v>
      </c>
    </row>
    <row r="24591" spans="119:119" x14ac:dyDescent="0.2">
      <c r="DO24591" s="303" t="s">
        <v>232</v>
      </c>
    </row>
    <row r="24592" spans="119:119" x14ac:dyDescent="0.2">
      <c r="DO24592" s="303" t="s">
        <v>232</v>
      </c>
    </row>
    <row r="24593" spans="119:119" x14ac:dyDescent="0.2">
      <c r="DO24593" s="303" t="s">
        <v>232</v>
      </c>
    </row>
    <row r="24594" spans="119:119" x14ac:dyDescent="0.2">
      <c r="DO24594" s="303" t="s">
        <v>232</v>
      </c>
    </row>
    <row r="24595" spans="119:119" x14ac:dyDescent="0.2">
      <c r="DO24595" s="303" t="s">
        <v>232</v>
      </c>
    </row>
    <row r="24596" spans="119:119" x14ac:dyDescent="0.2">
      <c r="DO24596" s="303" t="s">
        <v>232</v>
      </c>
    </row>
    <row r="24597" spans="119:119" x14ac:dyDescent="0.2">
      <c r="DO24597" s="303" t="s">
        <v>232</v>
      </c>
    </row>
    <row r="24598" spans="119:119" x14ac:dyDescent="0.2">
      <c r="DO24598" s="303" t="s">
        <v>232</v>
      </c>
    </row>
    <row r="24599" spans="119:119" x14ac:dyDescent="0.2">
      <c r="DO24599" s="303" t="s">
        <v>232</v>
      </c>
    </row>
    <row r="24600" spans="119:119" x14ac:dyDescent="0.2">
      <c r="DO24600" s="303" t="s">
        <v>232</v>
      </c>
    </row>
    <row r="24601" spans="119:119" x14ac:dyDescent="0.2">
      <c r="DO24601" s="303" t="s">
        <v>232</v>
      </c>
    </row>
    <row r="24602" spans="119:119" x14ac:dyDescent="0.2">
      <c r="DO24602" s="303" t="s">
        <v>232</v>
      </c>
    </row>
    <row r="24603" spans="119:119" x14ac:dyDescent="0.2">
      <c r="DO24603" s="303" t="s">
        <v>232</v>
      </c>
    </row>
    <row r="24604" spans="119:119" x14ac:dyDescent="0.2">
      <c r="DO24604" s="303" t="s">
        <v>232</v>
      </c>
    </row>
    <row r="24605" spans="119:119" x14ac:dyDescent="0.2">
      <c r="DO24605" s="303" t="s">
        <v>232</v>
      </c>
    </row>
    <row r="24606" spans="119:119" x14ac:dyDescent="0.2">
      <c r="DO24606" s="303" t="s">
        <v>232</v>
      </c>
    </row>
    <row r="24607" spans="119:119" x14ac:dyDescent="0.2">
      <c r="DO24607" s="303" t="s">
        <v>232</v>
      </c>
    </row>
    <row r="24608" spans="119:119" x14ac:dyDescent="0.2">
      <c r="DO24608" s="303" t="s">
        <v>232</v>
      </c>
    </row>
    <row r="24609" spans="119:119" x14ac:dyDescent="0.2">
      <c r="DO24609" s="303" t="s">
        <v>232</v>
      </c>
    </row>
    <row r="24610" spans="119:119" x14ac:dyDescent="0.2">
      <c r="DO24610" s="303" t="s">
        <v>232</v>
      </c>
    </row>
    <row r="24611" spans="119:119" x14ac:dyDescent="0.2">
      <c r="DO24611" s="303" t="s">
        <v>232</v>
      </c>
    </row>
    <row r="24612" spans="119:119" x14ac:dyDescent="0.2">
      <c r="DO24612" s="303" t="s">
        <v>232</v>
      </c>
    </row>
    <row r="24613" spans="119:119" x14ac:dyDescent="0.2">
      <c r="DO24613" s="303" t="s">
        <v>232</v>
      </c>
    </row>
    <row r="24614" spans="119:119" x14ac:dyDescent="0.2">
      <c r="DO24614" s="303" t="s">
        <v>232</v>
      </c>
    </row>
    <row r="24615" spans="119:119" x14ac:dyDescent="0.2">
      <c r="DO24615" s="303" t="s">
        <v>232</v>
      </c>
    </row>
    <row r="24616" spans="119:119" x14ac:dyDescent="0.2">
      <c r="DO24616" s="303" t="s">
        <v>232</v>
      </c>
    </row>
    <row r="24617" spans="119:119" x14ac:dyDescent="0.2">
      <c r="DO24617" s="303" t="s">
        <v>232</v>
      </c>
    </row>
    <row r="24618" spans="119:119" x14ac:dyDescent="0.2">
      <c r="DO24618" s="303" t="s">
        <v>232</v>
      </c>
    </row>
    <row r="24619" spans="119:119" x14ac:dyDescent="0.2">
      <c r="DO24619" s="303" t="s">
        <v>232</v>
      </c>
    </row>
    <row r="24620" spans="119:119" x14ac:dyDescent="0.2">
      <c r="DO24620" s="303" t="s">
        <v>232</v>
      </c>
    </row>
    <row r="24621" spans="119:119" x14ac:dyDescent="0.2">
      <c r="DO24621" s="303" t="s">
        <v>232</v>
      </c>
    </row>
    <row r="24622" spans="119:119" x14ac:dyDescent="0.2">
      <c r="DO24622" s="303" t="s">
        <v>232</v>
      </c>
    </row>
    <row r="24623" spans="119:119" x14ac:dyDescent="0.2">
      <c r="DO24623" s="303" t="s">
        <v>232</v>
      </c>
    </row>
    <row r="24624" spans="119:119" x14ac:dyDescent="0.2">
      <c r="DO24624" s="303" t="s">
        <v>232</v>
      </c>
    </row>
    <row r="24625" spans="119:119" x14ac:dyDescent="0.2">
      <c r="DO24625" s="303" t="s">
        <v>232</v>
      </c>
    </row>
    <row r="24626" spans="119:119" x14ac:dyDescent="0.2">
      <c r="DO24626" s="303" t="s">
        <v>232</v>
      </c>
    </row>
    <row r="24627" spans="119:119" x14ac:dyDescent="0.2">
      <c r="DO24627" s="303" t="s">
        <v>232</v>
      </c>
    </row>
    <row r="24628" spans="119:119" x14ac:dyDescent="0.2">
      <c r="DO24628" s="303" t="s">
        <v>232</v>
      </c>
    </row>
    <row r="24629" spans="119:119" x14ac:dyDescent="0.2">
      <c r="DO24629" s="303" t="s">
        <v>232</v>
      </c>
    </row>
    <row r="24630" spans="119:119" x14ac:dyDescent="0.2">
      <c r="DO24630" s="303" t="s">
        <v>232</v>
      </c>
    </row>
    <row r="24631" spans="119:119" x14ac:dyDescent="0.2">
      <c r="DO24631" s="303" t="s">
        <v>232</v>
      </c>
    </row>
    <row r="24632" spans="119:119" x14ac:dyDescent="0.2">
      <c r="DO24632" s="303" t="s">
        <v>232</v>
      </c>
    </row>
    <row r="24633" spans="119:119" x14ac:dyDescent="0.2">
      <c r="DO24633" s="303" t="s">
        <v>232</v>
      </c>
    </row>
    <row r="24634" spans="119:119" x14ac:dyDescent="0.2">
      <c r="DO24634" s="303" t="s">
        <v>232</v>
      </c>
    </row>
    <row r="24635" spans="119:119" x14ac:dyDescent="0.2">
      <c r="DO24635" s="303" t="s">
        <v>232</v>
      </c>
    </row>
    <row r="24636" spans="119:119" x14ac:dyDescent="0.2">
      <c r="DO24636" s="303" t="s">
        <v>232</v>
      </c>
    </row>
    <row r="24637" spans="119:119" x14ac:dyDescent="0.2">
      <c r="DO24637" s="303" t="s">
        <v>232</v>
      </c>
    </row>
    <row r="24638" spans="119:119" x14ac:dyDescent="0.2">
      <c r="DO24638" s="303" t="s">
        <v>232</v>
      </c>
    </row>
    <row r="24639" spans="119:119" x14ac:dyDescent="0.2">
      <c r="DO24639" s="303" t="s">
        <v>232</v>
      </c>
    </row>
    <row r="24640" spans="119:119" x14ac:dyDescent="0.2">
      <c r="DO24640" s="303" t="s">
        <v>232</v>
      </c>
    </row>
    <row r="24641" spans="119:119" x14ac:dyDescent="0.2">
      <c r="DO24641" s="303" t="s">
        <v>232</v>
      </c>
    </row>
    <row r="24642" spans="119:119" x14ac:dyDescent="0.2">
      <c r="DO24642" s="303" t="s">
        <v>232</v>
      </c>
    </row>
    <row r="24643" spans="119:119" x14ac:dyDescent="0.2">
      <c r="DO24643" s="303" t="s">
        <v>232</v>
      </c>
    </row>
    <row r="24644" spans="119:119" x14ac:dyDescent="0.2">
      <c r="DO24644" s="303" t="s">
        <v>232</v>
      </c>
    </row>
    <row r="24645" spans="119:119" x14ac:dyDescent="0.2">
      <c r="DO24645" s="303" t="s">
        <v>232</v>
      </c>
    </row>
    <row r="24646" spans="119:119" x14ac:dyDescent="0.2">
      <c r="DO24646" s="303" t="s">
        <v>232</v>
      </c>
    </row>
    <row r="24647" spans="119:119" x14ac:dyDescent="0.2">
      <c r="DO24647" s="303" t="s">
        <v>232</v>
      </c>
    </row>
    <row r="24648" spans="119:119" x14ac:dyDescent="0.2">
      <c r="DO24648" s="303" t="s">
        <v>232</v>
      </c>
    </row>
    <row r="24649" spans="119:119" x14ac:dyDescent="0.2">
      <c r="DO24649" s="303" t="s">
        <v>232</v>
      </c>
    </row>
    <row r="24650" spans="119:119" x14ac:dyDescent="0.2">
      <c r="DO24650" s="303" t="s">
        <v>232</v>
      </c>
    </row>
    <row r="24651" spans="119:119" x14ac:dyDescent="0.2">
      <c r="DO24651" s="303" t="s">
        <v>232</v>
      </c>
    </row>
    <row r="24652" spans="119:119" x14ac:dyDescent="0.2">
      <c r="DO24652" s="303" t="s">
        <v>232</v>
      </c>
    </row>
    <row r="24653" spans="119:119" x14ac:dyDescent="0.2">
      <c r="DO24653" s="303" t="s">
        <v>232</v>
      </c>
    </row>
    <row r="24654" spans="119:119" x14ac:dyDescent="0.2">
      <c r="DO24654" s="303" t="s">
        <v>232</v>
      </c>
    </row>
    <row r="24655" spans="119:119" x14ac:dyDescent="0.2">
      <c r="DO24655" s="303" t="s">
        <v>232</v>
      </c>
    </row>
    <row r="24656" spans="119:119" x14ac:dyDescent="0.2">
      <c r="DO24656" s="303" t="s">
        <v>232</v>
      </c>
    </row>
    <row r="24657" spans="119:119" x14ac:dyDescent="0.2">
      <c r="DO24657" s="303" t="s">
        <v>232</v>
      </c>
    </row>
    <row r="24658" spans="119:119" x14ac:dyDescent="0.2">
      <c r="DO24658" s="303" t="s">
        <v>232</v>
      </c>
    </row>
    <row r="24659" spans="119:119" x14ac:dyDescent="0.2">
      <c r="DO24659" s="303" t="s">
        <v>232</v>
      </c>
    </row>
    <row r="24660" spans="119:119" x14ac:dyDescent="0.2">
      <c r="DO24660" s="303" t="s">
        <v>232</v>
      </c>
    </row>
    <row r="24661" spans="119:119" x14ac:dyDescent="0.2">
      <c r="DO24661" s="303" t="s">
        <v>232</v>
      </c>
    </row>
    <row r="24662" spans="119:119" x14ac:dyDescent="0.2">
      <c r="DO24662" s="303" t="s">
        <v>232</v>
      </c>
    </row>
    <row r="24663" spans="119:119" x14ac:dyDescent="0.2">
      <c r="DO24663" s="303" t="s">
        <v>232</v>
      </c>
    </row>
    <row r="24664" spans="119:119" x14ac:dyDescent="0.2">
      <c r="DO24664" s="303" t="s">
        <v>232</v>
      </c>
    </row>
    <row r="24665" spans="119:119" x14ac:dyDescent="0.2">
      <c r="DO24665" s="303" t="s">
        <v>232</v>
      </c>
    </row>
    <row r="24666" spans="119:119" x14ac:dyDescent="0.2">
      <c r="DO24666" s="303" t="s">
        <v>232</v>
      </c>
    </row>
    <row r="24667" spans="119:119" x14ac:dyDescent="0.2">
      <c r="DO24667" s="303" t="s">
        <v>232</v>
      </c>
    </row>
    <row r="24668" spans="119:119" x14ac:dyDescent="0.2">
      <c r="DO24668" s="303" t="s">
        <v>232</v>
      </c>
    </row>
    <row r="24669" spans="119:119" x14ac:dyDescent="0.2">
      <c r="DO24669" s="303" t="s">
        <v>232</v>
      </c>
    </row>
    <row r="24670" spans="119:119" x14ac:dyDescent="0.2">
      <c r="DO24670" s="303" t="s">
        <v>232</v>
      </c>
    </row>
    <row r="24671" spans="119:119" x14ac:dyDescent="0.2">
      <c r="DO24671" s="303" t="s">
        <v>232</v>
      </c>
    </row>
    <row r="24672" spans="119:119" x14ac:dyDescent="0.2">
      <c r="DO24672" s="303" t="s">
        <v>232</v>
      </c>
    </row>
    <row r="24673" spans="119:119" x14ac:dyDescent="0.2">
      <c r="DO24673" s="303" t="s">
        <v>232</v>
      </c>
    </row>
    <row r="24674" spans="119:119" x14ac:dyDescent="0.2">
      <c r="DO24674" s="303" t="s">
        <v>232</v>
      </c>
    </row>
    <row r="24675" spans="119:119" x14ac:dyDescent="0.2">
      <c r="DO24675" s="303" t="s">
        <v>232</v>
      </c>
    </row>
    <row r="24676" spans="119:119" x14ac:dyDescent="0.2">
      <c r="DO24676" s="303" t="s">
        <v>232</v>
      </c>
    </row>
    <row r="24677" spans="119:119" x14ac:dyDescent="0.2">
      <c r="DO24677" s="303" t="s">
        <v>232</v>
      </c>
    </row>
    <row r="24678" spans="119:119" x14ac:dyDescent="0.2">
      <c r="DO24678" s="303" t="s">
        <v>232</v>
      </c>
    </row>
    <row r="24679" spans="119:119" x14ac:dyDescent="0.2">
      <c r="DO24679" s="303" t="s">
        <v>232</v>
      </c>
    </row>
    <row r="24680" spans="119:119" x14ac:dyDescent="0.2">
      <c r="DO24680" s="303" t="s">
        <v>232</v>
      </c>
    </row>
    <row r="24681" spans="119:119" x14ac:dyDescent="0.2">
      <c r="DO24681" s="303" t="s">
        <v>232</v>
      </c>
    </row>
    <row r="24682" spans="119:119" x14ac:dyDescent="0.2">
      <c r="DO24682" s="303" t="s">
        <v>232</v>
      </c>
    </row>
    <row r="24683" spans="119:119" x14ac:dyDescent="0.2">
      <c r="DO24683" s="303" t="s">
        <v>232</v>
      </c>
    </row>
    <row r="24684" spans="119:119" x14ac:dyDescent="0.2">
      <c r="DO24684" s="303" t="s">
        <v>232</v>
      </c>
    </row>
    <row r="24685" spans="119:119" x14ac:dyDescent="0.2">
      <c r="DO24685" s="303" t="s">
        <v>232</v>
      </c>
    </row>
    <row r="24686" spans="119:119" x14ac:dyDescent="0.2">
      <c r="DO24686" s="303" t="s">
        <v>232</v>
      </c>
    </row>
    <row r="24687" spans="119:119" x14ac:dyDescent="0.2">
      <c r="DO24687" s="303" t="s">
        <v>232</v>
      </c>
    </row>
    <row r="24688" spans="119:119" x14ac:dyDescent="0.2">
      <c r="DO24688" s="303" t="s">
        <v>232</v>
      </c>
    </row>
    <row r="24689" spans="119:119" x14ac:dyDescent="0.2">
      <c r="DO24689" s="303" t="s">
        <v>232</v>
      </c>
    </row>
    <row r="24690" spans="119:119" x14ac:dyDescent="0.2">
      <c r="DO24690" s="303" t="s">
        <v>232</v>
      </c>
    </row>
    <row r="24691" spans="119:119" x14ac:dyDescent="0.2">
      <c r="DO24691" s="303" t="s">
        <v>232</v>
      </c>
    </row>
    <row r="24692" spans="119:119" x14ac:dyDescent="0.2">
      <c r="DO24692" s="303" t="s">
        <v>232</v>
      </c>
    </row>
    <row r="24693" spans="119:119" x14ac:dyDescent="0.2">
      <c r="DO24693" s="303" t="s">
        <v>232</v>
      </c>
    </row>
    <row r="24694" spans="119:119" x14ac:dyDescent="0.2">
      <c r="DO24694" s="303" t="s">
        <v>232</v>
      </c>
    </row>
    <row r="24695" spans="119:119" x14ac:dyDescent="0.2">
      <c r="DO24695" s="303" t="s">
        <v>232</v>
      </c>
    </row>
    <row r="24696" spans="119:119" x14ac:dyDescent="0.2">
      <c r="DO24696" s="303" t="s">
        <v>232</v>
      </c>
    </row>
    <row r="24697" spans="119:119" x14ac:dyDescent="0.2">
      <c r="DO24697" s="303" t="s">
        <v>232</v>
      </c>
    </row>
    <row r="24698" spans="119:119" x14ac:dyDescent="0.2">
      <c r="DO24698" s="303" t="s">
        <v>232</v>
      </c>
    </row>
    <row r="24699" spans="119:119" x14ac:dyDescent="0.2">
      <c r="DO24699" s="303" t="s">
        <v>232</v>
      </c>
    </row>
    <row r="24700" spans="119:119" x14ac:dyDescent="0.2">
      <c r="DO24700" s="303" t="s">
        <v>232</v>
      </c>
    </row>
    <row r="24701" spans="119:119" x14ac:dyDescent="0.2">
      <c r="DO24701" s="303" t="s">
        <v>232</v>
      </c>
    </row>
    <row r="24702" spans="119:119" x14ac:dyDescent="0.2">
      <c r="DO24702" s="303" t="s">
        <v>232</v>
      </c>
    </row>
    <row r="24703" spans="119:119" x14ac:dyDescent="0.2">
      <c r="DO24703" s="303" t="s">
        <v>232</v>
      </c>
    </row>
    <row r="24704" spans="119:119" x14ac:dyDescent="0.2">
      <c r="DO24704" s="303" t="s">
        <v>232</v>
      </c>
    </row>
    <row r="24705" spans="119:119" x14ac:dyDescent="0.2">
      <c r="DO24705" s="303" t="s">
        <v>232</v>
      </c>
    </row>
    <row r="24706" spans="119:119" x14ac:dyDescent="0.2">
      <c r="DO24706" s="303" t="s">
        <v>232</v>
      </c>
    </row>
    <row r="24707" spans="119:119" x14ac:dyDescent="0.2">
      <c r="DO24707" s="303" t="s">
        <v>232</v>
      </c>
    </row>
    <row r="24708" spans="119:119" x14ac:dyDescent="0.2">
      <c r="DO24708" s="303" t="s">
        <v>232</v>
      </c>
    </row>
    <row r="24709" spans="119:119" x14ac:dyDescent="0.2">
      <c r="DO24709" s="303" t="s">
        <v>232</v>
      </c>
    </row>
    <row r="24710" spans="119:119" x14ac:dyDescent="0.2">
      <c r="DO24710" s="303" t="s">
        <v>232</v>
      </c>
    </row>
    <row r="24711" spans="119:119" x14ac:dyDescent="0.2">
      <c r="DO24711" s="303" t="s">
        <v>232</v>
      </c>
    </row>
    <row r="24712" spans="119:119" x14ac:dyDescent="0.2">
      <c r="DO24712" s="303" t="s">
        <v>232</v>
      </c>
    </row>
    <row r="24713" spans="119:119" x14ac:dyDescent="0.2">
      <c r="DO24713" s="303" t="s">
        <v>232</v>
      </c>
    </row>
    <row r="24714" spans="119:119" x14ac:dyDescent="0.2">
      <c r="DO24714" s="303" t="s">
        <v>232</v>
      </c>
    </row>
    <row r="24715" spans="119:119" x14ac:dyDescent="0.2">
      <c r="DO24715" s="303" t="s">
        <v>232</v>
      </c>
    </row>
    <row r="24716" spans="119:119" x14ac:dyDescent="0.2">
      <c r="DO24716" s="303" t="s">
        <v>232</v>
      </c>
    </row>
    <row r="24717" spans="119:119" x14ac:dyDescent="0.2">
      <c r="DO24717" s="303" t="s">
        <v>232</v>
      </c>
    </row>
    <row r="24718" spans="119:119" x14ac:dyDescent="0.2">
      <c r="DO24718" s="303" t="s">
        <v>232</v>
      </c>
    </row>
    <row r="24719" spans="119:119" x14ac:dyDescent="0.2">
      <c r="DO24719" s="303" t="s">
        <v>232</v>
      </c>
    </row>
    <row r="24720" spans="119:119" x14ac:dyDescent="0.2">
      <c r="DO24720" s="303" t="s">
        <v>232</v>
      </c>
    </row>
    <row r="24721" spans="119:119" x14ac:dyDescent="0.2">
      <c r="DO24721" s="303" t="s">
        <v>232</v>
      </c>
    </row>
    <row r="24722" spans="119:119" x14ac:dyDescent="0.2">
      <c r="DO24722" s="303" t="s">
        <v>232</v>
      </c>
    </row>
    <row r="24723" spans="119:119" x14ac:dyDescent="0.2">
      <c r="DO24723" s="303" t="s">
        <v>232</v>
      </c>
    </row>
    <row r="24724" spans="119:119" x14ac:dyDescent="0.2">
      <c r="DO24724" s="303" t="s">
        <v>232</v>
      </c>
    </row>
    <row r="24725" spans="119:119" x14ac:dyDescent="0.2">
      <c r="DO24725" s="303" t="s">
        <v>232</v>
      </c>
    </row>
    <row r="24726" spans="119:119" x14ac:dyDescent="0.2">
      <c r="DO24726" s="303" t="s">
        <v>232</v>
      </c>
    </row>
    <row r="24727" spans="119:119" x14ac:dyDescent="0.2">
      <c r="DO24727" s="303" t="s">
        <v>232</v>
      </c>
    </row>
    <row r="24728" spans="119:119" x14ac:dyDescent="0.2">
      <c r="DO24728" s="303" t="s">
        <v>232</v>
      </c>
    </row>
    <row r="24729" spans="119:119" x14ac:dyDescent="0.2">
      <c r="DO24729" s="303" t="s">
        <v>232</v>
      </c>
    </row>
    <row r="24730" spans="119:119" x14ac:dyDescent="0.2">
      <c r="DO24730" s="303" t="s">
        <v>232</v>
      </c>
    </row>
    <row r="24731" spans="119:119" x14ac:dyDescent="0.2">
      <c r="DO24731" s="303" t="s">
        <v>232</v>
      </c>
    </row>
    <row r="24732" spans="119:119" x14ac:dyDescent="0.2">
      <c r="DO24732" s="303" t="s">
        <v>232</v>
      </c>
    </row>
    <row r="24733" spans="119:119" x14ac:dyDescent="0.2">
      <c r="DO24733" s="303" t="s">
        <v>232</v>
      </c>
    </row>
    <row r="24734" spans="119:119" x14ac:dyDescent="0.2">
      <c r="DO24734" s="303" t="s">
        <v>232</v>
      </c>
    </row>
    <row r="24735" spans="119:119" x14ac:dyDescent="0.2">
      <c r="DO24735" s="303" t="s">
        <v>232</v>
      </c>
    </row>
    <row r="24736" spans="119:119" x14ac:dyDescent="0.2">
      <c r="DO24736" s="303" t="s">
        <v>232</v>
      </c>
    </row>
    <row r="24737" spans="119:119" x14ac:dyDescent="0.2">
      <c r="DO24737" s="303" t="s">
        <v>232</v>
      </c>
    </row>
    <row r="24738" spans="119:119" x14ac:dyDescent="0.2">
      <c r="DO24738" s="303" t="s">
        <v>232</v>
      </c>
    </row>
    <row r="24739" spans="119:119" x14ac:dyDescent="0.2">
      <c r="DO24739" s="303" t="s">
        <v>232</v>
      </c>
    </row>
    <row r="24740" spans="119:119" x14ac:dyDescent="0.2">
      <c r="DO24740" s="303" t="s">
        <v>232</v>
      </c>
    </row>
    <row r="24741" spans="119:119" x14ac:dyDescent="0.2">
      <c r="DO24741" s="303" t="s">
        <v>232</v>
      </c>
    </row>
    <row r="24742" spans="119:119" x14ac:dyDescent="0.2">
      <c r="DO24742" s="303" t="s">
        <v>232</v>
      </c>
    </row>
    <row r="24743" spans="119:119" x14ac:dyDescent="0.2">
      <c r="DO24743" s="303" t="s">
        <v>232</v>
      </c>
    </row>
    <row r="24744" spans="119:119" x14ac:dyDescent="0.2">
      <c r="DO24744" s="303" t="s">
        <v>232</v>
      </c>
    </row>
    <row r="24745" spans="119:119" x14ac:dyDescent="0.2">
      <c r="DO24745" s="303" t="s">
        <v>232</v>
      </c>
    </row>
    <row r="24746" spans="119:119" x14ac:dyDescent="0.2">
      <c r="DO24746" s="303" t="s">
        <v>232</v>
      </c>
    </row>
    <row r="24747" spans="119:119" x14ac:dyDescent="0.2">
      <c r="DO24747" s="303" t="s">
        <v>232</v>
      </c>
    </row>
    <row r="24748" spans="119:119" x14ac:dyDescent="0.2">
      <c r="DO24748" s="303" t="s">
        <v>232</v>
      </c>
    </row>
    <row r="24749" spans="119:119" x14ac:dyDescent="0.2">
      <c r="DO24749" s="303" t="s">
        <v>232</v>
      </c>
    </row>
    <row r="24750" spans="119:119" x14ac:dyDescent="0.2">
      <c r="DO24750" s="303" t="s">
        <v>232</v>
      </c>
    </row>
    <row r="24751" spans="119:119" x14ac:dyDescent="0.2">
      <c r="DO24751" s="303" t="s">
        <v>232</v>
      </c>
    </row>
    <row r="24752" spans="119:119" x14ac:dyDescent="0.2">
      <c r="DO24752" s="303" t="s">
        <v>232</v>
      </c>
    </row>
    <row r="24753" spans="119:119" x14ac:dyDescent="0.2">
      <c r="DO24753" s="303" t="s">
        <v>232</v>
      </c>
    </row>
    <row r="24754" spans="119:119" x14ac:dyDescent="0.2">
      <c r="DO24754" s="303" t="s">
        <v>232</v>
      </c>
    </row>
    <row r="24755" spans="119:119" x14ac:dyDescent="0.2">
      <c r="DO24755" s="303" t="s">
        <v>232</v>
      </c>
    </row>
    <row r="24756" spans="119:119" x14ac:dyDescent="0.2">
      <c r="DO24756" s="303" t="s">
        <v>232</v>
      </c>
    </row>
    <row r="24757" spans="119:119" x14ac:dyDescent="0.2">
      <c r="DO24757" s="303" t="s">
        <v>232</v>
      </c>
    </row>
    <row r="24758" spans="119:119" x14ac:dyDescent="0.2">
      <c r="DO24758" s="303" t="s">
        <v>232</v>
      </c>
    </row>
    <row r="24759" spans="119:119" x14ac:dyDescent="0.2">
      <c r="DO24759" s="303" t="s">
        <v>232</v>
      </c>
    </row>
    <row r="24760" spans="119:119" x14ac:dyDescent="0.2">
      <c r="DO24760" s="303" t="s">
        <v>232</v>
      </c>
    </row>
    <row r="24761" spans="119:119" x14ac:dyDescent="0.2">
      <c r="DO24761" s="303" t="s">
        <v>232</v>
      </c>
    </row>
    <row r="24762" spans="119:119" x14ac:dyDescent="0.2">
      <c r="DO24762" s="303" t="s">
        <v>232</v>
      </c>
    </row>
    <row r="24763" spans="119:119" x14ac:dyDescent="0.2">
      <c r="DO24763" s="303" t="s">
        <v>232</v>
      </c>
    </row>
    <row r="24764" spans="119:119" x14ac:dyDescent="0.2">
      <c r="DO24764" s="303" t="s">
        <v>232</v>
      </c>
    </row>
    <row r="24765" spans="119:119" x14ac:dyDescent="0.2">
      <c r="DO24765" s="303" t="s">
        <v>232</v>
      </c>
    </row>
    <row r="24766" spans="119:119" x14ac:dyDescent="0.2">
      <c r="DO24766" s="303" t="s">
        <v>232</v>
      </c>
    </row>
    <row r="24767" spans="119:119" x14ac:dyDescent="0.2">
      <c r="DO24767" s="303" t="s">
        <v>232</v>
      </c>
    </row>
    <row r="24768" spans="119:119" x14ac:dyDescent="0.2">
      <c r="DO24768" s="303" t="s">
        <v>232</v>
      </c>
    </row>
    <row r="24769" spans="119:119" x14ac:dyDescent="0.2">
      <c r="DO24769" s="303" t="s">
        <v>232</v>
      </c>
    </row>
    <row r="24770" spans="119:119" x14ac:dyDescent="0.2">
      <c r="DO24770" s="303" t="s">
        <v>232</v>
      </c>
    </row>
    <row r="24771" spans="119:119" x14ac:dyDescent="0.2">
      <c r="DO24771" s="303" t="s">
        <v>232</v>
      </c>
    </row>
    <row r="24772" spans="119:119" x14ac:dyDescent="0.2">
      <c r="DO24772" s="303" t="s">
        <v>232</v>
      </c>
    </row>
    <row r="24773" spans="119:119" x14ac:dyDescent="0.2">
      <c r="DO24773" s="303" t="s">
        <v>232</v>
      </c>
    </row>
    <row r="24774" spans="119:119" x14ac:dyDescent="0.2">
      <c r="DO24774" s="303" t="s">
        <v>232</v>
      </c>
    </row>
    <row r="24775" spans="119:119" x14ac:dyDescent="0.2">
      <c r="DO24775" s="303" t="s">
        <v>232</v>
      </c>
    </row>
    <row r="24776" spans="119:119" x14ac:dyDescent="0.2">
      <c r="DO24776" s="303" t="s">
        <v>232</v>
      </c>
    </row>
    <row r="24777" spans="119:119" x14ac:dyDescent="0.2">
      <c r="DO24777" s="303" t="s">
        <v>232</v>
      </c>
    </row>
    <row r="24778" spans="119:119" x14ac:dyDescent="0.2">
      <c r="DO24778" s="303" t="s">
        <v>232</v>
      </c>
    </row>
    <row r="24779" spans="119:119" x14ac:dyDescent="0.2">
      <c r="DO24779" s="303" t="s">
        <v>232</v>
      </c>
    </row>
    <row r="24780" spans="119:119" x14ac:dyDescent="0.2">
      <c r="DO24780" s="303" t="s">
        <v>232</v>
      </c>
    </row>
    <row r="24781" spans="119:119" x14ac:dyDescent="0.2">
      <c r="DO24781" s="303" t="s">
        <v>232</v>
      </c>
    </row>
    <row r="24782" spans="119:119" x14ac:dyDescent="0.2">
      <c r="DO24782" s="303" t="s">
        <v>232</v>
      </c>
    </row>
    <row r="24783" spans="119:119" x14ac:dyDescent="0.2">
      <c r="DO24783" s="303" t="s">
        <v>232</v>
      </c>
    </row>
    <row r="24784" spans="119:119" x14ac:dyDescent="0.2">
      <c r="DO24784" s="303" t="s">
        <v>232</v>
      </c>
    </row>
    <row r="24785" spans="119:119" x14ac:dyDescent="0.2">
      <c r="DO24785" s="303" t="s">
        <v>232</v>
      </c>
    </row>
    <row r="24786" spans="119:119" x14ac:dyDescent="0.2">
      <c r="DO24786" s="303" t="s">
        <v>232</v>
      </c>
    </row>
    <row r="24787" spans="119:119" x14ac:dyDescent="0.2">
      <c r="DO24787" s="303" t="s">
        <v>232</v>
      </c>
    </row>
    <row r="24788" spans="119:119" x14ac:dyDescent="0.2">
      <c r="DO24788" s="303" t="s">
        <v>232</v>
      </c>
    </row>
    <row r="24789" spans="119:119" x14ac:dyDescent="0.2">
      <c r="DO24789" s="303" t="s">
        <v>232</v>
      </c>
    </row>
    <row r="24790" spans="119:119" x14ac:dyDescent="0.2">
      <c r="DO24790" s="303" t="s">
        <v>232</v>
      </c>
    </row>
    <row r="24791" spans="119:119" x14ac:dyDescent="0.2">
      <c r="DO24791" s="303" t="s">
        <v>232</v>
      </c>
    </row>
    <row r="24792" spans="119:119" x14ac:dyDescent="0.2">
      <c r="DO24792" s="303" t="s">
        <v>232</v>
      </c>
    </row>
    <row r="24793" spans="119:119" x14ac:dyDescent="0.2">
      <c r="DO24793" s="303" t="s">
        <v>232</v>
      </c>
    </row>
    <row r="24794" spans="119:119" x14ac:dyDescent="0.2">
      <c r="DO24794" s="303" t="s">
        <v>232</v>
      </c>
    </row>
    <row r="24795" spans="119:119" x14ac:dyDescent="0.2">
      <c r="DO24795" s="303" t="s">
        <v>232</v>
      </c>
    </row>
    <row r="24796" spans="119:119" x14ac:dyDescent="0.2">
      <c r="DO24796" s="303" t="s">
        <v>232</v>
      </c>
    </row>
    <row r="24797" spans="119:119" x14ac:dyDescent="0.2">
      <c r="DO24797" s="303" t="s">
        <v>232</v>
      </c>
    </row>
    <row r="24798" spans="119:119" x14ac:dyDescent="0.2">
      <c r="DO24798" s="303" t="s">
        <v>232</v>
      </c>
    </row>
    <row r="24799" spans="119:119" x14ac:dyDescent="0.2">
      <c r="DO24799" s="303" t="s">
        <v>232</v>
      </c>
    </row>
    <row r="24800" spans="119:119" x14ac:dyDescent="0.2">
      <c r="DO24800" s="303" t="s">
        <v>232</v>
      </c>
    </row>
    <row r="24801" spans="119:119" x14ac:dyDescent="0.2">
      <c r="DO24801" s="303" t="s">
        <v>232</v>
      </c>
    </row>
    <row r="24802" spans="119:119" x14ac:dyDescent="0.2">
      <c r="DO24802" s="303" t="s">
        <v>232</v>
      </c>
    </row>
    <row r="24803" spans="119:119" x14ac:dyDescent="0.2">
      <c r="DO24803" s="303" t="s">
        <v>232</v>
      </c>
    </row>
    <row r="24804" spans="119:119" x14ac:dyDescent="0.2">
      <c r="DO24804" s="303" t="s">
        <v>232</v>
      </c>
    </row>
    <row r="24805" spans="119:119" x14ac:dyDescent="0.2">
      <c r="DO24805" s="303" t="s">
        <v>232</v>
      </c>
    </row>
    <row r="24806" spans="119:119" x14ac:dyDescent="0.2">
      <c r="DO24806" s="303" t="s">
        <v>232</v>
      </c>
    </row>
    <row r="24807" spans="119:119" x14ac:dyDescent="0.2">
      <c r="DO24807" s="303" t="s">
        <v>232</v>
      </c>
    </row>
    <row r="24808" spans="119:119" x14ac:dyDescent="0.2">
      <c r="DO24808" s="303" t="s">
        <v>232</v>
      </c>
    </row>
    <row r="24809" spans="119:119" x14ac:dyDescent="0.2">
      <c r="DO24809" s="303" t="s">
        <v>232</v>
      </c>
    </row>
    <row r="24810" spans="119:119" x14ac:dyDescent="0.2">
      <c r="DO24810" s="303" t="s">
        <v>232</v>
      </c>
    </row>
    <row r="24811" spans="119:119" x14ac:dyDescent="0.2">
      <c r="DO24811" s="303" t="s">
        <v>232</v>
      </c>
    </row>
    <row r="24812" spans="119:119" x14ac:dyDescent="0.2">
      <c r="DO24812" s="303" t="s">
        <v>232</v>
      </c>
    </row>
    <row r="24813" spans="119:119" x14ac:dyDescent="0.2">
      <c r="DO24813" s="303" t="s">
        <v>232</v>
      </c>
    </row>
    <row r="24814" spans="119:119" x14ac:dyDescent="0.2">
      <c r="DO24814" s="303" t="s">
        <v>232</v>
      </c>
    </row>
    <row r="24815" spans="119:119" x14ac:dyDescent="0.2">
      <c r="DO24815" s="303" t="s">
        <v>232</v>
      </c>
    </row>
    <row r="24816" spans="119:119" x14ac:dyDescent="0.2">
      <c r="DO24816" s="303" t="s">
        <v>232</v>
      </c>
    </row>
    <row r="24817" spans="119:119" x14ac:dyDescent="0.2">
      <c r="DO24817" s="303" t="s">
        <v>232</v>
      </c>
    </row>
    <row r="24818" spans="119:119" x14ac:dyDescent="0.2">
      <c r="DO24818" s="303" t="s">
        <v>232</v>
      </c>
    </row>
    <row r="24819" spans="119:119" x14ac:dyDescent="0.2">
      <c r="DO24819" s="303" t="s">
        <v>232</v>
      </c>
    </row>
    <row r="24820" spans="119:119" x14ac:dyDescent="0.2">
      <c r="DO24820" s="303" t="s">
        <v>232</v>
      </c>
    </row>
    <row r="24821" spans="119:119" x14ac:dyDescent="0.2">
      <c r="DO24821" s="303" t="s">
        <v>232</v>
      </c>
    </row>
    <row r="24822" spans="119:119" x14ac:dyDescent="0.2">
      <c r="DO24822" s="303" t="s">
        <v>232</v>
      </c>
    </row>
    <row r="24823" spans="119:119" x14ac:dyDescent="0.2">
      <c r="DO24823" s="303" t="s">
        <v>232</v>
      </c>
    </row>
    <row r="24824" spans="119:119" x14ac:dyDescent="0.2">
      <c r="DO24824" s="303" t="s">
        <v>232</v>
      </c>
    </row>
    <row r="24825" spans="119:119" x14ac:dyDescent="0.2">
      <c r="DO24825" s="303" t="s">
        <v>232</v>
      </c>
    </row>
    <row r="24826" spans="119:119" x14ac:dyDescent="0.2">
      <c r="DO24826" s="303" t="s">
        <v>232</v>
      </c>
    </row>
    <row r="24827" spans="119:119" x14ac:dyDescent="0.2">
      <c r="DO24827" s="303" t="s">
        <v>232</v>
      </c>
    </row>
    <row r="24828" spans="119:119" x14ac:dyDescent="0.2">
      <c r="DO24828" s="303" t="s">
        <v>232</v>
      </c>
    </row>
    <row r="24829" spans="119:119" x14ac:dyDescent="0.2">
      <c r="DO24829" s="303" t="s">
        <v>232</v>
      </c>
    </row>
    <row r="24830" spans="119:119" x14ac:dyDescent="0.2">
      <c r="DO24830" s="303" t="s">
        <v>232</v>
      </c>
    </row>
    <row r="24831" spans="119:119" x14ac:dyDescent="0.2">
      <c r="DO24831" s="303" t="s">
        <v>232</v>
      </c>
    </row>
    <row r="24832" spans="119:119" x14ac:dyDescent="0.2">
      <c r="DO24832" s="303" t="s">
        <v>232</v>
      </c>
    </row>
    <row r="24833" spans="119:119" x14ac:dyDescent="0.2">
      <c r="DO24833" s="303" t="s">
        <v>232</v>
      </c>
    </row>
    <row r="24834" spans="119:119" x14ac:dyDescent="0.2">
      <c r="DO24834" s="303" t="s">
        <v>232</v>
      </c>
    </row>
    <row r="24835" spans="119:119" x14ac:dyDescent="0.2">
      <c r="DO24835" s="303" t="s">
        <v>232</v>
      </c>
    </row>
    <row r="24836" spans="119:119" x14ac:dyDescent="0.2">
      <c r="DO24836" s="303" t="s">
        <v>232</v>
      </c>
    </row>
    <row r="24837" spans="119:119" x14ac:dyDescent="0.2">
      <c r="DO24837" s="303" t="s">
        <v>232</v>
      </c>
    </row>
    <row r="24838" spans="119:119" x14ac:dyDescent="0.2">
      <c r="DO24838" s="303" t="s">
        <v>232</v>
      </c>
    </row>
    <row r="24839" spans="119:119" x14ac:dyDescent="0.2">
      <c r="DO24839" s="303" t="s">
        <v>232</v>
      </c>
    </row>
    <row r="24840" spans="119:119" x14ac:dyDescent="0.2">
      <c r="DO24840" s="303" t="s">
        <v>232</v>
      </c>
    </row>
    <row r="24841" spans="119:119" x14ac:dyDescent="0.2">
      <c r="DO24841" s="303" t="s">
        <v>232</v>
      </c>
    </row>
    <row r="24842" spans="119:119" x14ac:dyDescent="0.2">
      <c r="DO24842" s="303" t="s">
        <v>232</v>
      </c>
    </row>
    <row r="24843" spans="119:119" x14ac:dyDescent="0.2">
      <c r="DO24843" s="303" t="s">
        <v>232</v>
      </c>
    </row>
    <row r="24844" spans="119:119" x14ac:dyDescent="0.2">
      <c r="DO24844" s="303" t="s">
        <v>232</v>
      </c>
    </row>
    <row r="24845" spans="119:119" x14ac:dyDescent="0.2">
      <c r="DO24845" s="303" t="s">
        <v>232</v>
      </c>
    </row>
    <row r="24846" spans="119:119" x14ac:dyDescent="0.2">
      <c r="DO24846" s="303" t="s">
        <v>232</v>
      </c>
    </row>
    <row r="24847" spans="119:119" x14ac:dyDescent="0.2">
      <c r="DO24847" s="303" t="s">
        <v>232</v>
      </c>
    </row>
    <row r="24848" spans="119:119" x14ac:dyDescent="0.2">
      <c r="DO24848" s="303" t="s">
        <v>232</v>
      </c>
    </row>
    <row r="24849" spans="119:119" x14ac:dyDescent="0.2">
      <c r="DO24849" s="303" t="s">
        <v>232</v>
      </c>
    </row>
    <row r="24850" spans="119:119" x14ac:dyDescent="0.2">
      <c r="DO24850" s="303" t="s">
        <v>232</v>
      </c>
    </row>
    <row r="24851" spans="119:119" x14ac:dyDescent="0.2">
      <c r="DO24851" s="303" t="s">
        <v>232</v>
      </c>
    </row>
    <row r="24852" spans="119:119" x14ac:dyDescent="0.2">
      <c r="DO24852" s="303" t="s">
        <v>232</v>
      </c>
    </row>
    <row r="24853" spans="119:119" x14ac:dyDescent="0.2">
      <c r="DO24853" s="303" t="s">
        <v>232</v>
      </c>
    </row>
    <row r="24854" spans="119:119" x14ac:dyDescent="0.2">
      <c r="DO24854" s="303" t="s">
        <v>232</v>
      </c>
    </row>
    <row r="24855" spans="119:119" x14ac:dyDescent="0.2">
      <c r="DO24855" s="303" t="s">
        <v>232</v>
      </c>
    </row>
    <row r="24856" spans="119:119" x14ac:dyDescent="0.2">
      <c r="DO24856" s="303" t="s">
        <v>232</v>
      </c>
    </row>
    <row r="24857" spans="119:119" x14ac:dyDescent="0.2">
      <c r="DO24857" s="303" t="s">
        <v>232</v>
      </c>
    </row>
    <row r="24858" spans="119:119" x14ac:dyDescent="0.2">
      <c r="DO24858" s="303" t="s">
        <v>232</v>
      </c>
    </row>
    <row r="24859" spans="119:119" x14ac:dyDescent="0.2">
      <c r="DO24859" s="303" t="s">
        <v>232</v>
      </c>
    </row>
    <row r="24860" spans="119:119" x14ac:dyDescent="0.2">
      <c r="DO24860" s="303" t="s">
        <v>232</v>
      </c>
    </row>
    <row r="24861" spans="119:119" x14ac:dyDescent="0.2">
      <c r="DO24861" s="303" t="s">
        <v>232</v>
      </c>
    </row>
    <row r="24862" spans="119:119" x14ac:dyDescent="0.2">
      <c r="DO24862" s="303" t="s">
        <v>232</v>
      </c>
    </row>
    <row r="24863" spans="119:119" x14ac:dyDescent="0.2">
      <c r="DO24863" s="303" t="s">
        <v>232</v>
      </c>
    </row>
    <row r="24864" spans="119:119" x14ac:dyDescent="0.2">
      <c r="DO24864" s="303" t="s">
        <v>232</v>
      </c>
    </row>
    <row r="24865" spans="119:119" x14ac:dyDescent="0.2">
      <c r="DO24865" s="303" t="s">
        <v>232</v>
      </c>
    </row>
    <row r="24866" spans="119:119" x14ac:dyDescent="0.2">
      <c r="DO24866" s="303" t="s">
        <v>232</v>
      </c>
    </row>
    <row r="24867" spans="119:119" x14ac:dyDescent="0.2">
      <c r="DO24867" s="303" t="s">
        <v>232</v>
      </c>
    </row>
    <row r="24868" spans="119:119" x14ac:dyDescent="0.2">
      <c r="DO24868" s="303" t="s">
        <v>232</v>
      </c>
    </row>
    <row r="24869" spans="119:119" x14ac:dyDescent="0.2">
      <c r="DO24869" s="303" t="s">
        <v>232</v>
      </c>
    </row>
    <row r="24870" spans="119:119" x14ac:dyDescent="0.2">
      <c r="DO24870" s="303" t="s">
        <v>232</v>
      </c>
    </row>
    <row r="24871" spans="119:119" x14ac:dyDescent="0.2">
      <c r="DO24871" s="303" t="s">
        <v>232</v>
      </c>
    </row>
    <row r="24872" spans="119:119" x14ac:dyDescent="0.2">
      <c r="DO24872" s="303" t="s">
        <v>232</v>
      </c>
    </row>
    <row r="24873" spans="119:119" x14ac:dyDescent="0.2">
      <c r="DO24873" s="303" t="s">
        <v>232</v>
      </c>
    </row>
    <row r="24874" spans="119:119" x14ac:dyDescent="0.2">
      <c r="DO24874" s="303" t="s">
        <v>232</v>
      </c>
    </row>
    <row r="24875" spans="119:119" x14ac:dyDescent="0.2">
      <c r="DO24875" s="303" t="s">
        <v>232</v>
      </c>
    </row>
    <row r="24876" spans="119:119" x14ac:dyDescent="0.2">
      <c r="DO24876" s="303" t="s">
        <v>232</v>
      </c>
    </row>
    <row r="24877" spans="119:119" x14ac:dyDescent="0.2">
      <c r="DO24877" s="303" t="s">
        <v>232</v>
      </c>
    </row>
    <row r="24878" spans="119:119" x14ac:dyDescent="0.2">
      <c r="DO24878" s="303" t="s">
        <v>232</v>
      </c>
    </row>
    <row r="24879" spans="119:119" x14ac:dyDescent="0.2">
      <c r="DO24879" s="303" t="s">
        <v>232</v>
      </c>
    </row>
    <row r="24880" spans="119:119" x14ac:dyDescent="0.2">
      <c r="DO24880" s="303" t="s">
        <v>232</v>
      </c>
    </row>
    <row r="24881" spans="119:119" x14ac:dyDescent="0.2">
      <c r="DO24881" s="303" t="s">
        <v>232</v>
      </c>
    </row>
    <row r="24882" spans="119:119" x14ac:dyDescent="0.2">
      <c r="DO24882" s="303" t="s">
        <v>232</v>
      </c>
    </row>
    <row r="24883" spans="119:119" x14ac:dyDescent="0.2">
      <c r="DO24883" s="303" t="s">
        <v>232</v>
      </c>
    </row>
    <row r="24884" spans="119:119" x14ac:dyDescent="0.2">
      <c r="DO24884" s="303" t="s">
        <v>232</v>
      </c>
    </row>
    <row r="24885" spans="119:119" x14ac:dyDescent="0.2">
      <c r="DO24885" s="303" t="s">
        <v>232</v>
      </c>
    </row>
    <row r="24886" spans="119:119" x14ac:dyDescent="0.2">
      <c r="DO24886" s="303" t="s">
        <v>232</v>
      </c>
    </row>
    <row r="24887" spans="119:119" x14ac:dyDescent="0.2">
      <c r="DO24887" s="303" t="s">
        <v>232</v>
      </c>
    </row>
    <row r="24888" spans="119:119" x14ac:dyDescent="0.2">
      <c r="DO24888" s="303" t="s">
        <v>232</v>
      </c>
    </row>
    <row r="24889" spans="119:119" x14ac:dyDescent="0.2">
      <c r="DO24889" s="303" t="s">
        <v>232</v>
      </c>
    </row>
    <row r="24890" spans="119:119" x14ac:dyDescent="0.2">
      <c r="DO24890" s="303" t="s">
        <v>232</v>
      </c>
    </row>
    <row r="24891" spans="119:119" x14ac:dyDescent="0.2">
      <c r="DO24891" s="303" t="s">
        <v>232</v>
      </c>
    </row>
    <row r="24892" spans="119:119" x14ac:dyDescent="0.2">
      <c r="DO24892" s="303" t="s">
        <v>232</v>
      </c>
    </row>
    <row r="24893" spans="119:119" x14ac:dyDescent="0.2">
      <c r="DO24893" s="303" t="s">
        <v>232</v>
      </c>
    </row>
    <row r="24894" spans="119:119" x14ac:dyDescent="0.2">
      <c r="DO24894" s="303" t="s">
        <v>232</v>
      </c>
    </row>
    <row r="24895" spans="119:119" x14ac:dyDescent="0.2">
      <c r="DO24895" s="303" t="s">
        <v>232</v>
      </c>
    </row>
    <row r="24896" spans="119:119" x14ac:dyDescent="0.2">
      <c r="DO24896" s="303" t="s">
        <v>232</v>
      </c>
    </row>
    <row r="24897" spans="119:119" x14ac:dyDescent="0.2">
      <c r="DO24897" s="303" t="s">
        <v>232</v>
      </c>
    </row>
    <row r="24898" spans="119:119" x14ac:dyDescent="0.2">
      <c r="DO24898" s="303" t="s">
        <v>232</v>
      </c>
    </row>
    <row r="24899" spans="119:119" x14ac:dyDescent="0.2">
      <c r="DO24899" s="303" t="s">
        <v>232</v>
      </c>
    </row>
    <row r="24900" spans="119:119" x14ac:dyDescent="0.2">
      <c r="DO24900" s="303" t="s">
        <v>232</v>
      </c>
    </row>
    <row r="24901" spans="119:119" x14ac:dyDescent="0.2">
      <c r="DO24901" s="303" t="s">
        <v>232</v>
      </c>
    </row>
    <row r="24902" spans="119:119" x14ac:dyDescent="0.2">
      <c r="DO24902" s="303" t="s">
        <v>232</v>
      </c>
    </row>
    <row r="24903" spans="119:119" x14ac:dyDescent="0.2">
      <c r="DO24903" s="303" t="s">
        <v>232</v>
      </c>
    </row>
    <row r="24904" spans="119:119" x14ac:dyDescent="0.2">
      <c r="DO24904" s="303" t="s">
        <v>232</v>
      </c>
    </row>
    <row r="24905" spans="119:119" x14ac:dyDescent="0.2">
      <c r="DO24905" s="303" t="s">
        <v>232</v>
      </c>
    </row>
    <row r="24906" spans="119:119" x14ac:dyDescent="0.2">
      <c r="DO24906" s="303" t="s">
        <v>232</v>
      </c>
    </row>
    <row r="24907" spans="119:119" x14ac:dyDescent="0.2">
      <c r="DO24907" s="303" t="s">
        <v>232</v>
      </c>
    </row>
    <row r="24908" spans="119:119" x14ac:dyDescent="0.2">
      <c r="DO24908" s="303" t="s">
        <v>232</v>
      </c>
    </row>
    <row r="24909" spans="119:119" x14ac:dyDescent="0.2">
      <c r="DO24909" s="303" t="s">
        <v>232</v>
      </c>
    </row>
    <row r="24910" spans="119:119" x14ac:dyDescent="0.2">
      <c r="DO24910" s="303" t="s">
        <v>232</v>
      </c>
    </row>
    <row r="24911" spans="119:119" x14ac:dyDescent="0.2">
      <c r="DO24911" s="303" t="s">
        <v>232</v>
      </c>
    </row>
    <row r="24912" spans="119:119" x14ac:dyDescent="0.2">
      <c r="DO24912" s="303" t="s">
        <v>232</v>
      </c>
    </row>
    <row r="24913" spans="119:119" x14ac:dyDescent="0.2">
      <c r="DO24913" s="303" t="s">
        <v>232</v>
      </c>
    </row>
    <row r="24914" spans="119:119" x14ac:dyDescent="0.2">
      <c r="DO24914" s="303" t="s">
        <v>232</v>
      </c>
    </row>
    <row r="24915" spans="119:119" x14ac:dyDescent="0.2">
      <c r="DO24915" s="303" t="s">
        <v>232</v>
      </c>
    </row>
    <row r="24916" spans="119:119" x14ac:dyDescent="0.2">
      <c r="DO24916" s="303" t="s">
        <v>232</v>
      </c>
    </row>
    <row r="24917" spans="119:119" x14ac:dyDescent="0.2">
      <c r="DO24917" s="303" t="s">
        <v>232</v>
      </c>
    </row>
    <row r="24918" spans="119:119" x14ac:dyDescent="0.2">
      <c r="DO24918" s="303" t="s">
        <v>232</v>
      </c>
    </row>
    <row r="24919" spans="119:119" x14ac:dyDescent="0.2">
      <c r="DO24919" s="303" t="s">
        <v>232</v>
      </c>
    </row>
    <row r="24920" spans="119:119" x14ac:dyDescent="0.2">
      <c r="DO24920" s="303" t="s">
        <v>232</v>
      </c>
    </row>
    <row r="24921" spans="119:119" x14ac:dyDescent="0.2">
      <c r="DO24921" s="303" t="s">
        <v>232</v>
      </c>
    </row>
    <row r="24922" spans="119:119" x14ac:dyDescent="0.2">
      <c r="DO24922" s="303" t="s">
        <v>232</v>
      </c>
    </row>
    <row r="24923" spans="119:119" x14ac:dyDescent="0.2">
      <c r="DO24923" s="303" t="s">
        <v>232</v>
      </c>
    </row>
    <row r="24924" spans="119:119" x14ac:dyDescent="0.2">
      <c r="DO24924" s="303" t="s">
        <v>232</v>
      </c>
    </row>
    <row r="24925" spans="119:119" x14ac:dyDescent="0.2">
      <c r="DO24925" s="303" t="s">
        <v>232</v>
      </c>
    </row>
    <row r="24926" spans="119:119" x14ac:dyDescent="0.2">
      <c r="DO24926" s="303" t="s">
        <v>232</v>
      </c>
    </row>
    <row r="24927" spans="119:119" x14ac:dyDescent="0.2">
      <c r="DO24927" s="303" t="s">
        <v>232</v>
      </c>
    </row>
    <row r="24928" spans="119:119" x14ac:dyDescent="0.2">
      <c r="DO24928" s="303" t="s">
        <v>232</v>
      </c>
    </row>
    <row r="24929" spans="119:119" x14ac:dyDescent="0.2">
      <c r="DO24929" s="303" t="s">
        <v>232</v>
      </c>
    </row>
    <row r="24930" spans="119:119" x14ac:dyDescent="0.2">
      <c r="DO24930" s="303" t="s">
        <v>232</v>
      </c>
    </row>
    <row r="24931" spans="119:119" x14ac:dyDescent="0.2">
      <c r="DO24931" s="303" t="s">
        <v>232</v>
      </c>
    </row>
    <row r="24932" spans="119:119" x14ac:dyDescent="0.2">
      <c r="DO24932" s="303" t="s">
        <v>232</v>
      </c>
    </row>
    <row r="24933" spans="119:119" x14ac:dyDescent="0.2">
      <c r="DO24933" s="303" t="s">
        <v>232</v>
      </c>
    </row>
    <row r="24934" spans="119:119" x14ac:dyDescent="0.2">
      <c r="DO24934" s="303" t="s">
        <v>232</v>
      </c>
    </row>
    <row r="24935" spans="119:119" x14ac:dyDescent="0.2">
      <c r="DO24935" s="303" t="s">
        <v>232</v>
      </c>
    </row>
    <row r="24936" spans="119:119" x14ac:dyDescent="0.2">
      <c r="DO24936" s="303" t="s">
        <v>232</v>
      </c>
    </row>
    <row r="24937" spans="119:119" x14ac:dyDescent="0.2">
      <c r="DO24937" s="303" t="s">
        <v>232</v>
      </c>
    </row>
    <row r="24938" spans="119:119" x14ac:dyDescent="0.2">
      <c r="DO24938" s="303" t="s">
        <v>232</v>
      </c>
    </row>
    <row r="24939" spans="119:119" x14ac:dyDescent="0.2">
      <c r="DO24939" s="303" t="s">
        <v>232</v>
      </c>
    </row>
    <row r="24940" spans="119:119" x14ac:dyDescent="0.2">
      <c r="DO24940" s="303" t="s">
        <v>232</v>
      </c>
    </row>
    <row r="24941" spans="119:119" x14ac:dyDescent="0.2">
      <c r="DO24941" s="303" t="s">
        <v>232</v>
      </c>
    </row>
    <row r="24942" spans="119:119" x14ac:dyDescent="0.2">
      <c r="DO24942" s="303" t="s">
        <v>232</v>
      </c>
    </row>
    <row r="24943" spans="119:119" x14ac:dyDescent="0.2">
      <c r="DO24943" s="303" t="s">
        <v>232</v>
      </c>
    </row>
    <row r="24944" spans="119:119" x14ac:dyDescent="0.2">
      <c r="DO24944" s="303" t="s">
        <v>232</v>
      </c>
    </row>
    <row r="24945" spans="119:119" x14ac:dyDescent="0.2">
      <c r="DO24945" s="303" t="s">
        <v>232</v>
      </c>
    </row>
    <row r="24946" spans="119:119" x14ac:dyDescent="0.2">
      <c r="DO24946" s="303" t="s">
        <v>232</v>
      </c>
    </row>
    <row r="24947" spans="119:119" x14ac:dyDescent="0.2">
      <c r="DO24947" s="303" t="s">
        <v>232</v>
      </c>
    </row>
    <row r="24948" spans="119:119" x14ac:dyDescent="0.2">
      <c r="DO24948" s="303" t="s">
        <v>232</v>
      </c>
    </row>
    <row r="24949" spans="119:119" x14ac:dyDescent="0.2">
      <c r="DO24949" s="303" t="s">
        <v>232</v>
      </c>
    </row>
    <row r="24950" spans="119:119" x14ac:dyDescent="0.2">
      <c r="DO24950" s="303" t="s">
        <v>232</v>
      </c>
    </row>
    <row r="24951" spans="119:119" x14ac:dyDescent="0.2">
      <c r="DO24951" s="303" t="s">
        <v>232</v>
      </c>
    </row>
    <row r="24952" spans="119:119" x14ac:dyDescent="0.2">
      <c r="DO24952" s="303" t="s">
        <v>232</v>
      </c>
    </row>
    <row r="24953" spans="119:119" x14ac:dyDescent="0.2">
      <c r="DO24953" s="303" t="s">
        <v>232</v>
      </c>
    </row>
    <row r="24954" spans="119:119" x14ac:dyDescent="0.2">
      <c r="DO24954" s="303" t="s">
        <v>232</v>
      </c>
    </row>
    <row r="24955" spans="119:119" x14ac:dyDescent="0.2">
      <c r="DO24955" s="303" t="s">
        <v>232</v>
      </c>
    </row>
    <row r="24956" spans="119:119" x14ac:dyDescent="0.2">
      <c r="DO24956" s="303" t="s">
        <v>232</v>
      </c>
    </row>
    <row r="24957" spans="119:119" x14ac:dyDescent="0.2">
      <c r="DO24957" s="303" t="s">
        <v>232</v>
      </c>
    </row>
    <row r="24958" spans="119:119" x14ac:dyDescent="0.2">
      <c r="DO24958" s="303" t="s">
        <v>232</v>
      </c>
    </row>
    <row r="24959" spans="119:119" x14ac:dyDescent="0.2">
      <c r="DO24959" s="303" t="s">
        <v>232</v>
      </c>
    </row>
    <row r="24960" spans="119:119" x14ac:dyDescent="0.2">
      <c r="DO24960" s="303" t="s">
        <v>232</v>
      </c>
    </row>
    <row r="24961" spans="119:119" x14ac:dyDescent="0.2">
      <c r="DO24961" s="303" t="s">
        <v>232</v>
      </c>
    </row>
    <row r="24962" spans="119:119" x14ac:dyDescent="0.2">
      <c r="DO24962" s="303" t="s">
        <v>232</v>
      </c>
    </row>
    <row r="24963" spans="119:119" x14ac:dyDescent="0.2">
      <c r="DO24963" s="303" t="s">
        <v>232</v>
      </c>
    </row>
    <row r="24964" spans="119:119" x14ac:dyDescent="0.2">
      <c r="DO24964" s="303" t="s">
        <v>232</v>
      </c>
    </row>
    <row r="24965" spans="119:119" x14ac:dyDescent="0.2">
      <c r="DO24965" s="303" t="s">
        <v>232</v>
      </c>
    </row>
    <row r="24966" spans="119:119" x14ac:dyDescent="0.2">
      <c r="DO24966" s="303" t="s">
        <v>232</v>
      </c>
    </row>
    <row r="24967" spans="119:119" x14ac:dyDescent="0.2">
      <c r="DO24967" s="303" t="s">
        <v>232</v>
      </c>
    </row>
    <row r="24968" spans="119:119" x14ac:dyDescent="0.2">
      <c r="DO24968" s="303" t="s">
        <v>232</v>
      </c>
    </row>
    <row r="24969" spans="119:119" x14ac:dyDescent="0.2">
      <c r="DO24969" s="303" t="s">
        <v>232</v>
      </c>
    </row>
    <row r="24970" spans="119:119" x14ac:dyDescent="0.2">
      <c r="DO24970" s="303" t="s">
        <v>232</v>
      </c>
    </row>
    <row r="24971" spans="119:119" x14ac:dyDescent="0.2">
      <c r="DO24971" s="303" t="s">
        <v>232</v>
      </c>
    </row>
    <row r="24972" spans="119:119" x14ac:dyDescent="0.2">
      <c r="DO24972" s="303" t="s">
        <v>232</v>
      </c>
    </row>
    <row r="24973" spans="119:119" x14ac:dyDescent="0.2">
      <c r="DO24973" s="303" t="s">
        <v>232</v>
      </c>
    </row>
    <row r="24974" spans="119:119" x14ac:dyDescent="0.2">
      <c r="DO24974" s="303" t="s">
        <v>232</v>
      </c>
    </row>
    <row r="24975" spans="119:119" x14ac:dyDescent="0.2">
      <c r="DO24975" s="303" t="s">
        <v>232</v>
      </c>
    </row>
    <row r="24976" spans="119:119" x14ac:dyDescent="0.2">
      <c r="DO24976" s="303" t="s">
        <v>232</v>
      </c>
    </row>
    <row r="24977" spans="119:119" x14ac:dyDescent="0.2">
      <c r="DO24977" s="303" t="s">
        <v>232</v>
      </c>
    </row>
    <row r="24978" spans="119:119" x14ac:dyDescent="0.2">
      <c r="DO24978" s="303" t="s">
        <v>232</v>
      </c>
    </row>
    <row r="24979" spans="119:119" x14ac:dyDescent="0.2">
      <c r="DO24979" s="303" t="s">
        <v>232</v>
      </c>
    </row>
    <row r="24980" spans="119:119" x14ac:dyDescent="0.2">
      <c r="DO24980" s="303" t="s">
        <v>232</v>
      </c>
    </row>
    <row r="24981" spans="119:119" x14ac:dyDescent="0.2">
      <c r="DO24981" s="303" t="s">
        <v>232</v>
      </c>
    </row>
    <row r="24982" spans="119:119" x14ac:dyDescent="0.2">
      <c r="DO24982" s="303" t="s">
        <v>232</v>
      </c>
    </row>
    <row r="24983" spans="119:119" x14ac:dyDescent="0.2">
      <c r="DO24983" s="303" t="s">
        <v>232</v>
      </c>
    </row>
    <row r="24984" spans="119:119" x14ac:dyDescent="0.2">
      <c r="DO24984" s="303" t="s">
        <v>232</v>
      </c>
    </row>
    <row r="24985" spans="119:119" x14ac:dyDescent="0.2">
      <c r="DO24985" s="303" t="s">
        <v>232</v>
      </c>
    </row>
    <row r="24986" spans="119:119" x14ac:dyDescent="0.2">
      <c r="DO24986" s="303" t="s">
        <v>232</v>
      </c>
    </row>
    <row r="24987" spans="119:119" x14ac:dyDescent="0.2">
      <c r="DO24987" s="303" t="s">
        <v>232</v>
      </c>
    </row>
    <row r="24988" spans="119:119" x14ac:dyDescent="0.2">
      <c r="DO24988" s="303" t="s">
        <v>232</v>
      </c>
    </row>
    <row r="24989" spans="119:119" x14ac:dyDescent="0.2">
      <c r="DO24989" s="303" t="s">
        <v>232</v>
      </c>
    </row>
    <row r="24990" spans="119:119" x14ac:dyDescent="0.2">
      <c r="DO24990" s="303" t="s">
        <v>232</v>
      </c>
    </row>
    <row r="24991" spans="119:119" x14ac:dyDescent="0.2">
      <c r="DO24991" s="303" t="s">
        <v>232</v>
      </c>
    </row>
    <row r="24992" spans="119:119" x14ac:dyDescent="0.2">
      <c r="DO24992" s="303" t="s">
        <v>232</v>
      </c>
    </row>
    <row r="24993" spans="119:119" x14ac:dyDescent="0.2">
      <c r="DO24993" s="303" t="s">
        <v>232</v>
      </c>
    </row>
    <row r="24994" spans="119:119" x14ac:dyDescent="0.2">
      <c r="DO24994" s="303" t="s">
        <v>232</v>
      </c>
    </row>
    <row r="24995" spans="119:119" x14ac:dyDescent="0.2">
      <c r="DO24995" s="303" t="s">
        <v>232</v>
      </c>
    </row>
    <row r="24996" spans="119:119" x14ac:dyDescent="0.2">
      <c r="DO24996" s="303" t="s">
        <v>232</v>
      </c>
    </row>
    <row r="24997" spans="119:119" x14ac:dyDescent="0.2">
      <c r="DO24997" s="303" t="s">
        <v>232</v>
      </c>
    </row>
    <row r="24998" spans="119:119" x14ac:dyDescent="0.2">
      <c r="DO24998" s="303" t="s">
        <v>232</v>
      </c>
    </row>
    <row r="24999" spans="119:119" x14ac:dyDescent="0.2">
      <c r="DO24999" s="303" t="s">
        <v>232</v>
      </c>
    </row>
    <row r="25000" spans="119:119" x14ac:dyDescent="0.2">
      <c r="DO25000" s="303" t="s">
        <v>232</v>
      </c>
    </row>
    <row r="25001" spans="119:119" x14ac:dyDescent="0.2">
      <c r="DO25001" s="303" t="s">
        <v>232</v>
      </c>
    </row>
    <row r="25002" spans="119:119" x14ac:dyDescent="0.2">
      <c r="DO25002" s="303" t="s">
        <v>232</v>
      </c>
    </row>
    <row r="25003" spans="119:119" x14ac:dyDescent="0.2">
      <c r="DO25003" s="303" t="s">
        <v>232</v>
      </c>
    </row>
    <row r="25004" spans="119:119" x14ac:dyDescent="0.2">
      <c r="DO25004" s="303" t="s">
        <v>232</v>
      </c>
    </row>
    <row r="25005" spans="119:119" x14ac:dyDescent="0.2">
      <c r="DO25005" s="303" t="s">
        <v>232</v>
      </c>
    </row>
    <row r="25006" spans="119:119" x14ac:dyDescent="0.2">
      <c r="DO25006" s="303" t="s">
        <v>232</v>
      </c>
    </row>
    <row r="25007" spans="119:119" x14ac:dyDescent="0.2">
      <c r="DO25007" s="303" t="s">
        <v>232</v>
      </c>
    </row>
    <row r="25008" spans="119:119" x14ac:dyDescent="0.2">
      <c r="DO25008" s="303" t="s">
        <v>232</v>
      </c>
    </row>
    <row r="25009" spans="119:119" x14ac:dyDescent="0.2">
      <c r="DO25009" s="303" t="s">
        <v>232</v>
      </c>
    </row>
    <row r="25010" spans="119:119" x14ac:dyDescent="0.2">
      <c r="DO25010" s="303" t="s">
        <v>232</v>
      </c>
    </row>
    <row r="25011" spans="119:119" x14ac:dyDescent="0.2">
      <c r="DO25011" s="303" t="s">
        <v>232</v>
      </c>
    </row>
    <row r="25012" spans="119:119" x14ac:dyDescent="0.2">
      <c r="DO25012" s="303" t="s">
        <v>232</v>
      </c>
    </row>
    <row r="25013" spans="119:119" x14ac:dyDescent="0.2">
      <c r="DO25013" s="303" t="s">
        <v>232</v>
      </c>
    </row>
    <row r="25014" spans="119:119" x14ac:dyDescent="0.2">
      <c r="DO25014" s="303" t="s">
        <v>232</v>
      </c>
    </row>
    <row r="25015" spans="119:119" x14ac:dyDescent="0.2">
      <c r="DO25015" s="303" t="s">
        <v>232</v>
      </c>
    </row>
    <row r="25016" spans="119:119" x14ac:dyDescent="0.2">
      <c r="DO25016" s="303" t="s">
        <v>232</v>
      </c>
    </row>
    <row r="25017" spans="119:119" x14ac:dyDescent="0.2">
      <c r="DO25017" s="303" t="s">
        <v>232</v>
      </c>
    </row>
    <row r="25018" spans="119:119" x14ac:dyDescent="0.2">
      <c r="DO25018" s="303" t="s">
        <v>232</v>
      </c>
    </row>
    <row r="25019" spans="119:119" x14ac:dyDescent="0.2">
      <c r="DO25019" s="303" t="s">
        <v>232</v>
      </c>
    </row>
    <row r="25020" spans="119:119" x14ac:dyDescent="0.2">
      <c r="DO25020" s="303" t="s">
        <v>232</v>
      </c>
    </row>
    <row r="25021" spans="119:119" x14ac:dyDescent="0.2">
      <c r="DO25021" s="303" t="s">
        <v>232</v>
      </c>
    </row>
    <row r="25022" spans="119:119" x14ac:dyDescent="0.2">
      <c r="DO25022" s="303" t="s">
        <v>232</v>
      </c>
    </row>
    <row r="25023" spans="119:119" x14ac:dyDescent="0.2">
      <c r="DO25023" s="303" t="s">
        <v>232</v>
      </c>
    </row>
    <row r="25024" spans="119:119" x14ac:dyDescent="0.2">
      <c r="DO25024" s="303" t="s">
        <v>232</v>
      </c>
    </row>
    <row r="25025" spans="119:119" x14ac:dyDescent="0.2">
      <c r="DO25025" s="303" t="s">
        <v>232</v>
      </c>
    </row>
    <row r="25026" spans="119:119" x14ac:dyDescent="0.2">
      <c r="DO25026" s="303" t="s">
        <v>232</v>
      </c>
    </row>
    <row r="25027" spans="119:119" x14ac:dyDescent="0.2">
      <c r="DO25027" s="303" t="s">
        <v>232</v>
      </c>
    </row>
    <row r="25028" spans="119:119" x14ac:dyDescent="0.2">
      <c r="DO25028" s="303" t="s">
        <v>232</v>
      </c>
    </row>
    <row r="25029" spans="119:119" x14ac:dyDescent="0.2">
      <c r="DO25029" s="303" t="s">
        <v>232</v>
      </c>
    </row>
    <row r="25030" spans="119:119" x14ac:dyDescent="0.2">
      <c r="DO25030" s="303" t="s">
        <v>232</v>
      </c>
    </row>
    <row r="25031" spans="119:119" x14ac:dyDescent="0.2">
      <c r="DO25031" s="303" t="s">
        <v>232</v>
      </c>
    </row>
    <row r="25032" spans="119:119" x14ac:dyDescent="0.2">
      <c r="DO25032" s="303" t="s">
        <v>232</v>
      </c>
    </row>
    <row r="25033" spans="119:119" x14ac:dyDescent="0.2">
      <c r="DO25033" s="303" t="s">
        <v>232</v>
      </c>
    </row>
    <row r="25034" spans="119:119" x14ac:dyDescent="0.2">
      <c r="DO25034" s="303" t="s">
        <v>232</v>
      </c>
    </row>
    <row r="25035" spans="119:119" x14ac:dyDescent="0.2">
      <c r="DO25035" s="303" t="s">
        <v>232</v>
      </c>
    </row>
    <row r="25036" spans="119:119" x14ac:dyDescent="0.2">
      <c r="DO25036" s="303" t="s">
        <v>232</v>
      </c>
    </row>
    <row r="25037" spans="119:119" x14ac:dyDescent="0.2">
      <c r="DO25037" s="303" t="s">
        <v>232</v>
      </c>
    </row>
    <row r="25038" spans="119:119" x14ac:dyDescent="0.2">
      <c r="DO25038" s="303" t="s">
        <v>232</v>
      </c>
    </row>
    <row r="25039" spans="119:119" x14ac:dyDescent="0.2">
      <c r="DO25039" s="303" t="s">
        <v>232</v>
      </c>
    </row>
    <row r="25040" spans="119:119" x14ac:dyDescent="0.2">
      <c r="DO25040" s="303" t="s">
        <v>232</v>
      </c>
    </row>
    <row r="25041" spans="119:119" x14ac:dyDescent="0.2">
      <c r="DO25041" s="303" t="s">
        <v>232</v>
      </c>
    </row>
    <row r="25042" spans="119:119" x14ac:dyDescent="0.2">
      <c r="DO25042" s="303" t="s">
        <v>232</v>
      </c>
    </row>
    <row r="25043" spans="119:119" x14ac:dyDescent="0.2">
      <c r="DO25043" s="303" t="s">
        <v>232</v>
      </c>
    </row>
    <row r="25044" spans="119:119" x14ac:dyDescent="0.2">
      <c r="DO25044" s="303" t="s">
        <v>232</v>
      </c>
    </row>
    <row r="25045" spans="119:119" x14ac:dyDescent="0.2">
      <c r="DO25045" s="303" t="s">
        <v>232</v>
      </c>
    </row>
    <row r="25046" spans="119:119" x14ac:dyDescent="0.2">
      <c r="DO25046" s="303" t="s">
        <v>232</v>
      </c>
    </row>
    <row r="25047" spans="119:119" x14ac:dyDescent="0.2">
      <c r="DO25047" s="303" t="s">
        <v>232</v>
      </c>
    </row>
    <row r="25048" spans="119:119" x14ac:dyDescent="0.2">
      <c r="DO25048" s="303" t="s">
        <v>232</v>
      </c>
    </row>
    <row r="25049" spans="119:119" x14ac:dyDescent="0.2">
      <c r="DO25049" s="303" t="s">
        <v>232</v>
      </c>
    </row>
    <row r="25050" spans="119:119" x14ac:dyDescent="0.2">
      <c r="DO25050" s="303" t="s">
        <v>232</v>
      </c>
    </row>
    <row r="25051" spans="119:119" x14ac:dyDescent="0.2">
      <c r="DO25051" s="303" t="s">
        <v>232</v>
      </c>
    </row>
    <row r="25052" spans="119:119" x14ac:dyDescent="0.2">
      <c r="DO25052" s="303" t="s">
        <v>232</v>
      </c>
    </row>
    <row r="25053" spans="119:119" x14ac:dyDescent="0.2">
      <c r="DO25053" s="303" t="s">
        <v>232</v>
      </c>
    </row>
    <row r="25054" spans="119:119" x14ac:dyDescent="0.2">
      <c r="DO25054" s="303" t="s">
        <v>232</v>
      </c>
    </row>
    <row r="25055" spans="119:119" x14ac:dyDescent="0.2">
      <c r="DO25055" s="303" t="s">
        <v>232</v>
      </c>
    </row>
    <row r="25056" spans="119:119" x14ac:dyDescent="0.2">
      <c r="DO25056" s="303" t="s">
        <v>232</v>
      </c>
    </row>
    <row r="25057" spans="119:119" x14ac:dyDescent="0.2">
      <c r="DO25057" s="303" t="s">
        <v>232</v>
      </c>
    </row>
    <row r="25058" spans="119:119" x14ac:dyDescent="0.2">
      <c r="DO25058" s="303" t="s">
        <v>232</v>
      </c>
    </row>
    <row r="25059" spans="119:119" x14ac:dyDescent="0.2">
      <c r="DO25059" s="303" t="s">
        <v>232</v>
      </c>
    </row>
    <row r="25060" spans="119:119" x14ac:dyDescent="0.2">
      <c r="DO25060" s="303" t="s">
        <v>232</v>
      </c>
    </row>
    <row r="25061" spans="119:119" x14ac:dyDescent="0.2">
      <c r="DO25061" s="303" t="s">
        <v>232</v>
      </c>
    </row>
    <row r="25062" spans="119:119" x14ac:dyDescent="0.2">
      <c r="DO25062" s="303" t="s">
        <v>232</v>
      </c>
    </row>
    <row r="25063" spans="119:119" x14ac:dyDescent="0.2">
      <c r="DO25063" s="303" t="s">
        <v>232</v>
      </c>
    </row>
    <row r="25064" spans="119:119" x14ac:dyDescent="0.2">
      <c r="DO25064" s="303" t="s">
        <v>232</v>
      </c>
    </row>
    <row r="25065" spans="119:119" x14ac:dyDescent="0.2">
      <c r="DO25065" s="303" t="s">
        <v>232</v>
      </c>
    </row>
    <row r="25066" spans="119:119" x14ac:dyDescent="0.2">
      <c r="DO25066" s="303" t="s">
        <v>232</v>
      </c>
    </row>
    <row r="25067" spans="119:119" x14ac:dyDescent="0.2">
      <c r="DO25067" s="303" t="s">
        <v>232</v>
      </c>
    </row>
    <row r="25068" spans="119:119" x14ac:dyDescent="0.2">
      <c r="DO25068" s="303" t="s">
        <v>232</v>
      </c>
    </row>
    <row r="25069" spans="119:119" x14ac:dyDescent="0.2">
      <c r="DO25069" s="303" t="s">
        <v>232</v>
      </c>
    </row>
    <row r="25070" spans="119:119" x14ac:dyDescent="0.2">
      <c r="DO25070" s="303" t="s">
        <v>232</v>
      </c>
    </row>
    <row r="25071" spans="119:119" x14ac:dyDescent="0.2">
      <c r="DO25071" s="303" t="s">
        <v>232</v>
      </c>
    </row>
    <row r="25072" spans="119:119" x14ac:dyDescent="0.2">
      <c r="DO25072" s="303" t="s">
        <v>232</v>
      </c>
    </row>
    <row r="25073" spans="119:119" x14ac:dyDescent="0.2">
      <c r="DO25073" s="303" t="s">
        <v>232</v>
      </c>
    </row>
    <row r="25074" spans="119:119" x14ac:dyDescent="0.2">
      <c r="DO25074" s="303" t="s">
        <v>232</v>
      </c>
    </row>
    <row r="25075" spans="119:119" x14ac:dyDescent="0.2">
      <c r="DO25075" s="303" t="s">
        <v>232</v>
      </c>
    </row>
    <row r="25076" spans="119:119" x14ac:dyDescent="0.2">
      <c r="DO25076" s="303" t="s">
        <v>232</v>
      </c>
    </row>
    <row r="25077" spans="119:119" x14ac:dyDescent="0.2">
      <c r="DO25077" s="303" t="s">
        <v>232</v>
      </c>
    </row>
    <row r="25078" spans="119:119" x14ac:dyDescent="0.2">
      <c r="DO25078" s="303" t="s">
        <v>232</v>
      </c>
    </row>
    <row r="25079" spans="119:119" x14ac:dyDescent="0.2">
      <c r="DO25079" s="303" t="s">
        <v>232</v>
      </c>
    </row>
    <row r="25080" spans="119:119" x14ac:dyDescent="0.2">
      <c r="DO25080" s="303" t="s">
        <v>232</v>
      </c>
    </row>
    <row r="25081" spans="119:119" x14ac:dyDescent="0.2">
      <c r="DO25081" s="303" t="s">
        <v>232</v>
      </c>
    </row>
    <row r="25082" spans="119:119" x14ac:dyDescent="0.2">
      <c r="DO25082" s="303" t="s">
        <v>232</v>
      </c>
    </row>
    <row r="25083" spans="119:119" x14ac:dyDescent="0.2">
      <c r="DO25083" s="303" t="s">
        <v>232</v>
      </c>
    </row>
    <row r="25084" spans="119:119" x14ac:dyDescent="0.2">
      <c r="DO25084" s="303" t="s">
        <v>232</v>
      </c>
    </row>
    <row r="25085" spans="119:119" x14ac:dyDescent="0.2">
      <c r="DO25085" s="303" t="s">
        <v>232</v>
      </c>
    </row>
    <row r="25086" spans="119:119" x14ac:dyDescent="0.2">
      <c r="DO25086" s="303" t="s">
        <v>232</v>
      </c>
    </row>
    <row r="25087" spans="119:119" x14ac:dyDescent="0.2">
      <c r="DO25087" s="303" t="s">
        <v>232</v>
      </c>
    </row>
    <row r="25088" spans="119:119" x14ac:dyDescent="0.2">
      <c r="DO25088" s="303" t="s">
        <v>232</v>
      </c>
    </row>
    <row r="25089" spans="119:119" x14ac:dyDescent="0.2">
      <c r="DO25089" s="303" t="s">
        <v>232</v>
      </c>
    </row>
    <row r="25090" spans="119:119" x14ac:dyDescent="0.2">
      <c r="DO25090" s="303" t="s">
        <v>232</v>
      </c>
    </row>
    <row r="25091" spans="119:119" x14ac:dyDescent="0.2">
      <c r="DO25091" s="303" t="s">
        <v>232</v>
      </c>
    </row>
    <row r="25092" spans="119:119" x14ac:dyDescent="0.2">
      <c r="DO25092" s="303" t="s">
        <v>232</v>
      </c>
    </row>
    <row r="25093" spans="119:119" x14ac:dyDescent="0.2">
      <c r="DO25093" s="303" t="s">
        <v>232</v>
      </c>
    </row>
    <row r="25094" spans="119:119" x14ac:dyDescent="0.2">
      <c r="DO25094" s="303" t="s">
        <v>232</v>
      </c>
    </row>
    <row r="25095" spans="119:119" x14ac:dyDescent="0.2">
      <c r="DO25095" s="303" t="s">
        <v>232</v>
      </c>
    </row>
    <row r="25096" spans="119:119" x14ac:dyDescent="0.2">
      <c r="DO25096" s="303" t="s">
        <v>232</v>
      </c>
    </row>
    <row r="25097" spans="119:119" x14ac:dyDescent="0.2">
      <c r="DO25097" s="303" t="s">
        <v>232</v>
      </c>
    </row>
    <row r="25098" spans="119:119" x14ac:dyDescent="0.2">
      <c r="DO25098" s="303" t="s">
        <v>232</v>
      </c>
    </row>
    <row r="25099" spans="119:119" x14ac:dyDescent="0.2">
      <c r="DO25099" s="303" t="s">
        <v>232</v>
      </c>
    </row>
    <row r="25100" spans="119:119" x14ac:dyDescent="0.2">
      <c r="DO25100" s="303" t="s">
        <v>232</v>
      </c>
    </row>
    <row r="25101" spans="119:119" x14ac:dyDescent="0.2">
      <c r="DO25101" s="303" t="s">
        <v>232</v>
      </c>
    </row>
    <row r="25102" spans="119:119" x14ac:dyDescent="0.2">
      <c r="DO25102" s="303" t="s">
        <v>232</v>
      </c>
    </row>
    <row r="25103" spans="119:119" x14ac:dyDescent="0.2">
      <c r="DO25103" s="303" t="s">
        <v>232</v>
      </c>
    </row>
    <row r="25104" spans="119:119" x14ac:dyDescent="0.2">
      <c r="DO25104" s="303" t="s">
        <v>232</v>
      </c>
    </row>
    <row r="25105" spans="119:119" x14ac:dyDescent="0.2">
      <c r="DO25105" s="303" t="s">
        <v>232</v>
      </c>
    </row>
    <row r="25106" spans="119:119" x14ac:dyDescent="0.2">
      <c r="DO25106" s="303" t="s">
        <v>232</v>
      </c>
    </row>
    <row r="25107" spans="119:119" x14ac:dyDescent="0.2">
      <c r="DO25107" s="303" t="s">
        <v>232</v>
      </c>
    </row>
    <row r="25108" spans="119:119" x14ac:dyDescent="0.2">
      <c r="DO25108" s="303" t="s">
        <v>232</v>
      </c>
    </row>
    <row r="25109" spans="119:119" x14ac:dyDescent="0.2">
      <c r="DO25109" s="303" t="s">
        <v>232</v>
      </c>
    </row>
    <row r="25110" spans="119:119" x14ac:dyDescent="0.2">
      <c r="DO25110" s="303" t="s">
        <v>232</v>
      </c>
    </row>
    <row r="25111" spans="119:119" x14ac:dyDescent="0.2">
      <c r="DO25111" s="303" t="s">
        <v>232</v>
      </c>
    </row>
    <row r="25112" spans="119:119" x14ac:dyDescent="0.2">
      <c r="DO25112" s="303" t="s">
        <v>232</v>
      </c>
    </row>
    <row r="25113" spans="119:119" x14ac:dyDescent="0.2">
      <c r="DO25113" s="303" t="s">
        <v>232</v>
      </c>
    </row>
    <row r="25114" spans="119:119" x14ac:dyDescent="0.2">
      <c r="DO25114" s="303" t="s">
        <v>232</v>
      </c>
    </row>
    <row r="25115" spans="119:119" x14ac:dyDescent="0.2">
      <c r="DO25115" s="303" t="s">
        <v>232</v>
      </c>
    </row>
    <row r="25116" spans="119:119" x14ac:dyDescent="0.2">
      <c r="DO25116" s="303" t="s">
        <v>232</v>
      </c>
    </row>
    <row r="25117" spans="119:119" x14ac:dyDescent="0.2">
      <c r="DO25117" s="303" t="s">
        <v>232</v>
      </c>
    </row>
    <row r="25118" spans="119:119" x14ac:dyDescent="0.2">
      <c r="DO25118" s="303" t="s">
        <v>232</v>
      </c>
    </row>
    <row r="25119" spans="119:119" x14ac:dyDescent="0.2">
      <c r="DO25119" s="303" t="s">
        <v>232</v>
      </c>
    </row>
    <row r="25120" spans="119:119" x14ac:dyDescent="0.2">
      <c r="DO25120" s="303" t="s">
        <v>232</v>
      </c>
    </row>
    <row r="25121" spans="119:119" x14ac:dyDescent="0.2">
      <c r="DO25121" s="303" t="s">
        <v>232</v>
      </c>
    </row>
    <row r="25122" spans="119:119" x14ac:dyDescent="0.2">
      <c r="DO25122" s="303" t="s">
        <v>232</v>
      </c>
    </row>
    <row r="25123" spans="119:119" x14ac:dyDescent="0.2">
      <c r="DO25123" s="303" t="s">
        <v>232</v>
      </c>
    </row>
    <row r="25124" spans="119:119" x14ac:dyDescent="0.2">
      <c r="DO25124" s="303" t="s">
        <v>232</v>
      </c>
    </row>
    <row r="25125" spans="119:119" x14ac:dyDescent="0.2">
      <c r="DO25125" s="303" t="s">
        <v>232</v>
      </c>
    </row>
    <row r="25126" spans="119:119" x14ac:dyDescent="0.2">
      <c r="DO25126" s="303" t="s">
        <v>232</v>
      </c>
    </row>
    <row r="25127" spans="119:119" x14ac:dyDescent="0.2">
      <c r="DO25127" s="303" t="s">
        <v>232</v>
      </c>
    </row>
    <row r="25128" spans="119:119" x14ac:dyDescent="0.2">
      <c r="DO25128" s="303" t="s">
        <v>232</v>
      </c>
    </row>
    <row r="25129" spans="119:119" x14ac:dyDescent="0.2">
      <c r="DO25129" s="303" t="s">
        <v>232</v>
      </c>
    </row>
    <row r="25130" spans="119:119" x14ac:dyDescent="0.2">
      <c r="DO25130" s="303" t="s">
        <v>232</v>
      </c>
    </row>
    <row r="25131" spans="119:119" x14ac:dyDescent="0.2">
      <c r="DO25131" s="303" t="s">
        <v>232</v>
      </c>
    </row>
    <row r="25132" spans="119:119" x14ac:dyDescent="0.2">
      <c r="DO25132" s="303" t="s">
        <v>232</v>
      </c>
    </row>
    <row r="25133" spans="119:119" x14ac:dyDescent="0.2">
      <c r="DO25133" s="303" t="s">
        <v>232</v>
      </c>
    </row>
    <row r="25134" spans="119:119" x14ac:dyDescent="0.2">
      <c r="DO25134" s="303" t="s">
        <v>232</v>
      </c>
    </row>
    <row r="25135" spans="119:119" x14ac:dyDescent="0.2">
      <c r="DO25135" s="303" t="s">
        <v>232</v>
      </c>
    </row>
    <row r="25136" spans="119:119" x14ac:dyDescent="0.2">
      <c r="DO25136" s="303" t="s">
        <v>232</v>
      </c>
    </row>
    <row r="25137" spans="119:119" x14ac:dyDescent="0.2">
      <c r="DO25137" s="303" t="s">
        <v>232</v>
      </c>
    </row>
    <row r="25138" spans="119:119" x14ac:dyDescent="0.2">
      <c r="DO25138" s="303" t="s">
        <v>232</v>
      </c>
    </row>
    <row r="25139" spans="119:119" x14ac:dyDescent="0.2">
      <c r="DO25139" s="303" t="s">
        <v>232</v>
      </c>
    </row>
    <row r="25140" spans="119:119" x14ac:dyDescent="0.2">
      <c r="DO25140" s="303" t="s">
        <v>232</v>
      </c>
    </row>
    <row r="25141" spans="119:119" x14ac:dyDescent="0.2">
      <c r="DO25141" s="303" t="s">
        <v>232</v>
      </c>
    </row>
    <row r="25142" spans="119:119" x14ac:dyDescent="0.2">
      <c r="DO25142" s="303" t="s">
        <v>232</v>
      </c>
    </row>
    <row r="25143" spans="119:119" x14ac:dyDescent="0.2">
      <c r="DO25143" s="303" t="s">
        <v>232</v>
      </c>
    </row>
    <row r="25144" spans="119:119" x14ac:dyDescent="0.2">
      <c r="DO25144" s="303" t="s">
        <v>232</v>
      </c>
    </row>
    <row r="25145" spans="119:119" x14ac:dyDescent="0.2">
      <c r="DO25145" s="303" t="s">
        <v>232</v>
      </c>
    </row>
    <row r="25146" spans="119:119" x14ac:dyDescent="0.2">
      <c r="DO25146" s="303" t="s">
        <v>232</v>
      </c>
    </row>
    <row r="25147" spans="119:119" x14ac:dyDescent="0.2">
      <c r="DO25147" s="303" t="s">
        <v>232</v>
      </c>
    </row>
    <row r="25148" spans="119:119" x14ac:dyDescent="0.2">
      <c r="DO25148" s="303" t="s">
        <v>232</v>
      </c>
    </row>
    <row r="25149" spans="119:119" x14ac:dyDescent="0.2">
      <c r="DO25149" s="303" t="s">
        <v>232</v>
      </c>
    </row>
    <row r="25150" spans="119:119" x14ac:dyDescent="0.2">
      <c r="DO25150" s="303" t="s">
        <v>232</v>
      </c>
    </row>
    <row r="25151" spans="119:119" x14ac:dyDescent="0.2">
      <c r="DO25151" s="303" t="s">
        <v>232</v>
      </c>
    </row>
    <row r="25152" spans="119:119" x14ac:dyDescent="0.2">
      <c r="DO25152" s="303" t="s">
        <v>232</v>
      </c>
    </row>
    <row r="25153" spans="119:119" x14ac:dyDescent="0.2">
      <c r="DO25153" s="303" t="s">
        <v>232</v>
      </c>
    </row>
    <row r="25154" spans="119:119" x14ac:dyDescent="0.2">
      <c r="DO25154" s="303" t="s">
        <v>232</v>
      </c>
    </row>
    <row r="25155" spans="119:119" x14ac:dyDescent="0.2">
      <c r="DO25155" s="303" t="s">
        <v>232</v>
      </c>
    </row>
    <row r="25156" spans="119:119" x14ac:dyDescent="0.2">
      <c r="DO25156" s="303" t="s">
        <v>232</v>
      </c>
    </row>
    <row r="25157" spans="119:119" x14ac:dyDescent="0.2">
      <c r="DO25157" s="303" t="s">
        <v>232</v>
      </c>
    </row>
    <row r="25158" spans="119:119" x14ac:dyDescent="0.2">
      <c r="DO25158" s="303" t="s">
        <v>232</v>
      </c>
    </row>
    <row r="25159" spans="119:119" x14ac:dyDescent="0.2">
      <c r="DO25159" s="303" t="s">
        <v>232</v>
      </c>
    </row>
    <row r="25160" spans="119:119" x14ac:dyDescent="0.2">
      <c r="DO25160" s="303" t="s">
        <v>232</v>
      </c>
    </row>
    <row r="25161" spans="119:119" x14ac:dyDescent="0.2">
      <c r="DO25161" s="303" t="s">
        <v>232</v>
      </c>
    </row>
    <row r="25162" spans="119:119" x14ac:dyDescent="0.2">
      <c r="DO25162" s="303" t="s">
        <v>232</v>
      </c>
    </row>
    <row r="25163" spans="119:119" x14ac:dyDescent="0.2">
      <c r="DO25163" s="303" t="s">
        <v>232</v>
      </c>
    </row>
    <row r="25164" spans="119:119" x14ac:dyDescent="0.2">
      <c r="DO25164" s="303" t="s">
        <v>232</v>
      </c>
    </row>
    <row r="25165" spans="119:119" x14ac:dyDescent="0.2">
      <c r="DO25165" s="303" t="s">
        <v>232</v>
      </c>
    </row>
    <row r="25166" spans="119:119" x14ac:dyDescent="0.2">
      <c r="DO25166" s="303" t="s">
        <v>232</v>
      </c>
    </row>
    <row r="25167" spans="119:119" x14ac:dyDescent="0.2">
      <c r="DO25167" s="303" t="s">
        <v>232</v>
      </c>
    </row>
    <row r="25168" spans="119:119" x14ac:dyDescent="0.2">
      <c r="DO25168" s="303" t="s">
        <v>232</v>
      </c>
    </row>
    <row r="25169" spans="119:119" x14ac:dyDescent="0.2">
      <c r="DO25169" s="303" t="s">
        <v>232</v>
      </c>
    </row>
    <row r="25170" spans="119:119" x14ac:dyDescent="0.2">
      <c r="DO25170" s="303" t="s">
        <v>232</v>
      </c>
    </row>
    <row r="25171" spans="119:119" x14ac:dyDescent="0.2">
      <c r="DO25171" s="303" t="s">
        <v>232</v>
      </c>
    </row>
    <row r="25172" spans="119:119" x14ac:dyDescent="0.2">
      <c r="DO25172" s="303" t="s">
        <v>232</v>
      </c>
    </row>
    <row r="25173" spans="119:119" x14ac:dyDescent="0.2">
      <c r="DO25173" s="303" t="s">
        <v>232</v>
      </c>
    </row>
    <row r="25174" spans="119:119" x14ac:dyDescent="0.2">
      <c r="DO25174" s="303" t="s">
        <v>232</v>
      </c>
    </row>
    <row r="25175" spans="119:119" x14ac:dyDescent="0.2">
      <c r="DO25175" s="303" t="s">
        <v>232</v>
      </c>
    </row>
    <row r="25176" spans="119:119" x14ac:dyDescent="0.2">
      <c r="DO25176" s="303" t="s">
        <v>232</v>
      </c>
    </row>
    <row r="25177" spans="119:119" x14ac:dyDescent="0.2">
      <c r="DO25177" s="303" t="s">
        <v>232</v>
      </c>
    </row>
    <row r="25178" spans="119:119" x14ac:dyDescent="0.2">
      <c r="DO25178" s="303" t="s">
        <v>232</v>
      </c>
    </row>
    <row r="25179" spans="119:119" x14ac:dyDescent="0.2">
      <c r="DO25179" s="303" t="s">
        <v>232</v>
      </c>
    </row>
    <row r="25180" spans="119:119" x14ac:dyDescent="0.2">
      <c r="DO25180" s="303" t="s">
        <v>232</v>
      </c>
    </row>
    <row r="25181" spans="119:119" x14ac:dyDescent="0.2">
      <c r="DO25181" s="303" t="s">
        <v>232</v>
      </c>
    </row>
    <row r="25182" spans="119:119" x14ac:dyDescent="0.2">
      <c r="DO25182" s="303" t="s">
        <v>232</v>
      </c>
    </row>
    <row r="25183" spans="119:119" x14ac:dyDescent="0.2">
      <c r="DO25183" s="303" t="s">
        <v>232</v>
      </c>
    </row>
    <row r="25184" spans="119:119" x14ac:dyDescent="0.2">
      <c r="DO25184" s="303" t="s">
        <v>232</v>
      </c>
    </row>
    <row r="25185" spans="119:119" x14ac:dyDescent="0.2">
      <c r="DO25185" s="303" t="s">
        <v>232</v>
      </c>
    </row>
    <row r="25186" spans="119:119" x14ac:dyDescent="0.2">
      <c r="DO25186" s="303" t="s">
        <v>232</v>
      </c>
    </row>
    <row r="25187" spans="119:119" x14ac:dyDescent="0.2">
      <c r="DO25187" s="303" t="s">
        <v>232</v>
      </c>
    </row>
    <row r="25188" spans="119:119" x14ac:dyDescent="0.2">
      <c r="DO25188" s="303" t="s">
        <v>232</v>
      </c>
    </row>
    <row r="25189" spans="119:119" x14ac:dyDescent="0.2">
      <c r="DO25189" s="303" t="s">
        <v>232</v>
      </c>
    </row>
    <row r="25190" spans="119:119" x14ac:dyDescent="0.2">
      <c r="DO25190" s="303" t="s">
        <v>232</v>
      </c>
    </row>
    <row r="25191" spans="119:119" x14ac:dyDescent="0.2">
      <c r="DO25191" s="303" t="s">
        <v>232</v>
      </c>
    </row>
    <row r="25192" spans="119:119" x14ac:dyDescent="0.2">
      <c r="DO25192" s="303" t="s">
        <v>232</v>
      </c>
    </row>
    <row r="25193" spans="119:119" x14ac:dyDescent="0.2">
      <c r="DO25193" s="303" t="s">
        <v>232</v>
      </c>
    </row>
    <row r="25194" spans="119:119" x14ac:dyDescent="0.2">
      <c r="DO25194" s="303" t="s">
        <v>232</v>
      </c>
    </row>
    <row r="25195" spans="119:119" x14ac:dyDescent="0.2">
      <c r="DO25195" s="303" t="s">
        <v>232</v>
      </c>
    </row>
    <row r="25196" spans="119:119" x14ac:dyDescent="0.2">
      <c r="DO25196" s="303" t="s">
        <v>232</v>
      </c>
    </row>
    <row r="25197" spans="119:119" x14ac:dyDescent="0.2">
      <c r="DO25197" s="303" t="s">
        <v>232</v>
      </c>
    </row>
    <row r="25198" spans="119:119" x14ac:dyDescent="0.2">
      <c r="DO25198" s="303" t="s">
        <v>232</v>
      </c>
    </row>
    <row r="25199" spans="119:119" x14ac:dyDescent="0.2">
      <c r="DO25199" s="303" t="s">
        <v>232</v>
      </c>
    </row>
    <row r="25200" spans="119:119" x14ac:dyDescent="0.2">
      <c r="DO25200" s="303" t="s">
        <v>232</v>
      </c>
    </row>
    <row r="25201" spans="119:119" x14ac:dyDescent="0.2">
      <c r="DO25201" s="303" t="s">
        <v>232</v>
      </c>
    </row>
    <row r="25202" spans="119:119" x14ac:dyDescent="0.2">
      <c r="DO25202" s="303" t="s">
        <v>232</v>
      </c>
    </row>
    <row r="25203" spans="119:119" x14ac:dyDescent="0.2">
      <c r="DO25203" s="303" t="s">
        <v>232</v>
      </c>
    </row>
    <row r="25204" spans="119:119" x14ac:dyDescent="0.2">
      <c r="DO25204" s="303" t="s">
        <v>232</v>
      </c>
    </row>
    <row r="25205" spans="119:119" x14ac:dyDescent="0.2">
      <c r="DO25205" s="303" t="s">
        <v>232</v>
      </c>
    </row>
    <row r="25206" spans="119:119" x14ac:dyDescent="0.2">
      <c r="DO25206" s="303" t="s">
        <v>232</v>
      </c>
    </row>
    <row r="25207" spans="119:119" x14ac:dyDescent="0.2">
      <c r="DO25207" s="303" t="s">
        <v>232</v>
      </c>
    </row>
    <row r="25208" spans="119:119" x14ac:dyDescent="0.2">
      <c r="DO25208" s="303" t="s">
        <v>232</v>
      </c>
    </row>
    <row r="25209" spans="119:119" x14ac:dyDescent="0.2">
      <c r="DO25209" s="303" t="s">
        <v>232</v>
      </c>
    </row>
    <row r="25210" spans="119:119" x14ac:dyDescent="0.2">
      <c r="DO25210" s="303" t="s">
        <v>232</v>
      </c>
    </row>
    <row r="25211" spans="119:119" x14ac:dyDescent="0.2">
      <c r="DO25211" s="303" t="s">
        <v>232</v>
      </c>
    </row>
    <row r="25212" spans="119:119" x14ac:dyDescent="0.2">
      <c r="DO25212" s="303" t="s">
        <v>232</v>
      </c>
    </row>
    <row r="25213" spans="119:119" x14ac:dyDescent="0.2">
      <c r="DO25213" s="303" t="s">
        <v>232</v>
      </c>
    </row>
    <row r="25214" spans="119:119" x14ac:dyDescent="0.2">
      <c r="DO25214" s="303" t="s">
        <v>232</v>
      </c>
    </row>
    <row r="25215" spans="119:119" x14ac:dyDescent="0.2">
      <c r="DO25215" s="303" t="s">
        <v>232</v>
      </c>
    </row>
    <row r="25216" spans="119:119" x14ac:dyDescent="0.2">
      <c r="DO25216" s="303" t="s">
        <v>232</v>
      </c>
    </row>
    <row r="25217" spans="119:119" x14ac:dyDescent="0.2">
      <c r="DO25217" s="303" t="s">
        <v>232</v>
      </c>
    </row>
    <row r="25218" spans="119:119" x14ac:dyDescent="0.2">
      <c r="DO25218" s="303" t="s">
        <v>232</v>
      </c>
    </row>
    <row r="25219" spans="119:119" x14ac:dyDescent="0.2">
      <c r="DO25219" s="303" t="s">
        <v>232</v>
      </c>
    </row>
    <row r="25220" spans="119:119" x14ac:dyDescent="0.2">
      <c r="DO25220" s="303" t="s">
        <v>232</v>
      </c>
    </row>
    <row r="25221" spans="119:119" x14ac:dyDescent="0.2">
      <c r="DO25221" s="303" t="s">
        <v>232</v>
      </c>
    </row>
    <row r="25222" spans="119:119" x14ac:dyDescent="0.2">
      <c r="DO25222" s="303" t="s">
        <v>232</v>
      </c>
    </row>
    <row r="25223" spans="119:119" x14ac:dyDescent="0.2">
      <c r="DO25223" s="303" t="s">
        <v>232</v>
      </c>
    </row>
    <row r="25224" spans="119:119" x14ac:dyDescent="0.2">
      <c r="DO25224" s="303" t="s">
        <v>232</v>
      </c>
    </row>
    <row r="25225" spans="119:119" x14ac:dyDescent="0.2">
      <c r="DO25225" s="303" t="s">
        <v>232</v>
      </c>
    </row>
    <row r="25226" spans="119:119" x14ac:dyDescent="0.2">
      <c r="DO25226" s="303" t="s">
        <v>232</v>
      </c>
    </row>
    <row r="25227" spans="119:119" x14ac:dyDescent="0.2">
      <c r="DO25227" s="303" t="s">
        <v>232</v>
      </c>
    </row>
    <row r="25228" spans="119:119" x14ac:dyDescent="0.2">
      <c r="DO25228" s="303" t="s">
        <v>232</v>
      </c>
    </row>
    <row r="25229" spans="119:119" x14ac:dyDescent="0.2">
      <c r="DO25229" s="303" t="s">
        <v>232</v>
      </c>
    </row>
    <row r="25230" spans="119:119" x14ac:dyDescent="0.2">
      <c r="DO25230" s="303" t="s">
        <v>232</v>
      </c>
    </row>
    <row r="25231" spans="119:119" x14ac:dyDescent="0.2">
      <c r="DO25231" s="303" t="s">
        <v>232</v>
      </c>
    </row>
    <row r="25232" spans="119:119" x14ac:dyDescent="0.2">
      <c r="DO25232" s="303" t="s">
        <v>232</v>
      </c>
    </row>
    <row r="25233" spans="119:119" x14ac:dyDescent="0.2">
      <c r="DO25233" s="303" t="s">
        <v>232</v>
      </c>
    </row>
    <row r="25234" spans="119:119" x14ac:dyDescent="0.2">
      <c r="DO25234" s="303" t="s">
        <v>232</v>
      </c>
    </row>
    <row r="25235" spans="119:119" x14ac:dyDescent="0.2">
      <c r="DO25235" s="303" t="s">
        <v>232</v>
      </c>
    </row>
    <row r="25236" spans="119:119" x14ac:dyDescent="0.2">
      <c r="DO25236" s="303" t="s">
        <v>232</v>
      </c>
    </row>
    <row r="25237" spans="119:119" x14ac:dyDescent="0.2">
      <c r="DO25237" s="303" t="s">
        <v>232</v>
      </c>
    </row>
    <row r="25238" spans="119:119" x14ac:dyDescent="0.2">
      <c r="DO25238" s="303" t="s">
        <v>232</v>
      </c>
    </row>
    <row r="25239" spans="119:119" x14ac:dyDescent="0.2">
      <c r="DO25239" s="303" t="s">
        <v>232</v>
      </c>
    </row>
    <row r="25240" spans="119:119" x14ac:dyDescent="0.2">
      <c r="DO25240" s="303" t="s">
        <v>232</v>
      </c>
    </row>
    <row r="25241" spans="119:119" x14ac:dyDescent="0.2">
      <c r="DO25241" s="303" t="s">
        <v>232</v>
      </c>
    </row>
    <row r="25242" spans="119:119" x14ac:dyDescent="0.2">
      <c r="DO25242" s="303" t="s">
        <v>232</v>
      </c>
    </row>
    <row r="25243" spans="119:119" x14ac:dyDescent="0.2">
      <c r="DO25243" s="303" t="s">
        <v>232</v>
      </c>
    </row>
    <row r="25244" spans="119:119" x14ac:dyDescent="0.2">
      <c r="DO25244" s="303" t="s">
        <v>232</v>
      </c>
    </row>
    <row r="25245" spans="119:119" x14ac:dyDescent="0.2">
      <c r="DO25245" s="303" t="s">
        <v>232</v>
      </c>
    </row>
    <row r="25246" spans="119:119" x14ac:dyDescent="0.2">
      <c r="DO25246" s="303" t="s">
        <v>232</v>
      </c>
    </row>
    <row r="25247" spans="119:119" x14ac:dyDescent="0.2">
      <c r="DO25247" s="303" t="s">
        <v>232</v>
      </c>
    </row>
    <row r="25248" spans="119:119" x14ac:dyDescent="0.2">
      <c r="DO25248" s="303" t="s">
        <v>232</v>
      </c>
    </row>
    <row r="25249" spans="119:119" x14ac:dyDescent="0.2">
      <c r="DO25249" s="303" t="s">
        <v>232</v>
      </c>
    </row>
    <row r="25250" spans="119:119" x14ac:dyDescent="0.2">
      <c r="DO25250" s="303" t="s">
        <v>232</v>
      </c>
    </row>
    <row r="25251" spans="119:119" x14ac:dyDescent="0.2">
      <c r="DO25251" s="303" t="s">
        <v>232</v>
      </c>
    </row>
    <row r="25252" spans="119:119" x14ac:dyDescent="0.2">
      <c r="DO25252" s="303" t="s">
        <v>232</v>
      </c>
    </row>
    <row r="25253" spans="119:119" x14ac:dyDescent="0.2">
      <c r="DO25253" s="303" t="s">
        <v>232</v>
      </c>
    </row>
    <row r="25254" spans="119:119" x14ac:dyDescent="0.2">
      <c r="DO25254" s="303" t="s">
        <v>232</v>
      </c>
    </row>
    <row r="25255" spans="119:119" x14ac:dyDescent="0.2">
      <c r="DO25255" s="303" t="s">
        <v>232</v>
      </c>
    </row>
    <row r="25256" spans="119:119" x14ac:dyDescent="0.2">
      <c r="DO25256" s="303" t="s">
        <v>232</v>
      </c>
    </row>
    <row r="25257" spans="119:119" x14ac:dyDescent="0.2">
      <c r="DO25257" s="303" t="s">
        <v>232</v>
      </c>
    </row>
    <row r="25258" spans="119:119" x14ac:dyDescent="0.2">
      <c r="DO25258" s="303" t="s">
        <v>232</v>
      </c>
    </row>
    <row r="25259" spans="119:119" x14ac:dyDescent="0.2">
      <c r="DO25259" s="303" t="s">
        <v>232</v>
      </c>
    </row>
    <row r="25260" spans="119:119" x14ac:dyDescent="0.2">
      <c r="DO25260" s="303" t="s">
        <v>232</v>
      </c>
    </row>
    <row r="25261" spans="119:119" x14ac:dyDescent="0.2">
      <c r="DO25261" s="303" t="s">
        <v>232</v>
      </c>
    </row>
    <row r="25262" spans="119:119" x14ac:dyDescent="0.2">
      <c r="DO25262" s="303" t="s">
        <v>232</v>
      </c>
    </row>
    <row r="25263" spans="119:119" x14ac:dyDescent="0.2">
      <c r="DO25263" s="303" t="s">
        <v>232</v>
      </c>
    </row>
    <row r="25264" spans="119:119" x14ac:dyDescent="0.2">
      <c r="DO25264" s="303" t="s">
        <v>232</v>
      </c>
    </row>
    <row r="25265" spans="119:119" x14ac:dyDescent="0.2">
      <c r="DO25265" s="303" t="s">
        <v>232</v>
      </c>
    </row>
    <row r="25266" spans="119:119" x14ac:dyDescent="0.2">
      <c r="DO25266" s="303" t="s">
        <v>232</v>
      </c>
    </row>
    <row r="25267" spans="119:119" x14ac:dyDescent="0.2">
      <c r="DO25267" s="303" t="s">
        <v>232</v>
      </c>
    </row>
    <row r="25268" spans="119:119" x14ac:dyDescent="0.2">
      <c r="DO25268" s="303" t="s">
        <v>232</v>
      </c>
    </row>
    <row r="25269" spans="119:119" x14ac:dyDescent="0.2">
      <c r="DO25269" s="303" t="s">
        <v>232</v>
      </c>
    </row>
    <row r="25270" spans="119:119" x14ac:dyDescent="0.2">
      <c r="DO25270" s="303" t="s">
        <v>232</v>
      </c>
    </row>
    <row r="25271" spans="119:119" x14ac:dyDescent="0.2">
      <c r="DO25271" s="303" t="s">
        <v>232</v>
      </c>
    </row>
    <row r="25272" spans="119:119" x14ac:dyDescent="0.2">
      <c r="DO25272" s="303" t="s">
        <v>232</v>
      </c>
    </row>
    <row r="25273" spans="119:119" x14ac:dyDescent="0.2">
      <c r="DO25273" s="303" t="s">
        <v>232</v>
      </c>
    </row>
    <row r="25274" spans="119:119" x14ac:dyDescent="0.2">
      <c r="DO25274" s="303" t="s">
        <v>232</v>
      </c>
    </row>
    <row r="25275" spans="119:119" x14ac:dyDescent="0.2">
      <c r="DO25275" s="303" t="s">
        <v>232</v>
      </c>
    </row>
    <row r="25276" spans="119:119" x14ac:dyDescent="0.2">
      <c r="DO25276" s="303" t="s">
        <v>232</v>
      </c>
    </row>
    <row r="25277" spans="119:119" x14ac:dyDescent="0.2">
      <c r="DO25277" s="303" t="s">
        <v>232</v>
      </c>
    </row>
    <row r="25278" spans="119:119" x14ac:dyDescent="0.2">
      <c r="DO25278" s="303" t="s">
        <v>232</v>
      </c>
    </row>
    <row r="25279" spans="119:119" x14ac:dyDescent="0.2">
      <c r="DO25279" s="303" t="s">
        <v>232</v>
      </c>
    </row>
    <row r="25280" spans="119:119" x14ac:dyDescent="0.2">
      <c r="DO25280" s="303" t="s">
        <v>232</v>
      </c>
    </row>
    <row r="25281" spans="119:119" x14ac:dyDescent="0.2">
      <c r="DO25281" s="303" t="s">
        <v>232</v>
      </c>
    </row>
    <row r="25282" spans="119:119" x14ac:dyDescent="0.2">
      <c r="DO25282" s="303" t="s">
        <v>232</v>
      </c>
    </row>
    <row r="25283" spans="119:119" x14ac:dyDescent="0.2">
      <c r="DO25283" s="303" t="s">
        <v>232</v>
      </c>
    </row>
    <row r="25284" spans="119:119" x14ac:dyDescent="0.2">
      <c r="DO25284" s="303" t="s">
        <v>232</v>
      </c>
    </row>
    <row r="25285" spans="119:119" x14ac:dyDescent="0.2">
      <c r="DO25285" s="303" t="s">
        <v>232</v>
      </c>
    </row>
    <row r="25286" spans="119:119" x14ac:dyDescent="0.2">
      <c r="DO25286" s="303" t="s">
        <v>232</v>
      </c>
    </row>
    <row r="25287" spans="119:119" x14ac:dyDescent="0.2">
      <c r="DO25287" s="303" t="s">
        <v>232</v>
      </c>
    </row>
    <row r="25288" spans="119:119" x14ac:dyDescent="0.2">
      <c r="DO25288" s="303" t="s">
        <v>232</v>
      </c>
    </row>
    <row r="25289" spans="119:119" x14ac:dyDescent="0.2">
      <c r="DO25289" s="303" t="s">
        <v>232</v>
      </c>
    </row>
    <row r="25290" spans="119:119" x14ac:dyDescent="0.2">
      <c r="DO25290" s="303" t="s">
        <v>232</v>
      </c>
    </row>
    <row r="25291" spans="119:119" x14ac:dyDescent="0.2">
      <c r="DO25291" s="303" t="s">
        <v>232</v>
      </c>
    </row>
    <row r="25292" spans="119:119" x14ac:dyDescent="0.2">
      <c r="DO25292" s="303" t="s">
        <v>232</v>
      </c>
    </row>
    <row r="25293" spans="119:119" x14ac:dyDescent="0.2">
      <c r="DO25293" s="303" t="s">
        <v>232</v>
      </c>
    </row>
    <row r="25294" spans="119:119" x14ac:dyDescent="0.2">
      <c r="DO25294" s="303" t="s">
        <v>232</v>
      </c>
    </row>
    <row r="25295" spans="119:119" x14ac:dyDescent="0.2">
      <c r="DO25295" s="303" t="s">
        <v>232</v>
      </c>
    </row>
    <row r="25296" spans="119:119" x14ac:dyDescent="0.2">
      <c r="DO25296" s="303" t="s">
        <v>232</v>
      </c>
    </row>
    <row r="25297" spans="119:119" x14ac:dyDescent="0.2">
      <c r="DO25297" s="303" t="s">
        <v>232</v>
      </c>
    </row>
    <row r="25298" spans="119:119" x14ac:dyDescent="0.2">
      <c r="DO25298" s="303" t="s">
        <v>232</v>
      </c>
    </row>
    <row r="25299" spans="119:119" x14ac:dyDescent="0.2">
      <c r="DO25299" s="303" t="s">
        <v>232</v>
      </c>
    </row>
    <row r="25300" spans="119:119" x14ac:dyDescent="0.2">
      <c r="DO25300" s="303" t="s">
        <v>232</v>
      </c>
    </row>
    <row r="25301" spans="119:119" x14ac:dyDescent="0.2">
      <c r="DO25301" s="303" t="s">
        <v>232</v>
      </c>
    </row>
    <row r="25302" spans="119:119" x14ac:dyDescent="0.2">
      <c r="DO25302" s="303" t="s">
        <v>232</v>
      </c>
    </row>
    <row r="25303" spans="119:119" x14ac:dyDescent="0.2">
      <c r="DO25303" s="303" t="s">
        <v>232</v>
      </c>
    </row>
    <row r="25304" spans="119:119" x14ac:dyDescent="0.2">
      <c r="DO25304" s="303" t="s">
        <v>232</v>
      </c>
    </row>
    <row r="25305" spans="119:119" x14ac:dyDescent="0.2">
      <c r="DO25305" s="303" t="s">
        <v>232</v>
      </c>
    </row>
    <row r="25306" spans="119:119" x14ac:dyDescent="0.2">
      <c r="DO25306" s="303" t="s">
        <v>232</v>
      </c>
    </row>
    <row r="25307" spans="119:119" x14ac:dyDescent="0.2">
      <c r="DO25307" s="303" t="s">
        <v>232</v>
      </c>
    </row>
    <row r="25308" spans="119:119" x14ac:dyDescent="0.2">
      <c r="DO25308" s="303" t="s">
        <v>232</v>
      </c>
    </row>
    <row r="25309" spans="119:119" x14ac:dyDescent="0.2">
      <c r="DO25309" s="303" t="s">
        <v>232</v>
      </c>
    </row>
    <row r="25310" spans="119:119" x14ac:dyDescent="0.2">
      <c r="DO25310" s="303" t="s">
        <v>232</v>
      </c>
    </row>
    <row r="25311" spans="119:119" x14ac:dyDescent="0.2">
      <c r="DO25311" s="303" t="s">
        <v>232</v>
      </c>
    </row>
    <row r="25312" spans="119:119" x14ac:dyDescent="0.2">
      <c r="DO25312" s="303" t="s">
        <v>232</v>
      </c>
    </row>
    <row r="25313" spans="119:119" x14ac:dyDescent="0.2">
      <c r="DO25313" s="303" t="s">
        <v>232</v>
      </c>
    </row>
    <row r="25314" spans="119:119" x14ac:dyDescent="0.2">
      <c r="DO25314" s="303" t="s">
        <v>232</v>
      </c>
    </row>
    <row r="25315" spans="119:119" x14ac:dyDescent="0.2">
      <c r="DO25315" s="303" t="s">
        <v>232</v>
      </c>
    </row>
    <row r="25316" spans="119:119" x14ac:dyDescent="0.2">
      <c r="DO25316" s="303" t="s">
        <v>232</v>
      </c>
    </row>
    <row r="25317" spans="119:119" x14ac:dyDescent="0.2">
      <c r="DO25317" s="303" t="s">
        <v>232</v>
      </c>
    </row>
    <row r="25318" spans="119:119" x14ac:dyDescent="0.2">
      <c r="DO25318" s="303" t="s">
        <v>232</v>
      </c>
    </row>
    <row r="25319" spans="119:119" x14ac:dyDescent="0.2">
      <c r="DO25319" s="303" t="s">
        <v>232</v>
      </c>
    </row>
    <row r="25320" spans="119:119" x14ac:dyDescent="0.2">
      <c r="DO25320" s="303" t="s">
        <v>232</v>
      </c>
    </row>
    <row r="25321" spans="119:119" x14ac:dyDescent="0.2">
      <c r="DO25321" s="303" t="s">
        <v>232</v>
      </c>
    </row>
    <row r="25322" spans="119:119" x14ac:dyDescent="0.2">
      <c r="DO25322" s="303" t="s">
        <v>232</v>
      </c>
    </row>
    <row r="25323" spans="119:119" x14ac:dyDescent="0.2">
      <c r="DO25323" s="303" t="s">
        <v>232</v>
      </c>
    </row>
    <row r="25324" spans="119:119" x14ac:dyDescent="0.2">
      <c r="DO25324" s="303" t="s">
        <v>232</v>
      </c>
    </row>
    <row r="25325" spans="119:119" x14ac:dyDescent="0.2">
      <c r="DO25325" s="303" t="s">
        <v>232</v>
      </c>
    </row>
    <row r="25326" spans="119:119" x14ac:dyDescent="0.2">
      <c r="DO25326" s="303" t="s">
        <v>232</v>
      </c>
    </row>
    <row r="25327" spans="119:119" x14ac:dyDescent="0.2">
      <c r="DO25327" s="303" t="s">
        <v>232</v>
      </c>
    </row>
    <row r="25328" spans="119:119" x14ac:dyDescent="0.2">
      <c r="DO25328" s="303" t="s">
        <v>232</v>
      </c>
    </row>
    <row r="25329" spans="119:119" x14ac:dyDescent="0.2">
      <c r="DO25329" s="303" t="s">
        <v>232</v>
      </c>
    </row>
    <row r="25330" spans="119:119" x14ac:dyDescent="0.2">
      <c r="DO25330" s="303" t="s">
        <v>232</v>
      </c>
    </row>
    <row r="25331" spans="119:119" x14ac:dyDescent="0.2">
      <c r="DO25331" s="303" t="s">
        <v>232</v>
      </c>
    </row>
    <row r="25332" spans="119:119" x14ac:dyDescent="0.2">
      <c r="DO25332" s="303" t="s">
        <v>232</v>
      </c>
    </row>
    <row r="25333" spans="119:119" x14ac:dyDescent="0.2">
      <c r="DO25333" s="303" t="s">
        <v>232</v>
      </c>
    </row>
    <row r="25334" spans="119:119" x14ac:dyDescent="0.2">
      <c r="DO25334" s="303" t="s">
        <v>232</v>
      </c>
    </row>
    <row r="25335" spans="119:119" x14ac:dyDescent="0.2">
      <c r="DO25335" s="303" t="s">
        <v>232</v>
      </c>
    </row>
    <row r="25336" spans="119:119" x14ac:dyDescent="0.2">
      <c r="DO25336" s="303" t="s">
        <v>232</v>
      </c>
    </row>
    <row r="25337" spans="119:119" x14ac:dyDescent="0.2">
      <c r="DO25337" s="303" t="s">
        <v>232</v>
      </c>
    </row>
    <row r="25338" spans="119:119" x14ac:dyDescent="0.2">
      <c r="DO25338" s="303" t="s">
        <v>232</v>
      </c>
    </row>
    <row r="25339" spans="119:119" x14ac:dyDescent="0.2">
      <c r="DO25339" s="303" t="s">
        <v>232</v>
      </c>
    </row>
    <row r="25340" spans="119:119" x14ac:dyDescent="0.2">
      <c r="DO25340" s="303" t="s">
        <v>232</v>
      </c>
    </row>
    <row r="25341" spans="119:119" x14ac:dyDescent="0.2">
      <c r="DO25341" s="303" t="s">
        <v>232</v>
      </c>
    </row>
    <row r="25342" spans="119:119" x14ac:dyDescent="0.2">
      <c r="DO25342" s="303" t="s">
        <v>232</v>
      </c>
    </row>
    <row r="25343" spans="119:119" x14ac:dyDescent="0.2">
      <c r="DO25343" s="303" t="s">
        <v>232</v>
      </c>
    </row>
    <row r="25344" spans="119:119" x14ac:dyDescent="0.2">
      <c r="DO25344" s="303" t="s">
        <v>232</v>
      </c>
    </row>
    <row r="25345" spans="119:119" x14ac:dyDescent="0.2">
      <c r="DO25345" s="303" t="s">
        <v>232</v>
      </c>
    </row>
    <row r="25346" spans="119:119" x14ac:dyDescent="0.2">
      <c r="DO25346" s="303" t="s">
        <v>232</v>
      </c>
    </row>
    <row r="25347" spans="119:119" x14ac:dyDescent="0.2">
      <c r="DO25347" s="303" t="s">
        <v>232</v>
      </c>
    </row>
    <row r="25348" spans="119:119" x14ac:dyDescent="0.2">
      <c r="DO25348" s="303" t="s">
        <v>232</v>
      </c>
    </row>
    <row r="25349" spans="119:119" x14ac:dyDescent="0.2">
      <c r="DO25349" s="303" t="s">
        <v>232</v>
      </c>
    </row>
    <row r="25350" spans="119:119" x14ac:dyDescent="0.2">
      <c r="DO25350" s="303" t="s">
        <v>232</v>
      </c>
    </row>
    <row r="25351" spans="119:119" x14ac:dyDescent="0.2">
      <c r="DO25351" s="303" t="s">
        <v>232</v>
      </c>
    </row>
    <row r="25352" spans="119:119" x14ac:dyDescent="0.2">
      <c r="DO25352" s="303" t="s">
        <v>232</v>
      </c>
    </row>
    <row r="25353" spans="119:119" x14ac:dyDescent="0.2">
      <c r="DO25353" s="303" t="s">
        <v>232</v>
      </c>
    </row>
    <row r="25354" spans="119:119" x14ac:dyDescent="0.2">
      <c r="DO25354" s="303" t="s">
        <v>232</v>
      </c>
    </row>
    <row r="25355" spans="119:119" x14ac:dyDescent="0.2">
      <c r="DO25355" s="303" t="s">
        <v>232</v>
      </c>
    </row>
    <row r="25356" spans="119:119" x14ac:dyDescent="0.2">
      <c r="DO25356" s="303" t="s">
        <v>232</v>
      </c>
    </row>
    <row r="25357" spans="119:119" x14ac:dyDescent="0.2">
      <c r="DO25357" s="303" t="s">
        <v>232</v>
      </c>
    </row>
    <row r="25358" spans="119:119" x14ac:dyDescent="0.2">
      <c r="DO25358" s="303" t="s">
        <v>232</v>
      </c>
    </row>
    <row r="25359" spans="119:119" x14ac:dyDescent="0.2">
      <c r="DO25359" s="303" t="s">
        <v>232</v>
      </c>
    </row>
    <row r="25360" spans="119:119" x14ac:dyDescent="0.2">
      <c r="DO25360" s="303" t="s">
        <v>232</v>
      </c>
    </row>
    <row r="25361" spans="119:119" x14ac:dyDescent="0.2">
      <c r="DO25361" s="303" t="s">
        <v>232</v>
      </c>
    </row>
    <row r="25362" spans="119:119" x14ac:dyDescent="0.2">
      <c r="DO25362" s="303" t="s">
        <v>232</v>
      </c>
    </row>
    <row r="25363" spans="119:119" x14ac:dyDescent="0.2">
      <c r="DO25363" s="303" t="s">
        <v>232</v>
      </c>
    </row>
    <row r="25364" spans="119:119" x14ac:dyDescent="0.2">
      <c r="DO25364" s="303" t="s">
        <v>232</v>
      </c>
    </row>
    <row r="25365" spans="119:119" x14ac:dyDescent="0.2">
      <c r="DO25365" s="303" t="s">
        <v>232</v>
      </c>
    </row>
    <row r="25366" spans="119:119" x14ac:dyDescent="0.2">
      <c r="DO25366" s="303" t="s">
        <v>232</v>
      </c>
    </row>
    <row r="25367" spans="119:119" x14ac:dyDescent="0.2">
      <c r="DO25367" s="303" t="s">
        <v>232</v>
      </c>
    </row>
    <row r="25368" spans="119:119" x14ac:dyDescent="0.2">
      <c r="DO25368" s="303" t="s">
        <v>232</v>
      </c>
    </row>
    <row r="25369" spans="119:119" x14ac:dyDescent="0.2">
      <c r="DO25369" s="303" t="s">
        <v>232</v>
      </c>
    </row>
    <row r="25370" spans="119:119" x14ac:dyDescent="0.2">
      <c r="DO25370" s="303" t="s">
        <v>232</v>
      </c>
    </row>
    <row r="25371" spans="119:119" x14ac:dyDescent="0.2">
      <c r="DO25371" s="303" t="s">
        <v>232</v>
      </c>
    </row>
    <row r="25372" spans="119:119" x14ac:dyDescent="0.2">
      <c r="DO25372" s="303" t="s">
        <v>232</v>
      </c>
    </row>
    <row r="25373" spans="119:119" x14ac:dyDescent="0.2">
      <c r="DO25373" s="303" t="s">
        <v>232</v>
      </c>
    </row>
    <row r="25374" spans="119:119" x14ac:dyDescent="0.2">
      <c r="DO25374" s="303" t="s">
        <v>232</v>
      </c>
    </row>
    <row r="25375" spans="119:119" x14ac:dyDescent="0.2">
      <c r="DO25375" s="303" t="s">
        <v>232</v>
      </c>
    </row>
    <row r="25376" spans="119:119" x14ac:dyDescent="0.2">
      <c r="DO25376" s="303" t="s">
        <v>232</v>
      </c>
    </row>
    <row r="25377" spans="119:119" x14ac:dyDescent="0.2">
      <c r="DO25377" s="303" t="s">
        <v>232</v>
      </c>
    </row>
    <row r="25378" spans="119:119" x14ac:dyDescent="0.2">
      <c r="DO25378" s="303" t="s">
        <v>232</v>
      </c>
    </row>
    <row r="25379" spans="119:119" x14ac:dyDescent="0.2">
      <c r="DO25379" s="303" t="s">
        <v>232</v>
      </c>
    </row>
    <row r="25380" spans="119:119" x14ac:dyDescent="0.2">
      <c r="DO25380" s="303" t="s">
        <v>232</v>
      </c>
    </row>
    <row r="25381" spans="119:119" x14ac:dyDescent="0.2">
      <c r="DO25381" s="303" t="s">
        <v>232</v>
      </c>
    </row>
    <row r="25382" spans="119:119" x14ac:dyDescent="0.2">
      <c r="DO25382" s="303" t="s">
        <v>232</v>
      </c>
    </row>
    <row r="25383" spans="119:119" x14ac:dyDescent="0.2">
      <c r="DO25383" s="303" t="s">
        <v>232</v>
      </c>
    </row>
    <row r="25384" spans="119:119" x14ac:dyDescent="0.2">
      <c r="DO25384" s="303" t="s">
        <v>232</v>
      </c>
    </row>
    <row r="25385" spans="119:119" x14ac:dyDescent="0.2">
      <c r="DO25385" s="303" t="s">
        <v>232</v>
      </c>
    </row>
    <row r="25386" spans="119:119" x14ac:dyDescent="0.2">
      <c r="DO25386" s="303" t="s">
        <v>232</v>
      </c>
    </row>
    <row r="25387" spans="119:119" x14ac:dyDescent="0.2">
      <c r="DO25387" s="303" t="s">
        <v>232</v>
      </c>
    </row>
    <row r="25388" spans="119:119" x14ac:dyDescent="0.2">
      <c r="DO25388" s="303" t="s">
        <v>232</v>
      </c>
    </row>
    <row r="25389" spans="119:119" x14ac:dyDescent="0.2">
      <c r="DO25389" s="303" t="s">
        <v>232</v>
      </c>
    </row>
    <row r="25390" spans="119:119" x14ac:dyDescent="0.2">
      <c r="DO25390" s="303" t="s">
        <v>232</v>
      </c>
    </row>
    <row r="25391" spans="119:119" x14ac:dyDescent="0.2">
      <c r="DO25391" s="303" t="s">
        <v>232</v>
      </c>
    </row>
    <row r="25392" spans="119:119" x14ac:dyDescent="0.2">
      <c r="DO25392" s="303" t="s">
        <v>232</v>
      </c>
    </row>
    <row r="25393" spans="119:119" x14ac:dyDescent="0.2">
      <c r="DO25393" s="303" t="s">
        <v>232</v>
      </c>
    </row>
    <row r="25394" spans="119:119" x14ac:dyDescent="0.2">
      <c r="DO25394" s="303" t="s">
        <v>232</v>
      </c>
    </row>
    <row r="25395" spans="119:119" x14ac:dyDescent="0.2">
      <c r="DO25395" s="303" t="s">
        <v>232</v>
      </c>
    </row>
    <row r="25396" spans="119:119" x14ac:dyDescent="0.2">
      <c r="DO25396" s="303" t="s">
        <v>232</v>
      </c>
    </row>
    <row r="25397" spans="119:119" x14ac:dyDescent="0.2">
      <c r="DO25397" s="303" t="s">
        <v>232</v>
      </c>
    </row>
    <row r="25398" spans="119:119" x14ac:dyDescent="0.2">
      <c r="DO25398" s="303" t="s">
        <v>232</v>
      </c>
    </row>
    <row r="25399" spans="119:119" x14ac:dyDescent="0.2">
      <c r="DO25399" s="303" t="s">
        <v>232</v>
      </c>
    </row>
    <row r="25400" spans="119:119" x14ac:dyDescent="0.2">
      <c r="DO25400" s="303" t="s">
        <v>232</v>
      </c>
    </row>
    <row r="25401" spans="119:119" x14ac:dyDescent="0.2">
      <c r="DO25401" s="303" t="s">
        <v>232</v>
      </c>
    </row>
    <row r="25402" spans="119:119" x14ac:dyDescent="0.2">
      <c r="DO25402" s="303" t="s">
        <v>232</v>
      </c>
    </row>
    <row r="25403" spans="119:119" x14ac:dyDescent="0.2">
      <c r="DO25403" s="303" t="s">
        <v>232</v>
      </c>
    </row>
    <row r="25404" spans="119:119" x14ac:dyDescent="0.2">
      <c r="DO25404" s="303" t="s">
        <v>232</v>
      </c>
    </row>
    <row r="25405" spans="119:119" x14ac:dyDescent="0.2">
      <c r="DO25405" s="303" t="s">
        <v>232</v>
      </c>
    </row>
    <row r="25406" spans="119:119" x14ac:dyDescent="0.2">
      <c r="DO25406" s="303" t="s">
        <v>232</v>
      </c>
    </row>
    <row r="25407" spans="119:119" x14ac:dyDescent="0.2">
      <c r="DO25407" s="303" t="s">
        <v>232</v>
      </c>
    </row>
    <row r="25408" spans="119:119" x14ac:dyDescent="0.2">
      <c r="DO25408" s="303" t="s">
        <v>232</v>
      </c>
    </row>
    <row r="25409" spans="119:119" x14ac:dyDescent="0.2">
      <c r="DO25409" s="303" t="s">
        <v>232</v>
      </c>
    </row>
    <row r="25410" spans="119:119" x14ac:dyDescent="0.2">
      <c r="DO25410" s="303" t="s">
        <v>232</v>
      </c>
    </row>
    <row r="25411" spans="119:119" x14ac:dyDescent="0.2">
      <c r="DO25411" s="303" t="s">
        <v>232</v>
      </c>
    </row>
    <row r="25412" spans="119:119" x14ac:dyDescent="0.2">
      <c r="DO25412" s="303" t="s">
        <v>232</v>
      </c>
    </row>
    <row r="25413" spans="119:119" x14ac:dyDescent="0.2">
      <c r="DO25413" s="303" t="s">
        <v>232</v>
      </c>
    </row>
    <row r="25414" spans="119:119" x14ac:dyDescent="0.2">
      <c r="DO25414" s="303" t="s">
        <v>232</v>
      </c>
    </row>
    <row r="25415" spans="119:119" x14ac:dyDescent="0.2">
      <c r="DO25415" s="303" t="s">
        <v>232</v>
      </c>
    </row>
    <row r="25416" spans="119:119" x14ac:dyDescent="0.2">
      <c r="DO25416" s="303" t="s">
        <v>232</v>
      </c>
    </row>
    <row r="25417" spans="119:119" x14ac:dyDescent="0.2">
      <c r="DO25417" s="303" t="s">
        <v>232</v>
      </c>
    </row>
    <row r="25418" spans="119:119" x14ac:dyDescent="0.2">
      <c r="DO25418" s="303" t="s">
        <v>232</v>
      </c>
    </row>
    <row r="25419" spans="119:119" x14ac:dyDescent="0.2">
      <c r="DO25419" s="303" t="s">
        <v>232</v>
      </c>
    </row>
    <row r="25420" spans="119:119" x14ac:dyDescent="0.2">
      <c r="DO25420" s="303" t="s">
        <v>232</v>
      </c>
    </row>
    <row r="25421" spans="119:119" x14ac:dyDescent="0.2">
      <c r="DO25421" s="303" t="s">
        <v>232</v>
      </c>
    </row>
    <row r="25422" spans="119:119" x14ac:dyDescent="0.2">
      <c r="DO25422" s="303" t="s">
        <v>232</v>
      </c>
    </row>
    <row r="25423" spans="119:119" x14ac:dyDescent="0.2">
      <c r="DO25423" s="303" t="s">
        <v>232</v>
      </c>
    </row>
    <row r="25424" spans="119:119" x14ac:dyDescent="0.2">
      <c r="DO25424" s="303" t="s">
        <v>232</v>
      </c>
    </row>
    <row r="25425" spans="119:119" x14ac:dyDescent="0.2">
      <c r="DO25425" s="303" t="s">
        <v>232</v>
      </c>
    </row>
    <row r="25426" spans="119:119" x14ac:dyDescent="0.2">
      <c r="DO25426" s="303" t="s">
        <v>232</v>
      </c>
    </row>
    <row r="25427" spans="119:119" x14ac:dyDescent="0.2">
      <c r="DO25427" s="303" t="s">
        <v>232</v>
      </c>
    </row>
    <row r="25428" spans="119:119" x14ac:dyDescent="0.2">
      <c r="DO25428" s="303" t="s">
        <v>232</v>
      </c>
    </row>
    <row r="25429" spans="119:119" x14ac:dyDescent="0.2">
      <c r="DO25429" s="303" t="s">
        <v>232</v>
      </c>
    </row>
    <row r="25430" spans="119:119" x14ac:dyDescent="0.2">
      <c r="DO25430" s="303" t="s">
        <v>232</v>
      </c>
    </row>
    <row r="25431" spans="119:119" x14ac:dyDescent="0.2">
      <c r="DO25431" s="303" t="s">
        <v>232</v>
      </c>
    </row>
    <row r="25432" spans="119:119" x14ac:dyDescent="0.2">
      <c r="DO25432" s="303" t="s">
        <v>232</v>
      </c>
    </row>
    <row r="25433" spans="119:119" x14ac:dyDescent="0.2">
      <c r="DO25433" s="303" t="s">
        <v>232</v>
      </c>
    </row>
    <row r="25434" spans="119:119" x14ac:dyDescent="0.2">
      <c r="DO25434" s="303" t="s">
        <v>232</v>
      </c>
    </row>
    <row r="25435" spans="119:119" x14ac:dyDescent="0.2">
      <c r="DO25435" s="303" t="s">
        <v>232</v>
      </c>
    </row>
    <row r="25436" spans="119:119" x14ac:dyDescent="0.2">
      <c r="DO25436" s="303" t="s">
        <v>232</v>
      </c>
    </row>
    <row r="25437" spans="119:119" x14ac:dyDescent="0.2">
      <c r="DO25437" s="303" t="s">
        <v>232</v>
      </c>
    </row>
    <row r="25438" spans="119:119" x14ac:dyDescent="0.2">
      <c r="DO25438" s="303" t="s">
        <v>232</v>
      </c>
    </row>
    <row r="25439" spans="119:119" x14ac:dyDescent="0.2">
      <c r="DO25439" s="303" t="s">
        <v>232</v>
      </c>
    </row>
    <row r="25440" spans="119:119" x14ac:dyDescent="0.2">
      <c r="DO25440" s="303" t="s">
        <v>232</v>
      </c>
    </row>
    <row r="25441" spans="119:119" x14ac:dyDescent="0.2">
      <c r="DO25441" s="303" t="s">
        <v>232</v>
      </c>
    </row>
    <row r="25442" spans="119:119" x14ac:dyDescent="0.2">
      <c r="DO25442" s="303" t="s">
        <v>232</v>
      </c>
    </row>
    <row r="25443" spans="119:119" x14ac:dyDescent="0.2">
      <c r="DO25443" s="303" t="s">
        <v>232</v>
      </c>
    </row>
    <row r="25444" spans="119:119" x14ac:dyDescent="0.2">
      <c r="DO25444" s="303" t="s">
        <v>232</v>
      </c>
    </row>
    <row r="25445" spans="119:119" x14ac:dyDescent="0.2">
      <c r="DO25445" s="303" t="s">
        <v>232</v>
      </c>
    </row>
    <row r="25446" spans="119:119" x14ac:dyDescent="0.2">
      <c r="DO25446" s="303" t="s">
        <v>232</v>
      </c>
    </row>
    <row r="25447" spans="119:119" x14ac:dyDescent="0.2">
      <c r="DO25447" s="303" t="s">
        <v>232</v>
      </c>
    </row>
    <row r="25448" spans="119:119" x14ac:dyDescent="0.2">
      <c r="DO25448" s="303" t="s">
        <v>232</v>
      </c>
    </row>
    <row r="25449" spans="119:119" x14ac:dyDescent="0.2">
      <c r="DO25449" s="303" t="s">
        <v>232</v>
      </c>
    </row>
    <row r="25450" spans="119:119" x14ac:dyDescent="0.2">
      <c r="DO25450" s="303" t="s">
        <v>232</v>
      </c>
    </row>
    <row r="25451" spans="119:119" x14ac:dyDescent="0.2">
      <c r="DO25451" s="303" t="s">
        <v>232</v>
      </c>
    </row>
    <row r="25452" spans="119:119" x14ac:dyDescent="0.2">
      <c r="DO25452" s="303" t="s">
        <v>232</v>
      </c>
    </row>
    <row r="25453" spans="119:119" x14ac:dyDescent="0.2">
      <c r="DO25453" s="303" t="s">
        <v>232</v>
      </c>
    </row>
    <row r="25454" spans="119:119" x14ac:dyDescent="0.2">
      <c r="DO25454" s="303" t="s">
        <v>232</v>
      </c>
    </row>
    <row r="25455" spans="119:119" x14ac:dyDescent="0.2">
      <c r="DO25455" s="303" t="s">
        <v>232</v>
      </c>
    </row>
    <row r="25456" spans="119:119" x14ac:dyDescent="0.2">
      <c r="DO25456" s="303" t="s">
        <v>232</v>
      </c>
    </row>
    <row r="25457" spans="119:119" x14ac:dyDescent="0.2">
      <c r="DO25457" s="303" t="s">
        <v>232</v>
      </c>
    </row>
    <row r="25458" spans="119:119" x14ac:dyDescent="0.2">
      <c r="DO25458" s="303" t="s">
        <v>232</v>
      </c>
    </row>
    <row r="25459" spans="119:119" x14ac:dyDescent="0.2">
      <c r="DO25459" s="303" t="s">
        <v>232</v>
      </c>
    </row>
    <row r="25460" spans="119:119" x14ac:dyDescent="0.2">
      <c r="DO25460" s="303" t="s">
        <v>232</v>
      </c>
    </row>
    <row r="25461" spans="119:119" x14ac:dyDescent="0.2">
      <c r="DO25461" s="303" t="s">
        <v>232</v>
      </c>
    </row>
    <row r="25462" spans="119:119" x14ac:dyDescent="0.2">
      <c r="DO25462" s="303" t="s">
        <v>232</v>
      </c>
    </row>
    <row r="25463" spans="119:119" x14ac:dyDescent="0.2">
      <c r="DO25463" s="303" t="s">
        <v>232</v>
      </c>
    </row>
    <row r="25464" spans="119:119" x14ac:dyDescent="0.2">
      <c r="DO25464" s="303" t="s">
        <v>232</v>
      </c>
    </row>
    <row r="25465" spans="119:119" x14ac:dyDescent="0.2">
      <c r="DO25465" s="303" t="s">
        <v>232</v>
      </c>
    </row>
    <row r="25466" spans="119:119" x14ac:dyDescent="0.2">
      <c r="DO25466" s="303" t="s">
        <v>232</v>
      </c>
    </row>
    <row r="25467" spans="119:119" x14ac:dyDescent="0.2">
      <c r="DO25467" s="303" t="s">
        <v>232</v>
      </c>
    </row>
    <row r="25468" spans="119:119" x14ac:dyDescent="0.2">
      <c r="DO25468" s="303" t="s">
        <v>232</v>
      </c>
    </row>
    <row r="25469" spans="119:119" x14ac:dyDescent="0.2">
      <c r="DO25469" s="303" t="s">
        <v>232</v>
      </c>
    </row>
    <row r="25470" spans="119:119" x14ac:dyDescent="0.2">
      <c r="DO25470" s="303" t="s">
        <v>232</v>
      </c>
    </row>
    <row r="25471" spans="119:119" x14ac:dyDescent="0.2">
      <c r="DO25471" s="303" t="s">
        <v>232</v>
      </c>
    </row>
    <row r="25472" spans="119:119" x14ac:dyDescent="0.2">
      <c r="DO25472" s="303" t="s">
        <v>232</v>
      </c>
    </row>
    <row r="25473" spans="119:119" x14ac:dyDescent="0.2">
      <c r="DO25473" s="303" t="s">
        <v>232</v>
      </c>
    </row>
    <row r="25474" spans="119:119" x14ac:dyDescent="0.2">
      <c r="DO25474" s="303" t="s">
        <v>232</v>
      </c>
    </row>
    <row r="25475" spans="119:119" x14ac:dyDescent="0.2">
      <c r="DO25475" s="303" t="s">
        <v>232</v>
      </c>
    </row>
    <row r="25476" spans="119:119" x14ac:dyDescent="0.2">
      <c r="DO25476" s="303" t="s">
        <v>232</v>
      </c>
    </row>
    <row r="25477" spans="119:119" x14ac:dyDescent="0.2">
      <c r="DO25477" s="303" t="s">
        <v>232</v>
      </c>
    </row>
    <row r="25478" spans="119:119" x14ac:dyDescent="0.2">
      <c r="DO25478" s="303" t="s">
        <v>232</v>
      </c>
    </row>
    <row r="25479" spans="119:119" x14ac:dyDescent="0.2">
      <c r="DO25479" s="303" t="s">
        <v>232</v>
      </c>
    </row>
    <row r="25480" spans="119:119" x14ac:dyDescent="0.2">
      <c r="DO25480" s="303" t="s">
        <v>232</v>
      </c>
    </row>
    <row r="25481" spans="119:119" x14ac:dyDescent="0.2">
      <c r="DO25481" s="303" t="s">
        <v>232</v>
      </c>
    </row>
    <row r="25482" spans="119:119" x14ac:dyDescent="0.2">
      <c r="DO25482" s="303" t="s">
        <v>232</v>
      </c>
    </row>
    <row r="25483" spans="119:119" x14ac:dyDescent="0.2">
      <c r="DO25483" s="303" t="s">
        <v>232</v>
      </c>
    </row>
    <row r="25484" spans="119:119" x14ac:dyDescent="0.2">
      <c r="DO25484" s="303" t="s">
        <v>232</v>
      </c>
    </row>
    <row r="25485" spans="119:119" x14ac:dyDescent="0.2">
      <c r="DO25485" s="303" t="s">
        <v>232</v>
      </c>
    </row>
    <row r="25486" spans="119:119" x14ac:dyDescent="0.2">
      <c r="DO25486" s="303" t="s">
        <v>232</v>
      </c>
    </row>
    <row r="25487" spans="119:119" x14ac:dyDescent="0.2">
      <c r="DO25487" s="303" t="s">
        <v>232</v>
      </c>
    </row>
    <row r="25488" spans="119:119" x14ac:dyDescent="0.2">
      <c r="DO25488" s="303" t="s">
        <v>232</v>
      </c>
    </row>
    <row r="25489" spans="119:119" x14ac:dyDescent="0.2">
      <c r="DO25489" s="303" t="s">
        <v>232</v>
      </c>
    </row>
    <row r="25490" spans="119:119" x14ac:dyDescent="0.2">
      <c r="DO25490" s="303" t="s">
        <v>232</v>
      </c>
    </row>
    <row r="25491" spans="119:119" x14ac:dyDescent="0.2">
      <c r="DO25491" s="303" t="s">
        <v>232</v>
      </c>
    </row>
    <row r="25492" spans="119:119" x14ac:dyDescent="0.2">
      <c r="DO25492" s="303" t="s">
        <v>232</v>
      </c>
    </row>
    <row r="25493" spans="119:119" x14ac:dyDescent="0.2">
      <c r="DO25493" s="303" t="s">
        <v>232</v>
      </c>
    </row>
    <row r="25494" spans="119:119" x14ac:dyDescent="0.2">
      <c r="DO25494" s="303" t="s">
        <v>232</v>
      </c>
    </row>
    <row r="25495" spans="119:119" x14ac:dyDescent="0.2">
      <c r="DO25495" s="303" t="s">
        <v>232</v>
      </c>
    </row>
    <row r="25496" spans="119:119" x14ac:dyDescent="0.2">
      <c r="DO25496" s="303" t="s">
        <v>232</v>
      </c>
    </row>
    <row r="25497" spans="119:119" x14ac:dyDescent="0.2">
      <c r="DO25497" s="303" t="s">
        <v>232</v>
      </c>
    </row>
    <row r="25498" spans="119:119" x14ac:dyDescent="0.2">
      <c r="DO25498" s="303" t="s">
        <v>232</v>
      </c>
    </row>
    <row r="25499" spans="119:119" x14ac:dyDescent="0.2">
      <c r="DO25499" s="303" t="s">
        <v>232</v>
      </c>
    </row>
    <row r="25500" spans="119:119" x14ac:dyDescent="0.2">
      <c r="DO25500" s="303" t="s">
        <v>232</v>
      </c>
    </row>
    <row r="25501" spans="119:119" x14ac:dyDescent="0.2">
      <c r="DO25501" s="303" t="s">
        <v>232</v>
      </c>
    </row>
    <row r="25502" spans="119:119" x14ac:dyDescent="0.2">
      <c r="DO25502" s="303" t="s">
        <v>232</v>
      </c>
    </row>
    <row r="25503" spans="119:119" x14ac:dyDescent="0.2">
      <c r="DO25503" s="303" t="s">
        <v>232</v>
      </c>
    </row>
    <row r="25504" spans="119:119" x14ac:dyDescent="0.2">
      <c r="DO25504" s="303" t="s">
        <v>232</v>
      </c>
    </row>
    <row r="25505" spans="119:119" x14ac:dyDescent="0.2">
      <c r="DO25505" s="303" t="s">
        <v>232</v>
      </c>
    </row>
    <row r="25506" spans="119:119" x14ac:dyDescent="0.2">
      <c r="DO25506" s="303" t="s">
        <v>232</v>
      </c>
    </row>
    <row r="25507" spans="119:119" x14ac:dyDescent="0.2">
      <c r="DO25507" s="303" t="s">
        <v>232</v>
      </c>
    </row>
    <row r="25508" spans="119:119" x14ac:dyDescent="0.2">
      <c r="DO25508" s="303" t="s">
        <v>232</v>
      </c>
    </row>
    <row r="25509" spans="119:119" x14ac:dyDescent="0.2">
      <c r="DO25509" s="303" t="s">
        <v>232</v>
      </c>
    </row>
    <row r="25510" spans="119:119" x14ac:dyDescent="0.2">
      <c r="DO25510" s="303" t="s">
        <v>232</v>
      </c>
    </row>
    <row r="25511" spans="119:119" x14ac:dyDescent="0.2">
      <c r="DO25511" s="303" t="s">
        <v>232</v>
      </c>
    </row>
    <row r="25512" spans="119:119" x14ac:dyDescent="0.2">
      <c r="DO25512" s="303" t="s">
        <v>232</v>
      </c>
    </row>
    <row r="25513" spans="119:119" x14ac:dyDescent="0.2">
      <c r="DO25513" s="303" t="s">
        <v>232</v>
      </c>
    </row>
    <row r="25514" spans="119:119" x14ac:dyDescent="0.2">
      <c r="DO25514" s="303" t="s">
        <v>232</v>
      </c>
    </row>
    <row r="25515" spans="119:119" x14ac:dyDescent="0.2">
      <c r="DO25515" s="303" t="s">
        <v>232</v>
      </c>
    </row>
    <row r="25516" spans="119:119" x14ac:dyDescent="0.2">
      <c r="DO25516" s="303" t="s">
        <v>232</v>
      </c>
    </row>
    <row r="25517" spans="119:119" x14ac:dyDescent="0.2">
      <c r="DO25517" s="303" t="s">
        <v>232</v>
      </c>
    </row>
    <row r="25518" spans="119:119" x14ac:dyDescent="0.2">
      <c r="DO25518" s="303" t="s">
        <v>232</v>
      </c>
    </row>
    <row r="25519" spans="119:119" x14ac:dyDescent="0.2">
      <c r="DO25519" s="303" t="s">
        <v>232</v>
      </c>
    </row>
    <row r="25520" spans="119:119" x14ac:dyDescent="0.2">
      <c r="DO25520" s="303" t="s">
        <v>232</v>
      </c>
    </row>
    <row r="25521" spans="119:119" x14ac:dyDescent="0.2">
      <c r="DO25521" s="303" t="s">
        <v>232</v>
      </c>
    </row>
    <row r="25522" spans="119:119" x14ac:dyDescent="0.2">
      <c r="DO25522" s="303" t="s">
        <v>232</v>
      </c>
    </row>
    <row r="25523" spans="119:119" x14ac:dyDescent="0.2">
      <c r="DO25523" s="303" t="s">
        <v>232</v>
      </c>
    </row>
    <row r="25524" spans="119:119" x14ac:dyDescent="0.2">
      <c r="DO25524" s="303" t="s">
        <v>232</v>
      </c>
    </row>
    <row r="25525" spans="119:119" x14ac:dyDescent="0.2">
      <c r="DO25525" s="303" t="s">
        <v>232</v>
      </c>
    </row>
    <row r="25526" spans="119:119" x14ac:dyDescent="0.2">
      <c r="DO25526" s="303" t="s">
        <v>232</v>
      </c>
    </row>
    <row r="25527" spans="119:119" x14ac:dyDescent="0.2">
      <c r="DO25527" s="303" t="s">
        <v>232</v>
      </c>
    </row>
    <row r="25528" spans="119:119" x14ac:dyDescent="0.2">
      <c r="DO25528" s="303" t="s">
        <v>232</v>
      </c>
    </row>
    <row r="25529" spans="119:119" x14ac:dyDescent="0.2">
      <c r="DO25529" s="303" t="s">
        <v>232</v>
      </c>
    </row>
    <row r="25530" spans="119:119" x14ac:dyDescent="0.2">
      <c r="DO25530" s="303" t="s">
        <v>232</v>
      </c>
    </row>
    <row r="25531" spans="119:119" x14ac:dyDescent="0.2">
      <c r="DO25531" s="303" t="s">
        <v>232</v>
      </c>
    </row>
    <row r="25532" spans="119:119" x14ac:dyDescent="0.2">
      <c r="DO25532" s="303" t="s">
        <v>232</v>
      </c>
    </row>
    <row r="25533" spans="119:119" x14ac:dyDescent="0.2">
      <c r="DO25533" s="303" t="s">
        <v>232</v>
      </c>
    </row>
    <row r="25534" spans="119:119" x14ac:dyDescent="0.2">
      <c r="DO25534" s="303" t="s">
        <v>232</v>
      </c>
    </row>
    <row r="25535" spans="119:119" x14ac:dyDescent="0.2">
      <c r="DO25535" s="303" t="s">
        <v>232</v>
      </c>
    </row>
    <row r="25536" spans="119:119" x14ac:dyDescent="0.2">
      <c r="DO25536" s="303" t="s">
        <v>232</v>
      </c>
    </row>
    <row r="25537" spans="119:119" x14ac:dyDescent="0.2">
      <c r="DO25537" s="303" t="s">
        <v>232</v>
      </c>
    </row>
    <row r="25538" spans="119:119" x14ac:dyDescent="0.2">
      <c r="DO25538" s="303" t="s">
        <v>232</v>
      </c>
    </row>
    <row r="25539" spans="119:119" x14ac:dyDescent="0.2">
      <c r="DO25539" s="303" t="s">
        <v>232</v>
      </c>
    </row>
    <row r="25540" spans="119:119" x14ac:dyDescent="0.2">
      <c r="DO25540" s="303" t="s">
        <v>232</v>
      </c>
    </row>
    <row r="25541" spans="119:119" x14ac:dyDescent="0.2">
      <c r="DO25541" s="303" t="s">
        <v>232</v>
      </c>
    </row>
    <row r="25542" spans="119:119" x14ac:dyDescent="0.2">
      <c r="DO25542" s="303" t="s">
        <v>232</v>
      </c>
    </row>
    <row r="25543" spans="119:119" x14ac:dyDescent="0.2">
      <c r="DO25543" s="303" t="s">
        <v>232</v>
      </c>
    </row>
    <row r="25544" spans="119:119" x14ac:dyDescent="0.2">
      <c r="DO25544" s="303" t="s">
        <v>232</v>
      </c>
    </row>
    <row r="25545" spans="119:119" x14ac:dyDescent="0.2">
      <c r="DO25545" s="303" t="s">
        <v>232</v>
      </c>
    </row>
    <row r="25546" spans="119:119" x14ac:dyDescent="0.2">
      <c r="DO25546" s="303" t="s">
        <v>232</v>
      </c>
    </row>
    <row r="25547" spans="119:119" x14ac:dyDescent="0.2">
      <c r="DO25547" s="303" t="s">
        <v>232</v>
      </c>
    </row>
    <row r="25548" spans="119:119" x14ac:dyDescent="0.2">
      <c r="DO25548" s="303" t="s">
        <v>232</v>
      </c>
    </row>
    <row r="25549" spans="119:119" x14ac:dyDescent="0.2">
      <c r="DO25549" s="303" t="s">
        <v>232</v>
      </c>
    </row>
    <row r="25550" spans="119:119" x14ac:dyDescent="0.2">
      <c r="DO25550" s="303" t="s">
        <v>232</v>
      </c>
    </row>
    <row r="25551" spans="119:119" x14ac:dyDescent="0.2">
      <c r="DO25551" s="303" t="s">
        <v>232</v>
      </c>
    </row>
    <row r="25552" spans="119:119" x14ac:dyDescent="0.2">
      <c r="DO25552" s="303" t="s">
        <v>232</v>
      </c>
    </row>
    <row r="25553" spans="119:119" x14ac:dyDescent="0.2">
      <c r="DO25553" s="303" t="s">
        <v>232</v>
      </c>
    </row>
    <row r="25554" spans="119:119" x14ac:dyDescent="0.2">
      <c r="DO25554" s="303" t="s">
        <v>232</v>
      </c>
    </row>
    <row r="25555" spans="119:119" x14ac:dyDescent="0.2">
      <c r="DO25555" s="303" t="s">
        <v>232</v>
      </c>
    </row>
    <row r="25556" spans="119:119" x14ac:dyDescent="0.2">
      <c r="DO25556" s="303" t="s">
        <v>232</v>
      </c>
    </row>
    <row r="25557" spans="119:119" x14ac:dyDescent="0.2">
      <c r="DO25557" s="303" t="s">
        <v>232</v>
      </c>
    </row>
    <row r="25558" spans="119:119" x14ac:dyDescent="0.2">
      <c r="DO25558" s="303" t="s">
        <v>232</v>
      </c>
    </row>
    <row r="25559" spans="119:119" x14ac:dyDescent="0.2">
      <c r="DO25559" s="303" t="s">
        <v>232</v>
      </c>
    </row>
    <row r="25560" spans="119:119" x14ac:dyDescent="0.2">
      <c r="DO25560" s="303" t="s">
        <v>232</v>
      </c>
    </row>
    <row r="25561" spans="119:119" x14ac:dyDescent="0.2">
      <c r="DO25561" s="303" t="s">
        <v>232</v>
      </c>
    </row>
    <row r="25562" spans="119:119" x14ac:dyDescent="0.2">
      <c r="DO25562" s="303" t="s">
        <v>232</v>
      </c>
    </row>
    <row r="25563" spans="119:119" x14ac:dyDescent="0.2">
      <c r="DO25563" s="303" t="s">
        <v>232</v>
      </c>
    </row>
    <row r="25564" spans="119:119" x14ac:dyDescent="0.2">
      <c r="DO25564" s="303" t="s">
        <v>232</v>
      </c>
    </row>
    <row r="25565" spans="119:119" x14ac:dyDescent="0.2">
      <c r="DO25565" s="303" t="s">
        <v>232</v>
      </c>
    </row>
    <row r="25566" spans="119:119" x14ac:dyDescent="0.2">
      <c r="DO25566" s="303" t="s">
        <v>232</v>
      </c>
    </row>
    <row r="25567" spans="119:119" x14ac:dyDescent="0.2">
      <c r="DO25567" s="303" t="s">
        <v>232</v>
      </c>
    </row>
    <row r="25568" spans="119:119" x14ac:dyDescent="0.2">
      <c r="DO25568" s="303" t="s">
        <v>232</v>
      </c>
    </row>
    <row r="25569" spans="119:119" x14ac:dyDescent="0.2">
      <c r="DO25569" s="303" t="s">
        <v>232</v>
      </c>
    </row>
    <row r="25570" spans="119:119" x14ac:dyDescent="0.2">
      <c r="DO25570" s="303" t="s">
        <v>232</v>
      </c>
    </row>
    <row r="25571" spans="119:119" x14ac:dyDescent="0.2">
      <c r="DO25571" s="303" t="s">
        <v>232</v>
      </c>
    </row>
    <row r="25572" spans="119:119" x14ac:dyDescent="0.2">
      <c r="DO25572" s="303" t="s">
        <v>232</v>
      </c>
    </row>
    <row r="25573" spans="119:119" x14ac:dyDescent="0.2">
      <c r="DO25573" s="303" t="s">
        <v>232</v>
      </c>
    </row>
    <row r="25574" spans="119:119" x14ac:dyDescent="0.2">
      <c r="DO25574" s="303" t="s">
        <v>232</v>
      </c>
    </row>
    <row r="25575" spans="119:119" x14ac:dyDescent="0.2">
      <c r="DO25575" s="303" t="s">
        <v>232</v>
      </c>
    </row>
    <row r="25576" spans="119:119" x14ac:dyDescent="0.2">
      <c r="DO25576" s="303" t="s">
        <v>232</v>
      </c>
    </row>
    <row r="25577" spans="119:119" x14ac:dyDescent="0.2">
      <c r="DO25577" s="303" t="s">
        <v>232</v>
      </c>
    </row>
    <row r="25578" spans="119:119" x14ac:dyDescent="0.2">
      <c r="DO25578" s="303" t="s">
        <v>232</v>
      </c>
    </row>
    <row r="25579" spans="119:119" x14ac:dyDescent="0.2">
      <c r="DO25579" s="303" t="s">
        <v>232</v>
      </c>
    </row>
    <row r="25580" spans="119:119" x14ac:dyDescent="0.2">
      <c r="DO25580" s="303" t="s">
        <v>232</v>
      </c>
    </row>
    <row r="25581" spans="119:119" x14ac:dyDescent="0.2">
      <c r="DO25581" s="303" t="s">
        <v>232</v>
      </c>
    </row>
    <row r="25582" spans="119:119" x14ac:dyDescent="0.2">
      <c r="DO25582" s="303" t="s">
        <v>232</v>
      </c>
    </row>
    <row r="25583" spans="119:119" x14ac:dyDescent="0.2">
      <c r="DO25583" s="303" t="s">
        <v>232</v>
      </c>
    </row>
    <row r="25584" spans="119:119" x14ac:dyDescent="0.2">
      <c r="DO25584" s="303" t="s">
        <v>232</v>
      </c>
    </row>
    <row r="25585" spans="119:119" x14ac:dyDescent="0.2">
      <c r="DO25585" s="303" t="s">
        <v>232</v>
      </c>
    </row>
    <row r="25586" spans="119:119" x14ac:dyDescent="0.2">
      <c r="DO25586" s="303" t="s">
        <v>232</v>
      </c>
    </row>
    <row r="25587" spans="119:119" x14ac:dyDescent="0.2">
      <c r="DO25587" s="303" t="s">
        <v>232</v>
      </c>
    </row>
    <row r="25588" spans="119:119" x14ac:dyDescent="0.2">
      <c r="DO25588" s="303" t="s">
        <v>232</v>
      </c>
    </row>
    <row r="25589" spans="119:119" x14ac:dyDescent="0.2">
      <c r="DO25589" s="303" t="s">
        <v>232</v>
      </c>
    </row>
    <row r="25590" spans="119:119" x14ac:dyDescent="0.2">
      <c r="DO25590" s="303" t="s">
        <v>232</v>
      </c>
    </row>
    <row r="25591" spans="119:119" x14ac:dyDescent="0.2">
      <c r="DO25591" s="303" t="s">
        <v>232</v>
      </c>
    </row>
    <row r="25592" spans="119:119" x14ac:dyDescent="0.2">
      <c r="DO25592" s="303" t="s">
        <v>232</v>
      </c>
    </row>
    <row r="25593" spans="119:119" x14ac:dyDescent="0.2">
      <c r="DO25593" s="303" t="s">
        <v>232</v>
      </c>
    </row>
    <row r="25594" spans="119:119" x14ac:dyDescent="0.2">
      <c r="DO25594" s="303" t="s">
        <v>232</v>
      </c>
    </row>
    <row r="25595" spans="119:119" x14ac:dyDescent="0.2">
      <c r="DO25595" s="303" t="s">
        <v>232</v>
      </c>
    </row>
    <row r="25596" spans="119:119" x14ac:dyDescent="0.2">
      <c r="DO25596" s="303" t="s">
        <v>232</v>
      </c>
    </row>
    <row r="25597" spans="119:119" x14ac:dyDescent="0.2">
      <c r="DO25597" s="303" t="s">
        <v>232</v>
      </c>
    </row>
    <row r="25598" spans="119:119" x14ac:dyDescent="0.2">
      <c r="DO25598" s="303" t="s">
        <v>232</v>
      </c>
    </row>
    <row r="25599" spans="119:119" x14ac:dyDescent="0.2">
      <c r="DO25599" s="303" t="s">
        <v>232</v>
      </c>
    </row>
    <row r="25600" spans="119:119" x14ac:dyDescent="0.2">
      <c r="DO25600" s="303" t="s">
        <v>232</v>
      </c>
    </row>
    <row r="25601" spans="119:119" x14ac:dyDescent="0.2">
      <c r="DO25601" s="303" t="s">
        <v>232</v>
      </c>
    </row>
    <row r="25602" spans="119:119" x14ac:dyDescent="0.2">
      <c r="DO25602" s="303" t="s">
        <v>232</v>
      </c>
    </row>
    <row r="25603" spans="119:119" x14ac:dyDescent="0.2">
      <c r="DO25603" s="303" t="s">
        <v>232</v>
      </c>
    </row>
    <row r="25604" spans="119:119" x14ac:dyDescent="0.2">
      <c r="DO25604" s="303" t="s">
        <v>232</v>
      </c>
    </row>
    <row r="25605" spans="119:119" x14ac:dyDescent="0.2">
      <c r="DO25605" s="303" t="s">
        <v>232</v>
      </c>
    </row>
    <row r="25606" spans="119:119" x14ac:dyDescent="0.2">
      <c r="DO25606" s="303" t="s">
        <v>232</v>
      </c>
    </row>
    <row r="25607" spans="119:119" x14ac:dyDescent="0.2">
      <c r="DO25607" s="303" t="s">
        <v>232</v>
      </c>
    </row>
    <row r="25608" spans="119:119" x14ac:dyDescent="0.2">
      <c r="DO25608" s="303" t="s">
        <v>232</v>
      </c>
    </row>
    <row r="25609" spans="119:119" x14ac:dyDescent="0.2">
      <c r="DO25609" s="303" t="s">
        <v>232</v>
      </c>
    </row>
    <row r="25610" spans="119:119" x14ac:dyDescent="0.2">
      <c r="DO25610" s="303" t="s">
        <v>232</v>
      </c>
    </row>
    <row r="25611" spans="119:119" x14ac:dyDescent="0.2">
      <c r="DO25611" s="303" t="s">
        <v>232</v>
      </c>
    </row>
    <row r="25612" spans="119:119" x14ac:dyDescent="0.2">
      <c r="DO25612" s="303" t="s">
        <v>232</v>
      </c>
    </row>
    <row r="25613" spans="119:119" x14ac:dyDescent="0.2">
      <c r="DO25613" s="303" t="s">
        <v>232</v>
      </c>
    </row>
    <row r="25614" spans="119:119" x14ac:dyDescent="0.2">
      <c r="DO25614" s="303" t="s">
        <v>232</v>
      </c>
    </row>
    <row r="25615" spans="119:119" x14ac:dyDescent="0.2">
      <c r="DO25615" s="303" t="s">
        <v>232</v>
      </c>
    </row>
    <row r="25616" spans="119:119" x14ac:dyDescent="0.2">
      <c r="DO25616" s="303" t="s">
        <v>232</v>
      </c>
    </row>
    <row r="25617" spans="119:119" x14ac:dyDescent="0.2">
      <c r="DO25617" s="303" t="s">
        <v>232</v>
      </c>
    </row>
    <row r="25618" spans="119:119" x14ac:dyDescent="0.2">
      <c r="DO25618" s="303" t="s">
        <v>232</v>
      </c>
    </row>
    <row r="25619" spans="119:119" x14ac:dyDescent="0.2">
      <c r="DO25619" s="303" t="s">
        <v>232</v>
      </c>
    </row>
    <row r="25620" spans="119:119" x14ac:dyDescent="0.2">
      <c r="DO25620" s="303" t="s">
        <v>232</v>
      </c>
    </row>
    <row r="25621" spans="119:119" x14ac:dyDescent="0.2">
      <c r="DO25621" s="303" t="s">
        <v>232</v>
      </c>
    </row>
    <row r="25622" spans="119:119" x14ac:dyDescent="0.2">
      <c r="DO25622" s="303" t="s">
        <v>232</v>
      </c>
    </row>
    <row r="25623" spans="119:119" x14ac:dyDescent="0.2">
      <c r="DO25623" s="303" t="s">
        <v>232</v>
      </c>
    </row>
    <row r="25624" spans="119:119" x14ac:dyDescent="0.2">
      <c r="DO25624" s="303" t="s">
        <v>232</v>
      </c>
    </row>
    <row r="25625" spans="119:119" x14ac:dyDescent="0.2">
      <c r="DO25625" s="303" t="s">
        <v>232</v>
      </c>
    </row>
    <row r="25626" spans="119:119" x14ac:dyDescent="0.2">
      <c r="DO25626" s="303" t="s">
        <v>232</v>
      </c>
    </row>
    <row r="25627" spans="119:119" x14ac:dyDescent="0.2">
      <c r="DO25627" s="303" t="s">
        <v>232</v>
      </c>
    </row>
    <row r="25628" spans="119:119" x14ac:dyDescent="0.2">
      <c r="DO25628" s="303" t="s">
        <v>232</v>
      </c>
    </row>
    <row r="25629" spans="119:119" x14ac:dyDescent="0.2">
      <c r="DO25629" s="303" t="s">
        <v>232</v>
      </c>
    </row>
    <row r="25630" spans="119:119" x14ac:dyDescent="0.2">
      <c r="DO25630" s="303" t="s">
        <v>232</v>
      </c>
    </row>
    <row r="25631" spans="119:119" x14ac:dyDescent="0.2">
      <c r="DO25631" s="303" t="s">
        <v>232</v>
      </c>
    </row>
    <row r="25632" spans="119:119" x14ac:dyDescent="0.2">
      <c r="DO25632" s="303" t="s">
        <v>232</v>
      </c>
    </row>
    <row r="25633" spans="119:119" x14ac:dyDescent="0.2">
      <c r="DO25633" s="303" t="s">
        <v>232</v>
      </c>
    </row>
    <row r="25634" spans="119:119" x14ac:dyDescent="0.2">
      <c r="DO25634" s="303" t="s">
        <v>232</v>
      </c>
    </row>
    <row r="25635" spans="119:119" x14ac:dyDescent="0.2">
      <c r="DO25635" s="303" t="s">
        <v>232</v>
      </c>
    </row>
    <row r="25636" spans="119:119" x14ac:dyDescent="0.2">
      <c r="DO25636" s="303" t="s">
        <v>232</v>
      </c>
    </row>
    <row r="25637" spans="119:119" x14ac:dyDescent="0.2">
      <c r="DO25637" s="303" t="s">
        <v>232</v>
      </c>
    </row>
    <row r="25638" spans="119:119" x14ac:dyDescent="0.2">
      <c r="DO25638" s="303" t="s">
        <v>232</v>
      </c>
    </row>
    <row r="25639" spans="119:119" x14ac:dyDescent="0.2">
      <c r="DO25639" s="303" t="s">
        <v>232</v>
      </c>
    </row>
    <row r="25640" spans="119:119" x14ac:dyDescent="0.2">
      <c r="DO25640" s="303" t="s">
        <v>232</v>
      </c>
    </row>
    <row r="25641" spans="119:119" x14ac:dyDescent="0.2">
      <c r="DO25641" s="303" t="s">
        <v>232</v>
      </c>
    </row>
    <row r="25642" spans="119:119" x14ac:dyDescent="0.2">
      <c r="DO25642" s="303" t="s">
        <v>232</v>
      </c>
    </row>
    <row r="25643" spans="119:119" x14ac:dyDescent="0.2">
      <c r="DO25643" s="303" t="s">
        <v>232</v>
      </c>
    </row>
    <row r="25644" spans="119:119" x14ac:dyDescent="0.2">
      <c r="DO25644" s="303" t="s">
        <v>232</v>
      </c>
    </row>
    <row r="25645" spans="119:119" x14ac:dyDescent="0.2">
      <c r="DO25645" s="303" t="s">
        <v>232</v>
      </c>
    </row>
    <row r="25646" spans="119:119" x14ac:dyDescent="0.2">
      <c r="DO25646" s="303" t="s">
        <v>232</v>
      </c>
    </row>
    <row r="25647" spans="119:119" x14ac:dyDescent="0.2">
      <c r="DO25647" s="303" t="s">
        <v>232</v>
      </c>
    </row>
    <row r="25648" spans="119:119" x14ac:dyDescent="0.2">
      <c r="DO25648" s="303" t="s">
        <v>232</v>
      </c>
    </row>
    <row r="25649" spans="119:119" x14ac:dyDescent="0.2">
      <c r="DO25649" s="303" t="s">
        <v>232</v>
      </c>
    </row>
    <row r="25650" spans="119:119" x14ac:dyDescent="0.2">
      <c r="DO25650" s="303" t="s">
        <v>232</v>
      </c>
    </row>
    <row r="25651" spans="119:119" x14ac:dyDescent="0.2">
      <c r="DO25651" s="303" t="s">
        <v>232</v>
      </c>
    </row>
    <row r="25652" spans="119:119" x14ac:dyDescent="0.2">
      <c r="DO25652" s="303" t="s">
        <v>232</v>
      </c>
    </row>
    <row r="25653" spans="119:119" x14ac:dyDescent="0.2">
      <c r="DO25653" s="303" t="s">
        <v>232</v>
      </c>
    </row>
    <row r="25654" spans="119:119" x14ac:dyDescent="0.2">
      <c r="DO25654" s="303" t="s">
        <v>232</v>
      </c>
    </row>
    <row r="25655" spans="119:119" x14ac:dyDescent="0.2">
      <c r="DO25655" s="303" t="s">
        <v>232</v>
      </c>
    </row>
    <row r="25656" spans="119:119" x14ac:dyDescent="0.2">
      <c r="DO25656" s="303" t="s">
        <v>232</v>
      </c>
    </row>
    <row r="25657" spans="119:119" x14ac:dyDescent="0.2">
      <c r="DO25657" s="303" t="s">
        <v>232</v>
      </c>
    </row>
    <row r="25658" spans="119:119" x14ac:dyDescent="0.2">
      <c r="DO25658" s="303" t="s">
        <v>232</v>
      </c>
    </row>
    <row r="25659" spans="119:119" x14ac:dyDescent="0.2">
      <c r="DO25659" s="303" t="s">
        <v>232</v>
      </c>
    </row>
    <row r="25660" spans="119:119" x14ac:dyDescent="0.2">
      <c r="DO25660" s="303" t="s">
        <v>232</v>
      </c>
    </row>
    <row r="25661" spans="119:119" x14ac:dyDescent="0.2">
      <c r="DO25661" s="303" t="s">
        <v>232</v>
      </c>
    </row>
    <row r="25662" spans="119:119" x14ac:dyDescent="0.2">
      <c r="DO25662" s="303" t="s">
        <v>232</v>
      </c>
    </row>
    <row r="25663" spans="119:119" x14ac:dyDescent="0.2">
      <c r="DO25663" s="303" t="s">
        <v>232</v>
      </c>
    </row>
    <row r="25664" spans="119:119" x14ac:dyDescent="0.2">
      <c r="DO25664" s="303" t="s">
        <v>232</v>
      </c>
    </row>
    <row r="25665" spans="119:119" x14ac:dyDescent="0.2">
      <c r="DO25665" s="303" t="s">
        <v>232</v>
      </c>
    </row>
    <row r="25666" spans="119:119" x14ac:dyDescent="0.2">
      <c r="DO25666" s="303" t="s">
        <v>232</v>
      </c>
    </row>
    <row r="25667" spans="119:119" x14ac:dyDescent="0.2">
      <c r="DO25667" s="303" t="s">
        <v>232</v>
      </c>
    </row>
    <row r="25668" spans="119:119" x14ac:dyDescent="0.2">
      <c r="DO25668" s="303" t="s">
        <v>232</v>
      </c>
    </row>
    <row r="25669" spans="119:119" x14ac:dyDescent="0.2">
      <c r="DO25669" s="303" t="s">
        <v>232</v>
      </c>
    </row>
    <row r="25670" spans="119:119" x14ac:dyDescent="0.2">
      <c r="DO25670" s="303" t="s">
        <v>232</v>
      </c>
    </row>
    <row r="25671" spans="119:119" x14ac:dyDescent="0.2">
      <c r="DO25671" s="303" t="s">
        <v>232</v>
      </c>
    </row>
    <row r="25672" spans="119:119" x14ac:dyDescent="0.2">
      <c r="DO25672" s="303" t="s">
        <v>232</v>
      </c>
    </row>
    <row r="25673" spans="119:119" x14ac:dyDescent="0.2">
      <c r="DO25673" s="303" t="s">
        <v>232</v>
      </c>
    </row>
    <row r="25674" spans="119:119" x14ac:dyDescent="0.2">
      <c r="DO25674" s="303" t="s">
        <v>232</v>
      </c>
    </row>
    <row r="25675" spans="119:119" x14ac:dyDescent="0.2">
      <c r="DO25675" s="303" t="s">
        <v>232</v>
      </c>
    </row>
    <row r="25676" spans="119:119" x14ac:dyDescent="0.2">
      <c r="DO25676" s="303" t="s">
        <v>232</v>
      </c>
    </row>
    <row r="25677" spans="119:119" x14ac:dyDescent="0.2">
      <c r="DO25677" s="303" t="s">
        <v>232</v>
      </c>
    </row>
    <row r="25678" spans="119:119" x14ac:dyDescent="0.2">
      <c r="DO25678" s="303" t="s">
        <v>232</v>
      </c>
    </row>
    <row r="25679" spans="119:119" x14ac:dyDescent="0.2">
      <c r="DO25679" s="303" t="s">
        <v>232</v>
      </c>
    </row>
    <row r="25680" spans="119:119" x14ac:dyDescent="0.2">
      <c r="DO25680" s="303" t="s">
        <v>232</v>
      </c>
    </row>
    <row r="25681" spans="119:119" x14ac:dyDescent="0.2">
      <c r="DO25681" s="303" t="s">
        <v>232</v>
      </c>
    </row>
    <row r="25682" spans="119:119" x14ac:dyDescent="0.2">
      <c r="DO25682" s="303" t="s">
        <v>232</v>
      </c>
    </row>
    <row r="25683" spans="119:119" x14ac:dyDescent="0.2">
      <c r="DO25683" s="303" t="s">
        <v>232</v>
      </c>
    </row>
    <row r="25684" spans="119:119" x14ac:dyDescent="0.2">
      <c r="DO25684" s="303" t="s">
        <v>232</v>
      </c>
    </row>
    <row r="25685" spans="119:119" x14ac:dyDescent="0.2">
      <c r="DO25685" s="303" t="s">
        <v>232</v>
      </c>
    </row>
    <row r="25686" spans="119:119" x14ac:dyDescent="0.2">
      <c r="DO25686" s="303" t="s">
        <v>232</v>
      </c>
    </row>
    <row r="25687" spans="119:119" x14ac:dyDescent="0.2">
      <c r="DO25687" s="303" t="s">
        <v>232</v>
      </c>
    </row>
    <row r="25688" spans="119:119" x14ac:dyDescent="0.2">
      <c r="DO25688" s="303" t="s">
        <v>232</v>
      </c>
    </row>
    <row r="25689" spans="119:119" x14ac:dyDescent="0.2">
      <c r="DO25689" s="303" t="s">
        <v>232</v>
      </c>
    </row>
    <row r="25690" spans="119:119" x14ac:dyDescent="0.2">
      <c r="DO25690" s="303" t="s">
        <v>232</v>
      </c>
    </row>
    <row r="25691" spans="119:119" x14ac:dyDescent="0.2">
      <c r="DO25691" s="303" t="s">
        <v>232</v>
      </c>
    </row>
    <row r="25692" spans="119:119" x14ac:dyDescent="0.2">
      <c r="DO25692" s="303" t="s">
        <v>232</v>
      </c>
    </row>
    <row r="25693" spans="119:119" x14ac:dyDescent="0.2">
      <c r="DO25693" s="303" t="s">
        <v>232</v>
      </c>
    </row>
    <row r="25694" spans="119:119" x14ac:dyDescent="0.2">
      <c r="DO25694" s="303" t="s">
        <v>232</v>
      </c>
    </row>
    <row r="25695" spans="119:119" x14ac:dyDescent="0.2">
      <c r="DO25695" s="303" t="s">
        <v>232</v>
      </c>
    </row>
    <row r="25696" spans="119:119" x14ac:dyDescent="0.2">
      <c r="DO25696" s="303" t="s">
        <v>232</v>
      </c>
    </row>
    <row r="25697" spans="119:119" x14ac:dyDescent="0.2">
      <c r="DO25697" s="303" t="s">
        <v>232</v>
      </c>
    </row>
    <row r="25698" spans="119:119" x14ac:dyDescent="0.2">
      <c r="DO25698" s="303" t="s">
        <v>232</v>
      </c>
    </row>
    <row r="25699" spans="119:119" x14ac:dyDescent="0.2">
      <c r="DO25699" s="303" t="s">
        <v>232</v>
      </c>
    </row>
    <row r="25700" spans="119:119" x14ac:dyDescent="0.2">
      <c r="DO25700" s="303" t="s">
        <v>232</v>
      </c>
    </row>
    <row r="25701" spans="119:119" x14ac:dyDescent="0.2">
      <c r="DO25701" s="303" t="s">
        <v>232</v>
      </c>
    </row>
    <row r="25702" spans="119:119" x14ac:dyDescent="0.2">
      <c r="DO25702" s="303" t="s">
        <v>232</v>
      </c>
    </row>
    <row r="25703" spans="119:119" x14ac:dyDescent="0.2">
      <c r="DO25703" s="303" t="s">
        <v>232</v>
      </c>
    </row>
    <row r="25704" spans="119:119" x14ac:dyDescent="0.2">
      <c r="DO25704" s="303" t="s">
        <v>232</v>
      </c>
    </row>
    <row r="25705" spans="119:119" x14ac:dyDescent="0.2">
      <c r="DO25705" s="303" t="s">
        <v>232</v>
      </c>
    </row>
    <row r="25706" spans="119:119" x14ac:dyDescent="0.2">
      <c r="DO25706" s="303" t="s">
        <v>232</v>
      </c>
    </row>
    <row r="25707" spans="119:119" x14ac:dyDescent="0.2">
      <c r="DO25707" s="303" t="s">
        <v>232</v>
      </c>
    </row>
    <row r="25708" spans="119:119" x14ac:dyDescent="0.2">
      <c r="DO25708" s="303" t="s">
        <v>232</v>
      </c>
    </row>
    <row r="25709" spans="119:119" x14ac:dyDescent="0.2">
      <c r="DO25709" s="303" t="s">
        <v>232</v>
      </c>
    </row>
    <row r="25710" spans="119:119" x14ac:dyDescent="0.2">
      <c r="DO25710" s="303" t="s">
        <v>232</v>
      </c>
    </row>
    <row r="25711" spans="119:119" x14ac:dyDescent="0.2">
      <c r="DO25711" s="303" t="s">
        <v>232</v>
      </c>
    </row>
    <row r="25712" spans="119:119" x14ac:dyDescent="0.2">
      <c r="DO25712" s="303" t="s">
        <v>232</v>
      </c>
    </row>
    <row r="25713" spans="119:119" x14ac:dyDescent="0.2">
      <c r="DO25713" s="303" t="s">
        <v>232</v>
      </c>
    </row>
    <row r="25714" spans="119:119" x14ac:dyDescent="0.2">
      <c r="DO25714" s="303" t="s">
        <v>232</v>
      </c>
    </row>
    <row r="25715" spans="119:119" x14ac:dyDescent="0.2">
      <c r="DO25715" s="303" t="s">
        <v>232</v>
      </c>
    </row>
    <row r="25716" spans="119:119" x14ac:dyDescent="0.2">
      <c r="DO25716" s="303" t="s">
        <v>232</v>
      </c>
    </row>
    <row r="25717" spans="119:119" x14ac:dyDescent="0.2">
      <c r="DO25717" s="303" t="s">
        <v>232</v>
      </c>
    </row>
    <row r="25718" spans="119:119" x14ac:dyDescent="0.2">
      <c r="DO25718" s="303" t="s">
        <v>232</v>
      </c>
    </row>
    <row r="25719" spans="119:119" x14ac:dyDescent="0.2">
      <c r="DO25719" s="303" t="s">
        <v>232</v>
      </c>
    </row>
    <row r="25720" spans="119:119" x14ac:dyDescent="0.2">
      <c r="DO25720" s="303" t="s">
        <v>232</v>
      </c>
    </row>
    <row r="25721" spans="119:119" x14ac:dyDescent="0.2">
      <c r="DO25721" s="303" t="s">
        <v>232</v>
      </c>
    </row>
    <row r="25722" spans="119:119" x14ac:dyDescent="0.2">
      <c r="DO25722" s="303" t="s">
        <v>232</v>
      </c>
    </row>
    <row r="25723" spans="119:119" x14ac:dyDescent="0.2">
      <c r="DO25723" s="303" t="s">
        <v>232</v>
      </c>
    </row>
    <row r="25724" spans="119:119" x14ac:dyDescent="0.2">
      <c r="DO25724" s="303" t="s">
        <v>232</v>
      </c>
    </row>
    <row r="25725" spans="119:119" x14ac:dyDescent="0.2">
      <c r="DO25725" s="303" t="s">
        <v>232</v>
      </c>
    </row>
    <row r="25726" spans="119:119" x14ac:dyDescent="0.2">
      <c r="DO25726" s="303" t="s">
        <v>232</v>
      </c>
    </row>
    <row r="25727" spans="119:119" x14ac:dyDescent="0.2">
      <c r="DO25727" s="303" t="s">
        <v>232</v>
      </c>
    </row>
    <row r="25728" spans="119:119" x14ac:dyDescent="0.2">
      <c r="DO25728" s="303" t="s">
        <v>232</v>
      </c>
    </row>
    <row r="25729" spans="119:119" x14ac:dyDescent="0.2">
      <c r="DO25729" s="303" t="s">
        <v>232</v>
      </c>
    </row>
    <row r="25730" spans="119:119" x14ac:dyDescent="0.2">
      <c r="DO25730" s="303" t="s">
        <v>232</v>
      </c>
    </row>
    <row r="25731" spans="119:119" x14ac:dyDescent="0.2">
      <c r="DO25731" s="303" t="s">
        <v>232</v>
      </c>
    </row>
    <row r="25732" spans="119:119" x14ac:dyDescent="0.2">
      <c r="DO25732" s="303" t="s">
        <v>232</v>
      </c>
    </row>
    <row r="25733" spans="119:119" x14ac:dyDescent="0.2">
      <c r="DO25733" s="303" t="s">
        <v>232</v>
      </c>
    </row>
    <row r="25734" spans="119:119" x14ac:dyDescent="0.2">
      <c r="DO25734" s="303" t="s">
        <v>232</v>
      </c>
    </row>
    <row r="25735" spans="119:119" x14ac:dyDescent="0.2">
      <c r="DO25735" s="303" t="s">
        <v>232</v>
      </c>
    </row>
    <row r="25736" spans="119:119" x14ac:dyDescent="0.2">
      <c r="DO25736" s="303" t="s">
        <v>232</v>
      </c>
    </row>
    <row r="25737" spans="119:119" x14ac:dyDescent="0.2">
      <c r="DO25737" s="303" t="s">
        <v>232</v>
      </c>
    </row>
    <row r="25738" spans="119:119" x14ac:dyDescent="0.2">
      <c r="DO25738" s="303" t="s">
        <v>232</v>
      </c>
    </row>
    <row r="25739" spans="119:119" x14ac:dyDescent="0.2">
      <c r="DO25739" s="303" t="s">
        <v>232</v>
      </c>
    </row>
    <row r="25740" spans="119:119" x14ac:dyDescent="0.2">
      <c r="DO25740" s="303" t="s">
        <v>232</v>
      </c>
    </row>
    <row r="25741" spans="119:119" x14ac:dyDescent="0.2">
      <c r="DO25741" s="303" t="s">
        <v>232</v>
      </c>
    </row>
    <row r="25742" spans="119:119" x14ac:dyDescent="0.2">
      <c r="DO25742" s="303" t="s">
        <v>232</v>
      </c>
    </row>
    <row r="25743" spans="119:119" x14ac:dyDescent="0.2">
      <c r="DO25743" s="303" t="s">
        <v>232</v>
      </c>
    </row>
    <row r="25744" spans="119:119" x14ac:dyDescent="0.2">
      <c r="DO25744" s="303" t="s">
        <v>232</v>
      </c>
    </row>
    <row r="25745" spans="119:119" x14ac:dyDescent="0.2">
      <c r="DO25745" s="303" t="s">
        <v>232</v>
      </c>
    </row>
    <row r="25746" spans="119:119" x14ac:dyDescent="0.2">
      <c r="DO25746" s="303" t="s">
        <v>232</v>
      </c>
    </row>
    <row r="25747" spans="119:119" x14ac:dyDescent="0.2">
      <c r="DO25747" s="303" t="s">
        <v>232</v>
      </c>
    </row>
    <row r="25748" spans="119:119" x14ac:dyDescent="0.2">
      <c r="DO25748" s="303" t="s">
        <v>232</v>
      </c>
    </row>
    <row r="25749" spans="119:119" x14ac:dyDescent="0.2">
      <c r="DO25749" s="303" t="s">
        <v>232</v>
      </c>
    </row>
    <row r="25750" spans="119:119" x14ac:dyDescent="0.2">
      <c r="DO25750" s="303" t="s">
        <v>232</v>
      </c>
    </row>
    <row r="25751" spans="119:119" x14ac:dyDescent="0.2">
      <c r="DO25751" s="303" t="s">
        <v>232</v>
      </c>
    </row>
    <row r="25752" spans="119:119" x14ac:dyDescent="0.2">
      <c r="DO25752" s="303" t="s">
        <v>232</v>
      </c>
    </row>
    <row r="25753" spans="119:119" x14ac:dyDescent="0.2">
      <c r="DO25753" s="303" t="s">
        <v>232</v>
      </c>
    </row>
    <row r="25754" spans="119:119" x14ac:dyDescent="0.2">
      <c r="DO25754" s="303" t="s">
        <v>232</v>
      </c>
    </row>
    <row r="25755" spans="119:119" x14ac:dyDescent="0.2">
      <c r="DO25755" s="303" t="s">
        <v>232</v>
      </c>
    </row>
    <row r="25756" spans="119:119" x14ac:dyDescent="0.2">
      <c r="DO25756" s="303" t="s">
        <v>232</v>
      </c>
    </row>
    <row r="25757" spans="119:119" x14ac:dyDescent="0.2">
      <c r="DO25757" s="303" t="s">
        <v>232</v>
      </c>
    </row>
    <row r="25758" spans="119:119" x14ac:dyDescent="0.2">
      <c r="DO25758" s="303" t="s">
        <v>232</v>
      </c>
    </row>
    <row r="25759" spans="119:119" x14ac:dyDescent="0.2">
      <c r="DO25759" s="303" t="s">
        <v>232</v>
      </c>
    </row>
    <row r="25760" spans="119:119" x14ac:dyDescent="0.2">
      <c r="DO25760" s="303" t="s">
        <v>232</v>
      </c>
    </row>
    <row r="25761" spans="119:119" x14ac:dyDescent="0.2">
      <c r="DO25761" s="303" t="s">
        <v>232</v>
      </c>
    </row>
    <row r="25762" spans="119:119" x14ac:dyDescent="0.2">
      <c r="DO25762" s="303" t="s">
        <v>232</v>
      </c>
    </row>
    <row r="25763" spans="119:119" x14ac:dyDescent="0.2">
      <c r="DO25763" s="303" t="s">
        <v>232</v>
      </c>
    </row>
    <row r="25764" spans="119:119" x14ac:dyDescent="0.2">
      <c r="DO25764" s="303" t="s">
        <v>232</v>
      </c>
    </row>
    <row r="25765" spans="119:119" x14ac:dyDescent="0.2">
      <c r="DO25765" s="303" t="s">
        <v>232</v>
      </c>
    </row>
    <row r="25766" spans="119:119" x14ac:dyDescent="0.2">
      <c r="DO25766" s="303" t="s">
        <v>232</v>
      </c>
    </row>
    <row r="25767" spans="119:119" x14ac:dyDescent="0.2">
      <c r="DO25767" s="303" t="s">
        <v>232</v>
      </c>
    </row>
    <row r="25768" spans="119:119" x14ac:dyDescent="0.2">
      <c r="DO25768" s="303" t="s">
        <v>232</v>
      </c>
    </row>
    <row r="25769" spans="119:119" x14ac:dyDescent="0.2">
      <c r="DO25769" s="303" t="s">
        <v>232</v>
      </c>
    </row>
    <row r="25770" spans="119:119" x14ac:dyDescent="0.2">
      <c r="DO25770" s="303" t="s">
        <v>232</v>
      </c>
    </row>
    <row r="25771" spans="119:119" x14ac:dyDescent="0.2">
      <c r="DO25771" s="303" t="s">
        <v>232</v>
      </c>
    </row>
    <row r="25772" spans="119:119" x14ac:dyDescent="0.2">
      <c r="DO25772" s="303" t="s">
        <v>232</v>
      </c>
    </row>
    <row r="25773" spans="119:119" x14ac:dyDescent="0.2">
      <c r="DO25773" s="303" t="s">
        <v>232</v>
      </c>
    </row>
    <row r="25774" spans="119:119" x14ac:dyDescent="0.2">
      <c r="DO25774" s="303" t="s">
        <v>232</v>
      </c>
    </row>
    <row r="25775" spans="119:119" x14ac:dyDescent="0.2">
      <c r="DO25775" s="303" t="s">
        <v>232</v>
      </c>
    </row>
    <row r="25776" spans="119:119" x14ac:dyDescent="0.2">
      <c r="DO25776" s="303" t="s">
        <v>232</v>
      </c>
    </row>
    <row r="25777" spans="119:119" x14ac:dyDescent="0.2">
      <c r="DO25777" s="303" t="s">
        <v>232</v>
      </c>
    </row>
    <row r="25778" spans="119:119" x14ac:dyDescent="0.2">
      <c r="DO25778" s="303" t="s">
        <v>232</v>
      </c>
    </row>
    <row r="25779" spans="119:119" x14ac:dyDescent="0.2">
      <c r="DO25779" s="303" t="s">
        <v>232</v>
      </c>
    </row>
    <row r="25780" spans="119:119" x14ac:dyDescent="0.2">
      <c r="DO25780" s="303" t="s">
        <v>232</v>
      </c>
    </row>
    <row r="25781" spans="119:119" x14ac:dyDescent="0.2">
      <c r="DO25781" s="303" t="s">
        <v>232</v>
      </c>
    </row>
    <row r="25782" spans="119:119" x14ac:dyDescent="0.2">
      <c r="DO25782" s="303" t="s">
        <v>232</v>
      </c>
    </row>
    <row r="25783" spans="119:119" x14ac:dyDescent="0.2">
      <c r="DO25783" s="303" t="s">
        <v>232</v>
      </c>
    </row>
    <row r="25784" spans="119:119" x14ac:dyDescent="0.2">
      <c r="DO25784" s="303" t="s">
        <v>232</v>
      </c>
    </row>
    <row r="25785" spans="119:119" x14ac:dyDescent="0.2">
      <c r="DO25785" s="303" t="s">
        <v>232</v>
      </c>
    </row>
    <row r="25786" spans="119:119" x14ac:dyDescent="0.2">
      <c r="DO25786" s="303" t="s">
        <v>232</v>
      </c>
    </row>
    <row r="25787" spans="119:119" x14ac:dyDescent="0.2">
      <c r="DO25787" s="303" t="s">
        <v>232</v>
      </c>
    </row>
    <row r="25788" spans="119:119" x14ac:dyDescent="0.2">
      <c r="DO25788" s="303" t="s">
        <v>232</v>
      </c>
    </row>
    <row r="25789" spans="119:119" x14ac:dyDescent="0.2">
      <c r="DO25789" s="303" t="s">
        <v>232</v>
      </c>
    </row>
    <row r="25790" spans="119:119" x14ac:dyDescent="0.2">
      <c r="DO25790" s="303" t="s">
        <v>232</v>
      </c>
    </row>
    <row r="25791" spans="119:119" x14ac:dyDescent="0.2">
      <c r="DO25791" s="303" t="s">
        <v>232</v>
      </c>
    </row>
    <row r="25792" spans="119:119" x14ac:dyDescent="0.2">
      <c r="DO25792" s="303" t="s">
        <v>232</v>
      </c>
    </row>
    <row r="25793" spans="119:119" x14ac:dyDescent="0.2">
      <c r="DO25793" s="303" t="s">
        <v>232</v>
      </c>
    </row>
    <row r="25794" spans="119:119" x14ac:dyDescent="0.2">
      <c r="DO25794" s="303" t="s">
        <v>232</v>
      </c>
    </row>
    <row r="25795" spans="119:119" x14ac:dyDescent="0.2">
      <c r="DO25795" s="303" t="s">
        <v>232</v>
      </c>
    </row>
    <row r="25796" spans="119:119" x14ac:dyDescent="0.2">
      <c r="DO25796" s="303" t="s">
        <v>232</v>
      </c>
    </row>
    <row r="25797" spans="119:119" x14ac:dyDescent="0.2">
      <c r="DO25797" s="303" t="s">
        <v>232</v>
      </c>
    </row>
    <row r="25798" spans="119:119" x14ac:dyDescent="0.2">
      <c r="DO25798" s="303" t="s">
        <v>232</v>
      </c>
    </row>
    <row r="25799" spans="119:119" x14ac:dyDescent="0.2">
      <c r="DO25799" s="303" t="s">
        <v>232</v>
      </c>
    </row>
    <row r="25800" spans="119:119" x14ac:dyDescent="0.2">
      <c r="DO25800" s="303" t="s">
        <v>232</v>
      </c>
    </row>
    <row r="25801" spans="119:119" x14ac:dyDescent="0.2">
      <c r="DO25801" s="303" t="s">
        <v>232</v>
      </c>
    </row>
    <row r="25802" spans="119:119" x14ac:dyDescent="0.2">
      <c r="DO25802" s="303" t="s">
        <v>232</v>
      </c>
    </row>
    <row r="25803" spans="119:119" x14ac:dyDescent="0.2">
      <c r="DO25803" s="303" t="s">
        <v>232</v>
      </c>
    </row>
    <row r="25804" spans="119:119" x14ac:dyDescent="0.2">
      <c r="DO25804" s="303" t="s">
        <v>232</v>
      </c>
    </row>
    <row r="25805" spans="119:119" x14ac:dyDescent="0.2">
      <c r="DO25805" s="303" t="s">
        <v>232</v>
      </c>
    </row>
    <row r="25806" spans="119:119" x14ac:dyDescent="0.2">
      <c r="DO25806" s="303" t="s">
        <v>232</v>
      </c>
    </row>
    <row r="25807" spans="119:119" x14ac:dyDescent="0.2">
      <c r="DO25807" s="303" t="s">
        <v>232</v>
      </c>
    </row>
    <row r="25808" spans="119:119" x14ac:dyDescent="0.2">
      <c r="DO25808" s="303" t="s">
        <v>232</v>
      </c>
    </row>
    <row r="25809" spans="119:119" x14ac:dyDescent="0.2">
      <c r="DO25809" s="303" t="s">
        <v>232</v>
      </c>
    </row>
    <row r="25810" spans="119:119" x14ac:dyDescent="0.2">
      <c r="DO25810" s="303" t="s">
        <v>232</v>
      </c>
    </row>
    <row r="25811" spans="119:119" x14ac:dyDescent="0.2">
      <c r="DO25811" s="303" t="s">
        <v>232</v>
      </c>
    </row>
    <row r="25812" spans="119:119" x14ac:dyDescent="0.2">
      <c r="DO25812" s="303" t="s">
        <v>232</v>
      </c>
    </row>
    <row r="25813" spans="119:119" x14ac:dyDescent="0.2">
      <c r="DO25813" s="303" t="s">
        <v>232</v>
      </c>
    </row>
    <row r="25814" spans="119:119" x14ac:dyDescent="0.2">
      <c r="DO25814" s="303" t="s">
        <v>232</v>
      </c>
    </row>
    <row r="25815" spans="119:119" x14ac:dyDescent="0.2">
      <c r="DO25815" s="303" t="s">
        <v>232</v>
      </c>
    </row>
    <row r="25816" spans="119:119" x14ac:dyDescent="0.2">
      <c r="DO25816" s="303" t="s">
        <v>232</v>
      </c>
    </row>
    <row r="25817" spans="119:119" x14ac:dyDescent="0.2">
      <c r="DO25817" s="303" t="s">
        <v>232</v>
      </c>
    </row>
    <row r="25818" spans="119:119" x14ac:dyDescent="0.2">
      <c r="DO25818" s="303" t="s">
        <v>232</v>
      </c>
    </row>
    <row r="25819" spans="119:119" x14ac:dyDescent="0.2">
      <c r="DO25819" s="303" t="s">
        <v>232</v>
      </c>
    </row>
    <row r="25820" spans="119:119" x14ac:dyDescent="0.2">
      <c r="DO25820" s="303" t="s">
        <v>232</v>
      </c>
    </row>
    <row r="25821" spans="119:119" x14ac:dyDescent="0.2">
      <c r="DO25821" s="303" t="s">
        <v>232</v>
      </c>
    </row>
    <row r="25822" spans="119:119" x14ac:dyDescent="0.2">
      <c r="DO25822" s="303" t="s">
        <v>232</v>
      </c>
    </row>
    <row r="25823" spans="119:119" x14ac:dyDescent="0.2">
      <c r="DO25823" s="303" t="s">
        <v>232</v>
      </c>
    </row>
    <row r="25824" spans="119:119" x14ac:dyDescent="0.2">
      <c r="DO25824" s="303" t="s">
        <v>232</v>
      </c>
    </row>
    <row r="25825" spans="119:119" x14ac:dyDescent="0.2">
      <c r="DO25825" s="303" t="s">
        <v>232</v>
      </c>
    </row>
    <row r="25826" spans="119:119" x14ac:dyDescent="0.2">
      <c r="DO25826" s="303" t="s">
        <v>232</v>
      </c>
    </row>
    <row r="25827" spans="119:119" x14ac:dyDescent="0.2">
      <c r="DO25827" s="303" t="s">
        <v>232</v>
      </c>
    </row>
    <row r="25828" spans="119:119" x14ac:dyDescent="0.2">
      <c r="DO25828" s="303" t="s">
        <v>232</v>
      </c>
    </row>
    <row r="25829" spans="119:119" x14ac:dyDescent="0.2">
      <c r="DO25829" s="303" t="s">
        <v>232</v>
      </c>
    </row>
    <row r="25830" spans="119:119" x14ac:dyDescent="0.2">
      <c r="DO25830" s="303" t="s">
        <v>232</v>
      </c>
    </row>
    <row r="25831" spans="119:119" x14ac:dyDescent="0.2">
      <c r="DO25831" s="303" t="s">
        <v>232</v>
      </c>
    </row>
    <row r="25832" spans="119:119" x14ac:dyDescent="0.2">
      <c r="DO25832" s="303" t="s">
        <v>232</v>
      </c>
    </row>
    <row r="25833" spans="119:119" x14ac:dyDescent="0.2">
      <c r="DO25833" s="303" t="s">
        <v>232</v>
      </c>
    </row>
    <row r="25834" spans="119:119" x14ac:dyDescent="0.2">
      <c r="DO25834" s="303" t="s">
        <v>232</v>
      </c>
    </row>
    <row r="25835" spans="119:119" x14ac:dyDescent="0.2">
      <c r="DO25835" s="303" t="s">
        <v>232</v>
      </c>
    </row>
    <row r="25836" spans="119:119" x14ac:dyDescent="0.2">
      <c r="DO25836" s="303" t="s">
        <v>232</v>
      </c>
    </row>
    <row r="25837" spans="119:119" x14ac:dyDescent="0.2">
      <c r="DO25837" s="303" t="s">
        <v>232</v>
      </c>
    </row>
    <row r="25838" spans="119:119" x14ac:dyDescent="0.2">
      <c r="DO25838" s="303" t="s">
        <v>232</v>
      </c>
    </row>
    <row r="25839" spans="119:119" x14ac:dyDescent="0.2">
      <c r="DO25839" s="303" t="s">
        <v>232</v>
      </c>
    </row>
    <row r="25840" spans="119:119" x14ac:dyDescent="0.2">
      <c r="DO25840" s="303" t="s">
        <v>232</v>
      </c>
    </row>
    <row r="25841" spans="119:119" x14ac:dyDescent="0.2">
      <c r="DO25841" s="303" t="s">
        <v>232</v>
      </c>
    </row>
    <row r="25842" spans="119:119" x14ac:dyDescent="0.2">
      <c r="DO25842" s="303" t="s">
        <v>232</v>
      </c>
    </row>
    <row r="25843" spans="119:119" x14ac:dyDescent="0.2">
      <c r="DO25843" s="303" t="s">
        <v>232</v>
      </c>
    </row>
    <row r="25844" spans="119:119" x14ac:dyDescent="0.2">
      <c r="DO25844" s="303" t="s">
        <v>232</v>
      </c>
    </row>
    <row r="25845" spans="119:119" x14ac:dyDescent="0.2">
      <c r="DO25845" s="303" t="s">
        <v>232</v>
      </c>
    </row>
    <row r="25846" spans="119:119" x14ac:dyDescent="0.2">
      <c r="DO25846" s="303" t="s">
        <v>232</v>
      </c>
    </row>
    <row r="25847" spans="119:119" x14ac:dyDescent="0.2">
      <c r="DO25847" s="303" t="s">
        <v>232</v>
      </c>
    </row>
    <row r="25848" spans="119:119" x14ac:dyDescent="0.2">
      <c r="DO25848" s="303" t="s">
        <v>232</v>
      </c>
    </row>
    <row r="25849" spans="119:119" x14ac:dyDescent="0.2">
      <c r="DO25849" s="303" t="s">
        <v>232</v>
      </c>
    </row>
    <row r="25850" spans="119:119" x14ac:dyDescent="0.2">
      <c r="DO25850" s="303" t="s">
        <v>232</v>
      </c>
    </row>
    <row r="25851" spans="119:119" x14ac:dyDescent="0.2">
      <c r="DO25851" s="303" t="s">
        <v>232</v>
      </c>
    </row>
    <row r="25852" spans="119:119" x14ac:dyDescent="0.2">
      <c r="DO25852" s="303" t="s">
        <v>232</v>
      </c>
    </row>
    <row r="25853" spans="119:119" x14ac:dyDescent="0.2">
      <c r="DO25853" s="303" t="s">
        <v>232</v>
      </c>
    </row>
    <row r="25854" spans="119:119" x14ac:dyDescent="0.2">
      <c r="DO25854" s="303" t="s">
        <v>232</v>
      </c>
    </row>
    <row r="25855" spans="119:119" x14ac:dyDescent="0.2">
      <c r="DO25855" s="303" t="s">
        <v>232</v>
      </c>
    </row>
    <row r="25856" spans="119:119" x14ac:dyDescent="0.2">
      <c r="DO25856" s="303" t="s">
        <v>232</v>
      </c>
    </row>
    <row r="25857" spans="119:119" x14ac:dyDescent="0.2">
      <c r="DO25857" s="303" t="s">
        <v>232</v>
      </c>
    </row>
    <row r="25858" spans="119:119" x14ac:dyDescent="0.2">
      <c r="DO25858" s="303" t="s">
        <v>232</v>
      </c>
    </row>
    <row r="25859" spans="119:119" x14ac:dyDescent="0.2">
      <c r="DO25859" s="303" t="s">
        <v>232</v>
      </c>
    </row>
    <row r="25860" spans="119:119" x14ac:dyDescent="0.2">
      <c r="DO25860" s="303" t="s">
        <v>232</v>
      </c>
    </row>
    <row r="25861" spans="119:119" x14ac:dyDescent="0.2">
      <c r="DO25861" s="303" t="s">
        <v>232</v>
      </c>
    </row>
    <row r="25862" spans="119:119" x14ac:dyDescent="0.2">
      <c r="DO25862" s="303" t="s">
        <v>232</v>
      </c>
    </row>
    <row r="25863" spans="119:119" x14ac:dyDescent="0.2">
      <c r="DO25863" s="303" t="s">
        <v>232</v>
      </c>
    </row>
    <row r="25864" spans="119:119" x14ac:dyDescent="0.2">
      <c r="DO25864" s="303" t="s">
        <v>232</v>
      </c>
    </row>
    <row r="25865" spans="119:119" x14ac:dyDescent="0.2">
      <c r="DO25865" s="303" t="s">
        <v>232</v>
      </c>
    </row>
    <row r="25866" spans="119:119" x14ac:dyDescent="0.2">
      <c r="DO25866" s="303" t="s">
        <v>232</v>
      </c>
    </row>
    <row r="25867" spans="119:119" x14ac:dyDescent="0.2">
      <c r="DO25867" s="303" t="s">
        <v>232</v>
      </c>
    </row>
    <row r="25868" spans="119:119" x14ac:dyDescent="0.2">
      <c r="DO25868" s="303" t="s">
        <v>232</v>
      </c>
    </row>
    <row r="25869" spans="119:119" x14ac:dyDescent="0.2">
      <c r="DO25869" s="303" t="s">
        <v>232</v>
      </c>
    </row>
    <row r="25870" spans="119:119" x14ac:dyDescent="0.2">
      <c r="DO25870" s="303" t="s">
        <v>232</v>
      </c>
    </row>
    <row r="25871" spans="119:119" x14ac:dyDescent="0.2">
      <c r="DO25871" s="303" t="s">
        <v>232</v>
      </c>
    </row>
    <row r="25872" spans="119:119" x14ac:dyDescent="0.2">
      <c r="DO25872" s="303" t="s">
        <v>232</v>
      </c>
    </row>
    <row r="25873" spans="119:119" x14ac:dyDescent="0.2">
      <c r="DO25873" s="303" t="s">
        <v>232</v>
      </c>
    </row>
    <row r="25874" spans="119:119" x14ac:dyDescent="0.2">
      <c r="DO25874" s="303" t="s">
        <v>232</v>
      </c>
    </row>
    <row r="25875" spans="119:119" x14ac:dyDescent="0.2">
      <c r="DO25875" s="303" t="s">
        <v>232</v>
      </c>
    </row>
    <row r="25876" spans="119:119" x14ac:dyDescent="0.2">
      <c r="DO25876" s="303" t="s">
        <v>232</v>
      </c>
    </row>
    <row r="25877" spans="119:119" x14ac:dyDescent="0.2">
      <c r="DO25877" s="303" t="s">
        <v>232</v>
      </c>
    </row>
    <row r="25878" spans="119:119" x14ac:dyDescent="0.2">
      <c r="DO25878" s="303" t="s">
        <v>232</v>
      </c>
    </row>
    <row r="25879" spans="119:119" x14ac:dyDescent="0.2">
      <c r="DO25879" s="303" t="s">
        <v>232</v>
      </c>
    </row>
    <row r="25880" spans="119:119" x14ac:dyDescent="0.2">
      <c r="DO25880" s="303" t="s">
        <v>232</v>
      </c>
    </row>
    <row r="25881" spans="119:119" x14ac:dyDescent="0.2">
      <c r="DO25881" s="303" t="s">
        <v>232</v>
      </c>
    </row>
    <row r="25882" spans="119:119" x14ac:dyDescent="0.2">
      <c r="DO25882" s="303" t="s">
        <v>232</v>
      </c>
    </row>
    <row r="25883" spans="119:119" x14ac:dyDescent="0.2">
      <c r="DO25883" s="303" t="s">
        <v>232</v>
      </c>
    </row>
    <row r="25884" spans="119:119" x14ac:dyDescent="0.2">
      <c r="DO25884" s="303" t="s">
        <v>232</v>
      </c>
    </row>
    <row r="25885" spans="119:119" x14ac:dyDescent="0.2">
      <c r="DO25885" s="303" t="s">
        <v>232</v>
      </c>
    </row>
    <row r="25886" spans="119:119" x14ac:dyDescent="0.2">
      <c r="DO25886" s="303" t="s">
        <v>232</v>
      </c>
    </row>
    <row r="25887" spans="119:119" x14ac:dyDescent="0.2">
      <c r="DO25887" s="303" t="s">
        <v>232</v>
      </c>
    </row>
    <row r="25888" spans="119:119" x14ac:dyDescent="0.2">
      <c r="DO25888" s="303" t="s">
        <v>232</v>
      </c>
    </row>
    <row r="25889" spans="119:119" x14ac:dyDescent="0.2">
      <c r="DO25889" s="303" t="s">
        <v>232</v>
      </c>
    </row>
    <row r="25890" spans="119:119" x14ac:dyDescent="0.2">
      <c r="DO25890" s="303" t="s">
        <v>232</v>
      </c>
    </row>
    <row r="25891" spans="119:119" x14ac:dyDescent="0.2">
      <c r="DO25891" s="303" t="s">
        <v>232</v>
      </c>
    </row>
    <row r="25892" spans="119:119" x14ac:dyDescent="0.2">
      <c r="DO25892" s="303" t="s">
        <v>232</v>
      </c>
    </row>
    <row r="25893" spans="119:119" x14ac:dyDescent="0.2">
      <c r="DO25893" s="303" t="s">
        <v>232</v>
      </c>
    </row>
    <row r="25894" spans="119:119" x14ac:dyDescent="0.2">
      <c r="DO25894" s="303" t="s">
        <v>232</v>
      </c>
    </row>
    <row r="25895" spans="119:119" x14ac:dyDescent="0.2">
      <c r="DO25895" s="303" t="s">
        <v>232</v>
      </c>
    </row>
    <row r="25896" spans="119:119" x14ac:dyDescent="0.2">
      <c r="DO25896" s="303" t="s">
        <v>232</v>
      </c>
    </row>
    <row r="25897" spans="119:119" x14ac:dyDescent="0.2">
      <c r="DO25897" s="303" t="s">
        <v>232</v>
      </c>
    </row>
    <row r="25898" spans="119:119" x14ac:dyDescent="0.2">
      <c r="DO25898" s="303" t="s">
        <v>232</v>
      </c>
    </row>
    <row r="25899" spans="119:119" x14ac:dyDescent="0.2">
      <c r="DO25899" s="303" t="s">
        <v>232</v>
      </c>
    </row>
    <row r="25900" spans="119:119" x14ac:dyDescent="0.2">
      <c r="DO25900" s="303" t="s">
        <v>232</v>
      </c>
    </row>
    <row r="25901" spans="119:119" x14ac:dyDescent="0.2">
      <c r="DO25901" s="303" t="s">
        <v>232</v>
      </c>
    </row>
    <row r="25902" spans="119:119" x14ac:dyDescent="0.2">
      <c r="DO25902" s="303" t="s">
        <v>232</v>
      </c>
    </row>
    <row r="25903" spans="119:119" x14ac:dyDescent="0.2">
      <c r="DO25903" s="303" t="s">
        <v>232</v>
      </c>
    </row>
    <row r="25904" spans="119:119" x14ac:dyDescent="0.2">
      <c r="DO25904" s="303" t="s">
        <v>232</v>
      </c>
    </row>
    <row r="25905" spans="119:119" x14ac:dyDescent="0.2">
      <c r="DO25905" s="303" t="s">
        <v>232</v>
      </c>
    </row>
    <row r="25906" spans="119:119" x14ac:dyDescent="0.2">
      <c r="DO25906" s="303" t="s">
        <v>232</v>
      </c>
    </row>
    <row r="25907" spans="119:119" x14ac:dyDescent="0.2">
      <c r="DO25907" s="303" t="s">
        <v>232</v>
      </c>
    </row>
    <row r="25908" spans="119:119" x14ac:dyDescent="0.2">
      <c r="DO25908" s="303" t="s">
        <v>232</v>
      </c>
    </row>
    <row r="25909" spans="119:119" x14ac:dyDescent="0.2">
      <c r="DO25909" s="303" t="s">
        <v>232</v>
      </c>
    </row>
    <row r="25910" spans="119:119" x14ac:dyDescent="0.2">
      <c r="DO25910" s="303" t="s">
        <v>232</v>
      </c>
    </row>
    <row r="25911" spans="119:119" x14ac:dyDescent="0.2">
      <c r="DO25911" s="303" t="s">
        <v>232</v>
      </c>
    </row>
    <row r="25912" spans="119:119" x14ac:dyDescent="0.2">
      <c r="DO25912" s="303" t="s">
        <v>232</v>
      </c>
    </row>
    <row r="25913" spans="119:119" x14ac:dyDescent="0.2">
      <c r="DO25913" s="303" t="s">
        <v>232</v>
      </c>
    </row>
    <row r="25914" spans="119:119" x14ac:dyDescent="0.2">
      <c r="DO25914" s="303" t="s">
        <v>232</v>
      </c>
    </row>
    <row r="25915" spans="119:119" x14ac:dyDescent="0.2">
      <c r="DO25915" s="303" t="s">
        <v>232</v>
      </c>
    </row>
    <row r="25916" spans="119:119" x14ac:dyDescent="0.2">
      <c r="DO25916" s="303" t="s">
        <v>232</v>
      </c>
    </row>
    <row r="25917" spans="119:119" x14ac:dyDescent="0.2">
      <c r="DO25917" s="303" t="s">
        <v>232</v>
      </c>
    </row>
    <row r="25918" spans="119:119" x14ac:dyDescent="0.2">
      <c r="DO25918" s="303" t="s">
        <v>232</v>
      </c>
    </row>
    <row r="25919" spans="119:119" x14ac:dyDescent="0.2">
      <c r="DO25919" s="303" t="s">
        <v>232</v>
      </c>
    </row>
    <row r="25920" spans="119:119" x14ac:dyDescent="0.2">
      <c r="DO25920" s="303" t="s">
        <v>232</v>
      </c>
    </row>
    <row r="25921" spans="119:119" x14ac:dyDescent="0.2">
      <c r="DO25921" s="303" t="s">
        <v>232</v>
      </c>
    </row>
    <row r="25922" spans="119:119" x14ac:dyDescent="0.2">
      <c r="DO25922" s="303" t="s">
        <v>232</v>
      </c>
    </row>
    <row r="25923" spans="119:119" x14ac:dyDescent="0.2">
      <c r="DO25923" s="303" t="s">
        <v>232</v>
      </c>
    </row>
    <row r="25924" spans="119:119" x14ac:dyDescent="0.2">
      <c r="DO25924" s="303" t="s">
        <v>232</v>
      </c>
    </row>
    <row r="25925" spans="119:119" x14ac:dyDescent="0.2">
      <c r="DO25925" s="303" t="s">
        <v>232</v>
      </c>
    </row>
    <row r="25926" spans="119:119" x14ac:dyDescent="0.2">
      <c r="DO25926" s="303" t="s">
        <v>232</v>
      </c>
    </row>
    <row r="25927" spans="119:119" x14ac:dyDescent="0.2">
      <c r="DO25927" s="303" t="s">
        <v>232</v>
      </c>
    </row>
    <row r="25928" spans="119:119" x14ac:dyDescent="0.2">
      <c r="DO25928" s="303" t="s">
        <v>232</v>
      </c>
    </row>
    <row r="25929" spans="119:119" x14ac:dyDescent="0.2">
      <c r="DO25929" s="303" t="s">
        <v>232</v>
      </c>
    </row>
    <row r="25930" spans="119:119" x14ac:dyDescent="0.2">
      <c r="DO25930" s="303" t="s">
        <v>232</v>
      </c>
    </row>
    <row r="25931" spans="119:119" x14ac:dyDescent="0.2">
      <c r="DO25931" s="303" t="s">
        <v>232</v>
      </c>
    </row>
    <row r="25932" spans="119:119" x14ac:dyDescent="0.2">
      <c r="DO25932" s="303" t="s">
        <v>232</v>
      </c>
    </row>
    <row r="25933" spans="119:119" x14ac:dyDescent="0.2">
      <c r="DO25933" s="303" t="s">
        <v>232</v>
      </c>
    </row>
    <row r="25934" spans="119:119" x14ac:dyDescent="0.2">
      <c r="DO25934" s="303" t="s">
        <v>232</v>
      </c>
    </row>
    <row r="25935" spans="119:119" x14ac:dyDescent="0.2">
      <c r="DO25935" s="303" t="s">
        <v>232</v>
      </c>
    </row>
    <row r="25936" spans="119:119" x14ac:dyDescent="0.2">
      <c r="DO25936" s="303" t="s">
        <v>232</v>
      </c>
    </row>
    <row r="25937" spans="119:119" x14ac:dyDescent="0.2">
      <c r="DO25937" s="303" t="s">
        <v>232</v>
      </c>
    </row>
    <row r="25938" spans="119:119" x14ac:dyDescent="0.2">
      <c r="DO25938" s="303" t="s">
        <v>232</v>
      </c>
    </row>
    <row r="25939" spans="119:119" x14ac:dyDescent="0.2">
      <c r="DO25939" s="303" t="s">
        <v>232</v>
      </c>
    </row>
    <row r="25940" spans="119:119" x14ac:dyDescent="0.2">
      <c r="DO25940" s="303" t="s">
        <v>232</v>
      </c>
    </row>
    <row r="25941" spans="119:119" x14ac:dyDescent="0.2">
      <c r="DO25941" s="303" t="s">
        <v>232</v>
      </c>
    </row>
    <row r="25942" spans="119:119" x14ac:dyDescent="0.2">
      <c r="DO25942" s="303" t="s">
        <v>232</v>
      </c>
    </row>
    <row r="25943" spans="119:119" x14ac:dyDescent="0.2">
      <c r="DO25943" s="303" t="s">
        <v>232</v>
      </c>
    </row>
    <row r="25944" spans="119:119" x14ac:dyDescent="0.2">
      <c r="DO25944" s="303" t="s">
        <v>232</v>
      </c>
    </row>
    <row r="25945" spans="119:119" x14ac:dyDescent="0.2">
      <c r="DO25945" s="303" t="s">
        <v>232</v>
      </c>
    </row>
    <row r="25946" spans="119:119" x14ac:dyDescent="0.2">
      <c r="DO25946" s="303" t="s">
        <v>232</v>
      </c>
    </row>
    <row r="25947" spans="119:119" x14ac:dyDescent="0.2">
      <c r="DO25947" s="303" t="s">
        <v>232</v>
      </c>
    </row>
    <row r="25948" spans="119:119" x14ac:dyDescent="0.2">
      <c r="DO25948" s="303" t="s">
        <v>232</v>
      </c>
    </row>
    <row r="25949" spans="119:119" x14ac:dyDescent="0.2">
      <c r="DO25949" s="303" t="s">
        <v>232</v>
      </c>
    </row>
    <row r="25950" spans="119:119" x14ac:dyDescent="0.2">
      <c r="DO25950" s="303" t="s">
        <v>232</v>
      </c>
    </row>
    <row r="25951" spans="119:119" x14ac:dyDescent="0.2">
      <c r="DO25951" s="303" t="s">
        <v>232</v>
      </c>
    </row>
    <row r="25952" spans="119:119" x14ac:dyDescent="0.2">
      <c r="DO25952" s="303" t="s">
        <v>232</v>
      </c>
    </row>
    <row r="25953" spans="119:119" x14ac:dyDescent="0.2">
      <c r="DO25953" s="303" t="s">
        <v>232</v>
      </c>
    </row>
    <row r="25954" spans="119:119" x14ac:dyDescent="0.2">
      <c r="DO25954" s="303" t="s">
        <v>232</v>
      </c>
    </row>
    <row r="25955" spans="119:119" x14ac:dyDescent="0.2">
      <c r="DO25955" s="303" t="s">
        <v>232</v>
      </c>
    </row>
    <row r="25956" spans="119:119" x14ac:dyDescent="0.2">
      <c r="DO25956" s="303" t="s">
        <v>232</v>
      </c>
    </row>
    <row r="25957" spans="119:119" x14ac:dyDescent="0.2">
      <c r="DO25957" s="303" t="s">
        <v>232</v>
      </c>
    </row>
    <row r="25958" spans="119:119" x14ac:dyDescent="0.2">
      <c r="DO25958" s="303" t="s">
        <v>232</v>
      </c>
    </row>
    <row r="25959" spans="119:119" x14ac:dyDescent="0.2">
      <c r="DO25959" s="303" t="s">
        <v>232</v>
      </c>
    </row>
    <row r="25960" spans="119:119" x14ac:dyDescent="0.2">
      <c r="DO25960" s="303" t="s">
        <v>232</v>
      </c>
    </row>
    <row r="25961" spans="119:119" x14ac:dyDescent="0.2">
      <c r="DO25961" s="303" t="s">
        <v>232</v>
      </c>
    </row>
    <row r="25962" spans="119:119" x14ac:dyDescent="0.2">
      <c r="DO25962" s="303" t="s">
        <v>232</v>
      </c>
    </row>
    <row r="25963" spans="119:119" x14ac:dyDescent="0.2">
      <c r="DO25963" s="303" t="s">
        <v>232</v>
      </c>
    </row>
    <row r="25964" spans="119:119" x14ac:dyDescent="0.2">
      <c r="DO25964" s="303" t="s">
        <v>232</v>
      </c>
    </row>
    <row r="25965" spans="119:119" x14ac:dyDescent="0.2">
      <c r="DO25965" s="303" t="s">
        <v>232</v>
      </c>
    </row>
    <row r="25966" spans="119:119" x14ac:dyDescent="0.2">
      <c r="DO25966" s="303" t="s">
        <v>232</v>
      </c>
    </row>
    <row r="25967" spans="119:119" x14ac:dyDescent="0.2">
      <c r="DO25967" s="303" t="s">
        <v>232</v>
      </c>
    </row>
    <row r="25968" spans="119:119" x14ac:dyDescent="0.2">
      <c r="DO25968" s="303" t="s">
        <v>232</v>
      </c>
    </row>
    <row r="25969" spans="119:119" x14ac:dyDescent="0.2">
      <c r="DO25969" s="303" t="s">
        <v>232</v>
      </c>
    </row>
    <row r="25970" spans="119:119" x14ac:dyDescent="0.2">
      <c r="DO25970" s="303" t="s">
        <v>232</v>
      </c>
    </row>
    <row r="25971" spans="119:119" x14ac:dyDescent="0.2">
      <c r="DO25971" s="303" t="s">
        <v>232</v>
      </c>
    </row>
    <row r="25972" spans="119:119" x14ac:dyDescent="0.2">
      <c r="DO25972" s="303" t="s">
        <v>232</v>
      </c>
    </row>
    <row r="25973" spans="119:119" x14ac:dyDescent="0.2">
      <c r="DO25973" s="303" t="s">
        <v>232</v>
      </c>
    </row>
    <row r="25974" spans="119:119" x14ac:dyDescent="0.2">
      <c r="DO25974" s="303" t="s">
        <v>232</v>
      </c>
    </row>
    <row r="25975" spans="119:119" x14ac:dyDescent="0.2">
      <c r="DO25975" s="303" t="s">
        <v>232</v>
      </c>
    </row>
    <row r="25976" spans="119:119" x14ac:dyDescent="0.2">
      <c r="DO25976" s="303" t="s">
        <v>232</v>
      </c>
    </row>
    <row r="25977" spans="119:119" x14ac:dyDescent="0.2">
      <c r="DO25977" s="303" t="s">
        <v>232</v>
      </c>
    </row>
    <row r="25978" spans="119:119" x14ac:dyDescent="0.2">
      <c r="DO25978" s="303" t="s">
        <v>232</v>
      </c>
    </row>
    <row r="25979" spans="119:119" x14ac:dyDescent="0.2">
      <c r="DO25979" s="303" t="s">
        <v>232</v>
      </c>
    </row>
    <row r="25980" spans="119:119" x14ac:dyDescent="0.2">
      <c r="DO25980" s="303" t="s">
        <v>232</v>
      </c>
    </row>
    <row r="25981" spans="119:119" x14ac:dyDescent="0.2">
      <c r="DO25981" s="303" t="s">
        <v>232</v>
      </c>
    </row>
    <row r="25982" spans="119:119" x14ac:dyDescent="0.2">
      <c r="DO25982" s="303" t="s">
        <v>232</v>
      </c>
    </row>
    <row r="25983" spans="119:119" x14ac:dyDescent="0.2">
      <c r="DO25983" s="303" t="s">
        <v>232</v>
      </c>
    </row>
    <row r="25984" spans="119:119" x14ac:dyDescent="0.2">
      <c r="DO25984" s="303" t="s">
        <v>232</v>
      </c>
    </row>
    <row r="25985" spans="119:119" x14ac:dyDescent="0.2">
      <c r="DO25985" s="303" t="s">
        <v>232</v>
      </c>
    </row>
    <row r="25986" spans="119:119" x14ac:dyDescent="0.2">
      <c r="DO25986" s="303" t="s">
        <v>232</v>
      </c>
    </row>
    <row r="25987" spans="119:119" x14ac:dyDescent="0.2">
      <c r="DO25987" s="303" t="s">
        <v>232</v>
      </c>
    </row>
    <row r="25988" spans="119:119" x14ac:dyDescent="0.2">
      <c r="DO25988" s="303" t="s">
        <v>232</v>
      </c>
    </row>
    <row r="25989" spans="119:119" x14ac:dyDescent="0.2">
      <c r="DO25989" s="303" t="s">
        <v>232</v>
      </c>
    </row>
    <row r="25990" spans="119:119" x14ac:dyDescent="0.2">
      <c r="DO25990" s="303" t="s">
        <v>232</v>
      </c>
    </row>
    <row r="25991" spans="119:119" x14ac:dyDescent="0.2">
      <c r="DO25991" s="303" t="s">
        <v>232</v>
      </c>
    </row>
    <row r="25992" spans="119:119" x14ac:dyDescent="0.2">
      <c r="DO25992" s="303" t="s">
        <v>232</v>
      </c>
    </row>
    <row r="25993" spans="119:119" x14ac:dyDescent="0.2">
      <c r="DO25993" s="303" t="s">
        <v>232</v>
      </c>
    </row>
    <row r="25994" spans="119:119" x14ac:dyDescent="0.2">
      <c r="DO25994" s="303" t="s">
        <v>232</v>
      </c>
    </row>
    <row r="25995" spans="119:119" x14ac:dyDescent="0.2">
      <c r="DO25995" s="303" t="s">
        <v>232</v>
      </c>
    </row>
    <row r="25996" spans="119:119" x14ac:dyDescent="0.2">
      <c r="DO25996" s="303" t="s">
        <v>232</v>
      </c>
    </row>
    <row r="25997" spans="119:119" x14ac:dyDescent="0.2">
      <c r="DO25997" s="303" t="s">
        <v>232</v>
      </c>
    </row>
    <row r="25998" spans="119:119" x14ac:dyDescent="0.2">
      <c r="DO25998" s="303" t="s">
        <v>232</v>
      </c>
    </row>
    <row r="25999" spans="119:119" x14ac:dyDescent="0.2">
      <c r="DO25999" s="303" t="s">
        <v>232</v>
      </c>
    </row>
    <row r="26000" spans="119:119" x14ac:dyDescent="0.2">
      <c r="DO26000" s="303" t="s">
        <v>232</v>
      </c>
    </row>
    <row r="26001" spans="119:119" x14ac:dyDescent="0.2">
      <c r="DO26001" s="303" t="s">
        <v>232</v>
      </c>
    </row>
    <row r="26002" spans="119:119" x14ac:dyDescent="0.2">
      <c r="DO26002" s="303" t="s">
        <v>232</v>
      </c>
    </row>
    <row r="26003" spans="119:119" x14ac:dyDescent="0.2">
      <c r="DO26003" s="303" t="s">
        <v>232</v>
      </c>
    </row>
    <row r="26004" spans="119:119" x14ac:dyDescent="0.2">
      <c r="DO26004" s="303" t="s">
        <v>232</v>
      </c>
    </row>
    <row r="26005" spans="119:119" x14ac:dyDescent="0.2">
      <c r="DO26005" s="303" t="s">
        <v>232</v>
      </c>
    </row>
    <row r="26006" spans="119:119" x14ac:dyDescent="0.2">
      <c r="DO26006" s="303" t="s">
        <v>232</v>
      </c>
    </row>
    <row r="26007" spans="119:119" x14ac:dyDescent="0.2">
      <c r="DO26007" s="303" t="s">
        <v>232</v>
      </c>
    </row>
    <row r="26008" spans="119:119" x14ac:dyDescent="0.2">
      <c r="DO26008" s="303" t="s">
        <v>232</v>
      </c>
    </row>
    <row r="26009" spans="119:119" x14ac:dyDescent="0.2">
      <c r="DO26009" s="303" t="s">
        <v>232</v>
      </c>
    </row>
    <row r="26010" spans="119:119" x14ac:dyDescent="0.2">
      <c r="DO26010" s="303" t="s">
        <v>232</v>
      </c>
    </row>
    <row r="26011" spans="119:119" x14ac:dyDescent="0.2">
      <c r="DO26011" s="303" t="s">
        <v>232</v>
      </c>
    </row>
    <row r="26012" spans="119:119" x14ac:dyDescent="0.2">
      <c r="DO26012" s="303" t="s">
        <v>232</v>
      </c>
    </row>
    <row r="26013" spans="119:119" x14ac:dyDescent="0.2">
      <c r="DO26013" s="303" t="s">
        <v>232</v>
      </c>
    </row>
    <row r="26014" spans="119:119" x14ac:dyDescent="0.2">
      <c r="DO26014" s="303" t="s">
        <v>232</v>
      </c>
    </row>
    <row r="26015" spans="119:119" x14ac:dyDescent="0.2">
      <c r="DO26015" s="303" t="s">
        <v>232</v>
      </c>
    </row>
    <row r="26016" spans="119:119" x14ac:dyDescent="0.2">
      <c r="DO26016" s="303" t="s">
        <v>232</v>
      </c>
    </row>
    <row r="26017" spans="119:119" x14ac:dyDescent="0.2">
      <c r="DO26017" s="303" t="s">
        <v>232</v>
      </c>
    </row>
    <row r="26018" spans="119:119" x14ac:dyDescent="0.2">
      <c r="DO26018" s="303" t="s">
        <v>232</v>
      </c>
    </row>
    <row r="26019" spans="119:119" x14ac:dyDescent="0.2">
      <c r="DO26019" s="303" t="s">
        <v>232</v>
      </c>
    </row>
    <row r="26020" spans="119:119" x14ac:dyDescent="0.2">
      <c r="DO26020" s="303" t="s">
        <v>232</v>
      </c>
    </row>
    <row r="26021" spans="119:119" x14ac:dyDescent="0.2">
      <c r="DO26021" s="303" t="s">
        <v>232</v>
      </c>
    </row>
    <row r="26022" spans="119:119" x14ac:dyDescent="0.2">
      <c r="DO26022" s="303" t="s">
        <v>232</v>
      </c>
    </row>
    <row r="26023" spans="119:119" x14ac:dyDescent="0.2">
      <c r="DO26023" s="303" t="s">
        <v>232</v>
      </c>
    </row>
    <row r="26024" spans="119:119" x14ac:dyDescent="0.2">
      <c r="DO26024" s="303" t="s">
        <v>232</v>
      </c>
    </row>
    <row r="26025" spans="119:119" x14ac:dyDescent="0.2">
      <c r="DO26025" s="303" t="s">
        <v>232</v>
      </c>
    </row>
    <row r="26026" spans="119:119" x14ac:dyDescent="0.2">
      <c r="DO26026" s="303" t="s">
        <v>232</v>
      </c>
    </row>
    <row r="26027" spans="119:119" x14ac:dyDescent="0.2">
      <c r="DO26027" s="303" t="s">
        <v>232</v>
      </c>
    </row>
    <row r="26028" spans="119:119" x14ac:dyDescent="0.2">
      <c r="DO26028" s="303" t="s">
        <v>232</v>
      </c>
    </row>
    <row r="26029" spans="119:119" x14ac:dyDescent="0.2">
      <c r="DO26029" s="303" t="s">
        <v>232</v>
      </c>
    </row>
    <row r="26030" spans="119:119" x14ac:dyDescent="0.2">
      <c r="DO26030" s="303" t="s">
        <v>232</v>
      </c>
    </row>
    <row r="26031" spans="119:119" x14ac:dyDescent="0.2">
      <c r="DO26031" s="303" t="s">
        <v>232</v>
      </c>
    </row>
    <row r="26032" spans="119:119" x14ac:dyDescent="0.2">
      <c r="DO26032" s="303" t="s">
        <v>232</v>
      </c>
    </row>
    <row r="26033" spans="119:119" x14ac:dyDescent="0.2">
      <c r="DO26033" s="303" t="s">
        <v>232</v>
      </c>
    </row>
    <row r="26034" spans="119:119" x14ac:dyDescent="0.2">
      <c r="DO26034" s="303" t="s">
        <v>232</v>
      </c>
    </row>
    <row r="26035" spans="119:119" x14ac:dyDescent="0.2">
      <c r="DO26035" s="303" t="s">
        <v>232</v>
      </c>
    </row>
    <row r="26036" spans="119:119" x14ac:dyDescent="0.2">
      <c r="DO26036" s="303" t="s">
        <v>232</v>
      </c>
    </row>
    <row r="26037" spans="119:119" x14ac:dyDescent="0.2">
      <c r="DO26037" s="303" t="s">
        <v>232</v>
      </c>
    </row>
    <row r="26038" spans="119:119" x14ac:dyDescent="0.2">
      <c r="DO26038" s="303" t="s">
        <v>232</v>
      </c>
    </row>
    <row r="26039" spans="119:119" x14ac:dyDescent="0.2">
      <c r="DO26039" s="303" t="s">
        <v>232</v>
      </c>
    </row>
    <row r="26040" spans="119:119" x14ac:dyDescent="0.2">
      <c r="DO26040" s="303" t="s">
        <v>232</v>
      </c>
    </row>
    <row r="26041" spans="119:119" x14ac:dyDescent="0.2">
      <c r="DO26041" s="303" t="s">
        <v>232</v>
      </c>
    </row>
    <row r="26042" spans="119:119" x14ac:dyDescent="0.2">
      <c r="DO26042" s="303" t="s">
        <v>232</v>
      </c>
    </row>
    <row r="26043" spans="119:119" x14ac:dyDescent="0.2">
      <c r="DO26043" s="303" t="s">
        <v>232</v>
      </c>
    </row>
    <row r="26044" spans="119:119" x14ac:dyDescent="0.2">
      <c r="DO26044" s="303" t="s">
        <v>232</v>
      </c>
    </row>
    <row r="26045" spans="119:119" x14ac:dyDescent="0.2">
      <c r="DO26045" s="303" t="s">
        <v>232</v>
      </c>
    </row>
    <row r="26046" spans="119:119" x14ac:dyDescent="0.2">
      <c r="DO26046" s="303" t="s">
        <v>232</v>
      </c>
    </row>
    <row r="26047" spans="119:119" x14ac:dyDescent="0.2">
      <c r="DO26047" s="303" t="s">
        <v>232</v>
      </c>
    </row>
    <row r="26048" spans="119:119" x14ac:dyDescent="0.2">
      <c r="DO26048" s="303" t="s">
        <v>232</v>
      </c>
    </row>
    <row r="26049" spans="119:119" x14ac:dyDescent="0.2">
      <c r="DO26049" s="303" t="s">
        <v>232</v>
      </c>
    </row>
    <row r="26050" spans="119:119" x14ac:dyDescent="0.2">
      <c r="DO26050" s="303" t="s">
        <v>232</v>
      </c>
    </row>
    <row r="26051" spans="119:119" x14ac:dyDescent="0.2">
      <c r="DO26051" s="303" t="s">
        <v>232</v>
      </c>
    </row>
    <row r="26052" spans="119:119" x14ac:dyDescent="0.2">
      <c r="DO26052" s="303" t="s">
        <v>232</v>
      </c>
    </row>
    <row r="26053" spans="119:119" x14ac:dyDescent="0.2">
      <c r="DO26053" s="303" t="s">
        <v>232</v>
      </c>
    </row>
    <row r="26054" spans="119:119" x14ac:dyDescent="0.2">
      <c r="DO26054" s="303" t="s">
        <v>232</v>
      </c>
    </row>
    <row r="26055" spans="119:119" x14ac:dyDescent="0.2">
      <c r="DO26055" s="303" t="s">
        <v>232</v>
      </c>
    </row>
    <row r="26056" spans="119:119" x14ac:dyDescent="0.2">
      <c r="DO26056" s="303" t="s">
        <v>232</v>
      </c>
    </row>
    <row r="26057" spans="119:119" x14ac:dyDescent="0.2">
      <c r="DO26057" s="303" t="s">
        <v>232</v>
      </c>
    </row>
    <row r="26058" spans="119:119" x14ac:dyDescent="0.2">
      <c r="DO26058" s="303" t="s">
        <v>232</v>
      </c>
    </row>
    <row r="26059" spans="119:119" x14ac:dyDescent="0.2">
      <c r="DO26059" s="303" t="s">
        <v>232</v>
      </c>
    </row>
    <row r="26060" spans="119:119" x14ac:dyDescent="0.2">
      <c r="DO26060" s="303" t="s">
        <v>232</v>
      </c>
    </row>
    <row r="26061" spans="119:119" x14ac:dyDescent="0.2">
      <c r="DO26061" s="303" t="s">
        <v>232</v>
      </c>
    </row>
    <row r="26062" spans="119:119" x14ac:dyDescent="0.2">
      <c r="DO26062" s="303" t="s">
        <v>232</v>
      </c>
    </row>
    <row r="26063" spans="119:119" x14ac:dyDescent="0.2">
      <c r="DO26063" s="303" t="s">
        <v>232</v>
      </c>
    </row>
    <row r="26064" spans="119:119" x14ac:dyDescent="0.2">
      <c r="DO26064" s="303" t="s">
        <v>232</v>
      </c>
    </row>
    <row r="26065" spans="119:119" x14ac:dyDescent="0.2">
      <c r="DO26065" s="303" t="s">
        <v>232</v>
      </c>
    </row>
    <row r="26066" spans="119:119" x14ac:dyDescent="0.2">
      <c r="DO26066" s="303" t="s">
        <v>232</v>
      </c>
    </row>
    <row r="26067" spans="119:119" x14ac:dyDescent="0.2">
      <c r="DO26067" s="303" t="s">
        <v>232</v>
      </c>
    </row>
    <row r="26068" spans="119:119" x14ac:dyDescent="0.2">
      <c r="DO26068" s="303" t="s">
        <v>232</v>
      </c>
    </row>
    <row r="26069" spans="119:119" x14ac:dyDescent="0.2">
      <c r="DO26069" s="303" t="s">
        <v>232</v>
      </c>
    </row>
    <row r="26070" spans="119:119" x14ac:dyDescent="0.2">
      <c r="DO26070" s="303" t="s">
        <v>232</v>
      </c>
    </row>
    <row r="26071" spans="119:119" x14ac:dyDescent="0.2">
      <c r="DO26071" s="303" t="s">
        <v>232</v>
      </c>
    </row>
    <row r="26072" spans="119:119" x14ac:dyDescent="0.2">
      <c r="DO26072" s="303" t="s">
        <v>232</v>
      </c>
    </row>
    <row r="26073" spans="119:119" x14ac:dyDescent="0.2">
      <c r="DO26073" s="303" t="s">
        <v>232</v>
      </c>
    </row>
    <row r="26074" spans="119:119" x14ac:dyDescent="0.2">
      <c r="DO26074" s="303" t="s">
        <v>232</v>
      </c>
    </row>
    <row r="26075" spans="119:119" x14ac:dyDescent="0.2">
      <c r="DO26075" s="303" t="s">
        <v>232</v>
      </c>
    </row>
    <row r="26076" spans="119:119" x14ac:dyDescent="0.2">
      <c r="DO26076" s="303" t="s">
        <v>232</v>
      </c>
    </row>
    <row r="26077" spans="119:119" x14ac:dyDescent="0.2">
      <c r="DO26077" s="303" t="s">
        <v>232</v>
      </c>
    </row>
    <row r="26078" spans="119:119" x14ac:dyDescent="0.2">
      <c r="DO26078" s="303" t="s">
        <v>232</v>
      </c>
    </row>
    <row r="26079" spans="119:119" x14ac:dyDescent="0.2">
      <c r="DO26079" s="303" t="s">
        <v>232</v>
      </c>
    </row>
    <row r="26080" spans="119:119" x14ac:dyDescent="0.2">
      <c r="DO26080" s="303" t="s">
        <v>232</v>
      </c>
    </row>
    <row r="26081" spans="119:119" x14ac:dyDescent="0.2">
      <c r="DO26081" s="303" t="s">
        <v>232</v>
      </c>
    </row>
    <row r="26082" spans="119:119" x14ac:dyDescent="0.2">
      <c r="DO26082" s="303" t="s">
        <v>232</v>
      </c>
    </row>
    <row r="26083" spans="119:119" x14ac:dyDescent="0.2">
      <c r="DO26083" s="303" t="s">
        <v>232</v>
      </c>
    </row>
    <row r="26084" spans="119:119" x14ac:dyDescent="0.2">
      <c r="DO26084" s="303" t="s">
        <v>232</v>
      </c>
    </row>
    <row r="26085" spans="119:119" x14ac:dyDescent="0.2">
      <c r="DO26085" s="303" t="s">
        <v>232</v>
      </c>
    </row>
    <row r="26086" spans="119:119" x14ac:dyDescent="0.2">
      <c r="DO26086" s="303" t="s">
        <v>232</v>
      </c>
    </row>
    <row r="26087" spans="119:119" x14ac:dyDescent="0.2">
      <c r="DO26087" s="303" t="s">
        <v>232</v>
      </c>
    </row>
    <row r="26088" spans="119:119" x14ac:dyDescent="0.2">
      <c r="DO26088" s="303" t="s">
        <v>232</v>
      </c>
    </row>
    <row r="26089" spans="119:119" x14ac:dyDescent="0.2">
      <c r="DO26089" s="303" t="s">
        <v>232</v>
      </c>
    </row>
    <row r="26090" spans="119:119" x14ac:dyDescent="0.2">
      <c r="DO26090" s="303" t="s">
        <v>232</v>
      </c>
    </row>
    <row r="26091" spans="119:119" x14ac:dyDescent="0.2">
      <c r="DO26091" s="303" t="s">
        <v>232</v>
      </c>
    </row>
    <row r="26092" spans="119:119" x14ac:dyDescent="0.2">
      <c r="DO26092" s="303" t="s">
        <v>232</v>
      </c>
    </row>
    <row r="26093" spans="119:119" x14ac:dyDescent="0.2">
      <c r="DO26093" s="303" t="s">
        <v>232</v>
      </c>
    </row>
    <row r="26094" spans="119:119" x14ac:dyDescent="0.2">
      <c r="DO26094" s="303" t="s">
        <v>232</v>
      </c>
    </row>
    <row r="26095" spans="119:119" x14ac:dyDescent="0.2">
      <c r="DO26095" s="303" t="s">
        <v>232</v>
      </c>
    </row>
    <row r="26096" spans="119:119" x14ac:dyDescent="0.2">
      <c r="DO26096" s="303" t="s">
        <v>232</v>
      </c>
    </row>
    <row r="26097" spans="119:119" x14ac:dyDescent="0.2">
      <c r="DO26097" s="303" t="s">
        <v>232</v>
      </c>
    </row>
    <row r="26098" spans="119:119" x14ac:dyDescent="0.2">
      <c r="DO26098" s="303" t="s">
        <v>232</v>
      </c>
    </row>
    <row r="26099" spans="119:119" x14ac:dyDescent="0.2">
      <c r="DO26099" s="303" t="s">
        <v>232</v>
      </c>
    </row>
    <row r="26100" spans="119:119" x14ac:dyDescent="0.2">
      <c r="DO26100" s="303" t="s">
        <v>232</v>
      </c>
    </row>
    <row r="26101" spans="119:119" x14ac:dyDescent="0.2">
      <c r="DO26101" s="303" t="s">
        <v>232</v>
      </c>
    </row>
    <row r="26102" spans="119:119" x14ac:dyDescent="0.2">
      <c r="DO26102" s="303" t="s">
        <v>232</v>
      </c>
    </row>
    <row r="26103" spans="119:119" x14ac:dyDescent="0.2">
      <c r="DO26103" s="303" t="s">
        <v>232</v>
      </c>
    </row>
    <row r="26104" spans="119:119" x14ac:dyDescent="0.2">
      <c r="DO26104" s="303" t="s">
        <v>232</v>
      </c>
    </row>
    <row r="26105" spans="119:119" x14ac:dyDescent="0.2">
      <c r="DO26105" s="303" t="s">
        <v>232</v>
      </c>
    </row>
    <row r="26106" spans="119:119" x14ac:dyDescent="0.2">
      <c r="DO26106" s="303" t="s">
        <v>232</v>
      </c>
    </row>
    <row r="26107" spans="119:119" x14ac:dyDescent="0.2">
      <c r="DO26107" s="303" t="s">
        <v>232</v>
      </c>
    </row>
    <row r="26108" spans="119:119" x14ac:dyDescent="0.2">
      <c r="DO26108" s="303" t="s">
        <v>232</v>
      </c>
    </row>
    <row r="26109" spans="119:119" x14ac:dyDescent="0.2">
      <c r="DO26109" s="303" t="s">
        <v>232</v>
      </c>
    </row>
    <row r="26110" spans="119:119" x14ac:dyDescent="0.2">
      <c r="DO26110" s="303" t="s">
        <v>232</v>
      </c>
    </row>
    <row r="26111" spans="119:119" x14ac:dyDescent="0.2">
      <c r="DO26111" s="303" t="s">
        <v>232</v>
      </c>
    </row>
    <row r="26112" spans="119:119" x14ac:dyDescent="0.2">
      <c r="DO26112" s="303" t="s">
        <v>232</v>
      </c>
    </row>
    <row r="26113" spans="119:119" x14ac:dyDescent="0.2">
      <c r="DO26113" s="303" t="s">
        <v>232</v>
      </c>
    </row>
    <row r="26114" spans="119:119" x14ac:dyDescent="0.2">
      <c r="DO26114" s="303" t="s">
        <v>232</v>
      </c>
    </row>
    <row r="26115" spans="119:119" x14ac:dyDescent="0.2">
      <c r="DO26115" s="303" t="s">
        <v>232</v>
      </c>
    </row>
    <row r="26116" spans="119:119" x14ac:dyDescent="0.2">
      <c r="DO26116" s="303" t="s">
        <v>232</v>
      </c>
    </row>
    <row r="26117" spans="119:119" x14ac:dyDescent="0.2">
      <c r="DO26117" s="303" t="s">
        <v>232</v>
      </c>
    </row>
    <row r="26118" spans="119:119" x14ac:dyDescent="0.2">
      <c r="DO26118" s="303" t="s">
        <v>232</v>
      </c>
    </row>
    <row r="26119" spans="119:119" x14ac:dyDescent="0.2">
      <c r="DO26119" s="303" t="s">
        <v>232</v>
      </c>
    </row>
    <row r="26120" spans="119:119" x14ac:dyDescent="0.2">
      <c r="DO26120" s="303" t="s">
        <v>232</v>
      </c>
    </row>
    <row r="26121" spans="119:119" x14ac:dyDescent="0.2">
      <c r="DO26121" s="303" t="s">
        <v>232</v>
      </c>
    </row>
    <row r="26122" spans="119:119" x14ac:dyDescent="0.2">
      <c r="DO26122" s="303" t="s">
        <v>232</v>
      </c>
    </row>
    <row r="26123" spans="119:119" x14ac:dyDescent="0.2">
      <c r="DO26123" s="303" t="s">
        <v>232</v>
      </c>
    </row>
    <row r="26124" spans="119:119" x14ac:dyDescent="0.2">
      <c r="DO26124" s="303" t="s">
        <v>232</v>
      </c>
    </row>
    <row r="26125" spans="119:119" x14ac:dyDescent="0.2">
      <c r="DO26125" s="303" t="s">
        <v>232</v>
      </c>
    </row>
    <row r="26126" spans="119:119" x14ac:dyDescent="0.2">
      <c r="DO26126" s="303" t="s">
        <v>232</v>
      </c>
    </row>
    <row r="26127" spans="119:119" x14ac:dyDescent="0.2">
      <c r="DO26127" s="303" t="s">
        <v>232</v>
      </c>
    </row>
    <row r="26128" spans="119:119" x14ac:dyDescent="0.2">
      <c r="DO26128" s="303" t="s">
        <v>232</v>
      </c>
    </row>
    <row r="26129" spans="119:119" x14ac:dyDescent="0.2">
      <c r="DO26129" s="303" t="s">
        <v>232</v>
      </c>
    </row>
    <row r="26130" spans="119:119" x14ac:dyDescent="0.2">
      <c r="DO26130" s="303" t="s">
        <v>232</v>
      </c>
    </row>
    <row r="26131" spans="119:119" x14ac:dyDescent="0.2">
      <c r="DO26131" s="303" t="s">
        <v>232</v>
      </c>
    </row>
    <row r="26132" spans="119:119" x14ac:dyDescent="0.2">
      <c r="DO26132" s="303" t="s">
        <v>232</v>
      </c>
    </row>
    <row r="26133" spans="119:119" x14ac:dyDescent="0.2">
      <c r="DO26133" s="303" t="s">
        <v>232</v>
      </c>
    </row>
    <row r="26134" spans="119:119" x14ac:dyDescent="0.2">
      <c r="DO26134" s="303" t="s">
        <v>232</v>
      </c>
    </row>
    <row r="26135" spans="119:119" x14ac:dyDescent="0.2">
      <c r="DO26135" s="303" t="s">
        <v>232</v>
      </c>
    </row>
    <row r="26136" spans="119:119" x14ac:dyDescent="0.2">
      <c r="DO26136" s="303" t="s">
        <v>232</v>
      </c>
    </row>
    <row r="26137" spans="119:119" x14ac:dyDescent="0.2">
      <c r="DO26137" s="303" t="s">
        <v>232</v>
      </c>
    </row>
    <row r="26138" spans="119:119" x14ac:dyDescent="0.2">
      <c r="DO26138" s="303" t="s">
        <v>232</v>
      </c>
    </row>
    <row r="26139" spans="119:119" x14ac:dyDescent="0.2">
      <c r="DO26139" s="303" t="s">
        <v>232</v>
      </c>
    </row>
    <row r="26140" spans="119:119" x14ac:dyDescent="0.2">
      <c r="DO26140" s="303" t="s">
        <v>232</v>
      </c>
    </row>
    <row r="26141" spans="119:119" x14ac:dyDescent="0.2">
      <c r="DO26141" s="303" t="s">
        <v>232</v>
      </c>
    </row>
    <row r="26142" spans="119:119" x14ac:dyDescent="0.2">
      <c r="DO26142" s="303" t="s">
        <v>232</v>
      </c>
    </row>
    <row r="26143" spans="119:119" x14ac:dyDescent="0.2">
      <c r="DO26143" s="303" t="s">
        <v>232</v>
      </c>
    </row>
    <row r="26144" spans="119:119" x14ac:dyDescent="0.2">
      <c r="DO26144" s="303" t="s">
        <v>232</v>
      </c>
    </row>
    <row r="26145" spans="119:119" x14ac:dyDescent="0.2">
      <c r="DO26145" s="303" t="s">
        <v>232</v>
      </c>
    </row>
    <row r="26146" spans="119:119" x14ac:dyDescent="0.2">
      <c r="DO26146" s="303" t="s">
        <v>232</v>
      </c>
    </row>
    <row r="26147" spans="119:119" x14ac:dyDescent="0.2">
      <c r="DO26147" s="303" t="s">
        <v>232</v>
      </c>
    </row>
    <row r="26148" spans="119:119" x14ac:dyDescent="0.2">
      <c r="DO26148" s="303" t="s">
        <v>232</v>
      </c>
    </row>
    <row r="26149" spans="119:119" x14ac:dyDescent="0.2">
      <c r="DO26149" s="303" t="s">
        <v>232</v>
      </c>
    </row>
    <row r="26150" spans="119:119" x14ac:dyDescent="0.2">
      <c r="DO26150" s="303" t="s">
        <v>232</v>
      </c>
    </row>
    <row r="26151" spans="119:119" x14ac:dyDescent="0.2">
      <c r="DO26151" s="303" t="s">
        <v>232</v>
      </c>
    </row>
    <row r="26152" spans="119:119" x14ac:dyDescent="0.2">
      <c r="DO26152" s="303" t="s">
        <v>232</v>
      </c>
    </row>
    <row r="26153" spans="119:119" x14ac:dyDescent="0.2">
      <c r="DO26153" s="303" t="s">
        <v>232</v>
      </c>
    </row>
    <row r="26154" spans="119:119" x14ac:dyDescent="0.2">
      <c r="DO26154" s="303" t="s">
        <v>232</v>
      </c>
    </row>
    <row r="26155" spans="119:119" x14ac:dyDescent="0.2">
      <c r="DO26155" s="303" t="s">
        <v>232</v>
      </c>
    </row>
    <row r="26156" spans="119:119" x14ac:dyDescent="0.2">
      <c r="DO26156" s="303" t="s">
        <v>232</v>
      </c>
    </row>
    <row r="26157" spans="119:119" x14ac:dyDescent="0.2">
      <c r="DO26157" s="303" t="s">
        <v>232</v>
      </c>
    </row>
    <row r="26158" spans="119:119" x14ac:dyDescent="0.2">
      <c r="DO26158" s="303" t="s">
        <v>232</v>
      </c>
    </row>
    <row r="26159" spans="119:119" x14ac:dyDescent="0.2">
      <c r="DO26159" s="303" t="s">
        <v>232</v>
      </c>
    </row>
    <row r="26160" spans="119:119" x14ac:dyDescent="0.2">
      <c r="DO26160" s="303" t="s">
        <v>232</v>
      </c>
    </row>
    <row r="26161" spans="119:119" x14ac:dyDescent="0.2">
      <c r="DO26161" s="303" t="s">
        <v>232</v>
      </c>
    </row>
    <row r="26162" spans="119:119" x14ac:dyDescent="0.2">
      <c r="DO26162" s="303" t="s">
        <v>232</v>
      </c>
    </row>
    <row r="26163" spans="119:119" x14ac:dyDescent="0.2">
      <c r="DO26163" s="303" t="s">
        <v>232</v>
      </c>
    </row>
    <row r="26164" spans="119:119" x14ac:dyDescent="0.2">
      <c r="DO26164" s="303" t="s">
        <v>232</v>
      </c>
    </row>
    <row r="26165" spans="119:119" x14ac:dyDescent="0.2">
      <c r="DO26165" s="303" t="s">
        <v>232</v>
      </c>
    </row>
    <row r="26166" spans="119:119" x14ac:dyDescent="0.2">
      <c r="DO26166" s="303" t="s">
        <v>232</v>
      </c>
    </row>
    <row r="26167" spans="119:119" x14ac:dyDescent="0.2">
      <c r="DO26167" s="303" t="s">
        <v>232</v>
      </c>
    </row>
    <row r="26168" spans="119:119" x14ac:dyDescent="0.2">
      <c r="DO26168" s="303" t="s">
        <v>232</v>
      </c>
    </row>
    <row r="26169" spans="119:119" x14ac:dyDescent="0.2">
      <c r="DO26169" s="303" t="s">
        <v>232</v>
      </c>
    </row>
    <row r="26170" spans="119:119" x14ac:dyDescent="0.2">
      <c r="DO26170" s="303" t="s">
        <v>232</v>
      </c>
    </row>
    <row r="26171" spans="119:119" x14ac:dyDescent="0.2">
      <c r="DO26171" s="303" t="s">
        <v>232</v>
      </c>
    </row>
    <row r="26172" spans="119:119" x14ac:dyDescent="0.2">
      <c r="DO26172" s="303" t="s">
        <v>232</v>
      </c>
    </row>
    <row r="26173" spans="119:119" x14ac:dyDescent="0.2">
      <c r="DO26173" s="303" t="s">
        <v>232</v>
      </c>
    </row>
    <row r="26174" spans="119:119" x14ac:dyDescent="0.2">
      <c r="DO26174" s="303" t="s">
        <v>232</v>
      </c>
    </row>
    <row r="26175" spans="119:119" x14ac:dyDescent="0.2">
      <c r="DO26175" s="303" t="s">
        <v>232</v>
      </c>
    </row>
    <row r="26176" spans="119:119" x14ac:dyDescent="0.2">
      <c r="DO26176" s="303" t="s">
        <v>232</v>
      </c>
    </row>
    <row r="26177" spans="119:119" x14ac:dyDescent="0.2">
      <c r="DO26177" s="303" t="s">
        <v>232</v>
      </c>
    </row>
    <row r="26178" spans="119:119" x14ac:dyDescent="0.2">
      <c r="DO26178" s="303" t="s">
        <v>232</v>
      </c>
    </row>
    <row r="26179" spans="119:119" x14ac:dyDescent="0.2">
      <c r="DO26179" s="303" t="s">
        <v>232</v>
      </c>
    </row>
    <row r="26180" spans="119:119" x14ac:dyDescent="0.2">
      <c r="DO26180" s="303" t="s">
        <v>232</v>
      </c>
    </row>
    <row r="26181" spans="119:119" x14ac:dyDescent="0.2">
      <c r="DO26181" s="303" t="s">
        <v>232</v>
      </c>
    </row>
    <row r="26182" spans="119:119" x14ac:dyDescent="0.2">
      <c r="DO26182" s="303" t="s">
        <v>232</v>
      </c>
    </row>
    <row r="26183" spans="119:119" x14ac:dyDescent="0.2">
      <c r="DO26183" s="303" t="s">
        <v>232</v>
      </c>
    </row>
    <row r="26184" spans="119:119" x14ac:dyDescent="0.2">
      <c r="DO26184" s="303" t="s">
        <v>232</v>
      </c>
    </row>
    <row r="26185" spans="119:119" x14ac:dyDescent="0.2">
      <c r="DO26185" s="303" t="s">
        <v>232</v>
      </c>
    </row>
    <row r="26186" spans="119:119" x14ac:dyDescent="0.2">
      <c r="DO26186" s="303" t="s">
        <v>232</v>
      </c>
    </row>
    <row r="26187" spans="119:119" x14ac:dyDescent="0.2">
      <c r="DO26187" s="303" t="s">
        <v>232</v>
      </c>
    </row>
    <row r="26188" spans="119:119" x14ac:dyDescent="0.2">
      <c r="DO26188" s="303" t="s">
        <v>232</v>
      </c>
    </row>
    <row r="26189" spans="119:119" x14ac:dyDescent="0.2">
      <c r="DO26189" s="303" t="s">
        <v>232</v>
      </c>
    </row>
    <row r="26190" spans="119:119" x14ac:dyDescent="0.2">
      <c r="DO26190" s="303" t="s">
        <v>232</v>
      </c>
    </row>
    <row r="26191" spans="119:119" x14ac:dyDescent="0.2">
      <c r="DO26191" s="303" t="s">
        <v>232</v>
      </c>
    </row>
    <row r="26192" spans="119:119" x14ac:dyDescent="0.2">
      <c r="DO26192" s="303" t="s">
        <v>232</v>
      </c>
    </row>
    <row r="26193" spans="119:119" x14ac:dyDescent="0.2">
      <c r="DO26193" s="303" t="s">
        <v>232</v>
      </c>
    </row>
    <row r="26194" spans="119:119" x14ac:dyDescent="0.2">
      <c r="DO26194" s="303" t="s">
        <v>232</v>
      </c>
    </row>
    <row r="26195" spans="119:119" x14ac:dyDescent="0.2">
      <c r="DO26195" s="303" t="s">
        <v>232</v>
      </c>
    </row>
    <row r="26196" spans="119:119" x14ac:dyDescent="0.2">
      <c r="DO26196" s="303" t="s">
        <v>232</v>
      </c>
    </row>
    <row r="26197" spans="119:119" x14ac:dyDescent="0.2">
      <c r="DO26197" s="303" t="s">
        <v>232</v>
      </c>
    </row>
    <row r="26198" spans="119:119" x14ac:dyDescent="0.2">
      <c r="DO26198" s="303" t="s">
        <v>232</v>
      </c>
    </row>
    <row r="26199" spans="119:119" x14ac:dyDescent="0.2">
      <c r="DO26199" s="303" t="s">
        <v>232</v>
      </c>
    </row>
    <row r="26200" spans="119:119" x14ac:dyDescent="0.2">
      <c r="DO26200" s="303" t="s">
        <v>232</v>
      </c>
    </row>
    <row r="26201" spans="119:119" x14ac:dyDescent="0.2">
      <c r="DO26201" s="303" t="s">
        <v>232</v>
      </c>
    </row>
    <row r="26202" spans="119:119" x14ac:dyDescent="0.2">
      <c r="DO26202" s="303" t="s">
        <v>232</v>
      </c>
    </row>
    <row r="26203" spans="119:119" x14ac:dyDescent="0.2">
      <c r="DO26203" s="303" t="s">
        <v>232</v>
      </c>
    </row>
    <row r="26204" spans="119:119" x14ac:dyDescent="0.2">
      <c r="DO26204" s="303" t="s">
        <v>232</v>
      </c>
    </row>
    <row r="26205" spans="119:119" x14ac:dyDescent="0.2">
      <c r="DO26205" s="303" t="s">
        <v>232</v>
      </c>
    </row>
    <row r="26206" spans="119:119" x14ac:dyDescent="0.2">
      <c r="DO26206" s="303" t="s">
        <v>232</v>
      </c>
    </row>
    <row r="26207" spans="119:119" x14ac:dyDescent="0.2">
      <c r="DO26207" s="303" t="s">
        <v>232</v>
      </c>
    </row>
    <row r="26208" spans="119:119" x14ac:dyDescent="0.2">
      <c r="DO26208" s="303" t="s">
        <v>232</v>
      </c>
    </row>
    <row r="26209" spans="119:119" x14ac:dyDescent="0.2">
      <c r="DO26209" s="303" t="s">
        <v>232</v>
      </c>
    </row>
    <row r="26210" spans="119:119" x14ac:dyDescent="0.2">
      <c r="DO26210" s="303" t="s">
        <v>232</v>
      </c>
    </row>
    <row r="26211" spans="119:119" x14ac:dyDescent="0.2">
      <c r="DO26211" s="303" t="s">
        <v>232</v>
      </c>
    </row>
    <row r="26212" spans="119:119" x14ac:dyDescent="0.2">
      <c r="DO26212" s="303" t="s">
        <v>232</v>
      </c>
    </row>
    <row r="26213" spans="119:119" x14ac:dyDescent="0.2">
      <c r="DO26213" s="303" t="s">
        <v>232</v>
      </c>
    </row>
    <row r="26214" spans="119:119" x14ac:dyDescent="0.2">
      <c r="DO26214" s="303" t="s">
        <v>232</v>
      </c>
    </row>
    <row r="26215" spans="119:119" x14ac:dyDescent="0.2">
      <c r="DO26215" s="303" t="s">
        <v>232</v>
      </c>
    </row>
    <row r="26216" spans="119:119" x14ac:dyDescent="0.2">
      <c r="DO26216" s="303" t="s">
        <v>232</v>
      </c>
    </row>
    <row r="26217" spans="119:119" x14ac:dyDescent="0.2">
      <c r="DO26217" s="303" t="s">
        <v>232</v>
      </c>
    </row>
    <row r="26218" spans="119:119" x14ac:dyDescent="0.2">
      <c r="DO26218" s="303" t="s">
        <v>232</v>
      </c>
    </row>
    <row r="26219" spans="119:119" x14ac:dyDescent="0.2">
      <c r="DO26219" s="303" t="s">
        <v>232</v>
      </c>
    </row>
    <row r="26220" spans="119:119" x14ac:dyDescent="0.2">
      <c r="DO26220" s="303" t="s">
        <v>232</v>
      </c>
    </row>
    <row r="26221" spans="119:119" x14ac:dyDescent="0.2">
      <c r="DO26221" s="303" t="s">
        <v>232</v>
      </c>
    </row>
    <row r="26222" spans="119:119" x14ac:dyDescent="0.2">
      <c r="DO26222" s="303" t="s">
        <v>232</v>
      </c>
    </row>
    <row r="26223" spans="119:119" x14ac:dyDescent="0.2">
      <c r="DO26223" s="303" t="s">
        <v>232</v>
      </c>
    </row>
    <row r="26224" spans="119:119" x14ac:dyDescent="0.2">
      <c r="DO26224" s="303" t="s">
        <v>232</v>
      </c>
    </row>
    <row r="26225" spans="119:119" x14ac:dyDescent="0.2">
      <c r="DO26225" s="303" t="s">
        <v>232</v>
      </c>
    </row>
    <row r="26226" spans="119:119" x14ac:dyDescent="0.2">
      <c r="DO26226" s="303" t="s">
        <v>232</v>
      </c>
    </row>
    <row r="26227" spans="119:119" x14ac:dyDescent="0.2">
      <c r="DO26227" s="303" t="s">
        <v>232</v>
      </c>
    </row>
    <row r="26228" spans="119:119" x14ac:dyDescent="0.2">
      <c r="DO26228" s="303" t="s">
        <v>232</v>
      </c>
    </row>
    <row r="26229" spans="119:119" x14ac:dyDescent="0.2">
      <c r="DO26229" s="303" t="s">
        <v>232</v>
      </c>
    </row>
    <row r="26230" spans="119:119" x14ac:dyDescent="0.2">
      <c r="DO26230" s="303" t="s">
        <v>232</v>
      </c>
    </row>
    <row r="26231" spans="119:119" x14ac:dyDescent="0.2">
      <c r="DO26231" s="303" t="s">
        <v>232</v>
      </c>
    </row>
    <row r="26232" spans="119:119" x14ac:dyDescent="0.2">
      <c r="DO26232" s="303" t="s">
        <v>232</v>
      </c>
    </row>
    <row r="26233" spans="119:119" x14ac:dyDescent="0.2">
      <c r="DO26233" s="303" t="s">
        <v>232</v>
      </c>
    </row>
    <row r="26234" spans="119:119" x14ac:dyDescent="0.2">
      <c r="DO26234" s="303" t="s">
        <v>232</v>
      </c>
    </row>
    <row r="26235" spans="119:119" x14ac:dyDescent="0.2">
      <c r="DO26235" s="303" t="s">
        <v>232</v>
      </c>
    </row>
    <row r="26236" spans="119:119" x14ac:dyDescent="0.2">
      <c r="DO26236" s="303" t="s">
        <v>232</v>
      </c>
    </row>
    <row r="26237" spans="119:119" x14ac:dyDescent="0.2">
      <c r="DO26237" s="303" t="s">
        <v>232</v>
      </c>
    </row>
    <row r="26238" spans="119:119" x14ac:dyDescent="0.2">
      <c r="DO26238" s="303" t="s">
        <v>232</v>
      </c>
    </row>
    <row r="26239" spans="119:119" x14ac:dyDescent="0.2">
      <c r="DO26239" s="303" t="s">
        <v>232</v>
      </c>
    </row>
    <row r="26240" spans="119:119" x14ac:dyDescent="0.2">
      <c r="DO26240" s="303" t="s">
        <v>232</v>
      </c>
    </row>
    <row r="26241" spans="119:119" x14ac:dyDescent="0.2">
      <c r="DO26241" s="303" t="s">
        <v>232</v>
      </c>
    </row>
    <row r="26242" spans="119:119" x14ac:dyDescent="0.2">
      <c r="DO26242" s="303" t="s">
        <v>232</v>
      </c>
    </row>
    <row r="26243" spans="119:119" x14ac:dyDescent="0.2">
      <c r="DO26243" s="303" t="s">
        <v>232</v>
      </c>
    </row>
    <row r="26244" spans="119:119" x14ac:dyDescent="0.2">
      <c r="DO26244" s="303" t="s">
        <v>232</v>
      </c>
    </row>
    <row r="26245" spans="119:119" x14ac:dyDescent="0.2">
      <c r="DO26245" s="303" t="s">
        <v>232</v>
      </c>
    </row>
    <row r="26246" spans="119:119" x14ac:dyDescent="0.2">
      <c r="DO26246" s="303" t="s">
        <v>232</v>
      </c>
    </row>
    <row r="26247" spans="119:119" x14ac:dyDescent="0.2">
      <c r="DO26247" s="303" t="s">
        <v>232</v>
      </c>
    </row>
    <row r="26248" spans="119:119" x14ac:dyDescent="0.2">
      <c r="DO26248" s="303" t="s">
        <v>232</v>
      </c>
    </row>
    <row r="26249" spans="119:119" x14ac:dyDescent="0.2">
      <c r="DO26249" s="303" t="s">
        <v>232</v>
      </c>
    </row>
    <row r="26250" spans="119:119" x14ac:dyDescent="0.2">
      <c r="DO26250" s="303" t="s">
        <v>232</v>
      </c>
    </row>
    <row r="26251" spans="119:119" x14ac:dyDescent="0.2">
      <c r="DO26251" s="303" t="s">
        <v>232</v>
      </c>
    </row>
    <row r="26252" spans="119:119" x14ac:dyDescent="0.2">
      <c r="DO26252" s="303" t="s">
        <v>232</v>
      </c>
    </row>
    <row r="26253" spans="119:119" x14ac:dyDescent="0.2">
      <c r="DO26253" s="303" t="s">
        <v>232</v>
      </c>
    </row>
    <row r="26254" spans="119:119" x14ac:dyDescent="0.2">
      <c r="DO26254" s="303" t="s">
        <v>232</v>
      </c>
    </row>
    <row r="26255" spans="119:119" x14ac:dyDescent="0.2">
      <c r="DO26255" s="303" t="s">
        <v>232</v>
      </c>
    </row>
    <row r="26256" spans="119:119" x14ac:dyDescent="0.2">
      <c r="DO26256" s="303" t="s">
        <v>232</v>
      </c>
    </row>
    <row r="26257" spans="119:119" x14ac:dyDescent="0.2">
      <c r="DO26257" s="303" t="s">
        <v>232</v>
      </c>
    </row>
    <row r="26258" spans="119:119" x14ac:dyDescent="0.2">
      <c r="DO26258" s="303" t="s">
        <v>232</v>
      </c>
    </row>
    <row r="26259" spans="119:119" x14ac:dyDescent="0.2">
      <c r="DO26259" s="303" t="s">
        <v>232</v>
      </c>
    </row>
    <row r="26260" spans="119:119" x14ac:dyDescent="0.2">
      <c r="DO26260" s="303" t="s">
        <v>232</v>
      </c>
    </row>
    <row r="26261" spans="119:119" x14ac:dyDescent="0.2">
      <c r="DO26261" s="303" t="s">
        <v>232</v>
      </c>
    </row>
    <row r="26262" spans="119:119" x14ac:dyDescent="0.2">
      <c r="DO26262" s="303" t="s">
        <v>232</v>
      </c>
    </row>
    <row r="26263" spans="119:119" x14ac:dyDescent="0.2">
      <c r="DO26263" s="303" t="s">
        <v>232</v>
      </c>
    </row>
    <row r="26264" spans="119:119" x14ac:dyDescent="0.2">
      <c r="DO26264" s="303" t="s">
        <v>232</v>
      </c>
    </row>
    <row r="26265" spans="119:119" x14ac:dyDescent="0.2">
      <c r="DO26265" s="303" t="s">
        <v>232</v>
      </c>
    </row>
    <row r="26266" spans="119:119" x14ac:dyDescent="0.2">
      <c r="DO26266" s="303" t="s">
        <v>232</v>
      </c>
    </row>
    <row r="26267" spans="119:119" x14ac:dyDescent="0.2">
      <c r="DO26267" s="303" t="s">
        <v>232</v>
      </c>
    </row>
    <row r="26268" spans="119:119" x14ac:dyDescent="0.2">
      <c r="DO26268" s="303" t="s">
        <v>232</v>
      </c>
    </row>
    <row r="26269" spans="119:119" x14ac:dyDescent="0.2">
      <c r="DO26269" s="303" t="s">
        <v>232</v>
      </c>
    </row>
    <row r="26270" spans="119:119" x14ac:dyDescent="0.2">
      <c r="DO26270" s="303" t="s">
        <v>232</v>
      </c>
    </row>
    <row r="26271" spans="119:119" x14ac:dyDescent="0.2">
      <c r="DO26271" s="303" t="s">
        <v>232</v>
      </c>
    </row>
    <row r="26272" spans="119:119" x14ac:dyDescent="0.2">
      <c r="DO26272" s="303" t="s">
        <v>232</v>
      </c>
    </row>
    <row r="26273" spans="119:119" x14ac:dyDescent="0.2">
      <c r="DO26273" s="303" t="s">
        <v>232</v>
      </c>
    </row>
    <row r="26274" spans="119:119" x14ac:dyDescent="0.2">
      <c r="DO26274" s="303" t="s">
        <v>232</v>
      </c>
    </row>
    <row r="26275" spans="119:119" x14ac:dyDescent="0.2">
      <c r="DO26275" s="303" t="s">
        <v>232</v>
      </c>
    </row>
    <row r="26276" spans="119:119" x14ac:dyDescent="0.2">
      <c r="DO26276" s="303" t="s">
        <v>232</v>
      </c>
    </row>
    <row r="26277" spans="119:119" x14ac:dyDescent="0.2">
      <c r="DO26277" s="303" t="s">
        <v>232</v>
      </c>
    </row>
    <row r="26278" spans="119:119" x14ac:dyDescent="0.2">
      <c r="DO26278" s="303" t="s">
        <v>232</v>
      </c>
    </row>
    <row r="26279" spans="119:119" x14ac:dyDescent="0.2">
      <c r="DO26279" s="303" t="s">
        <v>232</v>
      </c>
    </row>
    <row r="26280" spans="119:119" x14ac:dyDescent="0.2">
      <c r="DO26280" s="303" t="s">
        <v>232</v>
      </c>
    </row>
    <row r="26281" spans="119:119" x14ac:dyDescent="0.2">
      <c r="DO26281" s="303" t="s">
        <v>232</v>
      </c>
    </row>
    <row r="26282" spans="119:119" x14ac:dyDescent="0.2">
      <c r="DO26282" s="303" t="s">
        <v>232</v>
      </c>
    </row>
    <row r="26283" spans="119:119" x14ac:dyDescent="0.2">
      <c r="DO26283" s="303" t="s">
        <v>232</v>
      </c>
    </row>
    <row r="26284" spans="119:119" x14ac:dyDescent="0.2">
      <c r="DO26284" s="303" t="s">
        <v>232</v>
      </c>
    </row>
    <row r="26285" spans="119:119" x14ac:dyDescent="0.2">
      <c r="DO26285" s="303" t="s">
        <v>232</v>
      </c>
    </row>
    <row r="26286" spans="119:119" x14ac:dyDescent="0.2">
      <c r="DO26286" s="303" t="s">
        <v>232</v>
      </c>
    </row>
    <row r="26287" spans="119:119" x14ac:dyDescent="0.2">
      <c r="DO26287" s="303" t="s">
        <v>232</v>
      </c>
    </row>
    <row r="26288" spans="119:119" x14ac:dyDescent="0.2">
      <c r="DO26288" s="303" t="s">
        <v>232</v>
      </c>
    </row>
    <row r="26289" spans="119:119" x14ac:dyDescent="0.2">
      <c r="DO26289" s="303" t="s">
        <v>232</v>
      </c>
    </row>
    <row r="26290" spans="119:119" x14ac:dyDescent="0.2">
      <c r="DO26290" s="303" t="s">
        <v>232</v>
      </c>
    </row>
    <row r="26291" spans="119:119" x14ac:dyDescent="0.2">
      <c r="DO26291" s="303" t="s">
        <v>232</v>
      </c>
    </row>
    <row r="26292" spans="119:119" x14ac:dyDescent="0.2">
      <c r="DO26292" s="303" t="s">
        <v>232</v>
      </c>
    </row>
    <row r="26293" spans="119:119" x14ac:dyDescent="0.2">
      <c r="DO26293" s="303" t="s">
        <v>232</v>
      </c>
    </row>
    <row r="26294" spans="119:119" x14ac:dyDescent="0.2">
      <c r="DO26294" s="303" t="s">
        <v>232</v>
      </c>
    </row>
    <row r="26295" spans="119:119" x14ac:dyDescent="0.2">
      <c r="DO26295" s="303" t="s">
        <v>232</v>
      </c>
    </row>
    <row r="26296" spans="119:119" x14ac:dyDescent="0.2">
      <c r="DO26296" s="303" t="s">
        <v>232</v>
      </c>
    </row>
    <row r="26297" spans="119:119" x14ac:dyDescent="0.2">
      <c r="DO26297" s="303" t="s">
        <v>232</v>
      </c>
    </row>
    <row r="26298" spans="119:119" x14ac:dyDescent="0.2">
      <c r="DO26298" s="303" t="s">
        <v>232</v>
      </c>
    </row>
    <row r="26299" spans="119:119" x14ac:dyDescent="0.2">
      <c r="DO26299" s="303" t="s">
        <v>232</v>
      </c>
    </row>
    <row r="26300" spans="119:119" x14ac:dyDescent="0.2">
      <c r="DO26300" s="303" t="s">
        <v>232</v>
      </c>
    </row>
    <row r="26301" spans="119:119" x14ac:dyDescent="0.2">
      <c r="DO26301" s="303" t="s">
        <v>232</v>
      </c>
    </row>
    <row r="26302" spans="119:119" x14ac:dyDescent="0.2">
      <c r="DO26302" s="303" t="s">
        <v>232</v>
      </c>
    </row>
    <row r="26303" spans="119:119" x14ac:dyDescent="0.2">
      <c r="DO26303" s="303" t="s">
        <v>232</v>
      </c>
    </row>
    <row r="26304" spans="119:119" x14ac:dyDescent="0.2">
      <c r="DO26304" s="303" t="s">
        <v>232</v>
      </c>
    </row>
    <row r="26305" spans="119:119" x14ac:dyDescent="0.2">
      <c r="DO26305" s="303" t="s">
        <v>232</v>
      </c>
    </row>
    <row r="26306" spans="119:119" x14ac:dyDescent="0.2">
      <c r="DO26306" s="303" t="s">
        <v>232</v>
      </c>
    </row>
    <row r="26307" spans="119:119" x14ac:dyDescent="0.2">
      <c r="DO26307" s="303" t="s">
        <v>232</v>
      </c>
    </row>
    <row r="26308" spans="119:119" x14ac:dyDescent="0.2">
      <c r="DO26308" s="303" t="s">
        <v>232</v>
      </c>
    </row>
    <row r="26309" spans="119:119" x14ac:dyDescent="0.2">
      <c r="DO26309" s="303" t="s">
        <v>232</v>
      </c>
    </row>
    <row r="26310" spans="119:119" x14ac:dyDescent="0.2">
      <c r="DO26310" s="303" t="s">
        <v>232</v>
      </c>
    </row>
    <row r="26311" spans="119:119" x14ac:dyDescent="0.2">
      <c r="DO26311" s="303" t="s">
        <v>232</v>
      </c>
    </row>
    <row r="26312" spans="119:119" x14ac:dyDescent="0.2">
      <c r="DO26312" s="303" t="s">
        <v>232</v>
      </c>
    </row>
    <row r="26313" spans="119:119" x14ac:dyDescent="0.2">
      <c r="DO26313" s="303" t="s">
        <v>232</v>
      </c>
    </row>
    <row r="26314" spans="119:119" x14ac:dyDescent="0.2">
      <c r="DO26314" s="303" t="s">
        <v>232</v>
      </c>
    </row>
    <row r="26315" spans="119:119" x14ac:dyDescent="0.2">
      <c r="DO26315" s="303" t="s">
        <v>232</v>
      </c>
    </row>
    <row r="26316" spans="119:119" x14ac:dyDescent="0.2">
      <c r="DO26316" s="303" t="s">
        <v>232</v>
      </c>
    </row>
    <row r="26317" spans="119:119" x14ac:dyDescent="0.2">
      <c r="DO26317" s="303" t="s">
        <v>232</v>
      </c>
    </row>
    <row r="26318" spans="119:119" x14ac:dyDescent="0.2">
      <c r="DO26318" s="303" t="s">
        <v>232</v>
      </c>
    </row>
    <row r="26319" spans="119:119" x14ac:dyDescent="0.2">
      <c r="DO26319" s="303" t="s">
        <v>232</v>
      </c>
    </row>
    <row r="26320" spans="119:119" x14ac:dyDescent="0.2">
      <c r="DO26320" s="303" t="s">
        <v>232</v>
      </c>
    </row>
    <row r="26321" spans="119:119" x14ac:dyDescent="0.2">
      <c r="DO26321" s="303" t="s">
        <v>232</v>
      </c>
    </row>
    <row r="26322" spans="119:119" x14ac:dyDescent="0.2">
      <c r="DO26322" s="303" t="s">
        <v>232</v>
      </c>
    </row>
    <row r="26323" spans="119:119" x14ac:dyDescent="0.2">
      <c r="DO26323" s="303" t="s">
        <v>232</v>
      </c>
    </row>
    <row r="26324" spans="119:119" x14ac:dyDescent="0.2">
      <c r="DO26324" s="303" t="s">
        <v>232</v>
      </c>
    </row>
    <row r="26325" spans="119:119" x14ac:dyDescent="0.2">
      <c r="DO26325" s="303" t="s">
        <v>232</v>
      </c>
    </row>
    <row r="26326" spans="119:119" x14ac:dyDescent="0.2">
      <c r="DO26326" s="303" t="s">
        <v>232</v>
      </c>
    </row>
    <row r="26327" spans="119:119" x14ac:dyDescent="0.2">
      <c r="DO26327" s="303" t="s">
        <v>232</v>
      </c>
    </row>
    <row r="26328" spans="119:119" x14ac:dyDescent="0.2">
      <c r="DO26328" s="303" t="s">
        <v>232</v>
      </c>
    </row>
    <row r="26329" spans="119:119" x14ac:dyDescent="0.2">
      <c r="DO26329" s="303" t="s">
        <v>232</v>
      </c>
    </row>
    <row r="26330" spans="119:119" x14ac:dyDescent="0.2">
      <c r="DO26330" s="303" t="s">
        <v>232</v>
      </c>
    </row>
    <row r="26331" spans="119:119" x14ac:dyDescent="0.2">
      <c r="DO26331" s="303" t="s">
        <v>232</v>
      </c>
    </row>
    <row r="26332" spans="119:119" x14ac:dyDescent="0.2">
      <c r="DO26332" s="303" t="s">
        <v>232</v>
      </c>
    </row>
    <row r="26333" spans="119:119" x14ac:dyDescent="0.2">
      <c r="DO26333" s="303" t="s">
        <v>232</v>
      </c>
    </row>
    <row r="26334" spans="119:119" x14ac:dyDescent="0.2">
      <c r="DO26334" s="303" t="s">
        <v>232</v>
      </c>
    </row>
    <row r="26335" spans="119:119" x14ac:dyDescent="0.2">
      <c r="DO26335" s="303" t="s">
        <v>232</v>
      </c>
    </row>
    <row r="26336" spans="119:119" x14ac:dyDescent="0.2">
      <c r="DO26336" s="303" t="s">
        <v>232</v>
      </c>
    </row>
    <row r="26337" spans="119:119" x14ac:dyDescent="0.2">
      <c r="DO26337" s="303" t="s">
        <v>232</v>
      </c>
    </row>
    <row r="26338" spans="119:119" x14ac:dyDescent="0.2">
      <c r="DO26338" s="303" t="s">
        <v>232</v>
      </c>
    </row>
    <row r="26339" spans="119:119" x14ac:dyDescent="0.2">
      <c r="DO26339" s="303" t="s">
        <v>232</v>
      </c>
    </row>
    <row r="26340" spans="119:119" x14ac:dyDescent="0.2">
      <c r="DO26340" s="303" t="s">
        <v>232</v>
      </c>
    </row>
    <row r="26341" spans="119:119" x14ac:dyDescent="0.2">
      <c r="DO26341" s="303" t="s">
        <v>232</v>
      </c>
    </row>
    <row r="26342" spans="119:119" x14ac:dyDescent="0.2">
      <c r="DO26342" s="303" t="s">
        <v>232</v>
      </c>
    </row>
    <row r="26343" spans="119:119" x14ac:dyDescent="0.2">
      <c r="DO26343" s="303" t="s">
        <v>232</v>
      </c>
    </row>
    <row r="26344" spans="119:119" x14ac:dyDescent="0.2">
      <c r="DO26344" s="303" t="s">
        <v>232</v>
      </c>
    </row>
    <row r="26345" spans="119:119" x14ac:dyDescent="0.2">
      <c r="DO26345" s="303" t="s">
        <v>232</v>
      </c>
    </row>
    <row r="26346" spans="119:119" x14ac:dyDescent="0.2">
      <c r="DO26346" s="303" t="s">
        <v>232</v>
      </c>
    </row>
    <row r="26347" spans="119:119" x14ac:dyDescent="0.2">
      <c r="DO26347" s="303" t="s">
        <v>232</v>
      </c>
    </row>
    <row r="26348" spans="119:119" x14ac:dyDescent="0.2">
      <c r="DO26348" s="303" t="s">
        <v>232</v>
      </c>
    </row>
    <row r="26349" spans="119:119" x14ac:dyDescent="0.2">
      <c r="DO26349" s="303" t="s">
        <v>232</v>
      </c>
    </row>
    <row r="26350" spans="119:119" x14ac:dyDescent="0.2">
      <c r="DO26350" s="303" t="s">
        <v>232</v>
      </c>
    </row>
    <row r="26351" spans="119:119" x14ac:dyDescent="0.2">
      <c r="DO26351" s="303" t="s">
        <v>232</v>
      </c>
    </row>
    <row r="26352" spans="119:119" x14ac:dyDescent="0.2">
      <c r="DO26352" s="303" t="s">
        <v>232</v>
      </c>
    </row>
    <row r="26353" spans="119:119" x14ac:dyDescent="0.2">
      <c r="DO26353" s="303" t="s">
        <v>232</v>
      </c>
    </row>
    <row r="26354" spans="119:119" x14ac:dyDescent="0.2">
      <c r="DO26354" s="303" t="s">
        <v>232</v>
      </c>
    </row>
    <row r="26355" spans="119:119" x14ac:dyDescent="0.2">
      <c r="DO26355" s="303" t="s">
        <v>232</v>
      </c>
    </row>
    <row r="26356" spans="119:119" x14ac:dyDescent="0.2">
      <c r="DO26356" s="303" t="s">
        <v>232</v>
      </c>
    </row>
    <row r="26357" spans="119:119" x14ac:dyDescent="0.2">
      <c r="DO26357" s="303" t="s">
        <v>232</v>
      </c>
    </row>
    <row r="26358" spans="119:119" x14ac:dyDescent="0.2">
      <c r="DO26358" s="303" t="s">
        <v>232</v>
      </c>
    </row>
    <row r="26359" spans="119:119" x14ac:dyDescent="0.2">
      <c r="DO26359" s="303" t="s">
        <v>232</v>
      </c>
    </row>
    <row r="26360" spans="119:119" x14ac:dyDescent="0.2">
      <c r="DO26360" s="303" t="s">
        <v>232</v>
      </c>
    </row>
    <row r="26361" spans="119:119" x14ac:dyDescent="0.2">
      <c r="DO26361" s="303" t="s">
        <v>232</v>
      </c>
    </row>
    <row r="26362" spans="119:119" x14ac:dyDescent="0.2">
      <c r="DO26362" s="303" t="s">
        <v>232</v>
      </c>
    </row>
    <row r="26363" spans="119:119" x14ac:dyDescent="0.2">
      <c r="DO26363" s="303" t="s">
        <v>232</v>
      </c>
    </row>
    <row r="26364" spans="119:119" x14ac:dyDescent="0.2">
      <c r="DO26364" s="303" t="s">
        <v>232</v>
      </c>
    </row>
    <row r="26365" spans="119:119" x14ac:dyDescent="0.2">
      <c r="DO26365" s="303" t="s">
        <v>232</v>
      </c>
    </row>
    <row r="26366" spans="119:119" x14ac:dyDescent="0.2">
      <c r="DO26366" s="303" t="s">
        <v>232</v>
      </c>
    </row>
    <row r="26367" spans="119:119" x14ac:dyDescent="0.2">
      <c r="DO26367" s="303" t="s">
        <v>232</v>
      </c>
    </row>
    <row r="26368" spans="119:119" x14ac:dyDescent="0.2">
      <c r="DO26368" s="303" t="s">
        <v>232</v>
      </c>
    </row>
    <row r="26369" spans="119:119" x14ac:dyDescent="0.2">
      <c r="DO26369" s="303" t="s">
        <v>232</v>
      </c>
    </row>
    <row r="26370" spans="119:119" x14ac:dyDescent="0.2">
      <c r="DO26370" s="303" t="s">
        <v>232</v>
      </c>
    </row>
    <row r="26371" spans="119:119" x14ac:dyDescent="0.2">
      <c r="DO26371" s="303" t="s">
        <v>232</v>
      </c>
    </row>
    <row r="26372" spans="119:119" x14ac:dyDescent="0.2">
      <c r="DO26372" s="303" t="s">
        <v>232</v>
      </c>
    </row>
    <row r="26373" spans="119:119" x14ac:dyDescent="0.2">
      <c r="DO26373" s="303" t="s">
        <v>232</v>
      </c>
    </row>
    <row r="26374" spans="119:119" x14ac:dyDescent="0.2">
      <c r="DO26374" s="303" t="s">
        <v>232</v>
      </c>
    </row>
    <row r="26375" spans="119:119" x14ac:dyDescent="0.2">
      <c r="DO26375" s="303" t="s">
        <v>232</v>
      </c>
    </row>
    <row r="26376" spans="119:119" x14ac:dyDescent="0.2">
      <c r="DO26376" s="303" t="s">
        <v>232</v>
      </c>
    </row>
    <row r="26377" spans="119:119" x14ac:dyDescent="0.2">
      <c r="DO26377" s="303" t="s">
        <v>232</v>
      </c>
    </row>
    <row r="26378" spans="119:119" x14ac:dyDescent="0.2">
      <c r="DO26378" s="303" t="s">
        <v>232</v>
      </c>
    </row>
    <row r="26379" spans="119:119" x14ac:dyDescent="0.2">
      <c r="DO26379" s="303" t="s">
        <v>232</v>
      </c>
    </row>
    <row r="26380" spans="119:119" x14ac:dyDescent="0.2">
      <c r="DO26380" s="303" t="s">
        <v>232</v>
      </c>
    </row>
    <row r="26381" spans="119:119" x14ac:dyDescent="0.2">
      <c r="DO26381" s="303" t="s">
        <v>232</v>
      </c>
    </row>
    <row r="26382" spans="119:119" x14ac:dyDescent="0.2">
      <c r="DO26382" s="303" t="s">
        <v>232</v>
      </c>
    </row>
    <row r="26383" spans="119:119" x14ac:dyDescent="0.2">
      <c r="DO26383" s="303" t="s">
        <v>232</v>
      </c>
    </row>
    <row r="26384" spans="119:119" x14ac:dyDescent="0.2">
      <c r="DO26384" s="303" t="s">
        <v>232</v>
      </c>
    </row>
    <row r="26385" spans="119:119" x14ac:dyDescent="0.2">
      <c r="DO26385" s="303" t="s">
        <v>232</v>
      </c>
    </row>
    <row r="26386" spans="119:119" x14ac:dyDescent="0.2">
      <c r="DO26386" s="303" t="s">
        <v>232</v>
      </c>
    </row>
    <row r="26387" spans="119:119" x14ac:dyDescent="0.2">
      <c r="DO26387" s="303" t="s">
        <v>232</v>
      </c>
    </row>
    <row r="26388" spans="119:119" x14ac:dyDescent="0.2">
      <c r="DO26388" s="303" t="s">
        <v>232</v>
      </c>
    </row>
    <row r="26389" spans="119:119" x14ac:dyDescent="0.2">
      <c r="DO26389" s="303" t="s">
        <v>232</v>
      </c>
    </row>
    <row r="26390" spans="119:119" x14ac:dyDescent="0.2">
      <c r="DO26390" s="303" t="s">
        <v>232</v>
      </c>
    </row>
    <row r="26391" spans="119:119" x14ac:dyDescent="0.2">
      <c r="DO26391" s="303" t="s">
        <v>232</v>
      </c>
    </row>
    <row r="26392" spans="119:119" x14ac:dyDescent="0.2">
      <c r="DO26392" s="303" t="s">
        <v>232</v>
      </c>
    </row>
    <row r="26393" spans="119:119" x14ac:dyDescent="0.2">
      <c r="DO26393" s="303" t="s">
        <v>232</v>
      </c>
    </row>
    <row r="26394" spans="119:119" x14ac:dyDescent="0.2">
      <c r="DO26394" s="303" t="s">
        <v>232</v>
      </c>
    </row>
    <row r="26395" spans="119:119" x14ac:dyDescent="0.2">
      <c r="DO26395" s="303" t="s">
        <v>232</v>
      </c>
    </row>
    <row r="26396" spans="119:119" x14ac:dyDescent="0.2">
      <c r="DO26396" s="303" t="s">
        <v>232</v>
      </c>
    </row>
    <row r="26397" spans="119:119" x14ac:dyDescent="0.2">
      <c r="DO26397" s="303" t="s">
        <v>232</v>
      </c>
    </row>
    <row r="26398" spans="119:119" x14ac:dyDescent="0.2">
      <c r="DO26398" s="303" t="s">
        <v>232</v>
      </c>
    </row>
    <row r="26399" spans="119:119" x14ac:dyDescent="0.2">
      <c r="DO26399" s="303" t="s">
        <v>232</v>
      </c>
    </row>
    <row r="26400" spans="119:119" x14ac:dyDescent="0.2">
      <c r="DO26400" s="303" t="s">
        <v>232</v>
      </c>
    </row>
    <row r="26401" spans="119:119" x14ac:dyDescent="0.2">
      <c r="DO26401" s="303" t="s">
        <v>232</v>
      </c>
    </row>
    <row r="26402" spans="119:119" x14ac:dyDescent="0.2">
      <c r="DO26402" s="303" t="s">
        <v>232</v>
      </c>
    </row>
    <row r="26403" spans="119:119" x14ac:dyDescent="0.2">
      <c r="DO26403" s="303" t="s">
        <v>232</v>
      </c>
    </row>
    <row r="26404" spans="119:119" x14ac:dyDescent="0.2">
      <c r="DO26404" s="303" t="s">
        <v>232</v>
      </c>
    </row>
    <row r="26405" spans="119:119" x14ac:dyDescent="0.2">
      <c r="DO26405" s="303" t="s">
        <v>232</v>
      </c>
    </row>
    <row r="26406" spans="119:119" x14ac:dyDescent="0.2">
      <c r="DO26406" s="303" t="s">
        <v>232</v>
      </c>
    </row>
    <row r="26407" spans="119:119" x14ac:dyDescent="0.2">
      <c r="DO26407" s="303" t="s">
        <v>232</v>
      </c>
    </row>
    <row r="26408" spans="119:119" x14ac:dyDescent="0.2">
      <c r="DO26408" s="303" t="s">
        <v>232</v>
      </c>
    </row>
    <row r="26409" spans="119:119" x14ac:dyDescent="0.2">
      <c r="DO26409" s="303" t="s">
        <v>232</v>
      </c>
    </row>
    <row r="26410" spans="119:119" x14ac:dyDescent="0.2">
      <c r="DO26410" s="303" t="s">
        <v>232</v>
      </c>
    </row>
    <row r="26411" spans="119:119" x14ac:dyDescent="0.2">
      <c r="DO26411" s="303" t="s">
        <v>232</v>
      </c>
    </row>
    <row r="26412" spans="119:119" x14ac:dyDescent="0.2">
      <c r="DO26412" s="303" t="s">
        <v>232</v>
      </c>
    </row>
    <row r="26413" spans="119:119" x14ac:dyDescent="0.2">
      <c r="DO26413" s="303" t="s">
        <v>232</v>
      </c>
    </row>
    <row r="26414" spans="119:119" x14ac:dyDescent="0.2">
      <c r="DO26414" s="303" t="s">
        <v>232</v>
      </c>
    </row>
    <row r="26415" spans="119:119" x14ac:dyDescent="0.2">
      <c r="DO26415" s="303" t="s">
        <v>232</v>
      </c>
    </row>
    <row r="26416" spans="119:119" x14ac:dyDescent="0.2">
      <c r="DO26416" s="303" t="s">
        <v>232</v>
      </c>
    </row>
    <row r="26417" spans="119:119" x14ac:dyDescent="0.2">
      <c r="DO26417" s="303" t="s">
        <v>232</v>
      </c>
    </row>
    <row r="26418" spans="119:119" x14ac:dyDescent="0.2">
      <c r="DO26418" s="303" t="s">
        <v>232</v>
      </c>
    </row>
    <row r="26419" spans="119:119" x14ac:dyDescent="0.2">
      <c r="DO26419" s="303" t="s">
        <v>232</v>
      </c>
    </row>
    <row r="26420" spans="119:119" x14ac:dyDescent="0.2">
      <c r="DO26420" s="303" t="s">
        <v>232</v>
      </c>
    </row>
    <row r="26421" spans="119:119" x14ac:dyDescent="0.2">
      <c r="DO26421" s="303" t="s">
        <v>232</v>
      </c>
    </row>
    <row r="26422" spans="119:119" x14ac:dyDescent="0.2">
      <c r="DO26422" s="303" t="s">
        <v>232</v>
      </c>
    </row>
    <row r="26423" spans="119:119" x14ac:dyDescent="0.2">
      <c r="DO26423" s="303" t="s">
        <v>232</v>
      </c>
    </row>
    <row r="26424" spans="119:119" x14ac:dyDescent="0.2">
      <c r="DO26424" s="303" t="s">
        <v>232</v>
      </c>
    </row>
    <row r="26425" spans="119:119" x14ac:dyDescent="0.2">
      <c r="DO26425" s="303" t="s">
        <v>232</v>
      </c>
    </row>
    <row r="26426" spans="119:119" x14ac:dyDescent="0.2">
      <c r="DO26426" s="303" t="s">
        <v>232</v>
      </c>
    </row>
    <row r="26427" spans="119:119" x14ac:dyDescent="0.2">
      <c r="DO26427" s="303" t="s">
        <v>232</v>
      </c>
    </row>
    <row r="26428" spans="119:119" x14ac:dyDescent="0.2">
      <c r="DO26428" s="303" t="s">
        <v>232</v>
      </c>
    </row>
    <row r="26429" spans="119:119" x14ac:dyDescent="0.2">
      <c r="DO26429" s="303" t="s">
        <v>232</v>
      </c>
    </row>
    <row r="26430" spans="119:119" x14ac:dyDescent="0.2">
      <c r="DO26430" s="303" t="s">
        <v>232</v>
      </c>
    </row>
    <row r="26431" spans="119:119" x14ac:dyDescent="0.2">
      <c r="DO26431" s="303" t="s">
        <v>232</v>
      </c>
    </row>
    <row r="26432" spans="119:119" x14ac:dyDescent="0.2">
      <c r="DO26432" s="303" t="s">
        <v>232</v>
      </c>
    </row>
    <row r="26433" spans="119:119" x14ac:dyDescent="0.2">
      <c r="DO26433" s="303" t="s">
        <v>232</v>
      </c>
    </row>
    <row r="26434" spans="119:119" x14ac:dyDescent="0.2">
      <c r="DO26434" s="303" t="s">
        <v>232</v>
      </c>
    </row>
    <row r="26435" spans="119:119" x14ac:dyDescent="0.2">
      <c r="DO26435" s="303" t="s">
        <v>232</v>
      </c>
    </row>
    <row r="26436" spans="119:119" x14ac:dyDescent="0.2">
      <c r="DO26436" s="303" t="s">
        <v>232</v>
      </c>
    </row>
    <row r="26437" spans="119:119" x14ac:dyDescent="0.2">
      <c r="DO26437" s="303" t="s">
        <v>232</v>
      </c>
    </row>
    <row r="26438" spans="119:119" x14ac:dyDescent="0.2">
      <c r="DO26438" s="303" t="s">
        <v>232</v>
      </c>
    </row>
    <row r="26439" spans="119:119" x14ac:dyDescent="0.2">
      <c r="DO26439" s="303" t="s">
        <v>232</v>
      </c>
    </row>
    <row r="26440" spans="119:119" x14ac:dyDescent="0.2">
      <c r="DO26440" s="303" t="s">
        <v>232</v>
      </c>
    </row>
    <row r="26441" spans="119:119" x14ac:dyDescent="0.2">
      <c r="DO26441" s="303" t="s">
        <v>232</v>
      </c>
    </row>
    <row r="26442" spans="119:119" x14ac:dyDescent="0.2">
      <c r="DO26442" s="303" t="s">
        <v>232</v>
      </c>
    </row>
    <row r="26443" spans="119:119" x14ac:dyDescent="0.2">
      <c r="DO26443" s="303" t="s">
        <v>232</v>
      </c>
    </row>
    <row r="26444" spans="119:119" x14ac:dyDescent="0.2">
      <c r="DO26444" s="303" t="s">
        <v>232</v>
      </c>
    </row>
    <row r="26445" spans="119:119" x14ac:dyDescent="0.2">
      <c r="DO26445" s="303" t="s">
        <v>232</v>
      </c>
    </row>
    <row r="26446" spans="119:119" x14ac:dyDescent="0.2">
      <c r="DO26446" s="303" t="s">
        <v>232</v>
      </c>
    </row>
    <row r="26447" spans="119:119" x14ac:dyDescent="0.2">
      <c r="DO26447" s="303" t="s">
        <v>232</v>
      </c>
    </row>
    <row r="26448" spans="119:119" x14ac:dyDescent="0.2">
      <c r="DO26448" s="303" t="s">
        <v>232</v>
      </c>
    </row>
    <row r="26449" spans="119:119" x14ac:dyDescent="0.2">
      <c r="DO26449" s="303" t="s">
        <v>232</v>
      </c>
    </row>
    <row r="26450" spans="119:119" x14ac:dyDescent="0.2">
      <c r="DO26450" s="303" t="s">
        <v>232</v>
      </c>
    </row>
    <row r="26451" spans="119:119" x14ac:dyDescent="0.2">
      <c r="DO26451" s="303" t="s">
        <v>232</v>
      </c>
    </row>
    <row r="26452" spans="119:119" x14ac:dyDescent="0.2">
      <c r="DO26452" s="303" t="s">
        <v>232</v>
      </c>
    </row>
    <row r="26453" spans="119:119" x14ac:dyDescent="0.2">
      <c r="DO26453" s="303" t="s">
        <v>232</v>
      </c>
    </row>
    <row r="26454" spans="119:119" x14ac:dyDescent="0.2">
      <c r="DO26454" s="303" t="s">
        <v>232</v>
      </c>
    </row>
    <row r="26455" spans="119:119" x14ac:dyDescent="0.2">
      <c r="DO26455" s="303" t="s">
        <v>232</v>
      </c>
    </row>
    <row r="26456" spans="119:119" x14ac:dyDescent="0.2">
      <c r="DO26456" s="303" t="s">
        <v>232</v>
      </c>
    </row>
    <row r="26457" spans="119:119" x14ac:dyDescent="0.2">
      <c r="DO26457" s="303" t="s">
        <v>232</v>
      </c>
    </row>
    <row r="26458" spans="119:119" x14ac:dyDescent="0.2">
      <c r="DO26458" s="303" t="s">
        <v>232</v>
      </c>
    </row>
    <row r="26459" spans="119:119" x14ac:dyDescent="0.2">
      <c r="DO26459" s="303" t="s">
        <v>232</v>
      </c>
    </row>
    <row r="26460" spans="119:119" x14ac:dyDescent="0.2">
      <c r="DO26460" s="303" t="s">
        <v>232</v>
      </c>
    </row>
    <row r="26461" spans="119:119" x14ac:dyDescent="0.2">
      <c r="DO26461" s="303" t="s">
        <v>232</v>
      </c>
    </row>
    <row r="26462" spans="119:119" x14ac:dyDescent="0.2">
      <c r="DO26462" s="303" t="s">
        <v>232</v>
      </c>
    </row>
    <row r="26463" spans="119:119" x14ac:dyDescent="0.2">
      <c r="DO26463" s="303" t="s">
        <v>232</v>
      </c>
    </row>
    <row r="26464" spans="119:119" x14ac:dyDescent="0.2">
      <c r="DO26464" s="303" t="s">
        <v>232</v>
      </c>
    </row>
    <row r="26465" spans="119:119" x14ac:dyDescent="0.2">
      <c r="DO26465" s="303" t="s">
        <v>232</v>
      </c>
    </row>
    <row r="26466" spans="119:119" x14ac:dyDescent="0.2">
      <c r="DO26466" s="303" t="s">
        <v>232</v>
      </c>
    </row>
    <row r="26467" spans="119:119" x14ac:dyDescent="0.2">
      <c r="DO26467" s="303" t="s">
        <v>232</v>
      </c>
    </row>
    <row r="26468" spans="119:119" x14ac:dyDescent="0.2">
      <c r="DO26468" s="303" t="s">
        <v>232</v>
      </c>
    </row>
    <row r="26469" spans="119:119" x14ac:dyDescent="0.2">
      <c r="DO26469" s="303" t="s">
        <v>232</v>
      </c>
    </row>
    <row r="26470" spans="119:119" x14ac:dyDescent="0.2">
      <c r="DO26470" s="303" t="s">
        <v>232</v>
      </c>
    </row>
    <row r="26471" spans="119:119" x14ac:dyDescent="0.2">
      <c r="DO26471" s="303" t="s">
        <v>232</v>
      </c>
    </row>
    <row r="26472" spans="119:119" x14ac:dyDescent="0.2">
      <c r="DO26472" s="303" t="s">
        <v>232</v>
      </c>
    </row>
    <row r="26473" spans="119:119" x14ac:dyDescent="0.2">
      <c r="DO26473" s="303" t="s">
        <v>232</v>
      </c>
    </row>
    <row r="26474" spans="119:119" x14ac:dyDescent="0.2">
      <c r="DO26474" s="303" t="s">
        <v>232</v>
      </c>
    </row>
    <row r="26475" spans="119:119" x14ac:dyDescent="0.2">
      <c r="DO26475" s="303" t="s">
        <v>232</v>
      </c>
    </row>
    <row r="26476" spans="119:119" x14ac:dyDescent="0.2">
      <c r="DO26476" s="303" t="s">
        <v>232</v>
      </c>
    </row>
    <row r="26477" spans="119:119" x14ac:dyDescent="0.2">
      <c r="DO26477" s="303" t="s">
        <v>232</v>
      </c>
    </row>
    <row r="26478" spans="119:119" x14ac:dyDescent="0.2">
      <c r="DO26478" s="303" t="s">
        <v>232</v>
      </c>
    </row>
    <row r="26479" spans="119:119" x14ac:dyDescent="0.2">
      <c r="DO26479" s="303" t="s">
        <v>232</v>
      </c>
    </row>
    <row r="26480" spans="119:119" x14ac:dyDescent="0.2">
      <c r="DO26480" s="303" t="s">
        <v>232</v>
      </c>
    </row>
    <row r="26481" spans="119:119" x14ac:dyDescent="0.2">
      <c r="DO26481" s="303" t="s">
        <v>232</v>
      </c>
    </row>
    <row r="26482" spans="119:119" x14ac:dyDescent="0.2">
      <c r="DO26482" s="303" t="s">
        <v>232</v>
      </c>
    </row>
    <row r="26483" spans="119:119" x14ac:dyDescent="0.2">
      <c r="DO26483" s="303" t="s">
        <v>232</v>
      </c>
    </row>
    <row r="26484" spans="119:119" x14ac:dyDescent="0.2">
      <c r="DO26484" s="303" t="s">
        <v>232</v>
      </c>
    </row>
    <row r="26485" spans="119:119" x14ac:dyDescent="0.2">
      <c r="DO26485" s="303" t="s">
        <v>232</v>
      </c>
    </row>
    <row r="26486" spans="119:119" x14ac:dyDescent="0.2">
      <c r="DO26486" s="303" t="s">
        <v>232</v>
      </c>
    </row>
    <row r="26487" spans="119:119" x14ac:dyDescent="0.2">
      <c r="DO26487" s="303" t="s">
        <v>232</v>
      </c>
    </row>
    <row r="26488" spans="119:119" x14ac:dyDescent="0.2">
      <c r="DO26488" s="303" t="s">
        <v>232</v>
      </c>
    </row>
    <row r="26489" spans="119:119" x14ac:dyDescent="0.2">
      <c r="DO26489" s="303" t="s">
        <v>232</v>
      </c>
    </row>
    <row r="26490" spans="119:119" x14ac:dyDescent="0.2">
      <c r="DO26490" s="303" t="s">
        <v>232</v>
      </c>
    </row>
    <row r="26491" spans="119:119" x14ac:dyDescent="0.2">
      <c r="DO26491" s="303" t="s">
        <v>232</v>
      </c>
    </row>
    <row r="26492" spans="119:119" x14ac:dyDescent="0.2">
      <c r="DO26492" s="303" t="s">
        <v>232</v>
      </c>
    </row>
    <row r="26493" spans="119:119" x14ac:dyDescent="0.2">
      <c r="DO26493" s="303" t="s">
        <v>232</v>
      </c>
    </row>
    <row r="26494" spans="119:119" x14ac:dyDescent="0.2">
      <c r="DO26494" s="303" t="s">
        <v>232</v>
      </c>
    </row>
    <row r="26495" spans="119:119" x14ac:dyDescent="0.2">
      <c r="DO26495" s="303" t="s">
        <v>232</v>
      </c>
    </row>
    <row r="26496" spans="119:119" x14ac:dyDescent="0.2">
      <c r="DO26496" s="303" t="s">
        <v>232</v>
      </c>
    </row>
    <row r="26497" spans="119:119" x14ac:dyDescent="0.2">
      <c r="DO26497" s="303" t="s">
        <v>232</v>
      </c>
    </row>
    <row r="26498" spans="119:119" x14ac:dyDescent="0.2">
      <c r="DO26498" s="303" t="s">
        <v>232</v>
      </c>
    </row>
    <row r="26499" spans="119:119" x14ac:dyDescent="0.2">
      <c r="DO26499" s="303" t="s">
        <v>232</v>
      </c>
    </row>
    <row r="26500" spans="119:119" x14ac:dyDescent="0.2">
      <c r="DO26500" s="303" t="s">
        <v>232</v>
      </c>
    </row>
    <row r="26501" spans="119:119" x14ac:dyDescent="0.2">
      <c r="DO26501" s="303" t="s">
        <v>232</v>
      </c>
    </row>
    <row r="26502" spans="119:119" x14ac:dyDescent="0.2">
      <c r="DO26502" s="303" t="s">
        <v>232</v>
      </c>
    </row>
    <row r="26503" spans="119:119" x14ac:dyDescent="0.2">
      <c r="DO26503" s="303" t="s">
        <v>232</v>
      </c>
    </row>
    <row r="26504" spans="119:119" x14ac:dyDescent="0.2">
      <c r="DO26504" s="303" t="s">
        <v>232</v>
      </c>
    </row>
    <row r="26505" spans="119:119" x14ac:dyDescent="0.2">
      <c r="DO26505" s="303" t="s">
        <v>232</v>
      </c>
    </row>
    <row r="26506" spans="119:119" x14ac:dyDescent="0.2">
      <c r="DO26506" s="303" t="s">
        <v>232</v>
      </c>
    </row>
    <row r="26507" spans="119:119" x14ac:dyDescent="0.2">
      <c r="DO26507" s="303" t="s">
        <v>232</v>
      </c>
    </row>
    <row r="26508" spans="119:119" x14ac:dyDescent="0.2">
      <c r="DO26508" s="303" t="s">
        <v>232</v>
      </c>
    </row>
    <row r="26509" spans="119:119" x14ac:dyDescent="0.2">
      <c r="DO26509" s="303" t="s">
        <v>232</v>
      </c>
    </row>
    <row r="26510" spans="119:119" x14ac:dyDescent="0.2">
      <c r="DO26510" s="303" t="s">
        <v>232</v>
      </c>
    </row>
    <row r="26511" spans="119:119" x14ac:dyDescent="0.2">
      <c r="DO26511" s="303" t="s">
        <v>232</v>
      </c>
    </row>
    <row r="26512" spans="119:119" x14ac:dyDescent="0.2">
      <c r="DO26512" s="303" t="s">
        <v>232</v>
      </c>
    </row>
    <row r="26513" spans="119:119" x14ac:dyDescent="0.2">
      <c r="DO26513" s="303" t="s">
        <v>232</v>
      </c>
    </row>
    <row r="26514" spans="119:119" x14ac:dyDescent="0.2">
      <c r="DO26514" s="303" t="s">
        <v>232</v>
      </c>
    </row>
    <row r="26515" spans="119:119" x14ac:dyDescent="0.2">
      <c r="DO26515" s="303" t="s">
        <v>232</v>
      </c>
    </row>
    <row r="26516" spans="119:119" x14ac:dyDescent="0.2">
      <c r="DO26516" s="303" t="s">
        <v>232</v>
      </c>
    </row>
    <row r="26517" spans="119:119" x14ac:dyDescent="0.2">
      <c r="DO26517" s="303" t="s">
        <v>232</v>
      </c>
    </row>
    <row r="26518" spans="119:119" x14ac:dyDescent="0.2">
      <c r="DO26518" s="303" t="s">
        <v>232</v>
      </c>
    </row>
    <row r="26519" spans="119:119" x14ac:dyDescent="0.2">
      <c r="DO26519" s="303" t="s">
        <v>232</v>
      </c>
    </row>
    <row r="26520" spans="119:119" x14ac:dyDescent="0.2">
      <c r="DO26520" s="303" t="s">
        <v>232</v>
      </c>
    </row>
    <row r="26521" spans="119:119" x14ac:dyDescent="0.2">
      <c r="DO26521" s="303" t="s">
        <v>232</v>
      </c>
    </row>
    <row r="26522" spans="119:119" x14ac:dyDescent="0.2">
      <c r="DO26522" s="303" t="s">
        <v>232</v>
      </c>
    </row>
    <row r="26523" spans="119:119" x14ac:dyDescent="0.2">
      <c r="DO26523" s="303" t="s">
        <v>232</v>
      </c>
    </row>
    <row r="26524" spans="119:119" x14ac:dyDescent="0.2">
      <c r="DO26524" s="303" t="s">
        <v>232</v>
      </c>
    </row>
    <row r="26525" spans="119:119" x14ac:dyDescent="0.2">
      <c r="DO26525" s="303" t="s">
        <v>232</v>
      </c>
    </row>
    <row r="26526" spans="119:119" x14ac:dyDescent="0.2">
      <c r="DO26526" s="303" t="s">
        <v>232</v>
      </c>
    </row>
    <row r="26527" spans="119:119" x14ac:dyDescent="0.2">
      <c r="DO26527" s="303" t="s">
        <v>232</v>
      </c>
    </row>
    <row r="26528" spans="119:119" x14ac:dyDescent="0.2">
      <c r="DO26528" s="303" t="s">
        <v>232</v>
      </c>
    </row>
    <row r="26529" spans="119:119" x14ac:dyDescent="0.2">
      <c r="DO26529" s="303" t="s">
        <v>232</v>
      </c>
    </row>
    <row r="26530" spans="119:119" x14ac:dyDescent="0.2">
      <c r="DO26530" s="303" t="s">
        <v>232</v>
      </c>
    </row>
    <row r="26531" spans="119:119" x14ac:dyDescent="0.2">
      <c r="DO26531" s="303" t="s">
        <v>232</v>
      </c>
    </row>
    <row r="26532" spans="119:119" x14ac:dyDescent="0.2">
      <c r="DO26532" s="303" t="s">
        <v>232</v>
      </c>
    </row>
    <row r="26533" spans="119:119" x14ac:dyDescent="0.2">
      <c r="DO26533" s="303" t="s">
        <v>232</v>
      </c>
    </row>
    <row r="26534" spans="119:119" x14ac:dyDescent="0.2">
      <c r="DO26534" s="303" t="s">
        <v>232</v>
      </c>
    </row>
    <row r="26535" spans="119:119" x14ac:dyDescent="0.2">
      <c r="DO26535" s="303" t="s">
        <v>232</v>
      </c>
    </row>
    <row r="26536" spans="119:119" x14ac:dyDescent="0.2">
      <c r="DO26536" s="303" t="s">
        <v>232</v>
      </c>
    </row>
    <row r="26537" spans="119:119" x14ac:dyDescent="0.2">
      <c r="DO26537" s="303" t="s">
        <v>232</v>
      </c>
    </row>
    <row r="26538" spans="119:119" x14ac:dyDescent="0.2">
      <c r="DO26538" s="303" t="s">
        <v>232</v>
      </c>
    </row>
    <row r="26539" spans="119:119" x14ac:dyDescent="0.2">
      <c r="DO26539" s="303" t="s">
        <v>232</v>
      </c>
    </row>
    <row r="26540" spans="119:119" x14ac:dyDescent="0.2">
      <c r="DO26540" s="303" t="s">
        <v>232</v>
      </c>
    </row>
    <row r="26541" spans="119:119" x14ac:dyDescent="0.2">
      <c r="DO26541" s="303" t="s">
        <v>232</v>
      </c>
    </row>
    <row r="26542" spans="119:119" x14ac:dyDescent="0.2">
      <c r="DO26542" s="303" t="s">
        <v>232</v>
      </c>
    </row>
    <row r="26543" spans="119:119" x14ac:dyDescent="0.2">
      <c r="DO26543" s="303" t="s">
        <v>232</v>
      </c>
    </row>
    <row r="26544" spans="119:119" x14ac:dyDescent="0.2">
      <c r="DO26544" s="303" t="s">
        <v>232</v>
      </c>
    </row>
    <row r="26545" spans="119:119" x14ac:dyDescent="0.2">
      <c r="DO26545" s="303" t="s">
        <v>232</v>
      </c>
    </row>
    <row r="26546" spans="119:119" x14ac:dyDescent="0.2">
      <c r="DO26546" s="303" t="s">
        <v>232</v>
      </c>
    </row>
    <row r="26547" spans="119:119" x14ac:dyDescent="0.2">
      <c r="DO26547" s="303" t="s">
        <v>232</v>
      </c>
    </row>
    <row r="26548" spans="119:119" x14ac:dyDescent="0.2">
      <c r="DO26548" s="303" t="s">
        <v>232</v>
      </c>
    </row>
    <row r="26549" spans="119:119" x14ac:dyDescent="0.2">
      <c r="DO26549" s="303" t="s">
        <v>232</v>
      </c>
    </row>
    <row r="26550" spans="119:119" x14ac:dyDescent="0.2">
      <c r="DO26550" s="303" t="s">
        <v>232</v>
      </c>
    </row>
    <row r="26551" spans="119:119" x14ac:dyDescent="0.2">
      <c r="DO26551" s="303" t="s">
        <v>232</v>
      </c>
    </row>
    <row r="26552" spans="119:119" x14ac:dyDescent="0.2">
      <c r="DO26552" s="303" t="s">
        <v>232</v>
      </c>
    </row>
    <row r="26553" spans="119:119" x14ac:dyDescent="0.2">
      <c r="DO26553" s="303" t="s">
        <v>232</v>
      </c>
    </row>
    <row r="26554" spans="119:119" x14ac:dyDescent="0.2">
      <c r="DO26554" s="303" t="s">
        <v>232</v>
      </c>
    </row>
    <row r="26555" spans="119:119" x14ac:dyDescent="0.2">
      <c r="DO26555" s="303" t="s">
        <v>232</v>
      </c>
    </row>
    <row r="26556" spans="119:119" x14ac:dyDescent="0.2">
      <c r="DO26556" s="303" t="s">
        <v>232</v>
      </c>
    </row>
    <row r="26557" spans="119:119" x14ac:dyDescent="0.2">
      <c r="DO26557" s="303" t="s">
        <v>232</v>
      </c>
    </row>
    <row r="26558" spans="119:119" x14ac:dyDescent="0.2">
      <c r="DO26558" s="303" t="s">
        <v>232</v>
      </c>
    </row>
    <row r="26559" spans="119:119" x14ac:dyDescent="0.2">
      <c r="DO26559" s="303" t="s">
        <v>232</v>
      </c>
    </row>
    <row r="26560" spans="119:119" x14ac:dyDescent="0.2">
      <c r="DO26560" s="303" t="s">
        <v>232</v>
      </c>
    </row>
    <row r="26561" spans="119:119" x14ac:dyDescent="0.2">
      <c r="DO26561" s="303" t="s">
        <v>232</v>
      </c>
    </row>
    <row r="26562" spans="119:119" x14ac:dyDescent="0.2">
      <c r="DO26562" s="303" t="s">
        <v>232</v>
      </c>
    </row>
    <row r="26563" spans="119:119" x14ac:dyDescent="0.2">
      <c r="DO26563" s="303" t="s">
        <v>232</v>
      </c>
    </row>
    <row r="26564" spans="119:119" x14ac:dyDescent="0.2">
      <c r="DO26564" s="303" t="s">
        <v>232</v>
      </c>
    </row>
    <row r="26565" spans="119:119" x14ac:dyDescent="0.2">
      <c r="DO26565" s="303" t="s">
        <v>232</v>
      </c>
    </row>
    <row r="26566" spans="119:119" x14ac:dyDescent="0.2">
      <c r="DO26566" s="303" t="s">
        <v>232</v>
      </c>
    </row>
    <row r="26567" spans="119:119" x14ac:dyDescent="0.2">
      <c r="DO26567" s="303" t="s">
        <v>232</v>
      </c>
    </row>
    <row r="26568" spans="119:119" x14ac:dyDescent="0.2">
      <c r="DO26568" s="303" t="s">
        <v>232</v>
      </c>
    </row>
    <row r="26569" spans="119:119" x14ac:dyDescent="0.2">
      <c r="DO26569" s="303" t="s">
        <v>232</v>
      </c>
    </row>
    <row r="26570" spans="119:119" x14ac:dyDescent="0.2">
      <c r="DO26570" s="303" t="s">
        <v>232</v>
      </c>
    </row>
    <row r="26571" spans="119:119" x14ac:dyDescent="0.2">
      <c r="DO26571" s="303" t="s">
        <v>232</v>
      </c>
    </row>
    <row r="26572" spans="119:119" x14ac:dyDescent="0.2">
      <c r="DO26572" s="303" t="s">
        <v>232</v>
      </c>
    </row>
    <row r="26573" spans="119:119" x14ac:dyDescent="0.2">
      <c r="DO26573" s="303" t="s">
        <v>232</v>
      </c>
    </row>
    <row r="26574" spans="119:119" x14ac:dyDescent="0.2">
      <c r="DO26574" s="303" t="s">
        <v>232</v>
      </c>
    </row>
    <row r="26575" spans="119:119" x14ac:dyDescent="0.2">
      <c r="DO26575" s="303" t="s">
        <v>232</v>
      </c>
    </row>
    <row r="26576" spans="119:119" x14ac:dyDescent="0.2">
      <c r="DO26576" s="303" t="s">
        <v>232</v>
      </c>
    </row>
    <row r="26577" spans="119:119" x14ac:dyDescent="0.2">
      <c r="DO26577" s="303" t="s">
        <v>232</v>
      </c>
    </row>
    <row r="26578" spans="119:119" x14ac:dyDescent="0.2">
      <c r="DO26578" s="303" t="s">
        <v>232</v>
      </c>
    </row>
    <row r="26579" spans="119:119" x14ac:dyDescent="0.2">
      <c r="DO26579" s="303" t="s">
        <v>232</v>
      </c>
    </row>
    <row r="26580" spans="119:119" x14ac:dyDescent="0.2">
      <c r="DO26580" s="303" t="s">
        <v>232</v>
      </c>
    </row>
    <row r="26581" spans="119:119" x14ac:dyDescent="0.2">
      <c r="DO26581" s="303" t="s">
        <v>232</v>
      </c>
    </row>
    <row r="26582" spans="119:119" x14ac:dyDescent="0.2">
      <c r="DO26582" s="303" t="s">
        <v>232</v>
      </c>
    </row>
    <row r="26583" spans="119:119" x14ac:dyDescent="0.2">
      <c r="DO26583" s="303" t="s">
        <v>232</v>
      </c>
    </row>
    <row r="26584" spans="119:119" x14ac:dyDescent="0.2">
      <c r="DO26584" s="303" t="s">
        <v>232</v>
      </c>
    </row>
    <row r="26585" spans="119:119" x14ac:dyDescent="0.2">
      <c r="DO26585" s="303" t="s">
        <v>232</v>
      </c>
    </row>
    <row r="26586" spans="119:119" x14ac:dyDescent="0.2">
      <c r="DO26586" s="303" t="s">
        <v>232</v>
      </c>
    </row>
    <row r="26587" spans="119:119" x14ac:dyDescent="0.2">
      <c r="DO26587" s="303" t="s">
        <v>232</v>
      </c>
    </row>
    <row r="26588" spans="119:119" x14ac:dyDescent="0.2">
      <c r="DO26588" s="303" t="s">
        <v>232</v>
      </c>
    </row>
    <row r="26589" spans="119:119" x14ac:dyDescent="0.2">
      <c r="DO26589" s="303" t="s">
        <v>232</v>
      </c>
    </row>
    <row r="26590" spans="119:119" x14ac:dyDescent="0.2">
      <c r="DO26590" s="303" t="s">
        <v>232</v>
      </c>
    </row>
    <row r="26591" spans="119:119" x14ac:dyDescent="0.2">
      <c r="DO26591" s="303" t="s">
        <v>232</v>
      </c>
    </row>
    <row r="26592" spans="119:119" x14ac:dyDescent="0.2">
      <c r="DO26592" s="303" t="s">
        <v>232</v>
      </c>
    </row>
    <row r="26593" spans="119:119" x14ac:dyDescent="0.2">
      <c r="DO26593" s="303" t="s">
        <v>232</v>
      </c>
    </row>
    <row r="26594" spans="119:119" x14ac:dyDescent="0.2">
      <c r="DO26594" s="303" t="s">
        <v>232</v>
      </c>
    </row>
    <row r="26595" spans="119:119" x14ac:dyDescent="0.2">
      <c r="DO26595" s="303" t="s">
        <v>232</v>
      </c>
    </row>
    <row r="26596" spans="119:119" x14ac:dyDescent="0.2">
      <c r="DO26596" s="303" t="s">
        <v>232</v>
      </c>
    </row>
    <row r="26597" spans="119:119" x14ac:dyDescent="0.2">
      <c r="DO26597" s="303" t="s">
        <v>232</v>
      </c>
    </row>
    <row r="26598" spans="119:119" x14ac:dyDescent="0.2">
      <c r="DO26598" s="303" t="s">
        <v>232</v>
      </c>
    </row>
    <row r="26599" spans="119:119" x14ac:dyDescent="0.2">
      <c r="DO26599" s="303" t="s">
        <v>232</v>
      </c>
    </row>
    <row r="26600" spans="119:119" x14ac:dyDescent="0.2">
      <c r="DO26600" s="303" t="s">
        <v>232</v>
      </c>
    </row>
    <row r="26601" spans="119:119" x14ac:dyDescent="0.2">
      <c r="DO26601" s="303" t="s">
        <v>232</v>
      </c>
    </row>
    <row r="26602" spans="119:119" x14ac:dyDescent="0.2">
      <c r="DO26602" s="303" t="s">
        <v>232</v>
      </c>
    </row>
    <row r="26603" spans="119:119" x14ac:dyDescent="0.2">
      <c r="DO26603" s="303" t="s">
        <v>232</v>
      </c>
    </row>
    <row r="26604" spans="119:119" x14ac:dyDescent="0.2">
      <c r="DO26604" s="303" t="s">
        <v>232</v>
      </c>
    </row>
    <row r="26605" spans="119:119" x14ac:dyDescent="0.2">
      <c r="DO26605" s="303" t="s">
        <v>232</v>
      </c>
    </row>
    <row r="26606" spans="119:119" x14ac:dyDescent="0.2">
      <c r="DO26606" s="303" t="s">
        <v>232</v>
      </c>
    </row>
    <row r="26607" spans="119:119" x14ac:dyDescent="0.2">
      <c r="DO26607" s="303" t="s">
        <v>232</v>
      </c>
    </row>
    <row r="26608" spans="119:119" x14ac:dyDescent="0.2">
      <c r="DO26608" s="303" t="s">
        <v>232</v>
      </c>
    </row>
    <row r="26609" spans="119:119" x14ac:dyDescent="0.2">
      <c r="DO26609" s="303" t="s">
        <v>232</v>
      </c>
    </row>
    <row r="26610" spans="119:119" x14ac:dyDescent="0.2">
      <c r="DO26610" s="303" t="s">
        <v>232</v>
      </c>
    </row>
    <row r="26611" spans="119:119" x14ac:dyDescent="0.2">
      <c r="DO26611" s="303" t="s">
        <v>232</v>
      </c>
    </row>
    <row r="26612" spans="119:119" x14ac:dyDescent="0.2">
      <c r="DO26612" s="303" t="s">
        <v>232</v>
      </c>
    </row>
    <row r="26613" spans="119:119" x14ac:dyDescent="0.2">
      <c r="DO26613" s="303" t="s">
        <v>232</v>
      </c>
    </row>
    <row r="26614" spans="119:119" x14ac:dyDescent="0.2">
      <c r="DO26614" s="303" t="s">
        <v>232</v>
      </c>
    </row>
    <row r="26615" spans="119:119" x14ac:dyDescent="0.2">
      <c r="DO26615" s="303" t="s">
        <v>232</v>
      </c>
    </row>
    <row r="26616" spans="119:119" x14ac:dyDescent="0.2">
      <c r="DO26616" s="303" t="s">
        <v>232</v>
      </c>
    </row>
    <row r="26617" spans="119:119" x14ac:dyDescent="0.2">
      <c r="DO26617" s="303" t="s">
        <v>232</v>
      </c>
    </row>
    <row r="26618" spans="119:119" x14ac:dyDescent="0.2">
      <c r="DO26618" s="303" t="s">
        <v>232</v>
      </c>
    </row>
    <row r="26619" spans="119:119" x14ac:dyDescent="0.2">
      <c r="DO26619" s="303" t="s">
        <v>232</v>
      </c>
    </row>
    <row r="26620" spans="119:119" x14ac:dyDescent="0.2">
      <c r="DO26620" s="303" t="s">
        <v>232</v>
      </c>
    </row>
    <row r="26621" spans="119:119" x14ac:dyDescent="0.2">
      <c r="DO26621" s="303" t="s">
        <v>232</v>
      </c>
    </row>
    <row r="26622" spans="119:119" x14ac:dyDescent="0.2">
      <c r="DO26622" s="303" t="s">
        <v>232</v>
      </c>
    </row>
    <row r="26623" spans="119:119" x14ac:dyDescent="0.2">
      <c r="DO26623" s="303" t="s">
        <v>232</v>
      </c>
    </row>
    <row r="26624" spans="119:119" x14ac:dyDescent="0.2">
      <c r="DO26624" s="303" t="s">
        <v>232</v>
      </c>
    </row>
    <row r="26625" spans="119:119" x14ac:dyDescent="0.2">
      <c r="DO26625" s="303" t="s">
        <v>232</v>
      </c>
    </row>
    <row r="26626" spans="119:119" x14ac:dyDescent="0.2">
      <c r="DO26626" s="303" t="s">
        <v>232</v>
      </c>
    </row>
    <row r="26627" spans="119:119" x14ac:dyDescent="0.2">
      <c r="DO26627" s="303" t="s">
        <v>232</v>
      </c>
    </row>
    <row r="26628" spans="119:119" x14ac:dyDescent="0.2">
      <c r="DO26628" s="303" t="s">
        <v>232</v>
      </c>
    </row>
    <row r="26629" spans="119:119" x14ac:dyDescent="0.2">
      <c r="DO26629" s="303" t="s">
        <v>232</v>
      </c>
    </row>
    <row r="26630" spans="119:119" x14ac:dyDescent="0.2">
      <c r="DO26630" s="303" t="s">
        <v>232</v>
      </c>
    </row>
    <row r="26631" spans="119:119" x14ac:dyDescent="0.2">
      <c r="DO26631" s="303" t="s">
        <v>232</v>
      </c>
    </row>
    <row r="26632" spans="119:119" x14ac:dyDescent="0.2">
      <c r="DO26632" s="303" t="s">
        <v>232</v>
      </c>
    </row>
    <row r="26633" spans="119:119" x14ac:dyDescent="0.2">
      <c r="DO26633" s="303" t="s">
        <v>232</v>
      </c>
    </row>
    <row r="26634" spans="119:119" x14ac:dyDescent="0.2">
      <c r="DO26634" s="303" t="s">
        <v>232</v>
      </c>
    </row>
    <row r="26635" spans="119:119" x14ac:dyDescent="0.2">
      <c r="DO26635" s="303" t="s">
        <v>232</v>
      </c>
    </row>
    <row r="26636" spans="119:119" x14ac:dyDescent="0.2">
      <c r="DO26636" s="303" t="s">
        <v>232</v>
      </c>
    </row>
    <row r="26637" spans="119:119" x14ac:dyDescent="0.2">
      <c r="DO26637" s="303" t="s">
        <v>232</v>
      </c>
    </row>
    <row r="26638" spans="119:119" x14ac:dyDescent="0.2">
      <c r="DO26638" s="303" t="s">
        <v>232</v>
      </c>
    </row>
    <row r="26639" spans="119:119" x14ac:dyDescent="0.2">
      <c r="DO26639" s="303" t="s">
        <v>232</v>
      </c>
    </row>
    <row r="26640" spans="119:119" x14ac:dyDescent="0.2">
      <c r="DO26640" s="303" t="s">
        <v>232</v>
      </c>
    </row>
    <row r="26641" spans="119:119" x14ac:dyDescent="0.2">
      <c r="DO26641" s="303" t="s">
        <v>232</v>
      </c>
    </row>
    <row r="26642" spans="119:119" x14ac:dyDescent="0.2">
      <c r="DO26642" s="303" t="s">
        <v>232</v>
      </c>
    </row>
    <row r="26643" spans="119:119" x14ac:dyDescent="0.2">
      <c r="DO26643" s="303" t="s">
        <v>232</v>
      </c>
    </row>
    <row r="26644" spans="119:119" x14ac:dyDescent="0.2">
      <c r="DO26644" s="303" t="s">
        <v>232</v>
      </c>
    </row>
    <row r="26645" spans="119:119" x14ac:dyDescent="0.2">
      <c r="DO26645" s="303" t="s">
        <v>232</v>
      </c>
    </row>
    <row r="26646" spans="119:119" x14ac:dyDescent="0.2">
      <c r="DO26646" s="303" t="s">
        <v>232</v>
      </c>
    </row>
    <row r="26647" spans="119:119" x14ac:dyDescent="0.2">
      <c r="DO26647" s="303" t="s">
        <v>232</v>
      </c>
    </row>
    <row r="26648" spans="119:119" x14ac:dyDescent="0.2">
      <c r="DO26648" s="303" t="s">
        <v>232</v>
      </c>
    </row>
    <row r="26649" spans="119:119" x14ac:dyDescent="0.2">
      <c r="DO26649" s="303" t="s">
        <v>232</v>
      </c>
    </row>
    <row r="26650" spans="119:119" x14ac:dyDescent="0.2">
      <c r="DO26650" s="303" t="s">
        <v>232</v>
      </c>
    </row>
    <row r="26651" spans="119:119" x14ac:dyDescent="0.2">
      <c r="DO26651" s="303" t="s">
        <v>232</v>
      </c>
    </row>
    <row r="26652" spans="119:119" x14ac:dyDescent="0.2">
      <c r="DO26652" s="303" t="s">
        <v>232</v>
      </c>
    </row>
    <row r="26653" spans="119:119" x14ac:dyDescent="0.2">
      <c r="DO26653" s="303" t="s">
        <v>232</v>
      </c>
    </row>
    <row r="26654" spans="119:119" x14ac:dyDescent="0.2">
      <c r="DO26654" s="303" t="s">
        <v>232</v>
      </c>
    </row>
    <row r="26655" spans="119:119" x14ac:dyDescent="0.2">
      <c r="DO26655" s="303" t="s">
        <v>232</v>
      </c>
    </row>
    <row r="26656" spans="119:119" x14ac:dyDescent="0.2">
      <c r="DO26656" s="303" t="s">
        <v>232</v>
      </c>
    </row>
    <row r="26657" spans="119:119" x14ac:dyDescent="0.2">
      <c r="DO26657" s="303" t="s">
        <v>232</v>
      </c>
    </row>
    <row r="26658" spans="119:119" x14ac:dyDescent="0.2">
      <c r="DO26658" s="303" t="s">
        <v>232</v>
      </c>
    </row>
    <row r="26659" spans="119:119" x14ac:dyDescent="0.2">
      <c r="DO26659" s="303" t="s">
        <v>232</v>
      </c>
    </row>
    <row r="26660" spans="119:119" x14ac:dyDescent="0.2">
      <c r="DO26660" s="303" t="s">
        <v>232</v>
      </c>
    </row>
    <row r="26661" spans="119:119" x14ac:dyDescent="0.2">
      <c r="DO26661" s="303" t="s">
        <v>232</v>
      </c>
    </row>
    <row r="26662" spans="119:119" x14ac:dyDescent="0.2">
      <c r="DO26662" s="303" t="s">
        <v>232</v>
      </c>
    </row>
    <row r="26663" spans="119:119" x14ac:dyDescent="0.2">
      <c r="DO26663" s="303" t="s">
        <v>232</v>
      </c>
    </row>
    <row r="26664" spans="119:119" x14ac:dyDescent="0.2">
      <c r="DO26664" s="303" t="s">
        <v>232</v>
      </c>
    </row>
    <row r="26665" spans="119:119" x14ac:dyDescent="0.2">
      <c r="DO26665" s="303" t="s">
        <v>232</v>
      </c>
    </row>
    <row r="26666" spans="119:119" x14ac:dyDescent="0.2">
      <c r="DO26666" s="303" t="s">
        <v>232</v>
      </c>
    </row>
    <row r="26667" spans="119:119" x14ac:dyDescent="0.2">
      <c r="DO26667" s="303" t="s">
        <v>232</v>
      </c>
    </row>
    <row r="26668" spans="119:119" x14ac:dyDescent="0.2">
      <c r="DO26668" s="303" t="s">
        <v>232</v>
      </c>
    </row>
    <row r="26669" spans="119:119" x14ac:dyDescent="0.2">
      <c r="DO26669" s="303" t="s">
        <v>232</v>
      </c>
    </row>
    <row r="26670" spans="119:119" x14ac:dyDescent="0.2">
      <c r="DO26670" s="303" t="s">
        <v>232</v>
      </c>
    </row>
    <row r="26671" spans="119:119" x14ac:dyDescent="0.2">
      <c r="DO26671" s="303" t="s">
        <v>232</v>
      </c>
    </row>
    <row r="26672" spans="119:119" x14ac:dyDescent="0.2">
      <c r="DO26672" s="303" t="s">
        <v>232</v>
      </c>
    </row>
    <row r="26673" spans="119:119" x14ac:dyDescent="0.2">
      <c r="DO26673" s="303" t="s">
        <v>232</v>
      </c>
    </row>
    <row r="26674" spans="119:119" x14ac:dyDescent="0.2">
      <c r="DO26674" s="303" t="s">
        <v>232</v>
      </c>
    </row>
    <row r="26675" spans="119:119" x14ac:dyDescent="0.2">
      <c r="DO26675" s="303" t="s">
        <v>232</v>
      </c>
    </row>
    <row r="26676" spans="119:119" x14ac:dyDescent="0.2">
      <c r="DO26676" s="303" t="s">
        <v>232</v>
      </c>
    </row>
    <row r="26677" spans="119:119" x14ac:dyDescent="0.2">
      <c r="DO26677" s="303" t="s">
        <v>232</v>
      </c>
    </row>
    <row r="26678" spans="119:119" x14ac:dyDescent="0.2">
      <c r="DO26678" s="303" t="s">
        <v>232</v>
      </c>
    </row>
    <row r="26679" spans="119:119" x14ac:dyDescent="0.2">
      <c r="DO26679" s="303" t="s">
        <v>232</v>
      </c>
    </row>
    <row r="26680" spans="119:119" x14ac:dyDescent="0.2">
      <c r="DO26680" s="303" t="s">
        <v>232</v>
      </c>
    </row>
    <row r="26681" spans="119:119" x14ac:dyDescent="0.2">
      <c r="DO26681" s="303" t="s">
        <v>232</v>
      </c>
    </row>
    <row r="26682" spans="119:119" x14ac:dyDescent="0.2">
      <c r="DO26682" s="303" t="s">
        <v>232</v>
      </c>
    </row>
    <row r="26683" spans="119:119" x14ac:dyDescent="0.2">
      <c r="DO26683" s="303" t="s">
        <v>232</v>
      </c>
    </row>
    <row r="26684" spans="119:119" x14ac:dyDescent="0.2">
      <c r="DO26684" s="303" t="s">
        <v>232</v>
      </c>
    </row>
    <row r="26685" spans="119:119" x14ac:dyDescent="0.2">
      <c r="DO26685" s="303" t="s">
        <v>232</v>
      </c>
    </row>
    <row r="26686" spans="119:119" x14ac:dyDescent="0.2">
      <c r="DO26686" s="303" t="s">
        <v>232</v>
      </c>
    </row>
    <row r="26687" spans="119:119" x14ac:dyDescent="0.2">
      <c r="DO26687" s="303" t="s">
        <v>232</v>
      </c>
    </row>
    <row r="26688" spans="119:119" x14ac:dyDescent="0.2">
      <c r="DO26688" s="303" t="s">
        <v>232</v>
      </c>
    </row>
    <row r="26689" spans="119:119" x14ac:dyDescent="0.2">
      <c r="DO26689" s="303" t="s">
        <v>232</v>
      </c>
    </row>
    <row r="26690" spans="119:119" x14ac:dyDescent="0.2">
      <c r="DO26690" s="303" t="s">
        <v>232</v>
      </c>
    </row>
    <row r="26691" spans="119:119" x14ac:dyDescent="0.2">
      <c r="DO26691" s="303" t="s">
        <v>232</v>
      </c>
    </row>
    <row r="26692" spans="119:119" x14ac:dyDescent="0.2">
      <c r="DO26692" s="303" t="s">
        <v>232</v>
      </c>
    </row>
    <row r="26693" spans="119:119" x14ac:dyDescent="0.2">
      <c r="DO26693" s="303" t="s">
        <v>232</v>
      </c>
    </row>
    <row r="26694" spans="119:119" x14ac:dyDescent="0.2">
      <c r="DO26694" s="303" t="s">
        <v>232</v>
      </c>
    </row>
    <row r="26695" spans="119:119" x14ac:dyDescent="0.2">
      <c r="DO26695" s="303" t="s">
        <v>232</v>
      </c>
    </row>
    <row r="26696" spans="119:119" x14ac:dyDescent="0.2">
      <c r="DO26696" s="303" t="s">
        <v>232</v>
      </c>
    </row>
    <row r="26697" spans="119:119" x14ac:dyDescent="0.2">
      <c r="DO26697" s="303" t="s">
        <v>232</v>
      </c>
    </row>
    <row r="26698" spans="119:119" x14ac:dyDescent="0.2">
      <c r="DO26698" s="303" t="s">
        <v>232</v>
      </c>
    </row>
    <row r="26699" spans="119:119" x14ac:dyDescent="0.2">
      <c r="DO26699" s="303" t="s">
        <v>232</v>
      </c>
    </row>
    <row r="26700" spans="119:119" x14ac:dyDescent="0.2">
      <c r="DO26700" s="303" t="s">
        <v>232</v>
      </c>
    </row>
    <row r="26701" spans="119:119" x14ac:dyDescent="0.2">
      <c r="DO26701" s="303" t="s">
        <v>232</v>
      </c>
    </row>
    <row r="26702" spans="119:119" x14ac:dyDescent="0.2">
      <c r="DO26702" s="303" t="s">
        <v>232</v>
      </c>
    </row>
    <row r="26703" spans="119:119" x14ac:dyDescent="0.2">
      <c r="DO26703" s="303" t="s">
        <v>232</v>
      </c>
    </row>
    <row r="26704" spans="119:119" x14ac:dyDescent="0.2">
      <c r="DO26704" s="303" t="s">
        <v>232</v>
      </c>
    </row>
    <row r="26705" spans="119:119" x14ac:dyDescent="0.2">
      <c r="DO26705" s="303" t="s">
        <v>232</v>
      </c>
    </row>
    <row r="26706" spans="119:119" x14ac:dyDescent="0.2">
      <c r="DO26706" s="303" t="s">
        <v>232</v>
      </c>
    </row>
    <row r="26707" spans="119:119" x14ac:dyDescent="0.2">
      <c r="DO26707" s="303" t="s">
        <v>232</v>
      </c>
    </row>
    <row r="26708" spans="119:119" x14ac:dyDescent="0.2">
      <c r="DO26708" s="303" t="s">
        <v>232</v>
      </c>
    </row>
    <row r="26709" spans="119:119" x14ac:dyDescent="0.2">
      <c r="DO26709" s="303" t="s">
        <v>232</v>
      </c>
    </row>
    <row r="26710" spans="119:119" x14ac:dyDescent="0.2">
      <c r="DO26710" s="303" t="s">
        <v>232</v>
      </c>
    </row>
    <row r="26711" spans="119:119" x14ac:dyDescent="0.2">
      <c r="DO26711" s="303" t="s">
        <v>232</v>
      </c>
    </row>
    <row r="26712" spans="119:119" x14ac:dyDescent="0.2">
      <c r="DO26712" s="303" t="s">
        <v>232</v>
      </c>
    </row>
    <row r="26713" spans="119:119" x14ac:dyDescent="0.2">
      <c r="DO26713" s="303" t="s">
        <v>232</v>
      </c>
    </row>
    <row r="26714" spans="119:119" x14ac:dyDescent="0.2">
      <c r="DO26714" s="303" t="s">
        <v>232</v>
      </c>
    </row>
    <row r="26715" spans="119:119" x14ac:dyDescent="0.2">
      <c r="DO26715" s="303" t="s">
        <v>232</v>
      </c>
    </row>
    <row r="26716" spans="119:119" x14ac:dyDescent="0.2">
      <c r="DO26716" s="303" t="s">
        <v>232</v>
      </c>
    </row>
    <row r="26717" spans="119:119" x14ac:dyDescent="0.2">
      <c r="DO26717" s="303" t="s">
        <v>232</v>
      </c>
    </row>
    <row r="26718" spans="119:119" x14ac:dyDescent="0.2">
      <c r="DO26718" s="303" t="s">
        <v>232</v>
      </c>
    </row>
    <row r="26719" spans="119:119" x14ac:dyDescent="0.2">
      <c r="DO26719" s="303" t="s">
        <v>232</v>
      </c>
    </row>
    <row r="26720" spans="119:119" x14ac:dyDescent="0.2">
      <c r="DO26720" s="303" t="s">
        <v>232</v>
      </c>
    </row>
    <row r="26721" spans="119:119" x14ac:dyDescent="0.2">
      <c r="DO26721" s="303" t="s">
        <v>232</v>
      </c>
    </row>
    <row r="26722" spans="119:119" x14ac:dyDescent="0.2">
      <c r="DO26722" s="303" t="s">
        <v>232</v>
      </c>
    </row>
    <row r="26723" spans="119:119" x14ac:dyDescent="0.2">
      <c r="DO26723" s="303" t="s">
        <v>232</v>
      </c>
    </row>
    <row r="26724" spans="119:119" x14ac:dyDescent="0.2">
      <c r="DO26724" s="303" t="s">
        <v>232</v>
      </c>
    </row>
    <row r="26725" spans="119:119" x14ac:dyDescent="0.2">
      <c r="DO26725" s="303" t="s">
        <v>232</v>
      </c>
    </row>
    <row r="26726" spans="119:119" x14ac:dyDescent="0.2">
      <c r="DO26726" s="303" t="s">
        <v>232</v>
      </c>
    </row>
    <row r="26727" spans="119:119" x14ac:dyDescent="0.2">
      <c r="DO26727" s="303" t="s">
        <v>232</v>
      </c>
    </row>
    <row r="26728" spans="119:119" x14ac:dyDescent="0.2">
      <c r="DO26728" s="303" t="s">
        <v>232</v>
      </c>
    </row>
    <row r="26729" spans="119:119" x14ac:dyDescent="0.2">
      <c r="DO26729" s="303" t="s">
        <v>232</v>
      </c>
    </row>
    <row r="26730" spans="119:119" x14ac:dyDescent="0.2">
      <c r="DO26730" s="303" t="s">
        <v>232</v>
      </c>
    </row>
    <row r="26731" spans="119:119" x14ac:dyDescent="0.2">
      <c r="DO26731" s="303" t="s">
        <v>232</v>
      </c>
    </row>
    <row r="26732" spans="119:119" x14ac:dyDescent="0.2">
      <c r="DO26732" s="303" t="s">
        <v>232</v>
      </c>
    </row>
    <row r="26733" spans="119:119" x14ac:dyDescent="0.2">
      <c r="DO26733" s="303" t="s">
        <v>232</v>
      </c>
    </row>
    <row r="26734" spans="119:119" x14ac:dyDescent="0.2">
      <c r="DO26734" s="303" t="s">
        <v>232</v>
      </c>
    </row>
    <row r="26735" spans="119:119" x14ac:dyDescent="0.2">
      <c r="DO26735" s="303" t="s">
        <v>232</v>
      </c>
    </row>
    <row r="26736" spans="119:119" x14ac:dyDescent="0.2">
      <c r="DO26736" s="303" t="s">
        <v>232</v>
      </c>
    </row>
    <row r="26737" spans="119:119" x14ac:dyDescent="0.2">
      <c r="DO26737" s="303" t="s">
        <v>232</v>
      </c>
    </row>
    <row r="26738" spans="119:119" x14ac:dyDescent="0.2">
      <c r="DO26738" s="303" t="s">
        <v>232</v>
      </c>
    </row>
    <row r="26739" spans="119:119" x14ac:dyDescent="0.2">
      <c r="DO26739" s="303" t="s">
        <v>232</v>
      </c>
    </row>
    <row r="26740" spans="119:119" x14ac:dyDescent="0.2">
      <c r="DO26740" s="303" t="s">
        <v>232</v>
      </c>
    </row>
    <row r="26741" spans="119:119" x14ac:dyDescent="0.2">
      <c r="DO26741" s="303" t="s">
        <v>232</v>
      </c>
    </row>
    <row r="26742" spans="119:119" x14ac:dyDescent="0.2">
      <c r="DO26742" s="303" t="s">
        <v>232</v>
      </c>
    </row>
    <row r="26743" spans="119:119" x14ac:dyDescent="0.2">
      <c r="DO26743" s="303" t="s">
        <v>232</v>
      </c>
    </row>
    <row r="26744" spans="119:119" x14ac:dyDescent="0.2">
      <c r="DO26744" s="303" t="s">
        <v>232</v>
      </c>
    </row>
    <row r="26745" spans="119:119" x14ac:dyDescent="0.2">
      <c r="DO26745" s="303" t="s">
        <v>232</v>
      </c>
    </row>
    <row r="26746" spans="119:119" x14ac:dyDescent="0.2">
      <c r="DO26746" s="303" t="s">
        <v>232</v>
      </c>
    </row>
    <row r="26747" spans="119:119" x14ac:dyDescent="0.2">
      <c r="DO26747" s="303" t="s">
        <v>232</v>
      </c>
    </row>
    <row r="26748" spans="119:119" x14ac:dyDescent="0.2">
      <c r="DO26748" s="303" t="s">
        <v>232</v>
      </c>
    </row>
    <row r="26749" spans="119:119" x14ac:dyDescent="0.2">
      <c r="DO26749" s="303" t="s">
        <v>232</v>
      </c>
    </row>
    <row r="26750" spans="119:119" x14ac:dyDescent="0.2">
      <c r="DO26750" s="303" t="s">
        <v>232</v>
      </c>
    </row>
    <row r="26751" spans="119:119" x14ac:dyDescent="0.2">
      <c r="DO26751" s="303" t="s">
        <v>232</v>
      </c>
    </row>
    <row r="26752" spans="119:119" x14ac:dyDescent="0.2">
      <c r="DO26752" s="303" t="s">
        <v>232</v>
      </c>
    </row>
    <row r="26753" spans="119:119" x14ac:dyDescent="0.2">
      <c r="DO26753" s="303" t="s">
        <v>232</v>
      </c>
    </row>
    <row r="26754" spans="119:119" x14ac:dyDescent="0.2">
      <c r="DO26754" s="303" t="s">
        <v>232</v>
      </c>
    </row>
    <row r="26755" spans="119:119" x14ac:dyDescent="0.2">
      <c r="DO26755" s="303" t="s">
        <v>232</v>
      </c>
    </row>
    <row r="26756" spans="119:119" x14ac:dyDescent="0.2">
      <c r="DO26756" s="303" t="s">
        <v>232</v>
      </c>
    </row>
    <row r="26757" spans="119:119" x14ac:dyDescent="0.2">
      <c r="DO26757" s="303" t="s">
        <v>232</v>
      </c>
    </row>
    <row r="26758" spans="119:119" x14ac:dyDescent="0.2">
      <c r="DO26758" s="303" t="s">
        <v>232</v>
      </c>
    </row>
    <row r="26759" spans="119:119" x14ac:dyDescent="0.2">
      <c r="DO26759" s="303" t="s">
        <v>232</v>
      </c>
    </row>
    <row r="26760" spans="119:119" x14ac:dyDescent="0.2">
      <c r="DO26760" s="303" t="s">
        <v>232</v>
      </c>
    </row>
    <row r="26761" spans="119:119" x14ac:dyDescent="0.2">
      <c r="DO26761" s="303" t="s">
        <v>232</v>
      </c>
    </row>
    <row r="26762" spans="119:119" x14ac:dyDescent="0.2">
      <c r="DO26762" s="303" t="s">
        <v>232</v>
      </c>
    </row>
    <row r="26763" spans="119:119" x14ac:dyDescent="0.2">
      <c r="DO26763" s="303" t="s">
        <v>232</v>
      </c>
    </row>
    <row r="26764" spans="119:119" x14ac:dyDescent="0.2">
      <c r="DO26764" s="303" t="s">
        <v>232</v>
      </c>
    </row>
    <row r="26765" spans="119:119" x14ac:dyDescent="0.2">
      <c r="DO26765" s="303" t="s">
        <v>232</v>
      </c>
    </row>
    <row r="26766" spans="119:119" x14ac:dyDescent="0.2">
      <c r="DO26766" s="303" t="s">
        <v>232</v>
      </c>
    </row>
    <row r="26767" spans="119:119" x14ac:dyDescent="0.2">
      <c r="DO26767" s="303" t="s">
        <v>232</v>
      </c>
    </row>
    <row r="26768" spans="119:119" x14ac:dyDescent="0.2">
      <c r="DO26768" s="303" t="s">
        <v>232</v>
      </c>
    </row>
    <row r="26769" spans="119:119" x14ac:dyDescent="0.2">
      <c r="DO26769" s="303" t="s">
        <v>232</v>
      </c>
    </row>
    <row r="26770" spans="119:119" x14ac:dyDescent="0.2">
      <c r="DO26770" s="303" t="s">
        <v>232</v>
      </c>
    </row>
    <row r="26771" spans="119:119" x14ac:dyDescent="0.2">
      <c r="DO26771" s="303" t="s">
        <v>232</v>
      </c>
    </row>
    <row r="26772" spans="119:119" x14ac:dyDescent="0.2">
      <c r="DO26772" s="303" t="s">
        <v>232</v>
      </c>
    </row>
    <row r="26773" spans="119:119" x14ac:dyDescent="0.2">
      <c r="DO26773" s="303" t="s">
        <v>232</v>
      </c>
    </row>
    <row r="26774" spans="119:119" x14ac:dyDescent="0.2">
      <c r="DO26774" s="303" t="s">
        <v>232</v>
      </c>
    </row>
    <row r="26775" spans="119:119" x14ac:dyDescent="0.2">
      <c r="DO26775" s="303" t="s">
        <v>232</v>
      </c>
    </row>
    <row r="26776" spans="119:119" x14ac:dyDescent="0.2">
      <c r="DO26776" s="303" t="s">
        <v>232</v>
      </c>
    </row>
    <row r="26777" spans="119:119" x14ac:dyDescent="0.2">
      <c r="DO26777" s="303" t="s">
        <v>232</v>
      </c>
    </row>
    <row r="26778" spans="119:119" x14ac:dyDescent="0.2">
      <c r="DO26778" s="303" t="s">
        <v>232</v>
      </c>
    </row>
    <row r="26779" spans="119:119" x14ac:dyDescent="0.2">
      <c r="DO26779" s="303" t="s">
        <v>232</v>
      </c>
    </row>
    <row r="26780" spans="119:119" x14ac:dyDescent="0.2">
      <c r="DO26780" s="303" t="s">
        <v>232</v>
      </c>
    </row>
    <row r="26781" spans="119:119" x14ac:dyDescent="0.2">
      <c r="DO26781" s="303" t="s">
        <v>232</v>
      </c>
    </row>
    <row r="26782" spans="119:119" x14ac:dyDescent="0.2">
      <c r="DO26782" s="303" t="s">
        <v>232</v>
      </c>
    </row>
    <row r="26783" spans="119:119" x14ac:dyDescent="0.2">
      <c r="DO26783" s="303" t="s">
        <v>232</v>
      </c>
    </row>
    <row r="26784" spans="119:119" x14ac:dyDescent="0.2">
      <c r="DO26784" s="303" t="s">
        <v>232</v>
      </c>
    </row>
    <row r="26785" spans="119:119" x14ac:dyDescent="0.2">
      <c r="DO26785" s="303" t="s">
        <v>232</v>
      </c>
    </row>
    <row r="26786" spans="119:119" x14ac:dyDescent="0.2">
      <c r="DO26786" s="303" t="s">
        <v>232</v>
      </c>
    </row>
    <row r="26787" spans="119:119" x14ac:dyDescent="0.2">
      <c r="DO26787" s="303" t="s">
        <v>232</v>
      </c>
    </row>
    <row r="26788" spans="119:119" x14ac:dyDescent="0.2">
      <c r="DO26788" s="303" t="s">
        <v>232</v>
      </c>
    </row>
    <row r="26789" spans="119:119" x14ac:dyDescent="0.2">
      <c r="DO26789" s="303" t="s">
        <v>232</v>
      </c>
    </row>
    <row r="26790" spans="119:119" x14ac:dyDescent="0.2">
      <c r="DO26790" s="303" t="s">
        <v>232</v>
      </c>
    </row>
    <row r="26791" spans="119:119" x14ac:dyDescent="0.2">
      <c r="DO26791" s="303" t="s">
        <v>232</v>
      </c>
    </row>
    <row r="26792" spans="119:119" x14ac:dyDescent="0.2">
      <c r="DO26792" s="303" t="s">
        <v>232</v>
      </c>
    </row>
    <row r="26793" spans="119:119" x14ac:dyDescent="0.2">
      <c r="DO26793" s="303" t="s">
        <v>232</v>
      </c>
    </row>
    <row r="26794" spans="119:119" x14ac:dyDescent="0.2">
      <c r="DO26794" s="303" t="s">
        <v>232</v>
      </c>
    </row>
    <row r="26795" spans="119:119" x14ac:dyDescent="0.2">
      <c r="DO26795" s="303" t="s">
        <v>232</v>
      </c>
    </row>
    <row r="26796" spans="119:119" x14ac:dyDescent="0.2">
      <c r="DO26796" s="303" t="s">
        <v>232</v>
      </c>
    </row>
    <row r="26797" spans="119:119" x14ac:dyDescent="0.2">
      <c r="DO26797" s="303" t="s">
        <v>232</v>
      </c>
    </row>
    <row r="26798" spans="119:119" x14ac:dyDescent="0.2">
      <c r="DO26798" s="303" t="s">
        <v>232</v>
      </c>
    </row>
    <row r="26799" spans="119:119" x14ac:dyDescent="0.2">
      <c r="DO26799" s="303" t="s">
        <v>232</v>
      </c>
    </row>
    <row r="26800" spans="119:119" x14ac:dyDescent="0.2">
      <c r="DO26800" s="303" t="s">
        <v>232</v>
      </c>
    </row>
    <row r="26801" spans="119:119" x14ac:dyDescent="0.2">
      <c r="DO26801" s="303" t="s">
        <v>232</v>
      </c>
    </row>
    <row r="26802" spans="119:119" x14ac:dyDescent="0.2">
      <c r="DO26802" s="303" t="s">
        <v>232</v>
      </c>
    </row>
    <row r="26803" spans="119:119" x14ac:dyDescent="0.2">
      <c r="DO26803" s="303" t="s">
        <v>232</v>
      </c>
    </row>
    <row r="26804" spans="119:119" x14ac:dyDescent="0.2">
      <c r="DO26804" s="303" t="s">
        <v>232</v>
      </c>
    </row>
    <row r="26805" spans="119:119" x14ac:dyDescent="0.2">
      <c r="DO26805" s="303" t="s">
        <v>232</v>
      </c>
    </row>
    <row r="26806" spans="119:119" x14ac:dyDescent="0.2">
      <c r="DO26806" s="303" t="s">
        <v>232</v>
      </c>
    </row>
    <row r="26807" spans="119:119" x14ac:dyDescent="0.2">
      <c r="DO26807" s="303" t="s">
        <v>232</v>
      </c>
    </row>
    <row r="26808" spans="119:119" x14ac:dyDescent="0.2">
      <c r="DO26808" s="303" t="s">
        <v>232</v>
      </c>
    </row>
    <row r="26809" spans="119:119" x14ac:dyDescent="0.2">
      <c r="DO26809" s="303" t="s">
        <v>232</v>
      </c>
    </row>
    <row r="26810" spans="119:119" x14ac:dyDescent="0.2">
      <c r="DO26810" s="303" t="s">
        <v>232</v>
      </c>
    </row>
    <row r="26811" spans="119:119" x14ac:dyDescent="0.2">
      <c r="DO26811" s="303" t="s">
        <v>232</v>
      </c>
    </row>
    <row r="26812" spans="119:119" x14ac:dyDescent="0.2">
      <c r="DO26812" s="303" t="s">
        <v>232</v>
      </c>
    </row>
    <row r="26813" spans="119:119" x14ac:dyDescent="0.2">
      <c r="DO26813" s="303" t="s">
        <v>232</v>
      </c>
    </row>
    <row r="26814" spans="119:119" x14ac:dyDescent="0.2">
      <c r="DO26814" s="303" t="s">
        <v>232</v>
      </c>
    </row>
    <row r="26815" spans="119:119" x14ac:dyDescent="0.2">
      <c r="DO26815" s="303" t="s">
        <v>232</v>
      </c>
    </row>
    <row r="26816" spans="119:119" x14ac:dyDescent="0.2">
      <c r="DO26816" s="303" t="s">
        <v>232</v>
      </c>
    </row>
    <row r="26817" spans="119:119" x14ac:dyDescent="0.2">
      <c r="DO26817" s="303" t="s">
        <v>232</v>
      </c>
    </row>
    <row r="26818" spans="119:119" x14ac:dyDescent="0.2">
      <c r="DO26818" s="303" t="s">
        <v>232</v>
      </c>
    </row>
    <row r="26819" spans="119:119" x14ac:dyDescent="0.2">
      <c r="DO26819" s="303" t="s">
        <v>232</v>
      </c>
    </row>
    <row r="26820" spans="119:119" x14ac:dyDescent="0.2">
      <c r="DO26820" s="303" t="s">
        <v>232</v>
      </c>
    </row>
    <row r="26821" spans="119:119" x14ac:dyDescent="0.2">
      <c r="DO26821" s="303" t="s">
        <v>232</v>
      </c>
    </row>
    <row r="26822" spans="119:119" x14ac:dyDescent="0.2">
      <c r="DO26822" s="303" t="s">
        <v>232</v>
      </c>
    </row>
    <row r="26823" spans="119:119" x14ac:dyDescent="0.2">
      <c r="DO26823" s="303" t="s">
        <v>232</v>
      </c>
    </row>
    <row r="26824" spans="119:119" x14ac:dyDescent="0.2">
      <c r="DO26824" s="303" t="s">
        <v>232</v>
      </c>
    </row>
    <row r="26825" spans="119:119" x14ac:dyDescent="0.2">
      <c r="DO26825" s="303" t="s">
        <v>232</v>
      </c>
    </row>
    <row r="26826" spans="119:119" x14ac:dyDescent="0.2">
      <c r="DO26826" s="303" t="s">
        <v>232</v>
      </c>
    </row>
    <row r="26827" spans="119:119" x14ac:dyDescent="0.2">
      <c r="DO26827" s="303" t="s">
        <v>232</v>
      </c>
    </row>
    <row r="26828" spans="119:119" x14ac:dyDescent="0.2">
      <c r="DO26828" s="303" t="s">
        <v>232</v>
      </c>
    </row>
    <row r="26829" spans="119:119" x14ac:dyDescent="0.2">
      <c r="DO26829" s="303" t="s">
        <v>232</v>
      </c>
    </row>
    <row r="26830" spans="119:119" x14ac:dyDescent="0.2">
      <c r="DO26830" s="303" t="s">
        <v>232</v>
      </c>
    </row>
    <row r="26831" spans="119:119" x14ac:dyDescent="0.2">
      <c r="DO26831" s="303" t="s">
        <v>232</v>
      </c>
    </row>
    <row r="26832" spans="119:119" x14ac:dyDescent="0.2">
      <c r="DO26832" s="303" t="s">
        <v>232</v>
      </c>
    </row>
    <row r="26833" spans="119:119" x14ac:dyDescent="0.2">
      <c r="DO26833" s="303" t="s">
        <v>232</v>
      </c>
    </row>
    <row r="26834" spans="119:119" x14ac:dyDescent="0.2">
      <c r="DO26834" s="303" t="s">
        <v>232</v>
      </c>
    </row>
    <row r="26835" spans="119:119" x14ac:dyDescent="0.2">
      <c r="DO26835" s="303" t="s">
        <v>232</v>
      </c>
    </row>
    <row r="26836" spans="119:119" x14ac:dyDescent="0.2">
      <c r="DO26836" s="303" t="s">
        <v>232</v>
      </c>
    </row>
    <row r="26837" spans="119:119" x14ac:dyDescent="0.2">
      <c r="DO26837" s="303" t="s">
        <v>232</v>
      </c>
    </row>
    <row r="26838" spans="119:119" x14ac:dyDescent="0.2">
      <c r="DO26838" s="303" t="s">
        <v>232</v>
      </c>
    </row>
    <row r="26839" spans="119:119" x14ac:dyDescent="0.2">
      <c r="DO26839" s="303" t="s">
        <v>232</v>
      </c>
    </row>
    <row r="26840" spans="119:119" x14ac:dyDescent="0.2">
      <c r="DO26840" s="303" t="s">
        <v>232</v>
      </c>
    </row>
    <row r="26841" spans="119:119" x14ac:dyDescent="0.2">
      <c r="DO26841" s="303" t="s">
        <v>232</v>
      </c>
    </row>
    <row r="26842" spans="119:119" x14ac:dyDescent="0.2">
      <c r="DO26842" s="303" t="s">
        <v>232</v>
      </c>
    </row>
    <row r="26843" spans="119:119" x14ac:dyDescent="0.2">
      <c r="DO26843" s="303" t="s">
        <v>232</v>
      </c>
    </row>
    <row r="26844" spans="119:119" x14ac:dyDescent="0.2">
      <c r="DO26844" s="303" t="s">
        <v>232</v>
      </c>
    </row>
    <row r="26845" spans="119:119" x14ac:dyDescent="0.2">
      <c r="DO26845" s="303" t="s">
        <v>232</v>
      </c>
    </row>
    <row r="26846" spans="119:119" x14ac:dyDescent="0.2">
      <c r="DO26846" s="303" t="s">
        <v>232</v>
      </c>
    </row>
    <row r="26847" spans="119:119" x14ac:dyDescent="0.2">
      <c r="DO26847" s="303" t="s">
        <v>232</v>
      </c>
    </row>
    <row r="26848" spans="119:119" x14ac:dyDescent="0.2">
      <c r="DO26848" s="303" t="s">
        <v>232</v>
      </c>
    </row>
    <row r="26849" spans="119:119" x14ac:dyDescent="0.2">
      <c r="DO26849" s="303" t="s">
        <v>232</v>
      </c>
    </row>
    <row r="26850" spans="119:119" x14ac:dyDescent="0.2">
      <c r="DO26850" s="303" t="s">
        <v>232</v>
      </c>
    </row>
    <row r="26851" spans="119:119" x14ac:dyDescent="0.2">
      <c r="DO26851" s="303" t="s">
        <v>232</v>
      </c>
    </row>
    <row r="26852" spans="119:119" x14ac:dyDescent="0.2">
      <c r="DO26852" s="303" t="s">
        <v>232</v>
      </c>
    </row>
    <row r="26853" spans="119:119" x14ac:dyDescent="0.2">
      <c r="DO26853" s="303" t="s">
        <v>232</v>
      </c>
    </row>
    <row r="26854" spans="119:119" x14ac:dyDescent="0.2">
      <c r="DO26854" s="303" t="s">
        <v>232</v>
      </c>
    </row>
    <row r="26855" spans="119:119" x14ac:dyDescent="0.2">
      <c r="DO26855" s="303" t="s">
        <v>232</v>
      </c>
    </row>
    <row r="26856" spans="119:119" x14ac:dyDescent="0.2">
      <c r="DO26856" s="303" t="s">
        <v>232</v>
      </c>
    </row>
    <row r="26857" spans="119:119" x14ac:dyDescent="0.2">
      <c r="DO26857" s="303" t="s">
        <v>232</v>
      </c>
    </row>
    <row r="26858" spans="119:119" x14ac:dyDescent="0.2">
      <c r="DO26858" s="303" t="s">
        <v>232</v>
      </c>
    </row>
    <row r="26859" spans="119:119" x14ac:dyDescent="0.2">
      <c r="DO26859" s="303" t="s">
        <v>232</v>
      </c>
    </row>
    <row r="26860" spans="119:119" x14ac:dyDescent="0.2">
      <c r="DO26860" s="303" t="s">
        <v>232</v>
      </c>
    </row>
    <row r="26861" spans="119:119" x14ac:dyDescent="0.2">
      <c r="DO26861" s="303" t="s">
        <v>232</v>
      </c>
    </row>
    <row r="26862" spans="119:119" x14ac:dyDescent="0.2">
      <c r="DO26862" s="303" t="s">
        <v>232</v>
      </c>
    </row>
    <row r="26863" spans="119:119" x14ac:dyDescent="0.2">
      <c r="DO26863" s="303" t="s">
        <v>232</v>
      </c>
    </row>
    <row r="26864" spans="119:119" x14ac:dyDescent="0.2">
      <c r="DO26864" s="303" t="s">
        <v>232</v>
      </c>
    </row>
    <row r="26865" spans="119:119" x14ac:dyDescent="0.2">
      <c r="DO26865" s="303" t="s">
        <v>232</v>
      </c>
    </row>
    <row r="26866" spans="119:119" x14ac:dyDescent="0.2">
      <c r="DO26866" s="303" t="s">
        <v>232</v>
      </c>
    </row>
    <row r="26867" spans="119:119" x14ac:dyDescent="0.2">
      <c r="DO26867" s="303" t="s">
        <v>232</v>
      </c>
    </row>
    <row r="26868" spans="119:119" x14ac:dyDescent="0.2">
      <c r="DO26868" s="303" t="s">
        <v>232</v>
      </c>
    </row>
    <row r="26869" spans="119:119" x14ac:dyDescent="0.2">
      <c r="DO26869" s="303" t="s">
        <v>232</v>
      </c>
    </row>
    <row r="26870" spans="119:119" x14ac:dyDescent="0.2">
      <c r="DO26870" s="303" t="s">
        <v>232</v>
      </c>
    </row>
    <row r="26871" spans="119:119" x14ac:dyDescent="0.2">
      <c r="DO26871" s="303" t="s">
        <v>232</v>
      </c>
    </row>
    <row r="26872" spans="119:119" x14ac:dyDescent="0.2">
      <c r="DO26872" s="303" t="s">
        <v>232</v>
      </c>
    </row>
    <row r="26873" spans="119:119" x14ac:dyDescent="0.2">
      <c r="DO26873" s="303" t="s">
        <v>232</v>
      </c>
    </row>
    <row r="26874" spans="119:119" x14ac:dyDescent="0.2">
      <c r="DO26874" s="303" t="s">
        <v>232</v>
      </c>
    </row>
    <row r="26875" spans="119:119" x14ac:dyDescent="0.2">
      <c r="DO26875" s="303" t="s">
        <v>232</v>
      </c>
    </row>
    <row r="26876" spans="119:119" x14ac:dyDescent="0.2">
      <c r="DO26876" s="303" t="s">
        <v>232</v>
      </c>
    </row>
    <row r="26877" spans="119:119" x14ac:dyDescent="0.2">
      <c r="DO26877" s="303" t="s">
        <v>232</v>
      </c>
    </row>
    <row r="26878" spans="119:119" x14ac:dyDescent="0.2">
      <c r="DO26878" s="303" t="s">
        <v>232</v>
      </c>
    </row>
    <row r="26879" spans="119:119" x14ac:dyDescent="0.2">
      <c r="DO26879" s="303" t="s">
        <v>232</v>
      </c>
    </row>
    <row r="26880" spans="119:119" x14ac:dyDescent="0.2">
      <c r="DO26880" s="303" t="s">
        <v>232</v>
      </c>
    </row>
    <row r="26881" spans="119:119" x14ac:dyDescent="0.2">
      <c r="DO26881" s="303" t="s">
        <v>232</v>
      </c>
    </row>
    <row r="26882" spans="119:119" x14ac:dyDescent="0.2">
      <c r="DO26882" s="303" t="s">
        <v>232</v>
      </c>
    </row>
    <row r="26883" spans="119:119" x14ac:dyDescent="0.2">
      <c r="DO26883" s="303" t="s">
        <v>232</v>
      </c>
    </row>
    <row r="26884" spans="119:119" x14ac:dyDescent="0.2">
      <c r="DO26884" s="303" t="s">
        <v>232</v>
      </c>
    </row>
    <row r="26885" spans="119:119" x14ac:dyDescent="0.2">
      <c r="DO26885" s="303" t="s">
        <v>232</v>
      </c>
    </row>
    <row r="26886" spans="119:119" x14ac:dyDescent="0.2">
      <c r="DO26886" s="303" t="s">
        <v>232</v>
      </c>
    </row>
    <row r="26887" spans="119:119" x14ac:dyDescent="0.2">
      <c r="DO26887" s="303" t="s">
        <v>232</v>
      </c>
    </row>
    <row r="26888" spans="119:119" x14ac:dyDescent="0.2">
      <c r="DO26888" s="303" t="s">
        <v>232</v>
      </c>
    </row>
    <row r="26889" spans="119:119" x14ac:dyDescent="0.2">
      <c r="DO26889" s="303" t="s">
        <v>232</v>
      </c>
    </row>
    <row r="26890" spans="119:119" x14ac:dyDescent="0.2">
      <c r="DO26890" s="303" t="s">
        <v>232</v>
      </c>
    </row>
    <row r="26891" spans="119:119" x14ac:dyDescent="0.2">
      <c r="DO26891" s="303" t="s">
        <v>232</v>
      </c>
    </row>
    <row r="26892" spans="119:119" x14ac:dyDescent="0.2">
      <c r="DO26892" s="303" t="s">
        <v>232</v>
      </c>
    </row>
    <row r="26893" spans="119:119" x14ac:dyDescent="0.2">
      <c r="DO26893" s="303" t="s">
        <v>232</v>
      </c>
    </row>
    <row r="26894" spans="119:119" x14ac:dyDescent="0.2">
      <c r="DO26894" s="303" t="s">
        <v>232</v>
      </c>
    </row>
    <row r="26895" spans="119:119" x14ac:dyDescent="0.2">
      <c r="DO26895" s="303" t="s">
        <v>232</v>
      </c>
    </row>
    <row r="26896" spans="119:119" x14ac:dyDescent="0.2">
      <c r="DO26896" s="303" t="s">
        <v>232</v>
      </c>
    </row>
    <row r="26897" spans="119:119" x14ac:dyDescent="0.2">
      <c r="DO26897" s="303" t="s">
        <v>232</v>
      </c>
    </row>
    <row r="26898" spans="119:119" x14ac:dyDescent="0.2">
      <c r="DO26898" s="303" t="s">
        <v>232</v>
      </c>
    </row>
    <row r="26899" spans="119:119" x14ac:dyDescent="0.2">
      <c r="DO26899" s="303" t="s">
        <v>232</v>
      </c>
    </row>
    <row r="26900" spans="119:119" x14ac:dyDescent="0.2">
      <c r="DO26900" s="303" t="s">
        <v>232</v>
      </c>
    </row>
    <row r="26901" spans="119:119" x14ac:dyDescent="0.2">
      <c r="DO26901" s="303" t="s">
        <v>232</v>
      </c>
    </row>
    <row r="26902" spans="119:119" x14ac:dyDescent="0.2">
      <c r="DO26902" s="303" t="s">
        <v>232</v>
      </c>
    </row>
    <row r="26903" spans="119:119" x14ac:dyDescent="0.2">
      <c r="DO26903" s="303" t="s">
        <v>232</v>
      </c>
    </row>
    <row r="26904" spans="119:119" x14ac:dyDescent="0.2">
      <c r="DO26904" s="303" t="s">
        <v>232</v>
      </c>
    </row>
    <row r="26905" spans="119:119" x14ac:dyDescent="0.2">
      <c r="DO26905" s="303" t="s">
        <v>232</v>
      </c>
    </row>
    <row r="26906" spans="119:119" x14ac:dyDescent="0.2">
      <c r="DO26906" s="303" t="s">
        <v>232</v>
      </c>
    </row>
    <row r="26907" spans="119:119" x14ac:dyDescent="0.2">
      <c r="DO26907" s="303" t="s">
        <v>232</v>
      </c>
    </row>
    <row r="26908" spans="119:119" x14ac:dyDescent="0.2">
      <c r="DO26908" s="303" t="s">
        <v>232</v>
      </c>
    </row>
    <row r="26909" spans="119:119" x14ac:dyDescent="0.2">
      <c r="DO26909" s="303" t="s">
        <v>232</v>
      </c>
    </row>
    <row r="26910" spans="119:119" x14ac:dyDescent="0.2">
      <c r="DO26910" s="303" t="s">
        <v>232</v>
      </c>
    </row>
    <row r="26911" spans="119:119" x14ac:dyDescent="0.2">
      <c r="DO26911" s="303" t="s">
        <v>232</v>
      </c>
    </row>
    <row r="26912" spans="119:119" x14ac:dyDescent="0.2">
      <c r="DO26912" s="303" t="s">
        <v>232</v>
      </c>
    </row>
    <row r="26913" spans="119:119" x14ac:dyDescent="0.2">
      <c r="DO26913" s="303" t="s">
        <v>232</v>
      </c>
    </row>
    <row r="26914" spans="119:119" x14ac:dyDescent="0.2">
      <c r="DO26914" s="303" t="s">
        <v>232</v>
      </c>
    </row>
    <row r="26915" spans="119:119" x14ac:dyDescent="0.2">
      <c r="DO26915" s="303" t="s">
        <v>232</v>
      </c>
    </row>
    <row r="26916" spans="119:119" x14ac:dyDescent="0.2">
      <c r="DO26916" s="303" t="s">
        <v>232</v>
      </c>
    </row>
    <row r="26917" spans="119:119" x14ac:dyDescent="0.2">
      <c r="DO26917" s="303" t="s">
        <v>232</v>
      </c>
    </row>
    <row r="26918" spans="119:119" x14ac:dyDescent="0.2">
      <c r="DO26918" s="303" t="s">
        <v>232</v>
      </c>
    </row>
    <row r="26919" spans="119:119" x14ac:dyDescent="0.2">
      <c r="DO26919" s="303" t="s">
        <v>232</v>
      </c>
    </row>
    <row r="26920" spans="119:119" x14ac:dyDescent="0.2">
      <c r="DO26920" s="303" t="s">
        <v>232</v>
      </c>
    </row>
    <row r="26921" spans="119:119" x14ac:dyDescent="0.2">
      <c r="DO26921" s="303" t="s">
        <v>232</v>
      </c>
    </row>
    <row r="26922" spans="119:119" x14ac:dyDescent="0.2">
      <c r="DO26922" s="303" t="s">
        <v>232</v>
      </c>
    </row>
    <row r="26923" spans="119:119" x14ac:dyDescent="0.2">
      <c r="DO26923" s="303" t="s">
        <v>232</v>
      </c>
    </row>
    <row r="26924" spans="119:119" x14ac:dyDescent="0.2">
      <c r="DO26924" s="303" t="s">
        <v>232</v>
      </c>
    </row>
    <row r="26925" spans="119:119" x14ac:dyDescent="0.2">
      <c r="DO26925" s="303" t="s">
        <v>232</v>
      </c>
    </row>
    <row r="26926" spans="119:119" x14ac:dyDescent="0.2">
      <c r="DO26926" s="303" t="s">
        <v>232</v>
      </c>
    </row>
    <row r="26927" spans="119:119" x14ac:dyDescent="0.2">
      <c r="DO26927" s="303" t="s">
        <v>232</v>
      </c>
    </row>
    <row r="26928" spans="119:119" x14ac:dyDescent="0.2">
      <c r="DO26928" s="303" t="s">
        <v>232</v>
      </c>
    </row>
    <row r="26929" spans="119:119" x14ac:dyDescent="0.2">
      <c r="DO26929" s="303" t="s">
        <v>232</v>
      </c>
    </row>
    <row r="26930" spans="119:119" x14ac:dyDescent="0.2">
      <c r="DO26930" s="303" t="s">
        <v>232</v>
      </c>
    </row>
    <row r="26931" spans="119:119" x14ac:dyDescent="0.2">
      <c r="DO26931" s="303" t="s">
        <v>232</v>
      </c>
    </row>
    <row r="26932" spans="119:119" x14ac:dyDescent="0.2">
      <c r="DO26932" s="303" t="s">
        <v>232</v>
      </c>
    </row>
    <row r="26933" spans="119:119" x14ac:dyDescent="0.2">
      <c r="DO26933" s="303" t="s">
        <v>232</v>
      </c>
    </row>
    <row r="26934" spans="119:119" x14ac:dyDescent="0.2">
      <c r="DO26934" s="303" t="s">
        <v>232</v>
      </c>
    </row>
    <row r="26935" spans="119:119" x14ac:dyDescent="0.2">
      <c r="DO26935" s="303" t="s">
        <v>232</v>
      </c>
    </row>
    <row r="26936" spans="119:119" x14ac:dyDescent="0.2">
      <c r="DO26936" s="303" t="s">
        <v>232</v>
      </c>
    </row>
    <row r="26937" spans="119:119" x14ac:dyDescent="0.2">
      <c r="DO26937" s="303" t="s">
        <v>232</v>
      </c>
    </row>
    <row r="26938" spans="119:119" x14ac:dyDescent="0.2">
      <c r="DO26938" s="303" t="s">
        <v>232</v>
      </c>
    </row>
    <row r="26939" spans="119:119" x14ac:dyDescent="0.2">
      <c r="DO26939" s="303" t="s">
        <v>232</v>
      </c>
    </row>
    <row r="26940" spans="119:119" x14ac:dyDescent="0.2">
      <c r="DO26940" s="303" t="s">
        <v>232</v>
      </c>
    </row>
    <row r="26941" spans="119:119" x14ac:dyDescent="0.2">
      <c r="DO26941" s="303" t="s">
        <v>232</v>
      </c>
    </row>
    <row r="26942" spans="119:119" x14ac:dyDescent="0.2">
      <c r="DO26942" s="303" t="s">
        <v>232</v>
      </c>
    </row>
    <row r="26943" spans="119:119" x14ac:dyDescent="0.2">
      <c r="DO26943" s="303" t="s">
        <v>232</v>
      </c>
    </row>
    <row r="26944" spans="119:119" x14ac:dyDescent="0.2">
      <c r="DO26944" s="303" t="s">
        <v>232</v>
      </c>
    </row>
    <row r="26945" spans="119:119" x14ac:dyDescent="0.2">
      <c r="DO26945" s="303" t="s">
        <v>232</v>
      </c>
    </row>
    <row r="26946" spans="119:119" x14ac:dyDescent="0.2">
      <c r="DO26946" s="303" t="s">
        <v>232</v>
      </c>
    </row>
    <row r="26947" spans="119:119" x14ac:dyDescent="0.2">
      <c r="DO26947" s="303" t="s">
        <v>232</v>
      </c>
    </row>
    <row r="26948" spans="119:119" x14ac:dyDescent="0.2">
      <c r="DO26948" s="303" t="s">
        <v>232</v>
      </c>
    </row>
    <row r="26949" spans="119:119" x14ac:dyDescent="0.2">
      <c r="DO26949" s="303" t="s">
        <v>232</v>
      </c>
    </row>
    <row r="26950" spans="119:119" x14ac:dyDescent="0.2">
      <c r="DO26950" s="303" t="s">
        <v>232</v>
      </c>
    </row>
    <row r="26951" spans="119:119" x14ac:dyDescent="0.2">
      <c r="DO26951" s="303" t="s">
        <v>232</v>
      </c>
    </row>
    <row r="26952" spans="119:119" x14ac:dyDescent="0.2">
      <c r="DO26952" s="303" t="s">
        <v>232</v>
      </c>
    </row>
    <row r="26953" spans="119:119" x14ac:dyDescent="0.2">
      <c r="DO26953" s="303" t="s">
        <v>232</v>
      </c>
    </row>
    <row r="26954" spans="119:119" x14ac:dyDescent="0.2">
      <c r="DO26954" s="303" t="s">
        <v>232</v>
      </c>
    </row>
    <row r="26955" spans="119:119" x14ac:dyDescent="0.2">
      <c r="DO26955" s="303" t="s">
        <v>232</v>
      </c>
    </row>
    <row r="26956" spans="119:119" x14ac:dyDescent="0.2">
      <c r="DO26956" s="303" t="s">
        <v>232</v>
      </c>
    </row>
    <row r="26957" spans="119:119" x14ac:dyDescent="0.2">
      <c r="DO26957" s="303" t="s">
        <v>232</v>
      </c>
    </row>
    <row r="26958" spans="119:119" x14ac:dyDescent="0.2">
      <c r="DO26958" s="303" t="s">
        <v>232</v>
      </c>
    </row>
    <row r="26959" spans="119:119" x14ac:dyDescent="0.2">
      <c r="DO26959" s="303" t="s">
        <v>232</v>
      </c>
    </row>
    <row r="26960" spans="119:119" x14ac:dyDescent="0.2">
      <c r="DO26960" s="303" t="s">
        <v>232</v>
      </c>
    </row>
    <row r="26961" spans="119:119" x14ac:dyDescent="0.2">
      <c r="DO26961" s="303" t="s">
        <v>232</v>
      </c>
    </row>
    <row r="26962" spans="119:119" x14ac:dyDescent="0.2">
      <c r="DO26962" s="303" t="s">
        <v>232</v>
      </c>
    </row>
    <row r="26963" spans="119:119" x14ac:dyDescent="0.2">
      <c r="DO26963" s="303" t="s">
        <v>232</v>
      </c>
    </row>
    <row r="26964" spans="119:119" x14ac:dyDescent="0.2">
      <c r="DO26964" s="303" t="s">
        <v>232</v>
      </c>
    </row>
    <row r="26965" spans="119:119" x14ac:dyDescent="0.2">
      <c r="DO26965" s="303" t="s">
        <v>232</v>
      </c>
    </row>
    <row r="26966" spans="119:119" x14ac:dyDescent="0.2">
      <c r="DO26966" s="303" t="s">
        <v>232</v>
      </c>
    </row>
    <row r="26967" spans="119:119" x14ac:dyDescent="0.2">
      <c r="DO26967" s="303" t="s">
        <v>232</v>
      </c>
    </row>
    <row r="26968" spans="119:119" x14ac:dyDescent="0.2">
      <c r="DO26968" s="303" t="s">
        <v>232</v>
      </c>
    </row>
    <row r="26969" spans="119:119" x14ac:dyDescent="0.2">
      <c r="DO26969" s="303" t="s">
        <v>232</v>
      </c>
    </row>
    <row r="26970" spans="119:119" x14ac:dyDescent="0.2">
      <c r="DO26970" s="303" t="s">
        <v>232</v>
      </c>
    </row>
    <row r="26971" spans="119:119" x14ac:dyDescent="0.2">
      <c r="DO26971" s="303" t="s">
        <v>232</v>
      </c>
    </row>
    <row r="26972" spans="119:119" x14ac:dyDescent="0.2">
      <c r="DO26972" s="303" t="s">
        <v>232</v>
      </c>
    </row>
    <row r="26973" spans="119:119" x14ac:dyDescent="0.2">
      <c r="DO26973" s="303" t="s">
        <v>232</v>
      </c>
    </row>
    <row r="26974" spans="119:119" x14ac:dyDescent="0.2">
      <c r="DO26974" s="303" t="s">
        <v>232</v>
      </c>
    </row>
    <row r="26975" spans="119:119" x14ac:dyDescent="0.2">
      <c r="DO26975" s="303" t="s">
        <v>232</v>
      </c>
    </row>
    <row r="26976" spans="119:119" x14ac:dyDescent="0.2">
      <c r="DO26976" s="303" t="s">
        <v>232</v>
      </c>
    </row>
    <row r="26977" spans="119:119" x14ac:dyDescent="0.2">
      <c r="DO26977" s="303" t="s">
        <v>232</v>
      </c>
    </row>
    <row r="26978" spans="119:119" x14ac:dyDescent="0.2">
      <c r="DO26978" s="303" t="s">
        <v>232</v>
      </c>
    </row>
    <row r="26979" spans="119:119" x14ac:dyDescent="0.2">
      <c r="DO26979" s="303" t="s">
        <v>232</v>
      </c>
    </row>
    <row r="26980" spans="119:119" x14ac:dyDescent="0.2">
      <c r="DO26980" s="303" t="s">
        <v>232</v>
      </c>
    </row>
    <row r="26981" spans="119:119" x14ac:dyDescent="0.2">
      <c r="DO26981" s="303" t="s">
        <v>232</v>
      </c>
    </row>
    <row r="26982" spans="119:119" x14ac:dyDescent="0.2">
      <c r="DO26982" s="303" t="s">
        <v>232</v>
      </c>
    </row>
    <row r="26983" spans="119:119" x14ac:dyDescent="0.2">
      <c r="DO26983" s="303" t="s">
        <v>232</v>
      </c>
    </row>
    <row r="26984" spans="119:119" x14ac:dyDescent="0.2">
      <c r="DO26984" s="303" t="s">
        <v>232</v>
      </c>
    </row>
    <row r="26985" spans="119:119" x14ac:dyDescent="0.2">
      <c r="DO26985" s="303" t="s">
        <v>232</v>
      </c>
    </row>
    <row r="26986" spans="119:119" x14ac:dyDescent="0.2">
      <c r="DO26986" s="303" t="s">
        <v>232</v>
      </c>
    </row>
    <row r="26987" spans="119:119" x14ac:dyDescent="0.2">
      <c r="DO26987" s="303" t="s">
        <v>232</v>
      </c>
    </row>
    <row r="26988" spans="119:119" x14ac:dyDescent="0.2">
      <c r="DO26988" s="303" t="s">
        <v>232</v>
      </c>
    </row>
    <row r="26989" spans="119:119" x14ac:dyDescent="0.2">
      <c r="DO26989" s="303" t="s">
        <v>232</v>
      </c>
    </row>
    <row r="26990" spans="119:119" x14ac:dyDescent="0.2">
      <c r="DO26990" s="303" t="s">
        <v>232</v>
      </c>
    </row>
    <row r="26991" spans="119:119" x14ac:dyDescent="0.2">
      <c r="DO26991" s="303" t="s">
        <v>232</v>
      </c>
    </row>
    <row r="26992" spans="119:119" x14ac:dyDescent="0.2">
      <c r="DO26992" s="303" t="s">
        <v>232</v>
      </c>
    </row>
    <row r="26993" spans="119:119" x14ac:dyDescent="0.2">
      <c r="DO26993" s="303" t="s">
        <v>232</v>
      </c>
    </row>
    <row r="26994" spans="119:119" x14ac:dyDescent="0.2">
      <c r="DO26994" s="303" t="s">
        <v>232</v>
      </c>
    </row>
    <row r="26995" spans="119:119" x14ac:dyDescent="0.2">
      <c r="DO26995" s="303" t="s">
        <v>232</v>
      </c>
    </row>
    <row r="26996" spans="119:119" x14ac:dyDescent="0.2">
      <c r="DO26996" s="303" t="s">
        <v>232</v>
      </c>
    </row>
    <row r="26997" spans="119:119" x14ac:dyDescent="0.2">
      <c r="DO26997" s="303" t="s">
        <v>232</v>
      </c>
    </row>
    <row r="26998" spans="119:119" x14ac:dyDescent="0.2">
      <c r="DO26998" s="303" t="s">
        <v>232</v>
      </c>
    </row>
    <row r="26999" spans="119:119" x14ac:dyDescent="0.2">
      <c r="DO26999" s="303" t="s">
        <v>232</v>
      </c>
    </row>
    <row r="27000" spans="119:119" x14ac:dyDescent="0.2">
      <c r="DO27000" s="303" t="s">
        <v>232</v>
      </c>
    </row>
    <row r="27001" spans="119:119" x14ac:dyDescent="0.2">
      <c r="DO27001" s="303" t="s">
        <v>232</v>
      </c>
    </row>
    <row r="27002" spans="119:119" x14ac:dyDescent="0.2">
      <c r="DO27002" s="303" t="s">
        <v>232</v>
      </c>
    </row>
    <row r="27003" spans="119:119" x14ac:dyDescent="0.2">
      <c r="DO27003" s="303" t="s">
        <v>232</v>
      </c>
    </row>
    <row r="27004" spans="119:119" x14ac:dyDescent="0.2">
      <c r="DO27004" s="303" t="s">
        <v>232</v>
      </c>
    </row>
    <row r="27005" spans="119:119" x14ac:dyDescent="0.2">
      <c r="DO27005" s="303" t="s">
        <v>232</v>
      </c>
    </row>
    <row r="27006" spans="119:119" x14ac:dyDescent="0.2">
      <c r="DO27006" s="303" t="s">
        <v>232</v>
      </c>
    </row>
    <row r="27007" spans="119:119" x14ac:dyDescent="0.2">
      <c r="DO27007" s="303" t="s">
        <v>232</v>
      </c>
    </row>
    <row r="27008" spans="119:119" x14ac:dyDescent="0.2">
      <c r="DO27008" s="303" t="s">
        <v>232</v>
      </c>
    </row>
    <row r="27009" spans="119:119" x14ac:dyDescent="0.2">
      <c r="DO27009" s="303" t="s">
        <v>232</v>
      </c>
    </row>
    <row r="27010" spans="119:119" x14ac:dyDescent="0.2">
      <c r="DO27010" s="303" t="s">
        <v>232</v>
      </c>
    </row>
    <row r="27011" spans="119:119" x14ac:dyDescent="0.2">
      <c r="DO27011" s="303" t="s">
        <v>232</v>
      </c>
    </row>
    <row r="27012" spans="119:119" x14ac:dyDescent="0.2">
      <c r="DO27012" s="303" t="s">
        <v>232</v>
      </c>
    </row>
    <row r="27013" spans="119:119" x14ac:dyDescent="0.2">
      <c r="DO27013" s="303" t="s">
        <v>232</v>
      </c>
    </row>
    <row r="27014" spans="119:119" x14ac:dyDescent="0.2">
      <c r="DO27014" s="303" t="s">
        <v>232</v>
      </c>
    </row>
    <row r="27015" spans="119:119" x14ac:dyDescent="0.2">
      <c r="DO27015" s="303" t="s">
        <v>232</v>
      </c>
    </row>
    <row r="27016" spans="119:119" x14ac:dyDescent="0.2">
      <c r="DO27016" s="303" t="s">
        <v>232</v>
      </c>
    </row>
    <row r="27017" spans="119:119" x14ac:dyDescent="0.2">
      <c r="DO27017" s="303" t="s">
        <v>232</v>
      </c>
    </row>
    <row r="27018" spans="119:119" x14ac:dyDescent="0.2">
      <c r="DO27018" s="303" t="s">
        <v>232</v>
      </c>
    </row>
    <row r="27019" spans="119:119" x14ac:dyDescent="0.2">
      <c r="DO27019" s="303" t="s">
        <v>232</v>
      </c>
    </row>
    <row r="27020" spans="119:119" x14ac:dyDescent="0.2">
      <c r="DO27020" s="303" t="s">
        <v>232</v>
      </c>
    </row>
    <row r="27021" spans="119:119" x14ac:dyDescent="0.2">
      <c r="DO27021" s="303" t="s">
        <v>232</v>
      </c>
    </row>
    <row r="27022" spans="119:119" x14ac:dyDescent="0.2">
      <c r="DO27022" s="303" t="s">
        <v>232</v>
      </c>
    </row>
    <row r="27023" spans="119:119" x14ac:dyDescent="0.2">
      <c r="DO27023" s="303" t="s">
        <v>232</v>
      </c>
    </row>
    <row r="27024" spans="119:119" x14ac:dyDescent="0.2">
      <c r="DO27024" s="303" t="s">
        <v>232</v>
      </c>
    </row>
    <row r="27025" spans="119:119" x14ac:dyDescent="0.2">
      <c r="DO27025" s="303" t="s">
        <v>232</v>
      </c>
    </row>
    <row r="27026" spans="119:119" x14ac:dyDescent="0.2">
      <c r="DO27026" s="303" t="s">
        <v>232</v>
      </c>
    </row>
    <row r="27027" spans="119:119" x14ac:dyDescent="0.2">
      <c r="DO27027" s="303" t="s">
        <v>232</v>
      </c>
    </row>
    <row r="27028" spans="119:119" x14ac:dyDescent="0.2">
      <c r="DO27028" s="303" t="s">
        <v>232</v>
      </c>
    </row>
    <row r="27029" spans="119:119" x14ac:dyDescent="0.2">
      <c r="DO27029" s="303" t="s">
        <v>232</v>
      </c>
    </row>
    <row r="27030" spans="119:119" x14ac:dyDescent="0.2">
      <c r="DO27030" s="303" t="s">
        <v>232</v>
      </c>
    </row>
    <row r="27031" spans="119:119" x14ac:dyDescent="0.2">
      <c r="DO27031" s="303" t="s">
        <v>232</v>
      </c>
    </row>
    <row r="27032" spans="119:119" x14ac:dyDescent="0.2">
      <c r="DO27032" s="303" t="s">
        <v>232</v>
      </c>
    </row>
    <row r="27033" spans="119:119" x14ac:dyDescent="0.2">
      <c r="DO27033" s="303" t="s">
        <v>232</v>
      </c>
    </row>
    <row r="27034" spans="119:119" x14ac:dyDescent="0.2">
      <c r="DO27034" s="303" t="s">
        <v>232</v>
      </c>
    </row>
    <row r="27035" spans="119:119" x14ac:dyDescent="0.2">
      <c r="DO27035" s="303" t="s">
        <v>232</v>
      </c>
    </row>
    <row r="27036" spans="119:119" x14ac:dyDescent="0.2">
      <c r="DO27036" s="303" t="s">
        <v>232</v>
      </c>
    </row>
    <row r="27037" spans="119:119" x14ac:dyDescent="0.2">
      <c r="DO27037" s="303" t="s">
        <v>232</v>
      </c>
    </row>
    <row r="27038" spans="119:119" x14ac:dyDescent="0.2">
      <c r="DO27038" s="303" t="s">
        <v>232</v>
      </c>
    </row>
    <row r="27039" spans="119:119" x14ac:dyDescent="0.2">
      <c r="DO27039" s="303" t="s">
        <v>232</v>
      </c>
    </row>
    <row r="27040" spans="119:119" x14ac:dyDescent="0.2">
      <c r="DO27040" s="303" t="s">
        <v>232</v>
      </c>
    </row>
    <row r="27041" spans="119:119" x14ac:dyDescent="0.2">
      <c r="DO27041" s="303" t="s">
        <v>232</v>
      </c>
    </row>
    <row r="27042" spans="119:119" x14ac:dyDescent="0.2">
      <c r="DO27042" s="303" t="s">
        <v>232</v>
      </c>
    </row>
    <row r="27043" spans="119:119" x14ac:dyDescent="0.2">
      <c r="DO27043" s="303" t="s">
        <v>232</v>
      </c>
    </row>
    <row r="27044" spans="119:119" x14ac:dyDescent="0.2">
      <c r="DO27044" s="303" t="s">
        <v>232</v>
      </c>
    </row>
    <row r="27045" spans="119:119" x14ac:dyDescent="0.2">
      <c r="DO27045" s="303" t="s">
        <v>232</v>
      </c>
    </row>
    <row r="27046" spans="119:119" x14ac:dyDescent="0.2">
      <c r="DO27046" s="303" t="s">
        <v>232</v>
      </c>
    </row>
    <row r="27047" spans="119:119" x14ac:dyDescent="0.2">
      <c r="DO27047" s="303" t="s">
        <v>232</v>
      </c>
    </row>
    <row r="27048" spans="119:119" x14ac:dyDescent="0.2">
      <c r="DO27048" s="303" t="s">
        <v>232</v>
      </c>
    </row>
    <row r="27049" spans="119:119" x14ac:dyDescent="0.2">
      <c r="DO27049" s="303" t="s">
        <v>232</v>
      </c>
    </row>
    <row r="27050" spans="119:119" x14ac:dyDescent="0.2">
      <c r="DO27050" s="303" t="s">
        <v>232</v>
      </c>
    </row>
    <row r="27051" spans="119:119" x14ac:dyDescent="0.2">
      <c r="DO27051" s="303" t="s">
        <v>232</v>
      </c>
    </row>
    <row r="27052" spans="119:119" x14ac:dyDescent="0.2">
      <c r="DO27052" s="303" t="s">
        <v>232</v>
      </c>
    </row>
    <row r="27053" spans="119:119" x14ac:dyDescent="0.2">
      <c r="DO27053" s="303" t="s">
        <v>232</v>
      </c>
    </row>
    <row r="27054" spans="119:119" x14ac:dyDescent="0.2">
      <c r="DO27054" s="303" t="s">
        <v>232</v>
      </c>
    </row>
    <row r="27055" spans="119:119" x14ac:dyDescent="0.2">
      <c r="DO27055" s="303" t="s">
        <v>232</v>
      </c>
    </row>
    <row r="27056" spans="119:119" x14ac:dyDescent="0.2">
      <c r="DO27056" s="303" t="s">
        <v>232</v>
      </c>
    </row>
    <row r="27057" spans="119:119" x14ac:dyDescent="0.2">
      <c r="DO27057" s="303" t="s">
        <v>232</v>
      </c>
    </row>
    <row r="27058" spans="119:119" x14ac:dyDescent="0.2">
      <c r="DO27058" s="303" t="s">
        <v>232</v>
      </c>
    </row>
    <row r="27059" spans="119:119" x14ac:dyDescent="0.2">
      <c r="DO27059" s="303" t="s">
        <v>232</v>
      </c>
    </row>
    <row r="27060" spans="119:119" x14ac:dyDescent="0.2">
      <c r="DO27060" s="303" t="s">
        <v>232</v>
      </c>
    </row>
    <row r="27061" spans="119:119" x14ac:dyDescent="0.2">
      <c r="DO27061" s="303" t="s">
        <v>232</v>
      </c>
    </row>
    <row r="27062" spans="119:119" x14ac:dyDescent="0.2">
      <c r="DO27062" s="303" t="s">
        <v>232</v>
      </c>
    </row>
    <row r="27063" spans="119:119" x14ac:dyDescent="0.2">
      <c r="DO27063" s="303" t="s">
        <v>232</v>
      </c>
    </row>
    <row r="27064" spans="119:119" x14ac:dyDescent="0.2">
      <c r="DO27064" s="303" t="s">
        <v>232</v>
      </c>
    </row>
    <row r="27065" spans="119:119" x14ac:dyDescent="0.2">
      <c r="DO27065" s="303" t="s">
        <v>232</v>
      </c>
    </row>
    <row r="27066" spans="119:119" x14ac:dyDescent="0.2">
      <c r="DO27066" s="303" t="s">
        <v>232</v>
      </c>
    </row>
    <row r="27067" spans="119:119" x14ac:dyDescent="0.2">
      <c r="DO27067" s="303" t="s">
        <v>232</v>
      </c>
    </row>
    <row r="27068" spans="119:119" x14ac:dyDescent="0.2">
      <c r="DO27068" s="303" t="s">
        <v>232</v>
      </c>
    </row>
    <row r="27069" spans="119:119" x14ac:dyDescent="0.2">
      <c r="DO27069" s="303" t="s">
        <v>232</v>
      </c>
    </row>
    <row r="27070" spans="119:119" x14ac:dyDescent="0.2">
      <c r="DO27070" s="303" t="s">
        <v>232</v>
      </c>
    </row>
    <row r="27071" spans="119:119" x14ac:dyDescent="0.2">
      <c r="DO27071" s="303" t="s">
        <v>232</v>
      </c>
    </row>
    <row r="27072" spans="119:119" x14ac:dyDescent="0.2">
      <c r="DO27072" s="303" t="s">
        <v>232</v>
      </c>
    </row>
    <row r="27073" spans="119:119" x14ac:dyDescent="0.2">
      <c r="DO27073" s="303" t="s">
        <v>232</v>
      </c>
    </row>
    <row r="27074" spans="119:119" x14ac:dyDescent="0.2">
      <c r="DO27074" s="303" t="s">
        <v>232</v>
      </c>
    </row>
    <row r="27075" spans="119:119" x14ac:dyDescent="0.2">
      <c r="DO27075" s="303" t="s">
        <v>232</v>
      </c>
    </row>
    <row r="27076" spans="119:119" x14ac:dyDescent="0.2">
      <c r="DO27076" s="303" t="s">
        <v>232</v>
      </c>
    </row>
    <row r="27077" spans="119:119" x14ac:dyDescent="0.2">
      <c r="DO27077" s="303" t="s">
        <v>232</v>
      </c>
    </row>
    <row r="27078" spans="119:119" x14ac:dyDescent="0.2">
      <c r="DO27078" s="303" t="s">
        <v>232</v>
      </c>
    </row>
    <row r="27079" spans="119:119" x14ac:dyDescent="0.2">
      <c r="DO27079" s="303" t="s">
        <v>232</v>
      </c>
    </row>
    <row r="27080" spans="119:119" x14ac:dyDescent="0.2">
      <c r="DO27080" s="303" t="s">
        <v>232</v>
      </c>
    </row>
    <row r="27081" spans="119:119" x14ac:dyDescent="0.2">
      <c r="DO27081" s="303" t="s">
        <v>232</v>
      </c>
    </row>
    <row r="27082" spans="119:119" x14ac:dyDescent="0.2">
      <c r="DO27082" s="303" t="s">
        <v>232</v>
      </c>
    </row>
    <row r="27083" spans="119:119" x14ac:dyDescent="0.2">
      <c r="DO27083" s="303" t="s">
        <v>232</v>
      </c>
    </row>
    <row r="27084" spans="119:119" x14ac:dyDescent="0.2">
      <c r="DO27084" s="303" t="s">
        <v>232</v>
      </c>
    </row>
    <row r="27085" spans="119:119" x14ac:dyDescent="0.2">
      <c r="DO27085" s="303" t="s">
        <v>232</v>
      </c>
    </row>
    <row r="27086" spans="119:119" x14ac:dyDescent="0.2">
      <c r="DO27086" s="303" t="s">
        <v>232</v>
      </c>
    </row>
    <row r="27087" spans="119:119" x14ac:dyDescent="0.2">
      <c r="DO27087" s="303" t="s">
        <v>232</v>
      </c>
    </row>
    <row r="27088" spans="119:119" x14ac:dyDescent="0.2">
      <c r="DO27088" s="303" t="s">
        <v>232</v>
      </c>
    </row>
    <row r="27089" spans="119:119" x14ac:dyDescent="0.2">
      <c r="DO27089" s="303" t="s">
        <v>232</v>
      </c>
    </row>
    <row r="27090" spans="119:119" x14ac:dyDescent="0.2">
      <c r="DO27090" s="303" t="s">
        <v>232</v>
      </c>
    </row>
    <row r="27091" spans="119:119" x14ac:dyDescent="0.2">
      <c r="DO27091" s="303" t="s">
        <v>232</v>
      </c>
    </row>
    <row r="27092" spans="119:119" x14ac:dyDescent="0.2">
      <c r="DO27092" s="303" t="s">
        <v>232</v>
      </c>
    </row>
    <row r="27093" spans="119:119" x14ac:dyDescent="0.2">
      <c r="DO27093" s="303" t="s">
        <v>232</v>
      </c>
    </row>
    <row r="27094" spans="119:119" x14ac:dyDescent="0.2">
      <c r="DO27094" s="303" t="s">
        <v>232</v>
      </c>
    </row>
    <row r="27095" spans="119:119" x14ac:dyDescent="0.2">
      <c r="DO27095" s="303" t="s">
        <v>232</v>
      </c>
    </row>
    <row r="27096" spans="119:119" x14ac:dyDescent="0.2">
      <c r="DO27096" s="303" t="s">
        <v>232</v>
      </c>
    </row>
    <row r="27097" spans="119:119" x14ac:dyDescent="0.2">
      <c r="DO27097" s="303" t="s">
        <v>232</v>
      </c>
    </row>
    <row r="27098" spans="119:119" x14ac:dyDescent="0.2">
      <c r="DO27098" s="303" t="s">
        <v>232</v>
      </c>
    </row>
    <row r="27099" spans="119:119" x14ac:dyDescent="0.2">
      <c r="DO27099" s="303" t="s">
        <v>232</v>
      </c>
    </row>
    <row r="27100" spans="119:119" x14ac:dyDescent="0.2">
      <c r="DO27100" s="303" t="s">
        <v>232</v>
      </c>
    </row>
    <row r="27101" spans="119:119" x14ac:dyDescent="0.2">
      <c r="DO27101" s="303" t="s">
        <v>232</v>
      </c>
    </row>
    <row r="27102" spans="119:119" x14ac:dyDescent="0.2">
      <c r="DO27102" s="303" t="s">
        <v>232</v>
      </c>
    </row>
    <row r="27103" spans="119:119" x14ac:dyDescent="0.2">
      <c r="DO27103" s="303" t="s">
        <v>232</v>
      </c>
    </row>
    <row r="27104" spans="119:119" x14ac:dyDescent="0.2">
      <c r="DO27104" s="303" t="s">
        <v>232</v>
      </c>
    </row>
    <row r="27105" spans="119:119" x14ac:dyDescent="0.2">
      <c r="DO27105" s="303" t="s">
        <v>232</v>
      </c>
    </row>
    <row r="27106" spans="119:119" x14ac:dyDescent="0.2">
      <c r="DO27106" s="303" t="s">
        <v>232</v>
      </c>
    </row>
    <row r="27107" spans="119:119" x14ac:dyDescent="0.2">
      <c r="DO27107" s="303" t="s">
        <v>232</v>
      </c>
    </row>
    <row r="27108" spans="119:119" x14ac:dyDescent="0.2">
      <c r="DO27108" s="303" t="s">
        <v>232</v>
      </c>
    </row>
    <row r="27109" spans="119:119" x14ac:dyDescent="0.2">
      <c r="DO27109" s="303" t="s">
        <v>232</v>
      </c>
    </row>
    <row r="27110" spans="119:119" x14ac:dyDescent="0.2">
      <c r="DO27110" s="303" t="s">
        <v>232</v>
      </c>
    </row>
    <row r="27111" spans="119:119" x14ac:dyDescent="0.2">
      <c r="DO27111" s="303" t="s">
        <v>232</v>
      </c>
    </row>
    <row r="27112" spans="119:119" x14ac:dyDescent="0.2">
      <c r="DO27112" s="303" t="s">
        <v>232</v>
      </c>
    </row>
    <row r="27113" spans="119:119" x14ac:dyDescent="0.2">
      <c r="DO27113" s="303" t="s">
        <v>232</v>
      </c>
    </row>
    <row r="27114" spans="119:119" x14ac:dyDescent="0.2">
      <c r="DO27114" s="303" t="s">
        <v>232</v>
      </c>
    </row>
    <row r="27115" spans="119:119" x14ac:dyDescent="0.2">
      <c r="DO27115" s="303" t="s">
        <v>232</v>
      </c>
    </row>
    <row r="27116" spans="119:119" x14ac:dyDescent="0.2">
      <c r="DO27116" s="303" t="s">
        <v>232</v>
      </c>
    </row>
    <row r="27117" spans="119:119" x14ac:dyDescent="0.2">
      <c r="DO27117" s="303" t="s">
        <v>232</v>
      </c>
    </row>
    <row r="27118" spans="119:119" x14ac:dyDescent="0.2">
      <c r="DO27118" s="303" t="s">
        <v>232</v>
      </c>
    </row>
    <row r="27119" spans="119:119" x14ac:dyDescent="0.2">
      <c r="DO27119" s="303" t="s">
        <v>232</v>
      </c>
    </row>
    <row r="27120" spans="119:119" x14ac:dyDescent="0.2">
      <c r="DO27120" s="303" t="s">
        <v>232</v>
      </c>
    </row>
    <row r="27121" spans="119:119" x14ac:dyDescent="0.2">
      <c r="DO27121" s="303" t="s">
        <v>232</v>
      </c>
    </row>
    <row r="27122" spans="119:119" x14ac:dyDescent="0.2">
      <c r="DO27122" s="303" t="s">
        <v>232</v>
      </c>
    </row>
    <row r="27123" spans="119:119" x14ac:dyDescent="0.2">
      <c r="DO27123" s="303" t="s">
        <v>232</v>
      </c>
    </row>
    <row r="27124" spans="119:119" x14ac:dyDescent="0.2">
      <c r="DO27124" s="303" t="s">
        <v>232</v>
      </c>
    </row>
    <row r="27125" spans="119:119" x14ac:dyDescent="0.2">
      <c r="DO27125" s="303" t="s">
        <v>232</v>
      </c>
    </row>
    <row r="27126" spans="119:119" x14ac:dyDescent="0.2">
      <c r="DO27126" s="303" t="s">
        <v>232</v>
      </c>
    </row>
    <row r="27127" spans="119:119" x14ac:dyDescent="0.2">
      <c r="DO27127" s="303" t="s">
        <v>232</v>
      </c>
    </row>
    <row r="27128" spans="119:119" x14ac:dyDescent="0.2">
      <c r="DO27128" s="303" t="s">
        <v>232</v>
      </c>
    </row>
    <row r="27129" spans="119:119" x14ac:dyDescent="0.2">
      <c r="DO27129" s="303" t="s">
        <v>232</v>
      </c>
    </row>
    <row r="27130" spans="119:119" x14ac:dyDescent="0.2">
      <c r="DO27130" s="303" t="s">
        <v>232</v>
      </c>
    </row>
    <row r="27131" spans="119:119" x14ac:dyDescent="0.2">
      <c r="DO27131" s="303" t="s">
        <v>232</v>
      </c>
    </row>
    <row r="27132" spans="119:119" x14ac:dyDescent="0.2">
      <c r="DO27132" s="303" t="s">
        <v>232</v>
      </c>
    </row>
    <row r="27133" spans="119:119" x14ac:dyDescent="0.2">
      <c r="DO27133" s="303" t="s">
        <v>232</v>
      </c>
    </row>
    <row r="27134" spans="119:119" x14ac:dyDescent="0.2">
      <c r="DO27134" s="303" t="s">
        <v>232</v>
      </c>
    </row>
    <row r="27135" spans="119:119" x14ac:dyDescent="0.2">
      <c r="DO27135" s="303" t="s">
        <v>232</v>
      </c>
    </row>
    <row r="27136" spans="119:119" x14ac:dyDescent="0.2">
      <c r="DO27136" s="303" t="s">
        <v>232</v>
      </c>
    </row>
    <row r="27137" spans="119:119" x14ac:dyDescent="0.2">
      <c r="DO27137" s="303" t="s">
        <v>232</v>
      </c>
    </row>
    <row r="27138" spans="119:119" x14ac:dyDescent="0.2">
      <c r="DO27138" s="303" t="s">
        <v>232</v>
      </c>
    </row>
    <row r="27139" spans="119:119" x14ac:dyDescent="0.2">
      <c r="DO27139" s="303" t="s">
        <v>232</v>
      </c>
    </row>
    <row r="27140" spans="119:119" x14ac:dyDescent="0.2">
      <c r="DO27140" s="303" t="s">
        <v>232</v>
      </c>
    </row>
    <row r="27141" spans="119:119" x14ac:dyDescent="0.2">
      <c r="DO27141" s="303" t="s">
        <v>232</v>
      </c>
    </row>
    <row r="27142" spans="119:119" x14ac:dyDescent="0.2">
      <c r="DO27142" s="303" t="s">
        <v>232</v>
      </c>
    </row>
    <row r="27143" spans="119:119" x14ac:dyDescent="0.2">
      <c r="DO27143" s="303" t="s">
        <v>232</v>
      </c>
    </row>
    <row r="27144" spans="119:119" x14ac:dyDescent="0.2">
      <c r="DO27144" s="303" t="s">
        <v>232</v>
      </c>
    </row>
    <row r="27145" spans="119:119" x14ac:dyDescent="0.2">
      <c r="DO27145" s="303" t="s">
        <v>232</v>
      </c>
    </row>
    <row r="27146" spans="119:119" x14ac:dyDescent="0.2">
      <c r="DO27146" s="303" t="s">
        <v>232</v>
      </c>
    </row>
    <row r="27147" spans="119:119" x14ac:dyDescent="0.2">
      <c r="DO27147" s="303" t="s">
        <v>232</v>
      </c>
    </row>
    <row r="27148" spans="119:119" x14ac:dyDescent="0.2">
      <c r="DO27148" s="303" t="s">
        <v>232</v>
      </c>
    </row>
    <row r="27149" spans="119:119" x14ac:dyDescent="0.2">
      <c r="DO27149" s="303" t="s">
        <v>232</v>
      </c>
    </row>
    <row r="27150" spans="119:119" x14ac:dyDescent="0.2">
      <c r="DO27150" s="303" t="s">
        <v>232</v>
      </c>
    </row>
    <row r="27151" spans="119:119" x14ac:dyDescent="0.2">
      <c r="DO27151" s="303" t="s">
        <v>232</v>
      </c>
    </row>
    <row r="27152" spans="119:119" x14ac:dyDescent="0.2">
      <c r="DO27152" s="303" t="s">
        <v>232</v>
      </c>
    </row>
    <row r="27153" spans="119:119" x14ac:dyDescent="0.2">
      <c r="DO27153" s="303" t="s">
        <v>232</v>
      </c>
    </row>
    <row r="27154" spans="119:119" x14ac:dyDescent="0.2">
      <c r="DO27154" s="303" t="s">
        <v>232</v>
      </c>
    </row>
    <row r="27155" spans="119:119" x14ac:dyDescent="0.2">
      <c r="DO27155" s="303" t="s">
        <v>232</v>
      </c>
    </row>
    <row r="27156" spans="119:119" x14ac:dyDescent="0.2">
      <c r="DO27156" s="303" t="s">
        <v>232</v>
      </c>
    </row>
    <row r="27157" spans="119:119" x14ac:dyDescent="0.2">
      <c r="DO27157" s="303" t="s">
        <v>232</v>
      </c>
    </row>
    <row r="27158" spans="119:119" x14ac:dyDescent="0.2">
      <c r="DO27158" s="303" t="s">
        <v>232</v>
      </c>
    </row>
    <row r="27159" spans="119:119" x14ac:dyDescent="0.2">
      <c r="DO27159" s="303" t="s">
        <v>232</v>
      </c>
    </row>
    <row r="27160" spans="119:119" x14ac:dyDescent="0.2">
      <c r="DO27160" s="303" t="s">
        <v>232</v>
      </c>
    </row>
    <row r="27161" spans="119:119" x14ac:dyDescent="0.2">
      <c r="DO27161" s="303" t="s">
        <v>232</v>
      </c>
    </row>
    <row r="27162" spans="119:119" x14ac:dyDescent="0.2">
      <c r="DO27162" s="303" t="s">
        <v>232</v>
      </c>
    </row>
    <row r="27163" spans="119:119" x14ac:dyDescent="0.2">
      <c r="DO27163" s="303" t="s">
        <v>232</v>
      </c>
    </row>
    <row r="27164" spans="119:119" x14ac:dyDescent="0.2">
      <c r="DO27164" s="303" t="s">
        <v>232</v>
      </c>
    </row>
    <row r="27165" spans="119:119" x14ac:dyDescent="0.2">
      <c r="DO27165" s="303" t="s">
        <v>232</v>
      </c>
    </row>
    <row r="27166" spans="119:119" x14ac:dyDescent="0.2">
      <c r="DO27166" s="303" t="s">
        <v>232</v>
      </c>
    </row>
    <row r="27167" spans="119:119" x14ac:dyDescent="0.2">
      <c r="DO27167" s="303" t="s">
        <v>232</v>
      </c>
    </row>
    <row r="27168" spans="119:119" x14ac:dyDescent="0.2">
      <c r="DO27168" s="303" t="s">
        <v>232</v>
      </c>
    </row>
    <row r="27169" spans="119:119" x14ac:dyDescent="0.2">
      <c r="DO27169" s="303" t="s">
        <v>232</v>
      </c>
    </row>
    <row r="27170" spans="119:119" x14ac:dyDescent="0.2">
      <c r="DO27170" s="303" t="s">
        <v>232</v>
      </c>
    </row>
    <row r="27171" spans="119:119" x14ac:dyDescent="0.2">
      <c r="DO27171" s="303" t="s">
        <v>232</v>
      </c>
    </row>
    <row r="27172" spans="119:119" x14ac:dyDescent="0.2">
      <c r="DO27172" s="303" t="s">
        <v>232</v>
      </c>
    </row>
    <row r="27173" spans="119:119" x14ac:dyDescent="0.2">
      <c r="DO27173" s="303" t="s">
        <v>232</v>
      </c>
    </row>
    <row r="27174" spans="119:119" x14ac:dyDescent="0.2">
      <c r="DO27174" s="303" t="s">
        <v>232</v>
      </c>
    </row>
    <row r="27175" spans="119:119" x14ac:dyDescent="0.2">
      <c r="DO27175" s="303" t="s">
        <v>232</v>
      </c>
    </row>
    <row r="27176" spans="119:119" x14ac:dyDescent="0.2">
      <c r="DO27176" s="303" t="s">
        <v>232</v>
      </c>
    </row>
    <row r="27177" spans="119:119" x14ac:dyDescent="0.2">
      <c r="DO27177" s="303" t="s">
        <v>232</v>
      </c>
    </row>
    <row r="27178" spans="119:119" x14ac:dyDescent="0.2">
      <c r="DO27178" s="303" t="s">
        <v>232</v>
      </c>
    </row>
    <row r="27179" spans="119:119" x14ac:dyDescent="0.2">
      <c r="DO27179" s="303" t="s">
        <v>232</v>
      </c>
    </row>
    <row r="27180" spans="119:119" x14ac:dyDescent="0.2">
      <c r="DO27180" s="303" t="s">
        <v>232</v>
      </c>
    </row>
    <row r="27181" spans="119:119" x14ac:dyDescent="0.2">
      <c r="DO27181" s="303" t="s">
        <v>232</v>
      </c>
    </row>
    <row r="27182" spans="119:119" x14ac:dyDescent="0.2">
      <c r="DO27182" s="303" t="s">
        <v>232</v>
      </c>
    </row>
    <row r="27183" spans="119:119" x14ac:dyDescent="0.2">
      <c r="DO27183" s="303" t="s">
        <v>232</v>
      </c>
    </row>
    <row r="27184" spans="119:119" x14ac:dyDescent="0.2">
      <c r="DO27184" s="303" t="s">
        <v>232</v>
      </c>
    </row>
    <row r="27185" spans="119:119" x14ac:dyDescent="0.2">
      <c r="DO27185" s="303" t="s">
        <v>232</v>
      </c>
    </row>
    <row r="27186" spans="119:119" x14ac:dyDescent="0.2">
      <c r="DO27186" s="303" t="s">
        <v>232</v>
      </c>
    </row>
    <row r="27187" spans="119:119" x14ac:dyDescent="0.2">
      <c r="DO27187" s="303" t="s">
        <v>232</v>
      </c>
    </row>
    <row r="27188" spans="119:119" x14ac:dyDescent="0.2">
      <c r="DO27188" s="303" t="s">
        <v>232</v>
      </c>
    </row>
    <row r="27189" spans="119:119" x14ac:dyDescent="0.2">
      <c r="DO27189" s="303" t="s">
        <v>232</v>
      </c>
    </row>
    <row r="27190" spans="119:119" x14ac:dyDescent="0.2">
      <c r="DO27190" s="303" t="s">
        <v>232</v>
      </c>
    </row>
    <row r="27191" spans="119:119" x14ac:dyDescent="0.2">
      <c r="DO27191" s="303" t="s">
        <v>232</v>
      </c>
    </row>
    <row r="27192" spans="119:119" x14ac:dyDescent="0.2">
      <c r="DO27192" s="303" t="s">
        <v>232</v>
      </c>
    </row>
    <row r="27193" spans="119:119" x14ac:dyDescent="0.2">
      <c r="DO27193" s="303" t="s">
        <v>232</v>
      </c>
    </row>
    <row r="27194" spans="119:119" x14ac:dyDescent="0.2">
      <c r="DO27194" s="303" t="s">
        <v>232</v>
      </c>
    </row>
    <row r="27195" spans="119:119" x14ac:dyDescent="0.2">
      <c r="DO27195" s="303" t="s">
        <v>232</v>
      </c>
    </row>
    <row r="27196" spans="119:119" x14ac:dyDescent="0.2">
      <c r="DO27196" s="303" t="s">
        <v>232</v>
      </c>
    </row>
    <row r="27197" spans="119:119" x14ac:dyDescent="0.2">
      <c r="DO27197" s="303" t="s">
        <v>232</v>
      </c>
    </row>
    <row r="27198" spans="119:119" x14ac:dyDescent="0.2">
      <c r="DO27198" s="303" t="s">
        <v>232</v>
      </c>
    </row>
    <row r="27199" spans="119:119" x14ac:dyDescent="0.2">
      <c r="DO27199" s="303" t="s">
        <v>232</v>
      </c>
    </row>
    <row r="27200" spans="119:119" x14ac:dyDescent="0.2">
      <c r="DO27200" s="303" t="s">
        <v>232</v>
      </c>
    </row>
    <row r="27201" spans="119:119" x14ac:dyDescent="0.2">
      <c r="DO27201" s="303" t="s">
        <v>232</v>
      </c>
    </row>
    <row r="27202" spans="119:119" x14ac:dyDescent="0.2">
      <c r="DO27202" s="303" t="s">
        <v>232</v>
      </c>
    </row>
    <row r="27203" spans="119:119" x14ac:dyDescent="0.2">
      <c r="DO27203" s="303" t="s">
        <v>232</v>
      </c>
    </row>
    <row r="27204" spans="119:119" x14ac:dyDescent="0.2">
      <c r="DO27204" s="303" t="s">
        <v>232</v>
      </c>
    </row>
    <row r="27205" spans="119:119" x14ac:dyDescent="0.2">
      <c r="DO27205" s="303" t="s">
        <v>232</v>
      </c>
    </row>
    <row r="27206" spans="119:119" x14ac:dyDescent="0.2">
      <c r="DO27206" s="303" t="s">
        <v>232</v>
      </c>
    </row>
    <row r="27207" spans="119:119" x14ac:dyDescent="0.2">
      <c r="DO27207" s="303" t="s">
        <v>232</v>
      </c>
    </row>
    <row r="27208" spans="119:119" x14ac:dyDescent="0.2">
      <c r="DO27208" s="303" t="s">
        <v>232</v>
      </c>
    </row>
    <row r="27209" spans="119:119" x14ac:dyDescent="0.2">
      <c r="DO27209" s="303" t="s">
        <v>232</v>
      </c>
    </row>
    <row r="27210" spans="119:119" x14ac:dyDescent="0.2">
      <c r="DO27210" s="303" t="s">
        <v>232</v>
      </c>
    </row>
    <row r="27211" spans="119:119" x14ac:dyDescent="0.2">
      <c r="DO27211" s="303" t="s">
        <v>232</v>
      </c>
    </row>
    <row r="27212" spans="119:119" x14ac:dyDescent="0.2">
      <c r="DO27212" s="303" t="s">
        <v>232</v>
      </c>
    </row>
    <row r="27213" spans="119:119" x14ac:dyDescent="0.2">
      <c r="DO27213" s="303" t="s">
        <v>232</v>
      </c>
    </row>
    <row r="27214" spans="119:119" x14ac:dyDescent="0.2">
      <c r="DO27214" s="303" t="s">
        <v>232</v>
      </c>
    </row>
    <row r="27215" spans="119:119" x14ac:dyDescent="0.2">
      <c r="DO27215" s="303" t="s">
        <v>232</v>
      </c>
    </row>
    <row r="27216" spans="119:119" x14ac:dyDescent="0.2">
      <c r="DO27216" s="303" t="s">
        <v>232</v>
      </c>
    </row>
    <row r="27217" spans="119:119" x14ac:dyDescent="0.2">
      <c r="DO27217" s="303" t="s">
        <v>232</v>
      </c>
    </row>
    <row r="27218" spans="119:119" x14ac:dyDescent="0.2">
      <c r="DO27218" s="303" t="s">
        <v>232</v>
      </c>
    </row>
    <row r="27219" spans="119:119" x14ac:dyDescent="0.2">
      <c r="DO27219" s="303" t="s">
        <v>232</v>
      </c>
    </row>
    <row r="27220" spans="119:119" x14ac:dyDescent="0.2">
      <c r="DO27220" s="303" t="s">
        <v>232</v>
      </c>
    </row>
    <row r="27221" spans="119:119" x14ac:dyDescent="0.2">
      <c r="DO27221" s="303" t="s">
        <v>232</v>
      </c>
    </row>
    <row r="27222" spans="119:119" x14ac:dyDescent="0.2">
      <c r="DO27222" s="303" t="s">
        <v>232</v>
      </c>
    </row>
    <row r="27223" spans="119:119" x14ac:dyDescent="0.2">
      <c r="DO27223" s="303" t="s">
        <v>232</v>
      </c>
    </row>
    <row r="27224" spans="119:119" x14ac:dyDescent="0.2">
      <c r="DO27224" s="303" t="s">
        <v>232</v>
      </c>
    </row>
    <row r="27225" spans="119:119" x14ac:dyDescent="0.2">
      <c r="DO27225" s="303" t="s">
        <v>232</v>
      </c>
    </row>
    <row r="27226" spans="119:119" x14ac:dyDescent="0.2">
      <c r="DO27226" s="303" t="s">
        <v>232</v>
      </c>
    </row>
    <row r="27227" spans="119:119" x14ac:dyDescent="0.2">
      <c r="DO27227" s="303" t="s">
        <v>232</v>
      </c>
    </row>
    <row r="27228" spans="119:119" x14ac:dyDescent="0.2">
      <c r="DO27228" s="303" t="s">
        <v>232</v>
      </c>
    </row>
    <row r="27229" spans="119:119" x14ac:dyDescent="0.2">
      <c r="DO27229" s="303" t="s">
        <v>232</v>
      </c>
    </row>
    <row r="27230" spans="119:119" x14ac:dyDescent="0.2">
      <c r="DO27230" s="303" t="s">
        <v>232</v>
      </c>
    </row>
    <row r="27231" spans="119:119" x14ac:dyDescent="0.2">
      <c r="DO27231" s="303" t="s">
        <v>232</v>
      </c>
    </row>
    <row r="27232" spans="119:119" x14ac:dyDescent="0.2">
      <c r="DO27232" s="303" t="s">
        <v>232</v>
      </c>
    </row>
    <row r="27233" spans="119:119" x14ac:dyDescent="0.2">
      <c r="DO27233" s="303" t="s">
        <v>232</v>
      </c>
    </row>
    <row r="27234" spans="119:119" x14ac:dyDescent="0.2">
      <c r="DO27234" s="303" t="s">
        <v>232</v>
      </c>
    </row>
    <row r="27235" spans="119:119" x14ac:dyDescent="0.2">
      <c r="DO27235" s="303" t="s">
        <v>232</v>
      </c>
    </row>
    <row r="27236" spans="119:119" x14ac:dyDescent="0.2">
      <c r="DO27236" s="303" t="s">
        <v>232</v>
      </c>
    </row>
    <row r="27237" spans="119:119" x14ac:dyDescent="0.2">
      <c r="DO27237" s="303" t="s">
        <v>232</v>
      </c>
    </row>
    <row r="27238" spans="119:119" x14ac:dyDescent="0.2">
      <c r="DO27238" s="303" t="s">
        <v>232</v>
      </c>
    </row>
    <row r="27239" spans="119:119" x14ac:dyDescent="0.2">
      <c r="DO27239" s="303" t="s">
        <v>232</v>
      </c>
    </row>
    <row r="27240" spans="119:119" x14ac:dyDescent="0.2">
      <c r="DO27240" s="303" t="s">
        <v>232</v>
      </c>
    </row>
    <row r="27241" spans="119:119" x14ac:dyDescent="0.2">
      <c r="DO27241" s="303" t="s">
        <v>232</v>
      </c>
    </row>
    <row r="27242" spans="119:119" x14ac:dyDescent="0.2">
      <c r="DO27242" s="303" t="s">
        <v>232</v>
      </c>
    </row>
    <row r="27243" spans="119:119" x14ac:dyDescent="0.2">
      <c r="DO27243" s="303" t="s">
        <v>232</v>
      </c>
    </row>
    <row r="27244" spans="119:119" x14ac:dyDescent="0.2">
      <c r="DO27244" s="303" t="s">
        <v>232</v>
      </c>
    </row>
    <row r="27245" spans="119:119" x14ac:dyDescent="0.2">
      <c r="DO27245" s="303" t="s">
        <v>232</v>
      </c>
    </row>
    <row r="27246" spans="119:119" x14ac:dyDescent="0.2">
      <c r="DO27246" s="303" t="s">
        <v>232</v>
      </c>
    </row>
    <row r="27247" spans="119:119" x14ac:dyDescent="0.2">
      <c r="DO27247" s="303" t="s">
        <v>232</v>
      </c>
    </row>
    <row r="27248" spans="119:119" x14ac:dyDescent="0.2">
      <c r="DO27248" s="303" t="s">
        <v>232</v>
      </c>
    </row>
    <row r="27249" spans="119:119" x14ac:dyDescent="0.2">
      <c r="DO27249" s="303" t="s">
        <v>232</v>
      </c>
    </row>
    <row r="27250" spans="119:119" x14ac:dyDescent="0.2">
      <c r="DO27250" s="303" t="s">
        <v>232</v>
      </c>
    </row>
    <row r="27251" spans="119:119" x14ac:dyDescent="0.2">
      <c r="DO27251" s="303" t="s">
        <v>232</v>
      </c>
    </row>
    <row r="27252" spans="119:119" x14ac:dyDescent="0.2">
      <c r="DO27252" s="303" t="s">
        <v>232</v>
      </c>
    </row>
    <row r="27253" spans="119:119" x14ac:dyDescent="0.2">
      <c r="DO27253" s="303" t="s">
        <v>232</v>
      </c>
    </row>
    <row r="27254" spans="119:119" x14ac:dyDescent="0.2">
      <c r="DO27254" s="303" t="s">
        <v>232</v>
      </c>
    </row>
    <row r="27255" spans="119:119" x14ac:dyDescent="0.2">
      <c r="DO27255" s="303" t="s">
        <v>232</v>
      </c>
    </row>
    <row r="27256" spans="119:119" x14ac:dyDescent="0.2">
      <c r="DO27256" s="303" t="s">
        <v>232</v>
      </c>
    </row>
    <row r="27257" spans="119:119" x14ac:dyDescent="0.2">
      <c r="DO27257" s="303" t="s">
        <v>232</v>
      </c>
    </row>
    <row r="27258" spans="119:119" x14ac:dyDescent="0.2">
      <c r="DO27258" s="303" t="s">
        <v>232</v>
      </c>
    </row>
    <row r="27259" spans="119:119" x14ac:dyDescent="0.2">
      <c r="DO27259" s="303" t="s">
        <v>232</v>
      </c>
    </row>
    <row r="27260" spans="119:119" x14ac:dyDescent="0.2">
      <c r="DO27260" s="303" t="s">
        <v>232</v>
      </c>
    </row>
    <row r="27261" spans="119:119" x14ac:dyDescent="0.2">
      <c r="DO27261" s="303" t="s">
        <v>232</v>
      </c>
    </row>
    <row r="27262" spans="119:119" x14ac:dyDescent="0.2">
      <c r="DO27262" s="303" t="s">
        <v>232</v>
      </c>
    </row>
    <row r="27263" spans="119:119" x14ac:dyDescent="0.2">
      <c r="DO27263" s="303" t="s">
        <v>232</v>
      </c>
    </row>
    <row r="27264" spans="119:119" x14ac:dyDescent="0.2">
      <c r="DO27264" s="303" t="s">
        <v>232</v>
      </c>
    </row>
    <row r="27265" spans="119:119" x14ac:dyDescent="0.2">
      <c r="DO27265" s="303" t="s">
        <v>232</v>
      </c>
    </row>
    <row r="27266" spans="119:119" x14ac:dyDescent="0.2">
      <c r="DO27266" s="303" t="s">
        <v>232</v>
      </c>
    </row>
    <row r="27267" spans="119:119" x14ac:dyDescent="0.2">
      <c r="DO27267" s="303" t="s">
        <v>232</v>
      </c>
    </row>
    <row r="27268" spans="119:119" x14ac:dyDescent="0.2">
      <c r="DO27268" s="303" t="s">
        <v>232</v>
      </c>
    </row>
    <row r="27269" spans="119:119" x14ac:dyDescent="0.2">
      <c r="DO27269" s="303" t="s">
        <v>232</v>
      </c>
    </row>
    <row r="27270" spans="119:119" x14ac:dyDescent="0.2">
      <c r="DO27270" s="303" t="s">
        <v>232</v>
      </c>
    </row>
    <row r="27271" spans="119:119" x14ac:dyDescent="0.2">
      <c r="DO27271" s="303" t="s">
        <v>232</v>
      </c>
    </row>
    <row r="27272" spans="119:119" x14ac:dyDescent="0.2">
      <c r="DO27272" s="303" t="s">
        <v>232</v>
      </c>
    </row>
    <row r="27273" spans="119:119" x14ac:dyDescent="0.2">
      <c r="DO27273" s="303" t="s">
        <v>232</v>
      </c>
    </row>
    <row r="27274" spans="119:119" x14ac:dyDescent="0.2">
      <c r="DO27274" s="303" t="s">
        <v>232</v>
      </c>
    </row>
    <row r="27275" spans="119:119" x14ac:dyDescent="0.2">
      <c r="DO27275" s="303" t="s">
        <v>232</v>
      </c>
    </row>
    <row r="27276" spans="119:119" x14ac:dyDescent="0.2">
      <c r="DO27276" s="303" t="s">
        <v>232</v>
      </c>
    </row>
    <row r="27277" spans="119:119" x14ac:dyDescent="0.2">
      <c r="DO27277" s="303" t="s">
        <v>232</v>
      </c>
    </row>
    <row r="27278" spans="119:119" x14ac:dyDescent="0.2">
      <c r="DO27278" s="303" t="s">
        <v>232</v>
      </c>
    </row>
    <row r="27279" spans="119:119" x14ac:dyDescent="0.2">
      <c r="DO27279" s="303" t="s">
        <v>232</v>
      </c>
    </row>
    <row r="27280" spans="119:119" x14ac:dyDescent="0.2">
      <c r="DO27280" s="303" t="s">
        <v>232</v>
      </c>
    </row>
    <row r="27281" spans="119:119" x14ac:dyDescent="0.2">
      <c r="DO27281" s="303" t="s">
        <v>232</v>
      </c>
    </row>
    <row r="27282" spans="119:119" x14ac:dyDescent="0.2">
      <c r="DO27282" s="303" t="s">
        <v>232</v>
      </c>
    </row>
    <row r="27283" spans="119:119" x14ac:dyDescent="0.2">
      <c r="DO27283" s="303" t="s">
        <v>232</v>
      </c>
    </row>
    <row r="27284" spans="119:119" x14ac:dyDescent="0.2">
      <c r="DO27284" s="303" t="s">
        <v>232</v>
      </c>
    </row>
    <row r="27285" spans="119:119" x14ac:dyDescent="0.2">
      <c r="DO27285" s="303" t="s">
        <v>232</v>
      </c>
    </row>
    <row r="27286" spans="119:119" x14ac:dyDescent="0.2">
      <c r="DO27286" s="303" t="s">
        <v>232</v>
      </c>
    </row>
    <row r="27287" spans="119:119" x14ac:dyDescent="0.2">
      <c r="DO27287" s="303" t="s">
        <v>232</v>
      </c>
    </row>
    <row r="27288" spans="119:119" x14ac:dyDescent="0.2">
      <c r="DO27288" s="303" t="s">
        <v>232</v>
      </c>
    </row>
    <row r="27289" spans="119:119" x14ac:dyDescent="0.2">
      <c r="DO27289" s="303" t="s">
        <v>232</v>
      </c>
    </row>
    <row r="27290" spans="119:119" x14ac:dyDescent="0.2">
      <c r="DO27290" s="303" t="s">
        <v>232</v>
      </c>
    </row>
    <row r="27291" spans="119:119" x14ac:dyDescent="0.2">
      <c r="DO27291" s="303" t="s">
        <v>232</v>
      </c>
    </row>
    <row r="27292" spans="119:119" x14ac:dyDescent="0.2">
      <c r="DO27292" s="303" t="s">
        <v>232</v>
      </c>
    </row>
    <row r="27293" spans="119:119" x14ac:dyDescent="0.2">
      <c r="DO27293" s="303" t="s">
        <v>232</v>
      </c>
    </row>
    <row r="27294" spans="119:119" x14ac:dyDescent="0.2">
      <c r="DO27294" s="303" t="s">
        <v>232</v>
      </c>
    </row>
    <row r="27295" spans="119:119" x14ac:dyDescent="0.2">
      <c r="DO27295" s="303" t="s">
        <v>232</v>
      </c>
    </row>
    <row r="27296" spans="119:119" x14ac:dyDescent="0.2">
      <c r="DO27296" s="303" t="s">
        <v>232</v>
      </c>
    </row>
    <row r="27297" spans="119:119" x14ac:dyDescent="0.2">
      <c r="DO27297" s="303" t="s">
        <v>232</v>
      </c>
    </row>
    <row r="27298" spans="119:119" x14ac:dyDescent="0.2">
      <c r="DO27298" s="303" t="s">
        <v>232</v>
      </c>
    </row>
    <row r="27299" spans="119:119" x14ac:dyDescent="0.2">
      <c r="DO27299" s="303" t="s">
        <v>232</v>
      </c>
    </row>
    <row r="27300" spans="119:119" x14ac:dyDescent="0.2">
      <c r="DO27300" s="303" t="s">
        <v>232</v>
      </c>
    </row>
    <row r="27301" spans="119:119" x14ac:dyDescent="0.2">
      <c r="DO27301" s="303" t="s">
        <v>232</v>
      </c>
    </row>
    <row r="27302" spans="119:119" x14ac:dyDescent="0.2">
      <c r="DO27302" s="303" t="s">
        <v>232</v>
      </c>
    </row>
    <row r="27303" spans="119:119" x14ac:dyDescent="0.2">
      <c r="DO27303" s="303" t="s">
        <v>232</v>
      </c>
    </row>
    <row r="27304" spans="119:119" x14ac:dyDescent="0.2">
      <c r="DO27304" s="303" t="s">
        <v>232</v>
      </c>
    </row>
    <row r="27305" spans="119:119" x14ac:dyDescent="0.2">
      <c r="DO27305" s="303" t="s">
        <v>232</v>
      </c>
    </row>
    <row r="27306" spans="119:119" x14ac:dyDescent="0.2">
      <c r="DO27306" s="303" t="s">
        <v>232</v>
      </c>
    </row>
    <row r="27307" spans="119:119" x14ac:dyDescent="0.2">
      <c r="DO27307" s="303" t="s">
        <v>232</v>
      </c>
    </row>
    <row r="27308" spans="119:119" x14ac:dyDescent="0.2">
      <c r="DO27308" s="303" t="s">
        <v>232</v>
      </c>
    </row>
    <row r="27309" spans="119:119" x14ac:dyDescent="0.2">
      <c r="DO27309" s="303" t="s">
        <v>232</v>
      </c>
    </row>
    <row r="27310" spans="119:119" x14ac:dyDescent="0.2">
      <c r="DO27310" s="303" t="s">
        <v>232</v>
      </c>
    </row>
    <row r="27311" spans="119:119" x14ac:dyDescent="0.2">
      <c r="DO27311" s="303" t="s">
        <v>232</v>
      </c>
    </row>
    <row r="27312" spans="119:119" x14ac:dyDescent="0.2">
      <c r="DO27312" s="303" t="s">
        <v>232</v>
      </c>
    </row>
    <row r="27313" spans="119:119" x14ac:dyDescent="0.2">
      <c r="DO27313" s="303" t="s">
        <v>232</v>
      </c>
    </row>
    <row r="27314" spans="119:119" x14ac:dyDescent="0.2">
      <c r="DO27314" s="303" t="s">
        <v>232</v>
      </c>
    </row>
    <row r="27315" spans="119:119" x14ac:dyDescent="0.2">
      <c r="DO27315" s="303" t="s">
        <v>232</v>
      </c>
    </row>
    <row r="27316" spans="119:119" x14ac:dyDescent="0.2">
      <c r="DO27316" s="303" t="s">
        <v>232</v>
      </c>
    </row>
    <row r="27317" spans="119:119" x14ac:dyDescent="0.2">
      <c r="DO27317" s="303" t="s">
        <v>232</v>
      </c>
    </row>
    <row r="27318" spans="119:119" x14ac:dyDescent="0.2">
      <c r="DO27318" s="303" t="s">
        <v>232</v>
      </c>
    </row>
    <row r="27319" spans="119:119" x14ac:dyDescent="0.2">
      <c r="DO27319" s="303" t="s">
        <v>232</v>
      </c>
    </row>
    <row r="27320" spans="119:119" x14ac:dyDescent="0.2">
      <c r="DO27320" s="303" t="s">
        <v>232</v>
      </c>
    </row>
    <row r="27321" spans="119:119" x14ac:dyDescent="0.2">
      <c r="DO27321" s="303" t="s">
        <v>232</v>
      </c>
    </row>
    <row r="27322" spans="119:119" x14ac:dyDescent="0.2">
      <c r="DO27322" s="303" t="s">
        <v>232</v>
      </c>
    </row>
    <row r="27323" spans="119:119" x14ac:dyDescent="0.2">
      <c r="DO27323" s="303" t="s">
        <v>232</v>
      </c>
    </row>
    <row r="27324" spans="119:119" x14ac:dyDescent="0.2">
      <c r="DO27324" s="303" t="s">
        <v>232</v>
      </c>
    </row>
    <row r="27325" spans="119:119" x14ac:dyDescent="0.2">
      <c r="DO27325" s="303" t="s">
        <v>232</v>
      </c>
    </row>
    <row r="27326" spans="119:119" x14ac:dyDescent="0.2">
      <c r="DO27326" s="303" t="s">
        <v>232</v>
      </c>
    </row>
    <row r="27327" spans="119:119" x14ac:dyDescent="0.2">
      <c r="DO27327" s="303" t="s">
        <v>232</v>
      </c>
    </row>
    <row r="27328" spans="119:119" x14ac:dyDescent="0.2">
      <c r="DO27328" s="303" t="s">
        <v>232</v>
      </c>
    </row>
    <row r="27329" spans="119:119" x14ac:dyDescent="0.2">
      <c r="DO27329" s="303" t="s">
        <v>232</v>
      </c>
    </row>
    <row r="27330" spans="119:119" x14ac:dyDescent="0.2">
      <c r="DO27330" s="303" t="s">
        <v>232</v>
      </c>
    </row>
    <row r="27331" spans="119:119" x14ac:dyDescent="0.2">
      <c r="DO27331" s="303" t="s">
        <v>232</v>
      </c>
    </row>
    <row r="27332" spans="119:119" x14ac:dyDescent="0.2">
      <c r="DO27332" s="303" t="s">
        <v>232</v>
      </c>
    </row>
    <row r="27333" spans="119:119" x14ac:dyDescent="0.2">
      <c r="DO27333" s="303" t="s">
        <v>232</v>
      </c>
    </row>
    <row r="27334" spans="119:119" x14ac:dyDescent="0.2">
      <c r="DO27334" s="303" t="s">
        <v>232</v>
      </c>
    </row>
    <row r="27335" spans="119:119" x14ac:dyDescent="0.2">
      <c r="DO27335" s="303" t="s">
        <v>232</v>
      </c>
    </row>
    <row r="27336" spans="119:119" x14ac:dyDescent="0.2">
      <c r="DO27336" s="303" t="s">
        <v>232</v>
      </c>
    </row>
    <row r="27337" spans="119:119" x14ac:dyDescent="0.2">
      <c r="DO27337" s="303" t="s">
        <v>232</v>
      </c>
    </row>
    <row r="27338" spans="119:119" x14ac:dyDescent="0.2">
      <c r="DO27338" s="303" t="s">
        <v>232</v>
      </c>
    </row>
    <row r="27339" spans="119:119" x14ac:dyDescent="0.2">
      <c r="DO27339" s="303" t="s">
        <v>232</v>
      </c>
    </row>
    <row r="27340" spans="119:119" x14ac:dyDescent="0.2">
      <c r="DO27340" s="303" t="s">
        <v>232</v>
      </c>
    </row>
    <row r="27341" spans="119:119" x14ac:dyDescent="0.2">
      <c r="DO27341" s="303" t="s">
        <v>232</v>
      </c>
    </row>
    <row r="27342" spans="119:119" x14ac:dyDescent="0.2">
      <c r="DO27342" s="303" t="s">
        <v>232</v>
      </c>
    </row>
    <row r="27343" spans="119:119" x14ac:dyDescent="0.2">
      <c r="DO27343" s="303" t="s">
        <v>232</v>
      </c>
    </row>
    <row r="27344" spans="119:119" x14ac:dyDescent="0.2">
      <c r="DO27344" s="303" t="s">
        <v>232</v>
      </c>
    </row>
    <row r="27345" spans="119:119" x14ac:dyDescent="0.2">
      <c r="DO27345" s="303" t="s">
        <v>232</v>
      </c>
    </row>
    <row r="27346" spans="119:119" x14ac:dyDescent="0.2">
      <c r="DO27346" s="303" t="s">
        <v>232</v>
      </c>
    </row>
    <row r="27347" spans="119:119" x14ac:dyDescent="0.2">
      <c r="DO27347" s="303" t="s">
        <v>232</v>
      </c>
    </row>
    <row r="27348" spans="119:119" x14ac:dyDescent="0.2">
      <c r="DO27348" s="303" t="s">
        <v>232</v>
      </c>
    </row>
    <row r="27349" spans="119:119" x14ac:dyDescent="0.2">
      <c r="DO27349" s="303" t="s">
        <v>232</v>
      </c>
    </row>
    <row r="27350" spans="119:119" x14ac:dyDescent="0.2">
      <c r="DO27350" s="303" t="s">
        <v>232</v>
      </c>
    </row>
    <row r="27351" spans="119:119" x14ac:dyDescent="0.2">
      <c r="DO27351" s="303" t="s">
        <v>232</v>
      </c>
    </row>
    <row r="27352" spans="119:119" x14ac:dyDescent="0.2">
      <c r="DO27352" s="303" t="s">
        <v>232</v>
      </c>
    </row>
    <row r="27353" spans="119:119" x14ac:dyDescent="0.2">
      <c r="DO27353" s="303" t="s">
        <v>232</v>
      </c>
    </row>
    <row r="27354" spans="119:119" x14ac:dyDescent="0.2">
      <c r="DO27354" s="303" t="s">
        <v>232</v>
      </c>
    </row>
    <row r="27355" spans="119:119" x14ac:dyDescent="0.2">
      <c r="DO27355" s="303" t="s">
        <v>232</v>
      </c>
    </row>
    <row r="27356" spans="119:119" x14ac:dyDescent="0.2">
      <c r="DO27356" s="303" t="s">
        <v>232</v>
      </c>
    </row>
    <row r="27357" spans="119:119" x14ac:dyDescent="0.2">
      <c r="DO27357" s="303" t="s">
        <v>232</v>
      </c>
    </row>
    <row r="27358" spans="119:119" x14ac:dyDescent="0.2">
      <c r="DO27358" s="303" t="s">
        <v>232</v>
      </c>
    </row>
    <row r="27359" spans="119:119" x14ac:dyDescent="0.2">
      <c r="DO27359" s="303" t="s">
        <v>232</v>
      </c>
    </row>
    <row r="27360" spans="119:119" x14ac:dyDescent="0.2">
      <c r="DO27360" s="303" t="s">
        <v>232</v>
      </c>
    </row>
    <row r="27361" spans="119:119" x14ac:dyDescent="0.2">
      <c r="DO27361" s="303" t="s">
        <v>232</v>
      </c>
    </row>
    <row r="27362" spans="119:119" x14ac:dyDescent="0.2">
      <c r="DO27362" s="303" t="s">
        <v>232</v>
      </c>
    </row>
    <row r="27363" spans="119:119" x14ac:dyDescent="0.2">
      <c r="DO27363" s="303" t="s">
        <v>232</v>
      </c>
    </row>
    <row r="27364" spans="119:119" x14ac:dyDescent="0.2">
      <c r="DO27364" s="303" t="s">
        <v>232</v>
      </c>
    </row>
    <row r="27365" spans="119:119" x14ac:dyDescent="0.2">
      <c r="DO27365" s="303" t="s">
        <v>232</v>
      </c>
    </row>
    <row r="27366" spans="119:119" x14ac:dyDescent="0.2">
      <c r="DO27366" s="303" t="s">
        <v>232</v>
      </c>
    </row>
    <row r="27367" spans="119:119" x14ac:dyDescent="0.2">
      <c r="DO27367" s="303" t="s">
        <v>232</v>
      </c>
    </row>
    <row r="27368" spans="119:119" x14ac:dyDescent="0.2">
      <c r="DO27368" s="303" t="s">
        <v>232</v>
      </c>
    </row>
    <row r="27369" spans="119:119" x14ac:dyDescent="0.2">
      <c r="DO27369" s="303" t="s">
        <v>232</v>
      </c>
    </row>
    <row r="27370" spans="119:119" x14ac:dyDescent="0.2">
      <c r="DO27370" s="303" t="s">
        <v>232</v>
      </c>
    </row>
    <row r="27371" spans="119:119" x14ac:dyDescent="0.2">
      <c r="DO27371" s="303" t="s">
        <v>232</v>
      </c>
    </row>
    <row r="27372" spans="119:119" x14ac:dyDescent="0.2">
      <c r="DO27372" s="303" t="s">
        <v>232</v>
      </c>
    </row>
    <row r="27373" spans="119:119" x14ac:dyDescent="0.2">
      <c r="DO27373" s="303" t="s">
        <v>232</v>
      </c>
    </row>
    <row r="27374" spans="119:119" x14ac:dyDescent="0.2">
      <c r="DO27374" s="303" t="s">
        <v>232</v>
      </c>
    </row>
    <row r="27375" spans="119:119" x14ac:dyDescent="0.2">
      <c r="DO27375" s="303" t="s">
        <v>232</v>
      </c>
    </row>
    <row r="27376" spans="119:119" x14ac:dyDescent="0.2">
      <c r="DO27376" s="303" t="s">
        <v>232</v>
      </c>
    </row>
    <row r="27377" spans="119:119" x14ac:dyDescent="0.2">
      <c r="DO27377" s="303" t="s">
        <v>232</v>
      </c>
    </row>
    <row r="27378" spans="119:119" x14ac:dyDescent="0.2">
      <c r="DO27378" s="303" t="s">
        <v>232</v>
      </c>
    </row>
    <row r="27379" spans="119:119" x14ac:dyDescent="0.2">
      <c r="DO27379" s="303" t="s">
        <v>232</v>
      </c>
    </row>
    <row r="27380" spans="119:119" x14ac:dyDescent="0.2">
      <c r="DO27380" s="303" t="s">
        <v>232</v>
      </c>
    </row>
    <row r="27381" spans="119:119" x14ac:dyDescent="0.2">
      <c r="DO27381" s="303" t="s">
        <v>232</v>
      </c>
    </row>
    <row r="27382" spans="119:119" x14ac:dyDescent="0.2">
      <c r="DO27382" s="303" t="s">
        <v>232</v>
      </c>
    </row>
    <row r="27383" spans="119:119" x14ac:dyDescent="0.2">
      <c r="DO27383" s="303" t="s">
        <v>232</v>
      </c>
    </row>
    <row r="27384" spans="119:119" x14ac:dyDescent="0.2">
      <c r="DO27384" s="303" t="s">
        <v>232</v>
      </c>
    </row>
    <row r="27385" spans="119:119" x14ac:dyDescent="0.2">
      <c r="DO27385" s="303" t="s">
        <v>232</v>
      </c>
    </row>
    <row r="27386" spans="119:119" x14ac:dyDescent="0.2">
      <c r="DO27386" s="303" t="s">
        <v>232</v>
      </c>
    </row>
    <row r="27387" spans="119:119" x14ac:dyDescent="0.2">
      <c r="DO27387" s="303" t="s">
        <v>232</v>
      </c>
    </row>
    <row r="27388" spans="119:119" x14ac:dyDescent="0.2">
      <c r="DO27388" s="303" t="s">
        <v>232</v>
      </c>
    </row>
    <row r="27389" spans="119:119" x14ac:dyDescent="0.2">
      <c r="DO27389" s="303" t="s">
        <v>232</v>
      </c>
    </row>
    <row r="27390" spans="119:119" x14ac:dyDescent="0.2">
      <c r="DO27390" s="303" t="s">
        <v>232</v>
      </c>
    </row>
    <row r="27391" spans="119:119" x14ac:dyDescent="0.2">
      <c r="DO27391" s="303" t="s">
        <v>232</v>
      </c>
    </row>
    <row r="27392" spans="119:119" x14ac:dyDescent="0.2">
      <c r="DO27392" s="303" t="s">
        <v>232</v>
      </c>
    </row>
    <row r="27393" spans="119:119" x14ac:dyDescent="0.2">
      <c r="DO27393" s="303" t="s">
        <v>232</v>
      </c>
    </row>
    <row r="27394" spans="119:119" x14ac:dyDescent="0.2">
      <c r="DO27394" s="303" t="s">
        <v>232</v>
      </c>
    </row>
    <row r="27395" spans="119:119" x14ac:dyDescent="0.2">
      <c r="DO27395" s="303" t="s">
        <v>232</v>
      </c>
    </row>
    <row r="27396" spans="119:119" x14ac:dyDescent="0.2">
      <c r="DO27396" s="303" t="s">
        <v>232</v>
      </c>
    </row>
    <row r="27397" spans="119:119" x14ac:dyDescent="0.2">
      <c r="DO27397" s="303" t="s">
        <v>232</v>
      </c>
    </row>
    <row r="27398" spans="119:119" x14ac:dyDescent="0.2">
      <c r="DO27398" s="303" t="s">
        <v>232</v>
      </c>
    </row>
    <row r="27399" spans="119:119" x14ac:dyDescent="0.2">
      <c r="DO27399" s="303" t="s">
        <v>232</v>
      </c>
    </row>
    <row r="27400" spans="119:119" x14ac:dyDescent="0.2">
      <c r="DO27400" s="303" t="s">
        <v>232</v>
      </c>
    </row>
    <row r="27401" spans="119:119" x14ac:dyDescent="0.2">
      <c r="DO27401" s="303" t="s">
        <v>232</v>
      </c>
    </row>
    <row r="27402" spans="119:119" x14ac:dyDescent="0.2">
      <c r="DO27402" s="303" t="s">
        <v>232</v>
      </c>
    </row>
    <row r="27403" spans="119:119" x14ac:dyDescent="0.2">
      <c r="DO27403" s="303" t="s">
        <v>232</v>
      </c>
    </row>
    <row r="27404" spans="119:119" x14ac:dyDescent="0.2">
      <c r="DO27404" s="303" t="s">
        <v>232</v>
      </c>
    </row>
    <row r="27405" spans="119:119" x14ac:dyDescent="0.2">
      <c r="DO27405" s="303" t="s">
        <v>232</v>
      </c>
    </row>
    <row r="27406" spans="119:119" x14ac:dyDescent="0.2">
      <c r="DO27406" s="303" t="s">
        <v>232</v>
      </c>
    </row>
    <row r="27407" spans="119:119" x14ac:dyDescent="0.2">
      <c r="DO27407" s="303" t="s">
        <v>232</v>
      </c>
    </row>
    <row r="27408" spans="119:119" x14ac:dyDescent="0.2">
      <c r="DO27408" s="303" t="s">
        <v>232</v>
      </c>
    </row>
    <row r="27409" spans="119:119" x14ac:dyDescent="0.2">
      <c r="DO27409" s="303" t="s">
        <v>232</v>
      </c>
    </row>
    <row r="27410" spans="119:119" x14ac:dyDescent="0.2">
      <c r="DO27410" s="303" t="s">
        <v>232</v>
      </c>
    </row>
    <row r="27411" spans="119:119" x14ac:dyDescent="0.2">
      <c r="DO27411" s="303" t="s">
        <v>232</v>
      </c>
    </row>
    <row r="27412" spans="119:119" x14ac:dyDescent="0.2">
      <c r="DO27412" s="303" t="s">
        <v>232</v>
      </c>
    </row>
    <row r="27413" spans="119:119" x14ac:dyDescent="0.2">
      <c r="DO27413" s="303" t="s">
        <v>232</v>
      </c>
    </row>
    <row r="27414" spans="119:119" x14ac:dyDescent="0.2">
      <c r="DO27414" s="303" t="s">
        <v>232</v>
      </c>
    </row>
    <row r="27415" spans="119:119" x14ac:dyDescent="0.2">
      <c r="DO27415" s="303" t="s">
        <v>232</v>
      </c>
    </row>
    <row r="27416" spans="119:119" x14ac:dyDescent="0.2">
      <c r="DO27416" s="303" t="s">
        <v>232</v>
      </c>
    </row>
    <row r="27417" spans="119:119" x14ac:dyDescent="0.2">
      <c r="DO27417" s="303" t="s">
        <v>232</v>
      </c>
    </row>
    <row r="27418" spans="119:119" x14ac:dyDescent="0.2">
      <c r="DO27418" s="303" t="s">
        <v>232</v>
      </c>
    </row>
    <row r="27419" spans="119:119" x14ac:dyDescent="0.2">
      <c r="DO27419" s="303" t="s">
        <v>232</v>
      </c>
    </row>
    <row r="27420" spans="119:119" x14ac:dyDescent="0.2">
      <c r="DO27420" s="303" t="s">
        <v>232</v>
      </c>
    </row>
    <row r="27421" spans="119:119" x14ac:dyDescent="0.2">
      <c r="DO27421" s="303" t="s">
        <v>232</v>
      </c>
    </row>
    <row r="27422" spans="119:119" x14ac:dyDescent="0.2">
      <c r="DO27422" s="303" t="s">
        <v>232</v>
      </c>
    </row>
    <row r="27423" spans="119:119" x14ac:dyDescent="0.2">
      <c r="DO27423" s="303" t="s">
        <v>232</v>
      </c>
    </row>
    <row r="27424" spans="119:119" x14ac:dyDescent="0.2">
      <c r="DO27424" s="303" t="s">
        <v>232</v>
      </c>
    </row>
    <row r="27425" spans="119:119" x14ac:dyDescent="0.2">
      <c r="DO27425" s="303" t="s">
        <v>232</v>
      </c>
    </row>
    <row r="27426" spans="119:119" x14ac:dyDescent="0.2">
      <c r="DO27426" s="303" t="s">
        <v>232</v>
      </c>
    </row>
    <row r="27427" spans="119:119" x14ac:dyDescent="0.2">
      <c r="DO27427" s="303" t="s">
        <v>232</v>
      </c>
    </row>
    <row r="27428" spans="119:119" x14ac:dyDescent="0.2">
      <c r="DO27428" s="303" t="s">
        <v>232</v>
      </c>
    </row>
    <row r="27429" spans="119:119" x14ac:dyDescent="0.2">
      <c r="DO27429" s="303" t="s">
        <v>232</v>
      </c>
    </row>
    <row r="27430" spans="119:119" x14ac:dyDescent="0.2">
      <c r="DO27430" s="303" t="s">
        <v>232</v>
      </c>
    </row>
    <row r="27431" spans="119:119" x14ac:dyDescent="0.2">
      <c r="DO27431" s="303" t="s">
        <v>232</v>
      </c>
    </row>
    <row r="27432" spans="119:119" x14ac:dyDescent="0.2">
      <c r="DO27432" s="303" t="s">
        <v>232</v>
      </c>
    </row>
    <row r="27433" spans="119:119" x14ac:dyDescent="0.2">
      <c r="DO27433" s="303" t="s">
        <v>232</v>
      </c>
    </row>
    <row r="27434" spans="119:119" x14ac:dyDescent="0.2">
      <c r="DO27434" s="303" t="s">
        <v>232</v>
      </c>
    </row>
    <row r="27435" spans="119:119" x14ac:dyDescent="0.2">
      <c r="DO27435" s="303" t="s">
        <v>232</v>
      </c>
    </row>
    <row r="27436" spans="119:119" x14ac:dyDescent="0.2">
      <c r="DO27436" s="303" t="s">
        <v>232</v>
      </c>
    </row>
    <row r="27437" spans="119:119" x14ac:dyDescent="0.2">
      <c r="DO27437" s="303" t="s">
        <v>232</v>
      </c>
    </row>
    <row r="27438" spans="119:119" x14ac:dyDescent="0.2">
      <c r="DO27438" s="303" t="s">
        <v>232</v>
      </c>
    </row>
    <row r="27439" spans="119:119" x14ac:dyDescent="0.2">
      <c r="DO27439" s="303" t="s">
        <v>232</v>
      </c>
    </row>
    <row r="27440" spans="119:119" x14ac:dyDescent="0.2">
      <c r="DO27440" s="303" t="s">
        <v>232</v>
      </c>
    </row>
    <row r="27441" spans="119:119" x14ac:dyDescent="0.2">
      <c r="DO27441" s="303" t="s">
        <v>232</v>
      </c>
    </row>
    <row r="27442" spans="119:119" x14ac:dyDescent="0.2">
      <c r="DO27442" s="303" t="s">
        <v>232</v>
      </c>
    </row>
    <row r="27443" spans="119:119" x14ac:dyDescent="0.2">
      <c r="DO27443" s="303" t="s">
        <v>232</v>
      </c>
    </row>
    <row r="27444" spans="119:119" x14ac:dyDescent="0.2">
      <c r="DO27444" s="303" t="s">
        <v>232</v>
      </c>
    </row>
    <row r="27445" spans="119:119" x14ac:dyDescent="0.2">
      <c r="DO27445" s="303" t="s">
        <v>232</v>
      </c>
    </row>
    <row r="27446" spans="119:119" x14ac:dyDescent="0.2">
      <c r="DO27446" s="303" t="s">
        <v>232</v>
      </c>
    </row>
    <row r="27447" spans="119:119" x14ac:dyDescent="0.2">
      <c r="DO27447" s="303" t="s">
        <v>232</v>
      </c>
    </row>
    <row r="27448" spans="119:119" x14ac:dyDescent="0.2">
      <c r="DO27448" s="303" t="s">
        <v>232</v>
      </c>
    </row>
    <row r="27449" spans="119:119" x14ac:dyDescent="0.2">
      <c r="DO27449" s="303" t="s">
        <v>232</v>
      </c>
    </row>
    <row r="27450" spans="119:119" x14ac:dyDescent="0.2">
      <c r="DO27450" s="303" t="s">
        <v>232</v>
      </c>
    </row>
    <row r="27451" spans="119:119" x14ac:dyDescent="0.2">
      <c r="DO27451" s="303" t="s">
        <v>232</v>
      </c>
    </row>
    <row r="27452" spans="119:119" x14ac:dyDescent="0.2">
      <c r="DO27452" s="303" t="s">
        <v>232</v>
      </c>
    </row>
    <row r="27453" spans="119:119" x14ac:dyDescent="0.2">
      <c r="DO27453" s="303" t="s">
        <v>232</v>
      </c>
    </row>
    <row r="27454" spans="119:119" x14ac:dyDescent="0.2">
      <c r="DO27454" s="303" t="s">
        <v>232</v>
      </c>
    </row>
    <row r="27455" spans="119:119" x14ac:dyDescent="0.2">
      <c r="DO27455" s="303" t="s">
        <v>232</v>
      </c>
    </row>
    <row r="27456" spans="119:119" x14ac:dyDescent="0.2">
      <c r="DO27456" s="303" t="s">
        <v>232</v>
      </c>
    </row>
    <row r="27457" spans="119:119" x14ac:dyDescent="0.2">
      <c r="DO27457" s="303" t="s">
        <v>232</v>
      </c>
    </row>
    <row r="27458" spans="119:119" x14ac:dyDescent="0.2">
      <c r="DO27458" s="303" t="s">
        <v>232</v>
      </c>
    </row>
    <row r="27459" spans="119:119" x14ac:dyDescent="0.2">
      <c r="DO27459" s="303" t="s">
        <v>232</v>
      </c>
    </row>
    <row r="27460" spans="119:119" x14ac:dyDescent="0.2">
      <c r="DO27460" s="303" t="s">
        <v>232</v>
      </c>
    </row>
    <row r="27461" spans="119:119" x14ac:dyDescent="0.2">
      <c r="DO27461" s="303" t="s">
        <v>232</v>
      </c>
    </row>
    <row r="27462" spans="119:119" x14ac:dyDescent="0.2">
      <c r="DO27462" s="303" t="s">
        <v>232</v>
      </c>
    </row>
    <row r="27463" spans="119:119" x14ac:dyDescent="0.2">
      <c r="DO27463" s="303" t="s">
        <v>232</v>
      </c>
    </row>
    <row r="27464" spans="119:119" x14ac:dyDescent="0.2">
      <c r="DO27464" s="303" t="s">
        <v>232</v>
      </c>
    </row>
    <row r="27465" spans="119:119" x14ac:dyDescent="0.2">
      <c r="DO27465" s="303" t="s">
        <v>232</v>
      </c>
    </row>
    <row r="27466" spans="119:119" x14ac:dyDescent="0.2">
      <c r="DO27466" s="303" t="s">
        <v>232</v>
      </c>
    </row>
    <row r="27467" spans="119:119" x14ac:dyDescent="0.2">
      <c r="DO27467" s="303" t="s">
        <v>232</v>
      </c>
    </row>
    <row r="27468" spans="119:119" x14ac:dyDescent="0.2">
      <c r="DO27468" s="303" t="s">
        <v>232</v>
      </c>
    </row>
    <row r="27469" spans="119:119" x14ac:dyDescent="0.2">
      <c r="DO27469" s="303" t="s">
        <v>232</v>
      </c>
    </row>
    <row r="27470" spans="119:119" x14ac:dyDescent="0.2">
      <c r="DO27470" s="303" t="s">
        <v>232</v>
      </c>
    </row>
    <row r="27471" spans="119:119" x14ac:dyDescent="0.2">
      <c r="DO27471" s="303" t="s">
        <v>232</v>
      </c>
    </row>
    <row r="27472" spans="119:119" x14ac:dyDescent="0.2">
      <c r="DO27472" s="303" t="s">
        <v>232</v>
      </c>
    </row>
    <row r="27473" spans="119:119" x14ac:dyDescent="0.2">
      <c r="DO27473" s="303" t="s">
        <v>232</v>
      </c>
    </row>
    <row r="27474" spans="119:119" x14ac:dyDescent="0.2">
      <c r="DO27474" s="303" t="s">
        <v>232</v>
      </c>
    </row>
    <row r="27475" spans="119:119" x14ac:dyDescent="0.2">
      <c r="DO27475" s="303" t="s">
        <v>232</v>
      </c>
    </row>
    <row r="27476" spans="119:119" x14ac:dyDescent="0.2">
      <c r="DO27476" s="303" t="s">
        <v>232</v>
      </c>
    </row>
    <row r="27477" spans="119:119" x14ac:dyDescent="0.2">
      <c r="DO27477" s="303" t="s">
        <v>232</v>
      </c>
    </row>
    <row r="27478" spans="119:119" x14ac:dyDescent="0.2">
      <c r="DO27478" s="303" t="s">
        <v>232</v>
      </c>
    </row>
    <row r="27479" spans="119:119" x14ac:dyDescent="0.2">
      <c r="DO27479" s="303" t="s">
        <v>232</v>
      </c>
    </row>
    <row r="27480" spans="119:119" x14ac:dyDescent="0.2">
      <c r="DO27480" s="303" t="s">
        <v>232</v>
      </c>
    </row>
    <row r="27481" spans="119:119" x14ac:dyDescent="0.2">
      <c r="DO27481" s="303" t="s">
        <v>232</v>
      </c>
    </row>
    <row r="27482" spans="119:119" x14ac:dyDescent="0.2">
      <c r="DO27482" s="303" t="s">
        <v>232</v>
      </c>
    </row>
    <row r="27483" spans="119:119" x14ac:dyDescent="0.2">
      <c r="DO27483" s="303" t="s">
        <v>232</v>
      </c>
    </row>
    <row r="27484" spans="119:119" x14ac:dyDescent="0.2">
      <c r="DO27484" s="303" t="s">
        <v>232</v>
      </c>
    </row>
    <row r="27485" spans="119:119" x14ac:dyDescent="0.2">
      <c r="DO27485" s="303" t="s">
        <v>232</v>
      </c>
    </row>
    <row r="27486" spans="119:119" x14ac:dyDescent="0.2">
      <c r="DO27486" s="303" t="s">
        <v>232</v>
      </c>
    </row>
    <row r="27487" spans="119:119" x14ac:dyDescent="0.2">
      <c r="DO27487" s="303" t="s">
        <v>232</v>
      </c>
    </row>
    <row r="27488" spans="119:119" x14ac:dyDescent="0.2">
      <c r="DO27488" s="303" t="s">
        <v>232</v>
      </c>
    </row>
    <row r="27489" spans="119:119" x14ac:dyDescent="0.2">
      <c r="DO27489" s="303" t="s">
        <v>232</v>
      </c>
    </row>
    <row r="27490" spans="119:119" x14ac:dyDescent="0.2">
      <c r="DO27490" s="303" t="s">
        <v>232</v>
      </c>
    </row>
    <row r="27491" spans="119:119" x14ac:dyDescent="0.2">
      <c r="DO27491" s="303" t="s">
        <v>232</v>
      </c>
    </row>
    <row r="27492" spans="119:119" x14ac:dyDescent="0.2">
      <c r="DO27492" s="303" t="s">
        <v>232</v>
      </c>
    </row>
    <row r="27493" spans="119:119" x14ac:dyDescent="0.2">
      <c r="DO27493" s="303" t="s">
        <v>232</v>
      </c>
    </row>
    <row r="27494" spans="119:119" x14ac:dyDescent="0.2">
      <c r="DO27494" s="303" t="s">
        <v>232</v>
      </c>
    </row>
    <row r="27495" spans="119:119" x14ac:dyDescent="0.2">
      <c r="DO27495" s="303" t="s">
        <v>232</v>
      </c>
    </row>
    <row r="27496" spans="119:119" x14ac:dyDescent="0.2">
      <c r="DO27496" s="303" t="s">
        <v>232</v>
      </c>
    </row>
    <row r="27497" spans="119:119" x14ac:dyDescent="0.2">
      <c r="DO27497" s="303" t="s">
        <v>232</v>
      </c>
    </row>
    <row r="27498" spans="119:119" x14ac:dyDescent="0.2">
      <c r="DO27498" s="303" t="s">
        <v>232</v>
      </c>
    </row>
    <row r="27499" spans="119:119" x14ac:dyDescent="0.2">
      <c r="DO27499" s="303" t="s">
        <v>232</v>
      </c>
    </row>
    <row r="27500" spans="119:119" x14ac:dyDescent="0.2">
      <c r="DO27500" s="303" t="s">
        <v>232</v>
      </c>
    </row>
    <row r="27501" spans="119:119" x14ac:dyDescent="0.2">
      <c r="DO27501" s="303" t="s">
        <v>232</v>
      </c>
    </row>
    <row r="27502" spans="119:119" x14ac:dyDescent="0.2">
      <c r="DO27502" s="303" t="s">
        <v>232</v>
      </c>
    </row>
    <row r="27503" spans="119:119" x14ac:dyDescent="0.2">
      <c r="DO27503" s="303" t="s">
        <v>232</v>
      </c>
    </row>
    <row r="27504" spans="119:119" x14ac:dyDescent="0.2">
      <c r="DO27504" s="303" t="s">
        <v>232</v>
      </c>
    </row>
    <row r="27505" spans="119:119" x14ac:dyDescent="0.2">
      <c r="DO27505" s="303" t="s">
        <v>232</v>
      </c>
    </row>
    <row r="27506" spans="119:119" x14ac:dyDescent="0.2">
      <c r="DO27506" s="303" t="s">
        <v>232</v>
      </c>
    </row>
    <row r="27507" spans="119:119" x14ac:dyDescent="0.2">
      <c r="DO27507" s="303" t="s">
        <v>232</v>
      </c>
    </row>
    <row r="27508" spans="119:119" x14ac:dyDescent="0.2">
      <c r="DO27508" s="303" t="s">
        <v>232</v>
      </c>
    </row>
    <row r="27509" spans="119:119" x14ac:dyDescent="0.2">
      <c r="DO27509" s="303" t="s">
        <v>232</v>
      </c>
    </row>
    <row r="27510" spans="119:119" x14ac:dyDescent="0.2">
      <c r="DO27510" s="303" t="s">
        <v>232</v>
      </c>
    </row>
    <row r="27511" spans="119:119" x14ac:dyDescent="0.2">
      <c r="DO27511" s="303" t="s">
        <v>232</v>
      </c>
    </row>
    <row r="27512" spans="119:119" x14ac:dyDescent="0.2">
      <c r="DO27512" s="303" t="s">
        <v>232</v>
      </c>
    </row>
    <row r="27513" spans="119:119" x14ac:dyDescent="0.2">
      <c r="DO27513" s="303" t="s">
        <v>232</v>
      </c>
    </row>
    <row r="27514" spans="119:119" x14ac:dyDescent="0.2">
      <c r="DO27514" s="303" t="s">
        <v>232</v>
      </c>
    </row>
    <row r="27515" spans="119:119" x14ac:dyDescent="0.2">
      <c r="DO27515" s="303" t="s">
        <v>232</v>
      </c>
    </row>
    <row r="27516" spans="119:119" x14ac:dyDescent="0.2">
      <c r="DO27516" s="303" t="s">
        <v>232</v>
      </c>
    </row>
    <row r="27517" spans="119:119" x14ac:dyDescent="0.2">
      <c r="DO27517" s="303" t="s">
        <v>232</v>
      </c>
    </row>
    <row r="27518" spans="119:119" x14ac:dyDescent="0.2">
      <c r="DO27518" s="303" t="s">
        <v>232</v>
      </c>
    </row>
    <row r="27519" spans="119:119" x14ac:dyDescent="0.2">
      <c r="DO27519" s="303" t="s">
        <v>232</v>
      </c>
    </row>
    <row r="27520" spans="119:119" x14ac:dyDescent="0.2">
      <c r="DO27520" s="303" t="s">
        <v>232</v>
      </c>
    </row>
    <row r="27521" spans="119:119" x14ac:dyDescent="0.2">
      <c r="DO27521" s="303" t="s">
        <v>232</v>
      </c>
    </row>
    <row r="27522" spans="119:119" x14ac:dyDescent="0.2">
      <c r="DO27522" s="303" t="s">
        <v>232</v>
      </c>
    </row>
    <row r="27523" spans="119:119" x14ac:dyDescent="0.2">
      <c r="DO27523" s="303" t="s">
        <v>232</v>
      </c>
    </row>
    <row r="27524" spans="119:119" x14ac:dyDescent="0.2">
      <c r="DO27524" s="303" t="s">
        <v>232</v>
      </c>
    </row>
    <row r="27525" spans="119:119" x14ac:dyDescent="0.2">
      <c r="DO27525" s="303" t="s">
        <v>232</v>
      </c>
    </row>
    <row r="27526" spans="119:119" x14ac:dyDescent="0.2">
      <c r="DO27526" s="303" t="s">
        <v>232</v>
      </c>
    </row>
    <row r="27527" spans="119:119" x14ac:dyDescent="0.2">
      <c r="DO27527" s="303" t="s">
        <v>232</v>
      </c>
    </row>
    <row r="27528" spans="119:119" x14ac:dyDescent="0.2">
      <c r="DO27528" s="303" t="s">
        <v>232</v>
      </c>
    </row>
    <row r="27529" spans="119:119" x14ac:dyDescent="0.2">
      <c r="DO27529" s="303" t="s">
        <v>232</v>
      </c>
    </row>
    <row r="27530" spans="119:119" x14ac:dyDescent="0.2">
      <c r="DO27530" s="303" t="s">
        <v>232</v>
      </c>
    </row>
    <row r="27531" spans="119:119" x14ac:dyDescent="0.2">
      <c r="DO27531" s="303" t="s">
        <v>232</v>
      </c>
    </row>
    <row r="27532" spans="119:119" x14ac:dyDescent="0.2">
      <c r="DO27532" s="303" t="s">
        <v>232</v>
      </c>
    </row>
    <row r="27533" spans="119:119" x14ac:dyDescent="0.2">
      <c r="DO27533" s="303" t="s">
        <v>232</v>
      </c>
    </row>
    <row r="27534" spans="119:119" x14ac:dyDescent="0.2">
      <c r="DO27534" s="303" t="s">
        <v>232</v>
      </c>
    </row>
    <row r="27535" spans="119:119" x14ac:dyDescent="0.2">
      <c r="DO27535" s="303" t="s">
        <v>232</v>
      </c>
    </row>
    <row r="27536" spans="119:119" x14ac:dyDescent="0.2">
      <c r="DO27536" s="303" t="s">
        <v>232</v>
      </c>
    </row>
    <row r="27537" spans="119:119" x14ac:dyDescent="0.2">
      <c r="DO27537" s="303" t="s">
        <v>232</v>
      </c>
    </row>
    <row r="27538" spans="119:119" x14ac:dyDescent="0.2">
      <c r="DO27538" s="303" t="s">
        <v>232</v>
      </c>
    </row>
    <row r="27539" spans="119:119" x14ac:dyDescent="0.2">
      <c r="DO27539" s="303" t="s">
        <v>232</v>
      </c>
    </row>
    <row r="27540" spans="119:119" x14ac:dyDescent="0.2">
      <c r="DO27540" s="303" t="s">
        <v>232</v>
      </c>
    </row>
    <row r="27541" spans="119:119" x14ac:dyDescent="0.2">
      <c r="DO27541" s="303" t="s">
        <v>232</v>
      </c>
    </row>
    <row r="27542" spans="119:119" x14ac:dyDescent="0.2">
      <c r="DO27542" s="303" t="s">
        <v>232</v>
      </c>
    </row>
    <row r="27543" spans="119:119" x14ac:dyDescent="0.2">
      <c r="DO27543" s="303" t="s">
        <v>232</v>
      </c>
    </row>
    <row r="27544" spans="119:119" x14ac:dyDescent="0.2">
      <c r="DO27544" s="303" t="s">
        <v>232</v>
      </c>
    </row>
    <row r="27545" spans="119:119" x14ac:dyDescent="0.2">
      <c r="DO27545" s="303" t="s">
        <v>232</v>
      </c>
    </row>
    <row r="27546" spans="119:119" x14ac:dyDescent="0.2">
      <c r="DO27546" s="303" t="s">
        <v>232</v>
      </c>
    </row>
    <row r="27547" spans="119:119" x14ac:dyDescent="0.2">
      <c r="DO27547" s="303" t="s">
        <v>232</v>
      </c>
    </row>
    <row r="27548" spans="119:119" x14ac:dyDescent="0.2">
      <c r="DO27548" s="303" t="s">
        <v>232</v>
      </c>
    </row>
    <row r="27549" spans="119:119" x14ac:dyDescent="0.2">
      <c r="DO27549" s="303" t="s">
        <v>232</v>
      </c>
    </row>
    <row r="27550" spans="119:119" x14ac:dyDescent="0.2">
      <c r="DO27550" s="303" t="s">
        <v>232</v>
      </c>
    </row>
    <row r="27551" spans="119:119" x14ac:dyDescent="0.2">
      <c r="DO27551" s="303" t="s">
        <v>232</v>
      </c>
    </row>
    <row r="27552" spans="119:119" x14ac:dyDescent="0.2">
      <c r="DO27552" s="303" t="s">
        <v>232</v>
      </c>
    </row>
    <row r="27553" spans="119:119" x14ac:dyDescent="0.2">
      <c r="DO27553" s="303" t="s">
        <v>232</v>
      </c>
    </row>
    <row r="27554" spans="119:119" x14ac:dyDescent="0.2">
      <c r="DO27554" s="303" t="s">
        <v>232</v>
      </c>
    </row>
    <row r="27555" spans="119:119" x14ac:dyDescent="0.2">
      <c r="DO27555" s="303" t="s">
        <v>232</v>
      </c>
    </row>
    <row r="27556" spans="119:119" x14ac:dyDescent="0.2">
      <c r="DO27556" s="303" t="s">
        <v>232</v>
      </c>
    </row>
    <row r="27557" spans="119:119" x14ac:dyDescent="0.2">
      <c r="DO27557" s="303" t="s">
        <v>232</v>
      </c>
    </row>
    <row r="27558" spans="119:119" x14ac:dyDescent="0.2">
      <c r="DO27558" s="303" t="s">
        <v>232</v>
      </c>
    </row>
    <row r="27559" spans="119:119" x14ac:dyDescent="0.2">
      <c r="DO27559" s="303" t="s">
        <v>232</v>
      </c>
    </row>
    <row r="27560" spans="119:119" x14ac:dyDescent="0.2">
      <c r="DO27560" s="303" t="s">
        <v>232</v>
      </c>
    </row>
    <row r="27561" spans="119:119" x14ac:dyDescent="0.2">
      <c r="DO27561" s="303" t="s">
        <v>232</v>
      </c>
    </row>
    <row r="27562" spans="119:119" x14ac:dyDescent="0.2">
      <c r="DO27562" s="303" t="s">
        <v>232</v>
      </c>
    </row>
    <row r="27563" spans="119:119" x14ac:dyDescent="0.2">
      <c r="DO27563" s="303" t="s">
        <v>232</v>
      </c>
    </row>
    <row r="27564" spans="119:119" x14ac:dyDescent="0.2">
      <c r="DO27564" s="303" t="s">
        <v>232</v>
      </c>
    </row>
    <row r="27565" spans="119:119" x14ac:dyDescent="0.2">
      <c r="DO27565" s="303" t="s">
        <v>232</v>
      </c>
    </row>
    <row r="27566" spans="119:119" x14ac:dyDescent="0.2">
      <c r="DO27566" s="303" t="s">
        <v>232</v>
      </c>
    </row>
    <row r="27567" spans="119:119" x14ac:dyDescent="0.2">
      <c r="DO27567" s="303" t="s">
        <v>232</v>
      </c>
    </row>
    <row r="27568" spans="119:119" x14ac:dyDescent="0.2">
      <c r="DO27568" s="303" t="s">
        <v>232</v>
      </c>
    </row>
    <row r="27569" spans="119:119" x14ac:dyDescent="0.2">
      <c r="DO27569" s="303" t="s">
        <v>232</v>
      </c>
    </row>
    <row r="27570" spans="119:119" x14ac:dyDescent="0.2">
      <c r="DO27570" s="303" t="s">
        <v>232</v>
      </c>
    </row>
    <row r="27571" spans="119:119" x14ac:dyDescent="0.2">
      <c r="DO27571" s="303" t="s">
        <v>232</v>
      </c>
    </row>
    <row r="27572" spans="119:119" x14ac:dyDescent="0.2">
      <c r="DO27572" s="303" t="s">
        <v>232</v>
      </c>
    </row>
    <row r="27573" spans="119:119" x14ac:dyDescent="0.2">
      <c r="DO27573" s="303" t="s">
        <v>232</v>
      </c>
    </row>
    <row r="27574" spans="119:119" x14ac:dyDescent="0.2">
      <c r="DO27574" s="303" t="s">
        <v>232</v>
      </c>
    </row>
    <row r="27575" spans="119:119" x14ac:dyDescent="0.2">
      <c r="DO27575" s="303" t="s">
        <v>232</v>
      </c>
    </row>
    <row r="27576" spans="119:119" x14ac:dyDescent="0.2">
      <c r="DO27576" s="303" t="s">
        <v>232</v>
      </c>
    </row>
    <row r="27577" spans="119:119" x14ac:dyDescent="0.2">
      <c r="DO27577" s="303" t="s">
        <v>232</v>
      </c>
    </row>
    <row r="27578" spans="119:119" x14ac:dyDescent="0.2">
      <c r="DO27578" s="303" t="s">
        <v>232</v>
      </c>
    </row>
    <row r="27579" spans="119:119" x14ac:dyDescent="0.2">
      <c r="DO27579" s="303" t="s">
        <v>232</v>
      </c>
    </row>
    <row r="27580" spans="119:119" x14ac:dyDescent="0.2">
      <c r="DO27580" s="303" t="s">
        <v>232</v>
      </c>
    </row>
    <row r="27581" spans="119:119" x14ac:dyDescent="0.2">
      <c r="DO27581" s="303" t="s">
        <v>232</v>
      </c>
    </row>
    <row r="27582" spans="119:119" x14ac:dyDescent="0.2">
      <c r="DO27582" s="303" t="s">
        <v>232</v>
      </c>
    </row>
    <row r="27583" spans="119:119" x14ac:dyDescent="0.2">
      <c r="DO27583" s="303" t="s">
        <v>232</v>
      </c>
    </row>
    <row r="27584" spans="119:119" x14ac:dyDescent="0.2">
      <c r="DO27584" s="303" t="s">
        <v>232</v>
      </c>
    </row>
    <row r="27585" spans="119:119" x14ac:dyDescent="0.2">
      <c r="DO27585" s="303" t="s">
        <v>232</v>
      </c>
    </row>
    <row r="27586" spans="119:119" x14ac:dyDescent="0.2">
      <c r="DO27586" s="303" t="s">
        <v>232</v>
      </c>
    </row>
    <row r="27587" spans="119:119" x14ac:dyDescent="0.2">
      <c r="DO27587" s="303" t="s">
        <v>232</v>
      </c>
    </row>
    <row r="27588" spans="119:119" x14ac:dyDescent="0.2">
      <c r="DO27588" s="303" t="s">
        <v>232</v>
      </c>
    </row>
    <row r="27589" spans="119:119" x14ac:dyDescent="0.2">
      <c r="DO27589" s="303" t="s">
        <v>232</v>
      </c>
    </row>
    <row r="27590" spans="119:119" x14ac:dyDescent="0.2">
      <c r="DO27590" s="303" t="s">
        <v>232</v>
      </c>
    </row>
    <row r="27591" spans="119:119" x14ac:dyDescent="0.2">
      <c r="DO27591" s="303" t="s">
        <v>232</v>
      </c>
    </row>
    <row r="27592" spans="119:119" x14ac:dyDescent="0.2">
      <c r="DO27592" s="303" t="s">
        <v>232</v>
      </c>
    </row>
    <row r="27593" spans="119:119" x14ac:dyDescent="0.2">
      <c r="DO27593" s="303" t="s">
        <v>232</v>
      </c>
    </row>
    <row r="27594" spans="119:119" x14ac:dyDescent="0.2">
      <c r="DO27594" s="303" t="s">
        <v>232</v>
      </c>
    </row>
    <row r="27595" spans="119:119" x14ac:dyDescent="0.2">
      <c r="DO27595" s="303" t="s">
        <v>232</v>
      </c>
    </row>
    <row r="27596" spans="119:119" x14ac:dyDescent="0.2">
      <c r="DO27596" s="303" t="s">
        <v>232</v>
      </c>
    </row>
    <row r="27597" spans="119:119" x14ac:dyDescent="0.2">
      <c r="DO27597" s="303" t="s">
        <v>232</v>
      </c>
    </row>
    <row r="27598" spans="119:119" x14ac:dyDescent="0.2">
      <c r="DO27598" s="303" t="s">
        <v>232</v>
      </c>
    </row>
    <row r="27599" spans="119:119" x14ac:dyDescent="0.2">
      <c r="DO27599" s="303" t="s">
        <v>232</v>
      </c>
    </row>
    <row r="27600" spans="119:119" x14ac:dyDescent="0.2">
      <c r="DO27600" s="303" t="s">
        <v>232</v>
      </c>
    </row>
    <row r="27601" spans="119:119" x14ac:dyDescent="0.2">
      <c r="DO27601" s="303" t="s">
        <v>232</v>
      </c>
    </row>
    <row r="27602" spans="119:119" x14ac:dyDescent="0.2">
      <c r="DO27602" s="303" t="s">
        <v>232</v>
      </c>
    </row>
    <row r="27603" spans="119:119" x14ac:dyDescent="0.2">
      <c r="DO27603" s="303" t="s">
        <v>232</v>
      </c>
    </row>
    <row r="27604" spans="119:119" x14ac:dyDescent="0.2">
      <c r="DO27604" s="303" t="s">
        <v>232</v>
      </c>
    </row>
    <row r="27605" spans="119:119" x14ac:dyDescent="0.2">
      <c r="DO27605" s="303" t="s">
        <v>232</v>
      </c>
    </row>
    <row r="27606" spans="119:119" x14ac:dyDescent="0.2">
      <c r="DO27606" s="303" t="s">
        <v>232</v>
      </c>
    </row>
    <row r="27607" spans="119:119" x14ac:dyDescent="0.2">
      <c r="DO27607" s="303" t="s">
        <v>232</v>
      </c>
    </row>
    <row r="27608" spans="119:119" x14ac:dyDescent="0.2">
      <c r="DO27608" s="303" t="s">
        <v>232</v>
      </c>
    </row>
    <row r="27609" spans="119:119" x14ac:dyDescent="0.2">
      <c r="DO27609" s="303" t="s">
        <v>232</v>
      </c>
    </row>
    <row r="27610" spans="119:119" x14ac:dyDescent="0.2">
      <c r="DO27610" s="303" t="s">
        <v>232</v>
      </c>
    </row>
    <row r="27611" spans="119:119" x14ac:dyDescent="0.2">
      <c r="DO27611" s="303" t="s">
        <v>232</v>
      </c>
    </row>
    <row r="27612" spans="119:119" x14ac:dyDescent="0.2">
      <c r="DO27612" s="303" t="s">
        <v>232</v>
      </c>
    </row>
    <row r="27613" spans="119:119" x14ac:dyDescent="0.2">
      <c r="DO27613" s="303" t="s">
        <v>232</v>
      </c>
    </row>
    <row r="27614" spans="119:119" x14ac:dyDescent="0.2">
      <c r="DO27614" s="303" t="s">
        <v>232</v>
      </c>
    </row>
    <row r="27615" spans="119:119" x14ac:dyDescent="0.2">
      <c r="DO27615" s="303" t="s">
        <v>232</v>
      </c>
    </row>
    <row r="27616" spans="119:119" x14ac:dyDescent="0.2">
      <c r="DO27616" s="303" t="s">
        <v>232</v>
      </c>
    </row>
    <row r="27617" spans="119:119" x14ac:dyDescent="0.2">
      <c r="DO27617" s="303" t="s">
        <v>232</v>
      </c>
    </row>
    <row r="27618" spans="119:119" x14ac:dyDescent="0.2">
      <c r="DO27618" s="303" t="s">
        <v>232</v>
      </c>
    </row>
    <row r="27619" spans="119:119" x14ac:dyDescent="0.2">
      <c r="DO27619" s="303" t="s">
        <v>232</v>
      </c>
    </row>
    <row r="27620" spans="119:119" x14ac:dyDescent="0.2">
      <c r="DO27620" s="303" t="s">
        <v>232</v>
      </c>
    </row>
    <row r="27621" spans="119:119" x14ac:dyDescent="0.2">
      <c r="DO27621" s="303" t="s">
        <v>232</v>
      </c>
    </row>
    <row r="27622" spans="119:119" x14ac:dyDescent="0.2">
      <c r="DO27622" s="303" t="s">
        <v>232</v>
      </c>
    </row>
    <row r="27623" spans="119:119" x14ac:dyDescent="0.2">
      <c r="DO27623" s="303" t="s">
        <v>232</v>
      </c>
    </row>
    <row r="27624" spans="119:119" x14ac:dyDescent="0.2">
      <c r="DO27624" s="303" t="s">
        <v>232</v>
      </c>
    </row>
    <row r="27625" spans="119:119" x14ac:dyDescent="0.2">
      <c r="DO27625" s="303" t="s">
        <v>232</v>
      </c>
    </row>
    <row r="27626" spans="119:119" x14ac:dyDescent="0.2">
      <c r="DO27626" s="303" t="s">
        <v>232</v>
      </c>
    </row>
    <row r="27627" spans="119:119" x14ac:dyDescent="0.2">
      <c r="DO27627" s="303" t="s">
        <v>232</v>
      </c>
    </row>
    <row r="27628" spans="119:119" x14ac:dyDescent="0.2">
      <c r="DO27628" s="303" t="s">
        <v>232</v>
      </c>
    </row>
    <row r="27629" spans="119:119" x14ac:dyDescent="0.2">
      <c r="DO27629" s="303" t="s">
        <v>232</v>
      </c>
    </row>
    <row r="27630" spans="119:119" x14ac:dyDescent="0.2">
      <c r="DO27630" s="303" t="s">
        <v>232</v>
      </c>
    </row>
    <row r="27631" spans="119:119" x14ac:dyDescent="0.2">
      <c r="DO27631" s="303" t="s">
        <v>232</v>
      </c>
    </row>
    <row r="27632" spans="119:119" x14ac:dyDescent="0.2">
      <c r="DO27632" s="303" t="s">
        <v>232</v>
      </c>
    </row>
    <row r="27633" spans="119:119" x14ac:dyDescent="0.2">
      <c r="DO27633" s="303" t="s">
        <v>232</v>
      </c>
    </row>
    <row r="27634" spans="119:119" x14ac:dyDescent="0.2">
      <c r="DO27634" s="303" t="s">
        <v>232</v>
      </c>
    </row>
    <row r="27635" spans="119:119" x14ac:dyDescent="0.2">
      <c r="DO27635" s="303" t="s">
        <v>232</v>
      </c>
    </row>
    <row r="27636" spans="119:119" x14ac:dyDescent="0.2">
      <c r="DO27636" s="303" t="s">
        <v>232</v>
      </c>
    </row>
    <row r="27637" spans="119:119" x14ac:dyDescent="0.2">
      <c r="DO27637" s="303" t="s">
        <v>232</v>
      </c>
    </row>
    <row r="27638" spans="119:119" x14ac:dyDescent="0.2">
      <c r="DO27638" s="303" t="s">
        <v>232</v>
      </c>
    </row>
    <row r="27639" spans="119:119" x14ac:dyDescent="0.2">
      <c r="DO27639" s="303" t="s">
        <v>232</v>
      </c>
    </row>
    <row r="27640" spans="119:119" x14ac:dyDescent="0.2">
      <c r="DO27640" s="303" t="s">
        <v>232</v>
      </c>
    </row>
    <row r="27641" spans="119:119" x14ac:dyDescent="0.2">
      <c r="DO27641" s="303" t="s">
        <v>232</v>
      </c>
    </row>
    <row r="27642" spans="119:119" x14ac:dyDescent="0.2">
      <c r="DO27642" s="303" t="s">
        <v>232</v>
      </c>
    </row>
    <row r="27643" spans="119:119" x14ac:dyDescent="0.2">
      <c r="DO27643" s="303" t="s">
        <v>232</v>
      </c>
    </row>
    <row r="27644" spans="119:119" x14ac:dyDescent="0.2">
      <c r="DO27644" s="303" t="s">
        <v>232</v>
      </c>
    </row>
    <row r="27645" spans="119:119" x14ac:dyDescent="0.2">
      <c r="DO27645" s="303" t="s">
        <v>232</v>
      </c>
    </row>
    <row r="27646" spans="119:119" x14ac:dyDescent="0.2">
      <c r="DO27646" s="303" t="s">
        <v>232</v>
      </c>
    </row>
    <row r="27647" spans="119:119" x14ac:dyDescent="0.2">
      <c r="DO27647" s="303" t="s">
        <v>232</v>
      </c>
    </row>
    <row r="27648" spans="119:119" x14ac:dyDescent="0.2">
      <c r="DO27648" s="303" t="s">
        <v>232</v>
      </c>
    </row>
    <row r="27649" spans="119:119" x14ac:dyDescent="0.2">
      <c r="DO27649" s="303" t="s">
        <v>232</v>
      </c>
    </row>
    <row r="27650" spans="119:119" x14ac:dyDescent="0.2">
      <c r="DO27650" s="303" t="s">
        <v>232</v>
      </c>
    </row>
    <row r="27651" spans="119:119" x14ac:dyDescent="0.2">
      <c r="DO27651" s="303" t="s">
        <v>232</v>
      </c>
    </row>
    <row r="27652" spans="119:119" x14ac:dyDescent="0.2">
      <c r="DO27652" s="303" t="s">
        <v>232</v>
      </c>
    </row>
    <row r="27653" spans="119:119" x14ac:dyDescent="0.2">
      <c r="DO27653" s="303" t="s">
        <v>232</v>
      </c>
    </row>
    <row r="27654" spans="119:119" x14ac:dyDescent="0.2">
      <c r="DO27654" s="303" t="s">
        <v>232</v>
      </c>
    </row>
    <row r="27655" spans="119:119" x14ac:dyDescent="0.2">
      <c r="DO27655" s="303" t="s">
        <v>232</v>
      </c>
    </row>
    <row r="27656" spans="119:119" x14ac:dyDescent="0.2">
      <c r="DO27656" s="303" t="s">
        <v>232</v>
      </c>
    </row>
    <row r="27657" spans="119:119" x14ac:dyDescent="0.2">
      <c r="DO27657" s="303" t="s">
        <v>232</v>
      </c>
    </row>
    <row r="27658" spans="119:119" x14ac:dyDescent="0.2">
      <c r="DO27658" s="303" t="s">
        <v>232</v>
      </c>
    </row>
    <row r="27659" spans="119:119" x14ac:dyDescent="0.2">
      <c r="DO27659" s="303" t="s">
        <v>232</v>
      </c>
    </row>
    <row r="27660" spans="119:119" x14ac:dyDescent="0.2">
      <c r="DO27660" s="303" t="s">
        <v>232</v>
      </c>
    </row>
    <row r="27661" spans="119:119" x14ac:dyDescent="0.2">
      <c r="DO27661" s="303" t="s">
        <v>232</v>
      </c>
    </row>
    <row r="27662" spans="119:119" x14ac:dyDescent="0.2">
      <c r="DO27662" s="303" t="s">
        <v>232</v>
      </c>
    </row>
    <row r="27663" spans="119:119" x14ac:dyDescent="0.2">
      <c r="DO27663" s="303" t="s">
        <v>232</v>
      </c>
    </row>
    <row r="27664" spans="119:119" x14ac:dyDescent="0.2">
      <c r="DO27664" s="303" t="s">
        <v>232</v>
      </c>
    </row>
    <row r="27665" spans="119:119" x14ac:dyDescent="0.2">
      <c r="DO27665" s="303" t="s">
        <v>232</v>
      </c>
    </row>
    <row r="27666" spans="119:119" x14ac:dyDescent="0.2">
      <c r="DO27666" s="303" t="s">
        <v>232</v>
      </c>
    </row>
    <row r="27667" spans="119:119" x14ac:dyDescent="0.2">
      <c r="DO27667" s="303" t="s">
        <v>232</v>
      </c>
    </row>
    <row r="27668" spans="119:119" x14ac:dyDescent="0.2">
      <c r="DO27668" s="303" t="s">
        <v>232</v>
      </c>
    </row>
    <row r="27669" spans="119:119" x14ac:dyDescent="0.2">
      <c r="DO27669" s="303" t="s">
        <v>232</v>
      </c>
    </row>
    <row r="27670" spans="119:119" x14ac:dyDescent="0.2">
      <c r="DO27670" s="303" t="s">
        <v>232</v>
      </c>
    </row>
    <row r="27671" spans="119:119" x14ac:dyDescent="0.2">
      <c r="DO27671" s="303" t="s">
        <v>232</v>
      </c>
    </row>
    <row r="27672" spans="119:119" x14ac:dyDescent="0.2">
      <c r="DO27672" s="303" t="s">
        <v>232</v>
      </c>
    </row>
    <row r="27673" spans="119:119" x14ac:dyDescent="0.2">
      <c r="DO27673" s="303" t="s">
        <v>232</v>
      </c>
    </row>
    <row r="27674" spans="119:119" x14ac:dyDescent="0.2">
      <c r="DO27674" s="303" t="s">
        <v>232</v>
      </c>
    </row>
    <row r="27675" spans="119:119" x14ac:dyDescent="0.2">
      <c r="DO27675" s="303" t="s">
        <v>232</v>
      </c>
    </row>
    <row r="27676" spans="119:119" x14ac:dyDescent="0.2">
      <c r="DO27676" s="303" t="s">
        <v>232</v>
      </c>
    </row>
    <row r="27677" spans="119:119" x14ac:dyDescent="0.2">
      <c r="DO27677" s="303" t="s">
        <v>232</v>
      </c>
    </row>
    <row r="27678" spans="119:119" x14ac:dyDescent="0.2">
      <c r="DO27678" s="303" t="s">
        <v>232</v>
      </c>
    </row>
    <row r="27679" spans="119:119" x14ac:dyDescent="0.2">
      <c r="DO27679" s="303" t="s">
        <v>232</v>
      </c>
    </row>
    <row r="27680" spans="119:119" x14ac:dyDescent="0.2">
      <c r="DO27680" s="303" t="s">
        <v>232</v>
      </c>
    </row>
    <row r="27681" spans="119:119" x14ac:dyDescent="0.2">
      <c r="DO27681" s="303" t="s">
        <v>232</v>
      </c>
    </row>
    <row r="27682" spans="119:119" x14ac:dyDescent="0.2">
      <c r="DO27682" s="303" t="s">
        <v>232</v>
      </c>
    </row>
    <row r="27683" spans="119:119" x14ac:dyDescent="0.2">
      <c r="DO27683" s="303" t="s">
        <v>232</v>
      </c>
    </row>
    <row r="27684" spans="119:119" x14ac:dyDescent="0.2">
      <c r="DO27684" s="303" t="s">
        <v>232</v>
      </c>
    </row>
    <row r="27685" spans="119:119" x14ac:dyDescent="0.2">
      <c r="DO27685" s="303" t="s">
        <v>232</v>
      </c>
    </row>
    <row r="27686" spans="119:119" x14ac:dyDescent="0.2">
      <c r="DO27686" s="303" t="s">
        <v>232</v>
      </c>
    </row>
    <row r="27687" spans="119:119" x14ac:dyDescent="0.2">
      <c r="DO27687" s="303" t="s">
        <v>232</v>
      </c>
    </row>
    <row r="27688" spans="119:119" x14ac:dyDescent="0.2">
      <c r="DO27688" s="303" t="s">
        <v>232</v>
      </c>
    </row>
    <row r="27689" spans="119:119" x14ac:dyDescent="0.2">
      <c r="DO27689" s="303" t="s">
        <v>232</v>
      </c>
    </row>
    <row r="27690" spans="119:119" x14ac:dyDescent="0.2">
      <c r="DO27690" s="303" t="s">
        <v>232</v>
      </c>
    </row>
    <row r="27691" spans="119:119" x14ac:dyDescent="0.2">
      <c r="DO27691" s="303" t="s">
        <v>232</v>
      </c>
    </row>
    <row r="27692" spans="119:119" x14ac:dyDescent="0.2">
      <c r="DO27692" s="303" t="s">
        <v>232</v>
      </c>
    </row>
    <row r="27693" spans="119:119" x14ac:dyDescent="0.2">
      <c r="DO27693" s="303" t="s">
        <v>232</v>
      </c>
    </row>
    <row r="27694" spans="119:119" x14ac:dyDescent="0.2">
      <c r="DO27694" s="303" t="s">
        <v>232</v>
      </c>
    </row>
    <row r="27695" spans="119:119" x14ac:dyDescent="0.2">
      <c r="DO27695" s="303" t="s">
        <v>232</v>
      </c>
    </row>
    <row r="27696" spans="119:119" x14ac:dyDescent="0.2">
      <c r="DO27696" s="303" t="s">
        <v>232</v>
      </c>
    </row>
    <row r="27697" spans="119:119" x14ac:dyDescent="0.2">
      <c r="DO27697" s="303" t="s">
        <v>232</v>
      </c>
    </row>
    <row r="27698" spans="119:119" x14ac:dyDescent="0.2">
      <c r="DO27698" s="303" t="s">
        <v>232</v>
      </c>
    </row>
    <row r="27699" spans="119:119" x14ac:dyDescent="0.2">
      <c r="DO27699" s="303" t="s">
        <v>232</v>
      </c>
    </row>
    <row r="27700" spans="119:119" x14ac:dyDescent="0.2">
      <c r="DO27700" s="303" t="s">
        <v>232</v>
      </c>
    </row>
    <row r="27701" spans="119:119" x14ac:dyDescent="0.2">
      <c r="DO27701" s="303" t="s">
        <v>232</v>
      </c>
    </row>
    <row r="27702" spans="119:119" x14ac:dyDescent="0.2">
      <c r="DO27702" s="303" t="s">
        <v>232</v>
      </c>
    </row>
    <row r="27703" spans="119:119" x14ac:dyDescent="0.2">
      <c r="DO27703" s="303" t="s">
        <v>232</v>
      </c>
    </row>
    <row r="27704" spans="119:119" x14ac:dyDescent="0.2">
      <c r="DO27704" s="303" t="s">
        <v>232</v>
      </c>
    </row>
    <row r="27705" spans="119:119" x14ac:dyDescent="0.2">
      <c r="DO27705" s="303" t="s">
        <v>232</v>
      </c>
    </row>
    <row r="27706" spans="119:119" x14ac:dyDescent="0.2">
      <c r="DO27706" s="303" t="s">
        <v>232</v>
      </c>
    </row>
    <row r="27707" spans="119:119" x14ac:dyDescent="0.2">
      <c r="DO27707" s="303" t="s">
        <v>232</v>
      </c>
    </row>
    <row r="27708" spans="119:119" x14ac:dyDescent="0.2">
      <c r="DO27708" s="303" t="s">
        <v>232</v>
      </c>
    </row>
    <row r="27709" spans="119:119" x14ac:dyDescent="0.2">
      <c r="DO27709" s="303" t="s">
        <v>232</v>
      </c>
    </row>
    <row r="27710" spans="119:119" x14ac:dyDescent="0.2">
      <c r="DO27710" s="303" t="s">
        <v>232</v>
      </c>
    </row>
    <row r="27711" spans="119:119" x14ac:dyDescent="0.2">
      <c r="DO27711" s="303" t="s">
        <v>232</v>
      </c>
    </row>
    <row r="27712" spans="119:119" x14ac:dyDescent="0.2">
      <c r="DO27712" s="303" t="s">
        <v>232</v>
      </c>
    </row>
    <row r="27713" spans="119:119" x14ac:dyDescent="0.2">
      <c r="DO27713" s="303" t="s">
        <v>232</v>
      </c>
    </row>
    <row r="27714" spans="119:119" x14ac:dyDescent="0.2">
      <c r="DO27714" s="303" t="s">
        <v>232</v>
      </c>
    </row>
    <row r="27715" spans="119:119" x14ac:dyDescent="0.2">
      <c r="DO27715" s="303" t="s">
        <v>232</v>
      </c>
    </row>
    <row r="27716" spans="119:119" x14ac:dyDescent="0.2">
      <c r="DO27716" s="303" t="s">
        <v>232</v>
      </c>
    </row>
    <row r="27717" spans="119:119" x14ac:dyDescent="0.2">
      <c r="DO27717" s="303" t="s">
        <v>232</v>
      </c>
    </row>
    <row r="27718" spans="119:119" x14ac:dyDescent="0.2">
      <c r="DO27718" s="303" t="s">
        <v>232</v>
      </c>
    </row>
    <row r="27719" spans="119:119" x14ac:dyDescent="0.2">
      <c r="DO27719" s="303" t="s">
        <v>232</v>
      </c>
    </row>
    <row r="27720" spans="119:119" x14ac:dyDescent="0.2">
      <c r="DO27720" s="303" t="s">
        <v>232</v>
      </c>
    </row>
    <row r="27721" spans="119:119" x14ac:dyDescent="0.2">
      <c r="DO27721" s="303" t="s">
        <v>232</v>
      </c>
    </row>
    <row r="27722" spans="119:119" x14ac:dyDescent="0.2">
      <c r="DO27722" s="303" t="s">
        <v>232</v>
      </c>
    </row>
    <row r="27723" spans="119:119" x14ac:dyDescent="0.2">
      <c r="DO27723" s="303" t="s">
        <v>232</v>
      </c>
    </row>
    <row r="27724" spans="119:119" x14ac:dyDescent="0.2">
      <c r="DO27724" s="303" t="s">
        <v>232</v>
      </c>
    </row>
    <row r="27725" spans="119:119" x14ac:dyDescent="0.2">
      <c r="DO27725" s="303" t="s">
        <v>232</v>
      </c>
    </row>
    <row r="27726" spans="119:119" x14ac:dyDescent="0.2">
      <c r="DO27726" s="303" t="s">
        <v>232</v>
      </c>
    </row>
    <row r="27727" spans="119:119" x14ac:dyDescent="0.2">
      <c r="DO27727" s="303" t="s">
        <v>232</v>
      </c>
    </row>
    <row r="27728" spans="119:119" x14ac:dyDescent="0.2">
      <c r="DO27728" s="303" t="s">
        <v>232</v>
      </c>
    </row>
    <row r="27729" spans="119:119" x14ac:dyDescent="0.2">
      <c r="DO27729" s="303" t="s">
        <v>232</v>
      </c>
    </row>
    <row r="27730" spans="119:119" x14ac:dyDescent="0.2">
      <c r="DO27730" s="303" t="s">
        <v>232</v>
      </c>
    </row>
    <row r="27731" spans="119:119" x14ac:dyDescent="0.2">
      <c r="DO27731" s="303" t="s">
        <v>232</v>
      </c>
    </row>
    <row r="27732" spans="119:119" x14ac:dyDescent="0.2">
      <c r="DO27732" s="303" t="s">
        <v>232</v>
      </c>
    </row>
    <row r="27733" spans="119:119" x14ac:dyDescent="0.2">
      <c r="DO27733" s="303" t="s">
        <v>232</v>
      </c>
    </row>
    <row r="27734" spans="119:119" x14ac:dyDescent="0.2">
      <c r="DO27734" s="303" t="s">
        <v>232</v>
      </c>
    </row>
    <row r="27735" spans="119:119" x14ac:dyDescent="0.2">
      <c r="DO27735" s="303" t="s">
        <v>232</v>
      </c>
    </row>
    <row r="27736" spans="119:119" x14ac:dyDescent="0.2">
      <c r="DO27736" s="303" t="s">
        <v>232</v>
      </c>
    </row>
    <row r="27737" spans="119:119" x14ac:dyDescent="0.2">
      <c r="DO27737" s="303" t="s">
        <v>232</v>
      </c>
    </row>
    <row r="27738" spans="119:119" x14ac:dyDescent="0.2">
      <c r="DO27738" s="303" t="s">
        <v>232</v>
      </c>
    </row>
    <row r="27739" spans="119:119" x14ac:dyDescent="0.2">
      <c r="DO27739" s="303" t="s">
        <v>232</v>
      </c>
    </row>
    <row r="27740" spans="119:119" x14ac:dyDescent="0.2">
      <c r="DO27740" s="303" t="s">
        <v>232</v>
      </c>
    </row>
    <row r="27741" spans="119:119" x14ac:dyDescent="0.2">
      <c r="DO27741" s="303" t="s">
        <v>232</v>
      </c>
    </row>
    <row r="27742" spans="119:119" x14ac:dyDescent="0.2">
      <c r="DO27742" s="303" t="s">
        <v>232</v>
      </c>
    </row>
    <row r="27743" spans="119:119" x14ac:dyDescent="0.2">
      <c r="DO27743" s="303" t="s">
        <v>232</v>
      </c>
    </row>
    <row r="27744" spans="119:119" x14ac:dyDescent="0.2">
      <c r="DO27744" s="303" t="s">
        <v>232</v>
      </c>
    </row>
    <row r="27745" spans="119:119" x14ac:dyDescent="0.2">
      <c r="DO27745" s="303" t="s">
        <v>232</v>
      </c>
    </row>
    <row r="27746" spans="119:119" x14ac:dyDescent="0.2">
      <c r="DO27746" s="303" t="s">
        <v>232</v>
      </c>
    </row>
    <row r="27747" spans="119:119" x14ac:dyDescent="0.2">
      <c r="DO27747" s="303" t="s">
        <v>232</v>
      </c>
    </row>
    <row r="27748" spans="119:119" x14ac:dyDescent="0.2">
      <c r="DO27748" s="303" t="s">
        <v>232</v>
      </c>
    </row>
    <row r="27749" spans="119:119" x14ac:dyDescent="0.2">
      <c r="DO27749" s="303" t="s">
        <v>232</v>
      </c>
    </row>
    <row r="27750" spans="119:119" x14ac:dyDescent="0.2">
      <c r="DO27750" s="303" t="s">
        <v>232</v>
      </c>
    </row>
    <row r="27751" spans="119:119" x14ac:dyDescent="0.2">
      <c r="DO27751" s="303" t="s">
        <v>232</v>
      </c>
    </row>
    <row r="27752" spans="119:119" x14ac:dyDescent="0.2">
      <c r="DO27752" s="303" t="s">
        <v>232</v>
      </c>
    </row>
    <row r="27753" spans="119:119" x14ac:dyDescent="0.2">
      <c r="DO27753" s="303" t="s">
        <v>232</v>
      </c>
    </row>
    <row r="27754" spans="119:119" x14ac:dyDescent="0.2">
      <c r="DO27754" s="303" t="s">
        <v>232</v>
      </c>
    </row>
    <row r="27755" spans="119:119" x14ac:dyDescent="0.2">
      <c r="DO27755" s="303" t="s">
        <v>232</v>
      </c>
    </row>
    <row r="27756" spans="119:119" x14ac:dyDescent="0.2">
      <c r="DO27756" s="303" t="s">
        <v>232</v>
      </c>
    </row>
    <row r="27757" spans="119:119" x14ac:dyDescent="0.2">
      <c r="DO27757" s="303" t="s">
        <v>232</v>
      </c>
    </row>
    <row r="27758" spans="119:119" x14ac:dyDescent="0.2">
      <c r="DO27758" s="303" t="s">
        <v>232</v>
      </c>
    </row>
    <row r="27759" spans="119:119" x14ac:dyDescent="0.2">
      <c r="DO27759" s="303" t="s">
        <v>232</v>
      </c>
    </row>
    <row r="27760" spans="119:119" x14ac:dyDescent="0.2">
      <c r="DO27760" s="303" t="s">
        <v>232</v>
      </c>
    </row>
    <row r="27761" spans="119:119" x14ac:dyDescent="0.2">
      <c r="DO27761" s="303" t="s">
        <v>232</v>
      </c>
    </row>
    <row r="27762" spans="119:119" x14ac:dyDescent="0.2">
      <c r="DO27762" s="303" t="s">
        <v>232</v>
      </c>
    </row>
    <row r="27763" spans="119:119" x14ac:dyDescent="0.2">
      <c r="DO27763" s="303" t="s">
        <v>232</v>
      </c>
    </row>
    <row r="27764" spans="119:119" x14ac:dyDescent="0.2">
      <c r="DO27764" s="303" t="s">
        <v>232</v>
      </c>
    </row>
    <row r="27765" spans="119:119" x14ac:dyDescent="0.2">
      <c r="DO27765" s="303" t="s">
        <v>232</v>
      </c>
    </row>
    <row r="27766" spans="119:119" x14ac:dyDescent="0.2">
      <c r="DO27766" s="303" t="s">
        <v>232</v>
      </c>
    </row>
    <row r="27767" spans="119:119" x14ac:dyDescent="0.2">
      <c r="DO27767" s="303" t="s">
        <v>232</v>
      </c>
    </row>
    <row r="27768" spans="119:119" x14ac:dyDescent="0.2">
      <c r="DO27768" s="303" t="s">
        <v>232</v>
      </c>
    </row>
    <row r="27769" spans="119:119" x14ac:dyDescent="0.2">
      <c r="DO27769" s="303" t="s">
        <v>232</v>
      </c>
    </row>
    <row r="27770" spans="119:119" x14ac:dyDescent="0.2">
      <c r="DO27770" s="303" t="s">
        <v>232</v>
      </c>
    </row>
    <row r="27771" spans="119:119" x14ac:dyDescent="0.2">
      <c r="DO27771" s="303" t="s">
        <v>232</v>
      </c>
    </row>
    <row r="27772" spans="119:119" x14ac:dyDescent="0.2">
      <c r="DO27772" s="303" t="s">
        <v>232</v>
      </c>
    </row>
    <row r="27773" spans="119:119" x14ac:dyDescent="0.2">
      <c r="DO27773" s="303" t="s">
        <v>232</v>
      </c>
    </row>
    <row r="27774" spans="119:119" x14ac:dyDescent="0.2">
      <c r="DO27774" s="303" t="s">
        <v>232</v>
      </c>
    </row>
    <row r="27775" spans="119:119" x14ac:dyDescent="0.2">
      <c r="DO27775" s="303" t="s">
        <v>232</v>
      </c>
    </row>
    <row r="27776" spans="119:119" x14ac:dyDescent="0.2">
      <c r="DO27776" s="303" t="s">
        <v>232</v>
      </c>
    </row>
    <row r="27777" spans="119:119" x14ac:dyDescent="0.2">
      <c r="DO27777" s="303" t="s">
        <v>232</v>
      </c>
    </row>
    <row r="27778" spans="119:119" x14ac:dyDescent="0.2">
      <c r="DO27778" s="303" t="s">
        <v>232</v>
      </c>
    </row>
    <row r="27779" spans="119:119" x14ac:dyDescent="0.2">
      <c r="DO27779" s="303" t="s">
        <v>232</v>
      </c>
    </row>
    <row r="27780" spans="119:119" x14ac:dyDescent="0.2">
      <c r="DO27780" s="303" t="s">
        <v>232</v>
      </c>
    </row>
    <row r="27781" spans="119:119" x14ac:dyDescent="0.2">
      <c r="DO27781" s="303" t="s">
        <v>232</v>
      </c>
    </row>
    <row r="27782" spans="119:119" x14ac:dyDescent="0.2">
      <c r="DO27782" s="303" t="s">
        <v>232</v>
      </c>
    </row>
    <row r="27783" spans="119:119" x14ac:dyDescent="0.2">
      <c r="DO27783" s="303" t="s">
        <v>232</v>
      </c>
    </row>
    <row r="27784" spans="119:119" x14ac:dyDescent="0.2">
      <c r="DO27784" s="303" t="s">
        <v>232</v>
      </c>
    </row>
    <row r="27785" spans="119:119" x14ac:dyDescent="0.2">
      <c r="DO27785" s="303" t="s">
        <v>232</v>
      </c>
    </row>
    <row r="27786" spans="119:119" x14ac:dyDescent="0.2">
      <c r="DO27786" s="303" t="s">
        <v>232</v>
      </c>
    </row>
    <row r="27787" spans="119:119" x14ac:dyDescent="0.2">
      <c r="DO27787" s="303" t="s">
        <v>232</v>
      </c>
    </row>
    <row r="27788" spans="119:119" x14ac:dyDescent="0.2">
      <c r="DO27788" s="303" t="s">
        <v>232</v>
      </c>
    </row>
    <row r="27789" spans="119:119" x14ac:dyDescent="0.2">
      <c r="DO27789" s="303" t="s">
        <v>232</v>
      </c>
    </row>
    <row r="27790" spans="119:119" x14ac:dyDescent="0.2">
      <c r="DO27790" s="303" t="s">
        <v>232</v>
      </c>
    </row>
    <row r="27791" spans="119:119" x14ac:dyDescent="0.2">
      <c r="DO27791" s="303" t="s">
        <v>232</v>
      </c>
    </row>
    <row r="27792" spans="119:119" x14ac:dyDescent="0.2">
      <c r="DO27792" s="303" t="s">
        <v>232</v>
      </c>
    </row>
    <row r="27793" spans="119:119" x14ac:dyDescent="0.2">
      <c r="DO27793" s="303" t="s">
        <v>232</v>
      </c>
    </row>
    <row r="27794" spans="119:119" x14ac:dyDescent="0.2">
      <c r="DO27794" s="303" t="s">
        <v>232</v>
      </c>
    </row>
    <row r="27795" spans="119:119" x14ac:dyDescent="0.2">
      <c r="DO27795" s="303" t="s">
        <v>232</v>
      </c>
    </row>
    <row r="27796" spans="119:119" x14ac:dyDescent="0.2">
      <c r="DO27796" s="303" t="s">
        <v>232</v>
      </c>
    </row>
    <row r="27797" spans="119:119" x14ac:dyDescent="0.2">
      <c r="DO27797" s="303" t="s">
        <v>232</v>
      </c>
    </row>
    <row r="27798" spans="119:119" x14ac:dyDescent="0.2">
      <c r="DO27798" s="303" t="s">
        <v>232</v>
      </c>
    </row>
    <row r="27799" spans="119:119" x14ac:dyDescent="0.2">
      <c r="DO27799" s="303" t="s">
        <v>232</v>
      </c>
    </row>
    <row r="27800" spans="119:119" x14ac:dyDescent="0.2">
      <c r="DO27800" s="303" t="s">
        <v>232</v>
      </c>
    </row>
    <row r="27801" spans="119:119" x14ac:dyDescent="0.2">
      <c r="DO27801" s="303" t="s">
        <v>232</v>
      </c>
    </row>
    <row r="27802" spans="119:119" x14ac:dyDescent="0.2">
      <c r="DO27802" s="303" t="s">
        <v>232</v>
      </c>
    </row>
    <row r="27803" spans="119:119" x14ac:dyDescent="0.2">
      <c r="DO27803" s="303" t="s">
        <v>232</v>
      </c>
    </row>
    <row r="27804" spans="119:119" x14ac:dyDescent="0.2">
      <c r="DO27804" s="303" t="s">
        <v>232</v>
      </c>
    </row>
    <row r="27805" spans="119:119" x14ac:dyDescent="0.2">
      <c r="DO27805" s="303" t="s">
        <v>232</v>
      </c>
    </row>
    <row r="27806" spans="119:119" x14ac:dyDescent="0.2">
      <c r="DO27806" s="303" t="s">
        <v>232</v>
      </c>
    </row>
    <row r="27807" spans="119:119" x14ac:dyDescent="0.2">
      <c r="DO27807" s="303" t="s">
        <v>232</v>
      </c>
    </row>
    <row r="27808" spans="119:119" x14ac:dyDescent="0.2">
      <c r="DO27808" s="303" t="s">
        <v>232</v>
      </c>
    </row>
    <row r="27809" spans="119:119" x14ac:dyDescent="0.2">
      <c r="DO27809" s="303" t="s">
        <v>232</v>
      </c>
    </row>
    <row r="27810" spans="119:119" x14ac:dyDescent="0.2">
      <c r="DO27810" s="303" t="s">
        <v>232</v>
      </c>
    </row>
    <row r="27811" spans="119:119" x14ac:dyDescent="0.2">
      <c r="DO27811" s="303" t="s">
        <v>232</v>
      </c>
    </row>
    <row r="27812" spans="119:119" x14ac:dyDescent="0.2">
      <c r="DO27812" s="303" t="s">
        <v>232</v>
      </c>
    </row>
    <row r="27813" spans="119:119" x14ac:dyDescent="0.2">
      <c r="DO27813" s="303" t="s">
        <v>232</v>
      </c>
    </row>
    <row r="27814" spans="119:119" x14ac:dyDescent="0.2">
      <c r="DO27814" s="303" t="s">
        <v>232</v>
      </c>
    </row>
    <row r="27815" spans="119:119" x14ac:dyDescent="0.2">
      <c r="DO27815" s="303" t="s">
        <v>232</v>
      </c>
    </row>
    <row r="27816" spans="119:119" x14ac:dyDescent="0.2">
      <c r="DO27816" s="303" t="s">
        <v>232</v>
      </c>
    </row>
    <row r="27817" spans="119:119" x14ac:dyDescent="0.2">
      <c r="DO27817" s="303" t="s">
        <v>232</v>
      </c>
    </row>
    <row r="27818" spans="119:119" x14ac:dyDescent="0.2">
      <c r="DO27818" s="303" t="s">
        <v>232</v>
      </c>
    </row>
    <row r="27819" spans="119:119" x14ac:dyDescent="0.2">
      <c r="DO27819" s="303" t="s">
        <v>232</v>
      </c>
    </row>
    <row r="27820" spans="119:119" x14ac:dyDescent="0.2">
      <c r="DO27820" s="303" t="s">
        <v>232</v>
      </c>
    </row>
    <row r="27821" spans="119:119" x14ac:dyDescent="0.2">
      <c r="DO27821" s="303" t="s">
        <v>232</v>
      </c>
    </row>
    <row r="27822" spans="119:119" x14ac:dyDescent="0.2">
      <c r="DO27822" s="303" t="s">
        <v>232</v>
      </c>
    </row>
    <row r="27823" spans="119:119" x14ac:dyDescent="0.2">
      <c r="DO27823" s="303" t="s">
        <v>232</v>
      </c>
    </row>
    <row r="27824" spans="119:119" x14ac:dyDescent="0.2">
      <c r="DO27824" s="303" t="s">
        <v>232</v>
      </c>
    </row>
    <row r="27825" spans="119:119" x14ac:dyDescent="0.2">
      <c r="DO27825" s="303" t="s">
        <v>232</v>
      </c>
    </row>
    <row r="27826" spans="119:119" x14ac:dyDescent="0.2">
      <c r="DO27826" s="303" t="s">
        <v>232</v>
      </c>
    </row>
    <row r="27827" spans="119:119" x14ac:dyDescent="0.2">
      <c r="DO27827" s="303" t="s">
        <v>232</v>
      </c>
    </row>
    <row r="27828" spans="119:119" x14ac:dyDescent="0.2">
      <c r="DO27828" s="303" t="s">
        <v>232</v>
      </c>
    </row>
    <row r="27829" spans="119:119" x14ac:dyDescent="0.2">
      <c r="DO27829" s="303" t="s">
        <v>232</v>
      </c>
    </row>
    <row r="27830" spans="119:119" x14ac:dyDescent="0.2">
      <c r="DO27830" s="303" t="s">
        <v>232</v>
      </c>
    </row>
    <row r="27831" spans="119:119" x14ac:dyDescent="0.2">
      <c r="DO27831" s="303" t="s">
        <v>232</v>
      </c>
    </row>
    <row r="27832" spans="119:119" x14ac:dyDescent="0.2">
      <c r="DO27832" s="303" t="s">
        <v>232</v>
      </c>
    </row>
    <row r="27833" spans="119:119" x14ac:dyDescent="0.2">
      <c r="DO27833" s="303" t="s">
        <v>232</v>
      </c>
    </row>
    <row r="27834" spans="119:119" x14ac:dyDescent="0.2">
      <c r="DO27834" s="303" t="s">
        <v>232</v>
      </c>
    </row>
    <row r="27835" spans="119:119" x14ac:dyDescent="0.2">
      <c r="DO27835" s="303" t="s">
        <v>232</v>
      </c>
    </row>
    <row r="27836" spans="119:119" x14ac:dyDescent="0.2">
      <c r="DO27836" s="303" t="s">
        <v>232</v>
      </c>
    </row>
    <row r="27837" spans="119:119" x14ac:dyDescent="0.2">
      <c r="DO27837" s="303" t="s">
        <v>232</v>
      </c>
    </row>
    <row r="27838" spans="119:119" x14ac:dyDescent="0.2">
      <c r="DO27838" s="303" t="s">
        <v>232</v>
      </c>
    </row>
    <row r="27839" spans="119:119" x14ac:dyDescent="0.2">
      <c r="DO27839" s="303" t="s">
        <v>232</v>
      </c>
    </row>
    <row r="27840" spans="119:119" x14ac:dyDescent="0.2">
      <c r="DO27840" s="303" t="s">
        <v>232</v>
      </c>
    </row>
    <row r="27841" spans="119:119" x14ac:dyDescent="0.2">
      <c r="DO27841" s="303" t="s">
        <v>232</v>
      </c>
    </row>
    <row r="27842" spans="119:119" x14ac:dyDescent="0.2">
      <c r="DO27842" s="303" t="s">
        <v>232</v>
      </c>
    </row>
    <row r="27843" spans="119:119" x14ac:dyDescent="0.2">
      <c r="DO27843" s="303" t="s">
        <v>232</v>
      </c>
    </row>
    <row r="27844" spans="119:119" x14ac:dyDescent="0.2">
      <c r="DO27844" s="303" t="s">
        <v>232</v>
      </c>
    </row>
    <row r="27845" spans="119:119" x14ac:dyDescent="0.2">
      <c r="DO27845" s="303" t="s">
        <v>232</v>
      </c>
    </row>
    <row r="27846" spans="119:119" x14ac:dyDescent="0.2">
      <c r="DO27846" s="303" t="s">
        <v>232</v>
      </c>
    </row>
    <row r="27847" spans="119:119" x14ac:dyDescent="0.2">
      <c r="DO27847" s="303" t="s">
        <v>232</v>
      </c>
    </row>
    <row r="27848" spans="119:119" x14ac:dyDescent="0.2">
      <c r="DO27848" s="303" t="s">
        <v>232</v>
      </c>
    </row>
    <row r="27849" spans="119:119" x14ac:dyDescent="0.2">
      <c r="DO27849" s="303" t="s">
        <v>232</v>
      </c>
    </row>
    <row r="27850" spans="119:119" x14ac:dyDescent="0.2">
      <c r="DO27850" s="303" t="s">
        <v>232</v>
      </c>
    </row>
    <row r="27851" spans="119:119" x14ac:dyDescent="0.2">
      <c r="DO27851" s="303" t="s">
        <v>232</v>
      </c>
    </row>
    <row r="27852" spans="119:119" x14ac:dyDescent="0.2">
      <c r="DO27852" s="303" t="s">
        <v>232</v>
      </c>
    </row>
    <row r="27853" spans="119:119" x14ac:dyDescent="0.2">
      <c r="DO27853" s="303" t="s">
        <v>232</v>
      </c>
    </row>
    <row r="27854" spans="119:119" x14ac:dyDescent="0.2">
      <c r="DO27854" s="303" t="s">
        <v>232</v>
      </c>
    </row>
    <row r="27855" spans="119:119" x14ac:dyDescent="0.2">
      <c r="DO27855" s="303" t="s">
        <v>232</v>
      </c>
    </row>
    <row r="27856" spans="119:119" x14ac:dyDescent="0.2">
      <c r="DO27856" s="303" t="s">
        <v>232</v>
      </c>
    </row>
    <row r="27857" spans="119:119" x14ac:dyDescent="0.2">
      <c r="DO27857" s="303" t="s">
        <v>232</v>
      </c>
    </row>
    <row r="27858" spans="119:119" x14ac:dyDescent="0.2">
      <c r="DO27858" s="303" t="s">
        <v>232</v>
      </c>
    </row>
    <row r="27859" spans="119:119" x14ac:dyDescent="0.2">
      <c r="DO27859" s="303" t="s">
        <v>232</v>
      </c>
    </row>
    <row r="27860" spans="119:119" x14ac:dyDescent="0.2">
      <c r="DO27860" s="303" t="s">
        <v>232</v>
      </c>
    </row>
    <row r="27861" spans="119:119" x14ac:dyDescent="0.2">
      <c r="DO27861" s="303" t="s">
        <v>232</v>
      </c>
    </row>
    <row r="27862" spans="119:119" x14ac:dyDescent="0.2">
      <c r="DO27862" s="303" t="s">
        <v>232</v>
      </c>
    </row>
    <row r="27863" spans="119:119" x14ac:dyDescent="0.2">
      <c r="DO27863" s="303" t="s">
        <v>232</v>
      </c>
    </row>
    <row r="27864" spans="119:119" x14ac:dyDescent="0.2">
      <c r="DO27864" s="303" t="s">
        <v>232</v>
      </c>
    </row>
    <row r="27865" spans="119:119" x14ac:dyDescent="0.2">
      <c r="DO27865" s="303" t="s">
        <v>232</v>
      </c>
    </row>
    <row r="27866" spans="119:119" x14ac:dyDescent="0.2">
      <c r="DO27866" s="303" t="s">
        <v>232</v>
      </c>
    </row>
    <row r="27867" spans="119:119" x14ac:dyDescent="0.2">
      <c r="DO27867" s="303" t="s">
        <v>232</v>
      </c>
    </row>
    <row r="27868" spans="119:119" x14ac:dyDescent="0.2">
      <c r="DO27868" s="303" t="s">
        <v>232</v>
      </c>
    </row>
    <row r="27869" spans="119:119" x14ac:dyDescent="0.2">
      <c r="DO27869" s="303" t="s">
        <v>232</v>
      </c>
    </row>
    <row r="27870" spans="119:119" x14ac:dyDescent="0.2">
      <c r="DO27870" s="303" t="s">
        <v>232</v>
      </c>
    </row>
    <row r="27871" spans="119:119" x14ac:dyDescent="0.2">
      <c r="DO27871" s="303" t="s">
        <v>232</v>
      </c>
    </row>
    <row r="27872" spans="119:119" x14ac:dyDescent="0.2">
      <c r="DO27872" s="303" t="s">
        <v>232</v>
      </c>
    </row>
    <row r="27873" spans="119:119" x14ac:dyDescent="0.2">
      <c r="DO27873" s="303" t="s">
        <v>232</v>
      </c>
    </row>
    <row r="27874" spans="119:119" x14ac:dyDescent="0.2">
      <c r="DO27874" s="303" t="s">
        <v>232</v>
      </c>
    </row>
    <row r="27875" spans="119:119" x14ac:dyDescent="0.2">
      <c r="DO27875" s="303" t="s">
        <v>232</v>
      </c>
    </row>
    <row r="27876" spans="119:119" x14ac:dyDescent="0.2">
      <c r="DO27876" s="303" t="s">
        <v>232</v>
      </c>
    </row>
    <row r="27877" spans="119:119" x14ac:dyDescent="0.2">
      <c r="DO27877" s="303" t="s">
        <v>232</v>
      </c>
    </row>
    <row r="27878" spans="119:119" x14ac:dyDescent="0.2">
      <c r="DO27878" s="303" t="s">
        <v>232</v>
      </c>
    </row>
    <row r="27879" spans="119:119" x14ac:dyDescent="0.2">
      <c r="DO27879" s="303" t="s">
        <v>232</v>
      </c>
    </row>
    <row r="27880" spans="119:119" x14ac:dyDescent="0.2">
      <c r="DO27880" s="303" t="s">
        <v>232</v>
      </c>
    </row>
    <row r="27881" spans="119:119" x14ac:dyDescent="0.2">
      <c r="DO27881" s="303" t="s">
        <v>232</v>
      </c>
    </row>
    <row r="27882" spans="119:119" x14ac:dyDescent="0.2">
      <c r="DO27882" s="303" t="s">
        <v>232</v>
      </c>
    </row>
    <row r="27883" spans="119:119" x14ac:dyDescent="0.2">
      <c r="DO27883" s="303" t="s">
        <v>232</v>
      </c>
    </row>
    <row r="27884" spans="119:119" x14ac:dyDescent="0.2">
      <c r="DO27884" s="303" t="s">
        <v>232</v>
      </c>
    </row>
    <row r="27885" spans="119:119" x14ac:dyDescent="0.2">
      <c r="DO27885" s="303" t="s">
        <v>232</v>
      </c>
    </row>
    <row r="27886" spans="119:119" x14ac:dyDescent="0.2">
      <c r="DO27886" s="303" t="s">
        <v>232</v>
      </c>
    </row>
    <row r="27887" spans="119:119" x14ac:dyDescent="0.2">
      <c r="DO27887" s="303" t="s">
        <v>232</v>
      </c>
    </row>
    <row r="27888" spans="119:119" x14ac:dyDescent="0.2">
      <c r="DO27888" s="303" t="s">
        <v>232</v>
      </c>
    </row>
    <row r="27889" spans="119:119" x14ac:dyDescent="0.2">
      <c r="DO27889" s="303" t="s">
        <v>232</v>
      </c>
    </row>
    <row r="27890" spans="119:119" x14ac:dyDescent="0.2">
      <c r="DO27890" s="303" t="s">
        <v>232</v>
      </c>
    </row>
    <row r="27891" spans="119:119" x14ac:dyDescent="0.2">
      <c r="DO27891" s="303" t="s">
        <v>232</v>
      </c>
    </row>
    <row r="27892" spans="119:119" x14ac:dyDescent="0.2">
      <c r="DO27892" s="303" t="s">
        <v>232</v>
      </c>
    </row>
    <row r="27893" spans="119:119" x14ac:dyDescent="0.2">
      <c r="DO27893" s="303" t="s">
        <v>232</v>
      </c>
    </row>
    <row r="27894" spans="119:119" x14ac:dyDescent="0.2">
      <c r="DO27894" s="303" t="s">
        <v>232</v>
      </c>
    </row>
    <row r="27895" spans="119:119" x14ac:dyDescent="0.2">
      <c r="DO27895" s="303" t="s">
        <v>232</v>
      </c>
    </row>
    <row r="27896" spans="119:119" x14ac:dyDescent="0.2">
      <c r="DO27896" s="303" t="s">
        <v>232</v>
      </c>
    </row>
    <row r="27897" spans="119:119" x14ac:dyDescent="0.2">
      <c r="DO27897" s="303" t="s">
        <v>232</v>
      </c>
    </row>
    <row r="27898" spans="119:119" x14ac:dyDescent="0.2">
      <c r="DO27898" s="303" t="s">
        <v>232</v>
      </c>
    </row>
    <row r="27899" spans="119:119" x14ac:dyDescent="0.2">
      <c r="DO27899" s="303" t="s">
        <v>232</v>
      </c>
    </row>
    <row r="27900" spans="119:119" x14ac:dyDescent="0.2">
      <c r="DO27900" s="303" t="s">
        <v>232</v>
      </c>
    </row>
    <row r="27901" spans="119:119" x14ac:dyDescent="0.2">
      <c r="DO27901" s="303" t="s">
        <v>232</v>
      </c>
    </row>
    <row r="27902" spans="119:119" x14ac:dyDescent="0.2">
      <c r="DO27902" s="303" t="s">
        <v>232</v>
      </c>
    </row>
    <row r="27903" spans="119:119" x14ac:dyDescent="0.2">
      <c r="DO27903" s="303" t="s">
        <v>232</v>
      </c>
    </row>
    <row r="27904" spans="119:119" x14ac:dyDescent="0.2">
      <c r="DO27904" s="303" t="s">
        <v>232</v>
      </c>
    </row>
    <row r="27905" spans="119:119" x14ac:dyDescent="0.2">
      <c r="DO27905" s="303" t="s">
        <v>232</v>
      </c>
    </row>
    <row r="27906" spans="119:119" x14ac:dyDescent="0.2">
      <c r="DO27906" s="303" t="s">
        <v>232</v>
      </c>
    </row>
    <row r="27907" spans="119:119" x14ac:dyDescent="0.2">
      <c r="DO27907" s="303" t="s">
        <v>232</v>
      </c>
    </row>
    <row r="27908" spans="119:119" x14ac:dyDescent="0.2">
      <c r="DO27908" s="303" t="s">
        <v>232</v>
      </c>
    </row>
    <row r="27909" spans="119:119" x14ac:dyDescent="0.2">
      <c r="DO27909" s="303" t="s">
        <v>232</v>
      </c>
    </row>
    <row r="27910" spans="119:119" x14ac:dyDescent="0.2">
      <c r="DO27910" s="303" t="s">
        <v>232</v>
      </c>
    </row>
    <row r="27911" spans="119:119" x14ac:dyDescent="0.2">
      <c r="DO27911" s="303" t="s">
        <v>232</v>
      </c>
    </row>
    <row r="27912" spans="119:119" x14ac:dyDescent="0.2">
      <c r="DO27912" s="303" t="s">
        <v>232</v>
      </c>
    </row>
    <row r="27913" spans="119:119" x14ac:dyDescent="0.2">
      <c r="DO27913" s="303" t="s">
        <v>232</v>
      </c>
    </row>
    <row r="27914" spans="119:119" x14ac:dyDescent="0.2">
      <c r="DO27914" s="303" t="s">
        <v>232</v>
      </c>
    </row>
    <row r="27915" spans="119:119" x14ac:dyDescent="0.2">
      <c r="DO27915" s="303" t="s">
        <v>232</v>
      </c>
    </row>
    <row r="27916" spans="119:119" x14ac:dyDescent="0.2">
      <c r="DO27916" s="303" t="s">
        <v>232</v>
      </c>
    </row>
    <row r="27917" spans="119:119" x14ac:dyDescent="0.2">
      <c r="DO27917" s="303" t="s">
        <v>232</v>
      </c>
    </row>
    <row r="27918" spans="119:119" x14ac:dyDescent="0.2">
      <c r="DO27918" s="303" t="s">
        <v>232</v>
      </c>
    </row>
    <row r="27919" spans="119:119" x14ac:dyDescent="0.2">
      <c r="DO27919" s="303" t="s">
        <v>232</v>
      </c>
    </row>
    <row r="27920" spans="119:119" x14ac:dyDescent="0.2">
      <c r="DO27920" s="303" t="s">
        <v>232</v>
      </c>
    </row>
    <row r="27921" spans="119:119" x14ac:dyDescent="0.2">
      <c r="DO27921" s="303" t="s">
        <v>232</v>
      </c>
    </row>
    <row r="27922" spans="119:119" x14ac:dyDescent="0.2">
      <c r="DO27922" s="303" t="s">
        <v>232</v>
      </c>
    </row>
    <row r="27923" spans="119:119" x14ac:dyDescent="0.2">
      <c r="DO27923" s="303" t="s">
        <v>232</v>
      </c>
    </row>
    <row r="27924" spans="119:119" x14ac:dyDescent="0.2">
      <c r="DO27924" s="303" t="s">
        <v>232</v>
      </c>
    </row>
    <row r="27925" spans="119:119" x14ac:dyDescent="0.2">
      <c r="DO27925" s="303" t="s">
        <v>232</v>
      </c>
    </row>
    <row r="27926" spans="119:119" x14ac:dyDescent="0.2">
      <c r="DO27926" s="303" t="s">
        <v>232</v>
      </c>
    </row>
    <row r="27927" spans="119:119" x14ac:dyDescent="0.2">
      <c r="DO27927" s="303" t="s">
        <v>232</v>
      </c>
    </row>
    <row r="27928" spans="119:119" x14ac:dyDescent="0.2">
      <c r="DO27928" s="303" t="s">
        <v>232</v>
      </c>
    </row>
    <row r="27929" spans="119:119" x14ac:dyDescent="0.2">
      <c r="DO27929" s="303" t="s">
        <v>232</v>
      </c>
    </row>
    <row r="27930" spans="119:119" x14ac:dyDescent="0.2">
      <c r="DO27930" s="303" t="s">
        <v>232</v>
      </c>
    </row>
    <row r="27931" spans="119:119" x14ac:dyDescent="0.2">
      <c r="DO27931" s="303" t="s">
        <v>232</v>
      </c>
    </row>
    <row r="27932" spans="119:119" x14ac:dyDescent="0.2">
      <c r="DO27932" s="303" t="s">
        <v>232</v>
      </c>
    </row>
    <row r="27933" spans="119:119" x14ac:dyDescent="0.2">
      <c r="DO27933" s="303" t="s">
        <v>232</v>
      </c>
    </row>
    <row r="27934" spans="119:119" x14ac:dyDescent="0.2">
      <c r="DO27934" s="303" t="s">
        <v>232</v>
      </c>
    </row>
    <row r="27935" spans="119:119" x14ac:dyDescent="0.2">
      <c r="DO27935" s="303" t="s">
        <v>232</v>
      </c>
    </row>
    <row r="27936" spans="119:119" x14ac:dyDescent="0.2">
      <c r="DO27936" s="303" t="s">
        <v>232</v>
      </c>
    </row>
    <row r="27937" spans="119:119" x14ac:dyDescent="0.2">
      <c r="DO27937" s="303" t="s">
        <v>232</v>
      </c>
    </row>
    <row r="27938" spans="119:119" x14ac:dyDescent="0.2">
      <c r="DO27938" s="303" t="s">
        <v>232</v>
      </c>
    </row>
    <row r="27939" spans="119:119" x14ac:dyDescent="0.2">
      <c r="DO27939" s="303" t="s">
        <v>232</v>
      </c>
    </row>
    <row r="27940" spans="119:119" x14ac:dyDescent="0.2">
      <c r="DO27940" s="303" t="s">
        <v>232</v>
      </c>
    </row>
    <row r="27941" spans="119:119" x14ac:dyDescent="0.2">
      <c r="DO27941" s="303" t="s">
        <v>232</v>
      </c>
    </row>
    <row r="27942" spans="119:119" x14ac:dyDescent="0.2">
      <c r="DO27942" s="303" t="s">
        <v>232</v>
      </c>
    </row>
    <row r="27943" spans="119:119" x14ac:dyDescent="0.2">
      <c r="DO27943" s="303" t="s">
        <v>232</v>
      </c>
    </row>
    <row r="27944" spans="119:119" x14ac:dyDescent="0.2">
      <c r="DO27944" s="303" t="s">
        <v>232</v>
      </c>
    </row>
    <row r="27945" spans="119:119" x14ac:dyDescent="0.2">
      <c r="DO27945" s="303" t="s">
        <v>232</v>
      </c>
    </row>
    <row r="27946" spans="119:119" x14ac:dyDescent="0.2">
      <c r="DO27946" s="303" t="s">
        <v>232</v>
      </c>
    </row>
    <row r="27947" spans="119:119" x14ac:dyDescent="0.2">
      <c r="DO27947" s="303" t="s">
        <v>232</v>
      </c>
    </row>
    <row r="27948" spans="119:119" x14ac:dyDescent="0.2">
      <c r="DO27948" s="303" t="s">
        <v>232</v>
      </c>
    </row>
    <row r="27949" spans="119:119" x14ac:dyDescent="0.2">
      <c r="DO27949" s="303" t="s">
        <v>232</v>
      </c>
    </row>
    <row r="27950" spans="119:119" x14ac:dyDescent="0.2">
      <c r="DO27950" s="303" t="s">
        <v>232</v>
      </c>
    </row>
    <row r="27951" spans="119:119" x14ac:dyDescent="0.2">
      <c r="DO27951" s="303" t="s">
        <v>232</v>
      </c>
    </row>
    <row r="27952" spans="119:119" x14ac:dyDescent="0.2">
      <c r="DO27952" s="303" t="s">
        <v>232</v>
      </c>
    </row>
    <row r="27953" spans="119:119" x14ac:dyDescent="0.2">
      <c r="DO27953" s="303" t="s">
        <v>232</v>
      </c>
    </row>
    <row r="27954" spans="119:119" x14ac:dyDescent="0.2">
      <c r="DO27954" s="303" t="s">
        <v>232</v>
      </c>
    </row>
    <row r="27955" spans="119:119" x14ac:dyDescent="0.2">
      <c r="DO27955" s="303" t="s">
        <v>232</v>
      </c>
    </row>
    <row r="27956" spans="119:119" x14ac:dyDescent="0.2">
      <c r="DO27956" s="303" t="s">
        <v>232</v>
      </c>
    </row>
    <row r="27957" spans="119:119" x14ac:dyDescent="0.2">
      <c r="DO27957" s="303" t="s">
        <v>232</v>
      </c>
    </row>
    <row r="27958" spans="119:119" x14ac:dyDescent="0.2">
      <c r="DO27958" s="303" t="s">
        <v>232</v>
      </c>
    </row>
    <row r="27959" spans="119:119" x14ac:dyDescent="0.2">
      <c r="DO27959" s="303" t="s">
        <v>232</v>
      </c>
    </row>
    <row r="27960" spans="119:119" x14ac:dyDescent="0.2">
      <c r="DO27960" s="303" t="s">
        <v>232</v>
      </c>
    </row>
    <row r="27961" spans="119:119" x14ac:dyDescent="0.2">
      <c r="DO27961" s="303" t="s">
        <v>232</v>
      </c>
    </row>
    <row r="27962" spans="119:119" x14ac:dyDescent="0.2">
      <c r="DO27962" s="303" t="s">
        <v>232</v>
      </c>
    </row>
    <row r="27963" spans="119:119" x14ac:dyDescent="0.2">
      <c r="DO27963" s="303" t="s">
        <v>232</v>
      </c>
    </row>
    <row r="27964" spans="119:119" x14ac:dyDescent="0.2">
      <c r="DO27964" s="303" t="s">
        <v>232</v>
      </c>
    </row>
    <row r="27965" spans="119:119" x14ac:dyDescent="0.2">
      <c r="DO27965" s="303" t="s">
        <v>232</v>
      </c>
    </row>
    <row r="27966" spans="119:119" x14ac:dyDescent="0.2">
      <c r="DO27966" s="303" t="s">
        <v>232</v>
      </c>
    </row>
    <row r="27967" spans="119:119" x14ac:dyDescent="0.2">
      <c r="DO27967" s="303" t="s">
        <v>232</v>
      </c>
    </row>
    <row r="27968" spans="119:119" x14ac:dyDescent="0.2">
      <c r="DO27968" s="303" t="s">
        <v>232</v>
      </c>
    </row>
    <row r="27969" spans="119:119" x14ac:dyDescent="0.2">
      <c r="DO27969" s="303" t="s">
        <v>232</v>
      </c>
    </row>
    <row r="27970" spans="119:119" x14ac:dyDescent="0.2">
      <c r="DO27970" s="303" t="s">
        <v>232</v>
      </c>
    </row>
    <row r="27971" spans="119:119" x14ac:dyDescent="0.2">
      <c r="DO27971" s="303" t="s">
        <v>232</v>
      </c>
    </row>
    <row r="27972" spans="119:119" x14ac:dyDescent="0.2">
      <c r="DO27972" s="303" t="s">
        <v>232</v>
      </c>
    </row>
    <row r="27973" spans="119:119" x14ac:dyDescent="0.2">
      <c r="DO27973" s="303" t="s">
        <v>232</v>
      </c>
    </row>
    <row r="27974" spans="119:119" x14ac:dyDescent="0.2">
      <c r="DO27974" s="303" t="s">
        <v>232</v>
      </c>
    </row>
    <row r="27975" spans="119:119" x14ac:dyDescent="0.2">
      <c r="DO27975" s="303" t="s">
        <v>232</v>
      </c>
    </row>
    <row r="27976" spans="119:119" x14ac:dyDescent="0.2">
      <c r="DO27976" s="303" t="s">
        <v>232</v>
      </c>
    </row>
    <row r="27977" spans="119:119" x14ac:dyDescent="0.2">
      <c r="DO27977" s="303" t="s">
        <v>232</v>
      </c>
    </row>
    <row r="27978" spans="119:119" x14ac:dyDescent="0.2">
      <c r="DO27978" s="303" t="s">
        <v>232</v>
      </c>
    </row>
    <row r="27979" spans="119:119" x14ac:dyDescent="0.2">
      <c r="DO27979" s="303" t="s">
        <v>232</v>
      </c>
    </row>
    <row r="27980" spans="119:119" x14ac:dyDescent="0.2">
      <c r="DO27980" s="303" t="s">
        <v>232</v>
      </c>
    </row>
    <row r="27981" spans="119:119" x14ac:dyDescent="0.2">
      <c r="DO27981" s="303" t="s">
        <v>232</v>
      </c>
    </row>
    <row r="27982" spans="119:119" x14ac:dyDescent="0.2">
      <c r="DO27982" s="303" t="s">
        <v>232</v>
      </c>
    </row>
    <row r="27983" spans="119:119" x14ac:dyDescent="0.2">
      <c r="DO27983" s="303" t="s">
        <v>232</v>
      </c>
    </row>
    <row r="27984" spans="119:119" x14ac:dyDescent="0.2">
      <c r="DO27984" s="303" t="s">
        <v>232</v>
      </c>
    </row>
    <row r="27985" spans="119:119" x14ac:dyDescent="0.2">
      <c r="DO27985" s="303" t="s">
        <v>232</v>
      </c>
    </row>
    <row r="27986" spans="119:119" x14ac:dyDescent="0.2">
      <c r="DO27986" s="303" t="s">
        <v>232</v>
      </c>
    </row>
    <row r="27987" spans="119:119" x14ac:dyDescent="0.2">
      <c r="DO27987" s="303" t="s">
        <v>232</v>
      </c>
    </row>
    <row r="27988" spans="119:119" x14ac:dyDescent="0.2">
      <c r="DO27988" s="303" t="s">
        <v>232</v>
      </c>
    </row>
    <row r="27989" spans="119:119" x14ac:dyDescent="0.2">
      <c r="DO27989" s="303" t="s">
        <v>232</v>
      </c>
    </row>
    <row r="27990" spans="119:119" x14ac:dyDescent="0.2">
      <c r="DO27990" s="303" t="s">
        <v>232</v>
      </c>
    </row>
    <row r="27991" spans="119:119" x14ac:dyDescent="0.2">
      <c r="DO27991" s="303" t="s">
        <v>232</v>
      </c>
    </row>
    <row r="27992" spans="119:119" x14ac:dyDescent="0.2">
      <c r="DO27992" s="303" t="s">
        <v>232</v>
      </c>
    </row>
    <row r="27993" spans="119:119" x14ac:dyDescent="0.2">
      <c r="DO27993" s="303" t="s">
        <v>232</v>
      </c>
    </row>
    <row r="27994" spans="119:119" x14ac:dyDescent="0.2">
      <c r="DO27994" s="303" t="s">
        <v>232</v>
      </c>
    </row>
    <row r="27995" spans="119:119" x14ac:dyDescent="0.2">
      <c r="DO27995" s="303" t="s">
        <v>232</v>
      </c>
    </row>
    <row r="27996" spans="119:119" x14ac:dyDescent="0.2">
      <c r="DO27996" s="303" t="s">
        <v>232</v>
      </c>
    </row>
    <row r="27997" spans="119:119" x14ac:dyDescent="0.2">
      <c r="DO27997" s="303" t="s">
        <v>232</v>
      </c>
    </row>
    <row r="27998" spans="119:119" x14ac:dyDescent="0.2">
      <c r="DO27998" s="303" t="s">
        <v>232</v>
      </c>
    </row>
    <row r="27999" spans="119:119" x14ac:dyDescent="0.2">
      <c r="DO27999" s="303" t="s">
        <v>232</v>
      </c>
    </row>
    <row r="28000" spans="119:119" x14ac:dyDescent="0.2">
      <c r="DO28000" s="303" t="s">
        <v>232</v>
      </c>
    </row>
    <row r="28001" spans="119:119" x14ac:dyDescent="0.2">
      <c r="DO28001" s="303" t="s">
        <v>232</v>
      </c>
    </row>
    <row r="28002" spans="119:119" x14ac:dyDescent="0.2">
      <c r="DO28002" s="303" t="s">
        <v>232</v>
      </c>
    </row>
    <row r="28003" spans="119:119" x14ac:dyDescent="0.2">
      <c r="DO28003" s="303" t="s">
        <v>232</v>
      </c>
    </row>
    <row r="28004" spans="119:119" x14ac:dyDescent="0.2">
      <c r="DO28004" s="303" t="s">
        <v>232</v>
      </c>
    </row>
    <row r="28005" spans="119:119" x14ac:dyDescent="0.2">
      <c r="DO28005" s="303" t="s">
        <v>232</v>
      </c>
    </row>
    <row r="28006" spans="119:119" x14ac:dyDescent="0.2">
      <c r="DO28006" s="303" t="s">
        <v>232</v>
      </c>
    </row>
    <row r="28007" spans="119:119" x14ac:dyDescent="0.2">
      <c r="DO28007" s="303" t="s">
        <v>232</v>
      </c>
    </row>
    <row r="28008" spans="119:119" x14ac:dyDescent="0.2">
      <c r="DO28008" s="303" t="s">
        <v>232</v>
      </c>
    </row>
    <row r="28009" spans="119:119" x14ac:dyDescent="0.2">
      <c r="DO28009" s="303" t="s">
        <v>232</v>
      </c>
    </row>
    <row r="28010" spans="119:119" x14ac:dyDescent="0.2">
      <c r="DO28010" s="303" t="s">
        <v>232</v>
      </c>
    </row>
    <row r="28011" spans="119:119" x14ac:dyDescent="0.2">
      <c r="DO28011" s="303" t="s">
        <v>232</v>
      </c>
    </row>
    <row r="28012" spans="119:119" x14ac:dyDescent="0.2">
      <c r="DO28012" s="303" t="s">
        <v>232</v>
      </c>
    </row>
    <row r="28013" spans="119:119" x14ac:dyDescent="0.2">
      <c r="DO28013" s="303" t="s">
        <v>232</v>
      </c>
    </row>
    <row r="28014" spans="119:119" x14ac:dyDescent="0.2">
      <c r="DO28014" s="303" t="s">
        <v>232</v>
      </c>
    </row>
    <row r="28015" spans="119:119" x14ac:dyDescent="0.2">
      <c r="DO28015" s="303" t="s">
        <v>232</v>
      </c>
    </row>
    <row r="28016" spans="119:119" x14ac:dyDescent="0.2">
      <c r="DO28016" s="303" t="s">
        <v>232</v>
      </c>
    </row>
    <row r="28017" spans="119:119" x14ac:dyDescent="0.2">
      <c r="DO28017" s="303" t="s">
        <v>232</v>
      </c>
    </row>
    <row r="28018" spans="119:119" x14ac:dyDescent="0.2">
      <c r="DO28018" s="303" t="s">
        <v>232</v>
      </c>
    </row>
    <row r="28019" spans="119:119" x14ac:dyDescent="0.2">
      <c r="DO28019" s="303" t="s">
        <v>232</v>
      </c>
    </row>
    <row r="28020" spans="119:119" x14ac:dyDescent="0.2">
      <c r="DO28020" s="303" t="s">
        <v>232</v>
      </c>
    </row>
    <row r="28021" spans="119:119" x14ac:dyDescent="0.2">
      <c r="DO28021" s="303" t="s">
        <v>232</v>
      </c>
    </row>
    <row r="28022" spans="119:119" x14ac:dyDescent="0.2">
      <c r="DO28022" s="303" t="s">
        <v>232</v>
      </c>
    </row>
    <row r="28023" spans="119:119" x14ac:dyDescent="0.2">
      <c r="DO28023" s="303" t="s">
        <v>232</v>
      </c>
    </row>
    <row r="28024" spans="119:119" x14ac:dyDescent="0.2">
      <c r="DO28024" s="303" t="s">
        <v>232</v>
      </c>
    </row>
    <row r="28025" spans="119:119" x14ac:dyDescent="0.2">
      <c r="DO28025" s="303" t="s">
        <v>232</v>
      </c>
    </row>
    <row r="28026" spans="119:119" x14ac:dyDescent="0.2">
      <c r="DO28026" s="303" t="s">
        <v>232</v>
      </c>
    </row>
    <row r="28027" spans="119:119" x14ac:dyDescent="0.2">
      <c r="DO28027" s="303" t="s">
        <v>232</v>
      </c>
    </row>
    <row r="28028" spans="119:119" x14ac:dyDescent="0.2">
      <c r="DO28028" s="303" t="s">
        <v>232</v>
      </c>
    </row>
    <row r="28029" spans="119:119" x14ac:dyDescent="0.2">
      <c r="DO28029" s="303" t="s">
        <v>232</v>
      </c>
    </row>
    <row r="28030" spans="119:119" x14ac:dyDescent="0.2">
      <c r="DO28030" s="303" t="s">
        <v>232</v>
      </c>
    </row>
    <row r="28031" spans="119:119" x14ac:dyDescent="0.2">
      <c r="DO28031" s="303" t="s">
        <v>232</v>
      </c>
    </row>
    <row r="28032" spans="119:119" x14ac:dyDescent="0.2">
      <c r="DO28032" s="303" t="s">
        <v>232</v>
      </c>
    </row>
    <row r="28033" spans="119:119" x14ac:dyDescent="0.2">
      <c r="DO28033" s="303" t="s">
        <v>232</v>
      </c>
    </row>
    <row r="28034" spans="119:119" x14ac:dyDescent="0.2">
      <c r="DO28034" s="303" t="s">
        <v>232</v>
      </c>
    </row>
    <row r="28035" spans="119:119" x14ac:dyDescent="0.2">
      <c r="DO28035" s="303" t="s">
        <v>232</v>
      </c>
    </row>
    <row r="28036" spans="119:119" x14ac:dyDescent="0.2">
      <c r="DO28036" s="303" t="s">
        <v>232</v>
      </c>
    </row>
    <row r="28037" spans="119:119" x14ac:dyDescent="0.2">
      <c r="DO28037" s="303" t="s">
        <v>232</v>
      </c>
    </row>
    <row r="28038" spans="119:119" x14ac:dyDescent="0.2">
      <c r="DO28038" s="303" t="s">
        <v>232</v>
      </c>
    </row>
    <row r="28039" spans="119:119" x14ac:dyDescent="0.2">
      <c r="DO28039" s="303" t="s">
        <v>232</v>
      </c>
    </row>
    <row r="28040" spans="119:119" x14ac:dyDescent="0.2">
      <c r="DO28040" s="303" t="s">
        <v>232</v>
      </c>
    </row>
    <row r="28041" spans="119:119" x14ac:dyDescent="0.2">
      <c r="DO28041" s="303" t="s">
        <v>232</v>
      </c>
    </row>
    <row r="28042" spans="119:119" x14ac:dyDescent="0.2">
      <c r="DO28042" s="303" t="s">
        <v>232</v>
      </c>
    </row>
    <row r="28043" spans="119:119" x14ac:dyDescent="0.2">
      <c r="DO28043" s="303" t="s">
        <v>232</v>
      </c>
    </row>
    <row r="28044" spans="119:119" x14ac:dyDescent="0.2">
      <c r="DO28044" s="303" t="s">
        <v>232</v>
      </c>
    </row>
    <row r="28045" spans="119:119" x14ac:dyDescent="0.2">
      <c r="DO28045" s="303" t="s">
        <v>232</v>
      </c>
    </row>
    <row r="28046" spans="119:119" x14ac:dyDescent="0.2">
      <c r="DO28046" s="303" t="s">
        <v>232</v>
      </c>
    </row>
    <row r="28047" spans="119:119" x14ac:dyDescent="0.2">
      <c r="DO28047" s="303" t="s">
        <v>232</v>
      </c>
    </row>
    <row r="28048" spans="119:119" x14ac:dyDescent="0.2">
      <c r="DO28048" s="303" t="s">
        <v>232</v>
      </c>
    </row>
    <row r="28049" spans="119:119" x14ac:dyDescent="0.2">
      <c r="DO28049" s="303" t="s">
        <v>232</v>
      </c>
    </row>
    <row r="28050" spans="119:119" x14ac:dyDescent="0.2">
      <c r="DO28050" s="303" t="s">
        <v>232</v>
      </c>
    </row>
    <row r="28051" spans="119:119" x14ac:dyDescent="0.2">
      <c r="DO28051" s="303" t="s">
        <v>232</v>
      </c>
    </row>
    <row r="28052" spans="119:119" x14ac:dyDescent="0.2">
      <c r="DO28052" s="303" t="s">
        <v>232</v>
      </c>
    </row>
    <row r="28053" spans="119:119" x14ac:dyDescent="0.2">
      <c r="DO28053" s="303" t="s">
        <v>232</v>
      </c>
    </row>
    <row r="28054" spans="119:119" x14ac:dyDescent="0.2">
      <c r="DO28054" s="303" t="s">
        <v>232</v>
      </c>
    </row>
    <row r="28055" spans="119:119" x14ac:dyDescent="0.2">
      <c r="DO28055" s="303" t="s">
        <v>232</v>
      </c>
    </row>
    <row r="28056" spans="119:119" x14ac:dyDescent="0.2">
      <c r="DO28056" s="303" t="s">
        <v>232</v>
      </c>
    </row>
    <row r="28057" spans="119:119" x14ac:dyDescent="0.2">
      <c r="DO28057" s="303" t="s">
        <v>232</v>
      </c>
    </row>
    <row r="28058" spans="119:119" x14ac:dyDescent="0.2">
      <c r="DO28058" s="303" t="s">
        <v>232</v>
      </c>
    </row>
    <row r="28059" spans="119:119" x14ac:dyDescent="0.2">
      <c r="DO28059" s="303" t="s">
        <v>232</v>
      </c>
    </row>
    <row r="28060" spans="119:119" x14ac:dyDescent="0.2">
      <c r="DO28060" s="303" t="s">
        <v>232</v>
      </c>
    </row>
    <row r="28061" spans="119:119" x14ac:dyDescent="0.2">
      <c r="DO28061" s="303" t="s">
        <v>232</v>
      </c>
    </row>
    <row r="28062" spans="119:119" x14ac:dyDescent="0.2">
      <c r="DO28062" s="303" t="s">
        <v>232</v>
      </c>
    </row>
    <row r="28063" spans="119:119" x14ac:dyDescent="0.2">
      <c r="DO28063" s="303" t="s">
        <v>232</v>
      </c>
    </row>
    <row r="28064" spans="119:119" x14ac:dyDescent="0.2">
      <c r="DO28064" s="303" t="s">
        <v>232</v>
      </c>
    </row>
    <row r="28065" spans="119:119" x14ac:dyDescent="0.2">
      <c r="DO28065" s="303" t="s">
        <v>232</v>
      </c>
    </row>
    <row r="28066" spans="119:119" x14ac:dyDescent="0.2">
      <c r="DO28066" s="303" t="s">
        <v>232</v>
      </c>
    </row>
    <row r="28067" spans="119:119" x14ac:dyDescent="0.2">
      <c r="DO28067" s="303" t="s">
        <v>232</v>
      </c>
    </row>
    <row r="28068" spans="119:119" x14ac:dyDescent="0.2">
      <c r="DO28068" s="303" t="s">
        <v>232</v>
      </c>
    </row>
    <row r="28069" spans="119:119" x14ac:dyDescent="0.2">
      <c r="DO28069" s="303" t="s">
        <v>232</v>
      </c>
    </row>
    <row r="28070" spans="119:119" x14ac:dyDescent="0.2">
      <c r="DO28070" s="303" t="s">
        <v>232</v>
      </c>
    </row>
    <row r="28071" spans="119:119" x14ac:dyDescent="0.2">
      <c r="DO28071" s="303" t="s">
        <v>232</v>
      </c>
    </row>
    <row r="28072" spans="119:119" x14ac:dyDescent="0.2">
      <c r="DO28072" s="303" t="s">
        <v>232</v>
      </c>
    </row>
    <row r="28073" spans="119:119" x14ac:dyDescent="0.2">
      <c r="DO28073" s="303" t="s">
        <v>232</v>
      </c>
    </row>
    <row r="28074" spans="119:119" x14ac:dyDescent="0.2">
      <c r="DO28074" s="303" t="s">
        <v>232</v>
      </c>
    </row>
    <row r="28075" spans="119:119" x14ac:dyDescent="0.2">
      <c r="DO28075" s="303" t="s">
        <v>232</v>
      </c>
    </row>
    <row r="28076" spans="119:119" x14ac:dyDescent="0.2">
      <c r="DO28076" s="303" t="s">
        <v>232</v>
      </c>
    </row>
    <row r="28077" spans="119:119" x14ac:dyDescent="0.2">
      <c r="DO28077" s="303" t="s">
        <v>232</v>
      </c>
    </row>
    <row r="28078" spans="119:119" x14ac:dyDescent="0.2">
      <c r="DO28078" s="303" t="s">
        <v>232</v>
      </c>
    </row>
    <row r="28079" spans="119:119" x14ac:dyDescent="0.2">
      <c r="DO28079" s="303" t="s">
        <v>232</v>
      </c>
    </row>
    <row r="28080" spans="119:119" x14ac:dyDescent="0.2">
      <c r="DO28080" s="303" t="s">
        <v>232</v>
      </c>
    </row>
    <row r="28081" spans="119:119" x14ac:dyDescent="0.2">
      <c r="DO28081" s="303" t="s">
        <v>232</v>
      </c>
    </row>
    <row r="28082" spans="119:119" x14ac:dyDescent="0.2">
      <c r="DO28082" s="303" t="s">
        <v>232</v>
      </c>
    </row>
    <row r="28083" spans="119:119" x14ac:dyDescent="0.2">
      <c r="DO28083" s="303" t="s">
        <v>232</v>
      </c>
    </row>
    <row r="28084" spans="119:119" x14ac:dyDescent="0.2">
      <c r="DO28084" s="303" t="s">
        <v>232</v>
      </c>
    </row>
    <row r="28085" spans="119:119" x14ac:dyDescent="0.2">
      <c r="DO28085" s="303" t="s">
        <v>232</v>
      </c>
    </row>
    <row r="28086" spans="119:119" x14ac:dyDescent="0.2">
      <c r="DO28086" s="303" t="s">
        <v>232</v>
      </c>
    </row>
    <row r="28087" spans="119:119" x14ac:dyDescent="0.2">
      <c r="DO28087" s="303" t="s">
        <v>232</v>
      </c>
    </row>
    <row r="28088" spans="119:119" x14ac:dyDescent="0.2">
      <c r="DO28088" s="303" t="s">
        <v>232</v>
      </c>
    </row>
    <row r="28089" spans="119:119" x14ac:dyDescent="0.2">
      <c r="DO28089" s="303" t="s">
        <v>232</v>
      </c>
    </row>
    <row r="28090" spans="119:119" x14ac:dyDescent="0.2">
      <c r="DO28090" s="303" t="s">
        <v>232</v>
      </c>
    </row>
    <row r="28091" spans="119:119" x14ac:dyDescent="0.2">
      <c r="DO28091" s="303" t="s">
        <v>232</v>
      </c>
    </row>
    <row r="28092" spans="119:119" x14ac:dyDescent="0.2">
      <c r="DO28092" s="303" t="s">
        <v>232</v>
      </c>
    </row>
    <row r="28093" spans="119:119" x14ac:dyDescent="0.2">
      <c r="DO28093" s="303" t="s">
        <v>232</v>
      </c>
    </row>
    <row r="28094" spans="119:119" x14ac:dyDescent="0.2">
      <c r="DO28094" s="303" t="s">
        <v>232</v>
      </c>
    </row>
    <row r="28095" spans="119:119" x14ac:dyDescent="0.2">
      <c r="DO28095" s="303" t="s">
        <v>232</v>
      </c>
    </row>
    <row r="28096" spans="119:119" x14ac:dyDescent="0.2">
      <c r="DO28096" s="303" t="s">
        <v>232</v>
      </c>
    </row>
    <row r="28097" spans="119:119" x14ac:dyDescent="0.2">
      <c r="DO28097" s="303" t="s">
        <v>232</v>
      </c>
    </row>
    <row r="28098" spans="119:119" x14ac:dyDescent="0.2">
      <c r="DO28098" s="303" t="s">
        <v>232</v>
      </c>
    </row>
    <row r="28099" spans="119:119" x14ac:dyDescent="0.2">
      <c r="DO28099" s="303" t="s">
        <v>232</v>
      </c>
    </row>
    <row r="28100" spans="119:119" x14ac:dyDescent="0.2">
      <c r="DO28100" s="303" t="s">
        <v>232</v>
      </c>
    </row>
    <row r="28101" spans="119:119" x14ac:dyDescent="0.2">
      <c r="DO28101" s="303" t="s">
        <v>232</v>
      </c>
    </row>
    <row r="28102" spans="119:119" x14ac:dyDescent="0.2">
      <c r="DO28102" s="303" t="s">
        <v>232</v>
      </c>
    </row>
    <row r="28103" spans="119:119" x14ac:dyDescent="0.2">
      <c r="DO28103" s="303" t="s">
        <v>232</v>
      </c>
    </row>
    <row r="28104" spans="119:119" x14ac:dyDescent="0.2">
      <c r="DO28104" s="303" t="s">
        <v>232</v>
      </c>
    </row>
    <row r="28105" spans="119:119" x14ac:dyDescent="0.2">
      <c r="DO28105" s="303" t="s">
        <v>232</v>
      </c>
    </row>
    <row r="28106" spans="119:119" x14ac:dyDescent="0.2">
      <c r="DO28106" s="303" t="s">
        <v>232</v>
      </c>
    </row>
    <row r="28107" spans="119:119" x14ac:dyDescent="0.2">
      <c r="DO28107" s="303" t="s">
        <v>232</v>
      </c>
    </row>
    <row r="28108" spans="119:119" x14ac:dyDescent="0.2">
      <c r="DO28108" s="303" t="s">
        <v>232</v>
      </c>
    </row>
    <row r="28109" spans="119:119" x14ac:dyDescent="0.2">
      <c r="DO28109" s="303" t="s">
        <v>232</v>
      </c>
    </row>
    <row r="28110" spans="119:119" x14ac:dyDescent="0.2">
      <c r="DO28110" s="303" t="s">
        <v>232</v>
      </c>
    </row>
    <row r="28111" spans="119:119" x14ac:dyDescent="0.2">
      <c r="DO28111" s="303" t="s">
        <v>232</v>
      </c>
    </row>
    <row r="28112" spans="119:119" x14ac:dyDescent="0.2">
      <c r="DO28112" s="303" t="s">
        <v>232</v>
      </c>
    </row>
    <row r="28113" spans="119:119" x14ac:dyDescent="0.2">
      <c r="DO28113" s="303" t="s">
        <v>232</v>
      </c>
    </row>
    <row r="28114" spans="119:119" x14ac:dyDescent="0.2">
      <c r="DO28114" s="303" t="s">
        <v>232</v>
      </c>
    </row>
    <row r="28115" spans="119:119" x14ac:dyDescent="0.2">
      <c r="DO28115" s="303" t="s">
        <v>232</v>
      </c>
    </row>
    <row r="28116" spans="119:119" x14ac:dyDescent="0.2">
      <c r="DO28116" s="303" t="s">
        <v>232</v>
      </c>
    </row>
    <row r="28117" spans="119:119" x14ac:dyDescent="0.2">
      <c r="DO28117" s="303" t="s">
        <v>232</v>
      </c>
    </row>
    <row r="28118" spans="119:119" x14ac:dyDescent="0.2">
      <c r="DO28118" s="303" t="s">
        <v>232</v>
      </c>
    </row>
    <row r="28119" spans="119:119" x14ac:dyDescent="0.2">
      <c r="DO28119" s="303" t="s">
        <v>232</v>
      </c>
    </row>
    <row r="28120" spans="119:119" x14ac:dyDescent="0.2">
      <c r="DO28120" s="303" t="s">
        <v>232</v>
      </c>
    </row>
    <row r="28121" spans="119:119" x14ac:dyDescent="0.2">
      <c r="DO28121" s="303" t="s">
        <v>232</v>
      </c>
    </row>
    <row r="28122" spans="119:119" x14ac:dyDescent="0.2">
      <c r="DO28122" s="303" t="s">
        <v>232</v>
      </c>
    </row>
    <row r="28123" spans="119:119" x14ac:dyDescent="0.2">
      <c r="DO28123" s="303" t="s">
        <v>232</v>
      </c>
    </row>
    <row r="28124" spans="119:119" x14ac:dyDescent="0.2">
      <c r="DO28124" s="303" t="s">
        <v>232</v>
      </c>
    </row>
    <row r="28125" spans="119:119" x14ac:dyDescent="0.2">
      <c r="DO28125" s="303" t="s">
        <v>232</v>
      </c>
    </row>
    <row r="28126" spans="119:119" x14ac:dyDescent="0.2">
      <c r="DO28126" s="303" t="s">
        <v>232</v>
      </c>
    </row>
    <row r="28127" spans="119:119" x14ac:dyDescent="0.2">
      <c r="DO28127" s="303" t="s">
        <v>232</v>
      </c>
    </row>
    <row r="28128" spans="119:119" x14ac:dyDescent="0.2">
      <c r="DO28128" s="303" t="s">
        <v>232</v>
      </c>
    </row>
    <row r="28129" spans="119:119" x14ac:dyDescent="0.2">
      <c r="DO28129" s="303" t="s">
        <v>232</v>
      </c>
    </row>
    <row r="28130" spans="119:119" x14ac:dyDescent="0.2">
      <c r="DO28130" s="303" t="s">
        <v>232</v>
      </c>
    </row>
    <row r="28131" spans="119:119" x14ac:dyDescent="0.2">
      <c r="DO28131" s="303" t="s">
        <v>232</v>
      </c>
    </row>
    <row r="28132" spans="119:119" x14ac:dyDescent="0.2">
      <c r="DO28132" s="303" t="s">
        <v>232</v>
      </c>
    </row>
    <row r="28133" spans="119:119" x14ac:dyDescent="0.2">
      <c r="DO28133" s="303" t="s">
        <v>232</v>
      </c>
    </row>
    <row r="28134" spans="119:119" x14ac:dyDescent="0.2">
      <c r="DO28134" s="303" t="s">
        <v>232</v>
      </c>
    </row>
    <row r="28135" spans="119:119" x14ac:dyDescent="0.2">
      <c r="DO28135" s="303" t="s">
        <v>232</v>
      </c>
    </row>
    <row r="28136" spans="119:119" x14ac:dyDescent="0.2">
      <c r="DO28136" s="303" t="s">
        <v>232</v>
      </c>
    </row>
    <row r="28137" spans="119:119" x14ac:dyDescent="0.2">
      <c r="DO28137" s="303" t="s">
        <v>232</v>
      </c>
    </row>
    <row r="28138" spans="119:119" x14ac:dyDescent="0.2">
      <c r="DO28138" s="303" t="s">
        <v>232</v>
      </c>
    </row>
    <row r="28139" spans="119:119" x14ac:dyDescent="0.2">
      <c r="DO28139" s="303" t="s">
        <v>232</v>
      </c>
    </row>
    <row r="28140" spans="119:119" x14ac:dyDescent="0.2">
      <c r="DO28140" s="303" t="s">
        <v>232</v>
      </c>
    </row>
    <row r="28141" spans="119:119" x14ac:dyDescent="0.2">
      <c r="DO28141" s="303" t="s">
        <v>232</v>
      </c>
    </row>
    <row r="28142" spans="119:119" x14ac:dyDescent="0.2">
      <c r="DO28142" s="303" t="s">
        <v>232</v>
      </c>
    </row>
    <row r="28143" spans="119:119" x14ac:dyDescent="0.2">
      <c r="DO28143" s="303" t="s">
        <v>232</v>
      </c>
    </row>
    <row r="28144" spans="119:119" x14ac:dyDescent="0.2">
      <c r="DO28144" s="303" t="s">
        <v>232</v>
      </c>
    </row>
    <row r="28145" spans="119:119" x14ac:dyDescent="0.2">
      <c r="DO28145" s="303" t="s">
        <v>232</v>
      </c>
    </row>
    <row r="28146" spans="119:119" x14ac:dyDescent="0.2">
      <c r="DO28146" s="303" t="s">
        <v>232</v>
      </c>
    </row>
    <row r="28147" spans="119:119" x14ac:dyDescent="0.2">
      <c r="DO28147" s="303" t="s">
        <v>232</v>
      </c>
    </row>
    <row r="28148" spans="119:119" x14ac:dyDescent="0.2">
      <c r="DO28148" s="303" t="s">
        <v>232</v>
      </c>
    </row>
    <row r="28149" spans="119:119" x14ac:dyDescent="0.2">
      <c r="DO28149" s="303" t="s">
        <v>232</v>
      </c>
    </row>
    <row r="28150" spans="119:119" x14ac:dyDescent="0.2">
      <c r="DO28150" s="303" t="s">
        <v>232</v>
      </c>
    </row>
    <row r="28151" spans="119:119" x14ac:dyDescent="0.2">
      <c r="DO28151" s="303" t="s">
        <v>232</v>
      </c>
    </row>
    <row r="28152" spans="119:119" x14ac:dyDescent="0.2">
      <c r="DO28152" s="303" t="s">
        <v>232</v>
      </c>
    </row>
    <row r="28153" spans="119:119" x14ac:dyDescent="0.2">
      <c r="DO28153" s="303" t="s">
        <v>232</v>
      </c>
    </row>
    <row r="28154" spans="119:119" x14ac:dyDescent="0.2">
      <c r="DO28154" s="303" t="s">
        <v>232</v>
      </c>
    </row>
    <row r="28155" spans="119:119" x14ac:dyDescent="0.2">
      <c r="DO28155" s="303" t="s">
        <v>232</v>
      </c>
    </row>
    <row r="28156" spans="119:119" x14ac:dyDescent="0.2">
      <c r="DO28156" s="303" t="s">
        <v>232</v>
      </c>
    </row>
    <row r="28157" spans="119:119" x14ac:dyDescent="0.2">
      <c r="DO28157" s="303" t="s">
        <v>232</v>
      </c>
    </row>
    <row r="28158" spans="119:119" x14ac:dyDescent="0.2">
      <c r="DO28158" s="303" t="s">
        <v>232</v>
      </c>
    </row>
    <row r="28159" spans="119:119" x14ac:dyDescent="0.2">
      <c r="DO28159" s="303" t="s">
        <v>232</v>
      </c>
    </row>
    <row r="28160" spans="119:119" x14ac:dyDescent="0.2">
      <c r="DO28160" s="303" t="s">
        <v>232</v>
      </c>
    </row>
    <row r="28161" spans="119:119" x14ac:dyDescent="0.2">
      <c r="DO28161" s="303" t="s">
        <v>232</v>
      </c>
    </row>
    <row r="28162" spans="119:119" x14ac:dyDescent="0.2">
      <c r="DO28162" s="303" t="s">
        <v>232</v>
      </c>
    </row>
    <row r="28163" spans="119:119" x14ac:dyDescent="0.2">
      <c r="DO28163" s="303" t="s">
        <v>232</v>
      </c>
    </row>
    <row r="28164" spans="119:119" x14ac:dyDescent="0.2">
      <c r="DO28164" s="303" t="s">
        <v>232</v>
      </c>
    </row>
    <row r="28165" spans="119:119" x14ac:dyDescent="0.2">
      <c r="DO28165" s="303" t="s">
        <v>232</v>
      </c>
    </row>
    <row r="28166" spans="119:119" x14ac:dyDescent="0.2">
      <c r="DO28166" s="303" t="s">
        <v>232</v>
      </c>
    </row>
    <row r="28167" spans="119:119" x14ac:dyDescent="0.2">
      <c r="DO28167" s="303" t="s">
        <v>232</v>
      </c>
    </row>
    <row r="28168" spans="119:119" x14ac:dyDescent="0.2">
      <c r="DO28168" s="303" t="s">
        <v>232</v>
      </c>
    </row>
    <row r="28169" spans="119:119" x14ac:dyDescent="0.2">
      <c r="DO28169" s="303" t="s">
        <v>232</v>
      </c>
    </row>
    <row r="28170" spans="119:119" x14ac:dyDescent="0.2">
      <c r="DO28170" s="303" t="s">
        <v>232</v>
      </c>
    </row>
    <row r="28171" spans="119:119" x14ac:dyDescent="0.2">
      <c r="DO28171" s="303" t="s">
        <v>232</v>
      </c>
    </row>
    <row r="28172" spans="119:119" x14ac:dyDescent="0.2">
      <c r="DO28172" s="303" t="s">
        <v>232</v>
      </c>
    </row>
    <row r="28173" spans="119:119" x14ac:dyDescent="0.2">
      <c r="DO28173" s="303" t="s">
        <v>232</v>
      </c>
    </row>
    <row r="28174" spans="119:119" x14ac:dyDescent="0.2">
      <c r="DO28174" s="303" t="s">
        <v>232</v>
      </c>
    </row>
    <row r="28175" spans="119:119" x14ac:dyDescent="0.2">
      <c r="DO28175" s="303" t="s">
        <v>232</v>
      </c>
    </row>
    <row r="28176" spans="119:119" x14ac:dyDescent="0.2">
      <c r="DO28176" s="303" t="s">
        <v>232</v>
      </c>
    </row>
    <row r="28177" spans="119:119" x14ac:dyDescent="0.2">
      <c r="DO28177" s="303" t="s">
        <v>232</v>
      </c>
    </row>
    <row r="28178" spans="119:119" x14ac:dyDescent="0.2">
      <c r="DO28178" s="303" t="s">
        <v>232</v>
      </c>
    </row>
    <row r="28179" spans="119:119" x14ac:dyDescent="0.2">
      <c r="DO28179" s="303" t="s">
        <v>232</v>
      </c>
    </row>
    <row r="28180" spans="119:119" x14ac:dyDescent="0.2">
      <c r="DO28180" s="303" t="s">
        <v>232</v>
      </c>
    </row>
    <row r="28181" spans="119:119" x14ac:dyDescent="0.2">
      <c r="DO28181" s="303" t="s">
        <v>232</v>
      </c>
    </row>
    <row r="28182" spans="119:119" x14ac:dyDescent="0.2">
      <c r="DO28182" s="303" t="s">
        <v>232</v>
      </c>
    </row>
    <row r="28183" spans="119:119" x14ac:dyDescent="0.2">
      <c r="DO28183" s="303" t="s">
        <v>232</v>
      </c>
    </row>
    <row r="28184" spans="119:119" x14ac:dyDescent="0.2">
      <c r="DO28184" s="303" t="s">
        <v>232</v>
      </c>
    </row>
    <row r="28185" spans="119:119" x14ac:dyDescent="0.2">
      <c r="DO28185" s="303" t="s">
        <v>232</v>
      </c>
    </row>
    <row r="28186" spans="119:119" x14ac:dyDescent="0.2">
      <c r="DO28186" s="303" t="s">
        <v>232</v>
      </c>
    </row>
    <row r="28187" spans="119:119" x14ac:dyDescent="0.2">
      <c r="DO28187" s="303" t="s">
        <v>232</v>
      </c>
    </row>
    <row r="28188" spans="119:119" x14ac:dyDescent="0.2">
      <c r="DO28188" s="303" t="s">
        <v>232</v>
      </c>
    </row>
    <row r="28189" spans="119:119" x14ac:dyDescent="0.2">
      <c r="DO28189" s="303" t="s">
        <v>232</v>
      </c>
    </row>
    <row r="28190" spans="119:119" x14ac:dyDescent="0.2">
      <c r="DO28190" s="303" t="s">
        <v>232</v>
      </c>
    </row>
    <row r="28191" spans="119:119" x14ac:dyDescent="0.2">
      <c r="DO28191" s="303" t="s">
        <v>232</v>
      </c>
    </row>
    <row r="28192" spans="119:119" x14ac:dyDescent="0.2">
      <c r="DO28192" s="303" t="s">
        <v>232</v>
      </c>
    </row>
    <row r="28193" spans="119:119" x14ac:dyDescent="0.2">
      <c r="DO28193" s="303" t="s">
        <v>232</v>
      </c>
    </row>
    <row r="28194" spans="119:119" x14ac:dyDescent="0.2">
      <c r="DO28194" s="303" t="s">
        <v>232</v>
      </c>
    </row>
    <row r="28195" spans="119:119" x14ac:dyDescent="0.2">
      <c r="DO28195" s="303" t="s">
        <v>232</v>
      </c>
    </row>
    <row r="28196" spans="119:119" x14ac:dyDescent="0.2">
      <c r="DO28196" s="303" t="s">
        <v>232</v>
      </c>
    </row>
    <row r="28197" spans="119:119" x14ac:dyDescent="0.2">
      <c r="DO28197" s="303" t="s">
        <v>232</v>
      </c>
    </row>
    <row r="28198" spans="119:119" x14ac:dyDescent="0.2">
      <c r="DO28198" s="303" t="s">
        <v>232</v>
      </c>
    </row>
    <row r="28199" spans="119:119" x14ac:dyDescent="0.2">
      <c r="DO28199" s="303" t="s">
        <v>232</v>
      </c>
    </row>
    <row r="28200" spans="119:119" x14ac:dyDescent="0.2">
      <c r="DO28200" s="303" t="s">
        <v>232</v>
      </c>
    </row>
    <row r="28201" spans="119:119" x14ac:dyDescent="0.2">
      <c r="DO28201" s="303" t="s">
        <v>232</v>
      </c>
    </row>
    <row r="28202" spans="119:119" x14ac:dyDescent="0.2">
      <c r="DO28202" s="303" t="s">
        <v>232</v>
      </c>
    </row>
    <row r="28203" spans="119:119" x14ac:dyDescent="0.2">
      <c r="DO28203" s="303" t="s">
        <v>232</v>
      </c>
    </row>
    <row r="28204" spans="119:119" x14ac:dyDescent="0.2">
      <c r="DO28204" s="303" t="s">
        <v>232</v>
      </c>
    </row>
    <row r="28205" spans="119:119" x14ac:dyDescent="0.2">
      <c r="DO28205" s="303" t="s">
        <v>232</v>
      </c>
    </row>
    <row r="28206" spans="119:119" x14ac:dyDescent="0.2">
      <c r="DO28206" s="303" t="s">
        <v>232</v>
      </c>
    </row>
    <row r="28207" spans="119:119" x14ac:dyDescent="0.2">
      <c r="DO28207" s="303" t="s">
        <v>232</v>
      </c>
    </row>
    <row r="28208" spans="119:119" x14ac:dyDescent="0.2">
      <c r="DO28208" s="303" t="s">
        <v>232</v>
      </c>
    </row>
    <row r="28209" spans="119:119" x14ac:dyDescent="0.2">
      <c r="DO28209" s="303" t="s">
        <v>232</v>
      </c>
    </row>
    <row r="28210" spans="119:119" x14ac:dyDescent="0.2">
      <c r="DO28210" s="303" t="s">
        <v>232</v>
      </c>
    </row>
    <row r="28211" spans="119:119" x14ac:dyDescent="0.2">
      <c r="DO28211" s="303" t="s">
        <v>232</v>
      </c>
    </row>
    <row r="28212" spans="119:119" x14ac:dyDescent="0.2">
      <c r="DO28212" s="303" t="s">
        <v>232</v>
      </c>
    </row>
    <row r="28213" spans="119:119" x14ac:dyDescent="0.2">
      <c r="DO28213" s="303" t="s">
        <v>232</v>
      </c>
    </row>
    <row r="28214" spans="119:119" x14ac:dyDescent="0.2">
      <c r="DO28214" s="303" t="s">
        <v>232</v>
      </c>
    </row>
    <row r="28215" spans="119:119" x14ac:dyDescent="0.2">
      <c r="DO28215" s="303" t="s">
        <v>232</v>
      </c>
    </row>
    <row r="28216" spans="119:119" x14ac:dyDescent="0.2">
      <c r="DO28216" s="303" t="s">
        <v>232</v>
      </c>
    </row>
    <row r="28217" spans="119:119" x14ac:dyDescent="0.2">
      <c r="DO28217" s="303" t="s">
        <v>232</v>
      </c>
    </row>
    <row r="28218" spans="119:119" x14ac:dyDescent="0.2">
      <c r="DO28218" s="303" t="s">
        <v>232</v>
      </c>
    </row>
    <row r="28219" spans="119:119" x14ac:dyDescent="0.2">
      <c r="DO28219" s="303" t="s">
        <v>232</v>
      </c>
    </row>
    <row r="28220" spans="119:119" x14ac:dyDescent="0.2">
      <c r="DO28220" s="303" t="s">
        <v>232</v>
      </c>
    </row>
    <row r="28221" spans="119:119" x14ac:dyDescent="0.2">
      <c r="DO28221" s="303" t="s">
        <v>232</v>
      </c>
    </row>
    <row r="28222" spans="119:119" x14ac:dyDescent="0.2">
      <c r="DO28222" s="303" t="s">
        <v>232</v>
      </c>
    </row>
    <row r="28223" spans="119:119" x14ac:dyDescent="0.2">
      <c r="DO28223" s="303" t="s">
        <v>232</v>
      </c>
    </row>
    <row r="28224" spans="119:119" x14ac:dyDescent="0.2">
      <c r="DO28224" s="303" t="s">
        <v>232</v>
      </c>
    </row>
    <row r="28225" spans="119:119" x14ac:dyDescent="0.2">
      <c r="DO28225" s="303" t="s">
        <v>232</v>
      </c>
    </row>
    <row r="28226" spans="119:119" x14ac:dyDescent="0.2">
      <c r="DO28226" s="303" t="s">
        <v>232</v>
      </c>
    </row>
    <row r="28227" spans="119:119" x14ac:dyDescent="0.2">
      <c r="DO28227" s="303" t="s">
        <v>232</v>
      </c>
    </row>
    <row r="28228" spans="119:119" x14ac:dyDescent="0.2">
      <c r="DO28228" s="303" t="s">
        <v>232</v>
      </c>
    </row>
    <row r="28229" spans="119:119" x14ac:dyDescent="0.2">
      <c r="DO28229" s="303" t="s">
        <v>232</v>
      </c>
    </row>
    <row r="28230" spans="119:119" x14ac:dyDescent="0.2">
      <c r="DO28230" s="303" t="s">
        <v>232</v>
      </c>
    </row>
    <row r="28231" spans="119:119" x14ac:dyDescent="0.2">
      <c r="DO28231" s="303" t="s">
        <v>232</v>
      </c>
    </row>
    <row r="28232" spans="119:119" x14ac:dyDescent="0.2">
      <c r="DO28232" s="303" t="s">
        <v>232</v>
      </c>
    </row>
    <row r="28233" spans="119:119" x14ac:dyDescent="0.2">
      <c r="DO28233" s="303" t="s">
        <v>232</v>
      </c>
    </row>
    <row r="28234" spans="119:119" x14ac:dyDescent="0.2">
      <c r="DO28234" s="303" t="s">
        <v>232</v>
      </c>
    </row>
    <row r="28235" spans="119:119" x14ac:dyDescent="0.2">
      <c r="DO28235" s="303" t="s">
        <v>232</v>
      </c>
    </row>
    <row r="28236" spans="119:119" x14ac:dyDescent="0.2">
      <c r="DO28236" s="303" t="s">
        <v>232</v>
      </c>
    </row>
    <row r="28237" spans="119:119" x14ac:dyDescent="0.2">
      <c r="DO28237" s="303" t="s">
        <v>232</v>
      </c>
    </row>
    <row r="28238" spans="119:119" x14ac:dyDescent="0.2">
      <c r="DO28238" s="303" t="s">
        <v>232</v>
      </c>
    </row>
    <row r="28239" spans="119:119" x14ac:dyDescent="0.2">
      <c r="DO28239" s="303" t="s">
        <v>232</v>
      </c>
    </row>
    <row r="28240" spans="119:119" x14ac:dyDescent="0.2">
      <c r="DO28240" s="303" t="s">
        <v>232</v>
      </c>
    </row>
    <row r="28241" spans="119:119" x14ac:dyDescent="0.2">
      <c r="DO28241" s="303" t="s">
        <v>232</v>
      </c>
    </row>
    <row r="28242" spans="119:119" x14ac:dyDescent="0.2">
      <c r="DO28242" s="303" t="s">
        <v>232</v>
      </c>
    </row>
    <row r="28243" spans="119:119" x14ac:dyDescent="0.2">
      <c r="DO28243" s="303" t="s">
        <v>232</v>
      </c>
    </row>
    <row r="28244" spans="119:119" x14ac:dyDescent="0.2">
      <c r="DO28244" s="303" t="s">
        <v>232</v>
      </c>
    </row>
    <row r="28245" spans="119:119" x14ac:dyDescent="0.2">
      <c r="DO28245" s="303" t="s">
        <v>232</v>
      </c>
    </row>
    <row r="28246" spans="119:119" x14ac:dyDescent="0.2">
      <c r="DO28246" s="303" t="s">
        <v>232</v>
      </c>
    </row>
    <row r="28247" spans="119:119" x14ac:dyDescent="0.2">
      <c r="DO28247" s="303" t="s">
        <v>232</v>
      </c>
    </row>
    <row r="28248" spans="119:119" x14ac:dyDescent="0.2">
      <c r="DO28248" s="303" t="s">
        <v>232</v>
      </c>
    </row>
    <row r="28249" spans="119:119" x14ac:dyDescent="0.2">
      <c r="DO28249" s="303" t="s">
        <v>232</v>
      </c>
    </row>
    <row r="28250" spans="119:119" x14ac:dyDescent="0.2">
      <c r="DO28250" s="303" t="s">
        <v>232</v>
      </c>
    </row>
    <row r="28251" spans="119:119" x14ac:dyDescent="0.2">
      <c r="DO28251" s="303" t="s">
        <v>232</v>
      </c>
    </row>
    <row r="28252" spans="119:119" x14ac:dyDescent="0.2">
      <c r="DO28252" s="303" t="s">
        <v>232</v>
      </c>
    </row>
    <row r="28253" spans="119:119" x14ac:dyDescent="0.2">
      <c r="DO28253" s="303" t="s">
        <v>232</v>
      </c>
    </row>
    <row r="28254" spans="119:119" x14ac:dyDescent="0.2">
      <c r="DO28254" s="303" t="s">
        <v>232</v>
      </c>
    </row>
    <row r="28255" spans="119:119" x14ac:dyDescent="0.2">
      <c r="DO28255" s="303" t="s">
        <v>232</v>
      </c>
    </row>
    <row r="28256" spans="119:119" x14ac:dyDescent="0.2">
      <c r="DO28256" s="303" t="s">
        <v>232</v>
      </c>
    </row>
    <row r="28257" spans="119:119" x14ac:dyDescent="0.2">
      <c r="DO28257" s="303" t="s">
        <v>232</v>
      </c>
    </row>
    <row r="28258" spans="119:119" x14ac:dyDescent="0.2">
      <c r="DO28258" s="303" t="s">
        <v>232</v>
      </c>
    </row>
    <row r="28259" spans="119:119" x14ac:dyDescent="0.2">
      <c r="DO28259" s="303" t="s">
        <v>232</v>
      </c>
    </row>
    <row r="28260" spans="119:119" x14ac:dyDescent="0.2">
      <c r="DO28260" s="303" t="s">
        <v>232</v>
      </c>
    </row>
    <row r="28261" spans="119:119" x14ac:dyDescent="0.2">
      <c r="DO28261" s="303" t="s">
        <v>232</v>
      </c>
    </row>
    <row r="28262" spans="119:119" x14ac:dyDescent="0.2">
      <c r="DO28262" s="303" t="s">
        <v>232</v>
      </c>
    </row>
    <row r="28263" spans="119:119" x14ac:dyDescent="0.2">
      <c r="DO28263" s="303" t="s">
        <v>232</v>
      </c>
    </row>
    <row r="28264" spans="119:119" x14ac:dyDescent="0.2">
      <c r="DO28264" s="303" t="s">
        <v>232</v>
      </c>
    </row>
    <row r="28265" spans="119:119" x14ac:dyDescent="0.2">
      <c r="DO28265" s="303" t="s">
        <v>232</v>
      </c>
    </row>
    <row r="28266" spans="119:119" x14ac:dyDescent="0.2">
      <c r="DO28266" s="303" t="s">
        <v>232</v>
      </c>
    </row>
    <row r="28267" spans="119:119" x14ac:dyDescent="0.2">
      <c r="DO28267" s="303" t="s">
        <v>232</v>
      </c>
    </row>
    <row r="28268" spans="119:119" x14ac:dyDescent="0.2">
      <c r="DO28268" s="303" t="s">
        <v>232</v>
      </c>
    </row>
    <row r="28269" spans="119:119" x14ac:dyDescent="0.2">
      <c r="DO28269" s="303" t="s">
        <v>232</v>
      </c>
    </row>
    <row r="28270" spans="119:119" x14ac:dyDescent="0.2">
      <c r="DO28270" s="303" t="s">
        <v>232</v>
      </c>
    </row>
    <row r="28271" spans="119:119" x14ac:dyDescent="0.2">
      <c r="DO28271" s="303" t="s">
        <v>232</v>
      </c>
    </row>
    <row r="28272" spans="119:119" x14ac:dyDescent="0.2">
      <c r="DO28272" s="303" t="s">
        <v>232</v>
      </c>
    </row>
    <row r="28273" spans="119:119" x14ac:dyDescent="0.2">
      <c r="DO28273" s="303" t="s">
        <v>232</v>
      </c>
    </row>
    <row r="28274" spans="119:119" x14ac:dyDescent="0.2">
      <c r="DO28274" s="303" t="s">
        <v>232</v>
      </c>
    </row>
    <row r="28275" spans="119:119" x14ac:dyDescent="0.2">
      <c r="DO28275" s="303" t="s">
        <v>232</v>
      </c>
    </row>
    <row r="28276" spans="119:119" x14ac:dyDescent="0.2">
      <c r="DO28276" s="303" t="s">
        <v>232</v>
      </c>
    </row>
    <row r="28277" spans="119:119" x14ac:dyDescent="0.2">
      <c r="DO28277" s="303" t="s">
        <v>232</v>
      </c>
    </row>
    <row r="28278" spans="119:119" x14ac:dyDescent="0.2">
      <c r="DO28278" s="303" t="s">
        <v>232</v>
      </c>
    </row>
    <row r="28279" spans="119:119" x14ac:dyDescent="0.2">
      <c r="DO28279" s="303" t="s">
        <v>232</v>
      </c>
    </row>
    <row r="28280" spans="119:119" x14ac:dyDescent="0.2">
      <c r="DO28280" s="303" t="s">
        <v>232</v>
      </c>
    </row>
    <row r="28281" spans="119:119" x14ac:dyDescent="0.2">
      <c r="DO28281" s="303" t="s">
        <v>232</v>
      </c>
    </row>
    <row r="28282" spans="119:119" x14ac:dyDescent="0.2">
      <c r="DO28282" s="303" t="s">
        <v>232</v>
      </c>
    </row>
    <row r="28283" spans="119:119" x14ac:dyDescent="0.2">
      <c r="DO28283" s="303" t="s">
        <v>232</v>
      </c>
    </row>
    <row r="28284" spans="119:119" x14ac:dyDescent="0.2">
      <c r="DO28284" s="303" t="s">
        <v>232</v>
      </c>
    </row>
    <row r="28285" spans="119:119" x14ac:dyDescent="0.2">
      <c r="DO28285" s="303" t="s">
        <v>232</v>
      </c>
    </row>
    <row r="28286" spans="119:119" x14ac:dyDescent="0.2">
      <c r="DO28286" s="303" t="s">
        <v>232</v>
      </c>
    </row>
    <row r="28287" spans="119:119" x14ac:dyDescent="0.2">
      <c r="DO28287" s="303" t="s">
        <v>232</v>
      </c>
    </row>
    <row r="28288" spans="119:119" x14ac:dyDescent="0.2">
      <c r="DO28288" s="303" t="s">
        <v>232</v>
      </c>
    </row>
    <row r="28289" spans="119:119" x14ac:dyDescent="0.2">
      <c r="DO28289" s="303" t="s">
        <v>232</v>
      </c>
    </row>
    <row r="28290" spans="119:119" x14ac:dyDescent="0.2">
      <c r="DO28290" s="303" t="s">
        <v>232</v>
      </c>
    </row>
    <row r="28291" spans="119:119" x14ac:dyDescent="0.2">
      <c r="DO28291" s="303" t="s">
        <v>232</v>
      </c>
    </row>
    <row r="28292" spans="119:119" x14ac:dyDescent="0.2">
      <c r="DO28292" s="303" t="s">
        <v>232</v>
      </c>
    </row>
    <row r="28293" spans="119:119" x14ac:dyDescent="0.2">
      <c r="DO28293" s="303" t="s">
        <v>232</v>
      </c>
    </row>
    <row r="28294" spans="119:119" x14ac:dyDescent="0.2">
      <c r="DO28294" s="303" t="s">
        <v>232</v>
      </c>
    </row>
    <row r="28295" spans="119:119" x14ac:dyDescent="0.2">
      <c r="DO28295" s="303" t="s">
        <v>232</v>
      </c>
    </row>
    <row r="28296" spans="119:119" x14ac:dyDescent="0.2">
      <c r="DO28296" s="303" t="s">
        <v>232</v>
      </c>
    </row>
    <row r="28297" spans="119:119" x14ac:dyDescent="0.2">
      <c r="DO28297" s="303" t="s">
        <v>232</v>
      </c>
    </row>
    <row r="28298" spans="119:119" x14ac:dyDescent="0.2">
      <c r="DO28298" s="303" t="s">
        <v>232</v>
      </c>
    </row>
    <row r="28299" spans="119:119" x14ac:dyDescent="0.2">
      <c r="DO28299" s="303" t="s">
        <v>232</v>
      </c>
    </row>
    <row r="28300" spans="119:119" x14ac:dyDescent="0.2">
      <c r="DO28300" s="303" t="s">
        <v>232</v>
      </c>
    </row>
    <row r="28301" spans="119:119" x14ac:dyDescent="0.2">
      <c r="DO28301" s="303" t="s">
        <v>232</v>
      </c>
    </row>
    <row r="28302" spans="119:119" x14ac:dyDescent="0.2">
      <c r="DO28302" s="303" t="s">
        <v>232</v>
      </c>
    </row>
    <row r="28303" spans="119:119" x14ac:dyDescent="0.2">
      <c r="DO28303" s="303" t="s">
        <v>232</v>
      </c>
    </row>
    <row r="28304" spans="119:119" x14ac:dyDescent="0.2">
      <c r="DO28304" s="303" t="s">
        <v>232</v>
      </c>
    </row>
    <row r="28305" spans="119:119" x14ac:dyDescent="0.2">
      <c r="DO28305" s="303" t="s">
        <v>232</v>
      </c>
    </row>
    <row r="28306" spans="119:119" x14ac:dyDescent="0.2">
      <c r="DO28306" s="303" t="s">
        <v>232</v>
      </c>
    </row>
    <row r="28307" spans="119:119" x14ac:dyDescent="0.2">
      <c r="DO28307" s="303" t="s">
        <v>232</v>
      </c>
    </row>
    <row r="28308" spans="119:119" x14ac:dyDescent="0.2">
      <c r="DO28308" s="303" t="s">
        <v>232</v>
      </c>
    </row>
    <row r="28309" spans="119:119" x14ac:dyDescent="0.2">
      <c r="DO28309" s="303" t="s">
        <v>232</v>
      </c>
    </row>
    <row r="28310" spans="119:119" x14ac:dyDescent="0.2">
      <c r="DO28310" s="303" t="s">
        <v>232</v>
      </c>
    </row>
    <row r="28311" spans="119:119" x14ac:dyDescent="0.2">
      <c r="DO28311" s="303" t="s">
        <v>232</v>
      </c>
    </row>
    <row r="28312" spans="119:119" x14ac:dyDescent="0.2">
      <c r="DO28312" s="303" t="s">
        <v>232</v>
      </c>
    </row>
    <row r="28313" spans="119:119" x14ac:dyDescent="0.2">
      <c r="DO28313" s="303" t="s">
        <v>232</v>
      </c>
    </row>
    <row r="28314" spans="119:119" x14ac:dyDescent="0.2">
      <c r="DO28314" s="303" t="s">
        <v>232</v>
      </c>
    </row>
    <row r="28315" spans="119:119" x14ac:dyDescent="0.2">
      <c r="DO28315" s="303" t="s">
        <v>232</v>
      </c>
    </row>
    <row r="28316" spans="119:119" x14ac:dyDescent="0.2">
      <c r="DO28316" s="303" t="s">
        <v>232</v>
      </c>
    </row>
    <row r="28317" spans="119:119" x14ac:dyDescent="0.2">
      <c r="DO28317" s="303" t="s">
        <v>232</v>
      </c>
    </row>
    <row r="28318" spans="119:119" x14ac:dyDescent="0.2">
      <c r="DO28318" s="303" t="s">
        <v>232</v>
      </c>
    </row>
    <row r="28319" spans="119:119" x14ac:dyDescent="0.2">
      <c r="DO28319" s="303" t="s">
        <v>232</v>
      </c>
    </row>
    <row r="28320" spans="119:119" x14ac:dyDescent="0.2">
      <c r="DO28320" s="303" t="s">
        <v>232</v>
      </c>
    </row>
    <row r="28321" spans="119:119" x14ac:dyDescent="0.2">
      <c r="DO28321" s="303" t="s">
        <v>232</v>
      </c>
    </row>
    <row r="28322" spans="119:119" x14ac:dyDescent="0.2">
      <c r="DO28322" s="303" t="s">
        <v>232</v>
      </c>
    </row>
    <row r="28323" spans="119:119" x14ac:dyDescent="0.2">
      <c r="DO28323" s="303" t="s">
        <v>232</v>
      </c>
    </row>
    <row r="28324" spans="119:119" x14ac:dyDescent="0.2">
      <c r="DO28324" s="303" t="s">
        <v>232</v>
      </c>
    </row>
    <row r="28325" spans="119:119" x14ac:dyDescent="0.2">
      <c r="DO28325" s="303" t="s">
        <v>232</v>
      </c>
    </row>
    <row r="28326" spans="119:119" x14ac:dyDescent="0.2">
      <c r="DO28326" s="303" t="s">
        <v>232</v>
      </c>
    </row>
    <row r="28327" spans="119:119" x14ac:dyDescent="0.2">
      <c r="DO28327" s="303" t="s">
        <v>232</v>
      </c>
    </row>
    <row r="28328" spans="119:119" x14ac:dyDescent="0.2">
      <c r="DO28328" s="303" t="s">
        <v>232</v>
      </c>
    </row>
    <row r="28329" spans="119:119" x14ac:dyDescent="0.2">
      <c r="DO28329" s="303" t="s">
        <v>232</v>
      </c>
    </row>
    <row r="28330" spans="119:119" x14ac:dyDescent="0.2">
      <c r="DO28330" s="303" t="s">
        <v>232</v>
      </c>
    </row>
    <row r="28331" spans="119:119" x14ac:dyDescent="0.2">
      <c r="DO28331" s="303" t="s">
        <v>232</v>
      </c>
    </row>
    <row r="28332" spans="119:119" x14ac:dyDescent="0.2">
      <c r="DO28332" s="303" t="s">
        <v>232</v>
      </c>
    </row>
    <row r="28333" spans="119:119" x14ac:dyDescent="0.2">
      <c r="DO28333" s="303" t="s">
        <v>232</v>
      </c>
    </row>
    <row r="28334" spans="119:119" x14ac:dyDescent="0.2">
      <c r="DO28334" s="303" t="s">
        <v>232</v>
      </c>
    </row>
    <row r="28335" spans="119:119" x14ac:dyDescent="0.2">
      <c r="DO28335" s="303" t="s">
        <v>232</v>
      </c>
    </row>
    <row r="28336" spans="119:119" x14ac:dyDescent="0.2">
      <c r="DO28336" s="303" t="s">
        <v>232</v>
      </c>
    </row>
    <row r="28337" spans="119:119" x14ac:dyDescent="0.2">
      <c r="DO28337" s="303" t="s">
        <v>232</v>
      </c>
    </row>
    <row r="28338" spans="119:119" x14ac:dyDescent="0.2">
      <c r="DO28338" s="303" t="s">
        <v>232</v>
      </c>
    </row>
    <row r="28339" spans="119:119" x14ac:dyDescent="0.2">
      <c r="DO28339" s="303" t="s">
        <v>232</v>
      </c>
    </row>
    <row r="28340" spans="119:119" x14ac:dyDescent="0.2">
      <c r="DO28340" s="303" t="s">
        <v>232</v>
      </c>
    </row>
    <row r="28341" spans="119:119" x14ac:dyDescent="0.2">
      <c r="DO28341" s="303" t="s">
        <v>232</v>
      </c>
    </row>
    <row r="28342" spans="119:119" x14ac:dyDescent="0.2">
      <c r="DO28342" s="303" t="s">
        <v>232</v>
      </c>
    </row>
    <row r="28343" spans="119:119" x14ac:dyDescent="0.2">
      <c r="DO28343" s="303" t="s">
        <v>232</v>
      </c>
    </row>
    <row r="28344" spans="119:119" x14ac:dyDescent="0.2">
      <c r="DO28344" s="303" t="s">
        <v>232</v>
      </c>
    </row>
    <row r="28345" spans="119:119" x14ac:dyDescent="0.2">
      <c r="DO28345" s="303" t="s">
        <v>232</v>
      </c>
    </row>
    <row r="28346" spans="119:119" x14ac:dyDescent="0.2">
      <c r="DO28346" s="303" t="s">
        <v>232</v>
      </c>
    </row>
    <row r="28347" spans="119:119" x14ac:dyDescent="0.2">
      <c r="DO28347" s="303" t="s">
        <v>232</v>
      </c>
    </row>
    <row r="28348" spans="119:119" x14ac:dyDescent="0.2">
      <c r="DO28348" s="303" t="s">
        <v>232</v>
      </c>
    </row>
    <row r="28349" spans="119:119" x14ac:dyDescent="0.2">
      <c r="DO28349" s="303" t="s">
        <v>232</v>
      </c>
    </row>
    <row r="28350" spans="119:119" x14ac:dyDescent="0.2">
      <c r="DO28350" s="303" t="s">
        <v>232</v>
      </c>
    </row>
    <row r="28351" spans="119:119" x14ac:dyDescent="0.2">
      <c r="DO28351" s="303" t="s">
        <v>232</v>
      </c>
    </row>
    <row r="28352" spans="119:119" x14ac:dyDescent="0.2">
      <c r="DO28352" s="303" t="s">
        <v>232</v>
      </c>
    </row>
    <row r="28353" spans="119:119" x14ac:dyDescent="0.2">
      <c r="DO28353" s="303" t="s">
        <v>232</v>
      </c>
    </row>
    <row r="28354" spans="119:119" x14ac:dyDescent="0.2">
      <c r="DO28354" s="303" t="s">
        <v>232</v>
      </c>
    </row>
    <row r="28355" spans="119:119" x14ac:dyDescent="0.2">
      <c r="DO28355" s="303" t="s">
        <v>232</v>
      </c>
    </row>
    <row r="28356" spans="119:119" x14ac:dyDescent="0.2">
      <c r="DO28356" s="303" t="s">
        <v>232</v>
      </c>
    </row>
    <row r="28357" spans="119:119" x14ac:dyDescent="0.2">
      <c r="DO28357" s="303" t="s">
        <v>232</v>
      </c>
    </row>
    <row r="28358" spans="119:119" x14ac:dyDescent="0.2">
      <c r="DO28358" s="303" t="s">
        <v>232</v>
      </c>
    </row>
    <row r="28359" spans="119:119" x14ac:dyDescent="0.2">
      <c r="DO28359" s="303" t="s">
        <v>232</v>
      </c>
    </row>
    <row r="28360" spans="119:119" x14ac:dyDescent="0.2">
      <c r="DO28360" s="303" t="s">
        <v>232</v>
      </c>
    </row>
    <row r="28361" spans="119:119" x14ac:dyDescent="0.2">
      <c r="DO28361" s="303" t="s">
        <v>232</v>
      </c>
    </row>
    <row r="28362" spans="119:119" x14ac:dyDescent="0.2">
      <c r="DO28362" s="303" t="s">
        <v>232</v>
      </c>
    </row>
    <row r="28363" spans="119:119" x14ac:dyDescent="0.2">
      <c r="DO28363" s="303" t="s">
        <v>232</v>
      </c>
    </row>
    <row r="28364" spans="119:119" x14ac:dyDescent="0.2">
      <c r="DO28364" s="303" t="s">
        <v>232</v>
      </c>
    </row>
    <row r="28365" spans="119:119" x14ac:dyDescent="0.2">
      <c r="DO28365" s="303" t="s">
        <v>232</v>
      </c>
    </row>
    <row r="28366" spans="119:119" x14ac:dyDescent="0.2">
      <c r="DO28366" s="303" t="s">
        <v>232</v>
      </c>
    </row>
    <row r="28367" spans="119:119" x14ac:dyDescent="0.2">
      <c r="DO28367" s="303" t="s">
        <v>232</v>
      </c>
    </row>
    <row r="28368" spans="119:119" x14ac:dyDescent="0.2">
      <c r="DO28368" s="303" t="s">
        <v>232</v>
      </c>
    </row>
    <row r="28369" spans="119:119" x14ac:dyDescent="0.2">
      <c r="DO28369" s="303" t="s">
        <v>232</v>
      </c>
    </row>
    <row r="28370" spans="119:119" x14ac:dyDescent="0.2">
      <c r="DO28370" s="303" t="s">
        <v>232</v>
      </c>
    </row>
    <row r="28371" spans="119:119" x14ac:dyDescent="0.2">
      <c r="DO28371" s="303" t="s">
        <v>232</v>
      </c>
    </row>
    <row r="28372" spans="119:119" x14ac:dyDescent="0.2">
      <c r="DO28372" s="303" t="s">
        <v>232</v>
      </c>
    </row>
    <row r="28373" spans="119:119" x14ac:dyDescent="0.2">
      <c r="DO28373" s="303" t="s">
        <v>232</v>
      </c>
    </row>
    <row r="28374" spans="119:119" x14ac:dyDescent="0.2">
      <c r="DO28374" s="303" t="s">
        <v>232</v>
      </c>
    </row>
    <row r="28375" spans="119:119" x14ac:dyDescent="0.2">
      <c r="DO28375" s="303" t="s">
        <v>232</v>
      </c>
    </row>
    <row r="28376" spans="119:119" x14ac:dyDescent="0.2">
      <c r="DO28376" s="303" t="s">
        <v>232</v>
      </c>
    </row>
    <row r="28377" spans="119:119" x14ac:dyDescent="0.2">
      <c r="DO28377" s="303" t="s">
        <v>232</v>
      </c>
    </row>
    <row r="28378" spans="119:119" x14ac:dyDescent="0.2">
      <c r="DO28378" s="303" t="s">
        <v>232</v>
      </c>
    </row>
    <row r="28379" spans="119:119" x14ac:dyDescent="0.2">
      <c r="DO28379" s="303" t="s">
        <v>232</v>
      </c>
    </row>
    <row r="28380" spans="119:119" x14ac:dyDescent="0.2">
      <c r="DO28380" s="303" t="s">
        <v>232</v>
      </c>
    </row>
    <row r="28381" spans="119:119" x14ac:dyDescent="0.2">
      <c r="DO28381" s="303" t="s">
        <v>232</v>
      </c>
    </row>
    <row r="28382" spans="119:119" x14ac:dyDescent="0.2">
      <c r="DO28382" s="303" t="s">
        <v>232</v>
      </c>
    </row>
    <row r="28383" spans="119:119" x14ac:dyDescent="0.2">
      <c r="DO28383" s="303" t="s">
        <v>232</v>
      </c>
    </row>
    <row r="28384" spans="119:119" x14ac:dyDescent="0.2">
      <c r="DO28384" s="303" t="s">
        <v>232</v>
      </c>
    </row>
    <row r="28385" spans="119:119" x14ac:dyDescent="0.2">
      <c r="DO28385" s="303" t="s">
        <v>232</v>
      </c>
    </row>
    <row r="28386" spans="119:119" x14ac:dyDescent="0.2">
      <c r="DO28386" s="303" t="s">
        <v>232</v>
      </c>
    </row>
    <row r="28387" spans="119:119" x14ac:dyDescent="0.2">
      <c r="DO28387" s="303" t="s">
        <v>232</v>
      </c>
    </row>
    <row r="28388" spans="119:119" x14ac:dyDescent="0.2">
      <c r="DO28388" s="303" t="s">
        <v>232</v>
      </c>
    </row>
    <row r="28389" spans="119:119" x14ac:dyDescent="0.2">
      <c r="DO28389" s="303" t="s">
        <v>232</v>
      </c>
    </row>
    <row r="28390" spans="119:119" x14ac:dyDescent="0.2">
      <c r="DO28390" s="303" t="s">
        <v>232</v>
      </c>
    </row>
    <row r="28391" spans="119:119" x14ac:dyDescent="0.2">
      <c r="DO28391" s="303" t="s">
        <v>232</v>
      </c>
    </row>
    <row r="28392" spans="119:119" x14ac:dyDescent="0.2">
      <c r="DO28392" s="303" t="s">
        <v>232</v>
      </c>
    </row>
    <row r="28393" spans="119:119" x14ac:dyDescent="0.2">
      <c r="DO28393" s="303" t="s">
        <v>232</v>
      </c>
    </row>
    <row r="28394" spans="119:119" x14ac:dyDescent="0.2">
      <c r="DO28394" s="303" t="s">
        <v>232</v>
      </c>
    </row>
    <row r="28395" spans="119:119" x14ac:dyDescent="0.2">
      <c r="DO28395" s="303" t="s">
        <v>232</v>
      </c>
    </row>
    <row r="28396" spans="119:119" x14ac:dyDescent="0.2">
      <c r="DO28396" s="303" t="s">
        <v>232</v>
      </c>
    </row>
    <row r="28397" spans="119:119" x14ac:dyDescent="0.2">
      <c r="DO28397" s="303" t="s">
        <v>232</v>
      </c>
    </row>
    <row r="28398" spans="119:119" x14ac:dyDescent="0.2">
      <c r="DO28398" s="303" t="s">
        <v>232</v>
      </c>
    </row>
    <row r="28399" spans="119:119" x14ac:dyDescent="0.2">
      <c r="DO28399" s="303" t="s">
        <v>232</v>
      </c>
    </row>
    <row r="28400" spans="119:119" x14ac:dyDescent="0.2">
      <c r="DO28400" s="303" t="s">
        <v>232</v>
      </c>
    </row>
    <row r="28401" spans="119:119" x14ac:dyDescent="0.2">
      <c r="DO28401" s="303" t="s">
        <v>232</v>
      </c>
    </row>
    <row r="28402" spans="119:119" x14ac:dyDescent="0.2">
      <c r="DO28402" s="303" t="s">
        <v>232</v>
      </c>
    </row>
    <row r="28403" spans="119:119" x14ac:dyDescent="0.2">
      <c r="DO28403" s="303" t="s">
        <v>232</v>
      </c>
    </row>
    <row r="28404" spans="119:119" x14ac:dyDescent="0.2">
      <c r="DO28404" s="303" t="s">
        <v>232</v>
      </c>
    </row>
    <row r="28405" spans="119:119" x14ac:dyDescent="0.2">
      <c r="DO28405" s="303" t="s">
        <v>232</v>
      </c>
    </row>
    <row r="28406" spans="119:119" x14ac:dyDescent="0.2">
      <c r="DO28406" s="303" t="s">
        <v>232</v>
      </c>
    </row>
    <row r="28407" spans="119:119" x14ac:dyDescent="0.2">
      <c r="DO28407" s="303" t="s">
        <v>232</v>
      </c>
    </row>
    <row r="28408" spans="119:119" x14ac:dyDescent="0.2">
      <c r="DO28408" s="303" t="s">
        <v>232</v>
      </c>
    </row>
    <row r="28409" spans="119:119" x14ac:dyDescent="0.2">
      <c r="DO28409" s="303" t="s">
        <v>232</v>
      </c>
    </row>
    <row r="28410" spans="119:119" x14ac:dyDescent="0.2">
      <c r="DO28410" s="303" t="s">
        <v>232</v>
      </c>
    </row>
    <row r="28411" spans="119:119" x14ac:dyDescent="0.2">
      <c r="DO28411" s="303" t="s">
        <v>232</v>
      </c>
    </row>
    <row r="28412" spans="119:119" x14ac:dyDescent="0.2">
      <c r="DO28412" s="303" t="s">
        <v>232</v>
      </c>
    </row>
    <row r="28413" spans="119:119" x14ac:dyDescent="0.2">
      <c r="DO28413" s="303" t="s">
        <v>232</v>
      </c>
    </row>
    <row r="28414" spans="119:119" x14ac:dyDescent="0.2">
      <c r="DO28414" s="303" t="s">
        <v>232</v>
      </c>
    </row>
    <row r="28415" spans="119:119" x14ac:dyDescent="0.2">
      <c r="DO28415" s="303" t="s">
        <v>232</v>
      </c>
    </row>
    <row r="28416" spans="119:119" x14ac:dyDescent="0.2">
      <c r="DO28416" s="303" t="s">
        <v>232</v>
      </c>
    </row>
    <row r="28417" spans="119:119" x14ac:dyDescent="0.2">
      <c r="DO28417" s="303" t="s">
        <v>232</v>
      </c>
    </row>
    <row r="28418" spans="119:119" x14ac:dyDescent="0.2">
      <c r="DO28418" s="303" t="s">
        <v>232</v>
      </c>
    </row>
    <row r="28419" spans="119:119" x14ac:dyDescent="0.2">
      <c r="DO28419" s="303" t="s">
        <v>232</v>
      </c>
    </row>
    <row r="28420" spans="119:119" x14ac:dyDescent="0.2">
      <c r="DO28420" s="303" t="s">
        <v>232</v>
      </c>
    </row>
    <row r="28421" spans="119:119" x14ac:dyDescent="0.2">
      <c r="DO28421" s="303" t="s">
        <v>232</v>
      </c>
    </row>
    <row r="28422" spans="119:119" x14ac:dyDescent="0.2">
      <c r="DO28422" s="303" t="s">
        <v>232</v>
      </c>
    </row>
    <row r="28423" spans="119:119" x14ac:dyDescent="0.2">
      <c r="DO28423" s="303" t="s">
        <v>232</v>
      </c>
    </row>
    <row r="28424" spans="119:119" x14ac:dyDescent="0.2">
      <c r="DO28424" s="303" t="s">
        <v>232</v>
      </c>
    </row>
    <row r="28425" spans="119:119" x14ac:dyDescent="0.2">
      <c r="DO28425" s="303" t="s">
        <v>232</v>
      </c>
    </row>
    <row r="28426" spans="119:119" x14ac:dyDescent="0.2">
      <c r="DO28426" s="303" t="s">
        <v>232</v>
      </c>
    </row>
    <row r="28427" spans="119:119" x14ac:dyDescent="0.2">
      <c r="DO28427" s="303" t="s">
        <v>232</v>
      </c>
    </row>
    <row r="28428" spans="119:119" x14ac:dyDescent="0.2">
      <c r="DO28428" s="303" t="s">
        <v>232</v>
      </c>
    </row>
    <row r="28429" spans="119:119" x14ac:dyDescent="0.2">
      <c r="DO28429" s="303" t="s">
        <v>232</v>
      </c>
    </row>
    <row r="28430" spans="119:119" x14ac:dyDescent="0.2">
      <c r="DO28430" s="303" t="s">
        <v>232</v>
      </c>
    </row>
    <row r="28431" spans="119:119" x14ac:dyDescent="0.2">
      <c r="DO28431" s="303" t="s">
        <v>232</v>
      </c>
    </row>
    <row r="28432" spans="119:119" x14ac:dyDescent="0.2">
      <c r="DO28432" s="303" t="s">
        <v>232</v>
      </c>
    </row>
    <row r="28433" spans="119:119" x14ac:dyDescent="0.2">
      <c r="DO28433" s="303" t="s">
        <v>232</v>
      </c>
    </row>
    <row r="28434" spans="119:119" x14ac:dyDescent="0.2">
      <c r="DO28434" s="303" t="s">
        <v>232</v>
      </c>
    </row>
    <row r="28435" spans="119:119" x14ac:dyDescent="0.2">
      <c r="DO28435" s="303" t="s">
        <v>232</v>
      </c>
    </row>
    <row r="28436" spans="119:119" x14ac:dyDescent="0.2">
      <c r="DO28436" s="303" t="s">
        <v>232</v>
      </c>
    </row>
    <row r="28437" spans="119:119" x14ac:dyDescent="0.2">
      <c r="DO28437" s="303" t="s">
        <v>232</v>
      </c>
    </row>
    <row r="28438" spans="119:119" x14ac:dyDescent="0.2">
      <c r="DO28438" s="303" t="s">
        <v>232</v>
      </c>
    </row>
    <row r="28439" spans="119:119" x14ac:dyDescent="0.2">
      <c r="DO28439" s="303" t="s">
        <v>232</v>
      </c>
    </row>
    <row r="28440" spans="119:119" x14ac:dyDescent="0.2">
      <c r="DO28440" s="303" t="s">
        <v>232</v>
      </c>
    </row>
    <row r="28441" spans="119:119" x14ac:dyDescent="0.2">
      <c r="DO28441" s="303" t="s">
        <v>232</v>
      </c>
    </row>
    <row r="28442" spans="119:119" x14ac:dyDescent="0.2">
      <c r="DO28442" s="303" t="s">
        <v>232</v>
      </c>
    </row>
    <row r="28443" spans="119:119" x14ac:dyDescent="0.2">
      <c r="DO28443" s="303" t="s">
        <v>232</v>
      </c>
    </row>
    <row r="28444" spans="119:119" x14ac:dyDescent="0.2">
      <c r="DO28444" s="303" t="s">
        <v>232</v>
      </c>
    </row>
    <row r="28445" spans="119:119" x14ac:dyDescent="0.2">
      <c r="DO28445" s="303" t="s">
        <v>232</v>
      </c>
    </row>
    <row r="28446" spans="119:119" x14ac:dyDescent="0.2">
      <c r="DO28446" s="303" t="s">
        <v>232</v>
      </c>
    </row>
    <row r="28447" spans="119:119" x14ac:dyDescent="0.2">
      <c r="DO28447" s="303" t="s">
        <v>232</v>
      </c>
    </row>
    <row r="28448" spans="119:119" x14ac:dyDescent="0.2">
      <c r="DO28448" s="303" t="s">
        <v>232</v>
      </c>
    </row>
    <row r="28449" spans="119:119" x14ac:dyDescent="0.2">
      <c r="DO28449" s="303" t="s">
        <v>232</v>
      </c>
    </row>
    <row r="28450" spans="119:119" x14ac:dyDescent="0.2">
      <c r="DO28450" s="303" t="s">
        <v>232</v>
      </c>
    </row>
    <row r="28451" spans="119:119" x14ac:dyDescent="0.2">
      <c r="DO28451" s="303" t="s">
        <v>232</v>
      </c>
    </row>
    <row r="28452" spans="119:119" x14ac:dyDescent="0.2">
      <c r="DO28452" s="303" t="s">
        <v>232</v>
      </c>
    </row>
    <row r="28453" spans="119:119" x14ac:dyDescent="0.2">
      <c r="DO28453" s="303" t="s">
        <v>232</v>
      </c>
    </row>
    <row r="28454" spans="119:119" x14ac:dyDescent="0.2">
      <c r="DO28454" s="303" t="s">
        <v>232</v>
      </c>
    </row>
    <row r="28455" spans="119:119" x14ac:dyDescent="0.2">
      <c r="DO28455" s="303" t="s">
        <v>232</v>
      </c>
    </row>
    <row r="28456" spans="119:119" x14ac:dyDescent="0.2">
      <c r="DO28456" s="303" t="s">
        <v>232</v>
      </c>
    </row>
    <row r="28457" spans="119:119" x14ac:dyDescent="0.2">
      <c r="DO28457" s="303" t="s">
        <v>232</v>
      </c>
    </row>
    <row r="28458" spans="119:119" x14ac:dyDescent="0.2">
      <c r="DO28458" s="303" t="s">
        <v>232</v>
      </c>
    </row>
    <row r="28459" spans="119:119" x14ac:dyDescent="0.2">
      <c r="DO28459" s="303" t="s">
        <v>232</v>
      </c>
    </row>
    <row r="28460" spans="119:119" x14ac:dyDescent="0.2">
      <c r="DO28460" s="303" t="s">
        <v>232</v>
      </c>
    </row>
    <row r="28461" spans="119:119" x14ac:dyDescent="0.2">
      <c r="DO28461" s="303" t="s">
        <v>232</v>
      </c>
    </row>
    <row r="28462" spans="119:119" x14ac:dyDescent="0.2">
      <c r="DO28462" s="303" t="s">
        <v>232</v>
      </c>
    </row>
    <row r="28463" spans="119:119" x14ac:dyDescent="0.2">
      <c r="DO28463" s="303" t="s">
        <v>232</v>
      </c>
    </row>
    <row r="28464" spans="119:119" x14ac:dyDescent="0.2">
      <c r="DO28464" s="303" t="s">
        <v>232</v>
      </c>
    </row>
    <row r="28465" spans="119:119" x14ac:dyDescent="0.2">
      <c r="DO28465" s="303" t="s">
        <v>232</v>
      </c>
    </row>
    <row r="28466" spans="119:119" x14ac:dyDescent="0.2">
      <c r="DO28466" s="303" t="s">
        <v>232</v>
      </c>
    </row>
    <row r="28467" spans="119:119" x14ac:dyDescent="0.2">
      <c r="DO28467" s="303" t="s">
        <v>232</v>
      </c>
    </row>
    <row r="28468" spans="119:119" x14ac:dyDescent="0.2">
      <c r="DO28468" s="303" t="s">
        <v>232</v>
      </c>
    </row>
    <row r="28469" spans="119:119" x14ac:dyDescent="0.2">
      <c r="DO28469" s="303" t="s">
        <v>232</v>
      </c>
    </row>
    <row r="28470" spans="119:119" x14ac:dyDescent="0.2">
      <c r="DO28470" s="303" t="s">
        <v>232</v>
      </c>
    </row>
    <row r="28471" spans="119:119" x14ac:dyDescent="0.2">
      <c r="DO28471" s="303" t="s">
        <v>232</v>
      </c>
    </row>
    <row r="28472" spans="119:119" x14ac:dyDescent="0.2">
      <c r="DO28472" s="303" t="s">
        <v>232</v>
      </c>
    </row>
    <row r="28473" spans="119:119" x14ac:dyDescent="0.2">
      <c r="DO28473" s="303" t="s">
        <v>232</v>
      </c>
    </row>
    <row r="28474" spans="119:119" x14ac:dyDescent="0.2">
      <c r="DO28474" s="303" t="s">
        <v>232</v>
      </c>
    </row>
    <row r="28475" spans="119:119" x14ac:dyDescent="0.2">
      <c r="DO28475" s="303" t="s">
        <v>232</v>
      </c>
    </row>
    <row r="28476" spans="119:119" x14ac:dyDescent="0.2">
      <c r="DO28476" s="303" t="s">
        <v>232</v>
      </c>
    </row>
    <row r="28477" spans="119:119" x14ac:dyDescent="0.2">
      <c r="DO28477" s="303" t="s">
        <v>232</v>
      </c>
    </row>
    <row r="28478" spans="119:119" x14ac:dyDescent="0.2">
      <c r="DO28478" s="303" t="s">
        <v>232</v>
      </c>
    </row>
    <row r="28479" spans="119:119" x14ac:dyDescent="0.2">
      <c r="DO28479" s="303" t="s">
        <v>232</v>
      </c>
    </row>
    <row r="28480" spans="119:119" x14ac:dyDescent="0.2">
      <c r="DO28480" s="303" t="s">
        <v>232</v>
      </c>
    </row>
    <row r="28481" spans="119:119" x14ac:dyDescent="0.2">
      <c r="DO28481" s="303" t="s">
        <v>232</v>
      </c>
    </row>
    <row r="28482" spans="119:119" x14ac:dyDescent="0.2">
      <c r="DO28482" s="303" t="s">
        <v>232</v>
      </c>
    </row>
    <row r="28483" spans="119:119" x14ac:dyDescent="0.2">
      <c r="DO28483" s="303" t="s">
        <v>232</v>
      </c>
    </row>
    <row r="28484" spans="119:119" x14ac:dyDescent="0.2">
      <c r="DO28484" s="303" t="s">
        <v>232</v>
      </c>
    </row>
    <row r="28485" spans="119:119" x14ac:dyDescent="0.2">
      <c r="DO28485" s="303" t="s">
        <v>232</v>
      </c>
    </row>
    <row r="28486" spans="119:119" x14ac:dyDescent="0.2">
      <c r="DO28486" s="303" t="s">
        <v>232</v>
      </c>
    </row>
    <row r="28487" spans="119:119" x14ac:dyDescent="0.2">
      <c r="DO28487" s="303" t="s">
        <v>232</v>
      </c>
    </row>
    <row r="28488" spans="119:119" x14ac:dyDescent="0.2">
      <c r="DO28488" s="303" t="s">
        <v>232</v>
      </c>
    </row>
    <row r="28489" spans="119:119" x14ac:dyDescent="0.2">
      <c r="DO28489" s="303" t="s">
        <v>232</v>
      </c>
    </row>
    <row r="28490" spans="119:119" x14ac:dyDescent="0.2">
      <c r="DO28490" s="303" t="s">
        <v>232</v>
      </c>
    </row>
    <row r="28491" spans="119:119" x14ac:dyDescent="0.2">
      <c r="DO28491" s="303" t="s">
        <v>232</v>
      </c>
    </row>
    <row r="28492" spans="119:119" x14ac:dyDescent="0.2">
      <c r="DO28492" s="303" t="s">
        <v>232</v>
      </c>
    </row>
    <row r="28493" spans="119:119" x14ac:dyDescent="0.2">
      <c r="DO28493" s="303" t="s">
        <v>232</v>
      </c>
    </row>
    <row r="28494" spans="119:119" x14ac:dyDescent="0.2">
      <c r="DO28494" s="303" t="s">
        <v>232</v>
      </c>
    </row>
    <row r="28495" spans="119:119" x14ac:dyDescent="0.2">
      <c r="DO28495" s="303" t="s">
        <v>232</v>
      </c>
    </row>
    <row r="28496" spans="119:119" x14ac:dyDescent="0.2">
      <c r="DO28496" s="303" t="s">
        <v>232</v>
      </c>
    </row>
    <row r="28497" spans="119:119" x14ac:dyDescent="0.2">
      <c r="DO28497" s="303" t="s">
        <v>232</v>
      </c>
    </row>
    <row r="28498" spans="119:119" x14ac:dyDescent="0.2">
      <c r="DO28498" s="303" t="s">
        <v>232</v>
      </c>
    </row>
    <row r="28499" spans="119:119" x14ac:dyDescent="0.2">
      <c r="DO28499" s="303" t="s">
        <v>232</v>
      </c>
    </row>
    <row r="28500" spans="119:119" x14ac:dyDescent="0.2">
      <c r="DO28500" s="303" t="s">
        <v>232</v>
      </c>
    </row>
    <row r="28501" spans="119:119" x14ac:dyDescent="0.2">
      <c r="DO28501" s="303" t="s">
        <v>232</v>
      </c>
    </row>
    <row r="28502" spans="119:119" x14ac:dyDescent="0.2">
      <c r="DO28502" s="303" t="s">
        <v>232</v>
      </c>
    </row>
    <row r="28503" spans="119:119" x14ac:dyDescent="0.2">
      <c r="DO28503" s="303" t="s">
        <v>232</v>
      </c>
    </row>
    <row r="28504" spans="119:119" x14ac:dyDescent="0.2">
      <c r="DO28504" s="303" t="s">
        <v>232</v>
      </c>
    </row>
    <row r="28505" spans="119:119" x14ac:dyDescent="0.2">
      <c r="DO28505" s="303" t="s">
        <v>232</v>
      </c>
    </row>
    <row r="28506" spans="119:119" x14ac:dyDescent="0.2">
      <c r="DO28506" s="303" t="s">
        <v>232</v>
      </c>
    </row>
    <row r="28507" spans="119:119" x14ac:dyDescent="0.2">
      <c r="DO28507" s="303" t="s">
        <v>232</v>
      </c>
    </row>
    <row r="28508" spans="119:119" x14ac:dyDescent="0.2">
      <c r="DO28508" s="303" t="s">
        <v>232</v>
      </c>
    </row>
    <row r="28509" spans="119:119" x14ac:dyDescent="0.2">
      <c r="DO28509" s="303" t="s">
        <v>232</v>
      </c>
    </row>
    <row r="28510" spans="119:119" x14ac:dyDescent="0.2">
      <c r="DO28510" s="303" t="s">
        <v>232</v>
      </c>
    </row>
    <row r="28511" spans="119:119" x14ac:dyDescent="0.2">
      <c r="DO28511" s="303" t="s">
        <v>232</v>
      </c>
    </row>
    <row r="28512" spans="119:119" x14ac:dyDescent="0.2">
      <c r="DO28512" s="303" t="s">
        <v>232</v>
      </c>
    </row>
    <row r="28513" spans="119:119" x14ac:dyDescent="0.2">
      <c r="DO28513" s="303" t="s">
        <v>232</v>
      </c>
    </row>
    <row r="28514" spans="119:119" x14ac:dyDescent="0.2">
      <c r="DO28514" s="303" t="s">
        <v>232</v>
      </c>
    </row>
    <row r="28515" spans="119:119" x14ac:dyDescent="0.2">
      <c r="DO28515" s="303" t="s">
        <v>232</v>
      </c>
    </row>
    <row r="28516" spans="119:119" x14ac:dyDescent="0.2">
      <c r="DO28516" s="303" t="s">
        <v>232</v>
      </c>
    </row>
    <row r="28517" spans="119:119" x14ac:dyDescent="0.2">
      <c r="DO28517" s="303" t="s">
        <v>232</v>
      </c>
    </row>
    <row r="28518" spans="119:119" x14ac:dyDescent="0.2">
      <c r="DO28518" s="303" t="s">
        <v>232</v>
      </c>
    </row>
    <row r="28519" spans="119:119" x14ac:dyDescent="0.2">
      <c r="DO28519" s="303" t="s">
        <v>232</v>
      </c>
    </row>
    <row r="28520" spans="119:119" x14ac:dyDescent="0.2">
      <c r="DO28520" s="303" t="s">
        <v>232</v>
      </c>
    </row>
    <row r="28521" spans="119:119" x14ac:dyDescent="0.2">
      <c r="DO28521" s="303" t="s">
        <v>232</v>
      </c>
    </row>
    <row r="28522" spans="119:119" x14ac:dyDescent="0.2">
      <c r="DO28522" s="303" t="s">
        <v>232</v>
      </c>
    </row>
    <row r="28523" spans="119:119" x14ac:dyDescent="0.2">
      <c r="DO28523" s="303" t="s">
        <v>232</v>
      </c>
    </row>
    <row r="28524" spans="119:119" x14ac:dyDescent="0.2">
      <c r="DO28524" s="303" t="s">
        <v>232</v>
      </c>
    </row>
    <row r="28525" spans="119:119" x14ac:dyDescent="0.2">
      <c r="DO28525" s="303" t="s">
        <v>232</v>
      </c>
    </row>
    <row r="28526" spans="119:119" x14ac:dyDescent="0.2">
      <c r="DO28526" s="303" t="s">
        <v>232</v>
      </c>
    </row>
    <row r="28527" spans="119:119" x14ac:dyDescent="0.2">
      <c r="DO28527" s="303" t="s">
        <v>232</v>
      </c>
    </row>
    <row r="28528" spans="119:119" x14ac:dyDescent="0.2">
      <c r="DO28528" s="303" t="s">
        <v>232</v>
      </c>
    </row>
    <row r="28529" spans="119:119" x14ac:dyDescent="0.2">
      <c r="DO28529" s="303" t="s">
        <v>232</v>
      </c>
    </row>
    <row r="28530" spans="119:119" x14ac:dyDescent="0.2">
      <c r="DO28530" s="303" t="s">
        <v>232</v>
      </c>
    </row>
    <row r="28531" spans="119:119" x14ac:dyDescent="0.2">
      <c r="DO28531" s="303" t="s">
        <v>232</v>
      </c>
    </row>
    <row r="28532" spans="119:119" x14ac:dyDescent="0.2">
      <c r="DO28532" s="303" t="s">
        <v>232</v>
      </c>
    </row>
    <row r="28533" spans="119:119" x14ac:dyDescent="0.2">
      <c r="DO28533" s="303" t="s">
        <v>232</v>
      </c>
    </row>
    <row r="28534" spans="119:119" x14ac:dyDescent="0.2">
      <c r="DO28534" s="303" t="s">
        <v>232</v>
      </c>
    </row>
    <row r="28535" spans="119:119" x14ac:dyDescent="0.2">
      <c r="DO28535" s="303" t="s">
        <v>232</v>
      </c>
    </row>
    <row r="28536" spans="119:119" x14ac:dyDescent="0.2">
      <c r="DO28536" s="303" t="s">
        <v>232</v>
      </c>
    </row>
    <row r="28537" spans="119:119" x14ac:dyDescent="0.2">
      <c r="DO28537" s="303" t="s">
        <v>232</v>
      </c>
    </row>
    <row r="28538" spans="119:119" x14ac:dyDescent="0.2">
      <c r="DO28538" s="303" t="s">
        <v>232</v>
      </c>
    </row>
    <row r="28539" spans="119:119" x14ac:dyDescent="0.2">
      <c r="DO28539" s="303" t="s">
        <v>232</v>
      </c>
    </row>
    <row r="28540" spans="119:119" x14ac:dyDescent="0.2">
      <c r="DO28540" s="303" t="s">
        <v>232</v>
      </c>
    </row>
    <row r="28541" spans="119:119" x14ac:dyDescent="0.2">
      <c r="DO28541" s="303" t="s">
        <v>232</v>
      </c>
    </row>
    <row r="28542" spans="119:119" x14ac:dyDescent="0.2">
      <c r="DO28542" s="303" t="s">
        <v>232</v>
      </c>
    </row>
    <row r="28543" spans="119:119" x14ac:dyDescent="0.2">
      <c r="DO28543" s="303" t="s">
        <v>232</v>
      </c>
    </row>
    <row r="28544" spans="119:119" x14ac:dyDescent="0.2">
      <c r="DO28544" s="303" t="s">
        <v>232</v>
      </c>
    </row>
    <row r="28545" spans="119:119" x14ac:dyDescent="0.2">
      <c r="DO28545" s="303" t="s">
        <v>232</v>
      </c>
    </row>
    <row r="28546" spans="119:119" x14ac:dyDescent="0.2">
      <c r="DO28546" s="303" t="s">
        <v>232</v>
      </c>
    </row>
    <row r="28547" spans="119:119" x14ac:dyDescent="0.2">
      <c r="DO28547" s="303" t="s">
        <v>232</v>
      </c>
    </row>
    <row r="28548" spans="119:119" x14ac:dyDescent="0.2">
      <c r="DO28548" s="303" t="s">
        <v>232</v>
      </c>
    </row>
    <row r="28549" spans="119:119" x14ac:dyDescent="0.2">
      <c r="DO28549" s="303" t="s">
        <v>232</v>
      </c>
    </row>
    <row r="28550" spans="119:119" x14ac:dyDescent="0.2">
      <c r="DO28550" s="303" t="s">
        <v>232</v>
      </c>
    </row>
    <row r="28551" spans="119:119" x14ac:dyDescent="0.2">
      <c r="DO28551" s="303" t="s">
        <v>232</v>
      </c>
    </row>
    <row r="28552" spans="119:119" x14ac:dyDescent="0.2">
      <c r="DO28552" s="303" t="s">
        <v>232</v>
      </c>
    </row>
    <row r="28553" spans="119:119" x14ac:dyDescent="0.2">
      <c r="DO28553" s="303" t="s">
        <v>232</v>
      </c>
    </row>
    <row r="28554" spans="119:119" x14ac:dyDescent="0.2">
      <c r="DO28554" s="303" t="s">
        <v>232</v>
      </c>
    </row>
    <row r="28555" spans="119:119" x14ac:dyDescent="0.2">
      <c r="DO28555" s="303" t="s">
        <v>232</v>
      </c>
    </row>
    <row r="28556" spans="119:119" x14ac:dyDescent="0.2">
      <c r="DO28556" s="303" t="s">
        <v>232</v>
      </c>
    </row>
    <row r="28557" spans="119:119" x14ac:dyDescent="0.2">
      <c r="DO28557" s="303" t="s">
        <v>232</v>
      </c>
    </row>
    <row r="28558" spans="119:119" x14ac:dyDescent="0.2">
      <c r="DO28558" s="303" t="s">
        <v>232</v>
      </c>
    </row>
    <row r="28559" spans="119:119" x14ac:dyDescent="0.2">
      <c r="DO28559" s="303" t="s">
        <v>232</v>
      </c>
    </row>
    <row r="28560" spans="119:119" x14ac:dyDescent="0.2">
      <c r="DO28560" s="303" t="s">
        <v>232</v>
      </c>
    </row>
    <row r="28561" spans="119:119" x14ac:dyDescent="0.2">
      <c r="DO28561" s="303" t="s">
        <v>232</v>
      </c>
    </row>
    <row r="28562" spans="119:119" x14ac:dyDescent="0.2">
      <c r="DO28562" s="303" t="s">
        <v>232</v>
      </c>
    </row>
    <row r="28563" spans="119:119" x14ac:dyDescent="0.2">
      <c r="DO28563" s="303" t="s">
        <v>232</v>
      </c>
    </row>
    <row r="28564" spans="119:119" x14ac:dyDescent="0.2">
      <c r="DO28564" s="303" t="s">
        <v>232</v>
      </c>
    </row>
    <row r="28565" spans="119:119" x14ac:dyDescent="0.2">
      <c r="DO28565" s="303" t="s">
        <v>232</v>
      </c>
    </row>
    <row r="28566" spans="119:119" x14ac:dyDescent="0.2">
      <c r="DO28566" s="303" t="s">
        <v>232</v>
      </c>
    </row>
    <row r="28567" spans="119:119" x14ac:dyDescent="0.2">
      <c r="DO28567" s="303" t="s">
        <v>232</v>
      </c>
    </row>
    <row r="28568" spans="119:119" x14ac:dyDescent="0.2">
      <c r="DO28568" s="303" t="s">
        <v>232</v>
      </c>
    </row>
    <row r="28569" spans="119:119" x14ac:dyDescent="0.2">
      <c r="DO28569" s="303" t="s">
        <v>232</v>
      </c>
    </row>
    <row r="28570" spans="119:119" x14ac:dyDescent="0.2">
      <c r="DO28570" s="303" t="s">
        <v>232</v>
      </c>
    </row>
    <row r="28571" spans="119:119" x14ac:dyDescent="0.2">
      <c r="DO28571" s="303" t="s">
        <v>232</v>
      </c>
    </row>
    <row r="28572" spans="119:119" x14ac:dyDescent="0.2">
      <c r="DO28572" s="303" t="s">
        <v>232</v>
      </c>
    </row>
    <row r="28573" spans="119:119" x14ac:dyDescent="0.2">
      <c r="DO28573" s="303" t="s">
        <v>232</v>
      </c>
    </row>
    <row r="28574" spans="119:119" x14ac:dyDescent="0.2">
      <c r="DO28574" s="303" t="s">
        <v>232</v>
      </c>
    </row>
    <row r="28575" spans="119:119" x14ac:dyDescent="0.2">
      <c r="DO28575" s="303" t="s">
        <v>232</v>
      </c>
    </row>
    <row r="28576" spans="119:119" x14ac:dyDescent="0.2">
      <c r="DO28576" s="303" t="s">
        <v>232</v>
      </c>
    </row>
    <row r="28577" spans="119:119" x14ac:dyDescent="0.2">
      <c r="DO28577" s="303" t="s">
        <v>232</v>
      </c>
    </row>
    <row r="28578" spans="119:119" x14ac:dyDescent="0.2">
      <c r="DO28578" s="303" t="s">
        <v>232</v>
      </c>
    </row>
    <row r="28579" spans="119:119" x14ac:dyDescent="0.2">
      <c r="DO28579" s="303" t="s">
        <v>232</v>
      </c>
    </row>
    <row r="28580" spans="119:119" x14ac:dyDescent="0.2">
      <c r="DO28580" s="303" t="s">
        <v>232</v>
      </c>
    </row>
    <row r="28581" spans="119:119" x14ac:dyDescent="0.2">
      <c r="DO28581" s="303" t="s">
        <v>232</v>
      </c>
    </row>
    <row r="28582" spans="119:119" x14ac:dyDescent="0.2">
      <c r="DO28582" s="303" t="s">
        <v>232</v>
      </c>
    </row>
    <row r="28583" spans="119:119" x14ac:dyDescent="0.2">
      <c r="DO28583" s="303" t="s">
        <v>232</v>
      </c>
    </row>
    <row r="28584" spans="119:119" x14ac:dyDescent="0.2">
      <c r="DO28584" s="303" t="s">
        <v>232</v>
      </c>
    </row>
    <row r="28585" spans="119:119" x14ac:dyDescent="0.2">
      <c r="DO28585" s="303" t="s">
        <v>232</v>
      </c>
    </row>
    <row r="28586" spans="119:119" x14ac:dyDescent="0.2">
      <c r="DO28586" s="303" t="s">
        <v>232</v>
      </c>
    </row>
    <row r="28587" spans="119:119" x14ac:dyDescent="0.2">
      <c r="DO28587" s="303" t="s">
        <v>232</v>
      </c>
    </row>
    <row r="28588" spans="119:119" x14ac:dyDescent="0.2">
      <c r="DO28588" s="303" t="s">
        <v>232</v>
      </c>
    </row>
    <row r="28589" spans="119:119" x14ac:dyDescent="0.2">
      <c r="DO28589" s="303" t="s">
        <v>232</v>
      </c>
    </row>
    <row r="28590" spans="119:119" x14ac:dyDescent="0.2">
      <c r="DO28590" s="303" t="s">
        <v>232</v>
      </c>
    </row>
    <row r="28591" spans="119:119" x14ac:dyDescent="0.2">
      <c r="DO28591" s="303" t="s">
        <v>232</v>
      </c>
    </row>
    <row r="28592" spans="119:119" x14ac:dyDescent="0.2">
      <c r="DO28592" s="303" t="s">
        <v>232</v>
      </c>
    </row>
    <row r="28593" spans="119:119" x14ac:dyDescent="0.2">
      <c r="DO28593" s="303" t="s">
        <v>232</v>
      </c>
    </row>
    <row r="28594" spans="119:119" x14ac:dyDescent="0.2">
      <c r="DO28594" s="303" t="s">
        <v>232</v>
      </c>
    </row>
    <row r="28595" spans="119:119" x14ac:dyDescent="0.2">
      <c r="DO28595" s="303" t="s">
        <v>232</v>
      </c>
    </row>
    <row r="28596" spans="119:119" x14ac:dyDescent="0.2">
      <c r="DO28596" s="303" t="s">
        <v>232</v>
      </c>
    </row>
    <row r="28597" spans="119:119" x14ac:dyDescent="0.2">
      <c r="DO28597" s="303" t="s">
        <v>232</v>
      </c>
    </row>
    <row r="28598" spans="119:119" x14ac:dyDescent="0.2">
      <c r="DO28598" s="303" t="s">
        <v>232</v>
      </c>
    </row>
    <row r="28599" spans="119:119" x14ac:dyDescent="0.2">
      <c r="DO28599" s="303" t="s">
        <v>232</v>
      </c>
    </row>
    <row r="28600" spans="119:119" x14ac:dyDescent="0.2">
      <c r="DO28600" s="303" t="s">
        <v>232</v>
      </c>
    </row>
    <row r="28601" spans="119:119" x14ac:dyDescent="0.2">
      <c r="DO28601" s="303" t="s">
        <v>232</v>
      </c>
    </row>
    <row r="28602" spans="119:119" x14ac:dyDescent="0.2">
      <c r="DO28602" s="303" t="s">
        <v>232</v>
      </c>
    </row>
    <row r="28603" spans="119:119" x14ac:dyDescent="0.2">
      <c r="DO28603" s="303" t="s">
        <v>232</v>
      </c>
    </row>
    <row r="28604" spans="119:119" x14ac:dyDescent="0.2">
      <c r="DO28604" s="303" t="s">
        <v>232</v>
      </c>
    </row>
    <row r="28605" spans="119:119" x14ac:dyDescent="0.2">
      <c r="DO28605" s="303" t="s">
        <v>232</v>
      </c>
    </row>
    <row r="28606" spans="119:119" x14ac:dyDescent="0.2">
      <c r="DO28606" s="303" t="s">
        <v>232</v>
      </c>
    </row>
    <row r="28607" spans="119:119" x14ac:dyDescent="0.2">
      <c r="DO28607" s="303" t="s">
        <v>232</v>
      </c>
    </row>
    <row r="28608" spans="119:119" x14ac:dyDescent="0.2">
      <c r="DO28608" s="303" t="s">
        <v>232</v>
      </c>
    </row>
    <row r="28609" spans="119:119" x14ac:dyDescent="0.2">
      <c r="DO28609" s="303" t="s">
        <v>232</v>
      </c>
    </row>
    <row r="28610" spans="119:119" x14ac:dyDescent="0.2">
      <c r="DO28610" s="303" t="s">
        <v>232</v>
      </c>
    </row>
    <row r="28611" spans="119:119" x14ac:dyDescent="0.2">
      <c r="DO28611" s="303" t="s">
        <v>232</v>
      </c>
    </row>
    <row r="28612" spans="119:119" x14ac:dyDescent="0.2">
      <c r="DO28612" s="303" t="s">
        <v>232</v>
      </c>
    </row>
    <row r="28613" spans="119:119" x14ac:dyDescent="0.2">
      <c r="DO28613" s="303" t="s">
        <v>232</v>
      </c>
    </row>
    <row r="28614" spans="119:119" x14ac:dyDescent="0.2">
      <c r="DO28614" s="303" t="s">
        <v>232</v>
      </c>
    </row>
    <row r="28615" spans="119:119" x14ac:dyDescent="0.2">
      <c r="DO28615" s="303" t="s">
        <v>232</v>
      </c>
    </row>
    <row r="28616" spans="119:119" x14ac:dyDescent="0.2">
      <c r="DO28616" s="303" t="s">
        <v>232</v>
      </c>
    </row>
    <row r="28617" spans="119:119" x14ac:dyDescent="0.2">
      <c r="DO28617" s="303" t="s">
        <v>232</v>
      </c>
    </row>
    <row r="28618" spans="119:119" x14ac:dyDescent="0.2">
      <c r="DO28618" s="303" t="s">
        <v>232</v>
      </c>
    </row>
    <row r="28619" spans="119:119" x14ac:dyDescent="0.2">
      <c r="DO28619" s="303" t="s">
        <v>232</v>
      </c>
    </row>
    <row r="28620" spans="119:119" x14ac:dyDescent="0.2">
      <c r="DO28620" s="303" t="s">
        <v>232</v>
      </c>
    </row>
    <row r="28621" spans="119:119" x14ac:dyDescent="0.2">
      <c r="DO28621" s="303" t="s">
        <v>232</v>
      </c>
    </row>
    <row r="28622" spans="119:119" x14ac:dyDescent="0.2">
      <c r="DO28622" s="303" t="s">
        <v>232</v>
      </c>
    </row>
    <row r="28623" spans="119:119" x14ac:dyDescent="0.2">
      <c r="DO28623" s="303" t="s">
        <v>232</v>
      </c>
    </row>
    <row r="28624" spans="119:119" x14ac:dyDescent="0.2">
      <c r="DO28624" s="303" t="s">
        <v>232</v>
      </c>
    </row>
    <row r="28625" spans="119:119" x14ac:dyDescent="0.2">
      <c r="DO28625" s="303" t="s">
        <v>232</v>
      </c>
    </row>
    <row r="28626" spans="119:119" x14ac:dyDescent="0.2">
      <c r="DO28626" s="303" t="s">
        <v>232</v>
      </c>
    </row>
    <row r="28627" spans="119:119" x14ac:dyDescent="0.2">
      <c r="DO28627" s="303" t="s">
        <v>232</v>
      </c>
    </row>
    <row r="28628" spans="119:119" x14ac:dyDescent="0.2">
      <c r="DO28628" s="303" t="s">
        <v>232</v>
      </c>
    </row>
    <row r="28629" spans="119:119" x14ac:dyDescent="0.2">
      <c r="DO28629" s="303" t="s">
        <v>232</v>
      </c>
    </row>
    <row r="28630" spans="119:119" x14ac:dyDescent="0.2">
      <c r="DO28630" s="303" t="s">
        <v>232</v>
      </c>
    </row>
    <row r="28631" spans="119:119" x14ac:dyDescent="0.2">
      <c r="DO28631" s="303" t="s">
        <v>232</v>
      </c>
    </row>
    <row r="28632" spans="119:119" x14ac:dyDescent="0.2">
      <c r="DO28632" s="303" t="s">
        <v>232</v>
      </c>
    </row>
    <row r="28633" spans="119:119" x14ac:dyDescent="0.2">
      <c r="DO28633" s="303" t="s">
        <v>232</v>
      </c>
    </row>
    <row r="28634" spans="119:119" x14ac:dyDescent="0.2">
      <c r="DO28634" s="303" t="s">
        <v>232</v>
      </c>
    </row>
    <row r="28635" spans="119:119" x14ac:dyDescent="0.2">
      <c r="DO28635" s="303" t="s">
        <v>232</v>
      </c>
    </row>
    <row r="28636" spans="119:119" x14ac:dyDescent="0.2">
      <c r="DO28636" s="303" t="s">
        <v>232</v>
      </c>
    </row>
    <row r="28637" spans="119:119" x14ac:dyDescent="0.2">
      <c r="DO28637" s="303" t="s">
        <v>232</v>
      </c>
    </row>
    <row r="28638" spans="119:119" x14ac:dyDescent="0.2">
      <c r="DO28638" s="303" t="s">
        <v>232</v>
      </c>
    </row>
    <row r="28639" spans="119:119" x14ac:dyDescent="0.2">
      <c r="DO28639" s="303" t="s">
        <v>232</v>
      </c>
    </row>
    <row r="28640" spans="119:119" x14ac:dyDescent="0.2">
      <c r="DO28640" s="303" t="s">
        <v>232</v>
      </c>
    </row>
    <row r="28641" spans="119:119" x14ac:dyDescent="0.2">
      <c r="DO28641" s="303" t="s">
        <v>232</v>
      </c>
    </row>
    <row r="28642" spans="119:119" x14ac:dyDescent="0.2">
      <c r="DO28642" s="303" t="s">
        <v>232</v>
      </c>
    </row>
    <row r="28643" spans="119:119" x14ac:dyDescent="0.2">
      <c r="DO28643" s="303" t="s">
        <v>232</v>
      </c>
    </row>
    <row r="28644" spans="119:119" x14ac:dyDescent="0.2">
      <c r="DO28644" s="303" t="s">
        <v>232</v>
      </c>
    </row>
    <row r="28645" spans="119:119" x14ac:dyDescent="0.2">
      <c r="DO28645" s="303" t="s">
        <v>232</v>
      </c>
    </row>
    <row r="28646" spans="119:119" x14ac:dyDescent="0.2">
      <c r="DO28646" s="303" t="s">
        <v>232</v>
      </c>
    </row>
    <row r="28647" spans="119:119" x14ac:dyDescent="0.2">
      <c r="DO28647" s="303" t="s">
        <v>232</v>
      </c>
    </row>
    <row r="28648" spans="119:119" x14ac:dyDescent="0.2">
      <c r="DO28648" s="303" t="s">
        <v>232</v>
      </c>
    </row>
    <row r="28649" spans="119:119" x14ac:dyDescent="0.2">
      <c r="DO28649" s="303" t="s">
        <v>232</v>
      </c>
    </row>
    <row r="28650" spans="119:119" x14ac:dyDescent="0.2">
      <c r="DO28650" s="303" t="s">
        <v>232</v>
      </c>
    </row>
    <row r="28651" spans="119:119" x14ac:dyDescent="0.2">
      <c r="DO28651" s="303" t="s">
        <v>232</v>
      </c>
    </row>
    <row r="28652" spans="119:119" x14ac:dyDescent="0.2">
      <c r="DO28652" s="303" t="s">
        <v>232</v>
      </c>
    </row>
    <row r="28653" spans="119:119" x14ac:dyDescent="0.2">
      <c r="DO28653" s="303" t="s">
        <v>232</v>
      </c>
    </row>
    <row r="28654" spans="119:119" x14ac:dyDescent="0.2">
      <c r="DO28654" s="303" t="s">
        <v>232</v>
      </c>
    </row>
    <row r="28655" spans="119:119" x14ac:dyDescent="0.2">
      <c r="DO28655" s="303" t="s">
        <v>232</v>
      </c>
    </row>
    <row r="28656" spans="119:119" x14ac:dyDescent="0.2">
      <c r="DO28656" s="303" t="s">
        <v>232</v>
      </c>
    </row>
    <row r="28657" spans="119:119" x14ac:dyDescent="0.2">
      <c r="DO28657" s="303" t="s">
        <v>232</v>
      </c>
    </row>
    <row r="28658" spans="119:119" x14ac:dyDescent="0.2">
      <c r="DO28658" s="303" t="s">
        <v>232</v>
      </c>
    </row>
    <row r="28659" spans="119:119" x14ac:dyDescent="0.2">
      <c r="DO28659" s="303" t="s">
        <v>232</v>
      </c>
    </row>
    <row r="28660" spans="119:119" x14ac:dyDescent="0.2">
      <c r="DO28660" s="303" t="s">
        <v>232</v>
      </c>
    </row>
    <row r="28661" spans="119:119" x14ac:dyDescent="0.2">
      <c r="DO28661" s="303" t="s">
        <v>232</v>
      </c>
    </row>
    <row r="28662" spans="119:119" x14ac:dyDescent="0.2">
      <c r="DO28662" s="303" t="s">
        <v>232</v>
      </c>
    </row>
    <row r="28663" spans="119:119" x14ac:dyDescent="0.2">
      <c r="DO28663" s="303" t="s">
        <v>232</v>
      </c>
    </row>
    <row r="28664" spans="119:119" x14ac:dyDescent="0.2">
      <c r="DO28664" s="303" t="s">
        <v>232</v>
      </c>
    </row>
    <row r="28665" spans="119:119" x14ac:dyDescent="0.2">
      <c r="DO28665" s="303" t="s">
        <v>232</v>
      </c>
    </row>
    <row r="28666" spans="119:119" x14ac:dyDescent="0.2">
      <c r="DO28666" s="303" t="s">
        <v>232</v>
      </c>
    </row>
    <row r="28667" spans="119:119" x14ac:dyDescent="0.2">
      <c r="DO28667" s="303" t="s">
        <v>232</v>
      </c>
    </row>
    <row r="28668" spans="119:119" x14ac:dyDescent="0.2">
      <c r="DO28668" s="303" t="s">
        <v>232</v>
      </c>
    </row>
    <row r="28669" spans="119:119" x14ac:dyDescent="0.2">
      <c r="DO28669" s="303" t="s">
        <v>232</v>
      </c>
    </row>
    <row r="28670" spans="119:119" x14ac:dyDescent="0.2">
      <c r="DO28670" s="303" t="s">
        <v>232</v>
      </c>
    </row>
    <row r="28671" spans="119:119" x14ac:dyDescent="0.2">
      <c r="DO28671" s="303" t="s">
        <v>232</v>
      </c>
    </row>
    <row r="28672" spans="119:119" x14ac:dyDescent="0.2">
      <c r="DO28672" s="303" t="s">
        <v>232</v>
      </c>
    </row>
    <row r="28673" spans="119:119" x14ac:dyDescent="0.2">
      <c r="DO28673" s="303" t="s">
        <v>232</v>
      </c>
    </row>
    <row r="28674" spans="119:119" x14ac:dyDescent="0.2">
      <c r="DO28674" s="303" t="s">
        <v>232</v>
      </c>
    </row>
    <row r="28675" spans="119:119" x14ac:dyDescent="0.2">
      <c r="DO28675" s="303" t="s">
        <v>232</v>
      </c>
    </row>
    <row r="28676" spans="119:119" x14ac:dyDescent="0.2">
      <c r="DO28676" s="303" t="s">
        <v>232</v>
      </c>
    </row>
    <row r="28677" spans="119:119" x14ac:dyDescent="0.2">
      <c r="DO28677" s="303" t="s">
        <v>232</v>
      </c>
    </row>
    <row r="28678" spans="119:119" x14ac:dyDescent="0.2">
      <c r="DO28678" s="303" t="s">
        <v>232</v>
      </c>
    </row>
    <row r="28679" spans="119:119" x14ac:dyDescent="0.2">
      <c r="DO28679" s="303" t="s">
        <v>232</v>
      </c>
    </row>
    <row r="28680" spans="119:119" x14ac:dyDescent="0.2">
      <c r="DO28680" s="303" t="s">
        <v>232</v>
      </c>
    </row>
    <row r="28681" spans="119:119" x14ac:dyDescent="0.2">
      <c r="DO28681" s="303" t="s">
        <v>232</v>
      </c>
    </row>
    <row r="28682" spans="119:119" x14ac:dyDescent="0.2">
      <c r="DO28682" s="303" t="s">
        <v>232</v>
      </c>
    </row>
    <row r="28683" spans="119:119" x14ac:dyDescent="0.2">
      <c r="DO28683" s="303" t="s">
        <v>232</v>
      </c>
    </row>
    <row r="28684" spans="119:119" x14ac:dyDescent="0.2">
      <c r="DO28684" s="303" t="s">
        <v>232</v>
      </c>
    </row>
    <row r="28685" spans="119:119" x14ac:dyDescent="0.2">
      <c r="DO28685" s="303" t="s">
        <v>232</v>
      </c>
    </row>
    <row r="28686" spans="119:119" x14ac:dyDescent="0.2">
      <c r="DO28686" s="303" t="s">
        <v>232</v>
      </c>
    </row>
    <row r="28687" spans="119:119" x14ac:dyDescent="0.2">
      <c r="DO28687" s="303" t="s">
        <v>232</v>
      </c>
    </row>
    <row r="28688" spans="119:119" x14ac:dyDescent="0.2">
      <c r="DO28688" s="303" t="s">
        <v>232</v>
      </c>
    </row>
    <row r="28689" spans="119:119" x14ac:dyDescent="0.2">
      <c r="DO28689" s="303" t="s">
        <v>232</v>
      </c>
    </row>
    <row r="28690" spans="119:119" x14ac:dyDescent="0.2">
      <c r="DO28690" s="303" t="s">
        <v>232</v>
      </c>
    </row>
    <row r="28691" spans="119:119" x14ac:dyDescent="0.2">
      <c r="DO28691" s="303" t="s">
        <v>232</v>
      </c>
    </row>
    <row r="28692" spans="119:119" x14ac:dyDescent="0.2">
      <c r="DO28692" s="303" t="s">
        <v>232</v>
      </c>
    </row>
    <row r="28693" spans="119:119" x14ac:dyDescent="0.2">
      <c r="DO28693" s="303" t="s">
        <v>232</v>
      </c>
    </row>
    <row r="28694" spans="119:119" x14ac:dyDescent="0.2">
      <c r="DO28694" s="303" t="s">
        <v>232</v>
      </c>
    </row>
    <row r="28695" spans="119:119" x14ac:dyDescent="0.2">
      <c r="DO28695" s="303" t="s">
        <v>232</v>
      </c>
    </row>
    <row r="28696" spans="119:119" x14ac:dyDescent="0.2">
      <c r="DO28696" s="303" t="s">
        <v>232</v>
      </c>
    </row>
    <row r="28697" spans="119:119" x14ac:dyDescent="0.2">
      <c r="DO28697" s="303" t="s">
        <v>232</v>
      </c>
    </row>
    <row r="28698" spans="119:119" x14ac:dyDescent="0.2">
      <c r="DO28698" s="303" t="s">
        <v>232</v>
      </c>
    </row>
    <row r="28699" spans="119:119" x14ac:dyDescent="0.2">
      <c r="DO28699" s="303" t="s">
        <v>232</v>
      </c>
    </row>
    <row r="28700" spans="119:119" x14ac:dyDescent="0.2">
      <c r="DO28700" s="303" t="s">
        <v>232</v>
      </c>
    </row>
    <row r="28701" spans="119:119" x14ac:dyDescent="0.2">
      <c r="DO28701" s="303" t="s">
        <v>232</v>
      </c>
    </row>
    <row r="28702" spans="119:119" x14ac:dyDescent="0.2">
      <c r="DO28702" s="303" t="s">
        <v>232</v>
      </c>
    </row>
    <row r="28703" spans="119:119" x14ac:dyDescent="0.2">
      <c r="DO28703" s="303" t="s">
        <v>232</v>
      </c>
    </row>
    <row r="28704" spans="119:119" x14ac:dyDescent="0.2">
      <c r="DO28704" s="303" t="s">
        <v>232</v>
      </c>
    </row>
    <row r="28705" spans="119:119" x14ac:dyDescent="0.2">
      <c r="DO28705" s="303" t="s">
        <v>232</v>
      </c>
    </row>
    <row r="28706" spans="119:119" x14ac:dyDescent="0.2">
      <c r="DO28706" s="303" t="s">
        <v>232</v>
      </c>
    </row>
    <row r="28707" spans="119:119" x14ac:dyDescent="0.2">
      <c r="DO28707" s="303" t="s">
        <v>232</v>
      </c>
    </row>
    <row r="28708" spans="119:119" x14ac:dyDescent="0.2">
      <c r="DO28708" s="303" t="s">
        <v>232</v>
      </c>
    </row>
    <row r="28709" spans="119:119" x14ac:dyDescent="0.2">
      <c r="DO28709" s="303" t="s">
        <v>232</v>
      </c>
    </row>
    <row r="28710" spans="119:119" x14ac:dyDescent="0.2">
      <c r="DO28710" s="303" t="s">
        <v>232</v>
      </c>
    </row>
    <row r="28711" spans="119:119" x14ac:dyDescent="0.2">
      <c r="DO28711" s="303" t="s">
        <v>232</v>
      </c>
    </row>
    <row r="28712" spans="119:119" x14ac:dyDescent="0.2">
      <c r="DO28712" s="303" t="s">
        <v>232</v>
      </c>
    </row>
    <row r="28713" spans="119:119" x14ac:dyDescent="0.2">
      <c r="DO28713" s="303" t="s">
        <v>232</v>
      </c>
    </row>
    <row r="28714" spans="119:119" x14ac:dyDescent="0.2">
      <c r="DO28714" s="303" t="s">
        <v>232</v>
      </c>
    </row>
    <row r="28715" spans="119:119" x14ac:dyDescent="0.2">
      <c r="DO28715" s="303" t="s">
        <v>232</v>
      </c>
    </row>
    <row r="28716" spans="119:119" x14ac:dyDescent="0.2">
      <c r="DO28716" s="303" t="s">
        <v>232</v>
      </c>
    </row>
    <row r="28717" spans="119:119" x14ac:dyDescent="0.2">
      <c r="DO28717" s="303" t="s">
        <v>232</v>
      </c>
    </row>
    <row r="28718" spans="119:119" x14ac:dyDescent="0.2">
      <c r="DO28718" s="303" t="s">
        <v>232</v>
      </c>
    </row>
    <row r="28719" spans="119:119" x14ac:dyDescent="0.2">
      <c r="DO28719" s="303" t="s">
        <v>232</v>
      </c>
    </row>
    <row r="28720" spans="119:119" x14ac:dyDescent="0.2">
      <c r="DO28720" s="303" t="s">
        <v>232</v>
      </c>
    </row>
    <row r="28721" spans="119:119" x14ac:dyDescent="0.2">
      <c r="DO28721" s="303" t="s">
        <v>232</v>
      </c>
    </row>
    <row r="28722" spans="119:119" x14ac:dyDescent="0.2">
      <c r="DO28722" s="303" t="s">
        <v>232</v>
      </c>
    </row>
    <row r="28723" spans="119:119" x14ac:dyDescent="0.2">
      <c r="DO28723" s="303" t="s">
        <v>232</v>
      </c>
    </row>
    <row r="28724" spans="119:119" x14ac:dyDescent="0.2">
      <c r="DO28724" s="303" t="s">
        <v>232</v>
      </c>
    </row>
    <row r="28725" spans="119:119" x14ac:dyDescent="0.2">
      <c r="DO28725" s="303" t="s">
        <v>232</v>
      </c>
    </row>
    <row r="28726" spans="119:119" x14ac:dyDescent="0.2">
      <c r="DO28726" s="303" t="s">
        <v>232</v>
      </c>
    </row>
    <row r="28727" spans="119:119" x14ac:dyDescent="0.2">
      <c r="DO28727" s="303" t="s">
        <v>232</v>
      </c>
    </row>
    <row r="28728" spans="119:119" x14ac:dyDescent="0.2">
      <c r="DO28728" s="303" t="s">
        <v>232</v>
      </c>
    </row>
    <row r="28729" spans="119:119" x14ac:dyDescent="0.2">
      <c r="DO28729" s="303" t="s">
        <v>232</v>
      </c>
    </row>
    <row r="28730" spans="119:119" x14ac:dyDescent="0.2">
      <c r="DO28730" s="303" t="s">
        <v>232</v>
      </c>
    </row>
    <row r="28731" spans="119:119" x14ac:dyDescent="0.2">
      <c r="DO28731" s="303" t="s">
        <v>232</v>
      </c>
    </row>
    <row r="28732" spans="119:119" x14ac:dyDescent="0.2">
      <c r="DO28732" s="303" t="s">
        <v>232</v>
      </c>
    </row>
    <row r="28733" spans="119:119" x14ac:dyDescent="0.2">
      <c r="DO28733" s="303" t="s">
        <v>232</v>
      </c>
    </row>
    <row r="28734" spans="119:119" x14ac:dyDescent="0.2">
      <c r="DO28734" s="303" t="s">
        <v>232</v>
      </c>
    </row>
    <row r="28735" spans="119:119" x14ac:dyDescent="0.2">
      <c r="DO28735" s="303" t="s">
        <v>232</v>
      </c>
    </row>
    <row r="28736" spans="119:119" x14ac:dyDescent="0.2">
      <c r="DO28736" s="303" t="s">
        <v>232</v>
      </c>
    </row>
    <row r="28737" spans="119:119" x14ac:dyDescent="0.2">
      <c r="DO28737" s="303" t="s">
        <v>232</v>
      </c>
    </row>
    <row r="28738" spans="119:119" x14ac:dyDescent="0.2">
      <c r="DO28738" s="303" t="s">
        <v>232</v>
      </c>
    </row>
    <row r="28739" spans="119:119" x14ac:dyDescent="0.2">
      <c r="DO28739" s="303" t="s">
        <v>232</v>
      </c>
    </row>
    <row r="28740" spans="119:119" x14ac:dyDescent="0.2">
      <c r="DO28740" s="303" t="s">
        <v>232</v>
      </c>
    </row>
    <row r="28741" spans="119:119" x14ac:dyDescent="0.2">
      <c r="DO28741" s="303" t="s">
        <v>232</v>
      </c>
    </row>
    <row r="28742" spans="119:119" x14ac:dyDescent="0.2">
      <c r="DO28742" s="303" t="s">
        <v>232</v>
      </c>
    </row>
    <row r="28743" spans="119:119" x14ac:dyDescent="0.2">
      <c r="DO28743" s="303" t="s">
        <v>232</v>
      </c>
    </row>
    <row r="28744" spans="119:119" x14ac:dyDescent="0.2">
      <c r="DO28744" s="303" t="s">
        <v>232</v>
      </c>
    </row>
    <row r="28745" spans="119:119" x14ac:dyDescent="0.2">
      <c r="DO28745" s="303" t="s">
        <v>232</v>
      </c>
    </row>
    <row r="28746" spans="119:119" x14ac:dyDescent="0.2">
      <c r="DO28746" s="303" t="s">
        <v>232</v>
      </c>
    </row>
    <row r="28747" spans="119:119" x14ac:dyDescent="0.2">
      <c r="DO28747" s="303" t="s">
        <v>232</v>
      </c>
    </row>
    <row r="28748" spans="119:119" x14ac:dyDescent="0.2">
      <c r="DO28748" s="303" t="s">
        <v>232</v>
      </c>
    </row>
    <row r="28749" spans="119:119" x14ac:dyDescent="0.2">
      <c r="DO28749" s="303" t="s">
        <v>232</v>
      </c>
    </row>
    <row r="28750" spans="119:119" x14ac:dyDescent="0.2">
      <c r="DO28750" s="303" t="s">
        <v>232</v>
      </c>
    </row>
    <row r="28751" spans="119:119" x14ac:dyDescent="0.2">
      <c r="DO28751" s="303" t="s">
        <v>232</v>
      </c>
    </row>
    <row r="28752" spans="119:119" x14ac:dyDescent="0.2">
      <c r="DO28752" s="303" t="s">
        <v>232</v>
      </c>
    </row>
    <row r="28753" spans="119:119" x14ac:dyDescent="0.2">
      <c r="DO28753" s="303" t="s">
        <v>232</v>
      </c>
    </row>
    <row r="28754" spans="119:119" x14ac:dyDescent="0.2">
      <c r="DO28754" s="303" t="s">
        <v>232</v>
      </c>
    </row>
    <row r="28755" spans="119:119" x14ac:dyDescent="0.2">
      <c r="DO28755" s="303" t="s">
        <v>232</v>
      </c>
    </row>
    <row r="28756" spans="119:119" x14ac:dyDescent="0.2">
      <c r="DO28756" s="303" t="s">
        <v>232</v>
      </c>
    </row>
    <row r="28757" spans="119:119" x14ac:dyDescent="0.2">
      <c r="DO28757" s="303" t="s">
        <v>232</v>
      </c>
    </row>
    <row r="28758" spans="119:119" x14ac:dyDescent="0.2">
      <c r="DO28758" s="303" t="s">
        <v>232</v>
      </c>
    </row>
    <row r="28759" spans="119:119" x14ac:dyDescent="0.2">
      <c r="DO28759" s="303" t="s">
        <v>232</v>
      </c>
    </row>
    <row r="28760" spans="119:119" x14ac:dyDescent="0.2">
      <c r="DO28760" s="303" t="s">
        <v>232</v>
      </c>
    </row>
    <row r="28761" spans="119:119" x14ac:dyDescent="0.2">
      <c r="DO28761" s="303" t="s">
        <v>232</v>
      </c>
    </row>
    <row r="28762" spans="119:119" x14ac:dyDescent="0.2">
      <c r="DO28762" s="303" t="s">
        <v>232</v>
      </c>
    </row>
    <row r="28763" spans="119:119" x14ac:dyDescent="0.2">
      <c r="DO28763" s="303" t="s">
        <v>232</v>
      </c>
    </row>
    <row r="28764" spans="119:119" x14ac:dyDescent="0.2">
      <c r="DO28764" s="303" t="s">
        <v>232</v>
      </c>
    </row>
    <row r="28765" spans="119:119" x14ac:dyDescent="0.2">
      <c r="DO28765" s="303" t="s">
        <v>232</v>
      </c>
    </row>
    <row r="28766" spans="119:119" x14ac:dyDescent="0.2">
      <c r="DO28766" s="303" t="s">
        <v>232</v>
      </c>
    </row>
    <row r="28767" spans="119:119" x14ac:dyDescent="0.2">
      <c r="DO28767" s="303" t="s">
        <v>232</v>
      </c>
    </row>
    <row r="28768" spans="119:119" x14ac:dyDescent="0.2">
      <c r="DO28768" s="303" t="s">
        <v>232</v>
      </c>
    </row>
    <row r="28769" spans="119:119" x14ac:dyDescent="0.2">
      <c r="DO28769" s="303" t="s">
        <v>232</v>
      </c>
    </row>
    <row r="28770" spans="119:119" x14ac:dyDescent="0.2">
      <c r="DO28770" s="303" t="s">
        <v>232</v>
      </c>
    </row>
    <row r="28771" spans="119:119" x14ac:dyDescent="0.2">
      <c r="DO28771" s="303" t="s">
        <v>232</v>
      </c>
    </row>
    <row r="28772" spans="119:119" x14ac:dyDescent="0.2">
      <c r="DO28772" s="303" t="s">
        <v>232</v>
      </c>
    </row>
    <row r="28773" spans="119:119" x14ac:dyDescent="0.2">
      <c r="DO28773" s="303" t="s">
        <v>232</v>
      </c>
    </row>
    <row r="28774" spans="119:119" x14ac:dyDescent="0.2">
      <c r="DO28774" s="303" t="s">
        <v>232</v>
      </c>
    </row>
    <row r="28775" spans="119:119" x14ac:dyDescent="0.2">
      <c r="DO28775" s="303" t="s">
        <v>232</v>
      </c>
    </row>
    <row r="28776" spans="119:119" x14ac:dyDescent="0.2">
      <c r="DO28776" s="303" t="s">
        <v>232</v>
      </c>
    </row>
    <row r="28777" spans="119:119" x14ac:dyDescent="0.2">
      <c r="DO28777" s="303" t="s">
        <v>232</v>
      </c>
    </row>
    <row r="28778" spans="119:119" x14ac:dyDescent="0.2">
      <c r="DO28778" s="303" t="s">
        <v>232</v>
      </c>
    </row>
    <row r="28779" spans="119:119" x14ac:dyDescent="0.2">
      <c r="DO28779" s="303" t="s">
        <v>232</v>
      </c>
    </row>
    <row r="28780" spans="119:119" x14ac:dyDescent="0.2">
      <c r="DO28780" s="303" t="s">
        <v>232</v>
      </c>
    </row>
    <row r="28781" spans="119:119" x14ac:dyDescent="0.2">
      <c r="DO28781" s="303" t="s">
        <v>232</v>
      </c>
    </row>
    <row r="28782" spans="119:119" x14ac:dyDescent="0.2">
      <c r="DO28782" s="303" t="s">
        <v>232</v>
      </c>
    </row>
    <row r="28783" spans="119:119" x14ac:dyDescent="0.2">
      <c r="DO28783" s="303" t="s">
        <v>232</v>
      </c>
    </row>
    <row r="28784" spans="119:119" x14ac:dyDescent="0.2">
      <c r="DO28784" s="303" t="s">
        <v>232</v>
      </c>
    </row>
    <row r="28785" spans="119:119" x14ac:dyDescent="0.2">
      <c r="DO28785" s="303" t="s">
        <v>232</v>
      </c>
    </row>
    <row r="28786" spans="119:119" x14ac:dyDescent="0.2">
      <c r="DO28786" s="303" t="s">
        <v>232</v>
      </c>
    </row>
    <row r="28787" spans="119:119" x14ac:dyDescent="0.2">
      <c r="DO28787" s="303" t="s">
        <v>232</v>
      </c>
    </row>
    <row r="28788" spans="119:119" x14ac:dyDescent="0.2">
      <c r="DO28788" s="303" t="s">
        <v>232</v>
      </c>
    </row>
    <row r="28789" spans="119:119" x14ac:dyDescent="0.2">
      <c r="DO28789" s="303" t="s">
        <v>232</v>
      </c>
    </row>
    <row r="28790" spans="119:119" x14ac:dyDescent="0.2">
      <c r="DO28790" s="303" t="s">
        <v>232</v>
      </c>
    </row>
    <row r="28791" spans="119:119" x14ac:dyDescent="0.2">
      <c r="DO28791" s="303" t="s">
        <v>232</v>
      </c>
    </row>
    <row r="28792" spans="119:119" x14ac:dyDescent="0.2">
      <c r="DO28792" s="303" t="s">
        <v>232</v>
      </c>
    </row>
    <row r="28793" spans="119:119" x14ac:dyDescent="0.2">
      <c r="DO28793" s="303" t="s">
        <v>232</v>
      </c>
    </row>
    <row r="28794" spans="119:119" x14ac:dyDescent="0.2">
      <c r="DO28794" s="303" t="s">
        <v>232</v>
      </c>
    </row>
    <row r="28795" spans="119:119" x14ac:dyDescent="0.2">
      <c r="DO28795" s="303" t="s">
        <v>232</v>
      </c>
    </row>
    <row r="28796" spans="119:119" x14ac:dyDescent="0.2">
      <c r="DO28796" s="303" t="s">
        <v>232</v>
      </c>
    </row>
    <row r="28797" spans="119:119" x14ac:dyDescent="0.2">
      <c r="DO28797" s="303" t="s">
        <v>232</v>
      </c>
    </row>
    <row r="28798" spans="119:119" x14ac:dyDescent="0.2">
      <c r="DO28798" s="303" t="s">
        <v>232</v>
      </c>
    </row>
    <row r="28799" spans="119:119" x14ac:dyDescent="0.2">
      <c r="DO28799" s="303" t="s">
        <v>232</v>
      </c>
    </row>
    <row r="28800" spans="119:119" x14ac:dyDescent="0.2">
      <c r="DO28800" s="303" t="s">
        <v>232</v>
      </c>
    </row>
    <row r="28801" spans="119:119" x14ac:dyDescent="0.2">
      <c r="DO28801" s="303" t="s">
        <v>232</v>
      </c>
    </row>
    <row r="28802" spans="119:119" x14ac:dyDescent="0.2">
      <c r="DO28802" s="303" t="s">
        <v>232</v>
      </c>
    </row>
    <row r="28803" spans="119:119" x14ac:dyDescent="0.2">
      <c r="DO28803" s="303" t="s">
        <v>232</v>
      </c>
    </row>
    <row r="28804" spans="119:119" x14ac:dyDescent="0.2">
      <c r="DO28804" s="303" t="s">
        <v>232</v>
      </c>
    </row>
    <row r="28805" spans="119:119" x14ac:dyDescent="0.2">
      <c r="DO28805" s="303" t="s">
        <v>232</v>
      </c>
    </row>
    <row r="28806" spans="119:119" x14ac:dyDescent="0.2">
      <c r="DO28806" s="303" t="s">
        <v>232</v>
      </c>
    </row>
    <row r="28807" spans="119:119" x14ac:dyDescent="0.2">
      <c r="DO28807" s="303" t="s">
        <v>232</v>
      </c>
    </row>
    <row r="28808" spans="119:119" x14ac:dyDescent="0.2">
      <c r="DO28808" s="303" t="s">
        <v>232</v>
      </c>
    </row>
    <row r="28809" spans="119:119" x14ac:dyDescent="0.2">
      <c r="DO28809" s="303" t="s">
        <v>232</v>
      </c>
    </row>
    <row r="28810" spans="119:119" x14ac:dyDescent="0.2">
      <c r="DO28810" s="303" t="s">
        <v>232</v>
      </c>
    </row>
    <row r="28811" spans="119:119" x14ac:dyDescent="0.2">
      <c r="DO28811" s="303" t="s">
        <v>232</v>
      </c>
    </row>
    <row r="28812" spans="119:119" x14ac:dyDescent="0.2">
      <c r="DO28812" s="303" t="s">
        <v>232</v>
      </c>
    </row>
    <row r="28813" spans="119:119" x14ac:dyDescent="0.2">
      <c r="DO28813" s="303" t="s">
        <v>232</v>
      </c>
    </row>
    <row r="28814" spans="119:119" x14ac:dyDescent="0.2">
      <c r="DO28814" s="303" t="s">
        <v>232</v>
      </c>
    </row>
    <row r="28815" spans="119:119" x14ac:dyDescent="0.2">
      <c r="DO28815" s="303" t="s">
        <v>232</v>
      </c>
    </row>
    <row r="28816" spans="119:119" x14ac:dyDescent="0.2">
      <c r="DO28816" s="303" t="s">
        <v>232</v>
      </c>
    </row>
    <row r="28817" spans="119:119" x14ac:dyDescent="0.2">
      <c r="DO28817" s="303" t="s">
        <v>232</v>
      </c>
    </row>
    <row r="28818" spans="119:119" x14ac:dyDescent="0.2">
      <c r="DO28818" s="303" t="s">
        <v>232</v>
      </c>
    </row>
    <row r="28819" spans="119:119" x14ac:dyDescent="0.2">
      <c r="DO28819" s="303" t="s">
        <v>232</v>
      </c>
    </row>
    <row r="28820" spans="119:119" x14ac:dyDescent="0.2">
      <c r="DO28820" s="303" t="s">
        <v>232</v>
      </c>
    </row>
    <row r="28821" spans="119:119" x14ac:dyDescent="0.2">
      <c r="DO28821" s="303" t="s">
        <v>232</v>
      </c>
    </row>
    <row r="28822" spans="119:119" x14ac:dyDescent="0.2">
      <c r="DO28822" s="303" t="s">
        <v>232</v>
      </c>
    </row>
    <row r="28823" spans="119:119" x14ac:dyDescent="0.2">
      <c r="DO28823" s="303" t="s">
        <v>232</v>
      </c>
    </row>
    <row r="28824" spans="119:119" x14ac:dyDescent="0.2">
      <c r="DO28824" s="303" t="s">
        <v>232</v>
      </c>
    </row>
    <row r="28825" spans="119:119" x14ac:dyDescent="0.2">
      <c r="DO28825" s="303" t="s">
        <v>232</v>
      </c>
    </row>
    <row r="28826" spans="119:119" x14ac:dyDescent="0.2">
      <c r="DO28826" s="303" t="s">
        <v>232</v>
      </c>
    </row>
    <row r="28827" spans="119:119" x14ac:dyDescent="0.2">
      <c r="DO28827" s="303" t="s">
        <v>232</v>
      </c>
    </row>
    <row r="28828" spans="119:119" x14ac:dyDescent="0.2">
      <c r="DO28828" s="303" t="s">
        <v>232</v>
      </c>
    </row>
    <row r="28829" spans="119:119" x14ac:dyDescent="0.2">
      <c r="DO28829" s="303" t="s">
        <v>232</v>
      </c>
    </row>
    <row r="28830" spans="119:119" x14ac:dyDescent="0.2">
      <c r="DO28830" s="303" t="s">
        <v>232</v>
      </c>
    </row>
    <row r="28831" spans="119:119" x14ac:dyDescent="0.2">
      <c r="DO28831" s="303" t="s">
        <v>232</v>
      </c>
    </row>
    <row r="28832" spans="119:119" x14ac:dyDescent="0.2">
      <c r="DO28832" s="303" t="s">
        <v>232</v>
      </c>
    </row>
    <row r="28833" spans="119:119" x14ac:dyDescent="0.2">
      <c r="DO28833" s="303" t="s">
        <v>232</v>
      </c>
    </row>
    <row r="28834" spans="119:119" x14ac:dyDescent="0.2">
      <c r="DO28834" s="303" t="s">
        <v>232</v>
      </c>
    </row>
    <row r="28835" spans="119:119" x14ac:dyDescent="0.2">
      <c r="DO28835" s="303" t="s">
        <v>232</v>
      </c>
    </row>
    <row r="28836" spans="119:119" x14ac:dyDescent="0.2">
      <c r="DO28836" s="303" t="s">
        <v>232</v>
      </c>
    </row>
    <row r="28837" spans="119:119" x14ac:dyDescent="0.2">
      <c r="DO28837" s="303" t="s">
        <v>232</v>
      </c>
    </row>
    <row r="28838" spans="119:119" x14ac:dyDescent="0.2">
      <c r="DO28838" s="303" t="s">
        <v>232</v>
      </c>
    </row>
    <row r="28839" spans="119:119" x14ac:dyDescent="0.2">
      <c r="DO28839" s="303" t="s">
        <v>232</v>
      </c>
    </row>
    <row r="28840" spans="119:119" x14ac:dyDescent="0.2">
      <c r="DO28840" s="303" t="s">
        <v>232</v>
      </c>
    </row>
    <row r="28841" spans="119:119" x14ac:dyDescent="0.2">
      <c r="DO28841" s="303" t="s">
        <v>232</v>
      </c>
    </row>
    <row r="28842" spans="119:119" x14ac:dyDescent="0.2">
      <c r="DO28842" s="303" t="s">
        <v>232</v>
      </c>
    </row>
    <row r="28843" spans="119:119" x14ac:dyDescent="0.2">
      <c r="DO28843" s="303" t="s">
        <v>232</v>
      </c>
    </row>
    <row r="28844" spans="119:119" x14ac:dyDescent="0.2">
      <c r="DO28844" s="303" t="s">
        <v>232</v>
      </c>
    </row>
    <row r="28845" spans="119:119" x14ac:dyDescent="0.2">
      <c r="DO28845" s="303" t="s">
        <v>232</v>
      </c>
    </row>
    <row r="28846" spans="119:119" x14ac:dyDescent="0.2">
      <c r="DO28846" s="303" t="s">
        <v>232</v>
      </c>
    </row>
    <row r="28847" spans="119:119" x14ac:dyDescent="0.2">
      <c r="DO28847" s="303" t="s">
        <v>232</v>
      </c>
    </row>
    <row r="28848" spans="119:119" x14ac:dyDescent="0.2">
      <c r="DO28848" s="303" t="s">
        <v>232</v>
      </c>
    </row>
    <row r="28849" spans="119:119" x14ac:dyDescent="0.2">
      <c r="DO28849" s="303" t="s">
        <v>232</v>
      </c>
    </row>
    <row r="28850" spans="119:119" x14ac:dyDescent="0.2">
      <c r="DO28850" s="303" t="s">
        <v>232</v>
      </c>
    </row>
    <row r="28851" spans="119:119" x14ac:dyDescent="0.2">
      <c r="DO28851" s="303" t="s">
        <v>232</v>
      </c>
    </row>
    <row r="28852" spans="119:119" x14ac:dyDescent="0.2">
      <c r="DO28852" s="303" t="s">
        <v>232</v>
      </c>
    </row>
    <row r="28853" spans="119:119" x14ac:dyDescent="0.2">
      <c r="DO28853" s="303" t="s">
        <v>232</v>
      </c>
    </row>
    <row r="28854" spans="119:119" x14ac:dyDescent="0.2">
      <c r="DO28854" s="303" t="s">
        <v>232</v>
      </c>
    </row>
    <row r="28855" spans="119:119" x14ac:dyDescent="0.2">
      <c r="DO28855" s="303" t="s">
        <v>232</v>
      </c>
    </row>
    <row r="28856" spans="119:119" x14ac:dyDescent="0.2">
      <c r="DO28856" s="303" t="s">
        <v>232</v>
      </c>
    </row>
    <row r="28857" spans="119:119" x14ac:dyDescent="0.2">
      <c r="DO28857" s="303" t="s">
        <v>232</v>
      </c>
    </row>
    <row r="28858" spans="119:119" x14ac:dyDescent="0.2">
      <c r="DO28858" s="303" t="s">
        <v>232</v>
      </c>
    </row>
    <row r="28859" spans="119:119" x14ac:dyDescent="0.2">
      <c r="DO28859" s="303" t="s">
        <v>232</v>
      </c>
    </row>
    <row r="28860" spans="119:119" x14ac:dyDescent="0.2">
      <c r="DO28860" s="303" t="s">
        <v>232</v>
      </c>
    </row>
    <row r="28861" spans="119:119" x14ac:dyDescent="0.2">
      <c r="DO28861" s="303" t="s">
        <v>232</v>
      </c>
    </row>
    <row r="28862" spans="119:119" x14ac:dyDescent="0.2">
      <c r="DO28862" s="303" t="s">
        <v>232</v>
      </c>
    </row>
    <row r="28863" spans="119:119" x14ac:dyDescent="0.2">
      <c r="DO28863" s="303" t="s">
        <v>232</v>
      </c>
    </row>
    <row r="28864" spans="119:119" x14ac:dyDescent="0.2">
      <c r="DO28864" s="303" t="s">
        <v>232</v>
      </c>
    </row>
    <row r="28865" spans="119:119" x14ac:dyDescent="0.2">
      <c r="DO28865" s="303" t="s">
        <v>232</v>
      </c>
    </row>
    <row r="28866" spans="119:119" x14ac:dyDescent="0.2">
      <c r="DO28866" s="303" t="s">
        <v>232</v>
      </c>
    </row>
    <row r="28867" spans="119:119" x14ac:dyDescent="0.2">
      <c r="DO28867" s="303" t="s">
        <v>232</v>
      </c>
    </row>
    <row r="28868" spans="119:119" x14ac:dyDescent="0.2">
      <c r="DO28868" s="303" t="s">
        <v>232</v>
      </c>
    </row>
    <row r="28869" spans="119:119" x14ac:dyDescent="0.2">
      <c r="DO28869" s="303" t="s">
        <v>232</v>
      </c>
    </row>
    <row r="28870" spans="119:119" x14ac:dyDescent="0.2">
      <c r="DO28870" s="303" t="s">
        <v>232</v>
      </c>
    </row>
    <row r="28871" spans="119:119" x14ac:dyDescent="0.2">
      <c r="DO28871" s="303" t="s">
        <v>232</v>
      </c>
    </row>
    <row r="28872" spans="119:119" x14ac:dyDescent="0.2">
      <c r="DO28872" s="303" t="s">
        <v>232</v>
      </c>
    </row>
    <row r="28873" spans="119:119" x14ac:dyDescent="0.2">
      <c r="DO28873" s="303" t="s">
        <v>232</v>
      </c>
    </row>
    <row r="28874" spans="119:119" x14ac:dyDescent="0.2">
      <c r="DO28874" s="303" t="s">
        <v>232</v>
      </c>
    </row>
    <row r="28875" spans="119:119" x14ac:dyDescent="0.2">
      <c r="DO28875" s="303" t="s">
        <v>232</v>
      </c>
    </row>
    <row r="28876" spans="119:119" x14ac:dyDescent="0.2">
      <c r="DO28876" s="303" t="s">
        <v>232</v>
      </c>
    </row>
    <row r="28877" spans="119:119" x14ac:dyDescent="0.2">
      <c r="DO28877" s="303" t="s">
        <v>232</v>
      </c>
    </row>
    <row r="28878" spans="119:119" x14ac:dyDescent="0.2">
      <c r="DO28878" s="303" t="s">
        <v>232</v>
      </c>
    </row>
    <row r="28879" spans="119:119" x14ac:dyDescent="0.2">
      <c r="DO28879" s="303" t="s">
        <v>232</v>
      </c>
    </row>
    <row r="28880" spans="119:119" x14ac:dyDescent="0.2">
      <c r="DO28880" s="303" t="s">
        <v>232</v>
      </c>
    </row>
    <row r="28881" spans="119:119" x14ac:dyDescent="0.2">
      <c r="DO28881" s="303" t="s">
        <v>232</v>
      </c>
    </row>
    <row r="28882" spans="119:119" x14ac:dyDescent="0.2">
      <c r="DO28882" s="303" t="s">
        <v>232</v>
      </c>
    </row>
    <row r="28883" spans="119:119" x14ac:dyDescent="0.2">
      <c r="DO28883" s="303" t="s">
        <v>232</v>
      </c>
    </row>
    <row r="28884" spans="119:119" x14ac:dyDescent="0.2">
      <c r="DO28884" s="303" t="s">
        <v>232</v>
      </c>
    </row>
    <row r="28885" spans="119:119" x14ac:dyDescent="0.2">
      <c r="DO28885" s="303" t="s">
        <v>232</v>
      </c>
    </row>
    <row r="28886" spans="119:119" x14ac:dyDescent="0.2">
      <c r="DO28886" s="303" t="s">
        <v>232</v>
      </c>
    </row>
    <row r="28887" spans="119:119" x14ac:dyDescent="0.2">
      <c r="DO28887" s="303" t="s">
        <v>232</v>
      </c>
    </row>
    <row r="28888" spans="119:119" x14ac:dyDescent="0.2">
      <c r="DO28888" s="303" t="s">
        <v>232</v>
      </c>
    </row>
    <row r="28889" spans="119:119" x14ac:dyDescent="0.2">
      <c r="DO28889" s="303" t="s">
        <v>232</v>
      </c>
    </row>
    <row r="28890" spans="119:119" x14ac:dyDescent="0.2">
      <c r="DO28890" s="303" t="s">
        <v>232</v>
      </c>
    </row>
    <row r="28891" spans="119:119" x14ac:dyDescent="0.2">
      <c r="DO28891" s="303" t="s">
        <v>232</v>
      </c>
    </row>
    <row r="28892" spans="119:119" x14ac:dyDescent="0.2">
      <c r="DO28892" s="303" t="s">
        <v>232</v>
      </c>
    </row>
    <row r="28893" spans="119:119" x14ac:dyDescent="0.2">
      <c r="DO28893" s="303" t="s">
        <v>232</v>
      </c>
    </row>
    <row r="28894" spans="119:119" x14ac:dyDescent="0.2">
      <c r="DO28894" s="303" t="s">
        <v>232</v>
      </c>
    </row>
    <row r="28895" spans="119:119" x14ac:dyDescent="0.2">
      <c r="DO28895" s="303" t="s">
        <v>232</v>
      </c>
    </row>
    <row r="28896" spans="119:119" x14ac:dyDescent="0.2">
      <c r="DO28896" s="303" t="s">
        <v>232</v>
      </c>
    </row>
    <row r="28897" spans="119:119" x14ac:dyDescent="0.2">
      <c r="DO28897" s="303" t="s">
        <v>232</v>
      </c>
    </row>
    <row r="28898" spans="119:119" x14ac:dyDescent="0.2">
      <c r="DO28898" s="303" t="s">
        <v>232</v>
      </c>
    </row>
    <row r="28899" spans="119:119" x14ac:dyDescent="0.2">
      <c r="DO28899" s="303" t="s">
        <v>232</v>
      </c>
    </row>
    <row r="28900" spans="119:119" x14ac:dyDescent="0.2">
      <c r="DO28900" s="303" t="s">
        <v>232</v>
      </c>
    </row>
    <row r="28901" spans="119:119" x14ac:dyDescent="0.2">
      <c r="DO28901" s="303" t="s">
        <v>232</v>
      </c>
    </row>
    <row r="28902" spans="119:119" x14ac:dyDescent="0.2">
      <c r="DO28902" s="303" t="s">
        <v>232</v>
      </c>
    </row>
    <row r="28903" spans="119:119" x14ac:dyDescent="0.2">
      <c r="DO28903" s="303" t="s">
        <v>232</v>
      </c>
    </row>
    <row r="28904" spans="119:119" x14ac:dyDescent="0.2">
      <c r="DO28904" s="303" t="s">
        <v>232</v>
      </c>
    </row>
    <row r="28905" spans="119:119" x14ac:dyDescent="0.2">
      <c r="DO28905" s="303" t="s">
        <v>232</v>
      </c>
    </row>
    <row r="28906" spans="119:119" x14ac:dyDescent="0.2">
      <c r="DO28906" s="303" t="s">
        <v>232</v>
      </c>
    </row>
    <row r="28907" spans="119:119" x14ac:dyDescent="0.2">
      <c r="DO28907" s="303" t="s">
        <v>232</v>
      </c>
    </row>
    <row r="28908" spans="119:119" x14ac:dyDescent="0.2">
      <c r="DO28908" s="303" t="s">
        <v>232</v>
      </c>
    </row>
    <row r="28909" spans="119:119" x14ac:dyDescent="0.2">
      <c r="DO28909" s="303" t="s">
        <v>232</v>
      </c>
    </row>
    <row r="28910" spans="119:119" x14ac:dyDescent="0.2">
      <c r="DO28910" s="303" t="s">
        <v>232</v>
      </c>
    </row>
    <row r="28911" spans="119:119" x14ac:dyDescent="0.2">
      <c r="DO28911" s="303" t="s">
        <v>232</v>
      </c>
    </row>
    <row r="28912" spans="119:119" x14ac:dyDescent="0.2">
      <c r="DO28912" s="303" t="s">
        <v>232</v>
      </c>
    </row>
    <row r="28913" spans="119:119" x14ac:dyDescent="0.2">
      <c r="DO28913" s="303" t="s">
        <v>232</v>
      </c>
    </row>
    <row r="28914" spans="119:119" x14ac:dyDescent="0.2">
      <c r="DO28914" s="303" t="s">
        <v>232</v>
      </c>
    </row>
    <row r="28915" spans="119:119" x14ac:dyDescent="0.2">
      <c r="DO28915" s="303" t="s">
        <v>232</v>
      </c>
    </row>
    <row r="28916" spans="119:119" x14ac:dyDescent="0.2">
      <c r="DO28916" s="303" t="s">
        <v>232</v>
      </c>
    </row>
    <row r="28917" spans="119:119" x14ac:dyDescent="0.2">
      <c r="DO28917" s="303" t="s">
        <v>232</v>
      </c>
    </row>
    <row r="28918" spans="119:119" x14ac:dyDescent="0.2">
      <c r="DO28918" s="303" t="s">
        <v>232</v>
      </c>
    </row>
    <row r="28919" spans="119:119" x14ac:dyDescent="0.2">
      <c r="DO28919" s="303" t="s">
        <v>232</v>
      </c>
    </row>
    <row r="28920" spans="119:119" x14ac:dyDescent="0.2">
      <c r="DO28920" s="303" t="s">
        <v>232</v>
      </c>
    </row>
    <row r="28921" spans="119:119" x14ac:dyDescent="0.2">
      <c r="DO28921" s="303" t="s">
        <v>232</v>
      </c>
    </row>
    <row r="28922" spans="119:119" x14ac:dyDescent="0.2">
      <c r="DO28922" s="303" t="s">
        <v>232</v>
      </c>
    </row>
    <row r="28923" spans="119:119" x14ac:dyDescent="0.2">
      <c r="DO28923" s="303" t="s">
        <v>232</v>
      </c>
    </row>
    <row r="28924" spans="119:119" x14ac:dyDescent="0.2">
      <c r="DO28924" s="303" t="s">
        <v>232</v>
      </c>
    </row>
    <row r="28925" spans="119:119" x14ac:dyDescent="0.2">
      <c r="DO28925" s="303" t="s">
        <v>232</v>
      </c>
    </row>
    <row r="28926" spans="119:119" x14ac:dyDescent="0.2">
      <c r="DO28926" s="303" t="s">
        <v>232</v>
      </c>
    </row>
    <row r="28927" spans="119:119" x14ac:dyDescent="0.2">
      <c r="DO28927" s="303" t="s">
        <v>232</v>
      </c>
    </row>
    <row r="28928" spans="119:119" x14ac:dyDescent="0.2">
      <c r="DO28928" s="303" t="s">
        <v>232</v>
      </c>
    </row>
    <row r="28929" spans="119:119" x14ac:dyDescent="0.2">
      <c r="DO28929" s="303" t="s">
        <v>232</v>
      </c>
    </row>
    <row r="28930" spans="119:119" x14ac:dyDescent="0.2">
      <c r="DO28930" s="303" t="s">
        <v>232</v>
      </c>
    </row>
    <row r="28931" spans="119:119" x14ac:dyDescent="0.2">
      <c r="DO28931" s="303" t="s">
        <v>232</v>
      </c>
    </row>
    <row r="28932" spans="119:119" x14ac:dyDescent="0.2">
      <c r="DO28932" s="303" t="s">
        <v>232</v>
      </c>
    </row>
    <row r="28933" spans="119:119" x14ac:dyDescent="0.2">
      <c r="DO28933" s="303" t="s">
        <v>232</v>
      </c>
    </row>
    <row r="28934" spans="119:119" x14ac:dyDescent="0.2">
      <c r="DO28934" s="303" t="s">
        <v>232</v>
      </c>
    </row>
    <row r="28935" spans="119:119" x14ac:dyDescent="0.2">
      <c r="DO28935" s="303" t="s">
        <v>232</v>
      </c>
    </row>
    <row r="28936" spans="119:119" x14ac:dyDescent="0.2">
      <c r="DO28936" s="303" t="s">
        <v>232</v>
      </c>
    </row>
    <row r="28937" spans="119:119" x14ac:dyDescent="0.2">
      <c r="DO28937" s="303" t="s">
        <v>232</v>
      </c>
    </row>
    <row r="28938" spans="119:119" x14ac:dyDescent="0.2">
      <c r="DO28938" s="303" t="s">
        <v>232</v>
      </c>
    </row>
    <row r="28939" spans="119:119" x14ac:dyDescent="0.2">
      <c r="DO28939" s="303" t="s">
        <v>232</v>
      </c>
    </row>
    <row r="28940" spans="119:119" x14ac:dyDescent="0.2">
      <c r="DO28940" s="303" t="s">
        <v>232</v>
      </c>
    </row>
    <row r="28941" spans="119:119" x14ac:dyDescent="0.2">
      <c r="DO28941" s="303" t="s">
        <v>232</v>
      </c>
    </row>
    <row r="28942" spans="119:119" x14ac:dyDescent="0.2">
      <c r="DO28942" s="303" t="s">
        <v>232</v>
      </c>
    </row>
    <row r="28943" spans="119:119" x14ac:dyDescent="0.2">
      <c r="DO28943" s="303" t="s">
        <v>232</v>
      </c>
    </row>
    <row r="28944" spans="119:119" x14ac:dyDescent="0.2">
      <c r="DO28944" s="303" t="s">
        <v>232</v>
      </c>
    </row>
    <row r="28945" spans="119:119" x14ac:dyDescent="0.2">
      <c r="DO28945" s="303" t="s">
        <v>232</v>
      </c>
    </row>
    <row r="28946" spans="119:119" x14ac:dyDescent="0.2">
      <c r="DO28946" s="303" t="s">
        <v>232</v>
      </c>
    </row>
    <row r="28947" spans="119:119" x14ac:dyDescent="0.2">
      <c r="DO28947" s="303" t="s">
        <v>232</v>
      </c>
    </row>
    <row r="28948" spans="119:119" x14ac:dyDescent="0.2">
      <c r="DO28948" s="303" t="s">
        <v>232</v>
      </c>
    </row>
    <row r="28949" spans="119:119" x14ac:dyDescent="0.2">
      <c r="DO28949" s="303" t="s">
        <v>232</v>
      </c>
    </row>
    <row r="28950" spans="119:119" x14ac:dyDescent="0.2">
      <c r="DO28950" s="303" t="s">
        <v>232</v>
      </c>
    </row>
    <row r="28951" spans="119:119" x14ac:dyDescent="0.2">
      <c r="DO28951" s="303" t="s">
        <v>232</v>
      </c>
    </row>
    <row r="28952" spans="119:119" x14ac:dyDescent="0.2">
      <c r="DO28952" s="303" t="s">
        <v>232</v>
      </c>
    </row>
    <row r="28953" spans="119:119" x14ac:dyDescent="0.2">
      <c r="DO28953" s="303" t="s">
        <v>232</v>
      </c>
    </row>
    <row r="28954" spans="119:119" x14ac:dyDescent="0.2">
      <c r="DO28954" s="303" t="s">
        <v>232</v>
      </c>
    </row>
    <row r="28955" spans="119:119" x14ac:dyDescent="0.2">
      <c r="DO28955" s="303" t="s">
        <v>232</v>
      </c>
    </row>
    <row r="28956" spans="119:119" x14ac:dyDescent="0.2">
      <c r="DO28956" s="303" t="s">
        <v>232</v>
      </c>
    </row>
    <row r="28957" spans="119:119" x14ac:dyDescent="0.2">
      <c r="DO28957" s="303" t="s">
        <v>232</v>
      </c>
    </row>
    <row r="28958" spans="119:119" x14ac:dyDescent="0.2">
      <c r="DO28958" s="303" t="s">
        <v>232</v>
      </c>
    </row>
    <row r="28959" spans="119:119" x14ac:dyDescent="0.2">
      <c r="DO28959" s="303" t="s">
        <v>232</v>
      </c>
    </row>
    <row r="28960" spans="119:119" x14ac:dyDescent="0.2">
      <c r="DO28960" s="303" t="s">
        <v>232</v>
      </c>
    </row>
    <row r="28961" spans="119:119" x14ac:dyDescent="0.2">
      <c r="DO28961" s="303" t="s">
        <v>232</v>
      </c>
    </row>
    <row r="28962" spans="119:119" x14ac:dyDescent="0.2">
      <c r="DO28962" s="303" t="s">
        <v>232</v>
      </c>
    </row>
    <row r="28963" spans="119:119" x14ac:dyDescent="0.2">
      <c r="DO28963" s="303" t="s">
        <v>232</v>
      </c>
    </row>
    <row r="28964" spans="119:119" x14ac:dyDescent="0.2">
      <c r="DO28964" s="303" t="s">
        <v>232</v>
      </c>
    </row>
    <row r="28965" spans="119:119" x14ac:dyDescent="0.2">
      <c r="DO28965" s="303" t="s">
        <v>232</v>
      </c>
    </row>
    <row r="28966" spans="119:119" x14ac:dyDescent="0.2">
      <c r="DO28966" s="303" t="s">
        <v>232</v>
      </c>
    </row>
    <row r="28967" spans="119:119" x14ac:dyDescent="0.2">
      <c r="DO28967" s="303" t="s">
        <v>232</v>
      </c>
    </row>
    <row r="28968" spans="119:119" x14ac:dyDescent="0.2">
      <c r="DO28968" s="303" t="s">
        <v>232</v>
      </c>
    </row>
    <row r="28969" spans="119:119" x14ac:dyDescent="0.2">
      <c r="DO28969" s="303" t="s">
        <v>232</v>
      </c>
    </row>
    <row r="28970" spans="119:119" x14ac:dyDescent="0.2">
      <c r="DO28970" s="303" t="s">
        <v>232</v>
      </c>
    </row>
    <row r="28971" spans="119:119" x14ac:dyDescent="0.2">
      <c r="DO28971" s="303" t="s">
        <v>232</v>
      </c>
    </row>
    <row r="28972" spans="119:119" x14ac:dyDescent="0.2">
      <c r="DO28972" s="303" t="s">
        <v>232</v>
      </c>
    </row>
    <row r="28973" spans="119:119" x14ac:dyDescent="0.2">
      <c r="DO28973" s="303" t="s">
        <v>232</v>
      </c>
    </row>
    <row r="28974" spans="119:119" x14ac:dyDescent="0.2">
      <c r="DO28974" s="303" t="s">
        <v>232</v>
      </c>
    </row>
    <row r="28975" spans="119:119" x14ac:dyDescent="0.2">
      <c r="DO28975" s="303" t="s">
        <v>232</v>
      </c>
    </row>
    <row r="28976" spans="119:119" x14ac:dyDescent="0.2">
      <c r="DO28976" s="303" t="s">
        <v>232</v>
      </c>
    </row>
    <row r="28977" spans="119:119" x14ac:dyDescent="0.2">
      <c r="DO28977" s="303" t="s">
        <v>232</v>
      </c>
    </row>
    <row r="28978" spans="119:119" x14ac:dyDescent="0.2">
      <c r="DO28978" s="303" t="s">
        <v>232</v>
      </c>
    </row>
    <row r="28979" spans="119:119" x14ac:dyDescent="0.2">
      <c r="DO28979" s="303" t="s">
        <v>232</v>
      </c>
    </row>
    <row r="28980" spans="119:119" x14ac:dyDescent="0.2">
      <c r="DO28980" s="303" t="s">
        <v>232</v>
      </c>
    </row>
    <row r="28981" spans="119:119" x14ac:dyDescent="0.2">
      <c r="DO28981" s="303" t="s">
        <v>232</v>
      </c>
    </row>
    <row r="28982" spans="119:119" x14ac:dyDescent="0.2">
      <c r="DO28982" s="303" t="s">
        <v>232</v>
      </c>
    </row>
    <row r="28983" spans="119:119" x14ac:dyDescent="0.2">
      <c r="DO28983" s="303" t="s">
        <v>232</v>
      </c>
    </row>
    <row r="28984" spans="119:119" x14ac:dyDescent="0.2">
      <c r="DO28984" s="303" t="s">
        <v>232</v>
      </c>
    </row>
    <row r="28985" spans="119:119" x14ac:dyDescent="0.2">
      <c r="DO28985" s="303" t="s">
        <v>232</v>
      </c>
    </row>
    <row r="28986" spans="119:119" x14ac:dyDescent="0.2">
      <c r="DO28986" s="303" t="s">
        <v>232</v>
      </c>
    </row>
    <row r="28987" spans="119:119" x14ac:dyDescent="0.2">
      <c r="DO28987" s="303" t="s">
        <v>232</v>
      </c>
    </row>
    <row r="28988" spans="119:119" x14ac:dyDescent="0.2">
      <c r="DO28988" s="303" t="s">
        <v>232</v>
      </c>
    </row>
    <row r="28989" spans="119:119" x14ac:dyDescent="0.2">
      <c r="DO28989" s="303" t="s">
        <v>232</v>
      </c>
    </row>
    <row r="28990" spans="119:119" x14ac:dyDescent="0.2">
      <c r="DO28990" s="303" t="s">
        <v>232</v>
      </c>
    </row>
    <row r="28991" spans="119:119" x14ac:dyDescent="0.2">
      <c r="DO28991" s="303" t="s">
        <v>232</v>
      </c>
    </row>
    <row r="28992" spans="119:119" x14ac:dyDescent="0.2">
      <c r="DO28992" s="303" t="s">
        <v>232</v>
      </c>
    </row>
    <row r="28993" spans="119:119" x14ac:dyDescent="0.2">
      <c r="DO28993" s="303" t="s">
        <v>232</v>
      </c>
    </row>
    <row r="28994" spans="119:119" x14ac:dyDescent="0.2">
      <c r="DO28994" s="303" t="s">
        <v>232</v>
      </c>
    </row>
    <row r="28995" spans="119:119" x14ac:dyDescent="0.2">
      <c r="DO28995" s="303" t="s">
        <v>232</v>
      </c>
    </row>
    <row r="28996" spans="119:119" x14ac:dyDescent="0.2">
      <c r="DO28996" s="303" t="s">
        <v>232</v>
      </c>
    </row>
    <row r="28997" spans="119:119" x14ac:dyDescent="0.2">
      <c r="DO28997" s="303" t="s">
        <v>232</v>
      </c>
    </row>
    <row r="28998" spans="119:119" x14ac:dyDescent="0.2">
      <c r="DO28998" s="303" t="s">
        <v>232</v>
      </c>
    </row>
    <row r="28999" spans="119:119" x14ac:dyDescent="0.2">
      <c r="DO28999" s="303" t="s">
        <v>232</v>
      </c>
    </row>
    <row r="29000" spans="119:119" x14ac:dyDescent="0.2">
      <c r="DO29000" s="303" t="s">
        <v>232</v>
      </c>
    </row>
    <row r="29001" spans="119:119" x14ac:dyDescent="0.2">
      <c r="DO29001" s="303" t="s">
        <v>232</v>
      </c>
    </row>
    <row r="29002" spans="119:119" x14ac:dyDescent="0.2">
      <c r="DO29002" s="303" t="s">
        <v>232</v>
      </c>
    </row>
    <row r="29003" spans="119:119" x14ac:dyDescent="0.2">
      <c r="DO29003" s="303" t="s">
        <v>232</v>
      </c>
    </row>
    <row r="29004" spans="119:119" x14ac:dyDescent="0.2">
      <c r="DO29004" s="303" t="s">
        <v>232</v>
      </c>
    </row>
    <row r="29005" spans="119:119" x14ac:dyDescent="0.2">
      <c r="DO29005" s="303" t="s">
        <v>232</v>
      </c>
    </row>
    <row r="29006" spans="119:119" x14ac:dyDescent="0.2">
      <c r="DO29006" s="303" t="s">
        <v>232</v>
      </c>
    </row>
    <row r="29007" spans="119:119" x14ac:dyDescent="0.2">
      <c r="DO29007" s="303" t="s">
        <v>232</v>
      </c>
    </row>
    <row r="29008" spans="119:119" x14ac:dyDescent="0.2">
      <c r="DO29008" s="303" t="s">
        <v>232</v>
      </c>
    </row>
    <row r="29009" spans="119:119" x14ac:dyDescent="0.2">
      <c r="DO29009" s="303" t="s">
        <v>232</v>
      </c>
    </row>
    <row r="29010" spans="119:119" x14ac:dyDescent="0.2">
      <c r="DO29010" s="303" t="s">
        <v>232</v>
      </c>
    </row>
    <row r="29011" spans="119:119" x14ac:dyDescent="0.2">
      <c r="DO29011" s="303" t="s">
        <v>232</v>
      </c>
    </row>
    <row r="29012" spans="119:119" x14ac:dyDescent="0.2">
      <c r="DO29012" s="303" t="s">
        <v>232</v>
      </c>
    </row>
    <row r="29013" spans="119:119" x14ac:dyDescent="0.2">
      <c r="DO29013" s="303" t="s">
        <v>232</v>
      </c>
    </row>
    <row r="29014" spans="119:119" x14ac:dyDescent="0.2">
      <c r="DO29014" s="303" t="s">
        <v>232</v>
      </c>
    </row>
    <row r="29015" spans="119:119" x14ac:dyDescent="0.2">
      <c r="DO29015" s="303" t="s">
        <v>232</v>
      </c>
    </row>
    <row r="29016" spans="119:119" x14ac:dyDescent="0.2">
      <c r="DO29016" s="303" t="s">
        <v>232</v>
      </c>
    </row>
    <row r="29017" spans="119:119" x14ac:dyDescent="0.2">
      <c r="DO29017" s="303" t="s">
        <v>232</v>
      </c>
    </row>
    <row r="29018" spans="119:119" x14ac:dyDescent="0.2">
      <c r="DO29018" s="303" t="s">
        <v>232</v>
      </c>
    </row>
    <row r="29019" spans="119:119" x14ac:dyDescent="0.2">
      <c r="DO29019" s="303" t="s">
        <v>232</v>
      </c>
    </row>
    <row r="29020" spans="119:119" x14ac:dyDescent="0.2">
      <c r="DO29020" s="303" t="s">
        <v>232</v>
      </c>
    </row>
    <row r="29021" spans="119:119" x14ac:dyDescent="0.2">
      <c r="DO29021" s="303" t="s">
        <v>232</v>
      </c>
    </row>
    <row r="29022" spans="119:119" x14ac:dyDescent="0.2">
      <c r="DO29022" s="303" t="s">
        <v>232</v>
      </c>
    </row>
    <row r="29023" spans="119:119" x14ac:dyDescent="0.2">
      <c r="DO29023" s="303" t="s">
        <v>232</v>
      </c>
    </row>
    <row r="29024" spans="119:119" x14ac:dyDescent="0.2">
      <c r="DO29024" s="303" t="s">
        <v>232</v>
      </c>
    </row>
    <row r="29025" spans="119:119" x14ac:dyDescent="0.2">
      <c r="DO29025" s="303" t="s">
        <v>232</v>
      </c>
    </row>
    <row r="29026" spans="119:119" x14ac:dyDescent="0.2">
      <c r="DO29026" s="303" t="s">
        <v>232</v>
      </c>
    </row>
    <row r="29027" spans="119:119" x14ac:dyDescent="0.2">
      <c r="DO29027" s="303" t="s">
        <v>232</v>
      </c>
    </row>
    <row r="29028" spans="119:119" x14ac:dyDescent="0.2">
      <c r="DO29028" s="303" t="s">
        <v>232</v>
      </c>
    </row>
    <row r="29029" spans="119:119" x14ac:dyDescent="0.2">
      <c r="DO29029" s="303" t="s">
        <v>232</v>
      </c>
    </row>
    <row r="29030" spans="119:119" x14ac:dyDescent="0.2">
      <c r="DO29030" s="303" t="s">
        <v>232</v>
      </c>
    </row>
    <row r="29031" spans="119:119" x14ac:dyDescent="0.2">
      <c r="DO29031" s="303" t="s">
        <v>232</v>
      </c>
    </row>
    <row r="29032" spans="119:119" x14ac:dyDescent="0.2">
      <c r="DO29032" s="303" t="s">
        <v>232</v>
      </c>
    </row>
    <row r="29033" spans="119:119" x14ac:dyDescent="0.2">
      <c r="DO29033" s="303" t="s">
        <v>232</v>
      </c>
    </row>
    <row r="29034" spans="119:119" x14ac:dyDescent="0.2">
      <c r="DO29034" s="303" t="s">
        <v>232</v>
      </c>
    </row>
    <row r="29035" spans="119:119" x14ac:dyDescent="0.2">
      <c r="DO29035" s="303" t="s">
        <v>232</v>
      </c>
    </row>
    <row r="29036" spans="119:119" x14ac:dyDescent="0.2">
      <c r="DO29036" s="303" t="s">
        <v>232</v>
      </c>
    </row>
    <row r="29037" spans="119:119" x14ac:dyDescent="0.2">
      <c r="DO29037" s="303" t="s">
        <v>232</v>
      </c>
    </row>
    <row r="29038" spans="119:119" x14ac:dyDescent="0.2">
      <c r="DO29038" s="303" t="s">
        <v>232</v>
      </c>
    </row>
    <row r="29039" spans="119:119" x14ac:dyDescent="0.2">
      <c r="DO29039" s="303" t="s">
        <v>232</v>
      </c>
    </row>
    <row r="29040" spans="119:119" x14ac:dyDescent="0.2">
      <c r="DO29040" s="303" t="s">
        <v>232</v>
      </c>
    </row>
    <row r="29041" spans="119:119" x14ac:dyDescent="0.2">
      <c r="DO29041" s="303" t="s">
        <v>232</v>
      </c>
    </row>
    <row r="29042" spans="119:119" x14ac:dyDescent="0.2">
      <c r="DO29042" s="303" t="s">
        <v>232</v>
      </c>
    </row>
    <row r="29043" spans="119:119" x14ac:dyDescent="0.2">
      <c r="DO29043" s="303" t="s">
        <v>232</v>
      </c>
    </row>
    <row r="29044" spans="119:119" x14ac:dyDescent="0.2">
      <c r="DO29044" s="303" t="s">
        <v>232</v>
      </c>
    </row>
    <row r="29045" spans="119:119" x14ac:dyDescent="0.2">
      <c r="DO29045" s="303" t="s">
        <v>232</v>
      </c>
    </row>
    <row r="29046" spans="119:119" x14ac:dyDescent="0.2">
      <c r="DO29046" s="303" t="s">
        <v>232</v>
      </c>
    </row>
    <row r="29047" spans="119:119" x14ac:dyDescent="0.2">
      <c r="DO29047" s="303" t="s">
        <v>232</v>
      </c>
    </row>
    <row r="29048" spans="119:119" x14ac:dyDescent="0.2">
      <c r="DO29048" s="303" t="s">
        <v>232</v>
      </c>
    </row>
    <row r="29049" spans="119:119" x14ac:dyDescent="0.2">
      <c r="DO29049" s="303" t="s">
        <v>232</v>
      </c>
    </row>
    <row r="29050" spans="119:119" x14ac:dyDescent="0.2">
      <c r="DO29050" s="303" t="s">
        <v>232</v>
      </c>
    </row>
    <row r="29051" spans="119:119" x14ac:dyDescent="0.2">
      <c r="DO29051" s="303" t="s">
        <v>232</v>
      </c>
    </row>
    <row r="29052" spans="119:119" x14ac:dyDescent="0.2">
      <c r="DO29052" s="303" t="s">
        <v>232</v>
      </c>
    </row>
    <row r="29053" spans="119:119" x14ac:dyDescent="0.2">
      <c r="DO29053" s="303" t="s">
        <v>232</v>
      </c>
    </row>
    <row r="29054" spans="119:119" x14ac:dyDescent="0.2">
      <c r="DO29054" s="303" t="s">
        <v>232</v>
      </c>
    </row>
    <row r="29055" spans="119:119" x14ac:dyDescent="0.2">
      <c r="DO29055" s="303" t="s">
        <v>232</v>
      </c>
    </row>
    <row r="29056" spans="119:119" x14ac:dyDescent="0.2">
      <c r="DO29056" s="303" t="s">
        <v>232</v>
      </c>
    </row>
    <row r="29057" spans="119:119" x14ac:dyDescent="0.2">
      <c r="DO29057" s="303" t="s">
        <v>232</v>
      </c>
    </row>
    <row r="29058" spans="119:119" x14ac:dyDescent="0.2">
      <c r="DO29058" s="303" t="s">
        <v>232</v>
      </c>
    </row>
    <row r="29059" spans="119:119" x14ac:dyDescent="0.2">
      <c r="DO29059" s="303" t="s">
        <v>232</v>
      </c>
    </row>
    <row r="29060" spans="119:119" x14ac:dyDescent="0.2">
      <c r="DO29060" s="303" t="s">
        <v>232</v>
      </c>
    </row>
    <row r="29061" spans="119:119" x14ac:dyDescent="0.2">
      <c r="DO29061" s="303" t="s">
        <v>232</v>
      </c>
    </row>
    <row r="29062" spans="119:119" x14ac:dyDescent="0.2">
      <c r="DO29062" s="303" t="s">
        <v>232</v>
      </c>
    </row>
    <row r="29063" spans="119:119" x14ac:dyDescent="0.2">
      <c r="DO29063" s="303" t="s">
        <v>232</v>
      </c>
    </row>
    <row r="29064" spans="119:119" x14ac:dyDescent="0.2">
      <c r="DO29064" s="303" t="s">
        <v>232</v>
      </c>
    </row>
    <row r="29065" spans="119:119" x14ac:dyDescent="0.2">
      <c r="DO29065" s="303" t="s">
        <v>232</v>
      </c>
    </row>
    <row r="29066" spans="119:119" x14ac:dyDescent="0.2">
      <c r="DO29066" s="303" t="s">
        <v>232</v>
      </c>
    </row>
    <row r="29067" spans="119:119" x14ac:dyDescent="0.2">
      <c r="DO29067" s="303" t="s">
        <v>232</v>
      </c>
    </row>
    <row r="29068" spans="119:119" x14ac:dyDescent="0.2">
      <c r="DO29068" s="303" t="s">
        <v>232</v>
      </c>
    </row>
    <row r="29069" spans="119:119" x14ac:dyDescent="0.2">
      <c r="DO29069" s="303" t="s">
        <v>232</v>
      </c>
    </row>
    <row r="29070" spans="119:119" x14ac:dyDescent="0.2">
      <c r="DO29070" s="303" t="s">
        <v>232</v>
      </c>
    </row>
    <row r="29071" spans="119:119" x14ac:dyDescent="0.2">
      <c r="DO29071" s="303" t="s">
        <v>232</v>
      </c>
    </row>
    <row r="29072" spans="119:119" x14ac:dyDescent="0.2">
      <c r="DO29072" s="303" t="s">
        <v>232</v>
      </c>
    </row>
    <row r="29073" spans="119:119" x14ac:dyDescent="0.2">
      <c r="DO29073" s="303" t="s">
        <v>232</v>
      </c>
    </row>
    <row r="29074" spans="119:119" x14ac:dyDescent="0.2">
      <c r="DO29074" s="303" t="s">
        <v>232</v>
      </c>
    </row>
    <row r="29075" spans="119:119" x14ac:dyDescent="0.2">
      <c r="DO29075" s="303" t="s">
        <v>232</v>
      </c>
    </row>
    <row r="29076" spans="119:119" x14ac:dyDescent="0.2">
      <c r="DO29076" s="303" t="s">
        <v>232</v>
      </c>
    </row>
    <row r="29077" spans="119:119" x14ac:dyDescent="0.2">
      <c r="DO29077" s="303" t="s">
        <v>232</v>
      </c>
    </row>
    <row r="29078" spans="119:119" x14ac:dyDescent="0.2">
      <c r="DO29078" s="303" t="s">
        <v>232</v>
      </c>
    </row>
    <row r="29079" spans="119:119" x14ac:dyDescent="0.2">
      <c r="DO29079" s="303" t="s">
        <v>232</v>
      </c>
    </row>
    <row r="29080" spans="119:119" x14ac:dyDescent="0.2">
      <c r="DO29080" s="303" t="s">
        <v>232</v>
      </c>
    </row>
    <row r="29081" spans="119:119" x14ac:dyDescent="0.2">
      <c r="DO29081" s="303" t="s">
        <v>232</v>
      </c>
    </row>
    <row r="29082" spans="119:119" x14ac:dyDescent="0.2">
      <c r="DO29082" s="303" t="s">
        <v>232</v>
      </c>
    </row>
    <row r="29083" spans="119:119" x14ac:dyDescent="0.2">
      <c r="DO29083" s="303" t="s">
        <v>232</v>
      </c>
    </row>
    <row r="29084" spans="119:119" x14ac:dyDescent="0.2">
      <c r="DO29084" s="303" t="s">
        <v>232</v>
      </c>
    </row>
    <row r="29085" spans="119:119" x14ac:dyDescent="0.2">
      <c r="DO29085" s="303" t="s">
        <v>232</v>
      </c>
    </row>
    <row r="29086" spans="119:119" x14ac:dyDescent="0.2">
      <c r="DO29086" s="303" t="s">
        <v>232</v>
      </c>
    </row>
    <row r="29087" spans="119:119" x14ac:dyDescent="0.2">
      <c r="DO29087" s="303" t="s">
        <v>232</v>
      </c>
    </row>
    <row r="29088" spans="119:119" x14ac:dyDescent="0.2">
      <c r="DO29088" s="303" t="s">
        <v>232</v>
      </c>
    </row>
    <row r="29089" spans="119:119" x14ac:dyDescent="0.2">
      <c r="DO29089" s="303" t="s">
        <v>232</v>
      </c>
    </row>
    <row r="29090" spans="119:119" x14ac:dyDescent="0.2">
      <c r="DO29090" s="303" t="s">
        <v>232</v>
      </c>
    </row>
    <row r="29091" spans="119:119" x14ac:dyDescent="0.2">
      <c r="DO29091" s="303" t="s">
        <v>232</v>
      </c>
    </row>
    <row r="29092" spans="119:119" x14ac:dyDescent="0.2">
      <c r="DO29092" s="303" t="s">
        <v>232</v>
      </c>
    </row>
    <row r="29093" spans="119:119" x14ac:dyDescent="0.2">
      <c r="DO29093" s="303" t="s">
        <v>232</v>
      </c>
    </row>
    <row r="29094" spans="119:119" x14ac:dyDescent="0.2">
      <c r="DO29094" s="303" t="s">
        <v>232</v>
      </c>
    </row>
    <row r="29095" spans="119:119" x14ac:dyDescent="0.2">
      <c r="DO29095" s="303" t="s">
        <v>232</v>
      </c>
    </row>
    <row r="29096" spans="119:119" x14ac:dyDescent="0.2">
      <c r="DO29096" s="303" t="s">
        <v>232</v>
      </c>
    </row>
    <row r="29097" spans="119:119" x14ac:dyDescent="0.2">
      <c r="DO29097" s="303" t="s">
        <v>232</v>
      </c>
    </row>
    <row r="29098" spans="119:119" x14ac:dyDescent="0.2">
      <c r="DO29098" s="303" t="s">
        <v>232</v>
      </c>
    </row>
    <row r="29099" spans="119:119" x14ac:dyDescent="0.2">
      <c r="DO29099" s="303" t="s">
        <v>232</v>
      </c>
    </row>
    <row r="29100" spans="119:119" x14ac:dyDescent="0.2">
      <c r="DO29100" s="303" t="s">
        <v>232</v>
      </c>
    </row>
    <row r="29101" spans="119:119" x14ac:dyDescent="0.2">
      <c r="DO29101" s="303" t="s">
        <v>232</v>
      </c>
    </row>
    <row r="29102" spans="119:119" x14ac:dyDescent="0.2">
      <c r="DO29102" s="303" t="s">
        <v>232</v>
      </c>
    </row>
    <row r="29103" spans="119:119" x14ac:dyDescent="0.2">
      <c r="DO29103" s="303" t="s">
        <v>232</v>
      </c>
    </row>
    <row r="29104" spans="119:119" x14ac:dyDescent="0.2">
      <c r="DO29104" s="303" t="s">
        <v>232</v>
      </c>
    </row>
    <row r="29105" spans="119:119" x14ac:dyDescent="0.2">
      <c r="DO29105" s="303" t="s">
        <v>232</v>
      </c>
    </row>
    <row r="29106" spans="119:119" x14ac:dyDescent="0.2">
      <c r="DO29106" s="303" t="s">
        <v>232</v>
      </c>
    </row>
    <row r="29107" spans="119:119" x14ac:dyDescent="0.2">
      <c r="DO29107" s="303" t="s">
        <v>232</v>
      </c>
    </row>
    <row r="29108" spans="119:119" x14ac:dyDescent="0.2">
      <c r="DO29108" s="303" t="s">
        <v>232</v>
      </c>
    </row>
    <row r="29109" spans="119:119" x14ac:dyDescent="0.2">
      <c r="DO29109" s="303" t="s">
        <v>232</v>
      </c>
    </row>
    <row r="29110" spans="119:119" x14ac:dyDescent="0.2">
      <c r="DO29110" s="303" t="s">
        <v>232</v>
      </c>
    </row>
    <row r="29111" spans="119:119" x14ac:dyDescent="0.2">
      <c r="DO29111" s="303" t="s">
        <v>232</v>
      </c>
    </row>
    <row r="29112" spans="119:119" x14ac:dyDescent="0.2">
      <c r="DO29112" s="303" t="s">
        <v>232</v>
      </c>
    </row>
    <row r="29113" spans="119:119" x14ac:dyDescent="0.2">
      <c r="DO29113" s="303" t="s">
        <v>232</v>
      </c>
    </row>
    <row r="29114" spans="119:119" x14ac:dyDescent="0.2">
      <c r="DO29114" s="303" t="s">
        <v>232</v>
      </c>
    </row>
    <row r="29115" spans="119:119" x14ac:dyDescent="0.2">
      <c r="DO29115" s="303" t="s">
        <v>232</v>
      </c>
    </row>
    <row r="29116" spans="119:119" x14ac:dyDescent="0.2">
      <c r="DO29116" s="303" t="s">
        <v>232</v>
      </c>
    </row>
    <row r="29117" spans="119:119" x14ac:dyDescent="0.2">
      <c r="DO29117" s="303" t="s">
        <v>232</v>
      </c>
    </row>
    <row r="29118" spans="119:119" x14ac:dyDescent="0.2">
      <c r="DO29118" s="303" t="s">
        <v>232</v>
      </c>
    </row>
    <row r="29119" spans="119:119" x14ac:dyDescent="0.2">
      <c r="DO29119" s="303" t="s">
        <v>232</v>
      </c>
    </row>
    <row r="29120" spans="119:119" x14ac:dyDescent="0.2">
      <c r="DO29120" s="303" t="s">
        <v>232</v>
      </c>
    </row>
    <row r="29121" spans="119:119" x14ac:dyDescent="0.2">
      <c r="DO29121" s="303" t="s">
        <v>232</v>
      </c>
    </row>
    <row r="29122" spans="119:119" x14ac:dyDescent="0.2">
      <c r="DO29122" s="303" t="s">
        <v>232</v>
      </c>
    </row>
    <row r="29123" spans="119:119" x14ac:dyDescent="0.2">
      <c r="DO29123" s="303" t="s">
        <v>232</v>
      </c>
    </row>
    <row r="29124" spans="119:119" x14ac:dyDescent="0.2">
      <c r="DO29124" s="303" t="s">
        <v>232</v>
      </c>
    </row>
    <row r="29125" spans="119:119" x14ac:dyDescent="0.2">
      <c r="DO29125" s="303" t="s">
        <v>232</v>
      </c>
    </row>
    <row r="29126" spans="119:119" x14ac:dyDescent="0.2">
      <c r="DO29126" s="303" t="s">
        <v>232</v>
      </c>
    </row>
    <row r="29127" spans="119:119" x14ac:dyDescent="0.2">
      <c r="DO29127" s="303" t="s">
        <v>232</v>
      </c>
    </row>
    <row r="29128" spans="119:119" x14ac:dyDescent="0.2">
      <c r="DO29128" s="303" t="s">
        <v>232</v>
      </c>
    </row>
    <row r="29129" spans="119:119" x14ac:dyDescent="0.2">
      <c r="DO29129" s="303" t="s">
        <v>232</v>
      </c>
    </row>
    <row r="29130" spans="119:119" x14ac:dyDescent="0.2">
      <c r="DO29130" s="303" t="s">
        <v>232</v>
      </c>
    </row>
    <row r="29131" spans="119:119" x14ac:dyDescent="0.2">
      <c r="DO29131" s="303" t="s">
        <v>232</v>
      </c>
    </row>
    <row r="29132" spans="119:119" x14ac:dyDescent="0.2">
      <c r="DO29132" s="303" t="s">
        <v>232</v>
      </c>
    </row>
    <row r="29133" spans="119:119" x14ac:dyDescent="0.2">
      <c r="DO29133" s="303" t="s">
        <v>232</v>
      </c>
    </row>
    <row r="29134" spans="119:119" x14ac:dyDescent="0.2">
      <c r="DO29134" s="303" t="s">
        <v>232</v>
      </c>
    </row>
    <row r="29135" spans="119:119" x14ac:dyDescent="0.2">
      <c r="DO29135" s="303" t="s">
        <v>232</v>
      </c>
    </row>
    <row r="29136" spans="119:119" x14ac:dyDescent="0.2">
      <c r="DO29136" s="303" t="s">
        <v>232</v>
      </c>
    </row>
    <row r="29137" spans="119:119" x14ac:dyDescent="0.2">
      <c r="DO29137" s="303" t="s">
        <v>232</v>
      </c>
    </row>
    <row r="29138" spans="119:119" x14ac:dyDescent="0.2">
      <c r="DO29138" s="303" t="s">
        <v>232</v>
      </c>
    </row>
    <row r="29139" spans="119:119" x14ac:dyDescent="0.2">
      <c r="DO29139" s="303" t="s">
        <v>232</v>
      </c>
    </row>
    <row r="29140" spans="119:119" x14ac:dyDescent="0.2">
      <c r="DO29140" s="303" t="s">
        <v>232</v>
      </c>
    </row>
    <row r="29141" spans="119:119" x14ac:dyDescent="0.2">
      <c r="DO29141" s="303" t="s">
        <v>232</v>
      </c>
    </row>
    <row r="29142" spans="119:119" x14ac:dyDescent="0.2">
      <c r="DO29142" s="303" t="s">
        <v>232</v>
      </c>
    </row>
    <row r="29143" spans="119:119" x14ac:dyDescent="0.2">
      <c r="DO29143" s="303" t="s">
        <v>232</v>
      </c>
    </row>
    <row r="29144" spans="119:119" x14ac:dyDescent="0.2">
      <c r="DO29144" s="303" t="s">
        <v>232</v>
      </c>
    </row>
    <row r="29145" spans="119:119" x14ac:dyDescent="0.2">
      <c r="DO29145" s="303" t="s">
        <v>232</v>
      </c>
    </row>
    <row r="29146" spans="119:119" x14ac:dyDescent="0.2">
      <c r="DO29146" s="303" t="s">
        <v>232</v>
      </c>
    </row>
    <row r="29147" spans="119:119" x14ac:dyDescent="0.2">
      <c r="DO29147" s="303" t="s">
        <v>232</v>
      </c>
    </row>
    <row r="29148" spans="119:119" x14ac:dyDescent="0.2">
      <c r="DO29148" s="303" t="s">
        <v>232</v>
      </c>
    </row>
    <row r="29149" spans="119:119" x14ac:dyDescent="0.2">
      <c r="DO29149" s="303" t="s">
        <v>232</v>
      </c>
    </row>
    <row r="29150" spans="119:119" x14ac:dyDescent="0.2">
      <c r="DO29150" s="303" t="s">
        <v>232</v>
      </c>
    </row>
    <row r="29151" spans="119:119" x14ac:dyDescent="0.2">
      <c r="DO29151" s="303" t="s">
        <v>232</v>
      </c>
    </row>
    <row r="29152" spans="119:119" x14ac:dyDescent="0.2">
      <c r="DO29152" s="303" t="s">
        <v>232</v>
      </c>
    </row>
    <row r="29153" spans="119:119" x14ac:dyDescent="0.2">
      <c r="DO29153" s="303" t="s">
        <v>232</v>
      </c>
    </row>
    <row r="29154" spans="119:119" x14ac:dyDescent="0.2">
      <c r="DO29154" s="303" t="s">
        <v>232</v>
      </c>
    </row>
    <row r="29155" spans="119:119" x14ac:dyDescent="0.2">
      <c r="DO29155" s="303" t="s">
        <v>232</v>
      </c>
    </row>
    <row r="29156" spans="119:119" x14ac:dyDescent="0.2">
      <c r="DO29156" s="303" t="s">
        <v>232</v>
      </c>
    </row>
    <row r="29157" spans="119:119" x14ac:dyDescent="0.2">
      <c r="DO29157" s="303" t="s">
        <v>232</v>
      </c>
    </row>
    <row r="29158" spans="119:119" x14ac:dyDescent="0.2">
      <c r="DO29158" s="303" t="s">
        <v>232</v>
      </c>
    </row>
    <row r="29159" spans="119:119" x14ac:dyDescent="0.2">
      <c r="DO29159" s="303" t="s">
        <v>232</v>
      </c>
    </row>
    <row r="29160" spans="119:119" x14ac:dyDescent="0.2">
      <c r="DO29160" s="303" t="s">
        <v>232</v>
      </c>
    </row>
    <row r="29161" spans="119:119" x14ac:dyDescent="0.2">
      <c r="DO29161" s="303" t="s">
        <v>232</v>
      </c>
    </row>
    <row r="29162" spans="119:119" x14ac:dyDescent="0.2">
      <c r="DO29162" s="303" t="s">
        <v>232</v>
      </c>
    </row>
    <row r="29163" spans="119:119" x14ac:dyDescent="0.2">
      <c r="DO29163" s="303" t="s">
        <v>232</v>
      </c>
    </row>
    <row r="29164" spans="119:119" x14ac:dyDescent="0.2">
      <c r="DO29164" s="303" t="s">
        <v>232</v>
      </c>
    </row>
    <row r="29165" spans="119:119" x14ac:dyDescent="0.2">
      <c r="DO29165" s="303" t="s">
        <v>232</v>
      </c>
    </row>
    <row r="29166" spans="119:119" x14ac:dyDescent="0.2">
      <c r="DO29166" s="303" t="s">
        <v>232</v>
      </c>
    </row>
    <row r="29167" spans="119:119" x14ac:dyDescent="0.2">
      <c r="DO29167" s="303" t="s">
        <v>232</v>
      </c>
    </row>
    <row r="29168" spans="119:119" x14ac:dyDescent="0.2">
      <c r="DO29168" s="303" t="s">
        <v>232</v>
      </c>
    </row>
    <row r="29169" spans="119:119" x14ac:dyDescent="0.2">
      <c r="DO29169" s="303" t="s">
        <v>232</v>
      </c>
    </row>
    <row r="29170" spans="119:119" x14ac:dyDescent="0.2">
      <c r="DO29170" s="303" t="s">
        <v>232</v>
      </c>
    </row>
    <row r="29171" spans="119:119" x14ac:dyDescent="0.2">
      <c r="DO29171" s="303" t="s">
        <v>232</v>
      </c>
    </row>
    <row r="29172" spans="119:119" x14ac:dyDescent="0.2">
      <c r="DO29172" s="303" t="s">
        <v>232</v>
      </c>
    </row>
    <row r="29173" spans="119:119" x14ac:dyDescent="0.2">
      <c r="DO29173" s="303" t="s">
        <v>232</v>
      </c>
    </row>
    <row r="29174" spans="119:119" x14ac:dyDescent="0.2">
      <c r="DO29174" s="303" t="s">
        <v>232</v>
      </c>
    </row>
    <row r="29175" spans="119:119" x14ac:dyDescent="0.2">
      <c r="DO29175" s="303" t="s">
        <v>232</v>
      </c>
    </row>
    <row r="29176" spans="119:119" x14ac:dyDescent="0.2">
      <c r="DO29176" s="303" t="s">
        <v>232</v>
      </c>
    </row>
    <row r="29177" spans="119:119" x14ac:dyDescent="0.2">
      <c r="DO29177" s="303" t="s">
        <v>232</v>
      </c>
    </row>
    <row r="29178" spans="119:119" x14ac:dyDescent="0.2">
      <c r="DO29178" s="303" t="s">
        <v>232</v>
      </c>
    </row>
    <row r="29179" spans="119:119" x14ac:dyDescent="0.2">
      <c r="DO29179" s="303" t="s">
        <v>232</v>
      </c>
    </row>
    <row r="29180" spans="119:119" x14ac:dyDescent="0.2">
      <c r="DO29180" s="303" t="s">
        <v>232</v>
      </c>
    </row>
    <row r="29181" spans="119:119" x14ac:dyDescent="0.2">
      <c r="DO29181" s="303" t="s">
        <v>232</v>
      </c>
    </row>
    <row r="29182" spans="119:119" x14ac:dyDescent="0.2">
      <c r="DO29182" s="303" t="s">
        <v>232</v>
      </c>
    </row>
    <row r="29183" spans="119:119" x14ac:dyDescent="0.2">
      <c r="DO29183" s="303" t="s">
        <v>232</v>
      </c>
    </row>
    <row r="29184" spans="119:119" x14ac:dyDescent="0.2">
      <c r="DO29184" s="303" t="s">
        <v>232</v>
      </c>
    </row>
    <row r="29185" spans="119:119" x14ac:dyDescent="0.2">
      <c r="DO29185" s="303" t="s">
        <v>232</v>
      </c>
    </row>
    <row r="29186" spans="119:119" x14ac:dyDescent="0.2">
      <c r="DO29186" s="303" t="s">
        <v>232</v>
      </c>
    </row>
    <row r="29187" spans="119:119" x14ac:dyDescent="0.2">
      <c r="DO29187" s="303" t="s">
        <v>232</v>
      </c>
    </row>
    <row r="29188" spans="119:119" x14ac:dyDescent="0.2">
      <c r="DO29188" s="303" t="s">
        <v>232</v>
      </c>
    </row>
    <row r="29189" spans="119:119" x14ac:dyDescent="0.2">
      <c r="DO29189" s="303" t="s">
        <v>232</v>
      </c>
    </row>
    <row r="29190" spans="119:119" x14ac:dyDescent="0.2">
      <c r="DO29190" s="303" t="s">
        <v>232</v>
      </c>
    </row>
    <row r="29191" spans="119:119" x14ac:dyDescent="0.2">
      <c r="DO29191" s="303" t="s">
        <v>232</v>
      </c>
    </row>
    <row r="29192" spans="119:119" x14ac:dyDescent="0.2">
      <c r="DO29192" s="303" t="s">
        <v>232</v>
      </c>
    </row>
    <row r="29193" spans="119:119" x14ac:dyDescent="0.2">
      <c r="DO29193" s="303" t="s">
        <v>232</v>
      </c>
    </row>
    <row r="29194" spans="119:119" x14ac:dyDescent="0.2">
      <c r="DO29194" s="303" t="s">
        <v>232</v>
      </c>
    </row>
    <row r="29195" spans="119:119" x14ac:dyDescent="0.2">
      <c r="DO29195" s="303" t="s">
        <v>232</v>
      </c>
    </row>
    <row r="29196" spans="119:119" x14ac:dyDescent="0.2">
      <c r="DO29196" s="303" t="s">
        <v>232</v>
      </c>
    </row>
    <row r="29197" spans="119:119" x14ac:dyDescent="0.2">
      <c r="DO29197" s="303" t="s">
        <v>232</v>
      </c>
    </row>
    <row r="29198" spans="119:119" x14ac:dyDescent="0.2">
      <c r="DO29198" s="303" t="s">
        <v>232</v>
      </c>
    </row>
    <row r="29199" spans="119:119" x14ac:dyDescent="0.2">
      <c r="DO29199" s="303" t="s">
        <v>232</v>
      </c>
    </row>
    <row r="29200" spans="119:119" x14ac:dyDescent="0.2">
      <c r="DO29200" s="303" t="s">
        <v>232</v>
      </c>
    </row>
    <row r="29201" spans="119:119" x14ac:dyDescent="0.2">
      <c r="DO29201" s="303" t="s">
        <v>232</v>
      </c>
    </row>
    <row r="29202" spans="119:119" x14ac:dyDescent="0.2">
      <c r="DO29202" s="303" t="s">
        <v>232</v>
      </c>
    </row>
    <row r="29203" spans="119:119" x14ac:dyDescent="0.2">
      <c r="DO29203" s="303" t="s">
        <v>232</v>
      </c>
    </row>
    <row r="29204" spans="119:119" x14ac:dyDescent="0.2">
      <c r="DO29204" s="303" t="s">
        <v>232</v>
      </c>
    </row>
    <row r="29205" spans="119:119" x14ac:dyDescent="0.2">
      <c r="DO29205" s="303" t="s">
        <v>232</v>
      </c>
    </row>
    <row r="29206" spans="119:119" x14ac:dyDescent="0.2">
      <c r="DO29206" s="303" t="s">
        <v>232</v>
      </c>
    </row>
    <row r="29207" spans="119:119" x14ac:dyDescent="0.2">
      <c r="DO29207" s="303" t="s">
        <v>232</v>
      </c>
    </row>
    <row r="29208" spans="119:119" x14ac:dyDescent="0.2">
      <c r="DO29208" s="303" t="s">
        <v>232</v>
      </c>
    </row>
    <row r="29209" spans="119:119" x14ac:dyDescent="0.2">
      <c r="DO29209" s="303" t="s">
        <v>232</v>
      </c>
    </row>
    <row r="29210" spans="119:119" x14ac:dyDescent="0.2">
      <c r="DO29210" s="303" t="s">
        <v>232</v>
      </c>
    </row>
    <row r="29211" spans="119:119" x14ac:dyDescent="0.2">
      <c r="DO29211" s="303" t="s">
        <v>232</v>
      </c>
    </row>
    <row r="29212" spans="119:119" x14ac:dyDescent="0.2">
      <c r="DO29212" s="303" t="s">
        <v>232</v>
      </c>
    </row>
    <row r="29213" spans="119:119" x14ac:dyDescent="0.2">
      <c r="DO29213" s="303" t="s">
        <v>232</v>
      </c>
    </row>
    <row r="29214" spans="119:119" x14ac:dyDescent="0.2">
      <c r="DO29214" s="303" t="s">
        <v>232</v>
      </c>
    </row>
    <row r="29215" spans="119:119" x14ac:dyDescent="0.2">
      <c r="DO29215" s="303" t="s">
        <v>232</v>
      </c>
    </row>
    <row r="29216" spans="119:119" x14ac:dyDescent="0.2">
      <c r="DO29216" s="303" t="s">
        <v>232</v>
      </c>
    </row>
    <row r="29217" spans="119:119" x14ac:dyDescent="0.2">
      <c r="DO29217" s="303" t="s">
        <v>232</v>
      </c>
    </row>
    <row r="29218" spans="119:119" x14ac:dyDescent="0.2">
      <c r="DO29218" s="303" t="s">
        <v>232</v>
      </c>
    </row>
    <row r="29219" spans="119:119" x14ac:dyDescent="0.2">
      <c r="DO29219" s="303" t="s">
        <v>232</v>
      </c>
    </row>
    <row r="29220" spans="119:119" x14ac:dyDescent="0.2">
      <c r="DO29220" s="303" t="s">
        <v>232</v>
      </c>
    </row>
    <row r="29221" spans="119:119" x14ac:dyDescent="0.2">
      <c r="DO29221" s="303" t="s">
        <v>232</v>
      </c>
    </row>
    <row r="29222" spans="119:119" x14ac:dyDescent="0.2">
      <c r="DO29222" s="303" t="s">
        <v>232</v>
      </c>
    </row>
    <row r="29223" spans="119:119" x14ac:dyDescent="0.2">
      <c r="DO29223" s="303" t="s">
        <v>232</v>
      </c>
    </row>
    <row r="29224" spans="119:119" x14ac:dyDescent="0.2">
      <c r="DO29224" s="303" t="s">
        <v>232</v>
      </c>
    </row>
    <row r="29225" spans="119:119" x14ac:dyDescent="0.2">
      <c r="DO29225" s="303" t="s">
        <v>232</v>
      </c>
    </row>
    <row r="29226" spans="119:119" x14ac:dyDescent="0.2">
      <c r="DO29226" s="303" t="s">
        <v>232</v>
      </c>
    </row>
    <row r="29227" spans="119:119" x14ac:dyDescent="0.2">
      <c r="DO29227" s="303" t="s">
        <v>232</v>
      </c>
    </row>
    <row r="29228" spans="119:119" x14ac:dyDescent="0.2">
      <c r="DO29228" s="303" t="s">
        <v>232</v>
      </c>
    </row>
    <row r="29229" spans="119:119" x14ac:dyDescent="0.2">
      <c r="DO29229" s="303" t="s">
        <v>232</v>
      </c>
    </row>
    <row r="29230" spans="119:119" x14ac:dyDescent="0.2">
      <c r="DO29230" s="303" t="s">
        <v>232</v>
      </c>
    </row>
    <row r="29231" spans="119:119" x14ac:dyDescent="0.2">
      <c r="DO29231" s="303" t="s">
        <v>232</v>
      </c>
    </row>
    <row r="29232" spans="119:119" x14ac:dyDescent="0.2">
      <c r="DO29232" s="303" t="s">
        <v>232</v>
      </c>
    </row>
    <row r="29233" spans="119:119" x14ac:dyDescent="0.2">
      <c r="DO29233" s="303" t="s">
        <v>232</v>
      </c>
    </row>
    <row r="29234" spans="119:119" x14ac:dyDescent="0.2">
      <c r="DO29234" s="303" t="s">
        <v>232</v>
      </c>
    </row>
    <row r="29235" spans="119:119" x14ac:dyDescent="0.2">
      <c r="DO29235" s="303" t="s">
        <v>232</v>
      </c>
    </row>
    <row r="29236" spans="119:119" x14ac:dyDescent="0.2">
      <c r="DO29236" s="303" t="s">
        <v>232</v>
      </c>
    </row>
    <row r="29237" spans="119:119" x14ac:dyDescent="0.2">
      <c r="DO29237" s="303" t="s">
        <v>232</v>
      </c>
    </row>
    <row r="29238" spans="119:119" x14ac:dyDescent="0.2">
      <c r="DO29238" s="303" t="s">
        <v>232</v>
      </c>
    </row>
    <row r="29239" spans="119:119" x14ac:dyDescent="0.2">
      <c r="DO29239" s="303" t="s">
        <v>232</v>
      </c>
    </row>
    <row r="29240" spans="119:119" x14ac:dyDescent="0.2">
      <c r="DO29240" s="303" t="s">
        <v>232</v>
      </c>
    </row>
    <row r="29241" spans="119:119" x14ac:dyDescent="0.2">
      <c r="DO29241" s="303" t="s">
        <v>232</v>
      </c>
    </row>
    <row r="29242" spans="119:119" x14ac:dyDescent="0.2">
      <c r="DO29242" s="303" t="s">
        <v>232</v>
      </c>
    </row>
    <row r="29243" spans="119:119" x14ac:dyDescent="0.2">
      <c r="DO29243" s="303" t="s">
        <v>232</v>
      </c>
    </row>
    <row r="29244" spans="119:119" x14ac:dyDescent="0.2">
      <c r="DO29244" s="303" t="s">
        <v>232</v>
      </c>
    </row>
    <row r="29245" spans="119:119" x14ac:dyDescent="0.2">
      <c r="DO29245" s="303" t="s">
        <v>232</v>
      </c>
    </row>
    <row r="29246" spans="119:119" x14ac:dyDescent="0.2">
      <c r="DO29246" s="303" t="s">
        <v>232</v>
      </c>
    </row>
    <row r="29247" spans="119:119" x14ac:dyDescent="0.2">
      <c r="DO29247" s="303" t="s">
        <v>232</v>
      </c>
    </row>
    <row r="29248" spans="119:119" x14ac:dyDescent="0.2">
      <c r="DO29248" s="303" t="s">
        <v>232</v>
      </c>
    </row>
    <row r="29249" spans="119:119" x14ac:dyDescent="0.2">
      <c r="DO29249" s="303" t="s">
        <v>232</v>
      </c>
    </row>
    <row r="29250" spans="119:119" x14ac:dyDescent="0.2">
      <c r="DO29250" s="303" t="s">
        <v>232</v>
      </c>
    </row>
    <row r="29251" spans="119:119" x14ac:dyDescent="0.2">
      <c r="DO29251" s="303" t="s">
        <v>232</v>
      </c>
    </row>
    <row r="29252" spans="119:119" x14ac:dyDescent="0.2">
      <c r="DO29252" s="303" t="s">
        <v>232</v>
      </c>
    </row>
    <row r="29253" spans="119:119" x14ac:dyDescent="0.2">
      <c r="DO29253" s="303" t="s">
        <v>232</v>
      </c>
    </row>
    <row r="29254" spans="119:119" x14ac:dyDescent="0.2">
      <c r="DO29254" s="303" t="s">
        <v>232</v>
      </c>
    </row>
    <row r="29255" spans="119:119" x14ac:dyDescent="0.2">
      <c r="DO29255" s="303" t="s">
        <v>232</v>
      </c>
    </row>
    <row r="29256" spans="119:119" x14ac:dyDescent="0.2">
      <c r="DO29256" s="303" t="s">
        <v>232</v>
      </c>
    </row>
    <row r="29257" spans="119:119" x14ac:dyDescent="0.2">
      <c r="DO29257" s="303" t="s">
        <v>232</v>
      </c>
    </row>
    <row r="29258" spans="119:119" x14ac:dyDescent="0.2">
      <c r="DO29258" s="303" t="s">
        <v>232</v>
      </c>
    </row>
    <row r="29259" spans="119:119" x14ac:dyDescent="0.2">
      <c r="DO29259" s="303" t="s">
        <v>232</v>
      </c>
    </row>
    <row r="29260" spans="119:119" x14ac:dyDescent="0.2">
      <c r="DO29260" s="303" t="s">
        <v>232</v>
      </c>
    </row>
    <row r="29261" spans="119:119" x14ac:dyDescent="0.2">
      <c r="DO29261" s="303" t="s">
        <v>232</v>
      </c>
    </row>
    <row r="29262" spans="119:119" x14ac:dyDescent="0.2">
      <c r="DO29262" s="303" t="s">
        <v>232</v>
      </c>
    </row>
    <row r="29263" spans="119:119" x14ac:dyDescent="0.2">
      <c r="DO29263" s="303" t="s">
        <v>232</v>
      </c>
    </row>
    <row r="29264" spans="119:119" x14ac:dyDescent="0.2">
      <c r="DO29264" s="303" t="s">
        <v>232</v>
      </c>
    </row>
    <row r="29265" spans="119:119" x14ac:dyDescent="0.2">
      <c r="DO29265" s="303" t="s">
        <v>232</v>
      </c>
    </row>
    <row r="29266" spans="119:119" x14ac:dyDescent="0.2">
      <c r="DO29266" s="303" t="s">
        <v>232</v>
      </c>
    </row>
    <row r="29267" spans="119:119" x14ac:dyDescent="0.2">
      <c r="DO29267" s="303" t="s">
        <v>232</v>
      </c>
    </row>
    <row r="29268" spans="119:119" x14ac:dyDescent="0.2">
      <c r="DO29268" s="303" t="s">
        <v>232</v>
      </c>
    </row>
    <row r="29269" spans="119:119" x14ac:dyDescent="0.2">
      <c r="DO29269" s="303" t="s">
        <v>232</v>
      </c>
    </row>
    <row r="29270" spans="119:119" x14ac:dyDescent="0.2">
      <c r="DO29270" s="303" t="s">
        <v>232</v>
      </c>
    </row>
    <row r="29271" spans="119:119" x14ac:dyDescent="0.2">
      <c r="DO29271" s="303" t="s">
        <v>232</v>
      </c>
    </row>
    <row r="29272" spans="119:119" x14ac:dyDescent="0.2">
      <c r="DO29272" s="303" t="s">
        <v>232</v>
      </c>
    </row>
    <row r="29273" spans="119:119" x14ac:dyDescent="0.2">
      <c r="DO29273" s="303" t="s">
        <v>232</v>
      </c>
    </row>
    <row r="29274" spans="119:119" x14ac:dyDescent="0.2">
      <c r="DO29274" s="303" t="s">
        <v>232</v>
      </c>
    </row>
    <row r="29275" spans="119:119" x14ac:dyDescent="0.2">
      <c r="DO29275" s="303" t="s">
        <v>232</v>
      </c>
    </row>
    <row r="29276" spans="119:119" x14ac:dyDescent="0.2">
      <c r="DO29276" s="303" t="s">
        <v>232</v>
      </c>
    </row>
    <row r="29277" spans="119:119" x14ac:dyDescent="0.2">
      <c r="DO29277" s="303" t="s">
        <v>232</v>
      </c>
    </row>
    <row r="29278" spans="119:119" x14ac:dyDescent="0.2">
      <c r="DO29278" s="303" t="s">
        <v>232</v>
      </c>
    </row>
    <row r="29279" spans="119:119" x14ac:dyDescent="0.2">
      <c r="DO29279" s="303" t="s">
        <v>232</v>
      </c>
    </row>
    <row r="29280" spans="119:119" x14ac:dyDescent="0.2">
      <c r="DO29280" s="303" t="s">
        <v>232</v>
      </c>
    </row>
    <row r="29281" spans="119:119" x14ac:dyDescent="0.2">
      <c r="DO29281" s="303" t="s">
        <v>232</v>
      </c>
    </row>
    <row r="29282" spans="119:119" x14ac:dyDescent="0.2">
      <c r="DO29282" s="303" t="s">
        <v>232</v>
      </c>
    </row>
    <row r="29283" spans="119:119" x14ac:dyDescent="0.2">
      <c r="DO29283" s="303" t="s">
        <v>232</v>
      </c>
    </row>
    <row r="29284" spans="119:119" x14ac:dyDescent="0.2">
      <c r="DO29284" s="303" t="s">
        <v>232</v>
      </c>
    </row>
    <row r="29285" spans="119:119" x14ac:dyDescent="0.2">
      <c r="DO29285" s="303" t="s">
        <v>232</v>
      </c>
    </row>
    <row r="29286" spans="119:119" x14ac:dyDescent="0.2">
      <c r="DO29286" s="303" t="s">
        <v>232</v>
      </c>
    </row>
    <row r="29287" spans="119:119" x14ac:dyDescent="0.2">
      <c r="DO29287" s="303" t="s">
        <v>232</v>
      </c>
    </row>
    <row r="29288" spans="119:119" x14ac:dyDescent="0.2">
      <c r="DO29288" s="303" t="s">
        <v>232</v>
      </c>
    </row>
    <row r="29289" spans="119:119" x14ac:dyDescent="0.2">
      <c r="DO29289" s="303" t="s">
        <v>232</v>
      </c>
    </row>
    <row r="29290" spans="119:119" x14ac:dyDescent="0.2">
      <c r="DO29290" s="303" t="s">
        <v>232</v>
      </c>
    </row>
    <row r="29291" spans="119:119" x14ac:dyDescent="0.2">
      <c r="DO29291" s="303" t="s">
        <v>232</v>
      </c>
    </row>
    <row r="29292" spans="119:119" x14ac:dyDescent="0.2">
      <c r="DO29292" s="303" t="s">
        <v>232</v>
      </c>
    </row>
    <row r="29293" spans="119:119" x14ac:dyDescent="0.2">
      <c r="DO29293" s="303" t="s">
        <v>232</v>
      </c>
    </row>
    <row r="29294" spans="119:119" x14ac:dyDescent="0.2">
      <c r="DO29294" s="303" t="s">
        <v>232</v>
      </c>
    </row>
    <row r="29295" spans="119:119" x14ac:dyDescent="0.2">
      <c r="DO29295" s="303" t="s">
        <v>232</v>
      </c>
    </row>
    <row r="29296" spans="119:119" x14ac:dyDescent="0.2">
      <c r="DO29296" s="303" t="s">
        <v>232</v>
      </c>
    </row>
    <row r="29297" spans="119:119" x14ac:dyDescent="0.2">
      <c r="DO29297" s="303" t="s">
        <v>232</v>
      </c>
    </row>
    <row r="29298" spans="119:119" x14ac:dyDescent="0.2">
      <c r="DO29298" s="303" t="s">
        <v>232</v>
      </c>
    </row>
    <row r="29299" spans="119:119" x14ac:dyDescent="0.2">
      <c r="DO29299" s="303" t="s">
        <v>232</v>
      </c>
    </row>
    <row r="29300" spans="119:119" x14ac:dyDescent="0.2">
      <c r="DO29300" s="303" t="s">
        <v>232</v>
      </c>
    </row>
    <row r="29301" spans="119:119" x14ac:dyDescent="0.2">
      <c r="DO29301" s="303" t="s">
        <v>232</v>
      </c>
    </row>
    <row r="29302" spans="119:119" x14ac:dyDescent="0.2">
      <c r="DO29302" s="303" t="s">
        <v>232</v>
      </c>
    </row>
    <row r="29303" spans="119:119" x14ac:dyDescent="0.2">
      <c r="DO29303" s="303" t="s">
        <v>232</v>
      </c>
    </row>
    <row r="29304" spans="119:119" x14ac:dyDescent="0.2">
      <c r="DO29304" s="303" t="s">
        <v>232</v>
      </c>
    </row>
    <row r="29305" spans="119:119" x14ac:dyDescent="0.2">
      <c r="DO29305" s="303" t="s">
        <v>232</v>
      </c>
    </row>
    <row r="29306" spans="119:119" x14ac:dyDescent="0.2">
      <c r="DO29306" s="303" t="s">
        <v>232</v>
      </c>
    </row>
    <row r="29307" spans="119:119" x14ac:dyDescent="0.2">
      <c r="DO29307" s="303" t="s">
        <v>232</v>
      </c>
    </row>
    <row r="29308" spans="119:119" x14ac:dyDescent="0.2">
      <c r="DO29308" s="303" t="s">
        <v>232</v>
      </c>
    </row>
    <row r="29309" spans="119:119" x14ac:dyDescent="0.2">
      <c r="DO29309" s="303" t="s">
        <v>232</v>
      </c>
    </row>
    <row r="29310" spans="119:119" x14ac:dyDescent="0.2">
      <c r="DO29310" s="303" t="s">
        <v>232</v>
      </c>
    </row>
    <row r="29311" spans="119:119" x14ac:dyDescent="0.2">
      <c r="DO29311" s="303" t="s">
        <v>232</v>
      </c>
    </row>
    <row r="29312" spans="119:119" x14ac:dyDescent="0.2">
      <c r="DO29312" s="303" t="s">
        <v>232</v>
      </c>
    </row>
    <row r="29313" spans="119:119" x14ac:dyDescent="0.2">
      <c r="DO29313" s="303" t="s">
        <v>232</v>
      </c>
    </row>
    <row r="29314" spans="119:119" x14ac:dyDescent="0.2">
      <c r="DO29314" s="303" t="s">
        <v>232</v>
      </c>
    </row>
    <row r="29315" spans="119:119" x14ac:dyDescent="0.2">
      <c r="DO29315" s="303" t="s">
        <v>232</v>
      </c>
    </row>
    <row r="29316" spans="119:119" x14ac:dyDescent="0.2">
      <c r="DO29316" s="303" t="s">
        <v>232</v>
      </c>
    </row>
    <row r="29317" spans="119:119" x14ac:dyDescent="0.2">
      <c r="DO29317" s="303" t="s">
        <v>232</v>
      </c>
    </row>
    <row r="29318" spans="119:119" x14ac:dyDescent="0.2">
      <c r="DO29318" s="303" t="s">
        <v>232</v>
      </c>
    </row>
    <row r="29319" spans="119:119" x14ac:dyDescent="0.2">
      <c r="DO29319" s="303" t="s">
        <v>232</v>
      </c>
    </row>
    <row r="29320" spans="119:119" x14ac:dyDescent="0.2">
      <c r="DO29320" s="303" t="s">
        <v>232</v>
      </c>
    </row>
    <row r="29321" spans="119:119" x14ac:dyDescent="0.2">
      <c r="DO29321" s="303" t="s">
        <v>232</v>
      </c>
    </row>
    <row r="29322" spans="119:119" x14ac:dyDescent="0.2">
      <c r="DO29322" s="303" t="s">
        <v>232</v>
      </c>
    </row>
    <row r="29323" spans="119:119" x14ac:dyDescent="0.2">
      <c r="DO29323" s="303" t="s">
        <v>232</v>
      </c>
    </row>
    <row r="29324" spans="119:119" x14ac:dyDescent="0.2">
      <c r="DO29324" s="303" t="s">
        <v>232</v>
      </c>
    </row>
    <row r="29325" spans="119:119" x14ac:dyDescent="0.2">
      <c r="DO29325" s="303" t="s">
        <v>232</v>
      </c>
    </row>
    <row r="29326" spans="119:119" x14ac:dyDescent="0.2">
      <c r="DO29326" s="303" t="s">
        <v>232</v>
      </c>
    </row>
    <row r="29327" spans="119:119" x14ac:dyDescent="0.2">
      <c r="DO29327" s="303" t="s">
        <v>232</v>
      </c>
    </row>
    <row r="29328" spans="119:119" x14ac:dyDescent="0.2">
      <c r="DO29328" s="303" t="s">
        <v>232</v>
      </c>
    </row>
    <row r="29329" spans="119:119" x14ac:dyDescent="0.2">
      <c r="DO29329" s="303" t="s">
        <v>232</v>
      </c>
    </row>
    <row r="29330" spans="119:119" x14ac:dyDescent="0.2">
      <c r="DO29330" s="303" t="s">
        <v>232</v>
      </c>
    </row>
    <row r="29331" spans="119:119" x14ac:dyDescent="0.2">
      <c r="DO29331" s="303" t="s">
        <v>232</v>
      </c>
    </row>
    <row r="29332" spans="119:119" x14ac:dyDescent="0.2">
      <c r="DO29332" s="303" t="s">
        <v>232</v>
      </c>
    </row>
    <row r="29333" spans="119:119" x14ac:dyDescent="0.2">
      <c r="DO29333" s="303" t="s">
        <v>232</v>
      </c>
    </row>
    <row r="29334" spans="119:119" x14ac:dyDescent="0.2">
      <c r="DO29334" s="303" t="s">
        <v>232</v>
      </c>
    </row>
    <row r="29335" spans="119:119" x14ac:dyDescent="0.2">
      <c r="DO29335" s="303" t="s">
        <v>232</v>
      </c>
    </row>
    <row r="29336" spans="119:119" x14ac:dyDescent="0.2">
      <c r="DO29336" s="303" t="s">
        <v>232</v>
      </c>
    </row>
    <row r="29337" spans="119:119" x14ac:dyDescent="0.2">
      <c r="DO29337" s="303" t="s">
        <v>232</v>
      </c>
    </row>
    <row r="29338" spans="119:119" x14ac:dyDescent="0.2">
      <c r="DO29338" s="303" t="s">
        <v>232</v>
      </c>
    </row>
    <row r="29339" spans="119:119" x14ac:dyDescent="0.2">
      <c r="DO29339" s="303" t="s">
        <v>232</v>
      </c>
    </row>
    <row r="29340" spans="119:119" x14ac:dyDescent="0.2">
      <c r="DO29340" s="303" t="s">
        <v>232</v>
      </c>
    </row>
    <row r="29341" spans="119:119" x14ac:dyDescent="0.2">
      <c r="DO29341" s="303" t="s">
        <v>232</v>
      </c>
    </row>
    <row r="29342" spans="119:119" x14ac:dyDescent="0.2">
      <c r="DO29342" s="303" t="s">
        <v>232</v>
      </c>
    </row>
    <row r="29343" spans="119:119" x14ac:dyDescent="0.2">
      <c r="DO29343" s="303" t="s">
        <v>232</v>
      </c>
    </row>
    <row r="29344" spans="119:119" x14ac:dyDescent="0.2">
      <c r="DO29344" s="303" t="s">
        <v>232</v>
      </c>
    </row>
    <row r="29345" spans="119:119" x14ac:dyDescent="0.2">
      <c r="DO29345" s="303" t="s">
        <v>232</v>
      </c>
    </row>
    <row r="29346" spans="119:119" x14ac:dyDescent="0.2">
      <c r="DO29346" s="303" t="s">
        <v>232</v>
      </c>
    </row>
    <row r="29347" spans="119:119" x14ac:dyDescent="0.2">
      <c r="DO29347" s="303" t="s">
        <v>232</v>
      </c>
    </row>
    <row r="29348" spans="119:119" x14ac:dyDescent="0.2">
      <c r="DO29348" s="303" t="s">
        <v>232</v>
      </c>
    </row>
    <row r="29349" spans="119:119" x14ac:dyDescent="0.2">
      <c r="DO29349" s="303" t="s">
        <v>232</v>
      </c>
    </row>
    <row r="29350" spans="119:119" x14ac:dyDescent="0.2">
      <c r="DO29350" s="303" t="s">
        <v>232</v>
      </c>
    </row>
    <row r="29351" spans="119:119" x14ac:dyDescent="0.2">
      <c r="DO29351" s="303" t="s">
        <v>232</v>
      </c>
    </row>
    <row r="29352" spans="119:119" x14ac:dyDescent="0.2">
      <c r="DO29352" s="303" t="s">
        <v>232</v>
      </c>
    </row>
    <row r="29353" spans="119:119" x14ac:dyDescent="0.2">
      <c r="DO29353" s="303" t="s">
        <v>232</v>
      </c>
    </row>
    <row r="29354" spans="119:119" x14ac:dyDescent="0.2">
      <c r="DO29354" s="303" t="s">
        <v>232</v>
      </c>
    </row>
    <row r="29355" spans="119:119" x14ac:dyDescent="0.2">
      <c r="DO29355" s="303" t="s">
        <v>232</v>
      </c>
    </row>
    <row r="29356" spans="119:119" x14ac:dyDescent="0.2">
      <c r="DO29356" s="303" t="s">
        <v>232</v>
      </c>
    </row>
    <row r="29357" spans="119:119" x14ac:dyDescent="0.2">
      <c r="DO29357" s="303" t="s">
        <v>232</v>
      </c>
    </row>
    <row r="29358" spans="119:119" x14ac:dyDescent="0.2">
      <c r="DO29358" s="303" t="s">
        <v>232</v>
      </c>
    </row>
    <row r="29359" spans="119:119" x14ac:dyDescent="0.2">
      <c r="DO29359" s="303" t="s">
        <v>232</v>
      </c>
    </row>
    <row r="29360" spans="119:119" x14ac:dyDescent="0.2">
      <c r="DO29360" s="303" t="s">
        <v>232</v>
      </c>
    </row>
    <row r="29361" spans="119:119" x14ac:dyDescent="0.2">
      <c r="DO29361" s="303" t="s">
        <v>232</v>
      </c>
    </row>
    <row r="29362" spans="119:119" x14ac:dyDescent="0.2">
      <c r="DO29362" s="303" t="s">
        <v>232</v>
      </c>
    </row>
    <row r="29363" spans="119:119" x14ac:dyDescent="0.2">
      <c r="DO29363" s="303" t="s">
        <v>232</v>
      </c>
    </row>
    <row r="29364" spans="119:119" x14ac:dyDescent="0.2">
      <c r="DO29364" s="303" t="s">
        <v>232</v>
      </c>
    </row>
    <row r="29365" spans="119:119" x14ac:dyDescent="0.2">
      <c r="DO29365" s="303" t="s">
        <v>232</v>
      </c>
    </row>
    <row r="29366" spans="119:119" x14ac:dyDescent="0.2">
      <c r="DO29366" s="303" t="s">
        <v>232</v>
      </c>
    </row>
    <row r="29367" spans="119:119" x14ac:dyDescent="0.2">
      <c r="DO29367" s="303" t="s">
        <v>232</v>
      </c>
    </row>
    <row r="29368" spans="119:119" x14ac:dyDescent="0.2">
      <c r="DO29368" s="303" t="s">
        <v>232</v>
      </c>
    </row>
    <row r="29369" spans="119:119" x14ac:dyDescent="0.2">
      <c r="DO29369" s="303" t="s">
        <v>232</v>
      </c>
    </row>
    <row r="29370" spans="119:119" x14ac:dyDescent="0.2">
      <c r="DO29370" s="303" t="s">
        <v>232</v>
      </c>
    </row>
    <row r="29371" spans="119:119" x14ac:dyDescent="0.2">
      <c r="DO29371" s="303" t="s">
        <v>232</v>
      </c>
    </row>
    <row r="29372" spans="119:119" x14ac:dyDescent="0.2">
      <c r="DO29372" s="303" t="s">
        <v>232</v>
      </c>
    </row>
    <row r="29373" spans="119:119" x14ac:dyDescent="0.2">
      <c r="DO29373" s="303" t="s">
        <v>232</v>
      </c>
    </row>
    <row r="29374" spans="119:119" x14ac:dyDescent="0.2">
      <c r="DO29374" s="303" t="s">
        <v>232</v>
      </c>
    </row>
    <row r="29375" spans="119:119" x14ac:dyDescent="0.2">
      <c r="DO29375" s="303" t="s">
        <v>232</v>
      </c>
    </row>
    <row r="29376" spans="119:119" x14ac:dyDescent="0.2">
      <c r="DO29376" s="303" t="s">
        <v>232</v>
      </c>
    </row>
    <row r="29377" spans="119:119" x14ac:dyDescent="0.2">
      <c r="DO29377" s="303" t="s">
        <v>232</v>
      </c>
    </row>
    <row r="29378" spans="119:119" x14ac:dyDescent="0.2">
      <c r="DO29378" s="303" t="s">
        <v>232</v>
      </c>
    </row>
    <row r="29379" spans="119:119" x14ac:dyDescent="0.2">
      <c r="DO29379" s="303" t="s">
        <v>232</v>
      </c>
    </row>
    <row r="29380" spans="119:119" x14ac:dyDescent="0.2">
      <c r="DO29380" s="303" t="s">
        <v>232</v>
      </c>
    </row>
    <row r="29381" spans="119:119" x14ac:dyDescent="0.2">
      <c r="DO29381" s="303" t="s">
        <v>232</v>
      </c>
    </row>
    <row r="29382" spans="119:119" x14ac:dyDescent="0.2">
      <c r="DO29382" s="303" t="s">
        <v>232</v>
      </c>
    </row>
    <row r="29383" spans="119:119" x14ac:dyDescent="0.2">
      <c r="DO29383" s="303" t="s">
        <v>232</v>
      </c>
    </row>
    <row r="29384" spans="119:119" x14ac:dyDescent="0.2">
      <c r="DO29384" s="303" t="s">
        <v>232</v>
      </c>
    </row>
    <row r="29385" spans="119:119" x14ac:dyDescent="0.2">
      <c r="DO29385" s="303" t="s">
        <v>232</v>
      </c>
    </row>
    <row r="29386" spans="119:119" x14ac:dyDescent="0.2">
      <c r="DO29386" s="303" t="s">
        <v>232</v>
      </c>
    </row>
    <row r="29387" spans="119:119" x14ac:dyDescent="0.2">
      <c r="DO29387" s="303" t="s">
        <v>232</v>
      </c>
    </row>
    <row r="29388" spans="119:119" x14ac:dyDescent="0.2">
      <c r="DO29388" s="303" t="s">
        <v>232</v>
      </c>
    </row>
    <row r="29389" spans="119:119" x14ac:dyDescent="0.2">
      <c r="DO29389" s="303" t="s">
        <v>232</v>
      </c>
    </row>
    <row r="29390" spans="119:119" x14ac:dyDescent="0.2">
      <c r="DO29390" s="303" t="s">
        <v>232</v>
      </c>
    </row>
    <row r="29391" spans="119:119" x14ac:dyDescent="0.2">
      <c r="DO29391" s="303" t="s">
        <v>232</v>
      </c>
    </row>
    <row r="29392" spans="119:119" x14ac:dyDescent="0.2">
      <c r="DO29392" s="303" t="s">
        <v>232</v>
      </c>
    </row>
    <row r="29393" spans="119:119" x14ac:dyDescent="0.2">
      <c r="DO29393" s="303" t="s">
        <v>232</v>
      </c>
    </row>
    <row r="29394" spans="119:119" x14ac:dyDescent="0.2">
      <c r="DO29394" s="303" t="s">
        <v>232</v>
      </c>
    </row>
    <row r="29395" spans="119:119" x14ac:dyDescent="0.2">
      <c r="DO29395" s="303" t="s">
        <v>232</v>
      </c>
    </row>
    <row r="29396" spans="119:119" x14ac:dyDescent="0.2">
      <c r="DO29396" s="303" t="s">
        <v>232</v>
      </c>
    </row>
    <row r="29397" spans="119:119" x14ac:dyDescent="0.2">
      <c r="DO29397" s="303" t="s">
        <v>232</v>
      </c>
    </row>
    <row r="29398" spans="119:119" x14ac:dyDescent="0.2">
      <c r="DO29398" s="303" t="s">
        <v>232</v>
      </c>
    </row>
    <row r="29399" spans="119:119" x14ac:dyDescent="0.2">
      <c r="DO29399" s="303" t="s">
        <v>232</v>
      </c>
    </row>
    <row r="29400" spans="119:119" x14ac:dyDescent="0.2">
      <c r="DO29400" s="303" t="s">
        <v>232</v>
      </c>
    </row>
    <row r="29401" spans="119:119" x14ac:dyDescent="0.2">
      <c r="DO29401" s="303" t="s">
        <v>232</v>
      </c>
    </row>
    <row r="29402" spans="119:119" x14ac:dyDescent="0.2">
      <c r="DO29402" s="303" t="s">
        <v>232</v>
      </c>
    </row>
    <row r="29403" spans="119:119" x14ac:dyDescent="0.2">
      <c r="DO29403" s="303" t="s">
        <v>232</v>
      </c>
    </row>
    <row r="29404" spans="119:119" x14ac:dyDescent="0.2">
      <c r="DO29404" s="303" t="s">
        <v>232</v>
      </c>
    </row>
    <row r="29405" spans="119:119" x14ac:dyDescent="0.2">
      <c r="DO29405" s="303" t="s">
        <v>232</v>
      </c>
    </row>
    <row r="29406" spans="119:119" x14ac:dyDescent="0.2">
      <c r="DO29406" s="303" t="s">
        <v>232</v>
      </c>
    </row>
    <row r="29407" spans="119:119" x14ac:dyDescent="0.2">
      <c r="DO29407" s="303" t="s">
        <v>232</v>
      </c>
    </row>
    <row r="29408" spans="119:119" x14ac:dyDescent="0.2">
      <c r="DO29408" s="303" t="s">
        <v>232</v>
      </c>
    </row>
    <row r="29409" spans="119:119" x14ac:dyDescent="0.2">
      <c r="DO29409" s="303" t="s">
        <v>232</v>
      </c>
    </row>
    <row r="29410" spans="119:119" x14ac:dyDescent="0.2">
      <c r="DO29410" s="303" t="s">
        <v>232</v>
      </c>
    </row>
    <row r="29411" spans="119:119" x14ac:dyDescent="0.2">
      <c r="DO29411" s="303" t="s">
        <v>232</v>
      </c>
    </row>
    <row r="29412" spans="119:119" x14ac:dyDescent="0.2">
      <c r="DO29412" s="303" t="s">
        <v>232</v>
      </c>
    </row>
    <row r="29413" spans="119:119" x14ac:dyDescent="0.2">
      <c r="DO29413" s="303" t="s">
        <v>232</v>
      </c>
    </row>
    <row r="29414" spans="119:119" x14ac:dyDescent="0.2">
      <c r="DO29414" s="303" t="s">
        <v>232</v>
      </c>
    </row>
    <row r="29415" spans="119:119" x14ac:dyDescent="0.2">
      <c r="DO29415" s="303" t="s">
        <v>232</v>
      </c>
    </row>
    <row r="29416" spans="119:119" x14ac:dyDescent="0.2">
      <c r="DO29416" s="303" t="s">
        <v>232</v>
      </c>
    </row>
    <row r="29417" spans="119:119" x14ac:dyDescent="0.2">
      <c r="DO29417" s="303" t="s">
        <v>232</v>
      </c>
    </row>
    <row r="29418" spans="119:119" x14ac:dyDescent="0.2">
      <c r="DO29418" s="303" t="s">
        <v>232</v>
      </c>
    </row>
    <row r="29419" spans="119:119" x14ac:dyDescent="0.2">
      <c r="DO29419" s="303" t="s">
        <v>232</v>
      </c>
    </row>
    <row r="29420" spans="119:119" x14ac:dyDescent="0.2">
      <c r="DO29420" s="303" t="s">
        <v>232</v>
      </c>
    </row>
    <row r="29421" spans="119:119" x14ac:dyDescent="0.2">
      <c r="DO29421" s="303" t="s">
        <v>232</v>
      </c>
    </row>
    <row r="29422" spans="119:119" x14ac:dyDescent="0.2">
      <c r="DO29422" s="303" t="s">
        <v>232</v>
      </c>
    </row>
    <row r="29423" spans="119:119" x14ac:dyDescent="0.2">
      <c r="DO29423" s="303" t="s">
        <v>232</v>
      </c>
    </row>
    <row r="29424" spans="119:119" x14ac:dyDescent="0.2">
      <c r="DO29424" s="303" t="s">
        <v>232</v>
      </c>
    </row>
    <row r="29425" spans="119:119" x14ac:dyDescent="0.2">
      <c r="DO29425" s="303" t="s">
        <v>232</v>
      </c>
    </row>
    <row r="29426" spans="119:119" x14ac:dyDescent="0.2">
      <c r="DO29426" s="303" t="s">
        <v>232</v>
      </c>
    </row>
    <row r="29427" spans="119:119" x14ac:dyDescent="0.2">
      <c r="DO29427" s="303" t="s">
        <v>232</v>
      </c>
    </row>
    <row r="29428" spans="119:119" x14ac:dyDescent="0.2">
      <c r="DO29428" s="303" t="s">
        <v>232</v>
      </c>
    </row>
    <row r="29429" spans="119:119" x14ac:dyDescent="0.2">
      <c r="DO29429" s="303" t="s">
        <v>232</v>
      </c>
    </row>
    <row r="29430" spans="119:119" x14ac:dyDescent="0.2">
      <c r="DO29430" s="303" t="s">
        <v>232</v>
      </c>
    </row>
    <row r="29431" spans="119:119" x14ac:dyDescent="0.2">
      <c r="DO29431" s="303" t="s">
        <v>232</v>
      </c>
    </row>
    <row r="29432" spans="119:119" x14ac:dyDescent="0.2">
      <c r="DO29432" s="303" t="s">
        <v>232</v>
      </c>
    </row>
    <row r="29433" spans="119:119" x14ac:dyDescent="0.2">
      <c r="DO29433" s="303" t="s">
        <v>232</v>
      </c>
    </row>
    <row r="29434" spans="119:119" x14ac:dyDescent="0.2">
      <c r="DO29434" s="303" t="s">
        <v>232</v>
      </c>
    </row>
    <row r="29435" spans="119:119" x14ac:dyDescent="0.2">
      <c r="DO29435" s="303" t="s">
        <v>232</v>
      </c>
    </row>
    <row r="29436" spans="119:119" x14ac:dyDescent="0.2">
      <c r="DO29436" s="303" t="s">
        <v>232</v>
      </c>
    </row>
    <row r="29437" spans="119:119" x14ac:dyDescent="0.2">
      <c r="DO29437" s="303" t="s">
        <v>232</v>
      </c>
    </row>
    <row r="29438" spans="119:119" x14ac:dyDescent="0.2">
      <c r="DO29438" s="303" t="s">
        <v>232</v>
      </c>
    </row>
    <row r="29439" spans="119:119" x14ac:dyDescent="0.2">
      <c r="DO29439" s="303" t="s">
        <v>232</v>
      </c>
    </row>
    <row r="29440" spans="119:119" x14ac:dyDescent="0.2">
      <c r="DO29440" s="303" t="s">
        <v>232</v>
      </c>
    </row>
    <row r="29441" spans="119:119" x14ac:dyDescent="0.2">
      <c r="DO29441" s="303" t="s">
        <v>232</v>
      </c>
    </row>
    <row r="29442" spans="119:119" x14ac:dyDescent="0.2">
      <c r="DO29442" s="303" t="s">
        <v>232</v>
      </c>
    </row>
    <row r="29443" spans="119:119" x14ac:dyDescent="0.2">
      <c r="DO29443" s="303" t="s">
        <v>232</v>
      </c>
    </row>
    <row r="29444" spans="119:119" x14ac:dyDescent="0.2">
      <c r="DO29444" s="303" t="s">
        <v>232</v>
      </c>
    </row>
    <row r="29445" spans="119:119" x14ac:dyDescent="0.2">
      <c r="DO29445" s="303" t="s">
        <v>232</v>
      </c>
    </row>
    <row r="29446" spans="119:119" x14ac:dyDescent="0.2">
      <c r="DO29446" s="303" t="s">
        <v>232</v>
      </c>
    </row>
    <row r="29447" spans="119:119" x14ac:dyDescent="0.2">
      <c r="DO29447" s="303" t="s">
        <v>232</v>
      </c>
    </row>
    <row r="29448" spans="119:119" x14ac:dyDescent="0.2">
      <c r="DO29448" s="303" t="s">
        <v>232</v>
      </c>
    </row>
    <row r="29449" spans="119:119" x14ac:dyDescent="0.2">
      <c r="DO29449" s="303" t="s">
        <v>232</v>
      </c>
    </row>
    <row r="29450" spans="119:119" x14ac:dyDescent="0.2">
      <c r="DO29450" s="303" t="s">
        <v>232</v>
      </c>
    </row>
    <row r="29451" spans="119:119" x14ac:dyDescent="0.2">
      <c r="DO29451" s="303" t="s">
        <v>232</v>
      </c>
    </row>
    <row r="29452" spans="119:119" x14ac:dyDescent="0.2">
      <c r="DO29452" s="303" t="s">
        <v>232</v>
      </c>
    </row>
    <row r="29453" spans="119:119" x14ac:dyDescent="0.2">
      <c r="DO29453" s="303" t="s">
        <v>232</v>
      </c>
    </row>
    <row r="29454" spans="119:119" x14ac:dyDescent="0.2">
      <c r="DO29454" s="303" t="s">
        <v>232</v>
      </c>
    </row>
    <row r="29455" spans="119:119" x14ac:dyDescent="0.2">
      <c r="DO29455" s="303" t="s">
        <v>232</v>
      </c>
    </row>
    <row r="29456" spans="119:119" x14ac:dyDescent="0.2">
      <c r="DO29456" s="303" t="s">
        <v>232</v>
      </c>
    </row>
    <row r="29457" spans="119:119" x14ac:dyDescent="0.2">
      <c r="DO29457" s="303" t="s">
        <v>232</v>
      </c>
    </row>
    <row r="29458" spans="119:119" x14ac:dyDescent="0.2">
      <c r="DO29458" s="303" t="s">
        <v>232</v>
      </c>
    </row>
    <row r="29459" spans="119:119" x14ac:dyDescent="0.2">
      <c r="DO29459" s="303" t="s">
        <v>232</v>
      </c>
    </row>
    <row r="29460" spans="119:119" x14ac:dyDescent="0.2">
      <c r="DO29460" s="303" t="s">
        <v>232</v>
      </c>
    </row>
    <row r="29461" spans="119:119" x14ac:dyDescent="0.2">
      <c r="DO29461" s="303" t="s">
        <v>232</v>
      </c>
    </row>
    <row r="29462" spans="119:119" x14ac:dyDescent="0.2">
      <c r="DO29462" s="303" t="s">
        <v>232</v>
      </c>
    </row>
    <row r="29463" spans="119:119" x14ac:dyDescent="0.2">
      <c r="DO29463" s="303" t="s">
        <v>232</v>
      </c>
    </row>
    <row r="29464" spans="119:119" x14ac:dyDescent="0.2">
      <c r="DO29464" s="303" t="s">
        <v>232</v>
      </c>
    </row>
    <row r="29465" spans="119:119" x14ac:dyDescent="0.2">
      <c r="DO29465" s="303" t="s">
        <v>232</v>
      </c>
    </row>
    <row r="29466" spans="119:119" x14ac:dyDescent="0.2">
      <c r="DO29466" s="303" t="s">
        <v>232</v>
      </c>
    </row>
    <row r="29467" spans="119:119" x14ac:dyDescent="0.2">
      <c r="DO29467" s="303" t="s">
        <v>232</v>
      </c>
    </row>
    <row r="29468" spans="119:119" x14ac:dyDescent="0.2">
      <c r="DO29468" s="303" t="s">
        <v>232</v>
      </c>
    </row>
    <row r="29469" spans="119:119" x14ac:dyDescent="0.2">
      <c r="DO29469" s="303" t="s">
        <v>232</v>
      </c>
    </row>
    <row r="29470" spans="119:119" x14ac:dyDescent="0.2">
      <c r="DO29470" s="303" t="s">
        <v>232</v>
      </c>
    </row>
    <row r="29471" spans="119:119" x14ac:dyDescent="0.2">
      <c r="DO29471" s="303" t="s">
        <v>232</v>
      </c>
    </row>
    <row r="29472" spans="119:119" x14ac:dyDescent="0.2">
      <c r="DO29472" s="303" t="s">
        <v>232</v>
      </c>
    </row>
    <row r="29473" spans="119:119" x14ac:dyDescent="0.2">
      <c r="DO29473" s="303" t="s">
        <v>232</v>
      </c>
    </row>
    <row r="29474" spans="119:119" x14ac:dyDescent="0.2">
      <c r="DO29474" s="303" t="s">
        <v>232</v>
      </c>
    </row>
    <row r="29475" spans="119:119" x14ac:dyDescent="0.2">
      <c r="DO29475" s="303" t="s">
        <v>232</v>
      </c>
    </row>
    <row r="29476" spans="119:119" x14ac:dyDescent="0.2">
      <c r="DO29476" s="303" t="s">
        <v>232</v>
      </c>
    </row>
    <row r="29477" spans="119:119" x14ac:dyDescent="0.2">
      <c r="DO29477" s="303" t="s">
        <v>232</v>
      </c>
    </row>
    <row r="29478" spans="119:119" x14ac:dyDescent="0.2">
      <c r="DO29478" s="303" t="s">
        <v>232</v>
      </c>
    </row>
    <row r="29479" spans="119:119" x14ac:dyDescent="0.2">
      <c r="DO29479" s="303" t="s">
        <v>232</v>
      </c>
    </row>
    <row r="29480" spans="119:119" x14ac:dyDescent="0.2">
      <c r="DO29480" s="303" t="s">
        <v>232</v>
      </c>
    </row>
    <row r="29481" spans="119:119" x14ac:dyDescent="0.2">
      <c r="DO29481" s="303" t="s">
        <v>232</v>
      </c>
    </row>
    <row r="29482" spans="119:119" x14ac:dyDescent="0.2">
      <c r="DO29482" s="303" t="s">
        <v>232</v>
      </c>
    </row>
    <row r="29483" spans="119:119" x14ac:dyDescent="0.2">
      <c r="DO29483" s="303" t="s">
        <v>232</v>
      </c>
    </row>
    <row r="29484" spans="119:119" x14ac:dyDescent="0.2">
      <c r="DO29484" s="303" t="s">
        <v>232</v>
      </c>
    </row>
    <row r="29485" spans="119:119" x14ac:dyDescent="0.2">
      <c r="DO29485" s="303" t="s">
        <v>232</v>
      </c>
    </row>
    <row r="29486" spans="119:119" x14ac:dyDescent="0.2">
      <c r="DO29486" s="303" t="s">
        <v>232</v>
      </c>
    </row>
    <row r="29487" spans="119:119" x14ac:dyDescent="0.2">
      <c r="DO29487" s="303" t="s">
        <v>232</v>
      </c>
    </row>
    <row r="29488" spans="119:119" x14ac:dyDescent="0.2">
      <c r="DO29488" s="303" t="s">
        <v>232</v>
      </c>
    </row>
    <row r="29489" spans="119:119" x14ac:dyDescent="0.2">
      <c r="DO29489" s="303" t="s">
        <v>232</v>
      </c>
    </row>
    <row r="29490" spans="119:119" x14ac:dyDescent="0.2">
      <c r="DO29490" s="303" t="s">
        <v>232</v>
      </c>
    </row>
    <row r="29491" spans="119:119" x14ac:dyDescent="0.2">
      <c r="DO29491" s="303" t="s">
        <v>232</v>
      </c>
    </row>
    <row r="29492" spans="119:119" x14ac:dyDescent="0.2">
      <c r="DO29492" s="303" t="s">
        <v>232</v>
      </c>
    </row>
    <row r="29493" spans="119:119" x14ac:dyDescent="0.2">
      <c r="DO29493" s="303" t="s">
        <v>232</v>
      </c>
    </row>
    <row r="29494" spans="119:119" x14ac:dyDescent="0.2">
      <c r="DO29494" s="303" t="s">
        <v>232</v>
      </c>
    </row>
    <row r="29495" spans="119:119" x14ac:dyDescent="0.2">
      <c r="DO29495" s="303" t="s">
        <v>232</v>
      </c>
    </row>
    <row r="29496" spans="119:119" x14ac:dyDescent="0.2">
      <c r="DO29496" s="303" t="s">
        <v>232</v>
      </c>
    </row>
    <row r="29497" spans="119:119" x14ac:dyDescent="0.2">
      <c r="DO29497" s="303" t="s">
        <v>232</v>
      </c>
    </row>
    <row r="29498" spans="119:119" x14ac:dyDescent="0.2">
      <c r="DO29498" s="303" t="s">
        <v>232</v>
      </c>
    </row>
    <row r="29499" spans="119:119" x14ac:dyDescent="0.2">
      <c r="DO29499" s="303" t="s">
        <v>232</v>
      </c>
    </row>
    <row r="29500" spans="119:119" x14ac:dyDescent="0.2">
      <c r="DO29500" s="303" t="s">
        <v>232</v>
      </c>
    </row>
    <row r="29501" spans="119:119" x14ac:dyDescent="0.2">
      <c r="DO29501" s="303" t="s">
        <v>232</v>
      </c>
    </row>
    <row r="29502" spans="119:119" x14ac:dyDescent="0.2">
      <c r="DO29502" s="303" t="s">
        <v>232</v>
      </c>
    </row>
    <row r="29503" spans="119:119" x14ac:dyDescent="0.2">
      <c r="DO29503" s="303" t="s">
        <v>232</v>
      </c>
    </row>
    <row r="29504" spans="119:119" x14ac:dyDescent="0.2">
      <c r="DO29504" s="303" t="s">
        <v>232</v>
      </c>
    </row>
    <row r="29505" spans="119:119" x14ac:dyDescent="0.2">
      <c r="DO29505" s="303" t="s">
        <v>232</v>
      </c>
    </row>
    <row r="29506" spans="119:119" x14ac:dyDescent="0.2">
      <c r="DO29506" s="303" t="s">
        <v>232</v>
      </c>
    </row>
    <row r="29507" spans="119:119" x14ac:dyDescent="0.2">
      <c r="DO29507" s="303" t="s">
        <v>232</v>
      </c>
    </row>
    <row r="29508" spans="119:119" x14ac:dyDescent="0.2">
      <c r="DO29508" s="303" t="s">
        <v>232</v>
      </c>
    </row>
    <row r="29509" spans="119:119" x14ac:dyDescent="0.2">
      <c r="DO29509" s="303" t="s">
        <v>232</v>
      </c>
    </row>
    <row r="29510" spans="119:119" x14ac:dyDescent="0.2">
      <c r="DO29510" s="303" t="s">
        <v>232</v>
      </c>
    </row>
    <row r="29511" spans="119:119" x14ac:dyDescent="0.2">
      <c r="DO29511" s="303" t="s">
        <v>232</v>
      </c>
    </row>
    <row r="29512" spans="119:119" x14ac:dyDescent="0.2">
      <c r="DO29512" s="303" t="s">
        <v>232</v>
      </c>
    </row>
    <row r="29513" spans="119:119" x14ac:dyDescent="0.2">
      <c r="DO29513" s="303" t="s">
        <v>232</v>
      </c>
    </row>
    <row r="29514" spans="119:119" x14ac:dyDescent="0.2">
      <c r="DO29514" s="303" t="s">
        <v>232</v>
      </c>
    </row>
    <row r="29515" spans="119:119" x14ac:dyDescent="0.2">
      <c r="DO29515" s="303" t="s">
        <v>232</v>
      </c>
    </row>
    <row r="29516" spans="119:119" x14ac:dyDescent="0.2">
      <c r="DO29516" s="303" t="s">
        <v>232</v>
      </c>
    </row>
    <row r="29517" spans="119:119" x14ac:dyDescent="0.2">
      <c r="DO29517" s="303" t="s">
        <v>232</v>
      </c>
    </row>
    <row r="29518" spans="119:119" x14ac:dyDescent="0.2">
      <c r="DO29518" s="303" t="s">
        <v>232</v>
      </c>
    </row>
    <row r="29519" spans="119:119" x14ac:dyDescent="0.2">
      <c r="DO29519" s="303" t="s">
        <v>232</v>
      </c>
    </row>
    <row r="29520" spans="119:119" x14ac:dyDescent="0.2">
      <c r="DO29520" s="303" t="s">
        <v>232</v>
      </c>
    </row>
    <row r="29521" spans="119:119" x14ac:dyDescent="0.2">
      <c r="DO29521" s="303" t="s">
        <v>232</v>
      </c>
    </row>
    <row r="29522" spans="119:119" x14ac:dyDescent="0.2">
      <c r="DO29522" s="303" t="s">
        <v>232</v>
      </c>
    </row>
    <row r="29523" spans="119:119" x14ac:dyDescent="0.2">
      <c r="DO29523" s="303" t="s">
        <v>232</v>
      </c>
    </row>
    <row r="29524" spans="119:119" x14ac:dyDescent="0.2">
      <c r="DO29524" s="303" t="s">
        <v>232</v>
      </c>
    </row>
    <row r="29525" spans="119:119" x14ac:dyDescent="0.2">
      <c r="DO29525" s="303" t="s">
        <v>232</v>
      </c>
    </row>
    <row r="29526" spans="119:119" x14ac:dyDescent="0.2">
      <c r="DO29526" s="303" t="s">
        <v>232</v>
      </c>
    </row>
    <row r="29527" spans="119:119" x14ac:dyDescent="0.2">
      <c r="DO29527" s="303" t="s">
        <v>232</v>
      </c>
    </row>
    <row r="29528" spans="119:119" x14ac:dyDescent="0.2">
      <c r="DO29528" s="303" t="s">
        <v>232</v>
      </c>
    </row>
    <row r="29529" spans="119:119" x14ac:dyDescent="0.2">
      <c r="DO29529" s="303" t="s">
        <v>232</v>
      </c>
    </row>
    <row r="29530" spans="119:119" x14ac:dyDescent="0.2">
      <c r="DO29530" s="303" t="s">
        <v>232</v>
      </c>
    </row>
    <row r="29531" spans="119:119" x14ac:dyDescent="0.2">
      <c r="DO29531" s="303" t="s">
        <v>232</v>
      </c>
    </row>
    <row r="29532" spans="119:119" x14ac:dyDescent="0.2">
      <c r="DO29532" s="303" t="s">
        <v>232</v>
      </c>
    </row>
    <row r="29533" spans="119:119" x14ac:dyDescent="0.2">
      <c r="DO29533" s="303" t="s">
        <v>232</v>
      </c>
    </row>
    <row r="29534" spans="119:119" x14ac:dyDescent="0.2">
      <c r="DO29534" s="303" t="s">
        <v>232</v>
      </c>
    </row>
    <row r="29535" spans="119:119" x14ac:dyDescent="0.2">
      <c r="DO29535" s="303" t="s">
        <v>232</v>
      </c>
    </row>
    <row r="29536" spans="119:119" x14ac:dyDescent="0.2">
      <c r="DO29536" s="303" t="s">
        <v>232</v>
      </c>
    </row>
    <row r="29537" spans="119:119" x14ac:dyDescent="0.2">
      <c r="DO29537" s="303" t="s">
        <v>232</v>
      </c>
    </row>
    <row r="29538" spans="119:119" x14ac:dyDescent="0.2">
      <c r="DO29538" s="303" t="s">
        <v>232</v>
      </c>
    </row>
    <row r="29539" spans="119:119" x14ac:dyDescent="0.2">
      <c r="DO29539" s="303" t="s">
        <v>232</v>
      </c>
    </row>
    <row r="29540" spans="119:119" x14ac:dyDescent="0.2">
      <c r="DO29540" s="303" t="s">
        <v>232</v>
      </c>
    </row>
    <row r="29541" spans="119:119" x14ac:dyDescent="0.2">
      <c r="DO29541" s="303" t="s">
        <v>232</v>
      </c>
    </row>
    <row r="29542" spans="119:119" x14ac:dyDescent="0.2">
      <c r="DO29542" s="303" t="s">
        <v>232</v>
      </c>
    </row>
    <row r="29543" spans="119:119" x14ac:dyDescent="0.2">
      <c r="DO29543" s="303" t="s">
        <v>232</v>
      </c>
    </row>
    <row r="29544" spans="119:119" x14ac:dyDescent="0.2">
      <c r="DO29544" s="303" t="s">
        <v>232</v>
      </c>
    </row>
    <row r="29545" spans="119:119" x14ac:dyDescent="0.2">
      <c r="DO29545" s="303" t="s">
        <v>232</v>
      </c>
    </row>
    <row r="29546" spans="119:119" x14ac:dyDescent="0.2">
      <c r="DO29546" s="303" t="s">
        <v>232</v>
      </c>
    </row>
    <row r="29547" spans="119:119" x14ac:dyDescent="0.2">
      <c r="DO29547" s="303" t="s">
        <v>232</v>
      </c>
    </row>
    <row r="29548" spans="119:119" x14ac:dyDescent="0.2">
      <c r="DO29548" s="303" t="s">
        <v>232</v>
      </c>
    </row>
    <row r="29549" spans="119:119" x14ac:dyDescent="0.2">
      <c r="DO29549" s="303" t="s">
        <v>232</v>
      </c>
    </row>
    <row r="29550" spans="119:119" x14ac:dyDescent="0.2">
      <c r="DO29550" s="303" t="s">
        <v>232</v>
      </c>
    </row>
    <row r="29551" spans="119:119" x14ac:dyDescent="0.2">
      <c r="DO29551" s="303" t="s">
        <v>232</v>
      </c>
    </row>
    <row r="29552" spans="119:119" x14ac:dyDescent="0.2">
      <c r="DO29552" s="303" t="s">
        <v>232</v>
      </c>
    </row>
    <row r="29553" spans="119:119" x14ac:dyDescent="0.2">
      <c r="DO29553" s="303" t="s">
        <v>232</v>
      </c>
    </row>
    <row r="29554" spans="119:119" x14ac:dyDescent="0.2">
      <c r="DO29554" s="303" t="s">
        <v>232</v>
      </c>
    </row>
    <row r="29555" spans="119:119" x14ac:dyDescent="0.2">
      <c r="DO29555" s="303" t="s">
        <v>232</v>
      </c>
    </row>
    <row r="29556" spans="119:119" x14ac:dyDescent="0.2">
      <c r="DO29556" s="303" t="s">
        <v>232</v>
      </c>
    </row>
    <row r="29557" spans="119:119" x14ac:dyDescent="0.2">
      <c r="DO29557" s="303" t="s">
        <v>232</v>
      </c>
    </row>
    <row r="29558" spans="119:119" x14ac:dyDescent="0.2">
      <c r="DO29558" s="303" t="s">
        <v>232</v>
      </c>
    </row>
    <row r="29559" spans="119:119" x14ac:dyDescent="0.2">
      <c r="DO29559" s="303" t="s">
        <v>232</v>
      </c>
    </row>
    <row r="29560" spans="119:119" x14ac:dyDescent="0.2">
      <c r="DO29560" s="303" t="s">
        <v>232</v>
      </c>
    </row>
    <row r="29561" spans="119:119" x14ac:dyDescent="0.2">
      <c r="DO29561" s="303" t="s">
        <v>232</v>
      </c>
    </row>
    <row r="29562" spans="119:119" x14ac:dyDescent="0.2">
      <c r="DO29562" s="303" t="s">
        <v>232</v>
      </c>
    </row>
    <row r="29563" spans="119:119" x14ac:dyDescent="0.2">
      <c r="DO29563" s="303" t="s">
        <v>232</v>
      </c>
    </row>
    <row r="29564" spans="119:119" x14ac:dyDescent="0.2">
      <c r="DO29564" s="303" t="s">
        <v>232</v>
      </c>
    </row>
    <row r="29565" spans="119:119" x14ac:dyDescent="0.2">
      <c r="DO29565" s="303" t="s">
        <v>232</v>
      </c>
    </row>
    <row r="29566" spans="119:119" x14ac:dyDescent="0.2">
      <c r="DO29566" s="303" t="s">
        <v>232</v>
      </c>
    </row>
    <row r="29567" spans="119:119" x14ac:dyDescent="0.2">
      <c r="DO29567" s="303" t="s">
        <v>232</v>
      </c>
    </row>
    <row r="29568" spans="119:119" x14ac:dyDescent="0.2">
      <c r="DO29568" s="303" t="s">
        <v>232</v>
      </c>
    </row>
    <row r="29569" spans="119:119" x14ac:dyDescent="0.2">
      <c r="DO29569" s="303" t="s">
        <v>232</v>
      </c>
    </row>
    <row r="29570" spans="119:119" x14ac:dyDescent="0.2">
      <c r="DO29570" s="303" t="s">
        <v>232</v>
      </c>
    </row>
    <row r="29571" spans="119:119" x14ac:dyDescent="0.2">
      <c r="DO29571" s="303" t="s">
        <v>232</v>
      </c>
    </row>
    <row r="29572" spans="119:119" x14ac:dyDescent="0.2">
      <c r="DO29572" s="303" t="s">
        <v>232</v>
      </c>
    </row>
    <row r="29573" spans="119:119" x14ac:dyDescent="0.2">
      <c r="DO29573" s="303" t="s">
        <v>232</v>
      </c>
    </row>
    <row r="29574" spans="119:119" x14ac:dyDescent="0.2">
      <c r="DO29574" s="303" t="s">
        <v>232</v>
      </c>
    </row>
    <row r="29575" spans="119:119" x14ac:dyDescent="0.2">
      <c r="DO29575" s="303" t="s">
        <v>232</v>
      </c>
    </row>
    <row r="29576" spans="119:119" x14ac:dyDescent="0.2">
      <c r="DO29576" s="303" t="s">
        <v>232</v>
      </c>
    </row>
    <row r="29577" spans="119:119" x14ac:dyDescent="0.2">
      <c r="DO29577" s="303" t="s">
        <v>232</v>
      </c>
    </row>
    <row r="29578" spans="119:119" x14ac:dyDescent="0.2">
      <c r="DO29578" s="303" t="s">
        <v>232</v>
      </c>
    </row>
    <row r="29579" spans="119:119" x14ac:dyDescent="0.2">
      <c r="DO29579" s="303" t="s">
        <v>232</v>
      </c>
    </row>
    <row r="29580" spans="119:119" x14ac:dyDescent="0.2">
      <c r="DO29580" s="303" t="s">
        <v>232</v>
      </c>
    </row>
    <row r="29581" spans="119:119" x14ac:dyDescent="0.2">
      <c r="DO29581" s="303" t="s">
        <v>232</v>
      </c>
    </row>
    <row r="29582" spans="119:119" x14ac:dyDescent="0.2">
      <c r="DO29582" s="303" t="s">
        <v>232</v>
      </c>
    </row>
    <row r="29583" spans="119:119" x14ac:dyDescent="0.2">
      <c r="DO29583" s="303" t="s">
        <v>232</v>
      </c>
    </row>
    <row r="29584" spans="119:119" x14ac:dyDescent="0.2">
      <c r="DO29584" s="303" t="s">
        <v>232</v>
      </c>
    </row>
    <row r="29585" spans="119:119" x14ac:dyDescent="0.2">
      <c r="DO29585" s="303" t="s">
        <v>232</v>
      </c>
    </row>
    <row r="29586" spans="119:119" x14ac:dyDescent="0.2">
      <c r="DO29586" s="303" t="s">
        <v>232</v>
      </c>
    </row>
    <row r="29587" spans="119:119" x14ac:dyDescent="0.2">
      <c r="DO29587" s="303" t="s">
        <v>232</v>
      </c>
    </row>
    <row r="29588" spans="119:119" x14ac:dyDescent="0.2">
      <c r="DO29588" s="303" t="s">
        <v>232</v>
      </c>
    </row>
    <row r="29589" spans="119:119" x14ac:dyDescent="0.2">
      <c r="DO29589" s="303" t="s">
        <v>232</v>
      </c>
    </row>
    <row r="29590" spans="119:119" x14ac:dyDescent="0.2">
      <c r="DO29590" s="303" t="s">
        <v>232</v>
      </c>
    </row>
    <row r="29591" spans="119:119" x14ac:dyDescent="0.2">
      <c r="DO29591" s="303" t="s">
        <v>232</v>
      </c>
    </row>
    <row r="29592" spans="119:119" x14ac:dyDescent="0.2">
      <c r="DO29592" s="303" t="s">
        <v>232</v>
      </c>
    </row>
    <row r="29593" spans="119:119" x14ac:dyDescent="0.2">
      <c r="DO29593" s="303" t="s">
        <v>232</v>
      </c>
    </row>
    <row r="29594" spans="119:119" x14ac:dyDescent="0.2">
      <c r="DO29594" s="303" t="s">
        <v>232</v>
      </c>
    </row>
    <row r="29595" spans="119:119" x14ac:dyDescent="0.2">
      <c r="DO29595" s="303" t="s">
        <v>232</v>
      </c>
    </row>
    <row r="29596" spans="119:119" x14ac:dyDescent="0.2">
      <c r="DO29596" s="303" t="s">
        <v>232</v>
      </c>
    </row>
    <row r="29597" spans="119:119" x14ac:dyDescent="0.2">
      <c r="DO29597" s="303" t="s">
        <v>232</v>
      </c>
    </row>
    <row r="29598" spans="119:119" x14ac:dyDescent="0.2">
      <c r="DO29598" s="303" t="s">
        <v>232</v>
      </c>
    </row>
    <row r="29599" spans="119:119" x14ac:dyDescent="0.2">
      <c r="DO29599" s="303" t="s">
        <v>232</v>
      </c>
    </row>
    <row r="29600" spans="119:119" x14ac:dyDescent="0.2">
      <c r="DO29600" s="303" t="s">
        <v>232</v>
      </c>
    </row>
    <row r="29601" spans="119:119" x14ac:dyDescent="0.2">
      <c r="DO29601" s="303" t="s">
        <v>232</v>
      </c>
    </row>
    <row r="29602" spans="119:119" x14ac:dyDescent="0.2">
      <c r="DO29602" s="303" t="s">
        <v>232</v>
      </c>
    </row>
    <row r="29603" spans="119:119" x14ac:dyDescent="0.2">
      <c r="DO29603" s="303" t="s">
        <v>232</v>
      </c>
    </row>
    <row r="29604" spans="119:119" x14ac:dyDescent="0.2">
      <c r="DO29604" s="303" t="s">
        <v>232</v>
      </c>
    </row>
    <row r="29605" spans="119:119" x14ac:dyDescent="0.2">
      <c r="DO29605" s="303" t="s">
        <v>232</v>
      </c>
    </row>
    <row r="29606" spans="119:119" x14ac:dyDescent="0.2">
      <c r="DO29606" s="303" t="s">
        <v>232</v>
      </c>
    </row>
    <row r="29607" spans="119:119" x14ac:dyDescent="0.2">
      <c r="DO29607" s="303" t="s">
        <v>232</v>
      </c>
    </row>
    <row r="29608" spans="119:119" x14ac:dyDescent="0.2">
      <c r="DO29608" s="303" t="s">
        <v>232</v>
      </c>
    </row>
    <row r="29609" spans="119:119" x14ac:dyDescent="0.2">
      <c r="DO29609" s="303" t="s">
        <v>232</v>
      </c>
    </row>
    <row r="29610" spans="119:119" x14ac:dyDescent="0.2">
      <c r="DO29610" s="303" t="s">
        <v>232</v>
      </c>
    </row>
    <row r="29611" spans="119:119" x14ac:dyDescent="0.2">
      <c r="DO29611" s="303" t="s">
        <v>232</v>
      </c>
    </row>
    <row r="29612" spans="119:119" x14ac:dyDescent="0.2">
      <c r="DO29612" s="303" t="s">
        <v>232</v>
      </c>
    </row>
    <row r="29613" spans="119:119" x14ac:dyDescent="0.2">
      <c r="DO29613" s="303" t="s">
        <v>232</v>
      </c>
    </row>
    <row r="29614" spans="119:119" x14ac:dyDescent="0.2">
      <c r="DO29614" s="303" t="s">
        <v>232</v>
      </c>
    </row>
    <row r="29615" spans="119:119" x14ac:dyDescent="0.2">
      <c r="DO29615" s="303" t="s">
        <v>232</v>
      </c>
    </row>
    <row r="29616" spans="119:119" x14ac:dyDescent="0.2">
      <c r="DO29616" s="303" t="s">
        <v>232</v>
      </c>
    </row>
    <row r="29617" spans="119:119" x14ac:dyDescent="0.2">
      <c r="DO29617" s="303" t="s">
        <v>232</v>
      </c>
    </row>
    <row r="29618" spans="119:119" x14ac:dyDescent="0.2">
      <c r="DO29618" s="303" t="s">
        <v>232</v>
      </c>
    </row>
    <row r="29619" spans="119:119" x14ac:dyDescent="0.2">
      <c r="DO29619" s="303" t="s">
        <v>232</v>
      </c>
    </row>
    <row r="29620" spans="119:119" x14ac:dyDescent="0.2">
      <c r="DO29620" s="303" t="s">
        <v>232</v>
      </c>
    </row>
    <row r="29621" spans="119:119" x14ac:dyDescent="0.2">
      <c r="DO29621" s="303" t="s">
        <v>232</v>
      </c>
    </row>
    <row r="29622" spans="119:119" x14ac:dyDescent="0.2">
      <c r="DO29622" s="303" t="s">
        <v>232</v>
      </c>
    </row>
    <row r="29623" spans="119:119" x14ac:dyDescent="0.2">
      <c r="DO29623" s="303" t="s">
        <v>232</v>
      </c>
    </row>
    <row r="29624" spans="119:119" x14ac:dyDescent="0.2">
      <c r="DO29624" s="303" t="s">
        <v>232</v>
      </c>
    </row>
    <row r="29625" spans="119:119" x14ac:dyDescent="0.2">
      <c r="DO29625" s="303" t="s">
        <v>232</v>
      </c>
    </row>
    <row r="29626" spans="119:119" x14ac:dyDescent="0.2">
      <c r="DO29626" s="303" t="s">
        <v>232</v>
      </c>
    </row>
    <row r="29627" spans="119:119" x14ac:dyDescent="0.2">
      <c r="DO29627" s="303" t="s">
        <v>232</v>
      </c>
    </row>
    <row r="29628" spans="119:119" x14ac:dyDescent="0.2">
      <c r="DO29628" s="303" t="s">
        <v>232</v>
      </c>
    </row>
    <row r="29629" spans="119:119" x14ac:dyDescent="0.2">
      <c r="DO29629" s="303" t="s">
        <v>232</v>
      </c>
    </row>
    <row r="29630" spans="119:119" x14ac:dyDescent="0.2">
      <c r="DO29630" s="303" t="s">
        <v>232</v>
      </c>
    </row>
    <row r="29631" spans="119:119" x14ac:dyDescent="0.2">
      <c r="DO29631" s="303" t="s">
        <v>232</v>
      </c>
    </row>
    <row r="29632" spans="119:119" x14ac:dyDescent="0.2">
      <c r="DO29632" s="303" t="s">
        <v>232</v>
      </c>
    </row>
    <row r="29633" spans="119:119" x14ac:dyDescent="0.2">
      <c r="DO29633" s="303" t="s">
        <v>232</v>
      </c>
    </row>
    <row r="29634" spans="119:119" x14ac:dyDescent="0.2">
      <c r="DO29634" s="303" t="s">
        <v>232</v>
      </c>
    </row>
    <row r="29635" spans="119:119" x14ac:dyDescent="0.2">
      <c r="DO29635" s="303" t="s">
        <v>232</v>
      </c>
    </row>
    <row r="29636" spans="119:119" x14ac:dyDescent="0.2">
      <c r="DO29636" s="303" t="s">
        <v>232</v>
      </c>
    </row>
    <row r="29637" spans="119:119" x14ac:dyDescent="0.2">
      <c r="DO29637" s="303" t="s">
        <v>232</v>
      </c>
    </row>
    <row r="29638" spans="119:119" x14ac:dyDescent="0.2">
      <c r="DO29638" s="303" t="s">
        <v>232</v>
      </c>
    </row>
    <row r="29639" spans="119:119" x14ac:dyDescent="0.2">
      <c r="DO29639" s="303" t="s">
        <v>232</v>
      </c>
    </row>
    <row r="29640" spans="119:119" x14ac:dyDescent="0.2">
      <c r="DO29640" s="303" t="s">
        <v>232</v>
      </c>
    </row>
    <row r="29641" spans="119:119" x14ac:dyDescent="0.2">
      <c r="DO29641" s="303" t="s">
        <v>232</v>
      </c>
    </row>
    <row r="29642" spans="119:119" x14ac:dyDescent="0.2">
      <c r="DO29642" s="303" t="s">
        <v>232</v>
      </c>
    </row>
    <row r="29643" spans="119:119" x14ac:dyDescent="0.2">
      <c r="DO29643" s="303" t="s">
        <v>232</v>
      </c>
    </row>
    <row r="29644" spans="119:119" x14ac:dyDescent="0.2">
      <c r="DO29644" s="303" t="s">
        <v>232</v>
      </c>
    </row>
    <row r="29645" spans="119:119" x14ac:dyDescent="0.2">
      <c r="DO29645" s="303" t="s">
        <v>232</v>
      </c>
    </row>
    <row r="29646" spans="119:119" x14ac:dyDescent="0.2">
      <c r="DO29646" s="303" t="s">
        <v>232</v>
      </c>
    </row>
    <row r="29647" spans="119:119" x14ac:dyDescent="0.2">
      <c r="DO29647" s="303" t="s">
        <v>232</v>
      </c>
    </row>
    <row r="29648" spans="119:119" x14ac:dyDescent="0.2">
      <c r="DO29648" s="303" t="s">
        <v>232</v>
      </c>
    </row>
    <row r="29649" spans="119:119" x14ac:dyDescent="0.2">
      <c r="DO29649" s="303" t="s">
        <v>232</v>
      </c>
    </row>
    <row r="29650" spans="119:119" x14ac:dyDescent="0.2">
      <c r="DO29650" s="303" t="s">
        <v>232</v>
      </c>
    </row>
    <row r="29651" spans="119:119" x14ac:dyDescent="0.2">
      <c r="DO29651" s="303" t="s">
        <v>232</v>
      </c>
    </row>
    <row r="29652" spans="119:119" x14ac:dyDescent="0.2">
      <c r="DO29652" s="303" t="s">
        <v>232</v>
      </c>
    </row>
    <row r="29653" spans="119:119" x14ac:dyDescent="0.2">
      <c r="DO29653" s="303" t="s">
        <v>232</v>
      </c>
    </row>
    <row r="29654" spans="119:119" x14ac:dyDescent="0.2">
      <c r="DO29654" s="303" t="s">
        <v>232</v>
      </c>
    </row>
    <row r="29655" spans="119:119" x14ac:dyDescent="0.2">
      <c r="DO29655" s="303" t="s">
        <v>232</v>
      </c>
    </row>
    <row r="29656" spans="119:119" x14ac:dyDescent="0.2">
      <c r="DO29656" s="303" t="s">
        <v>232</v>
      </c>
    </row>
    <row r="29657" spans="119:119" x14ac:dyDescent="0.2">
      <c r="DO29657" s="303" t="s">
        <v>232</v>
      </c>
    </row>
    <row r="29658" spans="119:119" x14ac:dyDescent="0.2">
      <c r="DO29658" s="303" t="s">
        <v>232</v>
      </c>
    </row>
    <row r="29659" spans="119:119" x14ac:dyDescent="0.2">
      <c r="DO29659" s="303" t="s">
        <v>232</v>
      </c>
    </row>
    <row r="29660" spans="119:119" x14ac:dyDescent="0.2">
      <c r="DO29660" s="303" t="s">
        <v>232</v>
      </c>
    </row>
    <row r="29661" spans="119:119" x14ac:dyDescent="0.2">
      <c r="DO29661" s="303" t="s">
        <v>232</v>
      </c>
    </row>
    <row r="29662" spans="119:119" x14ac:dyDescent="0.2">
      <c r="DO29662" s="303" t="s">
        <v>232</v>
      </c>
    </row>
    <row r="29663" spans="119:119" x14ac:dyDescent="0.2">
      <c r="DO29663" s="303" t="s">
        <v>232</v>
      </c>
    </row>
    <row r="29664" spans="119:119" x14ac:dyDescent="0.2">
      <c r="DO29664" s="303" t="s">
        <v>232</v>
      </c>
    </row>
    <row r="29665" spans="119:119" x14ac:dyDescent="0.2">
      <c r="DO29665" s="303" t="s">
        <v>232</v>
      </c>
    </row>
    <row r="29666" spans="119:119" x14ac:dyDescent="0.2">
      <c r="DO29666" s="303" t="s">
        <v>232</v>
      </c>
    </row>
    <row r="29667" spans="119:119" x14ac:dyDescent="0.2">
      <c r="DO29667" s="303" t="s">
        <v>232</v>
      </c>
    </row>
    <row r="29668" spans="119:119" x14ac:dyDescent="0.2">
      <c r="DO29668" s="303" t="s">
        <v>232</v>
      </c>
    </row>
    <row r="29669" spans="119:119" x14ac:dyDescent="0.2">
      <c r="DO29669" s="303" t="s">
        <v>232</v>
      </c>
    </row>
    <row r="29670" spans="119:119" x14ac:dyDescent="0.2">
      <c r="DO29670" s="303" t="s">
        <v>232</v>
      </c>
    </row>
    <row r="29671" spans="119:119" x14ac:dyDescent="0.2">
      <c r="DO29671" s="303" t="s">
        <v>232</v>
      </c>
    </row>
    <row r="29672" spans="119:119" x14ac:dyDescent="0.2">
      <c r="DO29672" s="303" t="s">
        <v>232</v>
      </c>
    </row>
    <row r="29673" spans="119:119" x14ac:dyDescent="0.2">
      <c r="DO29673" s="303" t="s">
        <v>232</v>
      </c>
    </row>
    <row r="29674" spans="119:119" x14ac:dyDescent="0.2">
      <c r="DO29674" s="303" t="s">
        <v>232</v>
      </c>
    </row>
    <row r="29675" spans="119:119" x14ac:dyDescent="0.2">
      <c r="DO29675" s="303" t="s">
        <v>232</v>
      </c>
    </row>
    <row r="29676" spans="119:119" x14ac:dyDescent="0.2">
      <c r="DO29676" s="303" t="s">
        <v>232</v>
      </c>
    </row>
    <row r="29677" spans="119:119" x14ac:dyDescent="0.2">
      <c r="DO29677" s="303" t="s">
        <v>232</v>
      </c>
    </row>
    <row r="29678" spans="119:119" x14ac:dyDescent="0.2">
      <c r="DO29678" s="303" t="s">
        <v>232</v>
      </c>
    </row>
    <row r="29679" spans="119:119" x14ac:dyDescent="0.2">
      <c r="DO29679" s="303" t="s">
        <v>232</v>
      </c>
    </row>
    <row r="29680" spans="119:119" x14ac:dyDescent="0.2">
      <c r="DO29680" s="303" t="s">
        <v>232</v>
      </c>
    </row>
    <row r="29681" spans="119:119" x14ac:dyDescent="0.2">
      <c r="DO29681" s="303" t="s">
        <v>232</v>
      </c>
    </row>
    <row r="29682" spans="119:119" x14ac:dyDescent="0.2">
      <c r="DO29682" s="303" t="s">
        <v>232</v>
      </c>
    </row>
    <row r="29683" spans="119:119" x14ac:dyDescent="0.2">
      <c r="DO29683" s="303" t="s">
        <v>232</v>
      </c>
    </row>
    <row r="29684" spans="119:119" x14ac:dyDescent="0.2">
      <c r="DO29684" s="303" t="s">
        <v>232</v>
      </c>
    </row>
    <row r="29685" spans="119:119" x14ac:dyDescent="0.2">
      <c r="DO29685" s="303" t="s">
        <v>232</v>
      </c>
    </row>
    <row r="29686" spans="119:119" x14ac:dyDescent="0.2">
      <c r="DO29686" s="303" t="s">
        <v>232</v>
      </c>
    </row>
    <row r="29687" spans="119:119" x14ac:dyDescent="0.2">
      <c r="DO29687" s="303" t="s">
        <v>232</v>
      </c>
    </row>
    <row r="29688" spans="119:119" x14ac:dyDescent="0.2">
      <c r="DO29688" s="303" t="s">
        <v>232</v>
      </c>
    </row>
    <row r="29689" spans="119:119" x14ac:dyDescent="0.2">
      <c r="DO29689" s="303" t="s">
        <v>232</v>
      </c>
    </row>
    <row r="29690" spans="119:119" x14ac:dyDescent="0.2">
      <c r="DO29690" s="303" t="s">
        <v>232</v>
      </c>
    </row>
    <row r="29691" spans="119:119" x14ac:dyDescent="0.2">
      <c r="DO29691" s="303" t="s">
        <v>232</v>
      </c>
    </row>
    <row r="29692" spans="119:119" x14ac:dyDescent="0.2">
      <c r="DO29692" s="303" t="s">
        <v>232</v>
      </c>
    </row>
    <row r="29693" spans="119:119" x14ac:dyDescent="0.2">
      <c r="DO29693" s="303" t="s">
        <v>232</v>
      </c>
    </row>
    <row r="29694" spans="119:119" x14ac:dyDescent="0.2">
      <c r="DO29694" s="303" t="s">
        <v>232</v>
      </c>
    </row>
    <row r="29695" spans="119:119" x14ac:dyDescent="0.2">
      <c r="DO29695" s="303" t="s">
        <v>232</v>
      </c>
    </row>
    <row r="29696" spans="119:119" x14ac:dyDescent="0.2">
      <c r="DO29696" s="303" t="s">
        <v>232</v>
      </c>
    </row>
    <row r="29697" spans="119:119" x14ac:dyDescent="0.2">
      <c r="DO29697" s="303" t="s">
        <v>232</v>
      </c>
    </row>
    <row r="29698" spans="119:119" x14ac:dyDescent="0.2">
      <c r="DO29698" s="303" t="s">
        <v>232</v>
      </c>
    </row>
    <row r="29699" spans="119:119" x14ac:dyDescent="0.2">
      <c r="DO29699" s="303" t="s">
        <v>232</v>
      </c>
    </row>
    <row r="29700" spans="119:119" x14ac:dyDescent="0.2">
      <c r="DO29700" s="303" t="s">
        <v>232</v>
      </c>
    </row>
    <row r="29701" spans="119:119" x14ac:dyDescent="0.2">
      <c r="DO29701" s="303" t="s">
        <v>232</v>
      </c>
    </row>
    <row r="29702" spans="119:119" x14ac:dyDescent="0.2">
      <c r="DO29702" s="303" t="s">
        <v>232</v>
      </c>
    </row>
    <row r="29703" spans="119:119" x14ac:dyDescent="0.2">
      <c r="DO29703" s="303" t="s">
        <v>232</v>
      </c>
    </row>
    <row r="29704" spans="119:119" x14ac:dyDescent="0.2">
      <c r="DO29704" s="303" t="s">
        <v>232</v>
      </c>
    </row>
    <row r="29705" spans="119:119" x14ac:dyDescent="0.2">
      <c r="DO29705" s="303" t="s">
        <v>232</v>
      </c>
    </row>
    <row r="29706" spans="119:119" x14ac:dyDescent="0.2">
      <c r="DO29706" s="303" t="s">
        <v>232</v>
      </c>
    </row>
    <row r="29707" spans="119:119" x14ac:dyDescent="0.2">
      <c r="DO29707" s="303" t="s">
        <v>232</v>
      </c>
    </row>
    <row r="29708" spans="119:119" x14ac:dyDescent="0.2">
      <c r="DO29708" s="303" t="s">
        <v>232</v>
      </c>
    </row>
    <row r="29709" spans="119:119" x14ac:dyDescent="0.2">
      <c r="DO29709" s="303" t="s">
        <v>232</v>
      </c>
    </row>
    <row r="29710" spans="119:119" x14ac:dyDescent="0.2">
      <c r="DO29710" s="303" t="s">
        <v>232</v>
      </c>
    </row>
    <row r="29711" spans="119:119" x14ac:dyDescent="0.2">
      <c r="DO29711" s="303" t="s">
        <v>232</v>
      </c>
    </row>
    <row r="29712" spans="119:119" x14ac:dyDescent="0.2">
      <c r="DO29712" s="303" t="s">
        <v>232</v>
      </c>
    </row>
    <row r="29713" spans="119:119" x14ac:dyDescent="0.2">
      <c r="DO29713" s="303" t="s">
        <v>232</v>
      </c>
    </row>
    <row r="29714" spans="119:119" x14ac:dyDescent="0.2">
      <c r="DO29714" s="303" t="s">
        <v>232</v>
      </c>
    </row>
    <row r="29715" spans="119:119" x14ac:dyDescent="0.2">
      <c r="DO29715" s="303" t="s">
        <v>232</v>
      </c>
    </row>
    <row r="29716" spans="119:119" x14ac:dyDescent="0.2">
      <c r="DO29716" s="303" t="s">
        <v>232</v>
      </c>
    </row>
    <row r="29717" spans="119:119" x14ac:dyDescent="0.2">
      <c r="DO29717" s="303" t="s">
        <v>232</v>
      </c>
    </row>
    <row r="29718" spans="119:119" x14ac:dyDescent="0.2">
      <c r="DO29718" s="303" t="s">
        <v>232</v>
      </c>
    </row>
    <row r="29719" spans="119:119" x14ac:dyDescent="0.2">
      <c r="DO29719" s="303" t="s">
        <v>232</v>
      </c>
    </row>
    <row r="29720" spans="119:119" x14ac:dyDescent="0.2">
      <c r="DO29720" s="303" t="s">
        <v>232</v>
      </c>
    </row>
    <row r="29721" spans="119:119" x14ac:dyDescent="0.2">
      <c r="DO29721" s="303" t="s">
        <v>232</v>
      </c>
    </row>
    <row r="29722" spans="119:119" x14ac:dyDescent="0.2">
      <c r="DO29722" s="303" t="s">
        <v>232</v>
      </c>
    </row>
    <row r="29723" spans="119:119" x14ac:dyDescent="0.2">
      <c r="DO29723" s="303" t="s">
        <v>232</v>
      </c>
    </row>
    <row r="29724" spans="119:119" x14ac:dyDescent="0.2">
      <c r="DO29724" s="303" t="s">
        <v>232</v>
      </c>
    </row>
    <row r="29725" spans="119:119" x14ac:dyDescent="0.2">
      <c r="DO29725" s="303" t="s">
        <v>232</v>
      </c>
    </row>
    <row r="29726" spans="119:119" x14ac:dyDescent="0.2">
      <c r="DO29726" s="303" t="s">
        <v>232</v>
      </c>
    </row>
    <row r="29727" spans="119:119" x14ac:dyDescent="0.2">
      <c r="DO29727" s="303" t="s">
        <v>232</v>
      </c>
    </row>
    <row r="29728" spans="119:119" x14ac:dyDescent="0.2">
      <c r="DO29728" s="303" t="s">
        <v>232</v>
      </c>
    </row>
    <row r="29729" spans="119:119" x14ac:dyDescent="0.2">
      <c r="DO29729" s="303" t="s">
        <v>232</v>
      </c>
    </row>
    <row r="29730" spans="119:119" x14ac:dyDescent="0.2">
      <c r="DO29730" s="303" t="s">
        <v>232</v>
      </c>
    </row>
    <row r="29731" spans="119:119" x14ac:dyDescent="0.2">
      <c r="DO29731" s="303" t="s">
        <v>232</v>
      </c>
    </row>
    <row r="29732" spans="119:119" x14ac:dyDescent="0.2">
      <c r="DO29732" s="303" t="s">
        <v>232</v>
      </c>
    </row>
    <row r="29733" spans="119:119" x14ac:dyDescent="0.2">
      <c r="DO29733" s="303" t="s">
        <v>232</v>
      </c>
    </row>
    <row r="29734" spans="119:119" x14ac:dyDescent="0.2">
      <c r="DO29734" s="303" t="s">
        <v>232</v>
      </c>
    </row>
    <row r="29735" spans="119:119" x14ac:dyDescent="0.2">
      <c r="DO29735" s="303" t="s">
        <v>232</v>
      </c>
    </row>
    <row r="29736" spans="119:119" x14ac:dyDescent="0.2">
      <c r="DO29736" s="303" t="s">
        <v>232</v>
      </c>
    </row>
    <row r="29737" spans="119:119" x14ac:dyDescent="0.2">
      <c r="DO29737" s="303" t="s">
        <v>232</v>
      </c>
    </row>
    <row r="29738" spans="119:119" x14ac:dyDescent="0.2">
      <c r="DO29738" s="303" t="s">
        <v>232</v>
      </c>
    </row>
    <row r="29739" spans="119:119" x14ac:dyDescent="0.2">
      <c r="DO29739" s="303" t="s">
        <v>232</v>
      </c>
    </row>
    <row r="29740" spans="119:119" x14ac:dyDescent="0.2">
      <c r="DO29740" s="303" t="s">
        <v>232</v>
      </c>
    </row>
    <row r="29741" spans="119:119" x14ac:dyDescent="0.2">
      <c r="DO29741" s="303" t="s">
        <v>232</v>
      </c>
    </row>
    <row r="29742" spans="119:119" x14ac:dyDescent="0.2">
      <c r="DO29742" s="303" t="s">
        <v>232</v>
      </c>
    </row>
    <row r="29743" spans="119:119" x14ac:dyDescent="0.2">
      <c r="DO29743" s="303" t="s">
        <v>232</v>
      </c>
    </row>
    <row r="29744" spans="119:119" x14ac:dyDescent="0.2">
      <c r="DO29744" s="303" t="s">
        <v>232</v>
      </c>
    </row>
    <row r="29745" spans="119:119" x14ac:dyDescent="0.2">
      <c r="DO29745" s="303" t="s">
        <v>232</v>
      </c>
    </row>
    <row r="29746" spans="119:119" x14ac:dyDescent="0.2">
      <c r="DO29746" s="303" t="s">
        <v>232</v>
      </c>
    </row>
    <row r="29747" spans="119:119" x14ac:dyDescent="0.2">
      <c r="DO29747" s="303" t="s">
        <v>232</v>
      </c>
    </row>
    <row r="29748" spans="119:119" x14ac:dyDescent="0.2">
      <c r="DO29748" s="303" t="s">
        <v>232</v>
      </c>
    </row>
    <row r="29749" spans="119:119" x14ac:dyDescent="0.2">
      <c r="DO29749" s="303" t="s">
        <v>232</v>
      </c>
    </row>
    <row r="29750" spans="119:119" x14ac:dyDescent="0.2">
      <c r="DO29750" s="303" t="s">
        <v>232</v>
      </c>
    </row>
    <row r="29751" spans="119:119" x14ac:dyDescent="0.2">
      <c r="DO29751" s="303" t="s">
        <v>232</v>
      </c>
    </row>
    <row r="29752" spans="119:119" x14ac:dyDescent="0.2">
      <c r="DO29752" s="303" t="s">
        <v>232</v>
      </c>
    </row>
    <row r="29753" spans="119:119" x14ac:dyDescent="0.2">
      <c r="DO29753" s="303" t="s">
        <v>232</v>
      </c>
    </row>
    <row r="29754" spans="119:119" x14ac:dyDescent="0.2">
      <c r="DO29754" s="303" t="s">
        <v>232</v>
      </c>
    </row>
    <row r="29755" spans="119:119" x14ac:dyDescent="0.2">
      <c r="DO29755" s="303" t="s">
        <v>232</v>
      </c>
    </row>
    <row r="29756" spans="119:119" x14ac:dyDescent="0.2">
      <c r="DO29756" s="303" t="s">
        <v>232</v>
      </c>
    </row>
    <row r="29757" spans="119:119" x14ac:dyDescent="0.2">
      <c r="DO29757" s="303" t="s">
        <v>232</v>
      </c>
    </row>
    <row r="29758" spans="119:119" x14ac:dyDescent="0.2">
      <c r="DO29758" s="303" t="s">
        <v>232</v>
      </c>
    </row>
    <row r="29759" spans="119:119" x14ac:dyDescent="0.2">
      <c r="DO29759" s="303" t="s">
        <v>232</v>
      </c>
    </row>
    <row r="29760" spans="119:119" x14ac:dyDescent="0.2">
      <c r="DO29760" s="303" t="s">
        <v>232</v>
      </c>
    </row>
    <row r="29761" spans="119:119" x14ac:dyDescent="0.2">
      <c r="DO29761" s="303" t="s">
        <v>232</v>
      </c>
    </row>
    <row r="29762" spans="119:119" x14ac:dyDescent="0.2">
      <c r="DO29762" s="303" t="s">
        <v>232</v>
      </c>
    </row>
    <row r="29763" spans="119:119" x14ac:dyDescent="0.2">
      <c r="DO29763" s="303" t="s">
        <v>232</v>
      </c>
    </row>
    <row r="29764" spans="119:119" x14ac:dyDescent="0.2">
      <c r="DO29764" s="303" t="s">
        <v>232</v>
      </c>
    </row>
    <row r="29765" spans="119:119" x14ac:dyDescent="0.2">
      <c r="DO29765" s="303" t="s">
        <v>232</v>
      </c>
    </row>
    <row r="29766" spans="119:119" x14ac:dyDescent="0.2">
      <c r="DO29766" s="303" t="s">
        <v>232</v>
      </c>
    </row>
    <row r="29767" spans="119:119" x14ac:dyDescent="0.2">
      <c r="DO29767" s="303" t="s">
        <v>232</v>
      </c>
    </row>
    <row r="29768" spans="119:119" x14ac:dyDescent="0.2">
      <c r="DO29768" s="303" t="s">
        <v>232</v>
      </c>
    </row>
    <row r="29769" spans="119:119" x14ac:dyDescent="0.2">
      <c r="DO29769" s="303" t="s">
        <v>232</v>
      </c>
    </row>
    <row r="29770" spans="119:119" x14ac:dyDescent="0.2">
      <c r="DO29770" s="303" t="s">
        <v>232</v>
      </c>
    </row>
    <row r="29771" spans="119:119" x14ac:dyDescent="0.2">
      <c r="DO29771" s="303" t="s">
        <v>232</v>
      </c>
    </row>
    <row r="29772" spans="119:119" x14ac:dyDescent="0.2">
      <c r="DO29772" s="303" t="s">
        <v>232</v>
      </c>
    </row>
    <row r="29773" spans="119:119" x14ac:dyDescent="0.2">
      <c r="DO29773" s="303" t="s">
        <v>232</v>
      </c>
    </row>
    <row r="29774" spans="119:119" x14ac:dyDescent="0.2">
      <c r="DO29774" s="303" t="s">
        <v>232</v>
      </c>
    </row>
    <row r="29775" spans="119:119" x14ac:dyDescent="0.2">
      <c r="DO29775" s="303" t="s">
        <v>232</v>
      </c>
    </row>
    <row r="29776" spans="119:119" x14ac:dyDescent="0.2">
      <c r="DO29776" s="303" t="s">
        <v>232</v>
      </c>
    </row>
    <row r="29777" spans="119:119" x14ac:dyDescent="0.2">
      <c r="DO29777" s="303" t="s">
        <v>232</v>
      </c>
    </row>
    <row r="29778" spans="119:119" x14ac:dyDescent="0.2">
      <c r="DO29778" s="303" t="s">
        <v>232</v>
      </c>
    </row>
    <row r="29779" spans="119:119" x14ac:dyDescent="0.2">
      <c r="DO29779" s="303" t="s">
        <v>232</v>
      </c>
    </row>
    <row r="29780" spans="119:119" x14ac:dyDescent="0.2">
      <c r="DO29780" s="303" t="s">
        <v>232</v>
      </c>
    </row>
    <row r="29781" spans="119:119" x14ac:dyDescent="0.2">
      <c r="DO29781" s="303" t="s">
        <v>232</v>
      </c>
    </row>
    <row r="29782" spans="119:119" x14ac:dyDescent="0.2">
      <c r="DO29782" s="303" t="s">
        <v>232</v>
      </c>
    </row>
    <row r="29783" spans="119:119" x14ac:dyDescent="0.2">
      <c r="DO29783" s="303" t="s">
        <v>232</v>
      </c>
    </row>
    <row r="29784" spans="119:119" x14ac:dyDescent="0.2">
      <c r="DO29784" s="303" t="s">
        <v>232</v>
      </c>
    </row>
    <row r="29785" spans="119:119" x14ac:dyDescent="0.2">
      <c r="DO29785" s="303" t="s">
        <v>232</v>
      </c>
    </row>
    <row r="29786" spans="119:119" x14ac:dyDescent="0.2">
      <c r="DO29786" s="303" t="s">
        <v>232</v>
      </c>
    </row>
    <row r="29787" spans="119:119" x14ac:dyDescent="0.2">
      <c r="DO29787" s="303" t="s">
        <v>232</v>
      </c>
    </row>
    <row r="29788" spans="119:119" x14ac:dyDescent="0.2">
      <c r="DO29788" s="303" t="s">
        <v>232</v>
      </c>
    </row>
    <row r="29789" spans="119:119" x14ac:dyDescent="0.2">
      <c r="DO29789" s="303" t="s">
        <v>232</v>
      </c>
    </row>
    <row r="29790" spans="119:119" x14ac:dyDescent="0.2">
      <c r="DO29790" s="303" t="s">
        <v>232</v>
      </c>
    </row>
    <row r="29791" spans="119:119" x14ac:dyDescent="0.2">
      <c r="DO29791" s="303" t="s">
        <v>232</v>
      </c>
    </row>
    <row r="29792" spans="119:119" x14ac:dyDescent="0.2">
      <c r="DO29792" s="303" t="s">
        <v>232</v>
      </c>
    </row>
    <row r="29793" spans="119:119" x14ac:dyDescent="0.2">
      <c r="DO29793" s="303" t="s">
        <v>232</v>
      </c>
    </row>
    <row r="29794" spans="119:119" x14ac:dyDescent="0.2">
      <c r="DO29794" s="303" t="s">
        <v>232</v>
      </c>
    </row>
    <row r="29795" spans="119:119" x14ac:dyDescent="0.2">
      <c r="DO29795" s="303" t="s">
        <v>232</v>
      </c>
    </row>
    <row r="29796" spans="119:119" x14ac:dyDescent="0.2">
      <c r="DO29796" s="303" t="s">
        <v>232</v>
      </c>
    </row>
    <row r="29797" spans="119:119" x14ac:dyDescent="0.2">
      <c r="DO29797" s="303" t="s">
        <v>232</v>
      </c>
    </row>
    <row r="29798" spans="119:119" x14ac:dyDescent="0.2">
      <c r="DO29798" s="303" t="s">
        <v>232</v>
      </c>
    </row>
    <row r="29799" spans="119:119" x14ac:dyDescent="0.2">
      <c r="DO29799" s="303" t="s">
        <v>232</v>
      </c>
    </row>
    <row r="29800" spans="119:119" x14ac:dyDescent="0.2">
      <c r="DO29800" s="303" t="s">
        <v>232</v>
      </c>
    </row>
    <row r="29801" spans="119:119" x14ac:dyDescent="0.2">
      <c r="DO29801" s="303" t="s">
        <v>232</v>
      </c>
    </row>
    <row r="29802" spans="119:119" x14ac:dyDescent="0.2">
      <c r="DO29802" s="303" t="s">
        <v>232</v>
      </c>
    </row>
    <row r="29803" spans="119:119" x14ac:dyDescent="0.2">
      <c r="DO29803" s="303" t="s">
        <v>232</v>
      </c>
    </row>
    <row r="29804" spans="119:119" x14ac:dyDescent="0.2">
      <c r="DO29804" s="303" t="s">
        <v>232</v>
      </c>
    </row>
    <row r="29805" spans="119:119" x14ac:dyDescent="0.2">
      <c r="DO29805" s="303" t="s">
        <v>232</v>
      </c>
    </row>
    <row r="29806" spans="119:119" x14ac:dyDescent="0.2">
      <c r="DO29806" s="303" t="s">
        <v>232</v>
      </c>
    </row>
    <row r="29807" spans="119:119" x14ac:dyDescent="0.2">
      <c r="DO29807" s="303" t="s">
        <v>232</v>
      </c>
    </row>
    <row r="29808" spans="119:119" x14ac:dyDescent="0.2">
      <c r="DO29808" s="303" t="s">
        <v>232</v>
      </c>
    </row>
    <row r="29809" spans="119:119" x14ac:dyDescent="0.2">
      <c r="DO29809" s="303" t="s">
        <v>232</v>
      </c>
    </row>
    <row r="29810" spans="119:119" x14ac:dyDescent="0.2">
      <c r="DO29810" s="303" t="s">
        <v>232</v>
      </c>
    </row>
    <row r="29811" spans="119:119" x14ac:dyDescent="0.2">
      <c r="DO29811" s="303" t="s">
        <v>232</v>
      </c>
    </row>
    <row r="29812" spans="119:119" x14ac:dyDescent="0.2">
      <c r="DO29812" s="303" t="s">
        <v>232</v>
      </c>
    </row>
    <row r="29813" spans="119:119" x14ac:dyDescent="0.2">
      <c r="DO29813" s="303" t="s">
        <v>232</v>
      </c>
    </row>
    <row r="29814" spans="119:119" x14ac:dyDescent="0.2">
      <c r="DO29814" s="303" t="s">
        <v>232</v>
      </c>
    </row>
    <row r="29815" spans="119:119" x14ac:dyDescent="0.2">
      <c r="DO29815" s="303" t="s">
        <v>232</v>
      </c>
    </row>
    <row r="29816" spans="119:119" x14ac:dyDescent="0.2">
      <c r="DO29816" s="303" t="s">
        <v>232</v>
      </c>
    </row>
    <row r="29817" spans="119:119" x14ac:dyDescent="0.2">
      <c r="DO29817" s="303" t="s">
        <v>232</v>
      </c>
    </row>
    <row r="29818" spans="119:119" x14ac:dyDescent="0.2">
      <c r="DO29818" s="303" t="s">
        <v>232</v>
      </c>
    </row>
    <row r="29819" spans="119:119" x14ac:dyDescent="0.2">
      <c r="DO29819" s="303" t="s">
        <v>232</v>
      </c>
    </row>
    <row r="29820" spans="119:119" x14ac:dyDescent="0.2">
      <c r="DO29820" s="303" t="s">
        <v>232</v>
      </c>
    </row>
    <row r="29821" spans="119:119" x14ac:dyDescent="0.2">
      <c r="DO29821" s="303" t="s">
        <v>232</v>
      </c>
    </row>
    <row r="29822" spans="119:119" x14ac:dyDescent="0.2">
      <c r="DO29822" s="303" t="s">
        <v>232</v>
      </c>
    </row>
    <row r="29823" spans="119:119" x14ac:dyDescent="0.2">
      <c r="DO29823" s="303" t="s">
        <v>232</v>
      </c>
    </row>
    <row r="29824" spans="119:119" x14ac:dyDescent="0.2">
      <c r="DO29824" s="303" t="s">
        <v>232</v>
      </c>
    </row>
    <row r="29825" spans="119:119" x14ac:dyDescent="0.2">
      <c r="DO29825" s="303" t="s">
        <v>232</v>
      </c>
    </row>
    <row r="29826" spans="119:119" x14ac:dyDescent="0.2">
      <c r="DO29826" s="303" t="s">
        <v>232</v>
      </c>
    </row>
    <row r="29827" spans="119:119" x14ac:dyDescent="0.2">
      <c r="DO29827" s="303" t="s">
        <v>232</v>
      </c>
    </row>
    <row r="29828" spans="119:119" x14ac:dyDescent="0.2">
      <c r="DO29828" s="303" t="s">
        <v>232</v>
      </c>
    </row>
    <row r="29829" spans="119:119" x14ac:dyDescent="0.2">
      <c r="DO29829" s="303" t="s">
        <v>232</v>
      </c>
    </row>
    <row r="29830" spans="119:119" x14ac:dyDescent="0.2">
      <c r="DO29830" s="303" t="s">
        <v>232</v>
      </c>
    </row>
    <row r="29831" spans="119:119" x14ac:dyDescent="0.2">
      <c r="DO29831" s="303" t="s">
        <v>232</v>
      </c>
    </row>
    <row r="29832" spans="119:119" x14ac:dyDescent="0.2">
      <c r="DO29832" s="303" t="s">
        <v>232</v>
      </c>
    </row>
    <row r="29833" spans="119:119" x14ac:dyDescent="0.2">
      <c r="DO29833" s="303" t="s">
        <v>232</v>
      </c>
    </row>
    <row r="29834" spans="119:119" x14ac:dyDescent="0.2">
      <c r="DO29834" s="303" t="s">
        <v>232</v>
      </c>
    </row>
    <row r="29835" spans="119:119" x14ac:dyDescent="0.2">
      <c r="DO29835" s="303" t="s">
        <v>232</v>
      </c>
    </row>
    <row r="29836" spans="119:119" x14ac:dyDescent="0.2">
      <c r="DO29836" s="303" t="s">
        <v>232</v>
      </c>
    </row>
    <row r="29837" spans="119:119" x14ac:dyDescent="0.2">
      <c r="DO29837" s="303" t="s">
        <v>232</v>
      </c>
    </row>
    <row r="29838" spans="119:119" x14ac:dyDescent="0.2">
      <c r="DO29838" s="303" t="s">
        <v>232</v>
      </c>
    </row>
    <row r="29839" spans="119:119" x14ac:dyDescent="0.2">
      <c r="DO29839" s="303" t="s">
        <v>232</v>
      </c>
    </row>
    <row r="29840" spans="119:119" x14ac:dyDescent="0.2">
      <c r="DO29840" s="303" t="s">
        <v>232</v>
      </c>
    </row>
    <row r="29841" spans="119:119" x14ac:dyDescent="0.2">
      <c r="DO29841" s="303" t="s">
        <v>232</v>
      </c>
    </row>
    <row r="29842" spans="119:119" x14ac:dyDescent="0.2">
      <c r="DO29842" s="303" t="s">
        <v>232</v>
      </c>
    </row>
    <row r="29843" spans="119:119" x14ac:dyDescent="0.2">
      <c r="DO29843" s="303" t="s">
        <v>232</v>
      </c>
    </row>
    <row r="29844" spans="119:119" x14ac:dyDescent="0.2">
      <c r="DO29844" s="303" t="s">
        <v>232</v>
      </c>
    </row>
    <row r="29845" spans="119:119" x14ac:dyDescent="0.2">
      <c r="DO29845" s="303" t="s">
        <v>232</v>
      </c>
    </row>
    <row r="29846" spans="119:119" x14ac:dyDescent="0.2">
      <c r="DO29846" s="303" t="s">
        <v>232</v>
      </c>
    </row>
    <row r="29847" spans="119:119" x14ac:dyDescent="0.2">
      <c r="DO29847" s="303" t="s">
        <v>232</v>
      </c>
    </row>
    <row r="29848" spans="119:119" x14ac:dyDescent="0.2">
      <c r="DO29848" s="303" t="s">
        <v>232</v>
      </c>
    </row>
    <row r="29849" spans="119:119" x14ac:dyDescent="0.2">
      <c r="DO29849" s="303" t="s">
        <v>232</v>
      </c>
    </row>
    <row r="29850" spans="119:119" x14ac:dyDescent="0.2">
      <c r="DO29850" s="303" t="s">
        <v>232</v>
      </c>
    </row>
    <row r="29851" spans="119:119" x14ac:dyDescent="0.2">
      <c r="DO29851" s="303" t="s">
        <v>232</v>
      </c>
    </row>
    <row r="29852" spans="119:119" x14ac:dyDescent="0.2">
      <c r="DO29852" s="303" t="s">
        <v>232</v>
      </c>
    </row>
    <row r="29853" spans="119:119" x14ac:dyDescent="0.2">
      <c r="DO29853" s="303" t="s">
        <v>232</v>
      </c>
    </row>
    <row r="29854" spans="119:119" x14ac:dyDescent="0.2">
      <c r="DO29854" s="303" t="s">
        <v>232</v>
      </c>
    </row>
    <row r="29855" spans="119:119" x14ac:dyDescent="0.2">
      <c r="DO29855" s="303" t="s">
        <v>232</v>
      </c>
    </row>
    <row r="29856" spans="119:119" x14ac:dyDescent="0.2">
      <c r="DO29856" s="303" t="s">
        <v>232</v>
      </c>
    </row>
    <row r="29857" spans="119:119" x14ac:dyDescent="0.2">
      <c r="DO29857" s="303" t="s">
        <v>232</v>
      </c>
    </row>
    <row r="29858" spans="119:119" x14ac:dyDescent="0.2">
      <c r="DO29858" s="303" t="s">
        <v>232</v>
      </c>
    </row>
    <row r="29859" spans="119:119" x14ac:dyDescent="0.2">
      <c r="DO29859" s="303" t="s">
        <v>232</v>
      </c>
    </row>
    <row r="29860" spans="119:119" x14ac:dyDescent="0.2">
      <c r="DO29860" s="303" t="s">
        <v>232</v>
      </c>
    </row>
    <row r="29861" spans="119:119" x14ac:dyDescent="0.2">
      <c r="DO29861" s="303" t="s">
        <v>232</v>
      </c>
    </row>
    <row r="29862" spans="119:119" x14ac:dyDescent="0.2">
      <c r="DO29862" s="303" t="s">
        <v>232</v>
      </c>
    </row>
    <row r="29863" spans="119:119" x14ac:dyDescent="0.2">
      <c r="DO29863" s="303" t="s">
        <v>232</v>
      </c>
    </row>
    <row r="29864" spans="119:119" x14ac:dyDescent="0.2">
      <c r="DO29864" s="303" t="s">
        <v>232</v>
      </c>
    </row>
    <row r="29865" spans="119:119" x14ac:dyDescent="0.2">
      <c r="DO29865" s="303" t="s">
        <v>232</v>
      </c>
    </row>
    <row r="29866" spans="119:119" x14ac:dyDescent="0.2">
      <c r="DO29866" s="303" t="s">
        <v>232</v>
      </c>
    </row>
    <row r="29867" spans="119:119" x14ac:dyDescent="0.2">
      <c r="DO29867" s="303" t="s">
        <v>232</v>
      </c>
    </row>
    <row r="29868" spans="119:119" x14ac:dyDescent="0.2">
      <c r="DO29868" s="303" t="s">
        <v>232</v>
      </c>
    </row>
    <row r="29869" spans="119:119" x14ac:dyDescent="0.2">
      <c r="DO29869" s="303" t="s">
        <v>232</v>
      </c>
    </row>
    <row r="29870" spans="119:119" x14ac:dyDescent="0.2">
      <c r="DO29870" s="303" t="s">
        <v>232</v>
      </c>
    </row>
    <row r="29871" spans="119:119" x14ac:dyDescent="0.2">
      <c r="DO29871" s="303" t="s">
        <v>232</v>
      </c>
    </row>
    <row r="29872" spans="119:119" x14ac:dyDescent="0.2">
      <c r="DO29872" s="303" t="s">
        <v>232</v>
      </c>
    </row>
    <row r="29873" spans="119:119" x14ac:dyDescent="0.2">
      <c r="DO29873" s="303" t="s">
        <v>232</v>
      </c>
    </row>
    <row r="29874" spans="119:119" x14ac:dyDescent="0.2">
      <c r="DO29874" s="303" t="s">
        <v>232</v>
      </c>
    </row>
    <row r="29875" spans="119:119" x14ac:dyDescent="0.2">
      <c r="DO29875" s="303" t="s">
        <v>232</v>
      </c>
    </row>
    <row r="29876" spans="119:119" x14ac:dyDescent="0.2">
      <c r="DO29876" s="303" t="s">
        <v>232</v>
      </c>
    </row>
    <row r="29877" spans="119:119" x14ac:dyDescent="0.2">
      <c r="DO29877" s="303" t="s">
        <v>232</v>
      </c>
    </row>
    <row r="29878" spans="119:119" x14ac:dyDescent="0.2">
      <c r="DO29878" s="303" t="s">
        <v>232</v>
      </c>
    </row>
    <row r="29879" spans="119:119" x14ac:dyDescent="0.2">
      <c r="DO29879" s="303" t="s">
        <v>232</v>
      </c>
    </row>
    <row r="29880" spans="119:119" x14ac:dyDescent="0.2">
      <c r="DO29880" s="303" t="s">
        <v>232</v>
      </c>
    </row>
    <row r="29881" spans="119:119" x14ac:dyDescent="0.2">
      <c r="DO29881" s="303" t="s">
        <v>232</v>
      </c>
    </row>
    <row r="29882" spans="119:119" x14ac:dyDescent="0.2">
      <c r="DO29882" s="303" t="s">
        <v>232</v>
      </c>
    </row>
    <row r="29883" spans="119:119" x14ac:dyDescent="0.2">
      <c r="DO29883" s="303" t="s">
        <v>232</v>
      </c>
    </row>
    <row r="29884" spans="119:119" x14ac:dyDescent="0.2">
      <c r="DO29884" s="303" t="s">
        <v>232</v>
      </c>
    </row>
    <row r="29885" spans="119:119" x14ac:dyDescent="0.2">
      <c r="DO29885" s="303" t="s">
        <v>232</v>
      </c>
    </row>
    <row r="29886" spans="119:119" x14ac:dyDescent="0.2">
      <c r="DO29886" s="303" t="s">
        <v>232</v>
      </c>
    </row>
    <row r="29887" spans="119:119" x14ac:dyDescent="0.2">
      <c r="DO29887" s="303" t="s">
        <v>232</v>
      </c>
    </row>
    <row r="29888" spans="119:119" x14ac:dyDescent="0.2">
      <c r="DO29888" s="303" t="s">
        <v>232</v>
      </c>
    </row>
    <row r="29889" spans="119:119" x14ac:dyDescent="0.2">
      <c r="DO29889" s="303" t="s">
        <v>232</v>
      </c>
    </row>
    <row r="29890" spans="119:119" x14ac:dyDescent="0.2">
      <c r="DO29890" s="303" t="s">
        <v>232</v>
      </c>
    </row>
    <row r="29891" spans="119:119" x14ac:dyDescent="0.2">
      <c r="DO29891" s="303" t="s">
        <v>232</v>
      </c>
    </row>
    <row r="29892" spans="119:119" x14ac:dyDescent="0.2">
      <c r="DO29892" s="303" t="s">
        <v>232</v>
      </c>
    </row>
    <row r="29893" spans="119:119" x14ac:dyDescent="0.2">
      <c r="DO29893" s="303" t="s">
        <v>232</v>
      </c>
    </row>
    <row r="29894" spans="119:119" x14ac:dyDescent="0.2">
      <c r="DO29894" s="303" t="s">
        <v>232</v>
      </c>
    </row>
    <row r="29895" spans="119:119" x14ac:dyDescent="0.2">
      <c r="DO29895" s="303" t="s">
        <v>232</v>
      </c>
    </row>
    <row r="29896" spans="119:119" x14ac:dyDescent="0.2">
      <c r="DO29896" s="303" t="s">
        <v>232</v>
      </c>
    </row>
    <row r="29897" spans="119:119" x14ac:dyDescent="0.2">
      <c r="DO29897" s="303" t="s">
        <v>232</v>
      </c>
    </row>
    <row r="29898" spans="119:119" x14ac:dyDescent="0.2">
      <c r="DO29898" s="303" t="s">
        <v>232</v>
      </c>
    </row>
    <row r="29899" spans="119:119" x14ac:dyDescent="0.2">
      <c r="DO29899" s="303" t="s">
        <v>232</v>
      </c>
    </row>
    <row r="29900" spans="119:119" x14ac:dyDescent="0.2">
      <c r="DO29900" s="303" t="s">
        <v>232</v>
      </c>
    </row>
    <row r="29901" spans="119:119" x14ac:dyDescent="0.2">
      <c r="DO29901" s="303" t="s">
        <v>232</v>
      </c>
    </row>
    <row r="29902" spans="119:119" x14ac:dyDescent="0.2">
      <c r="DO29902" s="303" t="s">
        <v>232</v>
      </c>
    </row>
    <row r="29903" spans="119:119" x14ac:dyDescent="0.2">
      <c r="DO29903" s="303" t="s">
        <v>232</v>
      </c>
    </row>
    <row r="29904" spans="119:119" x14ac:dyDescent="0.2">
      <c r="DO29904" s="303" t="s">
        <v>232</v>
      </c>
    </row>
    <row r="29905" spans="119:119" x14ac:dyDescent="0.2">
      <c r="DO29905" s="303" t="s">
        <v>232</v>
      </c>
    </row>
    <row r="29906" spans="119:119" x14ac:dyDescent="0.2">
      <c r="DO29906" s="303" t="s">
        <v>232</v>
      </c>
    </row>
    <row r="29907" spans="119:119" x14ac:dyDescent="0.2">
      <c r="DO29907" s="303" t="s">
        <v>232</v>
      </c>
    </row>
    <row r="29908" spans="119:119" x14ac:dyDescent="0.2">
      <c r="DO29908" s="303" t="s">
        <v>232</v>
      </c>
    </row>
    <row r="29909" spans="119:119" x14ac:dyDescent="0.2">
      <c r="DO29909" s="303" t="s">
        <v>232</v>
      </c>
    </row>
    <row r="29910" spans="119:119" x14ac:dyDescent="0.2">
      <c r="DO29910" s="303" t="s">
        <v>232</v>
      </c>
    </row>
    <row r="29911" spans="119:119" x14ac:dyDescent="0.2">
      <c r="DO29911" s="303" t="s">
        <v>232</v>
      </c>
    </row>
    <row r="29912" spans="119:119" x14ac:dyDescent="0.2">
      <c r="DO29912" s="303" t="s">
        <v>232</v>
      </c>
    </row>
    <row r="29913" spans="119:119" x14ac:dyDescent="0.2">
      <c r="DO29913" s="303" t="s">
        <v>232</v>
      </c>
    </row>
    <row r="29914" spans="119:119" x14ac:dyDescent="0.2">
      <c r="DO29914" s="303" t="s">
        <v>232</v>
      </c>
    </row>
    <row r="29915" spans="119:119" x14ac:dyDescent="0.2">
      <c r="DO29915" s="303" t="s">
        <v>232</v>
      </c>
    </row>
    <row r="29916" spans="119:119" x14ac:dyDescent="0.2">
      <c r="DO29916" s="303" t="s">
        <v>232</v>
      </c>
    </row>
    <row r="29917" spans="119:119" x14ac:dyDescent="0.2">
      <c r="DO29917" s="303" t="s">
        <v>232</v>
      </c>
    </row>
    <row r="29918" spans="119:119" x14ac:dyDescent="0.2">
      <c r="DO29918" s="303" t="s">
        <v>232</v>
      </c>
    </row>
    <row r="29919" spans="119:119" x14ac:dyDescent="0.2">
      <c r="DO29919" s="303" t="s">
        <v>232</v>
      </c>
    </row>
    <row r="29920" spans="119:119" x14ac:dyDescent="0.2">
      <c r="DO29920" s="303" t="s">
        <v>232</v>
      </c>
    </row>
    <row r="29921" spans="119:119" x14ac:dyDescent="0.2">
      <c r="DO29921" s="303" t="s">
        <v>232</v>
      </c>
    </row>
    <row r="29922" spans="119:119" x14ac:dyDescent="0.2">
      <c r="DO29922" s="303" t="s">
        <v>232</v>
      </c>
    </row>
    <row r="29923" spans="119:119" x14ac:dyDescent="0.2">
      <c r="DO29923" s="303" t="s">
        <v>232</v>
      </c>
    </row>
    <row r="29924" spans="119:119" x14ac:dyDescent="0.2">
      <c r="DO29924" s="303" t="s">
        <v>232</v>
      </c>
    </row>
    <row r="29925" spans="119:119" x14ac:dyDescent="0.2">
      <c r="DO29925" s="303" t="s">
        <v>232</v>
      </c>
    </row>
    <row r="29926" spans="119:119" x14ac:dyDescent="0.2">
      <c r="DO29926" s="303" t="s">
        <v>232</v>
      </c>
    </row>
    <row r="29927" spans="119:119" x14ac:dyDescent="0.2">
      <c r="DO29927" s="303" t="s">
        <v>232</v>
      </c>
    </row>
    <row r="29928" spans="119:119" x14ac:dyDescent="0.2">
      <c r="DO29928" s="303" t="s">
        <v>232</v>
      </c>
    </row>
    <row r="29929" spans="119:119" x14ac:dyDescent="0.2">
      <c r="DO29929" s="303" t="s">
        <v>232</v>
      </c>
    </row>
    <row r="29930" spans="119:119" x14ac:dyDescent="0.2">
      <c r="DO29930" s="303" t="s">
        <v>232</v>
      </c>
    </row>
    <row r="29931" spans="119:119" x14ac:dyDescent="0.2">
      <c r="DO29931" s="303" t="s">
        <v>232</v>
      </c>
    </row>
    <row r="29932" spans="119:119" x14ac:dyDescent="0.2">
      <c r="DO29932" s="303" t="s">
        <v>232</v>
      </c>
    </row>
    <row r="29933" spans="119:119" x14ac:dyDescent="0.2">
      <c r="DO29933" s="303" t="s">
        <v>232</v>
      </c>
    </row>
    <row r="29934" spans="119:119" x14ac:dyDescent="0.2">
      <c r="DO29934" s="303" t="s">
        <v>232</v>
      </c>
    </row>
    <row r="29935" spans="119:119" x14ac:dyDescent="0.2">
      <c r="DO29935" s="303" t="s">
        <v>232</v>
      </c>
    </row>
    <row r="29936" spans="119:119" x14ac:dyDescent="0.2">
      <c r="DO29936" s="303" t="s">
        <v>232</v>
      </c>
    </row>
    <row r="29937" spans="119:119" x14ac:dyDescent="0.2">
      <c r="DO29937" s="303" t="s">
        <v>232</v>
      </c>
    </row>
    <row r="29938" spans="119:119" x14ac:dyDescent="0.2">
      <c r="DO29938" s="303" t="s">
        <v>232</v>
      </c>
    </row>
    <row r="29939" spans="119:119" x14ac:dyDescent="0.2">
      <c r="DO29939" s="303" t="s">
        <v>232</v>
      </c>
    </row>
    <row r="29940" spans="119:119" x14ac:dyDescent="0.2">
      <c r="DO29940" s="303" t="s">
        <v>232</v>
      </c>
    </row>
    <row r="29941" spans="119:119" x14ac:dyDescent="0.2">
      <c r="DO29941" s="303" t="s">
        <v>232</v>
      </c>
    </row>
    <row r="29942" spans="119:119" x14ac:dyDescent="0.2">
      <c r="DO29942" s="303" t="s">
        <v>232</v>
      </c>
    </row>
    <row r="29943" spans="119:119" x14ac:dyDescent="0.2">
      <c r="DO29943" s="303" t="s">
        <v>232</v>
      </c>
    </row>
    <row r="29944" spans="119:119" x14ac:dyDescent="0.2">
      <c r="DO29944" s="303" t="s">
        <v>232</v>
      </c>
    </row>
    <row r="29945" spans="119:119" x14ac:dyDescent="0.2">
      <c r="DO29945" s="303" t="s">
        <v>232</v>
      </c>
    </row>
    <row r="29946" spans="119:119" x14ac:dyDescent="0.2">
      <c r="DO29946" s="303" t="s">
        <v>232</v>
      </c>
    </row>
    <row r="29947" spans="119:119" x14ac:dyDescent="0.2">
      <c r="DO29947" s="303" t="s">
        <v>232</v>
      </c>
    </row>
    <row r="29948" spans="119:119" x14ac:dyDescent="0.2">
      <c r="DO29948" s="303" t="s">
        <v>232</v>
      </c>
    </row>
    <row r="29949" spans="119:119" x14ac:dyDescent="0.2">
      <c r="DO29949" s="303" t="s">
        <v>232</v>
      </c>
    </row>
    <row r="29950" spans="119:119" x14ac:dyDescent="0.2">
      <c r="DO29950" s="303" t="s">
        <v>232</v>
      </c>
    </row>
    <row r="29951" spans="119:119" x14ac:dyDescent="0.2">
      <c r="DO29951" s="303" t="s">
        <v>232</v>
      </c>
    </row>
    <row r="29952" spans="119:119" x14ac:dyDescent="0.2">
      <c r="DO29952" s="303" t="s">
        <v>232</v>
      </c>
    </row>
    <row r="29953" spans="119:119" x14ac:dyDescent="0.2">
      <c r="DO29953" s="303" t="s">
        <v>232</v>
      </c>
    </row>
    <row r="29954" spans="119:119" x14ac:dyDescent="0.2">
      <c r="DO29954" s="303" t="s">
        <v>232</v>
      </c>
    </row>
    <row r="29955" spans="119:119" x14ac:dyDescent="0.2">
      <c r="DO29955" s="303" t="s">
        <v>232</v>
      </c>
    </row>
    <row r="29956" spans="119:119" x14ac:dyDescent="0.2">
      <c r="DO29956" s="303" t="s">
        <v>232</v>
      </c>
    </row>
    <row r="29957" spans="119:119" x14ac:dyDescent="0.2">
      <c r="DO29957" s="303" t="s">
        <v>232</v>
      </c>
    </row>
    <row r="29958" spans="119:119" x14ac:dyDescent="0.2">
      <c r="DO29958" s="303" t="s">
        <v>232</v>
      </c>
    </row>
    <row r="29959" spans="119:119" x14ac:dyDescent="0.2">
      <c r="DO29959" s="303" t="s">
        <v>232</v>
      </c>
    </row>
    <row r="29960" spans="119:119" x14ac:dyDescent="0.2">
      <c r="DO29960" s="303" t="s">
        <v>232</v>
      </c>
    </row>
    <row r="29961" spans="119:119" x14ac:dyDescent="0.2">
      <c r="DO29961" s="303" t="s">
        <v>232</v>
      </c>
    </row>
    <row r="29962" spans="119:119" x14ac:dyDescent="0.2">
      <c r="DO29962" s="303" t="s">
        <v>232</v>
      </c>
    </row>
    <row r="29963" spans="119:119" x14ac:dyDescent="0.2">
      <c r="DO29963" s="303" t="s">
        <v>232</v>
      </c>
    </row>
    <row r="29964" spans="119:119" x14ac:dyDescent="0.2">
      <c r="DO29964" s="303" t="s">
        <v>232</v>
      </c>
    </row>
    <row r="29965" spans="119:119" x14ac:dyDescent="0.2">
      <c r="DO29965" s="303" t="s">
        <v>232</v>
      </c>
    </row>
    <row r="29966" spans="119:119" x14ac:dyDescent="0.2">
      <c r="DO29966" s="303" t="s">
        <v>232</v>
      </c>
    </row>
    <row r="29967" spans="119:119" x14ac:dyDescent="0.2">
      <c r="DO29967" s="303" t="s">
        <v>232</v>
      </c>
    </row>
    <row r="29968" spans="119:119" x14ac:dyDescent="0.2">
      <c r="DO29968" s="303" t="s">
        <v>232</v>
      </c>
    </row>
    <row r="29969" spans="119:119" x14ac:dyDescent="0.2">
      <c r="DO29969" s="303" t="s">
        <v>232</v>
      </c>
    </row>
    <row r="29970" spans="119:119" x14ac:dyDescent="0.2">
      <c r="DO29970" s="303" t="s">
        <v>232</v>
      </c>
    </row>
    <row r="29971" spans="119:119" x14ac:dyDescent="0.2">
      <c r="DO29971" s="303" t="s">
        <v>232</v>
      </c>
    </row>
    <row r="29972" spans="119:119" x14ac:dyDescent="0.2">
      <c r="DO29972" s="303" t="s">
        <v>232</v>
      </c>
    </row>
    <row r="29973" spans="119:119" x14ac:dyDescent="0.2">
      <c r="DO29973" s="303" t="s">
        <v>232</v>
      </c>
    </row>
    <row r="29974" spans="119:119" x14ac:dyDescent="0.2">
      <c r="DO29974" s="303" t="s">
        <v>232</v>
      </c>
    </row>
    <row r="29975" spans="119:119" x14ac:dyDescent="0.2">
      <c r="DO29975" s="303" t="s">
        <v>232</v>
      </c>
    </row>
    <row r="29976" spans="119:119" x14ac:dyDescent="0.2">
      <c r="DO29976" s="303" t="s">
        <v>232</v>
      </c>
    </row>
    <row r="29977" spans="119:119" x14ac:dyDescent="0.2">
      <c r="DO29977" s="303" t="s">
        <v>232</v>
      </c>
    </row>
    <row r="29978" spans="119:119" x14ac:dyDescent="0.2">
      <c r="DO29978" s="303" t="s">
        <v>232</v>
      </c>
    </row>
    <row r="29979" spans="119:119" x14ac:dyDescent="0.2">
      <c r="DO29979" s="303" t="s">
        <v>232</v>
      </c>
    </row>
    <row r="29980" spans="119:119" x14ac:dyDescent="0.2">
      <c r="DO29980" s="303" t="s">
        <v>232</v>
      </c>
    </row>
    <row r="29981" spans="119:119" x14ac:dyDescent="0.2">
      <c r="DO29981" s="303" t="s">
        <v>232</v>
      </c>
    </row>
    <row r="29982" spans="119:119" x14ac:dyDescent="0.2">
      <c r="DO29982" s="303" t="s">
        <v>232</v>
      </c>
    </row>
    <row r="29983" spans="119:119" x14ac:dyDescent="0.2">
      <c r="DO29983" s="303" t="s">
        <v>232</v>
      </c>
    </row>
    <row r="29984" spans="119:119" x14ac:dyDescent="0.2">
      <c r="DO29984" s="303" t="s">
        <v>232</v>
      </c>
    </row>
    <row r="29985" spans="119:119" x14ac:dyDescent="0.2">
      <c r="DO29985" s="303" t="s">
        <v>232</v>
      </c>
    </row>
    <row r="29986" spans="119:119" x14ac:dyDescent="0.2">
      <c r="DO29986" s="303" t="s">
        <v>232</v>
      </c>
    </row>
    <row r="29987" spans="119:119" x14ac:dyDescent="0.2">
      <c r="DO29987" s="303" t="s">
        <v>232</v>
      </c>
    </row>
    <row r="29988" spans="119:119" x14ac:dyDescent="0.2">
      <c r="DO29988" s="303" t="s">
        <v>232</v>
      </c>
    </row>
    <row r="29989" spans="119:119" x14ac:dyDescent="0.2">
      <c r="DO29989" s="303" t="s">
        <v>232</v>
      </c>
    </row>
    <row r="29990" spans="119:119" x14ac:dyDescent="0.2">
      <c r="DO29990" s="303" t="s">
        <v>232</v>
      </c>
    </row>
    <row r="29991" spans="119:119" x14ac:dyDescent="0.2">
      <c r="DO29991" s="303" t="s">
        <v>232</v>
      </c>
    </row>
    <row r="29992" spans="119:119" x14ac:dyDescent="0.2">
      <c r="DO29992" s="303" t="s">
        <v>232</v>
      </c>
    </row>
    <row r="29993" spans="119:119" x14ac:dyDescent="0.2">
      <c r="DO29993" s="303" t="s">
        <v>232</v>
      </c>
    </row>
    <row r="29994" spans="119:119" x14ac:dyDescent="0.2">
      <c r="DO29994" s="303" t="s">
        <v>232</v>
      </c>
    </row>
    <row r="29995" spans="119:119" x14ac:dyDescent="0.2">
      <c r="DO29995" s="303" t="s">
        <v>232</v>
      </c>
    </row>
    <row r="29996" spans="119:119" x14ac:dyDescent="0.2">
      <c r="DO29996" s="303" t="s">
        <v>232</v>
      </c>
    </row>
    <row r="29997" spans="119:119" x14ac:dyDescent="0.2">
      <c r="DO29997" s="303" t="s">
        <v>232</v>
      </c>
    </row>
    <row r="29998" spans="119:119" x14ac:dyDescent="0.2">
      <c r="DO29998" s="303" t="s">
        <v>232</v>
      </c>
    </row>
    <row r="29999" spans="119:119" x14ac:dyDescent="0.2">
      <c r="DO29999" s="303" t="s">
        <v>232</v>
      </c>
    </row>
    <row r="30000" spans="119:119" x14ac:dyDescent="0.2">
      <c r="DO30000" s="303" t="s">
        <v>232</v>
      </c>
    </row>
    <row r="30001" spans="119:119" x14ac:dyDescent="0.2">
      <c r="DO30001" s="303" t="s">
        <v>232</v>
      </c>
    </row>
    <row r="30002" spans="119:119" x14ac:dyDescent="0.2">
      <c r="DO30002" s="303" t="s">
        <v>232</v>
      </c>
    </row>
    <row r="30003" spans="119:119" x14ac:dyDescent="0.2">
      <c r="DO30003" s="303" t="s">
        <v>232</v>
      </c>
    </row>
    <row r="30004" spans="119:119" x14ac:dyDescent="0.2">
      <c r="DO30004" s="303" t="s">
        <v>232</v>
      </c>
    </row>
    <row r="30005" spans="119:119" x14ac:dyDescent="0.2">
      <c r="DO30005" s="303" t="s">
        <v>232</v>
      </c>
    </row>
    <row r="30006" spans="119:119" x14ac:dyDescent="0.2">
      <c r="DO30006" s="303" t="s">
        <v>232</v>
      </c>
    </row>
    <row r="30007" spans="119:119" x14ac:dyDescent="0.2">
      <c r="DO30007" s="303" t="s">
        <v>232</v>
      </c>
    </row>
    <row r="30008" spans="119:119" x14ac:dyDescent="0.2">
      <c r="DO30008" s="303" t="s">
        <v>232</v>
      </c>
    </row>
    <row r="30009" spans="119:119" x14ac:dyDescent="0.2">
      <c r="DO30009" s="303" t="s">
        <v>232</v>
      </c>
    </row>
    <row r="30010" spans="119:119" x14ac:dyDescent="0.2">
      <c r="DO30010" s="303" t="s">
        <v>232</v>
      </c>
    </row>
    <row r="30011" spans="119:119" x14ac:dyDescent="0.2">
      <c r="DO30011" s="303" t="s">
        <v>232</v>
      </c>
    </row>
    <row r="30012" spans="119:119" x14ac:dyDescent="0.2">
      <c r="DO30012" s="303" t="s">
        <v>232</v>
      </c>
    </row>
    <row r="30013" spans="119:119" x14ac:dyDescent="0.2">
      <c r="DO30013" s="303" t="s">
        <v>232</v>
      </c>
    </row>
    <row r="30014" spans="119:119" x14ac:dyDescent="0.2">
      <c r="DO30014" s="303" t="s">
        <v>232</v>
      </c>
    </row>
    <row r="30015" spans="119:119" x14ac:dyDescent="0.2">
      <c r="DO30015" s="303" t="s">
        <v>232</v>
      </c>
    </row>
    <row r="30016" spans="119:119" x14ac:dyDescent="0.2">
      <c r="DO30016" s="303" t="s">
        <v>232</v>
      </c>
    </row>
    <row r="30017" spans="119:119" x14ac:dyDescent="0.2">
      <c r="DO30017" s="303" t="s">
        <v>232</v>
      </c>
    </row>
    <row r="30018" spans="119:119" x14ac:dyDescent="0.2">
      <c r="DO30018" s="303" t="s">
        <v>232</v>
      </c>
    </row>
    <row r="30019" spans="119:119" x14ac:dyDescent="0.2">
      <c r="DO30019" s="303" t="s">
        <v>232</v>
      </c>
    </row>
    <row r="30020" spans="119:119" x14ac:dyDescent="0.2">
      <c r="DO30020" s="303" t="s">
        <v>232</v>
      </c>
    </row>
    <row r="30021" spans="119:119" x14ac:dyDescent="0.2">
      <c r="DO30021" s="303" t="s">
        <v>232</v>
      </c>
    </row>
    <row r="30022" spans="119:119" x14ac:dyDescent="0.2">
      <c r="DO30022" s="303" t="s">
        <v>232</v>
      </c>
    </row>
    <row r="30023" spans="119:119" x14ac:dyDescent="0.2">
      <c r="DO30023" s="303" t="s">
        <v>232</v>
      </c>
    </row>
    <row r="30024" spans="119:119" x14ac:dyDescent="0.2">
      <c r="DO30024" s="303" t="s">
        <v>232</v>
      </c>
    </row>
    <row r="30025" spans="119:119" x14ac:dyDescent="0.2">
      <c r="DO30025" s="303" t="s">
        <v>232</v>
      </c>
    </row>
    <row r="30026" spans="119:119" x14ac:dyDescent="0.2">
      <c r="DO30026" s="303" t="s">
        <v>232</v>
      </c>
    </row>
    <row r="30027" spans="119:119" x14ac:dyDescent="0.2">
      <c r="DO30027" s="303" t="s">
        <v>232</v>
      </c>
    </row>
    <row r="30028" spans="119:119" x14ac:dyDescent="0.2">
      <c r="DO30028" s="303" t="s">
        <v>232</v>
      </c>
    </row>
    <row r="30029" spans="119:119" x14ac:dyDescent="0.2">
      <c r="DO30029" s="303" t="s">
        <v>232</v>
      </c>
    </row>
    <row r="30030" spans="119:119" x14ac:dyDescent="0.2">
      <c r="DO30030" s="303" t="s">
        <v>232</v>
      </c>
    </row>
    <row r="30031" spans="119:119" x14ac:dyDescent="0.2">
      <c r="DO30031" s="303" t="s">
        <v>232</v>
      </c>
    </row>
    <row r="30032" spans="119:119" x14ac:dyDescent="0.2">
      <c r="DO30032" s="303" t="s">
        <v>232</v>
      </c>
    </row>
    <row r="30033" spans="119:119" x14ac:dyDescent="0.2">
      <c r="DO30033" s="303" t="s">
        <v>232</v>
      </c>
    </row>
    <row r="30034" spans="119:119" x14ac:dyDescent="0.2">
      <c r="DO30034" s="303" t="s">
        <v>232</v>
      </c>
    </row>
    <row r="30035" spans="119:119" x14ac:dyDescent="0.2">
      <c r="DO30035" s="303" t="s">
        <v>232</v>
      </c>
    </row>
    <row r="30036" spans="119:119" x14ac:dyDescent="0.2">
      <c r="DO30036" s="303" t="s">
        <v>232</v>
      </c>
    </row>
    <row r="30037" spans="119:119" x14ac:dyDescent="0.2">
      <c r="DO30037" s="303" t="s">
        <v>232</v>
      </c>
    </row>
    <row r="30038" spans="119:119" x14ac:dyDescent="0.2">
      <c r="DO30038" s="303" t="s">
        <v>232</v>
      </c>
    </row>
    <row r="30039" spans="119:119" x14ac:dyDescent="0.2">
      <c r="DO30039" s="303" t="s">
        <v>232</v>
      </c>
    </row>
    <row r="30040" spans="119:119" x14ac:dyDescent="0.2">
      <c r="DO30040" s="303" t="s">
        <v>232</v>
      </c>
    </row>
    <row r="30041" spans="119:119" x14ac:dyDescent="0.2">
      <c r="DO30041" s="303" t="s">
        <v>232</v>
      </c>
    </row>
    <row r="30042" spans="119:119" x14ac:dyDescent="0.2">
      <c r="DO30042" s="303" t="s">
        <v>232</v>
      </c>
    </row>
    <row r="30043" spans="119:119" x14ac:dyDescent="0.2">
      <c r="DO30043" s="303" t="s">
        <v>232</v>
      </c>
    </row>
    <row r="30044" spans="119:119" x14ac:dyDescent="0.2">
      <c r="DO30044" s="303" t="s">
        <v>232</v>
      </c>
    </row>
    <row r="30045" spans="119:119" x14ac:dyDescent="0.2">
      <c r="DO30045" s="303" t="s">
        <v>232</v>
      </c>
    </row>
    <row r="30046" spans="119:119" x14ac:dyDescent="0.2">
      <c r="DO30046" s="303" t="s">
        <v>232</v>
      </c>
    </row>
    <row r="30047" spans="119:119" x14ac:dyDescent="0.2">
      <c r="DO30047" s="303" t="s">
        <v>232</v>
      </c>
    </row>
    <row r="30048" spans="119:119" x14ac:dyDescent="0.2">
      <c r="DO30048" s="303" t="s">
        <v>232</v>
      </c>
    </row>
    <row r="30049" spans="119:119" x14ac:dyDescent="0.2">
      <c r="DO30049" s="303" t="s">
        <v>232</v>
      </c>
    </row>
    <row r="30050" spans="119:119" x14ac:dyDescent="0.2">
      <c r="DO30050" s="303" t="s">
        <v>232</v>
      </c>
    </row>
    <row r="30051" spans="119:119" x14ac:dyDescent="0.2">
      <c r="DO30051" s="303" t="s">
        <v>232</v>
      </c>
    </row>
    <row r="30052" spans="119:119" x14ac:dyDescent="0.2">
      <c r="DO30052" s="303" t="s">
        <v>232</v>
      </c>
    </row>
    <row r="30053" spans="119:119" x14ac:dyDescent="0.2">
      <c r="DO30053" s="303" t="s">
        <v>232</v>
      </c>
    </row>
    <row r="30054" spans="119:119" x14ac:dyDescent="0.2">
      <c r="DO30054" s="303" t="s">
        <v>232</v>
      </c>
    </row>
    <row r="30055" spans="119:119" x14ac:dyDescent="0.2">
      <c r="DO30055" s="303" t="s">
        <v>232</v>
      </c>
    </row>
    <row r="30056" spans="119:119" x14ac:dyDescent="0.2">
      <c r="DO30056" s="303" t="s">
        <v>232</v>
      </c>
    </row>
    <row r="30057" spans="119:119" x14ac:dyDescent="0.2">
      <c r="DO30057" s="303" t="s">
        <v>232</v>
      </c>
    </row>
    <row r="30058" spans="119:119" x14ac:dyDescent="0.2">
      <c r="DO30058" s="303" t="s">
        <v>232</v>
      </c>
    </row>
    <row r="30059" spans="119:119" x14ac:dyDescent="0.2">
      <c r="DO30059" s="303" t="s">
        <v>232</v>
      </c>
    </row>
    <row r="30060" spans="119:119" x14ac:dyDescent="0.2">
      <c r="DO30060" s="303" t="s">
        <v>232</v>
      </c>
    </row>
    <row r="30061" spans="119:119" x14ac:dyDescent="0.2">
      <c r="DO30061" s="303" t="s">
        <v>232</v>
      </c>
    </row>
    <row r="30062" spans="119:119" x14ac:dyDescent="0.2">
      <c r="DO30062" s="303" t="s">
        <v>232</v>
      </c>
    </row>
    <row r="30063" spans="119:119" x14ac:dyDescent="0.2">
      <c r="DO30063" s="303" t="s">
        <v>232</v>
      </c>
    </row>
    <row r="30064" spans="119:119" x14ac:dyDescent="0.2">
      <c r="DO30064" s="303" t="s">
        <v>232</v>
      </c>
    </row>
    <row r="30065" spans="119:119" x14ac:dyDescent="0.2">
      <c r="DO30065" s="303" t="s">
        <v>232</v>
      </c>
    </row>
    <row r="30066" spans="119:119" x14ac:dyDescent="0.2">
      <c r="DO30066" s="303" t="s">
        <v>232</v>
      </c>
    </row>
    <row r="30067" spans="119:119" x14ac:dyDescent="0.2">
      <c r="DO30067" s="303" t="s">
        <v>232</v>
      </c>
    </row>
    <row r="30068" spans="119:119" x14ac:dyDescent="0.2">
      <c r="DO30068" s="303" t="s">
        <v>232</v>
      </c>
    </row>
    <row r="30069" spans="119:119" x14ac:dyDescent="0.2">
      <c r="DO30069" s="303" t="s">
        <v>232</v>
      </c>
    </row>
    <row r="30070" spans="119:119" x14ac:dyDescent="0.2">
      <c r="DO30070" s="303" t="s">
        <v>232</v>
      </c>
    </row>
    <row r="30071" spans="119:119" x14ac:dyDescent="0.2">
      <c r="DO30071" s="303" t="s">
        <v>232</v>
      </c>
    </row>
    <row r="30072" spans="119:119" x14ac:dyDescent="0.2">
      <c r="DO30072" s="303" t="s">
        <v>232</v>
      </c>
    </row>
    <row r="30073" spans="119:119" x14ac:dyDescent="0.2">
      <c r="DO30073" s="303" t="s">
        <v>232</v>
      </c>
    </row>
    <row r="30074" spans="119:119" x14ac:dyDescent="0.2">
      <c r="DO30074" s="303" t="s">
        <v>232</v>
      </c>
    </row>
    <row r="30075" spans="119:119" x14ac:dyDescent="0.2">
      <c r="DO30075" s="303" t="s">
        <v>232</v>
      </c>
    </row>
    <row r="30076" spans="119:119" x14ac:dyDescent="0.2">
      <c r="DO30076" s="303" t="s">
        <v>232</v>
      </c>
    </row>
    <row r="30077" spans="119:119" x14ac:dyDescent="0.2">
      <c r="DO30077" s="303" t="s">
        <v>232</v>
      </c>
    </row>
    <row r="30078" spans="119:119" x14ac:dyDescent="0.2">
      <c r="DO30078" s="303" t="s">
        <v>232</v>
      </c>
    </row>
    <row r="30079" spans="119:119" x14ac:dyDescent="0.2">
      <c r="DO30079" s="303" t="s">
        <v>232</v>
      </c>
    </row>
    <row r="30080" spans="119:119" x14ac:dyDescent="0.2">
      <c r="DO30080" s="303" t="s">
        <v>232</v>
      </c>
    </row>
    <row r="30081" spans="119:119" x14ac:dyDescent="0.2">
      <c r="DO30081" s="303" t="s">
        <v>232</v>
      </c>
    </row>
    <row r="30082" spans="119:119" x14ac:dyDescent="0.2">
      <c r="DO30082" s="303" t="s">
        <v>232</v>
      </c>
    </row>
    <row r="30083" spans="119:119" x14ac:dyDescent="0.2">
      <c r="DO30083" s="303" t="s">
        <v>232</v>
      </c>
    </row>
    <row r="30084" spans="119:119" x14ac:dyDescent="0.2">
      <c r="DO30084" s="303" t="s">
        <v>232</v>
      </c>
    </row>
    <row r="30085" spans="119:119" x14ac:dyDescent="0.2">
      <c r="DO30085" s="303" t="s">
        <v>232</v>
      </c>
    </row>
    <row r="30086" spans="119:119" x14ac:dyDescent="0.2">
      <c r="DO30086" s="303" t="s">
        <v>232</v>
      </c>
    </row>
    <row r="30087" spans="119:119" x14ac:dyDescent="0.2">
      <c r="DO30087" s="303" t="s">
        <v>232</v>
      </c>
    </row>
    <row r="30088" spans="119:119" x14ac:dyDescent="0.2">
      <c r="DO30088" s="303" t="s">
        <v>232</v>
      </c>
    </row>
    <row r="30089" spans="119:119" x14ac:dyDescent="0.2">
      <c r="DO30089" s="303" t="s">
        <v>232</v>
      </c>
    </row>
    <row r="30090" spans="119:119" x14ac:dyDescent="0.2">
      <c r="DO30090" s="303" t="s">
        <v>232</v>
      </c>
    </row>
    <row r="30091" spans="119:119" x14ac:dyDescent="0.2">
      <c r="DO30091" s="303" t="s">
        <v>232</v>
      </c>
    </row>
    <row r="30092" spans="119:119" x14ac:dyDescent="0.2">
      <c r="DO30092" s="303" t="s">
        <v>232</v>
      </c>
    </row>
    <row r="30093" spans="119:119" x14ac:dyDescent="0.2">
      <c r="DO30093" s="303" t="s">
        <v>232</v>
      </c>
    </row>
    <row r="30094" spans="119:119" x14ac:dyDescent="0.2">
      <c r="DO30094" s="303" t="s">
        <v>232</v>
      </c>
    </row>
    <row r="30095" spans="119:119" x14ac:dyDescent="0.2">
      <c r="DO30095" s="303" t="s">
        <v>232</v>
      </c>
    </row>
    <row r="30096" spans="119:119" x14ac:dyDescent="0.2">
      <c r="DO30096" s="303" t="s">
        <v>232</v>
      </c>
    </row>
    <row r="30097" spans="119:119" x14ac:dyDescent="0.2">
      <c r="DO30097" s="303" t="s">
        <v>232</v>
      </c>
    </row>
    <row r="30098" spans="119:119" x14ac:dyDescent="0.2">
      <c r="DO30098" s="303" t="s">
        <v>232</v>
      </c>
    </row>
    <row r="30099" spans="119:119" x14ac:dyDescent="0.2">
      <c r="DO30099" s="303" t="s">
        <v>232</v>
      </c>
    </row>
    <row r="30100" spans="119:119" x14ac:dyDescent="0.2">
      <c r="DO30100" s="303" t="s">
        <v>232</v>
      </c>
    </row>
    <row r="30101" spans="119:119" x14ac:dyDescent="0.2">
      <c r="DO30101" s="303" t="s">
        <v>232</v>
      </c>
    </row>
    <row r="30102" spans="119:119" x14ac:dyDescent="0.2">
      <c r="DO30102" s="303" t="s">
        <v>232</v>
      </c>
    </row>
    <row r="30103" spans="119:119" x14ac:dyDescent="0.2">
      <c r="DO30103" s="303" t="s">
        <v>232</v>
      </c>
    </row>
    <row r="30104" spans="119:119" x14ac:dyDescent="0.2">
      <c r="DO30104" s="303" t="s">
        <v>232</v>
      </c>
    </row>
    <row r="30105" spans="119:119" x14ac:dyDescent="0.2">
      <c r="DO30105" s="303" t="s">
        <v>232</v>
      </c>
    </row>
    <row r="30106" spans="119:119" x14ac:dyDescent="0.2">
      <c r="DO30106" s="303" t="s">
        <v>232</v>
      </c>
    </row>
    <row r="30107" spans="119:119" x14ac:dyDescent="0.2">
      <c r="DO30107" s="303" t="s">
        <v>232</v>
      </c>
    </row>
    <row r="30108" spans="119:119" x14ac:dyDescent="0.2">
      <c r="DO30108" s="303" t="s">
        <v>232</v>
      </c>
    </row>
    <row r="30109" spans="119:119" x14ac:dyDescent="0.2">
      <c r="DO30109" s="303" t="s">
        <v>232</v>
      </c>
    </row>
    <row r="30110" spans="119:119" x14ac:dyDescent="0.2">
      <c r="DO30110" s="303" t="s">
        <v>232</v>
      </c>
    </row>
    <row r="30111" spans="119:119" x14ac:dyDescent="0.2">
      <c r="DO30111" s="303" t="s">
        <v>232</v>
      </c>
    </row>
    <row r="30112" spans="119:119" x14ac:dyDescent="0.2">
      <c r="DO30112" s="303" t="s">
        <v>232</v>
      </c>
    </row>
    <row r="30113" spans="119:119" x14ac:dyDescent="0.2">
      <c r="DO30113" s="303" t="s">
        <v>232</v>
      </c>
    </row>
    <row r="30114" spans="119:119" x14ac:dyDescent="0.2">
      <c r="DO30114" s="303" t="s">
        <v>232</v>
      </c>
    </row>
    <row r="30115" spans="119:119" x14ac:dyDescent="0.2">
      <c r="DO30115" s="303" t="s">
        <v>232</v>
      </c>
    </row>
    <row r="30116" spans="119:119" x14ac:dyDescent="0.2">
      <c r="DO30116" s="303" t="s">
        <v>232</v>
      </c>
    </row>
    <row r="30117" spans="119:119" x14ac:dyDescent="0.2">
      <c r="DO30117" s="303" t="s">
        <v>232</v>
      </c>
    </row>
    <row r="30118" spans="119:119" x14ac:dyDescent="0.2">
      <c r="DO30118" s="303" t="s">
        <v>232</v>
      </c>
    </row>
    <row r="30119" spans="119:119" x14ac:dyDescent="0.2">
      <c r="DO30119" s="303" t="s">
        <v>232</v>
      </c>
    </row>
    <row r="30120" spans="119:119" x14ac:dyDescent="0.2">
      <c r="DO30120" s="303" t="s">
        <v>232</v>
      </c>
    </row>
    <row r="30121" spans="119:119" x14ac:dyDescent="0.2">
      <c r="DO30121" s="303" t="s">
        <v>232</v>
      </c>
    </row>
    <row r="30122" spans="119:119" x14ac:dyDescent="0.2">
      <c r="DO30122" s="303" t="s">
        <v>232</v>
      </c>
    </row>
    <row r="30123" spans="119:119" x14ac:dyDescent="0.2">
      <c r="DO30123" s="303" t="s">
        <v>232</v>
      </c>
    </row>
    <row r="30124" spans="119:119" x14ac:dyDescent="0.2">
      <c r="DO30124" s="303" t="s">
        <v>232</v>
      </c>
    </row>
    <row r="30125" spans="119:119" x14ac:dyDescent="0.2">
      <c r="DO30125" s="303" t="s">
        <v>232</v>
      </c>
    </row>
    <row r="30126" spans="119:119" x14ac:dyDescent="0.2">
      <c r="DO30126" s="303" t="s">
        <v>232</v>
      </c>
    </row>
    <row r="30127" spans="119:119" x14ac:dyDescent="0.2">
      <c r="DO30127" s="303" t="s">
        <v>232</v>
      </c>
    </row>
    <row r="30128" spans="119:119" x14ac:dyDescent="0.2">
      <c r="DO30128" s="303" t="s">
        <v>232</v>
      </c>
    </row>
    <row r="30129" spans="119:119" x14ac:dyDescent="0.2">
      <c r="DO30129" s="303" t="s">
        <v>232</v>
      </c>
    </row>
    <row r="30130" spans="119:119" x14ac:dyDescent="0.2">
      <c r="DO30130" s="303" t="s">
        <v>232</v>
      </c>
    </row>
    <row r="30131" spans="119:119" x14ac:dyDescent="0.2">
      <c r="DO30131" s="303" t="s">
        <v>232</v>
      </c>
    </row>
    <row r="30132" spans="119:119" x14ac:dyDescent="0.2">
      <c r="DO30132" s="303" t="s">
        <v>232</v>
      </c>
    </row>
    <row r="30133" spans="119:119" x14ac:dyDescent="0.2">
      <c r="DO30133" s="303" t="s">
        <v>232</v>
      </c>
    </row>
    <row r="30134" spans="119:119" x14ac:dyDescent="0.2">
      <c r="DO30134" s="303" t="s">
        <v>232</v>
      </c>
    </row>
    <row r="30135" spans="119:119" x14ac:dyDescent="0.2">
      <c r="DO30135" s="303" t="s">
        <v>232</v>
      </c>
    </row>
    <row r="30136" spans="119:119" x14ac:dyDescent="0.2">
      <c r="DO30136" s="303" t="s">
        <v>232</v>
      </c>
    </row>
    <row r="30137" spans="119:119" x14ac:dyDescent="0.2">
      <c r="DO30137" s="303" t="s">
        <v>232</v>
      </c>
    </row>
    <row r="30138" spans="119:119" x14ac:dyDescent="0.2">
      <c r="DO30138" s="303" t="s">
        <v>232</v>
      </c>
    </row>
    <row r="30139" spans="119:119" x14ac:dyDescent="0.2">
      <c r="DO30139" s="303" t="s">
        <v>232</v>
      </c>
    </row>
    <row r="30140" spans="119:119" x14ac:dyDescent="0.2">
      <c r="DO30140" s="303" t="s">
        <v>232</v>
      </c>
    </row>
    <row r="30141" spans="119:119" x14ac:dyDescent="0.2">
      <c r="DO30141" s="303" t="s">
        <v>232</v>
      </c>
    </row>
    <row r="30142" spans="119:119" x14ac:dyDescent="0.2">
      <c r="DO30142" s="303" t="s">
        <v>232</v>
      </c>
    </row>
    <row r="30143" spans="119:119" x14ac:dyDescent="0.2">
      <c r="DO30143" s="303" t="s">
        <v>232</v>
      </c>
    </row>
    <row r="30144" spans="119:119" x14ac:dyDescent="0.2">
      <c r="DO30144" s="303" t="s">
        <v>232</v>
      </c>
    </row>
    <row r="30145" spans="119:119" x14ac:dyDescent="0.2">
      <c r="DO30145" s="303" t="s">
        <v>232</v>
      </c>
    </row>
    <row r="30146" spans="119:119" x14ac:dyDescent="0.2">
      <c r="DO30146" s="303" t="s">
        <v>232</v>
      </c>
    </row>
    <row r="30147" spans="119:119" x14ac:dyDescent="0.2">
      <c r="DO30147" s="303" t="s">
        <v>232</v>
      </c>
    </row>
    <row r="30148" spans="119:119" x14ac:dyDescent="0.2">
      <c r="DO30148" s="303" t="s">
        <v>232</v>
      </c>
    </row>
    <row r="30149" spans="119:119" x14ac:dyDescent="0.2">
      <c r="DO30149" s="303" t="s">
        <v>232</v>
      </c>
    </row>
    <row r="30150" spans="119:119" x14ac:dyDescent="0.2">
      <c r="DO30150" s="303" t="s">
        <v>232</v>
      </c>
    </row>
    <row r="30151" spans="119:119" x14ac:dyDescent="0.2">
      <c r="DO30151" s="303" t="s">
        <v>232</v>
      </c>
    </row>
    <row r="30152" spans="119:119" x14ac:dyDescent="0.2">
      <c r="DO30152" s="303" t="s">
        <v>232</v>
      </c>
    </row>
    <row r="30153" spans="119:119" x14ac:dyDescent="0.2">
      <c r="DO30153" s="303" t="s">
        <v>232</v>
      </c>
    </row>
    <row r="30154" spans="119:119" x14ac:dyDescent="0.2">
      <c r="DO30154" s="303" t="s">
        <v>232</v>
      </c>
    </row>
    <row r="30155" spans="119:119" x14ac:dyDescent="0.2">
      <c r="DO30155" s="303" t="s">
        <v>232</v>
      </c>
    </row>
    <row r="30156" spans="119:119" x14ac:dyDescent="0.2">
      <c r="DO30156" s="303" t="s">
        <v>232</v>
      </c>
    </row>
    <row r="30157" spans="119:119" x14ac:dyDescent="0.2">
      <c r="DO30157" s="303" t="s">
        <v>232</v>
      </c>
    </row>
    <row r="30158" spans="119:119" x14ac:dyDescent="0.2">
      <c r="DO30158" s="303" t="s">
        <v>232</v>
      </c>
    </row>
    <row r="30159" spans="119:119" x14ac:dyDescent="0.2">
      <c r="DO30159" s="303" t="s">
        <v>232</v>
      </c>
    </row>
    <row r="30160" spans="119:119" x14ac:dyDescent="0.2">
      <c r="DO30160" s="303" t="s">
        <v>232</v>
      </c>
    </row>
    <row r="30161" spans="119:119" x14ac:dyDescent="0.2">
      <c r="DO30161" s="303" t="s">
        <v>232</v>
      </c>
    </row>
    <row r="30162" spans="119:119" x14ac:dyDescent="0.2">
      <c r="DO30162" s="303" t="s">
        <v>232</v>
      </c>
    </row>
    <row r="30163" spans="119:119" x14ac:dyDescent="0.2">
      <c r="DO30163" s="303" t="s">
        <v>232</v>
      </c>
    </row>
    <row r="30164" spans="119:119" x14ac:dyDescent="0.2">
      <c r="DO30164" s="303" t="s">
        <v>232</v>
      </c>
    </row>
    <row r="30165" spans="119:119" x14ac:dyDescent="0.2">
      <c r="DO30165" s="303" t="s">
        <v>232</v>
      </c>
    </row>
    <row r="30166" spans="119:119" x14ac:dyDescent="0.2">
      <c r="DO30166" s="303" t="s">
        <v>232</v>
      </c>
    </row>
    <row r="30167" spans="119:119" x14ac:dyDescent="0.2">
      <c r="DO30167" s="303" t="s">
        <v>232</v>
      </c>
    </row>
    <row r="30168" spans="119:119" x14ac:dyDescent="0.2">
      <c r="DO30168" s="303" t="s">
        <v>232</v>
      </c>
    </row>
    <row r="30169" spans="119:119" x14ac:dyDescent="0.2">
      <c r="DO30169" s="303" t="s">
        <v>232</v>
      </c>
    </row>
    <row r="30170" spans="119:119" x14ac:dyDescent="0.2">
      <c r="DO30170" s="303" t="s">
        <v>232</v>
      </c>
    </row>
    <row r="30171" spans="119:119" x14ac:dyDescent="0.2">
      <c r="DO30171" s="303" t="s">
        <v>232</v>
      </c>
    </row>
    <row r="30172" spans="119:119" x14ac:dyDescent="0.2">
      <c r="DO30172" s="303" t="s">
        <v>232</v>
      </c>
    </row>
    <row r="30173" spans="119:119" x14ac:dyDescent="0.2">
      <c r="DO30173" s="303" t="s">
        <v>232</v>
      </c>
    </row>
    <row r="30174" spans="119:119" x14ac:dyDescent="0.2">
      <c r="DO30174" s="303" t="s">
        <v>232</v>
      </c>
    </row>
    <row r="30175" spans="119:119" x14ac:dyDescent="0.2">
      <c r="DO30175" s="303" t="s">
        <v>232</v>
      </c>
    </row>
    <row r="30176" spans="119:119" x14ac:dyDescent="0.2">
      <c r="DO30176" s="303" t="s">
        <v>232</v>
      </c>
    </row>
    <row r="30177" spans="119:119" x14ac:dyDescent="0.2">
      <c r="DO30177" s="303" t="s">
        <v>232</v>
      </c>
    </row>
    <row r="30178" spans="119:119" x14ac:dyDescent="0.2">
      <c r="DO30178" s="303" t="s">
        <v>232</v>
      </c>
    </row>
    <row r="30179" spans="119:119" x14ac:dyDescent="0.2">
      <c r="DO30179" s="303" t="s">
        <v>232</v>
      </c>
    </row>
    <row r="30180" spans="119:119" x14ac:dyDescent="0.2">
      <c r="DO30180" s="303" t="s">
        <v>232</v>
      </c>
    </row>
    <row r="30181" spans="119:119" x14ac:dyDescent="0.2">
      <c r="DO30181" s="303" t="s">
        <v>232</v>
      </c>
    </row>
    <row r="30182" spans="119:119" x14ac:dyDescent="0.2">
      <c r="DO30182" s="303" t="s">
        <v>232</v>
      </c>
    </row>
    <row r="30183" spans="119:119" x14ac:dyDescent="0.2">
      <c r="DO30183" s="303" t="s">
        <v>232</v>
      </c>
    </row>
    <row r="30184" spans="119:119" x14ac:dyDescent="0.2">
      <c r="DO30184" s="303" t="s">
        <v>232</v>
      </c>
    </row>
    <row r="30185" spans="119:119" x14ac:dyDescent="0.2">
      <c r="DO30185" s="303" t="s">
        <v>232</v>
      </c>
    </row>
    <row r="30186" spans="119:119" x14ac:dyDescent="0.2">
      <c r="DO30186" s="303" t="s">
        <v>232</v>
      </c>
    </row>
    <row r="30187" spans="119:119" x14ac:dyDescent="0.2">
      <c r="DO30187" s="303" t="s">
        <v>232</v>
      </c>
    </row>
    <row r="30188" spans="119:119" x14ac:dyDescent="0.2">
      <c r="DO30188" s="303" t="s">
        <v>232</v>
      </c>
    </row>
    <row r="30189" spans="119:119" x14ac:dyDescent="0.2">
      <c r="DO30189" s="303" t="s">
        <v>232</v>
      </c>
    </row>
    <row r="30190" spans="119:119" x14ac:dyDescent="0.2">
      <c r="DO30190" s="303" t="s">
        <v>232</v>
      </c>
    </row>
    <row r="30191" spans="119:119" x14ac:dyDescent="0.2">
      <c r="DO30191" s="303" t="s">
        <v>232</v>
      </c>
    </row>
    <row r="30192" spans="119:119" x14ac:dyDescent="0.2">
      <c r="DO30192" s="303" t="s">
        <v>232</v>
      </c>
    </row>
    <row r="30193" spans="119:119" x14ac:dyDescent="0.2">
      <c r="DO30193" s="303" t="s">
        <v>232</v>
      </c>
    </row>
    <row r="30194" spans="119:119" x14ac:dyDescent="0.2">
      <c r="DO30194" s="303" t="s">
        <v>232</v>
      </c>
    </row>
    <row r="30195" spans="119:119" x14ac:dyDescent="0.2">
      <c r="DO30195" s="303" t="s">
        <v>232</v>
      </c>
    </row>
    <row r="30196" spans="119:119" x14ac:dyDescent="0.2">
      <c r="DO30196" s="303" t="s">
        <v>232</v>
      </c>
    </row>
    <row r="30197" spans="119:119" x14ac:dyDescent="0.2">
      <c r="DO30197" s="303" t="s">
        <v>232</v>
      </c>
    </row>
    <row r="30198" spans="119:119" x14ac:dyDescent="0.2">
      <c r="DO30198" s="303" t="s">
        <v>232</v>
      </c>
    </row>
    <row r="30199" spans="119:119" x14ac:dyDescent="0.2">
      <c r="DO30199" s="303" t="s">
        <v>232</v>
      </c>
    </row>
    <row r="30200" spans="119:119" x14ac:dyDescent="0.2">
      <c r="DO30200" s="303" t="s">
        <v>232</v>
      </c>
    </row>
    <row r="30201" spans="119:119" x14ac:dyDescent="0.2">
      <c r="DO30201" s="303" t="s">
        <v>232</v>
      </c>
    </row>
    <row r="30202" spans="119:119" x14ac:dyDescent="0.2">
      <c r="DO30202" s="303" t="s">
        <v>232</v>
      </c>
    </row>
    <row r="30203" spans="119:119" x14ac:dyDescent="0.2">
      <c r="DO30203" s="303" t="s">
        <v>232</v>
      </c>
    </row>
    <row r="30204" spans="119:119" x14ac:dyDescent="0.2">
      <c r="DO30204" s="303" t="s">
        <v>232</v>
      </c>
    </row>
    <row r="30205" spans="119:119" x14ac:dyDescent="0.2">
      <c r="DO30205" s="303" t="s">
        <v>232</v>
      </c>
    </row>
    <row r="30206" spans="119:119" x14ac:dyDescent="0.2">
      <c r="DO30206" s="303" t="s">
        <v>232</v>
      </c>
    </row>
    <row r="30207" spans="119:119" x14ac:dyDescent="0.2">
      <c r="DO30207" s="303" t="s">
        <v>232</v>
      </c>
    </row>
    <row r="30208" spans="119:119" x14ac:dyDescent="0.2">
      <c r="DO30208" s="303" t="s">
        <v>232</v>
      </c>
    </row>
    <row r="30209" spans="119:119" x14ac:dyDescent="0.2">
      <c r="DO30209" s="303" t="s">
        <v>232</v>
      </c>
    </row>
    <row r="30210" spans="119:119" x14ac:dyDescent="0.2">
      <c r="DO30210" s="303" t="s">
        <v>232</v>
      </c>
    </row>
    <row r="30211" spans="119:119" x14ac:dyDescent="0.2">
      <c r="DO30211" s="303" t="s">
        <v>232</v>
      </c>
    </row>
    <row r="30212" spans="119:119" x14ac:dyDescent="0.2">
      <c r="DO30212" s="303" t="s">
        <v>232</v>
      </c>
    </row>
    <row r="30213" spans="119:119" x14ac:dyDescent="0.2">
      <c r="DO30213" s="303" t="s">
        <v>232</v>
      </c>
    </row>
    <row r="30214" spans="119:119" x14ac:dyDescent="0.2">
      <c r="DO30214" s="303" t="s">
        <v>232</v>
      </c>
    </row>
    <row r="30215" spans="119:119" x14ac:dyDescent="0.2">
      <c r="DO30215" s="303" t="s">
        <v>232</v>
      </c>
    </row>
    <row r="30216" spans="119:119" x14ac:dyDescent="0.2">
      <c r="DO30216" s="303" t="s">
        <v>232</v>
      </c>
    </row>
    <row r="30217" spans="119:119" x14ac:dyDescent="0.2">
      <c r="DO30217" s="303" t="s">
        <v>232</v>
      </c>
    </row>
    <row r="30218" spans="119:119" x14ac:dyDescent="0.2">
      <c r="DO30218" s="303" t="s">
        <v>232</v>
      </c>
    </row>
    <row r="30219" spans="119:119" x14ac:dyDescent="0.2">
      <c r="DO30219" s="303" t="s">
        <v>232</v>
      </c>
    </row>
    <row r="30220" spans="119:119" x14ac:dyDescent="0.2">
      <c r="DO30220" s="303" t="s">
        <v>232</v>
      </c>
    </row>
    <row r="30221" spans="119:119" x14ac:dyDescent="0.2">
      <c r="DO30221" s="303" t="s">
        <v>232</v>
      </c>
    </row>
    <row r="30222" spans="119:119" x14ac:dyDescent="0.2">
      <c r="DO30222" s="303" t="s">
        <v>232</v>
      </c>
    </row>
    <row r="30223" spans="119:119" x14ac:dyDescent="0.2">
      <c r="DO30223" s="303" t="s">
        <v>232</v>
      </c>
    </row>
    <row r="30224" spans="119:119" x14ac:dyDescent="0.2">
      <c r="DO30224" s="303" t="s">
        <v>232</v>
      </c>
    </row>
    <row r="30225" spans="119:119" x14ac:dyDescent="0.2">
      <c r="DO30225" s="303" t="s">
        <v>232</v>
      </c>
    </row>
    <row r="30226" spans="119:119" x14ac:dyDescent="0.2">
      <c r="DO30226" s="303" t="s">
        <v>232</v>
      </c>
    </row>
    <row r="30227" spans="119:119" x14ac:dyDescent="0.2">
      <c r="DO30227" s="303" t="s">
        <v>232</v>
      </c>
    </row>
    <row r="30228" spans="119:119" x14ac:dyDescent="0.2">
      <c r="DO30228" s="303" t="s">
        <v>232</v>
      </c>
    </row>
    <row r="30229" spans="119:119" x14ac:dyDescent="0.2">
      <c r="DO30229" s="303" t="s">
        <v>232</v>
      </c>
    </row>
    <row r="30230" spans="119:119" x14ac:dyDescent="0.2">
      <c r="DO30230" s="303" t="s">
        <v>232</v>
      </c>
    </row>
    <row r="30231" spans="119:119" x14ac:dyDescent="0.2">
      <c r="DO30231" s="303" t="s">
        <v>232</v>
      </c>
    </row>
    <row r="30232" spans="119:119" x14ac:dyDescent="0.2">
      <c r="DO30232" s="303" t="s">
        <v>232</v>
      </c>
    </row>
    <row r="30233" spans="119:119" x14ac:dyDescent="0.2">
      <c r="DO30233" s="303" t="s">
        <v>232</v>
      </c>
    </row>
    <row r="30234" spans="119:119" x14ac:dyDescent="0.2">
      <c r="DO30234" s="303" t="s">
        <v>232</v>
      </c>
    </row>
    <row r="30235" spans="119:119" x14ac:dyDescent="0.2">
      <c r="DO30235" s="303" t="s">
        <v>232</v>
      </c>
    </row>
    <row r="30236" spans="119:119" x14ac:dyDescent="0.2">
      <c r="DO30236" s="303" t="s">
        <v>232</v>
      </c>
    </row>
    <row r="30237" spans="119:119" x14ac:dyDescent="0.2">
      <c r="DO30237" s="303" t="s">
        <v>232</v>
      </c>
    </row>
    <row r="30238" spans="119:119" x14ac:dyDescent="0.2">
      <c r="DO30238" s="303" t="s">
        <v>232</v>
      </c>
    </row>
    <row r="30239" spans="119:119" x14ac:dyDescent="0.2">
      <c r="DO30239" s="303" t="s">
        <v>232</v>
      </c>
    </row>
    <row r="30240" spans="119:119" x14ac:dyDescent="0.2">
      <c r="DO30240" s="303" t="s">
        <v>232</v>
      </c>
    </row>
    <row r="30241" spans="119:119" x14ac:dyDescent="0.2">
      <c r="DO30241" s="303" t="s">
        <v>232</v>
      </c>
    </row>
    <row r="30242" spans="119:119" x14ac:dyDescent="0.2">
      <c r="DO30242" s="303" t="s">
        <v>232</v>
      </c>
    </row>
    <row r="30243" spans="119:119" x14ac:dyDescent="0.2">
      <c r="DO30243" s="303" t="s">
        <v>232</v>
      </c>
    </row>
    <row r="30244" spans="119:119" x14ac:dyDescent="0.2">
      <c r="DO30244" s="303" t="s">
        <v>232</v>
      </c>
    </row>
    <row r="30245" spans="119:119" x14ac:dyDescent="0.2">
      <c r="DO30245" s="303" t="s">
        <v>232</v>
      </c>
    </row>
    <row r="30246" spans="119:119" x14ac:dyDescent="0.2">
      <c r="DO30246" s="303" t="s">
        <v>232</v>
      </c>
    </row>
    <row r="30247" spans="119:119" x14ac:dyDescent="0.2">
      <c r="DO30247" s="303" t="s">
        <v>232</v>
      </c>
    </row>
    <row r="30248" spans="119:119" x14ac:dyDescent="0.2">
      <c r="DO30248" s="303" t="s">
        <v>232</v>
      </c>
    </row>
    <row r="30249" spans="119:119" x14ac:dyDescent="0.2">
      <c r="DO30249" s="303" t="s">
        <v>232</v>
      </c>
    </row>
    <row r="30250" spans="119:119" x14ac:dyDescent="0.2">
      <c r="DO30250" s="303" t="s">
        <v>232</v>
      </c>
    </row>
    <row r="30251" spans="119:119" x14ac:dyDescent="0.2">
      <c r="DO30251" s="303" t="s">
        <v>232</v>
      </c>
    </row>
    <row r="30252" spans="119:119" x14ac:dyDescent="0.2">
      <c r="DO30252" s="303" t="s">
        <v>232</v>
      </c>
    </row>
    <row r="30253" spans="119:119" x14ac:dyDescent="0.2">
      <c r="DO30253" s="303" t="s">
        <v>232</v>
      </c>
    </row>
    <row r="30254" spans="119:119" x14ac:dyDescent="0.2">
      <c r="DO30254" s="303" t="s">
        <v>232</v>
      </c>
    </row>
    <row r="30255" spans="119:119" x14ac:dyDescent="0.2">
      <c r="DO30255" s="303" t="s">
        <v>232</v>
      </c>
    </row>
    <row r="30256" spans="119:119" x14ac:dyDescent="0.2">
      <c r="DO30256" s="303" t="s">
        <v>232</v>
      </c>
    </row>
    <row r="30257" spans="119:119" x14ac:dyDescent="0.2">
      <c r="DO30257" s="303" t="s">
        <v>232</v>
      </c>
    </row>
    <row r="30258" spans="119:119" x14ac:dyDescent="0.2">
      <c r="DO30258" s="303" t="s">
        <v>232</v>
      </c>
    </row>
    <row r="30259" spans="119:119" x14ac:dyDescent="0.2">
      <c r="DO30259" s="303" t="s">
        <v>232</v>
      </c>
    </row>
    <row r="30260" spans="119:119" x14ac:dyDescent="0.2">
      <c r="DO30260" s="303" t="s">
        <v>232</v>
      </c>
    </row>
    <row r="30261" spans="119:119" x14ac:dyDescent="0.2">
      <c r="DO30261" s="303" t="s">
        <v>232</v>
      </c>
    </row>
    <row r="30262" spans="119:119" x14ac:dyDescent="0.2">
      <c r="DO30262" s="303" t="s">
        <v>232</v>
      </c>
    </row>
    <row r="30263" spans="119:119" x14ac:dyDescent="0.2">
      <c r="DO30263" s="303" t="s">
        <v>232</v>
      </c>
    </row>
    <row r="30264" spans="119:119" x14ac:dyDescent="0.2">
      <c r="DO30264" s="303" t="s">
        <v>232</v>
      </c>
    </row>
    <row r="30265" spans="119:119" x14ac:dyDescent="0.2">
      <c r="DO30265" s="303" t="s">
        <v>232</v>
      </c>
    </row>
    <row r="30266" spans="119:119" x14ac:dyDescent="0.2">
      <c r="DO30266" s="303" t="s">
        <v>232</v>
      </c>
    </row>
    <row r="30267" spans="119:119" x14ac:dyDescent="0.2">
      <c r="DO30267" s="303" t="s">
        <v>232</v>
      </c>
    </row>
    <row r="30268" spans="119:119" x14ac:dyDescent="0.2">
      <c r="DO30268" s="303" t="s">
        <v>232</v>
      </c>
    </row>
    <row r="30269" spans="119:119" x14ac:dyDescent="0.2">
      <c r="DO30269" s="303" t="s">
        <v>232</v>
      </c>
    </row>
    <row r="30270" spans="119:119" x14ac:dyDescent="0.2">
      <c r="DO30270" s="303" t="s">
        <v>232</v>
      </c>
    </row>
    <row r="30271" spans="119:119" x14ac:dyDescent="0.2">
      <c r="DO30271" s="303" t="s">
        <v>232</v>
      </c>
    </row>
    <row r="30272" spans="119:119" x14ac:dyDescent="0.2">
      <c r="DO30272" s="303" t="s">
        <v>232</v>
      </c>
    </row>
    <row r="30273" spans="119:119" x14ac:dyDescent="0.2">
      <c r="DO30273" s="303" t="s">
        <v>232</v>
      </c>
    </row>
    <row r="30274" spans="119:119" x14ac:dyDescent="0.2">
      <c r="DO30274" s="303" t="s">
        <v>232</v>
      </c>
    </row>
    <row r="30275" spans="119:119" x14ac:dyDescent="0.2">
      <c r="DO30275" s="303" t="s">
        <v>232</v>
      </c>
    </row>
    <row r="30276" spans="119:119" x14ac:dyDescent="0.2">
      <c r="DO30276" s="303" t="s">
        <v>232</v>
      </c>
    </row>
    <row r="30277" spans="119:119" x14ac:dyDescent="0.2">
      <c r="DO30277" s="303" t="s">
        <v>232</v>
      </c>
    </row>
    <row r="30278" spans="119:119" x14ac:dyDescent="0.2">
      <c r="DO30278" s="303" t="s">
        <v>232</v>
      </c>
    </row>
    <row r="30279" spans="119:119" x14ac:dyDescent="0.2">
      <c r="DO30279" s="303" t="s">
        <v>232</v>
      </c>
    </row>
    <row r="30280" spans="119:119" x14ac:dyDescent="0.2">
      <c r="DO30280" s="303" t="s">
        <v>232</v>
      </c>
    </row>
    <row r="30281" spans="119:119" x14ac:dyDescent="0.2">
      <c r="DO30281" s="303" t="s">
        <v>232</v>
      </c>
    </row>
    <row r="30282" spans="119:119" x14ac:dyDescent="0.2">
      <c r="DO30282" s="303" t="s">
        <v>232</v>
      </c>
    </row>
    <row r="30283" spans="119:119" x14ac:dyDescent="0.2">
      <c r="DO30283" s="303" t="s">
        <v>232</v>
      </c>
    </row>
    <row r="30284" spans="119:119" x14ac:dyDescent="0.2">
      <c r="DO30284" s="303" t="s">
        <v>232</v>
      </c>
    </row>
    <row r="30285" spans="119:119" x14ac:dyDescent="0.2">
      <c r="DO30285" s="303" t="s">
        <v>232</v>
      </c>
    </row>
    <row r="30286" spans="119:119" x14ac:dyDescent="0.2">
      <c r="DO30286" s="303" t="s">
        <v>232</v>
      </c>
    </row>
    <row r="30287" spans="119:119" x14ac:dyDescent="0.2">
      <c r="DO30287" s="303" t="s">
        <v>232</v>
      </c>
    </row>
    <row r="30288" spans="119:119" x14ac:dyDescent="0.2">
      <c r="DO30288" s="303" t="s">
        <v>232</v>
      </c>
    </row>
    <row r="30289" spans="119:119" x14ac:dyDescent="0.2">
      <c r="DO30289" s="303" t="s">
        <v>232</v>
      </c>
    </row>
    <row r="30290" spans="119:119" x14ac:dyDescent="0.2">
      <c r="DO30290" s="303" t="s">
        <v>232</v>
      </c>
    </row>
    <row r="30291" spans="119:119" x14ac:dyDescent="0.2">
      <c r="DO30291" s="303" t="s">
        <v>232</v>
      </c>
    </row>
    <row r="30292" spans="119:119" x14ac:dyDescent="0.2">
      <c r="DO30292" s="303" t="s">
        <v>232</v>
      </c>
    </row>
    <row r="30293" spans="119:119" x14ac:dyDescent="0.2">
      <c r="DO30293" s="303" t="s">
        <v>232</v>
      </c>
    </row>
    <row r="30294" spans="119:119" x14ac:dyDescent="0.2">
      <c r="DO30294" s="303" t="s">
        <v>232</v>
      </c>
    </row>
    <row r="30295" spans="119:119" x14ac:dyDescent="0.2">
      <c r="DO30295" s="303" t="s">
        <v>232</v>
      </c>
    </row>
    <row r="30296" spans="119:119" x14ac:dyDescent="0.2">
      <c r="DO30296" s="303" t="s">
        <v>232</v>
      </c>
    </row>
    <row r="30297" spans="119:119" x14ac:dyDescent="0.2">
      <c r="DO30297" s="303" t="s">
        <v>232</v>
      </c>
    </row>
    <row r="30298" spans="119:119" x14ac:dyDescent="0.2">
      <c r="DO30298" s="303" t="s">
        <v>232</v>
      </c>
    </row>
    <row r="30299" spans="119:119" x14ac:dyDescent="0.2">
      <c r="DO30299" s="303" t="s">
        <v>232</v>
      </c>
    </row>
    <row r="30300" spans="119:119" x14ac:dyDescent="0.2">
      <c r="DO30300" s="303" t="s">
        <v>232</v>
      </c>
    </row>
    <row r="30301" spans="119:119" x14ac:dyDescent="0.2">
      <c r="DO30301" s="303" t="s">
        <v>232</v>
      </c>
    </row>
    <row r="30302" spans="119:119" x14ac:dyDescent="0.2">
      <c r="DO30302" s="303" t="s">
        <v>232</v>
      </c>
    </row>
    <row r="30303" spans="119:119" x14ac:dyDescent="0.2">
      <c r="DO30303" s="303" t="s">
        <v>232</v>
      </c>
    </row>
    <row r="30304" spans="119:119" x14ac:dyDescent="0.2">
      <c r="DO30304" s="303" t="s">
        <v>232</v>
      </c>
    </row>
    <row r="30305" spans="119:119" x14ac:dyDescent="0.2">
      <c r="DO30305" s="303" t="s">
        <v>232</v>
      </c>
    </row>
    <row r="30306" spans="119:119" x14ac:dyDescent="0.2">
      <c r="DO30306" s="303" t="s">
        <v>232</v>
      </c>
    </row>
    <row r="30307" spans="119:119" x14ac:dyDescent="0.2">
      <c r="DO30307" s="303" t="s">
        <v>232</v>
      </c>
    </row>
    <row r="30308" spans="119:119" x14ac:dyDescent="0.2">
      <c r="DO30308" s="303" t="s">
        <v>232</v>
      </c>
    </row>
    <row r="30309" spans="119:119" x14ac:dyDescent="0.2">
      <c r="DO30309" s="303" t="s">
        <v>232</v>
      </c>
    </row>
    <row r="30310" spans="119:119" x14ac:dyDescent="0.2">
      <c r="DO30310" s="303" t="s">
        <v>232</v>
      </c>
    </row>
    <row r="30311" spans="119:119" x14ac:dyDescent="0.2">
      <c r="DO30311" s="303" t="s">
        <v>232</v>
      </c>
    </row>
    <row r="30312" spans="119:119" x14ac:dyDescent="0.2">
      <c r="DO30312" s="303" t="s">
        <v>232</v>
      </c>
    </row>
    <row r="30313" spans="119:119" x14ac:dyDescent="0.2">
      <c r="DO30313" s="303" t="s">
        <v>232</v>
      </c>
    </row>
    <row r="30314" spans="119:119" x14ac:dyDescent="0.2">
      <c r="DO30314" s="303" t="s">
        <v>232</v>
      </c>
    </row>
    <row r="30315" spans="119:119" x14ac:dyDescent="0.2">
      <c r="DO30315" s="303" t="s">
        <v>232</v>
      </c>
    </row>
    <row r="30316" spans="119:119" x14ac:dyDescent="0.2">
      <c r="DO30316" s="303" t="s">
        <v>232</v>
      </c>
    </row>
    <row r="30317" spans="119:119" x14ac:dyDescent="0.2">
      <c r="DO30317" s="303" t="s">
        <v>232</v>
      </c>
    </row>
    <row r="30318" spans="119:119" x14ac:dyDescent="0.2">
      <c r="DO30318" s="303" t="s">
        <v>232</v>
      </c>
    </row>
    <row r="30319" spans="119:119" x14ac:dyDescent="0.2">
      <c r="DO30319" s="303" t="s">
        <v>232</v>
      </c>
    </row>
    <row r="30320" spans="119:119" x14ac:dyDescent="0.2">
      <c r="DO30320" s="303" t="s">
        <v>232</v>
      </c>
    </row>
    <row r="30321" spans="119:119" x14ac:dyDescent="0.2">
      <c r="DO30321" s="303" t="s">
        <v>232</v>
      </c>
    </row>
    <row r="30322" spans="119:119" x14ac:dyDescent="0.2">
      <c r="DO30322" s="303" t="s">
        <v>232</v>
      </c>
    </row>
    <row r="30323" spans="119:119" x14ac:dyDescent="0.2">
      <c r="DO30323" s="303" t="s">
        <v>232</v>
      </c>
    </row>
    <row r="30324" spans="119:119" x14ac:dyDescent="0.2">
      <c r="DO30324" s="303" t="s">
        <v>232</v>
      </c>
    </row>
    <row r="30325" spans="119:119" x14ac:dyDescent="0.2">
      <c r="DO30325" s="303" t="s">
        <v>232</v>
      </c>
    </row>
    <row r="30326" spans="119:119" x14ac:dyDescent="0.2">
      <c r="DO30326" s="303" t="s">
        <v>232</v>
      </c>
    </row>
    <row r="30327" spans="119:119" x14ac:dyDescent="0.2">
      <c r="DO30327" s="303" t="s">
        <v>232</v>
      </c>
    </row>
    <row r="30328" spans="119:119" x14ac:dyDescent="0.2">
      <c r="DO30328" s="303" t="s">
        <v>232</v>
      </c>
    </row>
    <row r="30329" spans="119:119" x14ac:dyDescent="0.2">
      <c r="DO30329" s="303" t="s">
        <v>232</v>
      </c>
    </row>
    <row r="30330" spans="119:119" x14ac:dyDescent="0.2">
      <c r="DO30330" s="303" t="s">
        <v>232</v>
      </c>
    </row>
    <row r="30331" spans="119:119" x14ac:dyDescent="0.2">
      <c r="DO30331" s="303" t="s">
        <v>232</v>
      </c>
    </row>
    <row r="30332" spans="119:119" x14ac:dyDescent="0.2">
      <c r="DO30332" s="303" t="s">
        <v>232</v>
      </c>
    </row>
    <row r="30333" spans="119:119" x14ac:dyDescent="0.2">
      <c r="DO30333" s="303" t="s">
        <v>232</v>
      </c>
    </row>
    <row r="30334" spans="119:119" x14ac:dyDescent="0.2">
      <c r="DO30334" s="303" t="s">
        <v>232</v>
      </c>
    </row>
    <row r="30335" spans="119:119" x14ac:dyDescent="0.2">
      <c r="DO30335" s="303" t="s">
        <v>232</v>
      </c>
    </row>
    <row r="30336" spans="119:119" x14ac:dyDescent="0.2">
      <c r="DO30336" s="303" t="s">
        <v>232</v>
      </c>
    </row>
    <row r="30337" spans="119:119" x14ac:dyDescent="0.2">
      <c r="DO30337" s="303" t="s">
        <v>232</v>
      </c>
    </row>
    <row r="30338" spans="119:119" x14ac:dyDescent="0.2">
      <c r="DO30338" s="303" t="s">
        <v>232</v>
      </c>
    </row>
    <row r="30339" spans="119:119" x14ac:dyDescent="0.2">
      <c r="DO30339" s="303" t="s">
        <v>232</v>
      </c>
    </row>
    <row r="30340" spans="119:119" x14ac:dyDescent="0.2">
      <c r="DO30340" s="303" t="s">
        <v>232</v>
      </c>
    </row>
    <row r="30341" spans="119:119" x14ac:dyDescent="0.2">
      <c r="DO30341" s="303" t="s">
        <v>232</v>
      </c>
    </row>
    <row r="30342" spans="119:119" x14ac:dyDescent="0.2">
      <c r="DO30342" s="303" t="s">
        <v>232</v>
      </c>
    </row>
    <row r="30343" spans="119:119" x14ac:dyDescent="0.2">
      <c r="DO30343" s="303" t="s">
        <v>232</v>
      </c>
    </row>
    <row r="30344" spans="119:119" x14ac:dyDescent="0.2">
      <c r="DO30344" s="303" t="s">
        <v>232</v>
      </c>
    </row>
    <row r="30345" spans="119:119" x14ac:dyDescent="0.2">
      <c r="DO30345" s="303" t="s">
        <v>232</v>
      </c>
    </row>
    <row r="30346" spans="119:119" x14ac:dyDescent="0.2">
      <c r="DO30346" s="303" t="s">
        <v>232</v>
      </c>
    </row>
    <row r="30347" spans="119:119" x14ac:dyDescent="0.2">
      <c r="DO30347" s="303" t="s">
        <v>232</v>
      </c>
    </row>
    <row r="30348" spans="119:119" x14ac:dyDescent="0.2">
      <c r="DO30348" s="303" t="s">
        <v>232</v>
      </c>
    </row>
    <row r="30349" spans="119:119" x14ac:dyDescent="0.2">
      <c r="DO30349" s="303" t="s">
        <v>232</v>
      </c>
    </row>
    <row r="30350" spans="119:119" x14ac:dyDescent="0.2">
      <c r="DO30350" s="303" t="s">
        <v>232</v>
      </c>
    </row>
    <row r="30351" spans="119:119" x14ac:dyDescent="0.2">
      <c r="DO30351" s="303" t="s">
        <v>232</v>
      </c>
    </row>
    <row r="30352" spans="119:119" x14ac:dyDescent="0.2">
      <c r="DO30352" s="303" t="s">
        <v>232</v>
      </c>
    </row>
    <row r="30353" spans="119:119" x14ac:dyDescent="0.2">
      <c r="DO30353" s="303" t="s">
        <v>232</v>
      </c>
    </row>
    <row r="30354" spans="119:119" x14ac:dyDescent="0.2">
      <c r="DO30354" s="303" t="s">
        <v>232</v>
      </c>
    </row>
    <row r="30355" spans="119:119" x14ac:dyDescent="0.2">
      <c r="DO30355" s="303" t="s">
        <v>232</v>
      </c>
    </row>
    <row r="30356" spans="119:119" x14ac:dyDescent="0.2">
      <c r="DO30356" s="303" t="s">
        <v>232</v>
      </c>
    </row>
    <row r="30357" spans="119:119" x14ac:dyDescent="0.2">
      <c r="DO30357" s="303" t="s">
        <v>232</v>
      </c>
    </row>
    <row r="30358" spans="119:119" x14ac:dyDescent="0.2">
      <c r="DO30358" s="303" t="s">
        <v>232</v>
      </c>
    </row>
    <row r="30359" spans="119:119" x14ac:dyDescent="0.2">
      <c r="DO30359" s="303" t="s">
        <v>232</v>
      </c>
    </row>
    <row r="30360" spans="119:119" x14ac:dyDescent="0.2">
      <c r="DO30360" s="303" t="s">
        <v>232</v>
      </c>
    </row>
    <row r="30361" spans="119:119" x14ac:dyDescent="0.2">
      <c r="DO30361" s="303" t="s">
        <v>232</v>
      </c>
    </row>
    <row r="30362" spans="119:119" x14ac:dyDescent="0.2">
      <c r="DO30362" s="303" t="s">
        <v>232</v>
      </c>
    </row>
    <row r="30363" spans="119:119" x14ac:dyDescent="0.2">
      <c r="DO30363" s="303" t="s">
        <v>232</v>
      </c>
    </row>
    <row r="30364" spans="119:119" x14ac:dyDescent="0.2">
      <c r="DO30364" s="303" t="s">
        <v>232</v>
      </c>
    </row>
    <row r="30365" spans="119:119" x14ac:dyDescent="0.2">
      <c r="DO30365" s="303" t="s">
        <v>232</v>
      </c>
    </row>
    <row r="30366" spans="119:119" x14ac:dyDescent="0.2">
      <c r="DO30366" s="303" t="s">
        <v>232</v>
      </c>
    </row>
    <row r="30367" spans="119:119" x14ac:dyDescent="0.2">
      <c r="DO30367" s="303" t="s">
        <v>232</v>
      </c>
    </row>
    <row r="30368" spans="119:119" x14ac:dyDescent="0.2">
      <c r="DO30368" s="303" t="s">
        <v>232</v>
      </c>
    </row>
    <row r="30369" spans="119:119" x14ac:dyDescent="0.2">
      <c r="DO30369" s="303" t="s">
        <v>232</v>
      </c>
    </row>
    <row r="30370" spans="119:119" x14ac:dyDescent="0.2">
      <c r="DO30370" s="303" t="s">
        <v>232</v>
      </c>
    </row>
    <row r="30371" spans="119:119" x14ac:dyDescent="0.2">
      <c r="DO30371" s="303" t="s">
        <v>232</v>
      </c>
    </row>
    <row r="30372" spans="119:119" x14ac:dyDescent="0.2">
      <c r="DO30372" s="303" t="s">
        <v>232</v>
      </c>
    </row>
    <row r="30373" spans="119:119" x14ac:dyDescent="0.2">
      <c r="DO30373" s="303" t="s">
        <v>232</v>
      </c>
    </row>
    <row r="30374" spans="119:119" x14ac:dyDescent="0.2">
      <c r="DO30374" s="303" t="s">
        <v>232</v>
      </c>
    </row>
    <row r="30375" spans="119:119" x14ac:dyDescent="0.2">
      <c r="DO30375" s="303" t="s">
        <v>232</v>
      </c>
    </row>
    <row r="30376" spans="119:119" x14ac:dyDescent="0.2">
      <c r="DO30376" s="303" t="s">
        <v>232</v>
      </c>
    </row>
    <row r="30377" spans="119:119" x14ac:dyDescent="0.2">
      <c r="DO30377" s="303" t="s">
        <v>232</v>
      </c>
    </row>
    <row r="30378" spans="119:119" x14ac:dyDescent="0.2">
      <c r="DO30378" s="303" t="s">
        <v>232</v>
      </c>
    </row>
    <row r="30379" spans="119:119" x14ac:dyDescent="0.2">
      <c r="DO30379" s="303" t="s">
        <v>232</v>
      </c>
    </row>
    <row r="30380" spans="119:119" x14ac:dyDescent="0.2">
      <c r="DO30380" s="303" t="s">
        <v>232</v>
      </c>
    </row>
    <row r="30381" spans="119:119" x14ac:dyDescent="0.2">
      <c r="DO30381" s="303" t="s">
        <v>232</v>
      </c>
    </row>
    <row r="30382" spans="119:119" x14ac:dyDescent="0.2">
      <c r="DO30382" s="303" t="s">
        <v>232</v>
      </c>
    </row>
    <row r="30383" spans="119:119" x14ac:dyDescent="0.2">
      <c r="DO30383" s="303" t="s">
        <v>232</v>
      </c>
    </row>
    <row r="30384" spans="119:119" x14ac:dyDescent="0.2">
      <c r="DO30384" s="303" t="s">
        <v>232</v>
      </c>
    </row>
    <row r="30385" spans="119:119" x14ac:dyDescent="0.2">
      <c r="DO30385" s="303" t="s">
        <v>232</v>
      </c>
    </row>
    <row r="30386" spans="119:119" x14ac:dyDescent="0.2">
      <c r="DO30386" s="303" t="s">
        <v>232</v>
      </c>
    </row>
    <row r="30387" spans="119:119" x14ac:dyDescent="0.2">
      <c r="DO30387" s="303" t="s">
        <v>232</v>
      </c>
    </row>
    <row r="30388" spans="119:119" x14ac:dyDescent="0.2">
      <c r="DO30388" s="303" t="s">
        <v>232</v>
      </c>
    </row>
    <row r="30389" spans="119:119" x14ac:dyDescent="0.2">
      <c r="DO30389" s="303" t="s">
        <v>232</v>
      </c>
    </row>
    <row r="30390" spans="119:119" x14ac:dyDescent="0.2">
      <c r="DO30390" s="303" t="s">
        <v>232</v>
      </c>
    </row>
    <row r="30391" spans="119:119" x14ac:dyDescent="0.2">
      <c r="DO30391" s="303" t="s">
        <v>232</v>
      </c>
    </row>
    <row r="30392" spans="119:119" x14ac:dyDescent="0.2">
      <c r="DO30392" s="303" t="s">
        <v>232</v>
      </c>
    </row>
    <row r="30393" spans="119:119" x14ac:dyDescent="0.2">
      <c r="DO30393" s="303" t="s">
        <v>232</v>
      </c>
    </row>
    <row r="30394" spans="119:119" x14ac:dyDescent="0.2">
      <c r="DO30394" s="303" t="s">
        <v>232</v>
      </c>
    </row>
    <row r="30395" spans="119:119" x14ac:dyDescent="0.2">
      <c r="DO30395" s="303" t="s">
        <v>232</v>
      </c>
    </row>
    <row r="30396" spans="119:119" x14ac:dyDescent="0.2">
      <c r="DO30396" s="303" t="s">
        <v>232</v>
      </c>
    </row>
    <row r="30397" spans="119:119" x14ac:dyDescent="0.2">
      <c r="DO30397" s="303" t="s">
        <v>232</v>
      </c>
    </row>
    <row r="30398" spans="119:119" x14ac:dyDescent="0.2">
      <c r="DO30398" s="303" t="s">
        <v>232</v>
      </c>
    </row>
    <row r="30399" spans="119:119" x14ac:dyDescent="0.2">
      <c r="DO30399" s="303" t="s">
        <v>232</v>
      </c>
    </row>
    <row r="30400" spans="119:119" x14ac:dyDescent="0.2">
      <c r="DO30400" s="303" t="s">
        <v>232</v>
      </c>
    </row>
    <row r="30401" spans="119:119" x14ac:dyDescent="0.2">
      <c r="DO30401" s="303" t="s">
        <v>232</v>
      </c>
    </row>
    <row r="30402" spans="119:119" x14ac:dyDescent="0.2">
      <c r="DO30402" s="303" t="s">
        <v>232</v>
      </c>
    </row>
    <row r="30403" spans="119:119" x14ac:dyDescent="0.2">
      <c r="DO30403" s="303" t="s">
        <v>232</v>
      </c>
    </row>
    <row r="30404" spans="119:119" x14ac:dyDescent="0.2">
      <c r="DO30404" s="303" t="s">
        <v>232</v>
      </c>
    </row>
    <row r="30405" spans="119:119" x14ac:dyDescent="0.2">
      <c r="DO30405" s="303" t="s">
        <v>232</v>
      </c>
    </row>
    <row r="30406" spans="119:119" x14ac:dyDescent="0.2">
      <c r="DO30406" s="303" t="s">
        <v>232</v>
      </c>
    </row>
    <row r="30407" spans="119:119" x14ac:dyDescent="0.2">
      <c r="DO30407" s="303" t="s">
        <v>232</v>
      </c>
    </row>
    <row r="30408" spans="119:119" x14ac:dyDescent="0.2">
      <c r="DO30408" s="303" t="s">
        <v>232</v>
      </c>
    </row>
    <row r="30409" spans="119:119" x14ac:dyDescent="0.2">
      <c r="DO30409" s="303" t="s">
        <v>232</v>
      </c>
    </row>
    <row r="30410" spans="119:119" x14ac:dyDescent="0.2">
      <c r="DO30410" s="303" t="s">
        <v>232</v>
      </c>
    </row>
    <row r="30411" spans="119:119" x14ac:dyDescent="0.2">
      <c r="DO30411" s="303" t="s">
        <v>232</v>
      </c>
    </row>
    <row r="30412" spans="119:119" x14ac:dyDescent="0.2">
      <c r="DO30412" s="303" t="s">
        <v>232</v>
      </c>
    </row>
    <row r="30413" spans="119:119" x14ac:dyDescent="0.2">
      <c r="DO30413" s="303" t="s">
        <v>232</v>
      </c>
    </row>
    <row r="30414" spans="119:119" x14ac:dyDescent="0.2">
      <c r="DO30414" s="303" t="s">
        <v>232</v>
      </c>
    </row>
    <row r="30415" spans="119:119" x14ac:dyDescent="0.2">
      <c r="DO30415" s="303" t="s">
        <v>232</v>
      </c>
    </row>
    <row r="30416" spans="119:119" x14ac:dyDescent="0.2">
      <c r="DO30416" s="303" t="s">
        <v>232</v>
      </c>
    </row>
    <row r="30417" spans="119:119" x14ac:dyDescent="0.2">
      <c r="DO30417" s="303" t="s">
        <v>232</v>
      </c>
    </row>
    <row r="30418" spans="119:119" x14ac:dyDescent="0.2">
      <c r="DO30418" s="303" t="s">
        <v>232</v>
      </c>
    </row>
    <row r="30419" spans="119:119" x14ac:dyDescent="0.2">
      <c r="DO30419" s="303" t="s">
        <v>232</v>
      </c>
    </row>
    <row r="30420" spans="119:119" x14ac:dyDescent="0.2">
      <c r="DO30420" s="303" t="s">
        <v>232</v>
      </c>
    </row>
    <row r="30421" spans="119:119" x14ac:dyDescent="0.2">
      <c r="DO30421" s="303" t="s">
        <v>232</v>
      </c>
    </row>
    <row r="30422" spans="119:119" x14ac:dyDescent="0.2">
      <c r="DO30422" s="303" t="s">
        <v>232</v>
      </c>
    </row>
    <row r="30423" spans="119:119" x14ac:dyDescent="0.2">
      <c r="DO30423" s="303" t="s">
        <v>232</v>
      </c>
    </row>
    <row r="30424" spans="119:119" x14ac:dyDescent="0.2">
      <c r="DO30424" s="303" t="s">
        <v>232</v>
      </c>
    </row>
    <row r="30425" spans="119:119" x14ac:dyDescent="0.2">
      <c r="DO30425" s="303" t="s">
        <v>232</v>
      </c>
    </row>
    <row r="30426" spans="119:119" x14ac:dyDescent="0.2">
      <c r="DO30426" s="303" t="s">
        <v>232</v>
      </c>
    </row>
    <row r="30427" spans="119:119" x14ac:dyDescent="0.2">
      <c r="DO30427" s="303" t="s">
        <v>232</v>
      </c>
    </row>
    <row r="30428" spans="119:119" x14ac:dyDescent="0.2">
      <c r="DO30428" s="303" t="s">
        <v>232</v>
      </c>
    </row>
    <row r="30429" spans="119:119" x14ac:dyDescent="0.2">
      <c r="DO30429" s="303" t="s">
        <v>232</v>
      </c>
    </row>
    <row r="30430" spans="119:119" x14ac:dyDescent="0.2">
      <c r="DO30430" s="303" t="s">
        <v>232</v>
      </c>
    </row>
    <row r="30431" spans="119:119" x14ac:dyDescent="0.2">
      <c r="DO30431" s="303" t="s">
        <v>232</v>
      </c>
    </row>
    <row r="30432" spans="119:119" x14ac:dyDescent="0.2">
      <c r="DO30432" s="303" t="s">
        <v>232</v>
      </c>
    </row>
    <row r="30433" spans="119:119" x14ac:dyDescent="0.2">
      <c r="DO30433" s="303" t="s">
        <v>232</v>
      </c>
    </row>
    <row r="30434" spans="119:119" x14ac:dyDescent="0.2">
      <c r="DO30434" s="303" t="s">
        <v>232</v>
      </c>
    </row>
    <row r="30435" spans="119:119" x14ac:dyDescent="0.2">
      <c r="DO30435" s="303" t="s">
        <v>232</v>
      </c>
    </row>
    <row r="30436" spans="119:119" x14ac:dyDescent="0.2">
      <c r="DO30436" s="303" t="s">
        <v>232</v>
      </c>
    </row>
    <row r="30437" spans="119:119" x14ac:dyDescent="0.2">
      <c r="DO30437" s="303" t="s">
        <v>232</v>
      </c>
    </row>
    <row r="30438" spans="119:119" x14ac:dyDescent="0.2">
      <c r="DO30438" s="303" t="s">
        <v>232</v>
      </c>
    </row>
    <row r="30439" spans="119:119" x14ac:dyDescent="0.2">
      <c r="DO30439" s="303" t="s">
        <v>232</v>
      </c>
    </row>
    <row r="30440" spans="119:119" x14ac:dyDescent="0.2">
      <c r="DO30440" s="303" t="s">
        <v>232</v>
      </c>
    </row>
    <row r="30441" spans="119:119" x14ac:dyDescent="0.2">
      <c r="DO30441" s="303" t="s">
        <v>232</v>
      </c>
    </row>
    <row r="30442" spans="119:119" x14ac:dyDescent="0.2">
      <c r="DO30442" s="303" t="s">
        <v>232</v>
      </c>
    </row>
    <row r="30443" spans="119:119" x14ac:dyDescent="0.2">
      <c r="DO30443" s="303" t="s">
        <v>232</v>
      </c>
    </row>
    <row r="30444" spans="119:119" x14ac:dyDescent="0.2">
      <c r="DO30444" s="303" t="s">
        <v>232</v>
      </c>
    </row>
    <row r="30445" spans="119:119" x14ac:dyDescent="0.2">
      <c r="DO30445" s="303" t="s">
        <v>232</v>
      </c>
    </row>
    <row r="30446" spans="119:119" x14ac:dyDescent="0.2">
      <c r="DO30446" s="303" t="s">
        <v>232</v>
      </c>
    </row>
    <row r="30447" spans="119:119" x14ac:dyDescent="0.2">
      <c r="DO30447" s="303" t="s">
        <v>232</v>
      </c>
    </row>
    <row r="30448" spans="119:119" x14ac:dyDescent="0.2">
      <c r="DO30448" s="303" t="s">
        <v>232</v>
      </c>
    </row>
    <row r="30449" spans="119:119" x14ac:dyDescent="0.2">
      <c r="DO30449" s="303" t="s">
        <v>232</v>
      </c>
    </row>
    <row r="30450" spans="119:119" x14ac:dyDescent="0.2">
      <c r="DO30450" s="303" t="s">
        <v>232</v>
      </c>
    </row>
    <row r="30451" spans="119:119" x14ac:dyDescent="0.2">
      <c r="DO30451" s="303" t="s">
        <v>232</v>
      </c>
    </row>
    <row r="30452" spans="119:119" x14ac:dyDescent="0.2">
      <c r="DO30452" s="303" t="s">
        <v>232</v>
      </c>
    </row>
    <row r="30453" spans="119:119" x14ac:dyDescent="0.2">
      <c r="DO30453" s="303" t="s">
        <v>232</v>
      </c>
    </row>
    <row r="30454" spans="119:119" x14ac:dyDescent="0.2">
      <c r="DO30454" s="303" t="s">
        <v>232</v>
      </c>
    </row>
    <row r="30455" spans="119:119" x14ac:dyDescent="0.2">
      <c r="DO30455" s="303" t="s">
        <v>232</v>
      </c>
    </row>
    <row r="30456" spans="119:119" x14ac:dyDescent="0.2">
      <c r="DO30456" s="303" t="s">
        <v>232</v>
      </c>
    </row>
    <row r="30457" spans="119:119" x14ac:dyDescent="0.2">
      <c r="DO30457" s="303" t="s">
        <v>232</v>
      </c>
    </row>
    <row r="30458" spans="119:119" x14ac:dyDescent="0.2">
      <c r="DO30458" s="303" t="s">
        <v>232</v>
      </c>
    </row>
    <row r="30459" spans="119:119" x14ac:dyDescent="0.2">
      <c r="DO30459" s="303" t="s">
        <v>232</v>
      </c>
    </row>
    <row r="30460" spans="119:119" x14ac:dyDescent="0.2">
      <c r="DO30460" s="303" t="s">
        <v>232</v>
      </c>
    </row>
    <row r="30461" spans="119:119" x14ac:dyDescent="0.2">
      <c r="DO30461" s="303" t="s">
        <v>232</v>
      </c>
    </row>
    <row r="30462" spans="119:119" x14ac:dyDescent="0.2">
      <c r="DO30462" s="303" t="s">
        <v>232</v>
      </c>
    </row>
    <row r="30463" spans="119:119" x14ac:dyDescent="0.2">
      <c r="DO30463" s="303" t="s">
        <v>232</v>
      </c>
    </row>
    <row r="30464" spans="119:119" x14ac:dyDescent="0.2">
      <c r="DO30464" s="303" t="s">
        <v>232</v>
      </c>
    </row>
    <row r="30465" spans="119:119" x14ac:dyDescent="0.2">
      <c r="DO30465" s="303" t="s">
        <v>232</v>
      </c>
    </row>
    <row r="30466" spans="119:119" x14ac:dyDescent="0.2">
      <c r="DO30466" s="303" t="s">
        <v>232</v>
      </c>
    </row>
    <row r="30467" spans="119:119" x14ac:dyDescent="0.2">
      <c r="DO30467" s="303" t="s">
        <v>232</v>
      </c>
    </row>
    <row r="30468" spans="119:119" x14ac:dyDescent="0.2">
      <c r="DO30468" s="303" t="s">
        <v>232</v>
      </c>
    </row>
    <row r="30469" spans="119:119" x14ac:dyDescent="0.2">
      <c r="DO30469" s="303" t="s">
        <v>232</v>
      </c>
    </row>
    <row r="30470" spans="119:119" x14ac:dyDescent="0.2">
      <c r="DO30470" s="303" t="s">
        <v>232</v>
      </c>
    </row>
    <row r="30471" spans="119:119" x14ac:dyDescent="0.2">
      <c r="DO30471" s="303" t="s">
        <v>232</v>
      </c>
    </row>
    <row r="30472" spans="119:119" x14ac:dyDescent="0.2">
      <c r="DO30472" s="303" t="s">
        <v>232</v>
      </c>
    </row>
    <row r="30473" spans="119:119" x14ac:dyDescent="0.2">
      <c r="DO30473" s="303" t="s">
        <v>232</v>
      </c>
    </row>
    <row r="30474" spans="119:119" x14ac:dyDescent="0.2">
      <c r="DO30474" s="303" t="s">
        <v>232</v>
      </c>
    </row>
    <row r="30475" spans="119:119" x14ac:dyDescent="0.2">
      <c r="DO30475" s="303" t="s">
        <v>232</v>
      </c>
    </row>
    <row r="30476" spans="119:119" x14ac:dyDescent="0.2">
      <c r="DO30476" s="303" t="s">
        <v>232</v>
      </c>
    </row>
    <row r="30477" spans="119:119" x14ac:dyDescent="0.2">
      <c r="DO30477" s="303" t="s">
        <v>232</v>
      </c>
    </row>
    <row r="30478" spans="119:119" x14ac:dyDescent="0.2">
      <c r="DO30478" s="303" t="s">
        <v>232</v>
      </c>
    </row>
    <row r="30479" spans="119:119" x14ac:dyDescent="0.2">
      <c r="DO30479" s="303" t="s">
        <v>232</v>
      </c>
    </row>
    <row r="30480" spans="119:119" x14ac:dyDescent="0.2">
      <c r="DO30480" s="303" t="s">
        <v>232</v>
      </c>
    </row>
    <row r="30481" spans="119:119" x14ac:dyDescent="0.2">
      <c r="DO30481" s="303" t="s">
        <v>232</v>
      </c>
    </row>
    <row r="30482" spans="119:119" x14ac:dyDescent="0.2">
      <c r="DO30482" s="303" t="s">
        <v>232</v>
      </c>
    </row>
    <row r="30483" spans="119:119" x14ac:dyDescent="0.2">
      <c r="DO30483" s="303" t="s">
        <v>232</v>
      </c>
    </row>
    <row r="30484" spans="119:119" x14ac:dyDescent="0.2">
      <c r="DO30484" s="303" t="s">
        <v>232</v>
      </c>
    </row>
    <row r="30485" spans="119:119" x14ac:dyDescent="0.2">
      <c r="DO30485" s="303" t="s">
        <v>232</v>
      </c>
    </row>
    <row r="30486" spans="119:119" x14ac:dyDescent="0.2">
      <c r="DO30486" s="303" t="s">
        <v>232</v>
      </c>
    </row>
    <row r="30487" spans="119:119" x14ac:dyDescent="0.2">
      <c r="DO30487" s="303" t="s">
        <v>232</v>
      </c>
    </row>
    <row r="30488" spans="119:119" x14ac:dyDescent="0.2">
      <c r="DO30488" s="303" t="s">
        <v>232</v>
      </c>
    </row>
    <row r="30489" spans="119:119" x14ac:dyDescent="0.2">
      <c r="DO30489" s="303" t="s">
        <v>232</v>
      </c>
    </row>
    <row r="30490" spans="119:119" x14ac:dyDescent="0.2">
      <c r="DO30490" s="303" t="s">
        <v>232</v>
      </c>
    </row>
    <row r="30491" spans="119:119" x14ac:dyDescent="0.2">
      <c r="DO30491" s="303" t="s">
        <v>232</v>
      </c>
    </row>
    <row r="30492" spans="119:119" x14ac:dyDescent="0.2">
      <c r="DO30492" s="303" t="s">
        <v>232</v>
      </c>
    </row>
    <row r="30493" spans="119:119" x14ac:dyDescent="0.2">
      <c r="DO30493" s="303" t="s">
        <v>232</v>
      </c>
    </row>
    <row r="30494" spans="119:119" x14ac:dyDescent="0.2">
      <c r="DO30494" s="303" t="s">
        <v>232</v>
      </c>
    </row>
    <row r="30495" spans="119:119" x14ac:dyDescent="0.2">
      <c r="DO30495" s="303" t="s">
        <v>232</v>
      </c>
    </row>
    <row r="30496" spans="119:119" x14ac:dyDescent="0.2">
      <c r="DO30496" s="303" t="s">
        <v>232</v>
      </c>
    </row>
    <row r="30497" spans="119:119" x14ac:dyDescent="0.2">
      <c r="DO30497" s="303" t="s">
        <v>232</v>
      </c>
    </row>
    <row r="30498" spans="119:119" x14ac:dyDescent="0.2">
      <c r="DO30498" s="303" t="s">
        <v>232</v>
      </c>
    </row>
    <row r="30499" spans="119:119" x14ac:dyDescent="0.2">
      <c r="DO30499" s="303" t="s">
        <v>232</v>
      </c>
    </row>
    <row r="30500" spans="119:119" x14ac:dyDescent="0.2">
      <c r="DO30500" s="303" t="s">
        <v>232</v>
      </c>
    </row>
    <row r="30501" spans="119:119" x14ac:dyDescent="0.2">
      <c r="DO30501" s="303" t="s">
        <v>232</v>
      </c>
    </row>
    <row r="30502" spans="119:119" x14ac:dyDescent="0.2">
      <c r="DO30502" s="303" t="s">
        <v>232</v>
      </c>
    </row>
    <row r="30503" spans="119:119" x14ac:dyDescent="0.2">
      <c r="DO30503" s="303" t="s">
        <v>232</v>
      </c>
    </row>
    <row r="30504" spans="119:119" x14ac:dyDescent="0.2">
      <c r="DO30504" s="303" t="s">
        <v>232</v>
      </c>
    </row>
    <row r="30505" spans="119:119" x14ac:dyDescent="0.2">
      <c r="DO30505" s="303" t="s">
        <v>232</v>
      </c>
    </row>
    <row r="30506" spans="119:119" x14ac:dyDescent="0.2">
      <c r="DO30506" s="303" t="s">
        <v>232</v>
      </c>
    </row>
    <row r="30507" spans="119:119" x14ac:dyDescent="0.2">
      <c r="DO30507" s="303" t="s">
        <v>232</v>
      </c>
    </row>
    <row r="30508" spans="119:119" x14ac:dyDescent="0.2">
      <c r="DO30508" s="303" t="s">
        <v>232</v>
      </c>
    </row>
    <row r="30509" spans="119:119" x14ac:dyDescent="0.2">
      <c r="DO30509" s="303" t="s">
        <v>232</v>
      </c>
    </row>
    <row r="30510" spans="119:119" x14ac:dyDescent="0.2">
      <c r="DO30510" s="303" t="s">
        <v>232</v>
      </c>
    </row>
    <row r="30511" spans="119:119" x14ac:dyDescent="0.2">
      <c r="DO30511" s="303" t="s">
        <v>232</v>
      </c>
    </row>
    <row r="30512" spans="119:119" x14ac:dyDescent="0.2">
      <c r="DO30512" s="303" t="s">
        <v>232</v>
      </c>
    </row>
    <row r="30513" spans="119:119" x14ac:dyDescent="0.2">
      <c r="DO30513" s="303" t="s">
        <v>232</v>
      </c>
    </row>
    <row r="30514" spans="119:119" x14ac:dyDescent="0.2">
      <c r="DO30514" s="303" t="s">
        <v>232</v>
      </c>
    </row>
    <row r="30515" spans="119:119" x14ac:dyDescent="0.2">
      <c r="DO30515" s="303" t="s">
        <v>232</v>
      </c>
    </row>
    <row r="30516" spans="119:119" x14ac:dyDescent="0.2">
      <c r="DO30516" s="303" t="s">
        <v>232</v>
      </c>
    </row>
    <row r="30517" spans="119:119" x14ac:dyDescent="0.2">
      <c r="DO30517" s="303" t="s">
        <v>232</v>
      </c>
    </row>
    <row r="30518" spans="119:119" x14ac:dyDescent="0.2">
      <c r="DO30518" s="303" t="s">
        <v>232</v>
      </c>
    </row>
    <row r="30519" spans="119:119" x14ac:dyDescent="0.2">
      <c r="DO30519" s="303" t="s">
        <v>232</v>
      </c>
    </row>
    <row r="30520" spans="119:119" x14ac:dyDescent="0.2">
      <c r="DO30520" s="303" t="s">
        <v>232</v>
      </c>
    </row>
    <row r="30521" spans="119:119" x14ac:dyDescent="0.2">
      <c r="DO30521" s="303" t="s">
        <v>232</v>
      </c>
    </row>
    <row r="30522" spans="119:119" x14ac:dyDescent="0.2">
      <c r="DO30522" s="303" t="s">
        <v>232</v>
      </c>
    </row>
    <row r="30523" spans="119:119" x14ac:dyDescent="0.2">
      <c r="DO30523" s="303" t="s">
        <v>232</v>
      </c>
    </row>
    <row r="30524" spans="119:119" x14ac:dyDescent="0.2">
      <c r="DO30524" s="303" t="s">
        <v>232</v>
      </c>
    </row>
    <row r="30525" spans="119:119" x14ac:dyDescent="0.2">
      <c r="DO30525" s="303" t="s">
        <v>232</v>
      </c>
    </row>
    <row r="30526" spans="119:119" x14ac:dyDescent="0.2">
      <c r="DO30526" s="303" t="s">
        <v>232</v>
      </c>
    </row>
    <row r="30527" spans="119:119" x14ac:dyDescent="0.2">
      <c r="DO30527" s="303" t="s">
        <v>232</v>
      </c>
    </row>
    <row r="30528" spans="119:119" x14ac:dyDescent="0.2">
      <c r="DO30528" s="303" t="s">
        <v>232</v>
      </c>
    </row>
    <row r="30529" spans="119:119" x14ac:dyDescent="0.2">
      <c r="DO30529" s="303" t="s">
        <v>232</v>
      </c>
    </row>
    <row r="30530" spans="119:119" x14ac:dyDescent="0.2">
      <c r="DO30530" s="303" t="s">
        <v>232</v>
      </c>
    </row>
    <row r="30531" spans="119:119" x14ac:dyDescent="0.2">
      <c r="DO30531" s="303" t="s">
        <v>232</v>
      </c>
    </row>
    <row r="30532" spans="119:119" x14ac:dyDescent="0.2">
      <c r="DO30532" s="303" t="s">
        <v>232</v>
      </c>
    </row>
    <row r="30533" spans="119:119" x14ac:dyDescent="0.2">
      <c r="DO30533" s="303" t="s">
        <v>232</v>
      </c>
    </row>
    <row r="30534" spans="119:119" x14ac:dyDescent="0.2">
      <c r="DO30534" s="303" t="s">
        <v>232</v>
      </c>
    </row>
    <row r="30535" spans="119:119" x14ac:dyDescent="0.2">
      <c r="DO30535" s="303" t="s">
        <v>232</v>
      </c>
    </row>
    <row r="30536" spans="119:119" x14ac:dyDescent="0.2">
      <c r="DO30536" s="303" t="s">
        <v>232</v>
      </c>
    </row>
    <row r="30537" spans="119:119" x14ac:dyDescent="0.2">
      <c r="DO30537" s="303" t="s">
        <v>232</v>
      </c>
    </row>
    <row r="30538" spans="119:119" x14ac:dyDescent="0.2">
      <c r="DO30538" s="303" t="s">
        <v>232</v>
      </c>
    </row>
    <row r="30539" spans="119:119" x14ac:dyDescent="0.2">
      <c r="DO30539" s="303" t="s">
        <v>232</v>
      </c>
    </row>
    <row r="30540" spans="119:119" x14ac:dyDescent="0.2">
      <c r="DO30540" s="303" t="s">
        <v>232</v>
      </c>
    </row>
    <row r="30541" spans="119:119" x14ac:dyDescent="0.2">
      <c r="DO30541" s="303" t="s">
        <v>232</v>
      </c>
    </row>
    <row r="30542" spans="119:119" x14ac:dyDescent="0.2">
      <c r="DO30542" s="303" t="s">
        <v>232</v>
      </c>
    </row>
    <row r="30543" spans="119:119" x14ac:dyDescent="0.2">
      <c r="DO30543" s="303" t="s">
        <v>232</v>
      </c>
    </row>
    <row r="30544" spans="119:119" x14ac:dyDescent="0.2">
      <c r="DO30544" s="303" t="s">
        <v>232</v>
      </c>
    </row>
    <row r="30545" spans="119:119" x14ac:dyDescent="0.2">
      <c r="DO30545" s="303" t="s">
        <v>232</v>
      </c>
    </row>
    <row r="30546" spans="119:119" x14ac:dyDescent="0.2">
      <c r="DO30546" s="303" t="s">
        <v>232</v>
      </c>
    </row>
    <row r="30547" spans="119:119" x14ac:dyDescent="0.2">
      <c r="DO30547" s="303" t="s">
        <v>232</v>
      </c>
    </row>
    <row r="30548" spans="119:119" x14ac:dyDescent="0.2">
      <c r="DO30548" s="303" t="s">
        <v>232</v>
      </c>
    </row>
    <row r="30549" spans="119:119" x14ac:dyDescent="0.2">
      <c r="DO30549" s="303" t="s">
        <v>232</v>
      </c>
    </row>
    <row r="30550" spans="119:119" x14ac:dyDescent="0.2">
      <c r="DO30550" s="303" t="s">
        <v>232</v>
      </c>
    </row>
    <row r="30551" spans="119:119" x14ac:dyDescent="0.2">
      <c r="DO30551" s="303" t="s">
        <v>232</v>
      </c>
    </row>
    <row r="30552" spans="119:119" x14ac:dyDescent="0.2">
      <c r="DO30552" s="303" t="s">
        <v>232</v>
      </c>
    </row>
    <row r="30553" spans="119:119" x14ac:dyDescent="0.2">
      <c r="DO30553" s="303" t="s">
        <v>232</v>
      </c>
    </row>
    <row r="30554" spans="119:119" x14ac:dyDescent="0.2">
      <c r="DO30554" s="303" t="s">
        <v>232</v>
      </c>
    </row>
    <row r="30555" spans="119:119" x14ac:dyDescent="0.2">
      <c r="DO30555" s="303" t="s">
        <v>232</v>
      </c>
    </row>
    <row r="30556" spans="119:119" x14ac:dyDescent="0.2">
      <c r="DO30556" s="303" t="s">
        <v>232</v>
      </c>
    </row>
    <row r="30557" spans="119:119" x14ac:dyDescent="0.2">
      <c r="DO30557" s="303" t="s">
        <v>232</v>
      </c>
    </row>
    <row r="30558" spans="119:119" x14ac:dyDescent="0.2">
      <c r="DO30558" s="303" t="s">
        <v>232</v>
      </c>
    </row>
    <row r="30559" spans="119:119" x14ac:dyDescent="0.2">
      <c r="DO30559" s="303" t="s">
        <v>232</v>
      </c>
    </row>
    <row r="30560" spans="119:119" x14ac:dyDescent="0.2">
      <c r="DO30560" s="303" t="s">
        <v>232</v>
      </c>
    </row>
    <row r="30561" spans="119:119" x14ac:dyDescent="0.2">
      <c r="DO30561" s="303" t="s">
        <v>232</v>
      </c>
    </row>
    <row r="30562" spans="119:119" x14ac:dyDescent="0.2">
      <c r="DO30562" s="303" t="s">
        <v>232</v>
      </c>
    </row>
    <row r="30563" spans="119:119" x14ac:dyDescent="0.2">
      <c r="DO30563" s="303" t="s">
        <v>232</v>
      </c>
    </row>
    <row r="30564" spans="119:119" x14ac:dyDescent="0.2">
      <c r="DO30564" s="303" t="s">
        <v>232</v>
      </c>
    </row>
    <row r="30565" spans="119:119" x14ac:dyDescent="0.2">
      <c r="DO30565" s="303" t="s">
        <v>232</v>
      </c>
    </row>
    <row r="30566" spans="119:119" x14ac:dyDescent="0.2">
      <c r="DO30566" s="303" t="s">
        <v>232</v>
      </c>
    </row>
    <row r="30567" spans="119:119" x14ac:dyDescent="0.2">
      <c r="DO30567" s="303" t="s">
        <v>232</v>
      </c>
    </row>
    <row r="30568" spans="119:119" x14ac:dyDescent="0.2">
      <c r="DO30568" s="303" t="s">
        <v>232</v>
      </c>
    </row>
    <row r="30569" spans="119:119" x14ac:dyDescent="0.2">
      <c r="DO30569" s="303" t="s">
        <v>232</v>
      </c>
    </row>
    <row r="30570" spans="119:119" x14ac:dyDescent="0.2">
      <c r="DO30570" s="303" t="s">
        <v>232</v>
      </c>
    </row>
    <row r="30571" spans="119:119" x14ac:dyDescent="0.2">
      <c r="DO30571" s="303" t="s">
        <v>232</v>
      </c>
    </row>
    <row r="30572" spans="119:119" x14ac:dyDescent="0.2">
      <c r="DO30572" s="303" t="s">
        <v>232</v>
      </c>
    </row>
    <row r="30573" spans="119:119" x14ac:dyDescent="0.2">
      <c r="DO30573" s="303" t="s">
        <v>232</v>
      </c>
    </row>
    <row r="30574" spans="119:119" x14ac:dyDescent="0.2">
      <c r="DO30574" s="303" t="s">
        <v>232</v>
      </c>
    </row>
    <row r="30575" spans="119:119" x14ac:dyDescent="0.2">
      <c r="DO30575" s="303" t="s">
        <v>232</v>
      </c>
    </row>
    <row r="30576" spans="119:119" x14ac:dyDescent="0.2">
      <c r="DO30576" s="303" t="s">
        <v>232</v>
      </c>
    </row>
    <row r="30577" spans="119:119" x14ac:dyDescent="0.2">
      <c r="DO30577" s="303" t="s">
        <v>232</v>
      </c>
    </row>
    <row r="30578" spans="119:119" x14ac:dyDescent="0.2">
      <c r="DO30578" s="303" t="s">
        <v>232</v>
      </c>
    </row>
    <row r="30579" spans="119:119" x14ac:dyDescent="0.2">
      <c r="DO30579" s="303" t="s">
        <v>232</v>
      </c>
    </row>
    <row r="30580" spans="119:119" x14ac:dyDescent="0.2">
      <c r="DO30580" s="303" t="s">
        <v>232</v>
      </c>
    </row>
    <row r="30581" spans="119:119" x14ac:dyDescent="0.2">
      <c r="DO30581" s="303" t="s">
        <v>232</v>
      </c>
    </row>
    <row r="30582" spans="119:119" x14ac:dyDescent="0.2">
      <c r="DO30582" s="303" t="s">
        <v>232</v>
      </c>
    </row>
    <row r="30583" spans="119:119" x14ac:dyDescent="0.2">
      <c r="DO30583" s="303" t="s">
        <v>232</v>
      </c>
    </row>
    <row r="30584" spans="119:119" x14ac:dyDescent="0.2">
      <c r="DO30584" s="303" t="s">
        <v>232</v>
      </c>
    </row>
    <row r="30585" spans="119:119" x14ac:dyDescent="0.2">
      <c r="DO30585" s="303" t="s">
        <v>232</v>
      </c>
    </row>
    <row r="30586" spans="119:119" x14ac:dyDescent="0.2">
      <c r="DO30586" s="303" t="s">
        <v>232</v>
      </c>
    </row>
    <row r="30587" spans="119:119" x14ac:dyDescent="0.2">
      <c r="DO30587" s="303" t="s">
        <v>232</v>
      </c>
    </row>
    <row r="30588" spans="119:119" x14ac:dyDescent="0.2">
      <c r="DO30588" s="303" t="s">
        <v>232</v>
      </c>
    </row>
    <row r="30589" spans="119:119" x14ac:dyDescent="0.2">
      <c r="DO30589" s="303" t="s">
        <v>232</v>
      </c>
    </row>
    <row r="30590" spans="119:119" x14ac:dyDescent="0.2">
      <c r="DO30590" s="303" t="s">
        <v>232</v>
      </c>
    </row>
    <row r="30591" spans="119:119" x14ac:dyDescent="0.2">
      <c r="DO30591" s="303" t="s">
        <v>232</v>
      </c>
    </row>
    <row r="30592" spans="119:119" x14ac:dyDescent="0.2">
      <c r="DO30592" s="303" t="s">
        <v>232</v>
      </c>
    </row>
    <row r="30593" spans="119:119" x14ac:dyDescent="0.2">
      <c r="DO30593" s="303" t="s">
        <v>232</v>
      </c>
    </row>
    <row r="30594" spans="119:119" x14ac:dyDescent="0.2">
      <c r="DO30594" s="303" t="s">
        <v>232</v>
      </c>
    </row>
    <row r="30595" spans="119:119" x14ac:dyDescent="0.2">
      <c r="DO30595" s="303" t="s">
        <v>232</v>
      </c>
    </row>
    <row r="30596" spans="119:119" x14ac:dyDescent="0.2">
      <c r="DO30596" s="303" t="s">
        <v>232</v>
      </c>
    </row>
    <row r="30597" spans="119:119" x14ac:dyDescent="0.2">
      <c r="DO30597" s="303" t="s">
        <v>232</v>
      </c>
    </row>
    <row r="30598" spans="119:119" x14ac:dyDescent="0.2">
      <c r="DO30598" s="303" t="s">
        <v>232</v>
      </c>
    </row>
    <row r="30599" spans="119:119" x14ac:dyDescent="0.2">
      <c r="DO30599" s="303" t="s">
        <v>232</v>
      </c>
    </row>
    <row r="30600" spans="119:119" x14ac:dyDescent="0.2">
      <c r="DO30600" s="303" t="s">
        <v>232</v>
      </c>
    </row>
    <row r="30601" spans="119:119" x14ac:dyDescent="0.2">
      <c r="DO30601" s="303" t="s">
        <v>232</v>
      </c>
    </row>
    <row r="30602" spans="119:119" x14ac:dyDescent="0.2">
      <c r="DO30602" s="303" t="s">
        <v>232</v>
      </c>
    </row>
    <row r="30603" spans="119:119" x14ac:dyDescent="0.2">
      <c r="DO30603" s="303" t="s">
        <v>232</v>
      </c>
    </row>
    <row r="30604" spans="119:119" x14ac:dyDescent="0.2">
      <c r="DO30604" s="303" t="s">
        <v>232</v>
      </c>
    </row>
    <row r="30605" spans="119:119" x14ac:dyDescent="0.2">
      <c r="DO30605" s="303" t="s">
        <v>232</v>
      </c>
    </row>
    <row r="30606" spans="119:119" x14ac:dyDescent="0.2">
      <c r="DO30606" s="303" t="s">
        <v>232</v>
      </c>
    </row>
    <row r="30607" spans="119:119" x14ac:dyDescent="0.2">
      <c r="DO30607" s="303" t="s">
        <v>232</v>
      </c>
    </row>
    <row r="30608" spans="119:119" x14ac:dyDescent="0.2">
      <c r="DO30608" s="303" t="s">
        <v>232</v>
      </c>
    </row>
    <row r="30609" spans="119:119" x14ac:dyDescent="0.2">
      <c r="DO30609" s="303" t="s">
        <v>232</v>
      </c>
    </row>
    <row r="30610" spans="119:119" x14ac:dyDescent="0.2">
      <c r="DO30610" s="303" t="s">
        <v>232</v>
      </c>
    </row>
    <row r="30611" spans="119:119" x14ac:dyDescent="0.2">
      <c r="DO30611" s="303" t="s">
        <v>232</v>
      </c>
    </row>
    <row r="30612" spans="119:119" x14ac:dyDescent="0.2">
      <c r="DO30612" s="303" t="s">
        <v>232</v>
      </c>
    </row>
    <row r="30613" spans="119:119" x14ac:dyDescent="0.2">
      <c r="DO30613" s="303" t="s">
        <v>232</v>
      </c>
    </row>
    <row r="30614" spans="119:119" x14ac:dyDescent="0.2">
      <c r="DO30614" s="303" t="s">
        <v>232</v>
      </c>
    </row>
    <row r="30615" spans="119:119" x14ac:dyDescent="0.2">
      <c r="DO30615" s="303" t="s">
        <v>232</v>
      </c>
    </row>
    <row r="30616" spans="119:119" x14ac:dyDescent="0.2">
      <c r="DO30616" s="303" t="s">
        <v>232</v>
      </c>
    </row>
    <row r="30617" spans="119:119" x14ac:dyDescent="0.2">
      <c r="DO30617" s="303" t="s">
        <v>232</v>
      </c>
    </row>
    <row r="30618" spans="119:119" x14ac:dyDescent="0.2">
      <c r="DO30618" s="303" t="s">
        <v>232</v>
      </c>
    </row>
    <row r="30619" spans="119:119" x14ac:dyDescent="0.2">
      <c r="DO30619" s="303" t="s">
        <v>232</v>
      </c>
    </row>
    <row r="30620" spans="119:119" x14ac:dyDescent="0.2">
      <c r="DO30620" s="303" t="s">
        <v>232</v>
      </c>
    </row>
    <row r="30621" spans="119:119" x14ac:dyDescent="0.2">
      <c r="DO30621" s="303" t="s">
        <v>232</v>
      </c>
    </row>
    <row r="30622" spans="119:119" x14ac:dyDescent="0.2">
      <c r="DO30622" s="303" t="s">
        <v>232</v>
      </c>
    </row>
    <row r="30623" spans="119:119" x14ac:dyDescent="0.2">
      <c r="DO30623" s="303" t="s">
        <v>232</v>
      </c>
    </row>
    <row r="30624" spans="119:119" x14ac:dyDescent="0.2">
      <c r="DO30624" s="303" t="s">
        <v>232</v>
      </c>
    </row>
    <row r="30625" spans="119:119" x14ac:dyDescent="0.2">
      <c r="DO30625" s="303" t="s">
        <v>232</v>
      </c>
    </row>
    <row r="30626" spans="119:119" x14ac:dyDescent="0.2">
      <c r="DO30626" s="303" t="s">
        <v>232</v>
      </c>
    </row>
    <row r="30627" spans="119:119" x14ac:dyDescent="0.2">
      <c r="DO30627" s="303" t="s">
        <v>232</v>
      </c>
    </row>
    <row r="30628" spans="119:119" x14ac:dyDescent="0.2">
      <c r="DO30628" s="303" t="s">
        <v>232</v>
      </c>
    </row>
    <row r="30629" spans="119:119" x14ac:dyDescent="0.2">
      <c r="DO30629" s="303" t="s">
        <v>232</v>
      </c>
    </row>
    <row r="30630" spans="119:119" x14ac:dyDescent="0.2">
      <c r="DO30630" s="303" t="s">
        <v>232</v>
      </c>
    </row>
    <row r="30631" spans="119:119" x14ac:dyDescent="0.2">
      <c r="DO30631" s="303" t="s">
        <v>232</v>
      </c>
    </row>
    <row r="30632" spans="119:119" x14ac:dyDescent="0.2">
      <c r="DO30632" s="303" t="s">
        <v>232</v>
      </c>
    </row>
    <row r="30633" spans="119:119" x14ac:dyDescent="0.2">
      <c r="DO30633" s="303" t="s">
        <v>232</v>
      </c>
    </row>
    <row r="30634" spans="119:119" x14ac:dyDescent="0.2">
      <c r="DO30634" s="303" t="s">
        <v>232</v>
      </c>
    </row>
    <row r="30635" spans="119:119" x14ac:dyDescent="0.2">
      <c r="DO30635" s="303" t="s">
        <v>232</v>
      </c>
    </row>
    <row r="30636" spans="119:119" x14ac:dyDescent="0.2">
      <c r="DO30636" s="303" t="s">
        <v>232</v>
      </c>
    </row>
    <row r="30637" spans="119:119" x14ac:dyDescent="0.2">
      <c r="DO30637" s="303" t="s">
        <v>232</v>
      </c>
    </row>
    <row r="30638" spans="119:119" x14ac:dyDescent="0.2">
      <c r="DO30638" s="303" t="s">
        <v>232</v>
      </c>
    </row>
    <row r="30639" spans="119:119" x14ac:dyDescent="0.2">
      <c r="DO30639" s="303" t="s">
        <v>232</v>
      </c>
    </row>
    <row r="30640" spans="119:119" x14ac:dyDescent="0.2">
      <c r="DO30640" s="303" t="s">
        <v>232</v>
      </c>
    </row>
    <row r="30641" spans="119:119" x14ac:dyDescent="0.2">
      <c r="DO30641" s="303" t="s">
        <v>232</v>
      </c>
    </row>
    <row r="30642" spans="119:119" x14ac:dyDescent="0.2">
      <c r="DO30642" s="303" t="s">
        <v>232</v>
      </c>
    </row>
    <row r="30643" spans="119:119" x14ac:dyDescent="0.2">
      <c r="DO30643" s="303" t="s">
        <v>232</v>
      </c>
    </row>
    <row r="30644" spans="119:119" x14ac:dyDescent="0.2">
      <c r="DO30644" s="303" t="s">
        <v>232</v>
      </c>
    </row>
    <row r="30645" spans="119:119" x14ac:dyDescent="0.2">
      <c r="DO30645" s="303" t="s">
        <v>232</v>
      </c>
    </row>
    <row r="30646" spans="119:119" x14ac:dyDescent="0.2">
      <c r="DO30646" s="303" t="s">
        <v>232</v>
      </c>
    </row>
    <row r="30647" spans="119:119" x14ac:dyDescent="0.2">
      <c r="DO30647" s="303" t="s">
        <v>232</v>
      </c>
    </row>
    <row r="30648" spans="119:119" x14ac:dyDescent="0.2">
      <c r="DO30648" s="303" t="s">
        <v>232</v>
      </c>
    </row>
    <row r="30649" spans="119:119" x14ac:dyDescent="0.2">
      <c r="DO30649" s="303" t="s">
        <v>232</v>
      </c>
    </row>
    <row r="30650" spans="119:119" x14ac:dyDescent="0.2">
      <c r="DO30650" s="303" t="s">
        <v>232</v>
      </c>
    </row>
    <row r="30651" spans="119:119" x14ac:dyDescent="0.2">
      <c r="DO30651" s="303" t="s">
        <v>232</v>
      </c>
    </row>
    <row r="30652" spans="119:119" x14ac:dyDescent="0.2">
      <c r="DO30652" s="303" t="s">
        <v>232</v>
      </c>
    </row>
    <row r="30653" spans="119:119" x14ac:dyDescent="0.2">
      <c r="DO30653" s="303" t="s">
        <v>232</v>
      </c>
    </row>
    <row r="30654" spans="119:119" x14ac:dyDescent="0.2">
      <c r="DO30654" s="303" t="s">
        <v>232</v>
      </c>
    </row>
    <row r="30655" spans="119:119" x14ac:dyDescent="0.2">
      <c r="DO30655" s="303" t="s">
        <v>232</v>
      </c>
    </row>
    <row r="30656" spans="119:119" x14ac:dyDescent="0.2">
      <c r="DO30656" s="303" t="s">
        <v>232</v>
      </c>
    </row>
    <row r="30657" spans="119:119" x14ac:dyDescent="0.2">
      <c r="DO30657" s="303" t="s">
        <v>232</v>
      </c>
    </row>
    <row r="30658" spans="119:119" x14ac:dyDescent="0.2">
      <c r="DO30658" s="303" t="s">
        <v>232</v>
      </c>
    </row>
    <row r="30659" spans="119:119" x14ac:dyDescent="0.2">
      <c r="DO30659" s="303" t="s">
        <v>232</v>
      </c>
    </row>
    <row r="30660" spans="119:119" x14ac:dyDescent="0.2">
      <c r="DO30660" s="303" t="s">
        <v>232</v>
      </c>
    </row>
    <row r="30661" spans="119:119" x14ac:dyDescent="0.2">
      <c r="DO30661" s="303" t="s">
        <v>232</v>
      </c>
    </row>
    <row r="30662" spans="119:119" x14ac:dyDescent="0.2">
      <c r="DO30662" s="303" t="s">
        <v>232</v>
      </c>
    </row>
    <row r="30663" spans="119:119" x14ac:dyDescent="0.2">
      <c r="DO30663" s="303" t="s">
        <v>232</v>
      </c>
    </row>
    <row r="30664" spans="119:119" x14ac:dyDescent="0.2">
      <c r="DO30664" s="303" t="s">
        <v>232</v>
      </c>
    </row>
    <row r="30665" spans="119:119" x14ac:dyDescent="0.2">
      <c r="DO30665" s="303" t="s">
        <v>232</v>
      </c>
    </row>
    <row r="30666" spans="119:119" x14ac:dyDescent="0.2">
      <c r="DO30666" s="303" t="s">
        <v>232</v>
      </c>
    </row>
    <row r="30667" spans="119:119" x14ac:dyDescent="0.2">
      <c r="DO30667" s="303" t="s">
        <v>232</v>
      </c>
    </row>
    <row r="30668" spans="119:119" x14ac:dyDescent="0.2">
      <c r="DO30668" s="303" t="s">
        <v>232</v>
      </c>
    </row>
    <row r="30669" spans="119:119" x14ac:dyDescent="0.2">
      <c r="DO30669" s="303" t="s">
        <v>232</v>
      </c>
    </row>
    <row r="30670" spans="119:119" x14ac:dyDescent="0.2">
      <c r="DO30670" s="303" t="s">
        <v>232</v>
      </c>
    </row>
    <row r="30671" spans="119:119" x14ac:dyDescent="0.2">
      <c r="DO30671" s="303" t="s">
        <v>232</v>
      </c>
    </row>
    <row r="30672" spans="119:119" x14ac:dyDescent="0.2">
      <c r="DO30672" s="303" t="s">
        <v>232</v>
      </c>
    </row>
    <row r="30673" spans="119:119" x14ac:dyDescent="0.2">
      <c r="DO30673" s="303" t="s">
        <v>232</v>
      </c>
    </row>
    <row r="30674" spans="119:119" x14ac:dyDescent="0.2">
      <c r="DO30674" s="303" t="s">
        <v>232</v>
      </c>
    </row>
    <row r="30675" spans="119:119" x14ac:dyDescent="0.2">
      <c r="DO30675" s="303" t="s">
        <v>232</v>
      </c>
    </row>
    <row r="30676" spans="119:119" x14ac:dyDescent="0.2">
      <c r="DO30676" s="303" t="s">
        <v>232</v>
      </c>
    </row>
    <row r="30677" spans="119:119" x14ac:dyDescent="0.2">
      <c r="DO30677" s="303" t="s">
        <v>232</v>
      </c>
    </row>
    <row r="30678" spans="119:119" x14ac:dyDescent="0.2">
      <c r="DO30678" s="303" t="s">
        <v>232</v>
      </c>
    </row>
    <row r="30679" spans="119:119" x14ac:dyDescent="0.2">
      <c r="DO30679" s="303" t="s">
        <v>232</v>
      </c>
    </row>
    <row r="30680" spans="119:119" x14ac:dyDescent="0.2">
      <c r="DO30680" s="303" t="s">
        <v>232</v>
      </c>
    </row>
    <row r="30681" spans="119:119" x14ac:dyDescent="0.2">
      <c r="DO30681" s="303" t="s">
        <v>232</v>
      </c>
    </row>
    <row r="30682" spans="119:119" x14ac:dyDescent="0.2">
      <c r="DO30682" s="303" t="s">
        <v>232</v>
      </c>
    </row>
    <row r="30683" spans="119:119" x14ac:dyDescent="0.2">
      <c r="DO30683" s="303" t="s">
        <v>232</v>
      </c>
    </row>
    <row r="30684" spans="119:119" x14ac:dyDescent="0.2">
      <c r="DO30684" s="303" t="s">
        <v>232</v>
      </c>
    </row>
    <row r="30685" spans="119:119" x14ac:dyDescent="0.2">
      <c r="DO30685" s="303" t="s">
        <v>232</v>
      </c>
    </row>
    <row r="30686" spans="119:119" x14ac:dyDescent="0.2">
      <c r="DO30686" s="303" t="s">
        <v>232</v>
      </c>
    </row>
    <row r="30687" spans="119:119" x14ac:dyDescent="0.2">
      <c r="DO30687" s="303" t="s">
        <v>232</v>
      </c>
    </row>
    <row r="30688" spans="119:119" x14ac:dyDescent="0.2">
      <c r="DO30688" s="303" t="s">
        <v>232</v>
      </c>
    </row>
    <row r="30689" spans="119:119" x14ac:dyDescent="0.2">
      <c r="DO30689" s="303" t="s">
        <v>232</v>
      </c>
    </row>
    <row r="30690" spans="119:119" x14ac:dyDescent="0.2">
      <c r="DO30690" s="303" t="s">
        <v>232</v>
      </c>
    </row>
    <row r="30691" spans="119:119" x14ac:dyDescent="0.2">
      <c r="DO30691" s="303" t="s">
        <v>232</v>
      </c>
    </row>
    <row r="30692" spans="119:119" x14ac:dyDescent="0.2">
      <c r="DO30692" s="303" t="s">
        <v>232</v>
      </c>
    </row>
    <row r="30693" spans="119:119" x14ac:dyDescent="0.2">
      <c r="DO30693" s="303" t="s">
        <v>232</v>
      </c>
    </row>
    <row r="30694" spans="119:119" x14ac:dyDescent="0.2">
      <c r="DO30694" s="303" t="s">
        <v>232</v>
      </c>
    </row>
    <row r="30695" spans="119:119" x14ac:dyDescent="0.2">
      <c r="DO30695" s="303" t="s">
        <v>232</v>
      </c>
    </row>
    <row r="30696" spans="119:119" x14ac:dyDescent="0.2">
      <c r="DO30696" s="303" t="s">
        <v>232</v>
      </c>
    </row>
    <row r="30697" spans="119:119" x14ac:dyDescent="0.2">
      <c r="DO30697" s="303" t="s">
        <v>232</v>
      </c>
    </row>
    <row r="30698" spans="119:119" x14ac:dyDescent="0.2">
      <c r="DO30698" s="303" t="s">
        <v>232</v>
      </c>
    </row>
    <row r="30699" spans="119:119" x14ac:dyDescent="0.2">
      <c r="DO30699" s="303" t="s">
        <v>232</v>
      </c>
    </row>
    <row r="30700" spans="119:119" x14ac:dyDescent="0.2">
      <c r="DO30700" s="303" t="s">
        <v>232</v>
      </c>
    </row>
    <row r="30701" spans="119:119" x14ac:dyDescent="0.2">
      <c r="DO30701" s="303" t="s">
        <v>232</v>
      </c>
    </row>
    <row r="30702" spans="119:119" x14ac:dyDescent="0.2">
      <c r="DO30702" s="303" t="s">
        <v>232</v>
      </c>
    </row>
    <row r="30703" spans="119:119" x14ac:dyDescent="0.2">
      <c r="DO30703" s="303" t="s">
        <v>232</v>
      </c>
    </row>
    <row r="30704" spans="119:119" x14ac:dyDescent="0.2">
      <c r="DO30704" s="303" t="s">
        <v>232</v>
      </c>
    </row>
    <row r="30705" spans="119:119" x14ac:dyDescent="0.2">
      <c r="DO30705" s="303" t="s">
        <v>232</v>
      </c>
    </row>
    <row r="30706" spans="119:119" x14ac:dyDescent="0.2">
      <c r="DO30706" s="303" t="s">
        <v>232</v>
      </c>
    </row>
    <row r="30707" spans="119:119" x14ac:dyDescent="0.2">
      <c r="DO30707" s="303" t="s">
        <v>232</v>
      </c>
    </row>
    <row r="30708" spans="119:119" x14ac:dyDescent="0.2">
      <c r="DO30708" s="303" t="s">
        <v>232</v>
      </c>
    </row>
    <row r="30709" spans="119:119" x14ac:dyDescent="0.2">
      <c r="DO30709" s="303" t="s">
        <v>232</v>
      </c>
    </row>
    <row r="30710" spans="119:119" x14ac:dyDescent="0.2">
      <c r="DO30710" s="303" t="s">
        <v>232</v>
      </c>
    </row>
    <row r="30711" spans="119:119" x14ac:dyDescent="0.2">
      <c r="DO30711" s="303" t="s">
        <v>232</v>
      </c>
    </row>
    <row r="30712" spans="119:119" x14ac:dyDescent="0.2">
      <c r="DO30712" s="303" t="s">
        <v>232</v>
      </c>
    </row>
    <row r="30713" spans="119:119" x14ac:dyDescent="0.2">
      <c r="DO30713" s="303" t="s">
        <v>232</v>
      </c>
    </row>
    <row r="30714" spans="119:119" x14ac:dyDescent="0.2">
      <c r="DO30714" s="303" t="s">
        <v>232</v>
      </c>
    </row>
    <row r="30715" spans="119:119" x14ac:dyDescent="0.2">
      <c r="DO30715" s="303" t="s">
        <v>232</v>
      </c>
    </row>
    <row r="30716" spans="119:119" x14ac:dyDescent="0.2">
      <c r="DO30716" s="303" t="s">
        <v>232</v>
      </c>
    </row>
    <row r="30717" spans="119:119" x14ac:dyDescent="0.2">
      <c r="DO30717" s="303" t="s">
        <v>232</v>
      </c>
    </row>
    <row r="30718" spans="119:119" x14ac:dyDescent="0.2">
      <c r="DO30718" s="303" t="s">
        <v>232</v>
      </c>
    </row>
    <row r="30719" spans="119:119" x14ac:dyDescent="0.2">
      <c r="DO30719" s="303" t="s">
        <v>232</v>
      </c>
    </row>
    <row r="30720" spans="119:119" x14ac:dyDescent="0.2">
      <c r="DO30720" s="303" t="s">
        <v>232</v>
      </c>
    </row>
    <row r="30721" spans="119:119" x14ac:dyDescent="0.2">
      <c r="DO30721" s="303" t="s">
        <v>232</v>
      </c>
    </row>
    <row r="30722" spans="119:119" x14ac:dyDescent="0.2">
      <c r="DO30722" s="303" t="s">
        <v>232</v>
      </c>
    </row>
    <row r="30723" spans="119:119" x14ac:dyDescent="0.2">
      <c r="DO30723" s="303" t="s">
        <v>232</v>
      </c>
    </row>
    <row r="30724" spans="119:119" x14ac:dyDescent="0.2">
      <c r="DO30724" s="303" t="s">
        <v>232</v>
      </c>
    </row>
    <row r="30725" spans="119:119" x14ac:dyDescent="0.2">
      <c r="DO30725" s="303" t="s">
        <v>232</v>
      </c>
    </row>
    <row r="30726" spans="119:119" x14ac:dyDescent="0.2">
      <c r="DO30726" s="303" t="s">
        <v>232</v>
      </c>
    </row>
    <row r="30727" spans="119:119" x14ac:dyDescent="0.2">
      <c r="DO30727" s="303" t="s">
        <v>232</v>
      </c>
    </row>
    <row r="30728" spans="119:119" x14ac:dyDescent="0.2">
      <c r="DO30728" s="303" t="s">
        <v>232</v>
      </c>
    </row>
    <row r="30729" spans="119:119" x14ac:dyDescent="0.2">
      <c r="DO30729" s="303" t="s">
        <v>232</v>
      </c>
    </row>
    <row r="30730" spans="119:119" x14ac:dyDescent="0.2">
      <c r="DO30730" s="303" t="s">
        <v>232</v>
      </c>
    </row>
    <row r="30731" spans="119:119" x14ac:dyDescent="0.2">
      <c r="DO30731" s="303" t="s">
        <v>232</v>
      </c>
    </row>
    <row r="30732" spans="119:119" x14ac:dyDescent="0.2">
      <c r="DO30732" s="303" t="s">
        <v>232</v>
      </c>
    </row>
    <row r="30733" spans="119:119" x14ac:dyDescent="0.2">
      <c r="DO30733" s="303" t="s">
        <v>232</v>
      </c>
    </row>
    <row r="30734" spans="119:119" x14ac:dyDescent="0.2">
      <c r="DO30734" s="303" t="s">
        <v>232</v>
      </c>
    </row>
    <row r="30735" spans="119:119" x14ac:dyDescent="0.2">
      <c r="DO30735" s="303" t="s">
        <v>232</v>
      </c>
    </row>
    <row r="30736" spans="119:119" x14ac:dyDescent="0.2">
      <c r="DO30736" s="303" t="s">
        <v>232</v>
      </c>
    </row>
    <row r="30737" spans="119:119" x14ac:dyDescent="0.2">
      <c r="DO30737" s="303" t="s">
        <v>232</v>
      </c>
    </row>
    <row r="30738" spans="119:119" x14ac:dyDescent="0.2">
      <c r="DO30738" s="303" t="s">
        <v>232</v>
      </c>
    </row>
    <row r="30739" spans="119:119" x14ac:dyDescent="0.2">
      <c r="DO30739" s="303" t="s">
        <v>232</v>
      </c>
    </row>
    <row r="30740" spans="119:119" x14ac:dyDescent="0.2">
      <c r="DO30740" s="303" t="s">
        <v>232</v>
      </c>
    </row>
    <row r="30741" spans="119:119" x14ac:dyDescent="0.2">
      <c r="DO30741" s="303" t="s">
        <v>232</v>
      </c>
    </row>
    <row r="30742" spans="119:119" x14ac:dyDescent="0.2">
      <c r="DO30742" s="303" t="s">
        <v>232</v>
      </c>
    </row>
    <row r="30743" spans="119:119" x14ac:dyDescent="0.2">
      <c r="DO30743" s="303" t="s">
        <v>232</v>
      </c>
    </row>
    <row r="30744" spans="119:119" x14ac:dyDescent="0.2">
      <c r="DO30744" s="303" t="s">
        <v>232</v>
      </c>
    </row>
    <row r="30745" spans="119:119" x14ac:dyDescent="0.2">
      <c r="DO30745" s="303" t="s">
        <v>232</v>
      </c>
    </row>
    <row r="30746" spans="119:119" x14ac:dyDescent="0.2">
      <c r="DO30746" s="303" t="s">
        <v>232</v>
      </c>
    </row>
    <row r="30747" spans="119:119" x14ac:dyDescent="0.2">
      <c r="DO30747" s="303" t="s">
        <v>232</v>
      </c>
    </row>
    <row r="30748" spans="119:119" x14ac:dyDescent="0.2">
      <c r="DO30748" s="303" t="s">
        <v>232</v>
      </c>
    </row>
    <row r="30749" spans="119:119" x14ac:dyDescent="0.2">
      <c r="DO30749" s="303" t="s">
        <v>232</v>
      </c>
    </row>
    <row r="30750" spans="119:119" x14ac:dyDescent="0.2">
      <c r="DO30750" s="303" t="s">
        <v>232</v>
      </c>
    </row>
    <row r="30751" spans="119:119" x14ac:dyDescent="0.2">
      <c r="DO30751" s="303" t="s">
        <v>232</v>
      </c>
    </row>
    <row r="30752" spans="119:119" x14ac:dyDescent="0.2">
      <c r="DO30752" s="303" t="s">
        <v>232</v>
      </c>
    </row>
    <row r="30753" spans="119:119" x14ac:dyDescent="0.2">
      <c r="DO30753" s="303" t="s">
        <v>232</v>
      </c>
    </row>
    <row r="30754" spans="119:119" x14ac:dyDescent="0.2">
      <c r="DO30754" s="303" t="s">
        <v>232</v>
      </c>
    </row>
    <row r="30755" spans="119:119" x14ac:dyDescent="0.2">
      <c r="DO30755" s="303" t="s">
        <v>232</v>
      </c>
    </row>
    <row r="30756" spans="119:119" x14ac:dyDescent="0.2">
      <c r="DO30756" s="303" t="s">
        <v>232</v>
      </c>
    </row>
    <row r="30757" spans="119:119" x14ac:dyDescent="0.2">
      <c r="DO30757" s="303" t="s">
        <v>232</v>
      </c>
    </row>
    <row r="30758" spans="119:119" x14ac:dyDescent="0.2">
      <c r="DO30758" s="303" t="s">
        <v>232</v>
      </c>
    </row>
    <row r="30759" spans="119:119" x14ac:dyDescent="0.2">
      <c r="DO30759" s="303" t="s">
        <v>232</v>
      </c>
    </row>
    <row r="30760" spans="119:119" x14ac:dyDescent="0.2">
      <c r="DO30760" s="303" t="s">
        <v>232</v>
      </c>
    </row>
    <row r="30761" spans="119:119" x14ac:dyDescent="0.2">
      <c r="DO30761" s="303" t="s">
        <v>232</v>
      </c>
    </row>
    <row r="30762" spans="119:119" x14ac:dyDescent="0.2">
      <c r="DO30762" s="303" t="s">
        <v>232</v>
      </c>
    </row>
    <row r="30763" spans="119:119" x14ac:dyDescent="0.2">
      <c r="DO30763" s="303" t="s">
        <v>232</v>
      </c>
    </row>
    <row r="30764" spans="119:119" x14ac:dyDescent="0.2">
      <c r="DO30764" s="303" t="s">
        <v>232</v>
      </c>
    </row>
    <row r="30765" spans="119:119" x14ac:dyDescent="0.2">
      <c r="DO30765" s="303" t="s">
        <v>232</v>
      </c>
    </row>
    <row r="30766" spans="119:119" x14ac:dyDescent="0.2">
      <c r="DO30766" s="303" t="s">
        <v>232</v>
      </c>
    </row>
    <row r="30767" spans="119:119" x14ac:dyDescent="0.2">
      <c r="DO30767" s="303" t="s">
        <v>232</v>
      </c>
    </row>
    <row r="30768" spans="119:119" x14ac:dyDescent="0.2">
      <c r="DO30768" s="303" t="s">
        <v>232</v>
      </c>
    </row>
    <row r="30769" spans="119:119" x14ac:dyDescent="0.2">
      <c r="DO30769" s="303" t="s">
        <v>232</v>
      </c>
    </row>
    <row r="30770" spans="119:119" x14ac:dyDescent="0.2">
      <c r="DO30770" s="303" t="s">
        <v>232</v>
      </c>
    </row>
    <row r="30771" spans="119:119" x14ac:dyDescent="0.2">
      <c r="DO30771" s="303" t="s">
        <v>232</v>
      </c>
    </row>
    <row r="30772" spans="119:119" x14ac:dyDescent="0.2">
      <c r="DO30772" s="303" t="s">
        <v>232</v>
      </c>
    </row>
    <row r="30773" spans="119:119" x14ac:dyDescent="0.2">
      <c r="DO30773" s="303" t="s">
        <v>232</v>
      </c>
    </row>
    <row r="30774" spans="119:119" x14ac:dyDescent="0.2">
      <c r="DO30774" s="303" t="s">
        <v>232</v>
      </c>
    </row>
    <row r="30775" spans="119:119" x14ac:dyDescent="0.2">
      <c r="DO30775" s="303" t="s">
        <v>232</v>
      </c>
    </row>
    <row r="30776" spans="119:119" x14ac:dyDescent="0.2">
      <c r="DO30776" s="303" t="s">
        <v>232</v>
      </c>
    </row>
    <row r="30777" spans="119:119" x14ac:dyDescent="0.2">
      <c r="DO30777" s="303" t="s">
        <v>232</v>
      </c>
    </row>
    <row r="30778" spans="119:119" x14ac:dyDescent="0.2">
      <c r="DO30778" s="303" t="s">
        <v>232</v>
      </c>
    </row>
    <row r="30779" spans="119:119" x14ac:dyDescent="0.2">
      <c r="DO30779" s="303" t="s">
        <v>232</v>
      </c>
    </row>
    <row r="30780" spans="119:119" x14ac:dyDescent="0.2">
      <c r="DO30780" s="303" t="s">
        <v>232</v>
      </c>
    </row>
    <row r="30781" spans="119:119" x14ac:dyDescent="0.2">
      <c r="DO30781" s="303" t="s">
        <v>232</v>
      </c>
    </row>
    <row r="30782" spans="119:119" x14ac:dyDescent="0.2">
      <c r="DO30782" s="303" t="s">
        <v>232</v>
      </c>
    </row>
    <row r="30783" spans="119:119" x14ac:dyDescent="0.2">
      <c r="DO30783" s="303" t="s">
        <v>232</v>
      </c>
    </row>
    <row r="30784" spans="119:119" x14ac:dyDescent="0.2">
      <c r="DO30784" s="303" t="s">
        <v>232</v>
      </c>
    </row>
    <row r="30785" spans="119:119" x14ac:dyDescent="0.2">
      <c r="DO30785" s="303" t="s">
        <v>232</v>
      </c>
    </row>
    <row r="30786" spans="119:119" x14ac:dyDescent="0.2">
      <c r="DO30786" s="303" t="s">
        <v>232</v>
      </c>
    </row>
    <row r="30787" spans="119:119" x14ac:dyDescent="0.2">
      <c r="DO30787" s="303" t="s">
        <v>232</v>
      </c>
    </row>
    <row r="30788" spans="119:119" x14ac:dyDescent="0.2">
      <c r="DO30788" s="303" t="s">
        <v>232</v>
      </c>
    </row>
    <row r="30789" spans="119:119" x14ac:dyDescent="0.2">
      <c r="DO30789" s="303" t="s">
        <v>232</v>
      </c>
    </row>
    <row r="30790" spans="119:119" x14ac:dyDescent="0.2">
      <c r="DO30790" s="303" t="s">
        <v>232</v>
      </c>
    </row>
    <row r="30791" spans="119:119" x14ac:dyDescent="0.2">
      <c r="DO30791" s="303" t="s">
        <v>232</v>
      </c>
    </row>
    <row r="30792" spans="119:119" x14ac:dyDescent="0.2">
      <c r="DO30792" s="303" t="s">
        <v>232</v>
      </c>
    </row>
    <row r="30793" spans="119:119" x14ac:dyDescent="0.2">
      <c r="DO30793" s="303" t="s">
        <v>232</v>
      </c>
    </row>
    <row r="30794" spans="119:119" x14ac:dyDescent="0.2">
      <c r="DO30794" s="303" t="s">
        <v>232</v>
      </c>
    </row>
    <row r="30795" spans="119:119" x14ac:dyDescent="0.2">
      <c r="DO30795" s="303" t="s">
        <v>232</v>
      </c>
    </row>
    <row r="30796" spans="119:119" x14ac:dyDescent="0.2">
      <c r="DO30796" s="303" t="s">
        <v>232</v>
      </c>
    </row>
    <row r="30797" spans="119:119" x14ac:dyDescent="0.2">
      <c r="DO30797" s="303" t="s">
        <v>232</v>
      </c>
    </row>
    <row r="30798" spans="119:119" x14ac:dyDescent="0.2">
      <c r="DO30798" s="303" t="s">
        <v>232</v>
      </c>
    </row>
    <row r="30799" spans="119:119" x14ac:dyDescent="0.2">
      <c r="DO30799" s="303" t="s">
        <v>232</v>
      </c>
    </row>
    <row r="30800" spans="119:119" x14ac:dyDescent="0.2">
      <c r="DO30800" s="303" t="s">
        <v>232</v>
      </c>
    </row>
    <row r="30801" spans="119:119" x14ac:dyDescent="0.2">
      <c r="DO30801" s="303" t="s">
        <v>232</v>
      </c>
    </row>
    <row r="30802" spans="119:119" x14ac:dyDescent="0.2">
      <c r="DO30802" s="303" t="s">
        <v>232</v>
      </c>
    </row>
    <row r="30803" spans="119:119" x14ac:dyDescent="0.2">
      <c r="DO30803" s="303" t="s">
        <v>232</v>
      </c>
    </row>
    <row r="30804" spans="119:119" x14ac:dyDescent="0.2">
      <c r="DO30804" s="303" t="s">
        <v>232</v>
      </c>
    </row>
    <row r="30805" spans="119:119" x14ac:dyDescent="0.2">
      <c r="DO30805" s="303" t="s">
        <v>232</v>
      </c>
    </row>
    <row r="30806" spans="119:119" x14ac:dyDescent="0.2">
      <c r="DO30806" s="303" t="s">
        <v>232</v>
      </c>
    </row>
    <row r="30807" spans="119:119" x14ac:dyDescent="0.2">
      <c r="DO30807" s="303" t="s">
        <v>232</v>
      </c>
    </row>
    <row r="30808" spans="119:119" x14ac:dyDescent="0.2">
      <c r="DO30808" s="303" t="s">
        <v>232</v>
      </c>
    </row>
    <row r="30809" spans="119:119" x14ac:dyDescent="0.2">
      <c r="DO30809" s="303" t="s">
        <v>232</v>
      </c>
    </row>
    <row r="30810" spans="119:119" x14ac:dyDescent="0.2">
      <c r="DO30810" s="303" t="s">
        <v>232</v>
      </c>
    </row>
    <row r="30811" spans="119:119" x14ac:dyDescent="0.2">
      <c r="DO30811" s="303" t="s">
        <v>232</v>
      </c>
    </row>
    <row r="30812" spans="119:119" x14ac:dyDescent="0.2">
      <c r="DO30812" s="303" t="s">
        <v>232</v>
      </c>
    </row>
    <row r="30813" spans="119:119" x14ac:dyDescent="0.2">
      <c r="DO30813" s="303" t="s">
        <v>232</v>
      </c>
    </row>
    <row r="30814" spans="119:119" x14ac:dyDescent="0.2">
      <c r="DO30814" s="303" t="s">
        <v>232</v>
      </c>
    </row>
    <row r="30815" spans="119:119" x14ac:dyDescent="0.2">
      <c r="DO30815" s="303" t="s">
        <v>232</v>
      </c>
    </row>
    <row r="30816" spans="119:119" x14ac:dyDescent="0.2">
      <c r="DO30816" s="303" t="s">
        <v>232</v>
      </c>
    </row>
    <row r="30817" spans="119:119" x14ac:dyDescent="0.2">
      <c r="DO30817" s="303" t="s">
        <v>232</v>
      </c>
    </row>
    <row r="30818" spans="119:119" x14ac:dyDescent="0.2">
      <c r="DO30818" s="303" t="s">
        <v>232</v>
      </c>
    </row>
    <row r="30819" spans="119:119" x14ac:dyDescent="0.2">
      <c r="DO30819" s="303" t="s">
        <v>232</v>
      </c>
    </row>
    <row r="30820" spans="119:119" x14ac:dyDescent="0.2">
      <c r="DO30820" s="303" t="s">
        <v>232</v>
      </c>
    </row>
    <row r="30821" spans="119:119" x14ac:dyDescent="0.2">
      <c r="DO30821" s="303" t="s">
        <v>232</v>
      </c>
    </row>
    <row r="30822" spans="119:119" x14ac:dyDescent="0.2">
      <c r="DO30822" s="303" t="s">
        <v>232</v>
      </c>
    </row>
    <row r="30823" spans="119:119" x14ac:dyDescent="0.2">
      <c r="DO30823" s="303" t="s">
        <v>232</v>
      </c>
    </row>
    <row r="30824" spans="119:119" x14ac:dyDescent="0.2">
      <c r="DO30824" s="303" t="s">
        <v>232</v>
      </c>
    </row>
    <row r="30825" spans="119:119" x14ac:dyDescent="0.2">
      <c r="DO30825" s="303" t="s">
        <v>232</v>
      </c>
    </row>
    <row r="30826" spans="119:119" x14ac:dyDescent="0.2">
      <c r="DO30826" s="303" t="s">
        <v>232</v>
      </c>
    </row>
    <row r="30827" spans="119:119" x14ac:dyDescent="0.2">
      <c r="DO30827" s="303" t="s">
        <v>232</v>
      </c>
    </row>
    <row r="30828" spans="119:119" x14ac:dyDescent="0.2">
      <c r="DO30828" s="303" t="s">
        <v>232</v>
      </c>
    </row>
    <row r="30829" spans="119:119" x14ac:dyDescent="0.2">
      <c r="DO30829" s="303" t="s">
        <v>232</v>
      </c>
    </row>
    <row r="30830" spans="119:119" x14ac:dyDescent="0.2">
      <c r="DO30830" s="303" t="s">
        <v>232</v>
      </c>
    </row>
    <row r="30831" spans="119:119" x14ac:dyDescent="0.2">
      <c r="DO30831" s="303" t="s">
        <v>232</v>
      </c>
    </row>
    <row r="30832" spans="119:119" x14ac:dyDescent="0.2">
      <c r="DO30832" s="303" t="s">
        <v>232</v>
      </c>
    </row>
    <row r="30833" spans="119:119" x14ac:dyDescent="0.2">
      <c r="DO30833" s="303" t="s">
        <v>232</v>
      </c>
    </row>
    <row r="30834" spans="119:119" x14ac:dyDescent="0.2">
      <c r="DO30834" s="303" t="s">
        <v>232</v>
      </c>
    </row>
    <row r="30835" spans="119:119" x14ac:dyDescent="0.2">
      <c r="DO30835" s="303" t="s">
        <v>232</v>
      </c>
    </row>
    <row r="30836" spans="119:119" x14ac:dyDescent="0.2">
      <c r="DO30836" s="303" t="s">
        <v>232</v>
      </c>
    </row>
    <row r="30837" spans="119:119" x14ac:dyDescent="0.2">
      <c r="DO30837" s="303" t="s">
        <v>232</v>
      </c>
    </row>
    <row r="30838" spans="119:119" x14ac:dyDescent="0.2">
      <c r="DO30838" s="303" t="s">
        <v>232</v>
      </c>
    </row>
    <row r="30839" spans="119:119" x14ac:dyDescent="0.2">
      <c r="DO30839" s="303" t="s">
        <v>232</v>
      </c>
    </row>
    <row r="30840" spans="119:119" x14ac:dyDescent="0.2">
      <c r="DO30840" s="303" t="s">
        <v>232</v>
      </c>
    </row>
    <row r="30841" spans="119:119" x14ac:dyDescent="0.2">
      <c r="DO30841" s="303" t="s">
        <v>232</v>
      </c>
    </row>
    <row r="30842" spans="119:119" x14ac:dyDescent="0.2">
      <c r="DO30842" s="303" t="s">
        <v>232</v>
      </c>
    </row>
    <row r="30843" spans="119:119" x14ac:dyDescent="0.2">
      <c r="DO30843" s="303" t="s">
        <v>232</v>
      </c>
    </row>
    <row r="30844" spans="119:119" x14ac:dyDescent="0.2">
      <c r="DO30844" s="303" t="s">
        <v>232</v>
      </c>
    </row>
    <row r="30845" spans="119:119" x14ac:dyDescent="0.2">
      <c r="DO30845" s="303" t="s">
        <v>232</v>
      </c>
    </row>
    <row r="30846" spans="119:119" x14ac:dyDescent="0.2">
      <c r="DO30846" s="303" t="s">
        <v>232</v>
      </c>
    </row>
    <row r="30847" spans="119:119" x14ac:dyDescent="0.2">
      <c r="DO30847" s="303" t="s">
        <v>232</v>
      </c>
    </row>
    <row r="30848" spans="119:119" x14ac:dyDescent="0.2">
      <c r="DO30848" s="303" t="s">
        <v>232</v>
      </c>
    </row>
    <row r="30849" spans="119:119" x14ac:dyDescent="0.2">
      <c r="DO30849" s="303" t="s">
        <v>232</v>
      </c>
    </row>
    <row r="30850" spans="119:119" x14ac:dyDescent="0.2">
      <c r="DO30850" s="303" t="s">
        <v>232</v>
      </c>
    </row>
    <row r="30851" spans="119:119" x14ac:dyDescent="0.2">
      <c r="DO30851" s="303" t="s">
        <v>232</v>
      </c>
    </row>
    <row r="30852" spans="119:119" x14ac:dyDescent="0.2">
      <c r="DO30852" s="303" t="s">
        <v>232</v>
      </c>
    </row>
    <row r="30853" spans="119:119" x14ac:dyDescent="0.2">
      <c r="DO30853" s="303" t="s">
        <v>232</v>
      </c>
    </row>
    <row r="30854" spans="119:119" x14ac:dyDescent="0.2">
      <c r="DO30854" s="303" t="s">
        <v>232</v>
      </c>
    </row>
    <row r="30855" spans="119:119" x14ac:dyDescent="0.2">
      <c r="DO30855" s="303" t="s">
        <v>232</v>
      </c>
    </row>
    <row r="30856" spans="119:119" x14ac:dyDescent="0.2">
      <c r="DO30856" s="303" t="s">
        <v>232</v>
      </c>
    </row>
    <row r="30857" spans="119:119" x14ac:dyDescent="0.2">
      <c r="DO30857" s="303" t="s">
        <v>232</v>
      </c>
    </row>
    <row r="30858" spans="119:119" x14ac:dyDescent="0.2">
      <c r="DO30858" s="303" t="s">
        <v>232</v>
      </c>
    </row>
    <row r="30859" spans="119:119" x14ac:dyDescent="0.2">
      <c r="DO30859" s="303" t="s">
        <v>232</v>
      </c>
    </row>
    <row r="30860" spans="119:119" x14ac:dyDescent="0.2">
      <c r="DO30860" s="303" t="s">
        <v>232</v>
      </c>
    </row>
    <row r="30861" spans="119:119" x14ac:dyDescent="0.2">
      <c r="DO30861" s="303" t="s">
        <v>232</v>
      </c>
    </row>
    <row r="30862" spans="119:119" x14ac:dyDescent="0.2">
      <c r="DO30862" s="303" t="s">
        <v>232</v>
      </c>
    </row>
    <row r="30863" spans="119:119" x14ac:dyDescent="0.2">
      <c r="DO30863" s="303" t="s">
        <v>232</v>
      </c>
    </row>
    <row r="30864" spans="119:119" x14ac:dyDescent="0.2">
      <c r="DO30864" s="303" t="s">
        <v>232</v>
      </c>
    </row>
    <row r="30865" spans="119:119" x14ac:dyDescent="0.2">
      <c r="DO30865" s="303" t="s">
        <v>232</v>
      </c>
    </row>
    <row r="30866" spans="119:119" x14ac:dyDescent="0.2">
      <c r="DO30866" s="303" t="s">
        <v>232</v>
      </c>
    </row>
    <row r="30867" spans="119:119" x14ac:dyDescent="0.2">
      <c r="DO30867" s="303" t="s">
        <v>232</v>
      </c>
    </row>
    <row r="30868" spans="119:119" x14ac:dyDescent="0.2">
      <c r="DO30868" s="303" t="s">
        <v>232</v>
      </c>
    </row>
    <row r="30869" spans="119:119" x14ac:dyDescent="0.2">
      <c r="DO30869" s="303" t="s">
        <v>232</v>
      </c>
    </row>
    <row r="30870" spans="119:119" x14ac:dyDescent="0.2">
      <c r="DO30870" s="303" t="s">
        <v>232</v>
      </c>
    </row>
    <row r="30871" spans="119:119" x14ac:dyDescent="0.2">
      <c r="DO30871" s="303" t="s">
        <v>232</v>
      </c>
    </row>
    <row r="30872" spans="119:119" x14ac:dyDescent="0.2">
      <c r="DO30872" s="303" t="s">
        <v>232</v>
      </c>
    </row>
    <row r="30873" spans="119:119" x14ac:dyDescent="0.2">
      <c r="DO30873" s="303" t="s">
        <v>232</v>
      </c>
    </row>
    <row r="30874" spans="119:119" x14ac:dyDescent="0.2">
      <c r="DO30874" s="303" t="s">
        <v>232</v>
      </c>
    </row>
    <row r="30875" spans="119:119" x14ac:dyDescent="0.2">
      <c r="DO30875" s="303" t="s">
        <v>232</v>
      </c>
    </row>
    <row r="30876" spans="119:119" x14ac:dyDescent="0.2">
      <c r="DO30876" s="303" t="s">
        <v>232</v>
      </c>
    </row>
    <row r="30877" spans="119:119" x14ac:dyDescent="0.2">
      <c r="DO30877" s="303" t="s">
        <v>232</v>
      </c>
    </row>
    <row r="30878" spans="119:119" x14ac:dyDescent="0.2">
      <c r="DO30878" s="303" t="s">
        <v>232</v>
      </c>
    </row>
    <row r="30879" spans="119:119" x14ac:dyDescent="0.2">
      <c r="DO30879" s="303" t="s">
        <v>232</v>
      </c>
    </row>
    <row r="30880" spans="119:119" x14ac:dyDescent="0.2">
      <c r="DO30880" s="303" t="s">
        <v>232</v>
      </c>
    </row>
    <row r="30881" spans="119:119" x14ac:dyDescent="0.2">
      <c r="DO30881" s="303" t="s">
        <v>232</v>
      </c>
    </row>
    <row r="30882" spans="119:119" x14ac:dyDescent="0.2">
      <c r="DO30882" s="303" t="s">
        <v>232</v>
      </c>
    </row>
    <row r="30883" spans="119:119" x14ac:dyDescent="0.2">
      <c r="DO30883" s="303" t="s">
        <v>232</v>
      </c>
    </row>
    <row r="30884" spans="119:119" x14ac:dyDescent="0.2">
      <c r="DO30884" s="303" t="s">
        <v>232</v>
      </c>
    </row>
    <row r="30885" spans="119:119" x14ac:dyDescent="0.2">
      <c r="DO30885" s="303" t="s">
        <v>232</v>
      </c>
    </row>
    <row r="30886" spans="119:119" x14ac:dyDescent="0.2">
      <c r="DO30886" s="303" t="s">
        <v>232</v>
      </c>
    </row>
    <row r="30887" spans="119:119" x14ac:dyDescent="0.2">
      <c r="DO30887" s="303" t="s">
        <v>232</v>
      </c>
    </row>
    <row r="30888" spans="119:119" x14ac:dyDescent="0.2">
      <c r="DO30888" s="303" t="s">
        <v>232</v>
      </c>
    </row>
    <row r="30889" spans="119:119" x14ac:dyDescent="0.2">
      <c r="DO30889" s="303" t="s">
        <v>232</v>
      </c>
    </row>
    <row r="30890" spans="119:119" x14ac:dyDescent="0.2">
      <c r="DO30890" s="303" t="s">
        <v>232</v>
      </c>
    </row>
    <row r="30891" spans="119:119" x14ac:dyDescent="0.2">
      <c r="DO30891" s="303" t="s">
        <v>232</v>
      </c>
    </row>
    <row r="30892" spans="119:119" x14ac:dyDescent="0.2">
      <c r="DO30892" s="303" t="s">
        <v>232</v>
      </c>
    </row>
    <row r="30893" spans="119:119" x14ac:dyDescent="0.2">
      <c r="DO30893" s="303" t="s">
        <v>232</v>
      </c>
    </row>
    <row r="30894" spans="119:119" x14ac:dyDescent="0.2">
      <c r="DO30894" s="303" t="s">
        <v>232</v>
      </c>
    </row>
    <row r="30895" spans="119:119" x14ac:dyDescent="0.2">
      <c r="DO30895" s="303" t="s">
        <v>232</v>
      </c>
    </row>
    <row r="30896" spans="119:119" x14ac:dyDescent="0.2">
      <c r="DO30896" s="303" t="s">
        <v>232</v>
      </c>
    </row>
    <row r="30897" spans="119:119" x14ac:dyDescent="0.2">
      <c r="DO30897" s="303" t="s">
        <v>232</v>
      </c>
    </row>
    <row r="30898" spans="119:119" x14ac:dyDescent="0.2">
      <c r="DO30898" s="303" t="s">
        <v>232</v>
      </c>
    </row>
    <row r="30899" spans="119:119" x14ac:dyDescent="0.2">
      <c r="DO30899" s="303" t="s">
        <v>232</v>
      </c>
    </row>
    <row r="30900" spans="119:119" x14ac:dyDescent="0.2">
      <c r="DO30900" s="303" t="s">
        <v>232</v>
      </c>
    </row>
    <row r="30901" spans="119:119" x14ac:dyDescent="0.2">
      <c r="DO30901" s="303" t="s">
        <v>232</v>
      </c>
    </row>
    <row r="30902" spans="119:119" x14ac:dyDescent="0.2">
      <c r="DO30902" s="303" t="s">
        <v>232</v>
      </c>
    </row>
    <row r="30903" spans="119:119" x14ac:dyDescent="0.2">
      <c r="DO30903" s="303" t="s">
        <v>232</v>
      </c>
    </row>
    <row r="30904" spans="119:119" x14ac:dyDescent="0.2">
      <c r="DO30904" s="303" t="s">
        <v>232</v>
      </c>
    </row>
    <row r="30905" spans="119:119" x14ac:dyDescent="0.2">
      <c r="DO30905" s="303" t="s">
        <v>232</v>
      </c>
    </row>
    <row r="30906" spans="119:119" x14ac:dyDescent="0.2">
      <c r="DO30906" s="303" t="s">
        <v>232</v>
      </c>
    </row>
    <row r="30907" spans="119:119" x14ac:dyDescent="0.2">
      <c r="DO30907" s="303" t="s">
        <v>232</v>
      </c>
    </row>
    <row r="30908" spans="119:119" x14ac:dyDescent="0.2">
      <c r="DO30908" s="303" t="s">
        <v>232</v>
      </c>
    </row>
    <row r="30909" spans="119:119" x14ac:dyDescent="0.2">
      <c r="DO30909" s="303" t="s">
        <v>232</v>
      </c>
    </row>
    <row r="30910" spans="119:119" x14ac:dyDescent="0.2">
      <c r="DO30910" s="303" t="s">
        <v>232</v>
      </c>
    </row>
    <row r="30911" spans="119:119" x14ac:dyDescent="0.2">
      <c r="DO30911" s="303" t="s">
        <v>232</v>
      </c>
    </row>
    <row r="30912" spans="119:119" x14ac:dyDescent="0.2">
      <c r="DO30912" s="303" t="s">
        <v>232</v>
      </c>
    </row>
    <row r="30913" spans="119:119" x14ac:dyDescent="0.2">
      <c r="DO30913" s="303" t="s">
        <v>232</v>
      </c>
    </row>
    <row r="30914" spans="119:119" x14ac:dyDescent="0.2">
      <c r="DO30914" s="303" t="s">
        <v>232</v>
      </c>
    </row>
    <row r="30915" spans="119:119" x14ac:dyDescent="0.2">
      <c r="DO30915" s="303" t="s">
        <v>232</v>
      </c>
    </row>
    <row r="30916" spans="119:119" x14ac:dyDescent="0.2">
      <c r="DO30916" s="303" t="s">
        <v>232</v>
      </c>
    </row>
    <row r="30917" spans="119:119" x14ac:dyDescent="0.2">
      <c r="DO30917" s="303" t="s">
        <v>232</v>
      </c>
    </row>
    <row r="30918" spans="119:119" x14ac:dyDescent="0.2">
      <c r="DO30918" s="303" t="s">
        <v>232</v>
      </c>
    </row>
    <row r="30919" spans="119:119" x14ac:dyDescent="0.2">
      <c r="DO30919" s="303" t="s">
        <v>232</v>
      </c>
    </row>
    <row r="30920" spans="119:119" x14ac:dyDescent="0.2">
      <c r="DO30920" s="303" t="s">
        <v>232</v>
      </c>
    </row>
    <row r="30921" spans="119:119" x14ac:dyDescent="0.2">
      <c r="DO30921" s="303" t="s">
        <v>232</v>
      </c>
    </row>
    <row r="30922" spans="119:119" x14ac:dyDescent="0.2">
      <c r="DO30922" s="303" t="s">
        <v>232</v>
      </c>
    </row>
    <row r="30923" spans="119:119" x14ac:dyDescent="0.2">
      <c r="DO30923" s="303" t="s">
        <v>232</v>
      </c>
    </row>
    <row r="30924" spans="119:119" x14ac:dyDescent="0.2">
      <c r="DO30924" s="303" t="s">
        <v>232</v>
      </c>
    </row>
    <row r="30925" spans="119:119" x14ac:dyDescent="0.2">
      <c r="DO30925" s="303" t="s">
        <v>232</v>
      </c>
    </row>
    <row r="30926" spans="119:119" x14ac:dyDescent="0.2">
      <c r="DO30926" s="303" t="s">
        <v>232</v>
      </c>
    </row>
    <row r="30927" spans="119:119" x14ac:dyDescent="0.2">
      <c r="DO30927" s="303" t="s">
        <v>232</v>
      </c>
    </row>
    <row r="30928" spans="119:119" x14ac:dyDescent="0.2">
      <c r="DO30928" s="303" t="s">
        <v>232</v>
      </c>
    </row>
    <row r="30929" spans="119:119" x14ac:dyDescent="0.2">
      <c r="DO30929" s="303" t="s">
        <v>232</v>
      </c>
    </row>
    <row r="30930" spans="119:119" x14ac:dyDescent="0.2">
      <c r="DO30930" s="303" t="s">
        <v>232</v>
      </c>
    </row>
    <row r="30931" spans="119:119" x14ac:dyDescent="0.2">
      <c r="DO30931" s="303" t="s">
        <v>232</v>
      </c>
    </row>
    <row r="30932" spans="119:119" x14ac:dyDescent="0.2">
      <c r="DO30932" s="303" t="s">
        <v>232</v>
      </c>
    </row>
    <row r="30933" spans="119:119" x14ac:dyDescent="0.2">
      <c r="DO30933" s="303" t="s">
        <v>232</v>
      </c>
    </row>
    <row r="30934" spans="119:119" x14ac:dyDescent="0.2">
      <c r="DO30934" s="303" t="s">
        <v>232</v>
      </c>
    </row>
    <row r="30935" spans="119:119" x14ac:dyDescent="0.2">
      <c r="DO30935" s="303" t="s">
        <v>232</v>
      </c>
    </row>
    <row r="30936" spans="119:119" x14ac:dyDescent="0.2">
      <c r="DO30936" s="303" t="s">
        <v>232</v>
      </c>
    </row>
    <row r="30937" spans="119:119" x14ac:dyDescent="0.2">
      <c r="DO30937" s="303" t="s">
        <v>232</v>
      </c>
    </row>
    <row r="30938" spans="119:119" x14ac:dyDescent="0.2">
      <c r="DO30938" s="303" t="s">
        <v>232</v>
      </c>
    </row>
    <row r="30939" spans="119:119" x14ac:dyDescent="0.2">
      <c r="DO30939" s="303" t="s">
        <v>232</v>
      </c>
    </row>
    <row r="30940" spans="119:119" x14ac:dyDescent="0.2">
      <c r="DO30940" s="303" t="s">
        <v>232</v>
      </c>
    </row>
    <row r="30941" spans="119:119" x14ac:dyDescent="0.2">
      <c r="DO30941" s="303" t="s">
        <v>232</v>
      </c>
    </row>
    <row r="30942" spans="119:119" x14ac:dyDescent="0.2">
      <c r="DO30942" s="303" t="s">
        <v>232</v>
      </c>
    </row>
    <row r="30943" spans="119:119" x14ac:dyDescent="0.2">
      <c r="DO30943" s="303" t="s">
        <v>232</v>
      </c>
    </row>
    <row r="30944" spans="119:119" x14ac:dyDescent="0.2">
      <c r="DO30944" s="303" t="s">
        <v>232</v>
      </c>
    </row>
    <row r="30945" spans="119:119" x14ac:dyDescent="0.2">
      <c r="DO30945" s="303" t="s">
        <v>232</v>
      </c>
    </row>
    <row r="30946" spans="119:119" x14ac:dyDescent="0.2">
      <c r="DO30946" s="303" t="s">
        <v>232</v>
      </c>
    </row>
    <row r="30947" spans="119:119" x14ac:dyDescent="0.2">
      <c r="DO30947" s="303" t="s">
        <v>232</v>
      </c>
    </row>
    <row r="30948" spans="119:119" x14ac:dyDescent="0.2">
      <c r="DO30948" s="303" t="s">
        <v>232</v>
      </c>
    </row>
    <row r="30949" spans="119:119" x14ac:dyDescent="0.2">
      <c r="DO30949" s="303" t="s">
        <v>232</v>
      </c>
    </row>
    <row r="30950" spans="119:119" x14ac:dyDescent="0.2">
      <c r="DO30950" s="303" t="s">
        <v>232</v>
      </c>
    </row>
    <row r="30951" spans="119:119" x14ac:dyDescent="0.2">
      <c r="DO30951" s="303" t="s">
        <v>232</v>
      </c>
    </row>
    <row r="30952" spans="119:119" x14ac:dyDescent="0.2">
      <c r="DO30952" s="303" t="s">
        <v>232</v>
      </c>
    </row>
    <row r="30953" spans="119:119" x14ac:dyDescent="0.2">
      <c r="DO30953" s="303" t="s">
        <v>232</v>
      </c>
    </row>
    <row r="30954" spans="119:119" x14ac:dyDescent="0.2">
      <c r="DO30954" s="303" t="s">
        <v>232</v>
      </c>
    </row>
    <row r="30955" spans="119:119" x14ac:dyDescent="0.2">
      <c r="DO30955" s="303" t="s">
        <v>232</v>
      </c>
    </row>
    <row r="30956" spans="119:119" x14ac:dyDescent="0.2">
      <c r="DO30956" s="303" t="s">
        <v>232</v>
      </c>
    </row>
    <row r="30957" spans="119:119" x14ac:dyDescent="0.2">
      <c r="DO30957" s="303" t="s">
        <v>232</v>
      </c>
    </row>
    <row r="30958" spans="119:119" x14ac:dyDescent="0.2">
      <c r="DO30958" s="303" t="s">
        <v>232</v>
      </c>
    </row>
    <row r="30959" spans="119:119" x14ac:dyDescent="0.2">
      <c r="DO30959" s="303" t="s">
        <v>232</v>
      </c>
    </row>
    <row r="30960" spans="119:119" x14ac:dyDescent="0.2">
      <c r="DO30960" s="303" t="s">
        <v>232</v>
      </c>
    </row>
    <row r="30961" spans="119:119" x14ac:dyDescent="0.2">
      <c r="DO30961" s="303" t="s">
        <v>232</v>
      </c>
    </row>
    <row r="30962" spans="119:119" x14ac:dyDescent="0.2">
      <c r="DO30962" s="303" t="s">
        <v>232</v>
      </c>
    </row>
    <row r="30963" spans="119:119" x14ac:dyDescent="0.2">
      <c r="DO30963" s="303" t="s">
        <v>232</v>
      </c>
    </row>
    <row r="30964" spans="119:119" x14ac:dyDescent="0.2">
      <c r="DO30964" s="303" t="s">
        <v>232</v>
      </c>
    </row>
    <row r="30965" spans="119:119" x14ac:dyDescent="0.2">
      <c r="DO30965" s="303" t="s">
        <v>232</v>
      </c>
    </row>
    <row r="30966" spans="119:119" x14ac:dyDescent="0.2">
      <c r="DO30966" s="303" t="s">
        <v>232</v>
      </c>
    </row>
    <row r="30967" spans="119:119" x14ac:dyDescent="0.2">
      <c r="DO30967" s="303" t="s">
        <v>232</v>
      </c>
    </row>
    <row r="30968" spans="119:119" x14ac:dyDescent="0.2">
      <c r="DO30968" s="303" t="s">
        <v>232</v>
      </c>
    </row>
    <row r="30969" spans="119:119" x14ac:dyDescent="0.2">
      <c r="DO30969" s="303" t="s">
        <v>232</v>
      </c>
    </row>
    <row r="30970" spans="119:119" x14ac:dyDescent="0.2">
      <c r="DO30970" s="303" t="s">
        <v>232</v>
      </c>
    </row>
    <row r="30971" spans="119:119" x14ac:dyDescent="0.2">
      <c r="DO30971" s="303" t="s">
        <v>232</v>
      </c>
    </row>
    <row r="30972" spans="119:119" x14ac:dyDescent="0.2">
      <c r="DO30972" s="303" t="s">
        <v>232</v>
      </c>
    </row>
    <row r="30973" spans="119:119" x14ac:dyDescent="0.2">
      <c r="DO30973" s="303" t="s">
        <v>232</v>
      </c>
    </row>
    <row r="30974" spans="119:119" x14ac:dyDescent="0.2">
      <c r="DO30974" s="303" t="s">
        <v>232</v>
      </c>
    </row>
    <row r="30975" spans="119:119" x14ac:dyDescent="0.2">
      <c r="DO30975" s="303" t="s">
        <v>232</v>
      </c>
    </row>
    <row r="30976" spans="119:119" x14ac:dyDescent="0.2">
      <c r="DO30976" s="303" t="s">
        <v>232</v>
      </c>
    </row>
    <row r="30977" spans="119:119" x14ac:dyDescent="0.2">
      <c r="DO30977" s="303" t="s">
        <v>232</v>
      </c>
    </row>
    <row r="30978" spans="119:119" x14ac:dyDescent="0.2">
      <c r="DO30978" s="303" t="s">
        <v>232</v>
      </c>
    </row>
    <row r="30979" spans="119:119" x14ac:dyDescent="0.2">
      <c r="DO30979" s="303" t="s">
        <v>232</v>
      </c>
    </row>
    <row r="30980" spans="119:119" x14ac:dyDescent="0.2">
      <c r="DO30980" s="303" t="s">
        <v>232</v>
      </c>
    </row>
    <row r="30981" spans="119:119" x14ac:dyDescent="0.2">
      <c r="DO30981" s="303" t="s">
        <v>232</v>
      </c>
    </row>
    <row r="30982" spans="119:119" x14ac:dyDescent="0.2">
      <c r="DO30982" s="303" t="s">
        <v>232</v>
      </c>
    </row>
    <row r="30983" spans="119:119" x14ac:dyDescent="0.2">
      <c r="DO30983" s="303" t="s">
        <v>232</v>
      </c>
    </row>
    <row r="30984" spans="119:119" x14ac:dyDescent="0.2">
      <c r="DO30984" s="303" t="s">
        <v>232</v>
      </c>
    </row>
    <row r="30985" spans="119:119" x14ac:dyDescent="0.2">
      <c r="DO30985" s="303" t="s">
        <v>232</v>
      </c>
    </row>
    <row r="30986" spans="119:119" x14ac:dyDescent="0.2">
      <c r="DO30986" s="303" t="s">
        <v>232</v>
      </c>
    </row>
    <row r="30987" spans="119:119" x14ac:dyDescent="0.2">
      <c r="DO30987" s="303" t="s">
        <v>232</v>
      </c>
    </row>
    <row r="30988" spans="119:119" x14ac:dyDescent="0.2">
      <c r="DO30988" s="303" t="s">
        <v>232</v>
      </c>
    </row>
    <row r="30989" spans="119:119" x14ac:dyDescent="0.2">
      <c r="DO30989" s="303" t="s">
        <v>232</v>
      </c>
    </row>
    <row r="30990" spans="119:119" x14ac:dyDescent="0.2">
      <c r="DO30990" s="303" t="s">
        <v>232</v>
      </c>
    </row>
    <row r="30991" spans="119:119" x14ac:dyDescent="0.2">
      <c r="DO30991" s="303" t="s">
        <v>232</v>
      </c>
    </row>
    <row r="30992" spans="119:119" x14ac:dyDescent="0.2">
      <c r="DO30992" s="303" t="s">
        <v>232</v>
      </c>
    </row>
    <row r="30993" spans="119:119" x14ac:dyDescent="0.2">
      <c r="DO30993" s="303" t="s">
        <v>232</v>
      </c>
    </row>
    <row r="30994" spans="119:119" x14ac:dyDescent="0.2">
      <c r="DO30994" s="303" t="s">
        <v>232</v>
      </c>
    </row>
    <row r="30995" spans="119:119" x14ac:dyDescent="0.2">
      <c r="DO30995" s="303" t="s">
        <v>232</v>
      </c>
    </row>
    <row r="30996" spans="119:119" x14ac:dyDescent="0.2">
      <c r="DO30996" s="303" t="s">
        <v>232</v>
      </c>
    </row>
    <row r="30997" spans="119:119" x14ac:dyDescent="0.2">
      <c r="DO30997" s="303" t="s">
        <v>232</v>
      </c>
    </row>
    <row r="30998" spans="119:119" x14ac:dyDescent="0.2">
      <c r="DO30998" s="303" t="s">
        <v>232</v>
      </c>
    </row>
    <row r="30999" spans="119:119" x14ac:dyDescent="0.2">
      <c r="DO30999" s="303" t="s">
        <v>232</v>
      </c>
    </row>
    <row r="31000" spans="119:119" x14ac:dyDescent="0.2">
      <c r="DO31000" s="303" t="s">
        <v>232</v>
      </c>
    </row>
    <row r="31001" spans="119:119" x14ac:dyDescent="0.2">
      <c r="DO31001" s="303" t="s">
        <v>232</v>
      </c>
    </row>
    <row r="31002" spans="119:119" x14ac:dyDescent="0.2">
      <c r="DO31002" s="303" t="s">
        <v>232</v>
      </c>
    </row>
    <row r="31003" spans="119:119" x14ac:dyDescent="0.2">
      <c r="DO31003" s="303" t="s">
        <v>232</v>
      </c>
    </row>
    <row r="31004" spans="119:119" x14ac:dyDescent="0.2">
      <c r="DO31004" s="303" t="s">
        <v>232</v>
      </c>
    </row>
    <row r="31005" spans="119:119" x14ac:dyDescent="0.2">
      <c r="DO31005" s="303" t="s">
        <v>232</v>
      </c>
    </row>
    <row r="31006" spans="119:119" x14ac:dyDescent="0.2">
      <c r="DO31006" s="303" t="s">
        <v>232</v>
      </c>
    </row>
    <row r="31007" spans="119:119" x14ac:dyDescent="0.2">
      <c r="DO31007" s="303" t="s">
        <v>232</v>
      </c>
    </row>
    <row r="31008" spans="119:119" x14ac:dyDescent="0.2">
      <c r="DO31008" s="303" t="s">
        <v>232</v>
      </c>
    </row>
    <row r="31009" spans="119:119" x14ac:dyDescent="0.2">
      <c r="DO31009" s="303" t="s">
        <v>232</v>
      </c>
    </row>
    <row r="31010" spans="119:119" x14ac:dyDescent="0.2">
      <c r="DO31010" s="303" t="s">
        <v>232</v>
      </c>
    </row>
    <row r="31011" spans="119:119" x14ac:dyDescent="0.2">
      <c r="DO31011" s="303" t="s">
        <v>232</v>
      </c>
    </row>
    <row r="31012" spans="119:119" x14ac:dyDescent="0.2">
      <c r="DO31012" s="303" t="s">
        <v>232</v>
      </c>
    </row>
    <row r="31013" spans="119:119" x14ac:dyDescent="0.2">
      <c r="DO31013" s="303" t="s">
        <v>232</v>
      </c>
    </row>
    <row r="31014" spans="119:119" x14ac:dyDescent="0.2">
      <c r="DO31014" s="303" t="s">
        <v>232</v>
      </c>
    </row>
    <row r="31015" spans="119:119" x14ac:dyDescent="0.2">
      <c r="DO31015" s="303" t="s">
        <v>232</v>
      </c>
    </row>
    <row r="31016" spans="119:119" x14ac:dyDescent="0.2">
      <c r="DO31016" s="303" t="s">
        <v>232</v>
      </c>
    </row>
    <row r="31017" spans="119:119" x14ac:dyDescent="0.2">
      <c r="DO31017" s="303" t="s">
        <v>232</v>
      </c>
    </row>
    <row r="31018" spans="119:119" x14ac:dyDescent="0.2">
      <c r="DO31018" s="303" t="s">
        <v>232</v>
      </c>
    </row>
    <row r="31019" spans="119:119" x14ac:dyDescent="0.2">
      <c r="DO31019" s="303" t="s">
        <v>232</v>
      </c>
    </row>
    <row r="31020" spans="119:119" x14ac:dyDescent="0.2">
      <c r="DO31020" s="303" t="s">
        <v>232</v>
      </c>
    </row>
    <row r="31021" spans="119:119" x14ac:dyDescent="0.2">
      <c r="DO31021" s="303" t="s">
        <v>232</v>
      </c>
    </row>
    <row r="31022" spans="119:119" x14ac:dyDescent="0.2">
      <c r="DO31022" s="303" t="s">
        <v>232</v>
      </c>
    </row>
    <row r="31023" spans="119:119" x14ac:dyDescent="0.2">
      <c r="DO31023" s="303" t="s">
        <v>232</v>
      </c>
    </row>
    <row r="31024" spans="119:119" x14ac:dyDescent="0.2">
      <c r="DO31024" s="303" t="s">
        <v>232</v>
      </c>
    </row>
    <row r="31025" spans="119:119" x14ac:dyDescent="0.2">
      <c r="DO31025" s="303" t="s">
        <v>232</v>
      </c>
    </row>
    <row r="31026" spans="119:119" x14ac:dyDescent="0.2">
      <c r="DO31026" s="303" t="s">
        <v>232</v>
      </c>
    </row>
    <row r="31027" spans="119:119" x14ac:dyDescent="0.2">
      <c r="DO31027" s="303" t="s">
        <v>232</v>
      </c>
    </row>
    <row r="31028" spans="119:119" x14ac:dyDescent="0.2">
      <c r="DO31028" s="303" t="s">
        <v>232</v>
      </c>
    </row>
    <row r="31029" spans="119:119" x14ac:dyDescent="0.2">
      <c r="DO31029" s="303" t="s">
        <v>232</v>
      </c>
    </row>
    <row r="31030" spans="119:119" x14ac:dyDescent="0.2">
      <c r="DO31030" s="303" t="s">
        <v>232</v>
      </c>
    </row>
    <row r="31031" spans="119:119" x14ac:dyDescent="0.2">
      <c r="DO31031" s="303" t="s">
        <v>232</v>
      </c>
    </row>
    <row r="31032" spans="119:119" x14ac:dyDescent="0.2">
      <c r="DO31032" s="303" t="s">
        <v>232</v>
      </c>
    </row>
    <row r="31033" spans="119:119" x14ac:dyDescent="0.2">
      <c r="DO31033" s="303" t="s">
        <v>232</v>
      </c>
    </row>
    <row r="31034" spans="119:119" x14ac:dyDescent="0.2">
      <c r="DO31034" s="303" t="s">
        <v>232</v>
      </c>
    </row>
    <row r="31035" spans="119:119" x14ac:dyDescent="0.2">
      <c r="DO31035" s="303" t="s">
        <v>232</v>
      </c>
    </row>
    <row r="31036" spans="119:119" x14ac:dyDescent="0.2">
      <c r="DO31036" s="303" t="s">
        <v>232</v>
      </c>
    </row>
    <row r="31037" spans="119:119" x14ac:dyDescent="0.2">
      <c r="DO31037" s="303" t="s">
        <v>232</v>
      </c>
    </row>
    <row r="31038" spans="119:119" x14ac:dyDescent="0.2">
      <c r="DO31038" s="303" t="s">
        <v>232</v>
      </c>
    </row>
    <row r="31039" spans="119:119" x14ac:dyDescent="0.2">
      <c r="DO31039" s="303" t="s">
        <v>232</v>
      </c>
    </row>
    <row r="31040" spans="119:119" x14ac:dyDescent="0.2">
      <c r="DO31040" s="303" t="s">
        <v>232</v>
      </c>
    </row>
    <row r="31041" spans="119:119" x14ac:dyDescent="0.2">
      <c r="DO31041" s="303" t="s">
        <v>232</v>
      </c>
    </row>
    <row r="31042" spans="119:119" x14ac:dyDescent="0.2">
      <c r="DO31042" s="303" t="s">
        <v>232</v>
      </c>
    </row>
    <row r="31043" spans="119:119" x14ac:dyDescent="0.2">
      <c r="DO31043" s="303" t="s">
        <v>232</v>
      </c>
    </row>
    <row r="31044" spans="119:119" x14ac:dyDescent="0.2">
      <c r="DO31044" s="303" t="s">
        <v>232</v>
      </c>
    </row>
    <row r="31045" spans="119:119" x14ac:dyDescent="0.2">
      <c r="DO31045" s="303" t="s">
        <v>232</v>
      </c>
    </row>
    <row r="31046" spans="119:119" x14ac:dyDescent="0.2">
      <c r="DO31046" s="303" t="s">
        <v>232</v>
      </c>
    </row>
    <row r="31047" spans="119:119" x14ac:dyDescent="0.2">
      <c r="DO31047" s="303" t="s">
        <v>232</v>
      </c>
    </row>
    <row r="31048" spans="119:119" x14ac:dyDescent="0.2">
      <c r="DO31048" s="303" t="s">
        <v>232</v>
      </c>
    </row>
    <row r="31049" spans="119:119" x14ac:dyDescent="0.2">
      <c r="DO31049" s="303" t="s">
        <v>232</v>
      </c>
    </row>
    <row r="31050" spans="119:119" x14ac:dyDescent="0.2">
      <c r="DO31050" s="303" t="s">
        <v>232</v>
      </c>
    </row>
    <row r="31051" spans="119:119" x14ac:dyDescent="0.2">
      <c r="DO31051" s="303" t="s">
        <v>232</v>
      </c>
    </row>
    <row r="31052" spans="119:119" x14ac:dyDescent="0.2">
      <c r="DO31052" s="303" t="s">
        <v>232</v>
      </c>
    </row>
    <row r="31053" spans="119:119" x14ac:dyDescent="0.2">
      <c r="DO31053" s="303" t="s">
        <v>232</v>
      </c>
    </row>
    <row r="31054" spans="119:119" x14ac:dyDescent="0.2">
      <c r="DO31054" s="303" t="s">
        <v>232</v>
      </c>
    </row>
    <row r="31055" spans="119:119" x14ac:dyDescent="0.2">
      <c r="DO31055" s="303" t="s">
        <v>232</v>
      </c>
    </row>
    <row r="31056" spans="119:119" x14ac:dyDescent="0.2">
      <c r="DO31056" s="303" t="s">
        <v>232</v>
      </c>
    </row>
    <row r="31057" spans="119:119" x14ac:dyDescent="0.2">
      <c r="DO31057" s="303" t="s">
        <v>232</v>
      </c>
    </row>
    <row r="31058" spans="119:119" x14ac:dyDescent="0.2">
      <c r="DO31058" s="303" t="s">
        <v>232</v>
      </c>
    </row>
    <row r="31059" spans="119:119" x14ac:dyDescent="0.2">
      <c r="DO31059" s="303" t="s">
        <v>232</v>
      </c>
    </row>
    <row r="31060" spans="119:119" x14ac:dyDescent="0.2">
      <c r="DO31060" s="303" t="s">
        <v>232</v>
      </c>
    </row>
    <row r="31061" spans="119:119" x14ac:dyDescent="0.2">
      <c r="DO31061" s="303" t="s">
        <v>232</v>
      </c>
    </row>
    <row r="31062" spans="119:119" x14ac:dyDescent="0.2">
      <c r="DO31062" s="303" t="s">
        <v>232</v>
      </c>
    </row>
    <row r="31063" spans="119:119" x14ac:dyDescent="0.2">
      <c r="DO31063" s="303" t="s">
        <v>232</v>
      </c>
    </row>
    <row r="31064" spans="119:119" x14ac:dyDescent="0.2">
      <c r="DO31064" s="303" t="s">
        <v>232</v>
      </c>
    </row>
    <row r="31065" spans="119:119" x14ac:dyDescent="0.2">
      <c r="DO31065" s="303" t="s">
        <v>232</v>
      </c>
    </row>
    <row r="31066" spans="119:119" x14ac:dyDescent="0.2">
      <c r="DO31066" s="303" t="s">
        <v>232</v>
      </c>
    </row>
    <row r="31067" spans="119:119" x14ac:dyDescent="0.2">
      <c r="DO31067" s="303" t="s">
        <v>232</v>
      </c>
    </row>
    <row r="31068" spans="119:119" x14ac:dyDescent="0.2">
      <c r="DO31068" s="303" t="s">
        <v>232</v>
      </c>
    </row>
    <row r="31069" spans="119:119" x14ac:dyDescent="0.2">
      <c r="DO31069" s="303" t="s">
        <v>232</v>
      </c>
    </row>
    <row r="31070" spans="119:119" x14ac:dyDescent="0.2">
      <c r="DO31070" s="303" t="s">
        <v>232</v>
      </c>
    </row>
    <row r="31071" spans="119:119" x14ac:dyDescent="0.2">
      <c r="DO31071" s="303" t="s">
        <v>232</v>
      </c>
    </row>
    <row r="31072" spans="119:119" x14ac:dyDescent="0.2">
      <c r="DO31072" s="303" t="s">
        <v>232</v>
      </c>
    </row>
    <row r="31073" spans="119:119" x14ac:dyDescent="0.2">
      <c r="DO31073" s="303" t="s">
        <v>232</v>
      </c>
    </row>
    <row r="31074" spans="119:119" x14ac:dyDescent="0.2">
      <c r="DO31074" s="303" t="s">
        <v>232</v>
      </c>
    </row>
    <row r="31075" spans="119:119" x14ac:dyDescent="0.2">
      <c r="DO31075" s="303" t="s">
        <v>232</v>
      </c>
    </row>
    <row r="31076" spans="119:119" x14ac:dyDescent="0.2">
      <c r="DO31076" s="303" t="s">
        <v>232</v>
      </c>
    </row>
    <row r="31077" spans="119:119" x14ac:dyDescent="0.2">
      <c r="DO31077" s="303" t="s">
        <v>232</v>
      </c>
    </row>
    <row r="31078" spans="119:119" x14ac:dyDescent="0.2">
      <c r="DO31078" s="303" t="s">
        <v>232</v>
      </c>
    </row>
    <row r="31079" spans="119:119" x14ac:dyDescent="0.2">
      <c r="DO31079" s="303" t="s">
        <v>232</v>
      </c>
    </row>
    <row r="31080" spans="119:119" x14ac:dyDescent="0.2">
      <c r="DO31080" s="303" t="s">
        <v>232</v>
      </c>
    </row>
    <row r="31081" spans="119:119" x14ac:dyDescent="0.2">
      <c r="DO31081" s="303" t="s">
        <v>232</v>
      </c>
    </row>
    <row r="31082" spans="119:119" x14ac:dyDescent="0.2">
      <c r="DO31082" s="303" t="s">
        <v>232</v>
      </c>
    </row>
    <row r="31083" spans="119:119" x14ac:dyDescent="0.2">
      <c r="DO31083" s="303" t="s">
        <v>232</v>
      </c>
    </row>
    <row r="31084" spans="119:119" x14ac:dyDescent="0.2">
      <c r="DO31084" s="303" t="s">
        <v>232</v>
      </c>
    </row>
    <row r="31085" spans="119:119" x14ac:dyDescent="0.2">
      <c r="DO31085" s="303" t="s">
        <v>232</v>
      </c>
    </row>
    <row r="31086" spans="119:119" x14ac:dyDescent="0.2">
      <c r="DO31086" s="303" t="s">
        <v>232</v>
      </c>
    </row>
    <row r="31087" spans="119:119" x14ac:dyDescent="0.2">
      <c r="DO31087" s="303" t="s">
        <v>232</v>
      </c>
    </row>
    <row r="31088" spans="119:119" x14ac:dyDescent="0.2">
      <c r="DO31088" s="303" t="s">
        <v>232</v>
      </c>
    </row>
    <row r="31089" spans="119:119" x14ac:dyDescent="0.2">
      <c r="DO31089" s="303" t="s">
        <v>232</v>
      </c>
    </row>
    <row r="31090" spans="119:119" x14ac:dyDescent="0.2">
      <c r="DO31090" s="303" t="s">
        <v>232</v>
      </c>
    </row>
    <row r="31091" spans="119:119" x14ac:dyDescent="0.2">
      <c r="DO31091" s="303" t="s">
        <v>232</v>
      </c>
    </row>
    <row r="31092" spans="119:119" x14ac:dyDescent="0.2">
      <c r="DO31092" s="303" t="s">
        <v>232</v>
      </c>
    </row>
    <row r="31093" spans="119:119" x14ac:dyDescent="0.2">
      <c r="DO31093" s="303" t="s">
        <v>232</v>
      </c>
    </row>
    <row r="31094" spans="119:119" x14ac:dyDescent="0.2">
      <c r="DO31094" s="303" t="s">
        <v>232</v>
      </c>
    </row>
    <row r="31095" spans="119:119" x14ac:dyDescent="0.2">
      <c r="DO31095" s="303" t="s">
        <v>232</v>
      </c>
    </row>
    <row r="31096" spans="119:119" x14ac:dyDescent="0.2">
      <c r="DO31096" s="303" t="s">
        <v>232</v>
      </c>
    </row>
    <row r="31097" spans="119:119" x14ac:dyDescent="0.2">
      <c r="DO31097" s="303" t="s">
        <v>232</v>
      </c>
    </row>
    <row r="31098" spans="119:119" x14ac:dyDescent="0.2">
      <c r="DO31098" s="303" t="s">
        <v>232</v>
      </c>
    </row>
    <row r="31099" spans="119:119" x14ac:dyDescent="0.2">
      <c r="DO31099" s="303" t="s">
        <v>232</v>
      </c>
    </row>
    <row r="31100" spans="119:119" x14ac:dyDescent="0.2">
      <c r="DO31100" s="303" t="s">
        <v>232</v>
      </c>
    </row>
    <row r="31101" spans="119:119" x14ac:dyDescent="0.2">
      <c r="DO31101" s="303" t="s">
        <v>232</v>
      </c>
    </row>
    <row r="31102" spans="119:119" x14ac:dyDescent="0.2">
      <c r="DO31102" s="303" t="s">
        <v>232</v>
      </c>
    </row>
    <row r="31103" spans="119:119" x14ac:dyDescent="0.2">
      <c r="DO31103" s="303" t="s">
        <v>232</v>
      </c>
    </row>
    <row r="31104" spans="119:119" x14ac:dyDescent="0.2">
      <c r="DO31104" s="303" t="s">
        <v>232</v>
      </c>
    </row>
    <row r="31105" spans="119:119" x14ac:dyDescent="0.2">
      <c r="DO31105" s="303" t="s">
        <v>232</v>
      </c>
    </row>
    <row r="31106" spans="119:119" x14ac:dyDescent="0.2">
      <c r="DO31106" s="303" t="s">
        <v>232</v>
      </c>
    </row>
    <row r="31107" spans="119:119" x14ac:dyDescent="0.2">
      <c r="DO31107" s="303" t="s">
        <v>232</v>
      </c>
    </row>
    <row r="31108" spans="119:119" x14ac:dyDescent="0.2">
      <c r="DO31108" s="303" t="s">
        <v>232</v>
      </c>
    </row>
    <row r="31109" spans="119:119" x14ac:dyDescent="0.2">
      <c r="DO31109" s="303" t="s">
        <v>232</v>
      </c>
    </row>
    <row r="31110" spans="119:119" x14ac:dyDescent="0.2">
      <c r="DO31110" s="303" t="s">
        <v>232</v>
      </c>
    </row>
    <row r="31111" spans="119:119" x14ac:dyDescent="0.2">
      <c r="DO31111" s="303" t="s">
        <v>232</v>
      </c>
    </row>
    <row r="31112" spans="119:119" x14ac:dyDescent="0.2">
      <c r="DO31112" s="303" t="s">
        <v>232</v>
      </c>
    </row>
    <row r="31113" spans="119:119" x14ac:dyDescent="0.2">
      <c r="DO31113" s="303" t="s">
        <v>232</v>
      </c>
    </row>
    <row r="31114" spans="119:119" x14ac:dyDescent="0.2">
      <c r="DO31114" s="303" t="s">
        <v>232</v>
      </c>
    </row>
    <row r="31115" spans="119:119" x14ac:dyDescent="0.2">
      <c r="DO31115" s="303" t="s">
        <v>232</v>
      </c>
    </row>
    <row r="31116" spans="119:119" x14ac:dyDescent="0.2">
      <c r="DO31116" s="303" t="s">
        <v>232</v>
      </c>
    </row>
    <row r="31117" spans="119:119" x14ac:dyDescent="0.2">
      <c r="DO31117" s="303" t="s">
        <v>232</v>
      </c>
    </row>
    <row r="31118" spans="119:119" x14ac:dyDescent="0.2">
      <c r="DO31118" s="303" t="s">
        <v>232</v>
      </c>
    </row>
    <row r="31119" spans="119:119" x14ac:dyDescent="0.2">
      <c r="DO31119" s="303" t="s">
        <v>232</v>
      </c>
    </row>
    <row r="31120" spans="119:119" x14ac:dyDescent="0.2">
      <c r="DO31120" s="303" t="s">
        <v>232</v>
      </c>
    </row>
    <row r="31121" spans="119:119" x14ac:dyDescent="0.2">
      <c r="DO31121" s="303" t="s">
        <v>232</v>
      </c>
    </row>
    <row r="31122" spans="119:119" x14ac:dyDescent="0.2">
      <c r="DO31122" s="303" t="s">
        <v>232</v>
      </c>
    </row>
    <row r="31123" spans="119:119" x14ac:dyDescent="0.2">
      <c r="DO31123" s="303" t="s">
        <v>232</v>
      </c>
    </row>
    <row r="31124" spans="119:119" x14ac:dyDescent="0.2">
      <c r="DO31124" s="303" t="s">
        <v>232</v>
      </c>
    </row>
    <row r="31125" spans="119:119" x14ac:dyDescent="0.2">
      <c r="DO31125" s="303" t="s">
        <v>232</v>
      </c>
    </row>
    <row r="31126" spans="119:119" x14ac:dyDescent="0.2">
      <c r="DO31126" s="303" t="s">
        <v>232</v>
      </c>
    </row>
    <row r="31127" spans="119:119" x14ac:dyDescent="0.2">
      <c r="DO31127" s="303" t="s">
        <v>232</v>
      </c>
    </row>
    <row r="31128" spans="119:119" x14ac:dyDescent="0.2">
      <c r="DO31128" s="303" t="s">
        <v>232</v>
      </c>
    </row>
    <row r="31129" spans="119:119" x14ac:dyDescent="0.2">
      <c r="DO31129" s="303" t="s">
        <v>232</v>
      </c>
    </row>
    <row r="31130" spans="119:119" x14ac:dyDescent="0.2">
      <c r="DO31130" s="303" t="s">
        <v>232</v>
      </c>
    </row>
    <row r="31131" spans="119:119" x14ac:dyDescent="0.2">
      <c r="DO31131" s="303" t="s">
        <v>232</v>
      </c>
    </row>
    <row r="31132" spans="119:119" x14ac:dyDescent="0.2">
      <c r="DO31132" s="303" t="s">
        <v>232</v>
      </c>
    </row>
    <row r="31133" spans="119:119" x14ac:dyDescent="0.2">
      <c r="DO31133" s="303" t="s">
        <v>232</v>
      </c>
    </row>
    <row r="31134" spans="119:119" x14ac:dyDescent="0.2">
      <c r="DO31134" s="303" t="s">
        <v>232</v>
      </c>
    </row>
    <row r="31135" spans="119:119" x14ac:dyDescent="0.2">
      <c r="DO31135" s="303" t="s">
        <v>232</v>
      </c>
    </row>
    <row r="31136" spans="119:119" x14ac:dyDescent="0.2">
      <c r="DO31136" s="303" t="s">
        <v>232</v>
      </c>
    </row>
    <row r="31137" spans="119:119" x14ac:dyDescent="0.2">
      <c r="DO31137" s="303" t="s">
        <v>232</v>
      </c>
    </row>
    <row r="31138" spans="119:119" x14ac:dyDescent="0.2">
      <c r="DO31138" s="303" t="s">
        <v>232</v>
      </c>
    </row>
    <row r="31139" spans="119:119" x14ac:dyDescent="0.2">
      <c r="DO31139" s="303" t="s">
        <v>232</v>
      </c>
    </row>
    <row r="31140" spans="119:119" x14ac:dyDescent="0.2">
      <c r="DO31140" s="303" t="s">
        <v>232</v>
      </c>
    </row>
    <row r="31141" spans="119:119" x14ac:dyDescent="0.2">
      <c r="DO31141" s="303" t="s">
        <v>232</v>
      </c>
    </row>
    <row r="31142" spans="119:119" x14ac:dyDescent="0.2">
      <c r="DO31142" s="303" t="s">
        <v>232</v>
      </c>
    </row>
    <row r="31143" spans="119:119" x14ac:dyDescent="0.2">
      <c r="DO31143" s="303" t="s">
        <v>232</v>
      </c>
    </row>
    <row r="31144" spans="119:119" x14ac:dyDescent="0.2">
      <c r="DO31144" s="303" t="s">
        <v>232</v>
      </c>
    </row>
    <row r="31145" spans="119:119" x14ac:dyDescent="0.2">
      <c r="DO31145" s="303" t="s">
        <v>232</v>
      </c>
    </row>
    <row r="31146" spans="119:119" x14ac:dyDescent="0.2">
      <c r="DO31146" s="303" t="s">
        <v>232</v>
      </c>
    </row>
    <row r="31147" spans="119:119" x14ac:dyDescent="0.2">
      <c r="DO31147" s="303" t="s">
        <v>232</v>
      </c>
    </row>
    <row r="31148" spans="119:119" x14ac:dyDescent="0.2">
      <c r="DO31148" s="303" t="s">
        <v>232</v>
      </c>
    </row>
    <row r="31149" spans="119:119" x14ac:dyDescent="0.2">
      <c r="DO31149" s="303" t="s">
        <v>232</v>
      </c>
    </row>
    <row r="31150" spans="119:119" x14ac:dyDescent="0.2">
      <c r="DO31150" s="303" t="s">
        <v>232</v>
      </c>
    </row>
    <row r="31151" spans="119:119" x14ac:dyDescent="0.2">
      <c r="DO31151" s="303" t="s">
        <v>232</v>
      </c>
    </row>
    <row r="31152" spans="119:119" x14ac:dyDescent="0.2">
      <c r="DO31152" s="303" t="s">
        <v>232</v>
      </c>
    </row>
    <row r="31153" spans="119:119" x14ac:dyDescent="0.2">
      <c r="DO31153" s="303" t="s">
        <v>232</v>
      </c>
    </row>
    <row r="31154" spans="119:119" x14ac:dyDescent="0.2">
      <c r="DO31154" s="303" t="s">
        <v>232</v>
      </c>
    </row>
    <row r="31155" spans="119:119" x14ac:dyDescent="0.2">
      <c r="DO31155" s="303" t="s">
        <v>232</v>
      </c>
    </row>
    <row r="31156" spans="119:119" x14ac:dyDescent="0.2">
      <c r="DO31156" s="303" t="s">
        <v>232</v>
      </c>
    </row>
    <row r="31157" spans="119:119" x14ac:dyDescent="0.2">
      <c r="DO31157" s="303" t="s">
        <v>232</v>
      </c>
    </row>
    <row r="31158" spans="119:119" x14ac:dyDescent="0.2">
      <c r="DO31158" s="303" t="s">
        <v>232</v>
      </c>
    </row>
    <row r="31159" spans="119:119" x14ac:dyDescent="0.2">
      <c r="DO31159" s="303" t="s">
        <v>232</v>
      </c>
    </row>
    <row r="31160" spans="119:119" x14ac:dyDescent="0.2">
      <c r="DO31160" s="303" t="s">
        <v>232</v>
      </c>
    </row>
    <row r="31161" spans="119:119" x14ac:dyDescent="0.2">
      <c r="DO31161" s="303" t="s">
        <v>232</v>
      </c>
    </row>
    <row r="31162" spans="119:119" x14ac:dyDescent="0.2">
      <c r="DO31162" s="303" t="s">
        <v>232</v>
      </c>
    </row>
    <row r="31163" spans="119:119" x14ac:dyDescent="0.2">
      <c r="DO31163" s="303" t="s">
        <v>232</v>
      </c>
    </row>
    <row r="31164" spans="119:119" x14ac:dyDescent="0.2">
      <c r="DO31164" s="303" t="s">
        <v>232</v>
      </c>
    </row>
    <row r="31165" spans="119:119" x14ac:dyDescent="0.2">
      <c r="DO31165" s="303" t="s">
        <v>232</v>
      </c>
    </row>
    <row r="31166" spans="119:119" x14ac:dyDescent="0.2">
      <c r="DO31166" s="303" t="s">
        <v>232</v>
      </c>
    </row>
    <row r="31167" spans="119:119" x14ac:dyDescent="0.2">
      <c r="DO31167" s="303" t="s">
        <v>232</v>
      </c>
    </row>
    <row r="31168" spans="119:119" x14ac:dyDescent="0.2">
      <c r="DO31168" s="303" t="s">
        <v>232</v>
      </c>
    </row>
    <row r="31169" spans="119:119" x14ac:dyDescent="0.2">
      <c r="DO31169" s="303" t="s">
        <v>232</v>
      </c>
    </row>
    <row r="31170" spans="119:119" x14ac:dyDescent="0.2">
      <c r="DO31170" s="303" t="s">
        <v>232</v>
      </c>
    </row>
    <row r="31171" spans="119:119" x14ac:dyDescent="0.2">
      <c r="DO31171" s="303" t="s">
        <v>232</v>
      </c>
    </row>
    <row r="31172" spans="119:119" x14ac:dyDescent="0.2">
      <c r="DO31172" s="303" t="s">
        <v>232</v>
      </c>
    </row>
    <row r="31173" spans="119:119" x14ac:dyDescent="0.2">
      <c r="DO31173" s="303" t="s">
        <v>232</v>
      </c>
    </row>
    <row r="31174" spans="119:119" x14ac:dyDescent="0.2">
      <c r="DO31174" s="303" t="s">
        <v>232</v>
      </c>
    </row>
    <row r="31175" spans="119:119" x14ac:dyDescent="0.2">
      <c r="DO31175" s="303" t="s">
        <v>232</v>
      </c>
    </row>
    <row r="31176" spans="119:119" x14ac:dyDescent="0.2">
      <c r="DO31176" s="303" t="s">
        <v>232</v>
      </c>
    </row>
    <row r="31177" spans="119:119" x14ac:dyDescent="0.2">
      <c r="DO31177" s="303" t="s">
        <v>232</v>
      </c>
    </row>
    <row r="31178" spans="119:119" x14ac:dyDescent="0.2">
      <c r="DO31178" s="303" t="s">
        <v>232</v>
      </c>
    </row>
    <row r="31179" spans="119:119" x14ac:dyDescent="0.2">
      <c r="DO31179" s="303" t="s">
        <v>232</v>
      </c>
    </row>
    <row r="31180" spans="119:119" x14ac:dyDescent="0.2">
      <c r="DO31180" s="303" t="s">
        <v>232</v>
      </c>
    </row>
    <row r="31181" spans="119:119" x14ac:dyDescent="0.2">
      <c r="DO31181" s="303" t="s">
        <v>232</v>
      </c>
    </row>
    <row r="31182" spans="119:119" x14ac:dyDescent="0.2">
      <c r="DO31182" s="303" t="s">
        <v>232</v>
      </c>
    </row>
    <row r="31183" spans="119:119" x14ac:dyDescent="0.2">
      <c r="DO31183" s="303" t="s">
        <v>232</v>
      </c>
    </row>
    <row r="31184" spans="119:119" x14ac:dyDescent="0.2">
      <c r="DO31184" s="303" t="s">
        <v>232</v>
      </c>
    </row>
    <row r="31185" spans="119:119" x14ac:dyDescent="0.2">
      <c r="DO31185" s="303" t="s">
        <v>232</v>
      </c>
    </row>
    <row r="31186" spans="119:119" x14ac:dyDescent="0.2">
      <c r="DO31186" s="303" t="s">
        <v>232</v>
      </c>
    </row>
    <row r="31187" spans="119:119" x14ac:dyDescent="0.2">
      <c r="DO31187" s="303" t="s">
        <v>232</v>
      </c>
    </row>
    <row r="31188" spans="119:119" x14ac:dyDescent="0.2">
      <c r="DO31188" s="303" t="s">
        <v>232</v>
      </c>
    </row>
    <row r="31189" spans="119:119" x14ac:dyDescent="0.2">
      <c r="DO31189" s="303" t="s">
        <v>232</v>
      </c>
    </row>
    <row r="31190" spans="119:119" x14ac:dyDescent="0.2">
      <c r="DO31190" s="303" t="s">
        <v>232</v>
      </c>
    </row>
    <row r="31191" spans="119:119" x14ac:dyDescent="0.2">
      <c r="DO31191" s="303" t="s">
        <v>232</v>
      </c>
    </row>
    <row r="31192" spans="119:119" x14ac:dyDescent="0.2">
      <c r="DO31192" s="303" t="s">
        <v>232</v>
      </c>
    </row>
    <row r="31193" spans="119:119" x14ac:dyDescent="0.2">
      <c r="DO31193" s="303" t="s">
        <v>232</v>
      </c>
    </row>
    <row r="31194" spans="119:119" x14ac:dyDescent="0.2">
      <c r="DO31194" s="303" t="s">
        <v>232</v>
      </c>
    </row>
    <row r="31195" spans="119:119" x14ac:dyDescent="0.2">
      <c r="DO31195" s="303" t="s">
        <v>232</v>
      </c>
    </row>
    <row r="31196" spans="119:119" x14ac:dyDescent="0.2">
      <c r="DO31196" s="303" t="s">
        <v>232</v>
      </c>
    </row>
    <row r="31197" spans="119:119" x14ac:dyDescent="0.2">
      <c r="DO31197" s="303" t="s">
        <v>232</v>
      </c>
    </row>
    <row r="31198" spans="119:119" x14ac:dyDescent="0.2">
      <c r="DO31198" s="303" t="s">
        <v>232</v>
      </c>
    </row>
    <row r="31199" spans="119:119" x14ac:dyDescent="0.2">
      <c r="DO31199" s="303" t="s">
        <v>232</v>
      </c>
    </row>
    <row r="31200" spans="119:119" x14ac:dyDescent="0.2">
      <c r="DO31200" s="303" t="s">
        <v>232</v>
      </c>
    </row>
    <row r="31201" spans="119:119" x14ac:dyDescent="0.2">
      <c r="DO31201" s="303" t="s">
        <v>232</v>
      </c>
    </row>
    <row r="31202" spans="119:119" x14ac:dyDescent="0.2">
      <c r="DO31202" s="303" t="s">
        <v>232</v>
      </c>
    </row>
    <row r="31203" spans="119:119" x14ac:dyDescent="0.2">
      <c r="DO31203" s="303" t="s">
        <v>232</v>
      </c>
    </row>
    <row r="31204" spans="119:119" x14ac:dyDescent="0.2">
      <c r="DO31204" s="303" t="s">
        <v>232</v>
      </c>
    </row>
    <row r="31205" spans="119:119" x14ac:dyDescent="0.2">
      <c r="DO31205" s="303" t="s">
        <v>232</v>
      </c>
    </row>
    <row r="31206" spans="119:119" x14ac:dyDescent="0.2">
      <c r="DO31206" s="303" t="s">
        <v>232</v>
      </c>
    </row>
    <row r="31207" spans="119:119" x14ac:dyDescent="0.2">
      <c r="DO31207" s="303" t="s">
        <v>232</v>
      </c>
    </row>
    <row r="31208" spans="119:119" x14ac:dyDescent="0.2">
      <c r="DO31208" s="303" t="s">
        <v>232</v>
      </c>
    </row>
    <row r="31209" spans="119:119" x14ac:dyDescent="0.2">
      <c r="DO31209" s="303" t="s">
        <v>232</v>
      </c>
    </row>
    <row r="31210" spans="119:119" x14ac:dyDescent="0.2">
      <c r="DO31210" s="303" t="s">
        <v>232</v>
      </c>
    </row>
    <row r="31211" spans="119:119" x14ac:dyDescent="0.2">
      <c r="DO31211" s="303" t="s">
        <v>232</v>
      </c>
    </row>
    <row r="31212" spans="119:119" x14ac:dyDescent="0.2">
      <c r="DO31212" s="303" t="s">
        <v>232</v>
      </c>
    </row>
    <row r="31213" spans="119:119" x14ac:dyDescent="0.2">
      <c r="DO31213" s="303" t="s">
        <v>232</v>
      </c>
    </row>
    <row r="31214" spans="119:119" x14ac:dyDescent="0.2">
      <c r="DO31214" s="303" t="s">
        <v>232</v>
      </c>
    </row>
    <row r="31215" spans="119:119" x14ac:dyDescent="0.2">
      <c r="DO31215" s="303" t="s">
        <v>232</v>
      </c>
    </row>
    <row r="31216" spans="119:119" x14ac:dyDescent="0.2">
      <c r="DO31216" s="303" t="s">
        <v>232</v>
      </c>
    </row>
    <row r="31217" spans="119:119" x14ac:dyDescent="0.2">
      <c r="DO31217" s="303" t="s">
        <v>232</v>
      </c>
    </row>
    <row r="31218" spans="119:119" x14ac:dyDescent="0.2">
      <c r="DO31218" s="303" t="s">
        <v>232</v>
      </c>
    </row>
    <row r="31219" spans="119:119" x14ac:dyDescent="0.2">
      <c r="DO31219" s="303" t="s">
        <v>232</v>
      </c>
    </row>
    <row r="31220" spans="119:119" x14ac:dyDescent="0.2">
      <c r="DO31220" s="303" t="s">
        <v>232</v>
      </c>
    </row>
    <row r="31221" spans="119:119" x14ac:dyDescent="0.2">
      <c r="DO31221" s="303" t="s">
        <v>232</v>
      </c>
    </row>
    <row r="31222" spans="119:119" x14ac:dyDescent="0.2">
      <c r="DO31222" s="303" t="s">
        <v>232</v>
      </c>
    </row>
    <row r="31223" spans="119:119" x14ac:dyDescent="0.2">
      <c r="DO31223" s="303" t="s">
        <v>232</v>
      </c>
    </row>
    <row r="31224" spans="119:119" x14ac:dyDescent="0.2">
      <c r="DO31224" s="303" t="s">
        <v>232</v>
      </c>
    </row>
    <row r="31225" spans="119:119" x14ac:dyDescent="0.2">
      <c r="DO31225" s="303" t="s">
        <v>232</v>
      </c>
    </row>
    <row r="31226" spans="119:119" x14ac:dyDescent="0.2">
      <c r="DO31226" s="303" t="s">
        <v>232</v>
      </c>
    </row>
    <row r="31227" spans="119:119" x14ac:dyDescent="0.2">
      <c r="DO31227" s="303" t="s">
        <v>232</v>
      </c>
    </row>
    <row r="31228" spans="119:119" x14ac:dyDescent="0.2">
      <c r="DO31228" s="303" t="s">
        <v>232</v>
      </c>
    </row>
    <row r="31229" spans="119:119" x14ac:dyDescent="0.2">
      <c r="DO31229" s="303" t="s">
        <v>232</v>
      </c>
    </row>
    <row r="31230" spans="119:119" x14ac:dyDescent="0.2">
      <c r="DO31230" s="303" t="s">
        <v>232</v>
      </c>
    </row>
    <row r="31231" spans="119:119" x14ac:dyDescent="0.2">
      <c r="DO31231" s="303" t="s">
        <v>232</v>
      </c>
    </row>
    <row r="31232" spans="119:119" x14ac:dyDescent="0.2">
      <c r="DO31232" s="303" t="s">
        <v>232</v>
      </c>
    </row>
    <row r="31233" spans="119:119" x14ac:dyDescent="0.2">
      <c r="DO31233" s="303" t="s">
        <v>232</v>
      </c>
    </row>
    <row r="31234" spans="119:119" x14ac:dyDescent="0.2">
      <c r="DO31234" s="303" t="s">
        <v>232</v>
      </c>
    </row>
    <row r="31235" spans="119:119" x14ac:dyDescent="0.2">
      <c r="DO31235" s="303" t="s">
        <v>232</v>
      </c>
    </row>
    <row r="31236" spans="119:119" x14ac:dyDescent="0.2">
      <c r="DO31236" s="303" t="s">
        <v>232</v>
      </c>
    </row>
    <row r="31237" spans="119:119" x14ac:dyDescent="0.2">
      <c r="DO31237" s="303" t="s">
        <v>232</v>
      </c>
    </row>
    <row r="31238" spans="119:119" x14ac:dyDescent="0.2">
      <c r="DO31238" s="303" t="s">
        <v>232</v>
      </c>
    </row>
    <row r="31239" spans="119:119" x14ac:dyDescent="0.2">
      <c r="DO31239" s="303" t="s">
        <v>232</v>
      </c>
    </row>
    <row r="31240" spans="119:119" x14ac:dyDescent="0.2">
      <c r="DO31240" s="303" t="s">
        <v>232</v>
      </c>
    </row>
    <row r="31241" spans="119:119" x14ac:dyDescent="0.2">
      <c r="DO31241" s="303" t="s">
        <v>232</v>
      </c>
    </row>
    <row r="31242" spans="119:119" x14ac:dyDescent="0.2">
      <c r="DO31242" s="303" t="s">
        <v>232</v>
      </c>
    </row>
    <row r="31243" spans="119:119" x14ac:dyDescent="0.2">
      <c r="DO31243" s="303" t="s">
        <v>232</v>
      </c>
    </row>
    <row r="31244" spans="119:119" x14ac:dyDescent="0.2">
      <c r="DO31244" s="303" t="s">
        <v>232</v>
      </c>
    </row>
    <row r="31245" spans="119:119" x14ac:dyDescent="0.2">
      <c r="DO31245" s="303" t="s">
        <v>232</v>
      </c>
    </row>
    <row r="31246" spans="119:119" x14ac:dyDescent="0.2">
      <c r="DO31246" s="303" t="s">
        <v>232</v>
      </c>
    </row>
    <row r="31247" spans="119:119" x14ac:dyDescent="0.2">
      <c r="DO31247" s="303" t="s">
        <v>232</v>
      </c>
    </row>
    <row r="31248" spans="119:119" x14ac:dyDescent="0.2">
      <c r="DO31248" s="303" t="s">
        <v>232</v>
      </c>
    </row>
    <row r="31249" spans="119:119" x14ac:dyDescent="0.2">
      <c r="DO31249" s="303" t="s">
        <v>232</v>
      </c>
    </row>
    <row r="31250" spans="119:119" x14ac:dyDescent="0.2">
      <c r="DO31250" s="303" t="s">
        <v>232</v>
      </c>
    </row>
    <row r="31251" spans="119:119" x14ac:dyDescent="0.2">
      <c r="DO31251" s="303" t="s">
        <v>232</v>
      </c>
    </row>
    <row r="31252" spans="119:119" x14ac:dyDescent="0.2">
      <c r="DO31252" s="303" t="s">
        <v>232</v>
      </c>
    </row>
    <row r="31253" spans="119:119" x14ac:dyDescent="0.2">
      <c r="DO31253" s="303" t="s">
        <v>232</v>
      </c>
    </row>
    <row r="31254" spans="119:119" x14ac:dyDescent="0.2">
      <c r="DO31254" s="303" t="s">
        <v>232</v>
      </c>
    </row>
    <row r="31255" spans="119:119" x14ac:dyDescent="0.2">
      <c r="DO31255" s="303" t="s">
        <v>232</v>
      </c>
    </row>
    <row r="31256" spans="119:119" x14ac:dyDescent="0.2">
      <c r="DO31256" s="303" t="s">
        <v>232</v>
      </c>
    </row>
    <row r="31257" spans="119:119" x14ac:dyDescent="0.2">
      <c r="DO31257" s="303" t="s">
        <v>232</v>
      </c>
    </row>
    <row r="31258" spans="119:119" x14ac:dyDescent="0.2">
      <c r="DO31258" s="303" t="s">
        <v>232</v>
      </c>
    </row>
    <row r="31259" spans="119:119" x14ac:dyDescent="0.2">
      <c r="DO31259" s="303" t="s">
        <v>232</v>
      </c>
    </row>
    <row r="31260" spans="119:119" x14ac:dyDescent="0.2">
      <c r="DO31260" s="303" t="s">
        <v>232</v>
      </c>
    </row>
    <row r="31261" spans="119:119" x14ac:dyDescent="0.2">
      <c r="DO31261" s="303" t="s">
        <v>232</v>
      </c>
    </row>
    <row r="31262" spans="119:119" x14ac:dyDescent="0.2">
      <c r="DO31262" s="303" t="s">
        <v>232</v>
      </c>
    </row>
    <row r="31263" spans="119:119" x14ac:dyDescent="0.2">
      <c r="DO31263" s="303" t="s">
        <v>232</v>
      </c>
    </row>
    <row r="31264" spans="119:119" x14ac:dyDescent="0.2">
      <c r="DO31264" s="303" t="s">
        <v>232</v>
      </c>
    </row>
    <row r="31265" spans="119:119" x14ac:dyDescent="0.2">
      <c r="DO31265" s="303" t="s">
        <v>232</v>
      </c>
    </row>
    <row r="31266" spans="119:119" x14ac:dyDescent="0.2">
      <c r="DO31266" s="303" t="s">
        <v>232</v>
      </c>
    </row>
    <row r="31267" spans="119:119" x14ac:dyDescent="0.2">
      <c r="DO31267" s="303" t="s">
        <v>232</v>
      </c>
    </row>
    <row r="31268" spans="119:119" x14ac:dyDescent="0.2">
      <c r="DO31268" s="303" t="s">
        <v>232</v>
      </c>
    </row>
    <row r="31269" spans="119:119" x14ac:dyDescent="0.2">
      <c r="DO31269" s="303" t="s">
        <v>232</v>
      </c>
    </row>
    <row r="31270" spans="119:119" x14ac:dyDescent="0.2">
      <c r="DO31270" s="303" t="s">
        <v>232</v>
      </c>
    </row>
    <row r="31271" spans="119:119" x14ac:dyDescent="0.2">
      <c r="DO31271" s="303" t="s">
        <v>232</v>
      </c>
    </row>
    <row r="31272" spans="119:119" x14ac:dyDescent="0.2">
      <c r="DO31272" s="303" t="s">
        <v>232</v>
      </c>
    </row>
    <row r="31273" spans="119:119" x14ac:dyDescent="0.2">
      <c r="DO31273" s="303" t="s">
        <v>232</v>
      </c>
    </row>
    <row r="31274" spans="119:119" x14ac:dyDescent="0.2">
      <c r="DO31274" s="303" t="s">
        <v>232</v>
      </c>
    </row>
    <row r="31275" spans="119:119" x14ac:dyDescent="0.2">
      <c r="DO31275" s="303" t="s">
        <v>232</v>
      </c>
    </row>
    <row r="31276" spans="119:119" x14ac:dyDescent="0.2">
      <c r="DO31276" s="303" t="s">
        <v>232</v>
      </c>
    </row>
    <row r="31277" spans="119:119" x14ac:dyDescent="0.2">
      <c r="DO31277" s="303" t="s">
        <v>232</v>
      </c>
    </row>
    <row r="31278" spans="119:119" x14ac:dyDescent="0.2">
      <c r="DO31278" s="303" t="s">
        <v>232</v>
      </c>
    </row>
    <row r="31279" spans="119:119" x14ac:dyDescent="0.2">
      <c r="DO31279" s="303" t="s">
        <v>232</v>
      </c>
    </row>
    <row r="31280" spans="119:119" x14ac:dyDescent="0.2">
      <c r="DO31280" s="303" t="s">
        <v>232</v>
      </c>
    </row>
    <row r="31281" spans="119:119" x14ac:dyDescent="0.2">
      <c r="DO31281" s="303" t="s">
        <v>232</v>
      </c>
    </row>
    <row r="31282" spans="119:119" x14ac:dyDescent="0.2">
      <c r="DO31282" s="303" t="s">
        <v>232</v>
      </c>
    </row>
    <row r="31283" spans="119:119" x14ac:dyDescent="0.2">
      <c r="DO31283" s="303" t="s">
        <v>232</v>
      </c>
    </row>
    <row r="31284" spans="119:119" x14ac:dyDescent="0.2">
      <c r="DO31284" s="303" t="s">
        <v>232</v>
      </c>
    </row>
    <row r="31285" spans="119:119" x14ac:dyDescent="0.2">
      <c r="DO31285" s="303" t="s">
        <v>232</v>
      </c>
    </row>
    <row r="31286" spans="119:119" x14ac:dyDescent="0.2">
      <c r="DO31286" s="303" t="s">
        <v>232</v>
      </c>
    </row>
    <row r="31287" spans="119:119" x14ac:dyDescent="0.2">
      <c r="DO31287" s="303" t="s">
        <v>232</v>
      </c>
    </row>
    <row r="31288" spans="119:119" x14ac:dyDescent="0.2">
      <c r="DO31288" s="303" t="s">
        <v>232</v>
      </c>
    </row>
    <row r="31289" spans="119:119" x14ac:dyDescent="0.2">
      <c r="DO31289" s="303" t="s">
        <v>232</v>
      </c>
    </row>
    <row r="31290" spans="119:119" x14ac:dyDescent="0.2">
      <c r="DO31290" s="303" t="s">
        <v>232</v>
      </c>
    </row>
    <row r="31291" spans="119:119" x14ac:dyDescent="0.2">
      <c r="DO31291" s="303" t="s">
        <v>232</v>
      </c>
    </row>
    <row r="31292" spans="119:119" x14ac:dyDescent="0.2">
      <c r="DO31292" s="303" t="s">
        <v>232</v>
      </c>
    </row>
    <row r="31293" spans="119:119" x14ac:dyDescent="0.2">
      <c r="DO31293" s="303" t="s">
        <v>232</v>
      </c>
    </row>
    <row r="31294" spans="119:119" x14ac:dyDescent="0.2">
      <c r="DO31294" s="303" t="s">
        <v>232</v>
      </c>
    </row>
    <row r="31295" spans="119:119" x14ac:dyDescent="0.2">
      <c r="DO31295" s="303" t="s">
        <v>232</v>
      </c>
    </row>
    <row r="31296" spans="119:119" x14ac:dyDescent="0.2">
      <c r="DO31296" s="303" t="s">
        <v>232</v>
      </c>
    </row>
    <row r="31297" spans="119:119" x14ac:dyDescent="0.2">
      <c r="DO31297" s="303" t="s">
        <v>232</v>
      </c>
    </row>
    <row r="31298" spans="119:119" x14ac:dyDescent="0.2">
      <c r="DO31298" s="303" t="s">
        <v>232</v>
      </c>
    </row>
    <row r="31299" spans="119:119" x14ac:dyDescent="0.2">
      <c r="DO31299" s="303" t="s">
        <v>232</v>
      </c>
    </row>
    <row r="31300" spans="119:119" x14ac:dyDescent="0.2">
      <c r="DO31300" s="303" t="s">
        <v>232</v>
      </c>
    </row>
    <row r="31301" spans="119:119" x14ac:dyDescent="0.2">
      <c r="DO31301" s="303" t="s">
        <v>232</v>
      </c>
    </row>
    <row r="31302" spans="119:119" x14ac:dyDescent="0.2">
      <c r="DO31302" s="303" t="s">
        <v>232</v>
      </c>
    </row>
    <row r="31303" spans="119:119" x14ac:dyDescent="0.2">
      <c r="DO31303" s="303" t="s">
        <v>232</v>
      </c>
    </row>
    <row r="31304" spans="119:119" x14ac:dyDescent="0.2">
      <c r="DO31304" s="303" t="s">
        <v>232</v>
      </c>
    </row>
    <row r="31305" spans="119:119" x14ac:dyDescent="0.2">
      <c r="DO31305" s="303" t="s">
        <v>232</v>
      </c>
    </row>
    <row r="31306" spans="119:119" x14ac:dyDescent="0.2">
      <c r="DO31306" s="303" t="s">
        <v>232</v>
      </c>
    </row>
    <row r="31307" spans="119:119" x14ac:dyDescent="0.2">
      <c r="DO31307" s="303" t="s">
        <v>232</v>
      </c>
    </row>
    <row r="31308" spans="119:119" x14ac:dyDescent="0.2">
      <c r="DO31308" s="303" t="s">
        <v>232</v>
      </c>
    </row>
    <row r="31309" spans="119:119" x14ac:dyDescent="0.2">
      <c r="DO31309" s="303" t="s">
        <v>232</v>
      </c>
    </row>
    <row r="31310" spans="119:119" x14ac:dyDescent="0.2">
      <c r="DO31310" s="303" t="s">
        <v>232</v>
      </c>
    </row>
    <row r="31311" spans="119:119" x14ac:dyDescent="0.2">
      <c r="DO31311" s="303" t="s">
        <v>232</v>
      </c>
    </row>
    <row r="31312" spans="119:119" x14ac:dyDescent="0.2">
      <c r="DO31312" s="303" t="s">
        <v>232</v>
      </c>
    </row>
    <row r="31313" spans="119:119" x14ac:dyDescent="0.2">
      <c r="DO31313" s="303" t="s">
        <v>232</v>
      </c>
    </row>
    <row r="31314" spans="119:119" x14ac:dyDescent="0.2">
      <c r="DO31314" s="303" t="s">
        <v>232</v>
      </c>
    </row>
    <row r="31315" spans="119:119" x14ac:dyDescent="0.2">
      <c r="DO31315" s="303" t="s">
        <v>232</v>
      </c>
    </row>
    <row r="31316" spans="119:119" x14ac:dyDescent="0.2">
      <c r="DO31316" s="303" t="s">
        <v>232</v>
      </c>
    </row>
    <row r="31317" spans="119:119" x14ac:dyDescent="0.2">
      <c r="DO31317" s="303" t="s">
        <v>232</v>
      </c>
    </row>
    <row r="31318" spans="119:119" x14ac:dyDescent="0.2">
      <c r="DO31318" s="303" t="s">
        <v>232</v>
      </c>
    </row>
    <row r="31319" spans="119:119" x14ac:dyDescent="0.2">
      <c r="DO31319" s="303" t="s">
        <v>232</v>
      </c>
    </row>
    <row r="31320" spans="119:119" x14ac:dyDescent="0.2">
      <c r="DO31320" s="303" t="s">
        <v>232</v>
      </c>
    </row>
    <row r="31321" spans="119:119" x14ac:dyDescent="0.2">
      <c r="DO31321" s="303" t="s">
        <v>232</v>
      </c>
    </row>
    <row r="31322" spans="119:119" x14ac:dyDescent="0.2">
      <c r="DO31322" s="303" t="s">
        <v>232</v>
      </c>
    </row>
    <row r="31323" spans="119:119" x14ac:dyDescent="0.2">
      <c r="DO31323" s="303" t="s">
        <v>232</v>
      </c>
    </row>
    <row r="31324" spans="119:119" x14ac:dyDescent="0.2">
      <c r="DO31324" s="303" t="s">
        <v>232</v>
      </c>
    </row>
    <row r="31325" spans="119:119" x14ac:dyDescent="0.2">
      <c r="DO31325" s="303" t="s">
        <v>232</v>
      </c>
    </row>
    <row r="31326" spans="119:119" x14ac:dyDescent="0.2">
      <c r="DO31326" s="303" t="s">
        <v>232</v>
      </c>
    </row>
    <row r="31327" spans="119:119" x14ac:dyDescent="0.2">
      <c r="DO31327" s="303" t="s">
        <v>232</v>
      </c>
    </row>
    <row r="31328" spans="119:119" x14ac:dyDescent="0.2">
      <c r="DO31328" s="303" t="s">
        <v>232</v>
      </c>
    </row>
    <row r="31329" spans="119:119" x14ac:dyDescent="0.2">
      <c r="DO31329" s="303" t="s">
        <v>232</v>
      </c>
    </row>
    <row r="31330" spans="119:119" x14ac:dyDescent="0.2">
      <c r="DO31330" s="303" t="s">
        <v>232</v>
      </c>
    </row>
    <row r="31331" spans="119:119" x14ac:dyDescent="0.2">
      <c r="DO31331" s="303" t="s">
        <v>232</v>
      </c>
    </row>
    <row r="31332" spans="119:119" x14ac:dyDescent="0.2">
      <c r="DO31332" s="303" t="s">
        <v>232</v>
      </c>
    </row>
    <row r="31333" spans="119:119" x14ac:dyDescent="0.2">
      <c r="DO31333" s="303" t="s">
        <v>232</v>
      </c>
    </row>
    <row r="31334" spans="119:119" x14ac:dyDescent="0.2">
      <c r="DO31334" s="303" t="s">
        <v>232</v>
      </c>
    </row>
    <row r="31335" spans="119:119" x14ac:dyDescent="0.2">
      <c r="DO31335" s="303" t="s">
        <v>232</v>
      </c>
    </row>
    <row r="31336" spans="119:119" x14ac:dyDescent="0.2">
      <c r="DO31336" s="303" t="s">
        <v>232</v>
      </c>
    </row>
    <row r="31337" spans="119:119" x14ac:dyDescent="0.2">
      <c r="DO31337" s="303" t="s">
        <v>232</v>
      </c>
    </row>
    <row r="31338" spans="119:119" x14ac:dyDescent="0.2">
      <c r="DO31338" s="303" t="s">
        <v>232</v>
      </c>
    </row>
    <row r="31339" spans="119:119" x14ac:dyDescent="0.2">
      <c r="DO31339" s="303" t="s">
        <v>232</v>
      </c>
    </row>
    <row r="31340" spans="119:119" x14ac:dyDescent="0.2">
      <c r="DO31340" s="303" t="s">
        <v>232</v>
      </c>
    </row>
    <row r="31341" spans="119:119" x14ac:dyDescent="0.2">
      <c r="DO31341" s="303" t="s">
        <v>232</v>
      </c>
    </row>
    <row r="31342" spans="119:119" x14ac:dyDescent="0.2">
      <c r="DO31342" s="303" t="s">
        <v>232</v>
      </c>
    </row>
    <row r="31343" spans="119:119" x14ac:dyDescent="0.2">
      <c r="DO31343" s="303" t="s">
        <v>232</v>
      </c>
    </row>
    <row r="31344" spans="119:119" x14ac:dyDescent="0.2">
      <c r="DO31344" s="303" t="s">
        <v>232</v>
      </c>
    </row>
    <row r="31345" spans="119:119" x14ac:dyDescent="0.2">
      <c r="DO31345" s="303" t="s">
        <v>232</v>
      </c>
    </row>
    <row r="31346" spans="119:119" x14ac:dyDescent="0.2">
      <c r="DO31346" s="303" t="s">
        <v>232</v>
      </c>
    </row>
    <row r="31347" spans="119:119" x14ac:dyDescent="0.2">
      <c r="DO31347" s="303" t="s">
        <v>232</v>
      </c>
    </row>
    <row r="31348" spans="119:119" x14ac:dyDescent="0.2">
      <c r="DO31348" s="303" t="s">
        <v>232</v>
      </c>
    </row>
    <row r="31349" spans="119:119" x14ac:dyDescent="0.2">
      <c r="DO31349" s="303" t="s">
        <v>232</v>
      </c>
    </row>
    <row r="31350" spans="119:119" x14ac:dyDescent="0.2">
      <c r="DO31350" s="303" t="s">
        <v>232</v>
      </c>
    </row>
    <row r="31351" spans="119:119" x14ac:dyDescent="0.2">
      <c r="DO31351" s="303" t="s">
        <v>232</v>
      </c>
    </row>
    <row r="31352" spans="119:119" x14ac:dyDescent="0.2">
      <c r="DO31352" s="303" t="s">
        <v>232</v>
      </c>
    </row>
    <row r="31353" spans="119:119" x14ac:dyDescent="0.2">
      <c r="DO31353" s="303" t="s">
        <v>232</v>
      </c>
    </row>
    <row r="31354" spans="119:119" x14ac:dyDescent="0.2">
      <c r="DO31354" s="303" t="s">
        <v>232</v>
      </c>
    </row>
    <row r="31355" spans="119:119" x14ac:dyDescent="0.2">
      <c r="DO31355" s="303" t="s">
        <v>232</v>
      </c>
    </row>
    <row r="31356" spans="119:119" x14ac:dyDescent="0.2">
      <c r="DO31356" s="303" t="s">
        <v>232</v>
      </c>
    </row>
    <row r="31357" spans="119:119" x14ac:dyDescent="0.2">
      <c r="DO31357" s="303" t="s">
        <v>232</v>
      </c>
    </row>
    <row r="31358" spans="119:119" x14ac:dyDescent="0.2">
      <c r="DO31358" s="303" t="s">
        <v>232</v>
      </c>
    </row>
    <row r="31359" spans="119:119" x14ac:dyDescent="0.2">
      <c r="DO31359" s="303" t="s">
        <v>232</v>
      </c>
    </row>
    <row r="31360" spans="119:119" x14ac:dyDescent="0.2">
      <c r="DO31360" s="303" t="s">
        <v>232</v>
      </c>
    </row>
    <row r="31361" spans="119:119" x14ac:dyDescent="0.2">
      <c r="DO31361" s="303" t="s">
        <v>232</v>
      </c>
    </row>
    <row r="31362" spans="119:119" x14ac:dyDescent="0.2">
      <c r="DO31362" s="303" t="s">
        <v>232</v>
      </c>
    </row>
    <row r="31363" spans="119:119" x14ac:dyDescent="0.2">
      <c r="DO31363" s="303" t="s">
        <v>232</v>
      </c>
    </row>
    <row r="31364" spans="119:119" x14ac:dyDescent="0.2">
      <c r="DO31364" s="303" t="s">
        <v>232</v>
      </c>
    </row>
    <row r="31365" spans="119:119" x14ac:dyDescent="0.2">
      <c r="DO31365" s="303" t="s">
        <v>232</v>
      </c>
    </row>
    <row r="31366" spans="119:119" x14ac:dyDescent="0.2">
      <c r="DO31366" s="303" t="s">
        <v>232</v>
      </c>
    </row>
    <row r="31367" spans="119:119" x14ac:dyDescent="0.2">
      <c r="DO31367" s="303" t="s">
        <v>232</v>
      </c>
    </row>
    <row r="31368" spans="119:119" x14ac:dyDescent="0.2">
      <c r="DO31368" s="303" t="s">
        <v>232</v>
      </c>
    </row>
    <row r="31369" spans="119:119" x14ac:dyDescent="0.2">
      <c r="DO31369" s="303" t="s">
        <v>232</v>
      </c>
    </row>
    <row r="31370" spans="119:119" x14ac:dyDescent="0.2">
      <c r="DO31370" s="303" t="s">
        <v>232</v>
      </c>
    </row>
    <row r="31371" spans="119:119" x14ac:dyDescent="0.2">
      <c r="DO31371" s="303" t="s">
        <v>232</v>
      </c>
    </row>
    <row r="31372" spans="119:119" x14ac:dyDescent="0.2">
      <c r="DO31372" s="303" t="s">
        <v>232</v>
      </c>
    </row>
    <row r="31373" spans="119:119" x14ac:dyDescent="0.2">
      <c r="DO31373" s="303" t="s">
        <v>232</v>
      </c>
    </row>
    <row r="31374" spans="119:119" x14ac:dyDescent="0.2">
      <c r="DO31374" s="303" t="s">
        <v>232</v>
      </c>
    </row>
    <row r="31375" spans="119:119" x14ac:dyDescent="0.2">
      <c r="DO31375" s="303" t="s">
        <v>232</v>
      </c>
    </row>
    <row r="31376" spans="119:119" x14ac:dyDescent="0.2">
      <c r="DO31376" s="303" t="s">
        <v>232</v>
      </c>
    </row>
    <row r="31377" spans="119:119" x14ac:dyDescent="0.2">
      <c r="DO31377" s="303" t="s">
        <v>232</v>
      </c>
    </row>
    <row r="31378" spans="119:119" x14ac:dyDescent="0.2">
      <c r="DO31378" s="303" t="s">
        <v>232</v>
      </c>
    </row>
    <row r="31379" spans="119:119" x14ac:dyDescent="0.2">
      <c r="DO31379" s="303" t="s">
        <v>232</v>
      </c>
    </row>
    <row r="31380" spans="119:119" x14ac:dyDescent="0.2">
      <c r="DO31380" s="303" t="s">
        <v>232</v>
      </c>
    </row>
    <row r="31381" spans="119:119" x14ac:dyDescent="0.2">
      <c r="DO31381" s="303" t="s">
        <v>232</v>
      </c>
    </row>
    <row r="31382" spans="119:119" x14ac:dyDescent="0.2">
      <c r="DO31382" s="303" t="s">
        <v>232</v>
      </c>
    </row>
    <row r="31383" spans="119:119" x14ac:dyDescent="0.2">
      <c r="DO31383" s="303" t="s">
        <v>232</v>
      </c>
    </row>
    <row r="31384" spans="119:119" x14ac:dyDescent="0.2">
      <c r="DO31384" s="303" t="s">
        <v>232</v>
      </c>
    </row>
    <row r="31385" spans="119:119" x14ac:dyDescent="0.2">
      <c r="DO31385" s="303" t="s">
        <v>232</v>
      </c>
    </row>
    <row r="31386" spans="119:119" x14ac:dyDescent="0.2">
      <c r="DO31386" s="303" t="s">
        <v>232</v>
      </c>
    </row>
    <row r="31387" spans="119:119" x14ac:dyDescent="0.2">
      <c r="DO31387" s="303" t="s">
        <v>232</v>
      </c>
    </row>
    <row r="31388" spans="119:119" x14ac:dyDescent="0.2">
      <c r="DO31388" s="303" t="s">
        <v>232</v>
      </c>
    </row>
    <row r="31389" spans="119:119" x14ac:dyDescent="0.2">
      <c r="DO31389" s="303" t="s">
        <v>232</v>
      </c>
    </row>
    <row r="31390" spans="119:119" x14ac:dyDescent="0.2">
      <c r="DO31390" s="303" t="s">
        <v>232</v>
      </c>
    </row>
    <row r="31391" spans="119:119" x14ac:dyDescent="0.2">
      <c r="DO31391" s="303" t="s">
        <v>232</v>
      </c>
    </row>
    <row r="31392" spans="119:119" x14ac:dyDescent="0.2">
      <c r="DO31392" s="303" t="s">
        <v>232</v>
      </c>
    </row>
    <row r="31393" spans="119:119" x14ac:dyDescent="0.2">
      <c r="DO31393" s="303" t="s">
        <v>232</v>
      </c>
    </row>
    <row r="31394" spans="119:119" x14ac:dyDescent="0.2">
      <c r="DO31394" s="303" t="s">
        <v>232</v>
      </c>
    </row>
    <row r="31395" spans="119:119" x14ac:dyDescent="0.2">
      <c r="DO31395" s="303" t="s">
        <v>232</v>
      </c>
    </row>
    <row r="31396" spans="119:119" x14ac:dyDescent="0.2">
      <c r="DO31396" s="303" t="s">
        <v>232</v>
      </c>
    </row>
    <row r="31397" spans="119:119" x14ac:dyDescent="0.2">
      <c r="DO31397" s="303" t="s">
        <v>232</v>
      </c>
    </row>
    <row r="31398" spans="119:119" x14ac:dyDescent="0.2">
      <c r="DO31398" s="303" t="s">
        <v>232</v>
      </c>
    </row>
    <row r="31399" spans="119:119" x14ac:dyDescent="0.2">
      <c r="DO31399" s="303" t="s">
        <v>232</v>
      </c>
    </row>
    <row r="31400" spans="119:119" x14ac:dyDescent="0.2">
      <c r="DO31400" s="303" t="s">
        <v>232</v>
      </c>
    </row>
    <row r="31401" spans="119:119" x14ac:dyDescent="0.2">
      <c r="DO31401" s="303" t="s">
        <v>232</v>
      </c>
    </row>
    <row r="31402" spans="119:119" x14ac:dyDescent="0.2">
      <c r="DO31402" s="303" t="s">
        <v>232</v>
      </c>
    </row>
    <row r="31403" spans="119:119" x14ac:dyDescent="0.2">
      <c r="DO31403" s="303" t="s">
        <v>232</v>
      </c>
    </row>
    <row r="31404" spans="119:119" x14ac:dyDescent="0.2">
      <c r="DO31404" s="303" t="s">
        <v>232</v>
      </c>
    </row>
    <row r="31405" spans="119:119" x14ac:dyDescent="0.2">
      <c r="DO31405" s="303" t="s">
        <v>232</v>
      </c>
    </row>
    <row r="31406" spans="119:119" x14ac:dyDescent="0.2">
      <c r="DO31406" s="303" t="s">
        <v>232</v>
      </c>
    </row>
    <row r="31407" spans="119:119" x14ac:dyDescent="0.2">
      <c r="DO31407" s="303" t="s">
        <v>232</v>
      </c>
    </row>
    <row r="31408" spans="119:119" x14ac:dyDescent="0.2">
      <c r="DO31408" s="303" t="s">
        <v>232</v>
      </c>
    </row>
    <row r="31409" spans="119:119" x14ac:dyDescent="0.2">
      <c r="DO31409" s="303" t="s">
        <v>232</v>
      </c>
    </row>
    <row r="31410" spans="119:119" x14ac:dyDescent="0.2">
      <c r="DO31410" s="303" t="s">
        <v>232</v>
      </c>
    </row>
    <row r="31411" spans="119:119" x14ac:dyDescent="0.2">
      <c r="DO31411" s="303" t="s">
        <v>232</v>
      </c>
    </row>
    <row r="31412" spans="119:119" x14ac:dyDescent="0.2">
      <c r="DO31412" s="303" t="s">
        <v>232</v>
      </c>
    </row>
    <row r="31413" spans="119:119" x14ac:dyDescent="0.2">
      <c r="DO31413" s="303" t="s">
        <v>232</v>
      </c>
    </row>
    <row r="31414" spans="119:119" x14ac:dyDescent="0.2">
      <c r="DO31414" s="303" t="s">
        <v>232</v>
      </c>
    </row>
    <row r="31415" spans="119:119" x14ac:dyDescent="0.2">
      <c r="DO31415" s="303" t="s">
        <v>232</v>
      </c>
    </row>
    <row r="31416" spans="119:119" x14ac:dyDescent="0.2">
      <c r="DO31416" s="303" t="s">
        <v>232</v>
      </c>
    </row>
    <row r="31417" spans="119:119" x14ac:dyDescent="0.2">
      <c r="DO31417" s="303" t="s">
        <v>232</v>
      </c>
    </row>
    <row r="31418" spans="119:119" x14ac:dyDescent="0.2">
      <c r="DO31418" s="303" t="s">
        <v>232</v>
      </c>
    </row>
    <row r="31419" spans="119:119" x14ac:dyDescent="0.2">
      <c r="DO31419" s="303" t="s">
        <v>232</v>
      </c>
    </row>
    <row r="31420" spans="119:119" x14ac:dyDescent="0.2">
      <c r="DO31420" s="303" t="s">
        <v>232</v>
      </c>
    </row>
    <row r="31421" spans="119:119" x14ac:dyDescent="0.2">
      <c r="DO31421" s="303" t="s">
        <v>232</v>
      </c>
    </row>
    <row r="31422" spans="119:119" x14ac:dyDescent="0.2">
      <c r="DO31422" s="303" t="s">
        <v>232</v>
      </c>
    </row>
    <row r="31423" spans="119:119" x14ac:dyDescent="0.2">
      <c r="DO31423" s="303" t="s">
        <v>232</v>
      </c>
    </row>
    <row r="31424" spans="119:119" x14ac:dyDescent="0.2">
      <c r="DO31424" s="303" t="s">
        <v>232</v>
      </c>
    </row>
    <row r="31425" spans="119:119" x14ac:dyDescent="0.2">
      <c r="DO31425" s="303" t="s">
        <v>232</v>
      </c>
    </row>
    <row r="31426" spans="119:119" x14ac:dyDescent="0.2">
      <c r="DO31426" s="303" t="s">
        <v>232</v>
      </c>
    </row>
    <row r="31427" spans="119:119" x14ac:dyDescent="0.2">
      <c r="DO31427" s="303" t="s">
        <v>232</v>
      </c>
    </row>
    <row r="31428" spans="119:119" x14ac:dyDescent="0.2">
      <c r="DO31428" s="303" t="s">
        <v>232</v>
      </c>
    </row>
    <row r="31429" spans="119:119" x14ac:dyDescent="0.2">
      <c r="DO31429" s="303" t="s">
        <v>232</v>
      </c>
    </row>
    <row r="31430" spans="119:119" x14ac:dyDescent="0.2">
      <c r="DO31430" s="303" t="s">
        <v>232</v>
      </c>
    </row>
    <row r="31431" spans="119:119" x14ac:dyDescent="0.2">
      <c r="DO31431" s="303" t="s">
        <v>232</v>
      </c>
    </row>
    <row r="31432" spans="119:119" x14ac:dyDescent="0.2">
      <c r="DO31432" s="303" t="s">
        <v>232</v>
      </c>
    </row>
    <row r="31433" spans="119:119" x14ac:dyDescent="0.2">
      <c r="DO31433" s="303" t="s">
        <v>232</v>
      </c>
    </row>
    <row r="31434" spans="119:119" x14ac:dyDescent="0.2">
      <c r="DO31434" s="303" t="s">
        <v>232</v>
      </c>
    </row>
    <row r="31435" spans="119:119" x14ac:dyDescent="0.2">
      <c r="DO31435" s="303" t="s">
        <v>232</v>
      </c>
    </row>
    <row r="31436" spans="119:119" x14ac:dyDescent="0.2">
      <c r="DO31436" s="303" t="s">
        <v>232</v>
      </c>
    </row>
    <row r="31437" spans="119:119" x14ac:dyDescent="0.2">
      <c r="DO31437" s="303" t="s">
        <v>232</v>
      </c>
    </row>
    <row r="31438" spans="119:119" x14ac:dyDescent="0.2">
      <c r="DO31438" s="303" t="s">
        <v>232</v>
      </c>
    </row>
    <row r="31439" spans="119:119" x14ac:dyDescent="0.2">
      <c r="DO31439" s="303" t="s">
        <v>232</v>
      </c>
    </row>
    <row r="31440" spans="119:119" x14ac:dyDescent="0.2">
      <c r="DO31440" s="303" t="s">
        <v>232</v>
      </c>
    </row>
    <row r="31441" spans="119:119" x14ac:dyDescent="0.2">
      <c r="DO31441" s="303" t="s">
        <v>232</v>
      </c>
    </row>
    <row r="31442" spans="119:119" x14ac:dyDescent="0.2">
      <c r="DO31442" s="303" t="s">
        <v>232</v>
      </c>
    </row>
    <row r="31443" spans="119:119" x14ac:dyDescent="0.2">
      <c r="DO31443" s="303" t="s">
        <v>232</v>
      </c>
    </row>
    <row r="31444" spans="119:119" x14ac:dyDescent="0.2">
      <c r="DO31444" s="303" t="s">
        <v>232</v>
      </c>
    </row>
    <row r="31445" spans="119:119" x14ac:dyDescent="0.2">
      <c r="DO31445" s="303" t="s">
        <v>232</v>
      </c>
    </row>
    <row r="31446" spans="119:119" x14ac:dyDescent="0.2">
      <c r="DO31446" s="303" t="s">
        <v>232</v>
      </c>
    </row>
    <row r="31447" spans="119:119" x14ac:dyDescent="0.2">
      <c r="DO31447" s="303" t="s">
        <v>232</v>
      </c>
    </row>
    <row r="31448" spans="119:119" x14ac:dyDescent="0.2">
      <c r="DO31448" s="303" t="s">
        <v>232</v>
      </c>
    </row>
    <row r="31449" spans="119:119" x14ac:dyDescent="0.2">
      <c r="DO31449" s="303" t="s">
        <v>232</v>
      </c>
    </row>
    <row r="31450" spans="119:119" x14ac:dyDescent="0.2">
      <c r="DO31450" s="303" t="s">
        <v>232</v>
      </c>
    </row>
    <row r="31451" spans="119:119" x14ac:dyDescent="0.2">
      <c r="DO31451" s="303" t="s">
        <v>232</v>
      </c>
    </row>
    <row r="31452" spans="119:119" x14ac:dyDescent="0.2">
      <c r="DO31452" s="303" t="s">
        <v>232</v>
      </c>
    </row>
    <row r="31453" spans="119:119" x14ac:dyDescent="0.2">
      <c r="DO31453" s="303" t="s">
        <v>232</v>
      </c>
    </row>
    <row r="31454" spans="119:119" x14ac:dyDescent="0.2">
      <c r="DO31454" s="303" t="s">
        <v>232</v>
      </c>
    </row>
    <row r="31455" spans="119:119" x14ac:dyDescent="0.2">
      <c r="DO31455" s="303" t="s">
        <v>232</v>
      </c>
    </row>
    <row r="31456" spans="119:119" x14ac:dyDescent="0.2">
      <c r="DO31456" s="303" t="s">
        <v>232</v>
      </c>
    </row>
    <row r="31457" spans="119:119" x14ac:dyDescent="0.2">
      <c r="DO31457" s="303" t="s">
        <v>232</v>
      </c>
    </row>
    <row r="31458" spans="119:119" x14ac:dyDescent="0.2">
      <c r="DO31458" s="303" t="s">
        <v>232</v>
      </c>
    </row>
    <row r="31459" spans="119:119" x14ac:dyDescent="0.2">
      <c r="DO31459" s="303" t="s">
        <v>232</v>
      </c>
    </row>
    <row r="31460" spans="119:119" x14ac:dyDescent="0.2">
      <c r="DO31460" s="303" t="s">
        <v>232</v>
      </c>
    </row>
    <row r="31461" spans="119:119" x14ac:dyDescent="0.2">
      <c r="DO31461" s="303" t="s">
        <v>232</v>
      </c>
    </row>
    <row r="31462" spans="119:119" x14ac:dyDescent="0.2">
      <c r="DO31462" s="303" t="s">
        <v>232</v>
      </c>
    </row>
    <row r="31463" spans="119:119" x14ac:dyDescent="0.2">
      <c r="DO31463" s="303" t="s">
        <v>232</v>
      </c>
    </row>
    <row r="31464" spans="119:119" x14ac:dyDescent="0.2">
      <c r="DO31464" s="303" t="s">
        <v>232</v>
      </c>
    </row>
    <row r="31465" spans="119:119" x14ac:dyDescent="0.2">
      <c r="DO31465" s="303" t="s">
        <v>232</v>
      </c>
    </row>
    <row r="31466" spans="119:119" x14ac:dyDescent="0.2">
      <c r="DO31466" s="303" t="s">
        <v>232</v>
      </c>
    </row>
    <row r="31467" spans="119:119" x14ac:dyDescent="0.2">
      <c r="DO31467" s="303" t="s">
        <v>232</v>
      </c>
    </row>
    <row r="31468" spans="119:119" x14ac:dyDescent="0.2">
      <c r="DO31468" s="303" t="s">
        <v>232</v>
      </c>
    </row>
    <row r="31469" spans="119:119" x14ac:dyDescent="0.2">
      <c r="DO31469" s="303" t="s">
        <v>232</v>
      </c>
    </row>
    <row r="31470" spans="119:119" x14ac:dyDescent="0.2">
      <c r="DO31470" s="303" t="s">
        <v>232</v>
      </c>
    </row>
    <row r="31471" spans="119:119" x14ac:dyDescent="0.2">
      <c r="DO31471" s="303" t="s">
        <v>232</v>
      </c>
    </row>
    <row r="31472" spans="119:119" x14ac:dyDescent="0.2">
      <c r="DO31472" s="303" t="s">
        <v>232</v>
      </c>
    </row>
    <row r="31473" spans="119:119" x14ac:dyDescent="0.2">
      <c r="DO31473" s="303" t="s">
        <v>232</v>
      </c>
    </row>
    <row r="31474" spans="119:119" x14ac:dyDescent="0.2">
      <c r="DO31474" s="303" t="s">
        <v>232</v>
      </c>
    </row>
    <row r="31475" spans="119:119" x14ac:dyDescent="0.2">
      <c r="DO31475" s="303" t="s">
        <v>232</v>
      </c>
    </row>
    <row r="31476" spans="119:119" x14ac:dyDescent="0.2">
      <c r="DO31476" s="303" t="s">
        <v>232</v>
      </c>
    </row>
    <row r="31477" spans="119:119" x14ac:dyDescent="0.2">
      <c r="DO31477" s="303" t="s">
        <v>232</v>
      </c>
    </row>
    <row r="31478" spans="119:119" x14ac:dyDescent="0.2">
      <c r="DO31478" s="303" t="s">
        <v>232</v>
      </c>
    </row>
    <row r="31479" spans="119:119" x14ac:dyDescent="0.2">
      <c r="DO31479" s="303" t="s">
        <v>232</v>
      </c>
    </row>
    <row r="31480" spans="119:119" x14ac:dyDescent="0.2">
      <c r="DO31480" s="303" t="s">
        <v>232</v>
      </c>
    </row>
    <row r="31481" spans="119:119" x14ac:dyDescent="0.2">
      <c r="DO31481" s="303" t="s">
        <v>232</v>
      </c>
    </row>
    <row r="31482" spans="119:119" x14ac:dyDescent="0.2">
      <c r="DO31482" s="303" t="s">
        <v>232</v>
      </c>
    </row>
    <row r="31483" spans="119:119" x14ac:dyDescent="0.2">
      <c r="DO31483" s="303" t="s">
        <v>232</v>
      </c>
    </row>
    <row r="31484" spans="119:119" x14ac:dyDescent="0.2">
      <c r="DO31484" s="303" t="s">
        <v>232</v>
      </c>
    </row>
    <row r="31485" spans="119:119" x14ac:dyDescent="0.2">
      <c r="DO31485" s="303" t="s">
        <v>232</v>
      </c>
    </row>
    <row r="31486" spans="119:119" x14ac:dyDescent="0.2">
      <c r="DO31486" s="303" t="s">
        <v>232</v>
      </c>
    </row>
    <row r="31487" spans="119:119" x14ac:dyDescent="0.2">
      <c r="DO31487" s="303" t="s">
        <v>232</v>
      </c>
    </row>
    <row r="31488" spans="119:119" x14ac:dyDescent="0.2">
      <c r="DO31488" s="303" t="s">
        <v>232</v>
      </c>
    </row>
    <row r="31489" spans="119:119" x14ac:dyDescent="0.2">
      <c r="DO31489" s="303" t="s">
        <v>232</v>
      </c>
    </row>
    <row r="31490" spans="119:119" x14ac:dyDescent="0.2">
      <c r="DO31490" s="303" t="s">
        <v>232</v>
      </c>
    </row>
    <row r="31491" spans="119:119" x14ac:dyDescent="0.2">
      <c r="DO31491" s="303" t="s">
        <v>232</v>
      </c>
    </row>
    <row r="31492" spans="119:119" x14ac:dyDescent="0.2">
      <c r="DO31492" s="303" t="s">
        <v>232</v>
      </c>
    </row>
    <row r="31493" spans="119:119" x14ac:dyDescent="0.2">
      <c r="DO31493" s="303" t="s">
        <v>232</v>
      </c>
    </row>
    <row r="31494" spans="119:119" x14ac:dyDescent="0.2">
      <c r="DO31494" s="303" t="s">
        <v>232</v>
      </c>
    </row>
    <row r="31495" spans="119:119" x14ac:dyDescent="0.2">
      <c r="DO31495" s="303" t="s">
        <v>232</v>
      </c>
    </row>
    <row r="31496" spans="119:119" x14ac:dyDescent="0.2">
      <c r="DO31496" s="303" t="s">
        <v>232</v>
      </c>
    </row>
    <row r="31497" spans="119:119" x14ac:dyDescent="0.2">
      <c r="DO31497" s="303" t="s">
        <v>232</v>
      </c>
    </row>
    <row r="31498" spans="119:119" x14ac:dyDescent="0.2">
      <c r="DO31498" s="303" t="s">
        <v>232</v>
      </c>
    </row>
    <row r="31499" spans="119:119" x14ac:dyDescent="0.2">
      <c r="DO31499" s="303" t="s">
        <v>232</v>
      </c>
    </row>
    <row r="31500" spans="119:119" x14ac:dyDescent="0.2">
      <c r="DO31500" s="303" t="s">
        <v>232</v>
      </c>
    </row>
    <row r="31501" spans="119:119" x14ac:dyDescent="0.2">
      <c r="DO31501" s="303" t="s">
        <v>232</v>
      </c>
    </row>
    <row r="31502" spans="119:119" x14ac:dyDescent="0.2">
      <c r="DO31502" s="303" t="s">
        <v>232</v>
      </c>
    </row>
    <row r="31503" spans="119:119" x14ac:dyDescent="0.2">
      <c r="DO31503" s="303" t="s">
        <v>232</v>
      </c>
    </row>
    <row r="31504" spans="119:119" x14ac:dyDescent="0.2">
      <c r="DO31504" s="303" t="s">
        <v>232</v>
      </c>
    </row>
    <row r="31505" spans="119:119" x14ac:dyDescent="0.2">
      <c r="DO31505" s="303" t="s">
        <v>232</v>
      </c>
    </row>
    <row r="31506" spans="119:119" x14ac:dyDescent="0.2">
      <c r="DO31506" s="303" t="s">
        <v>232</v>
      </c>
    </row>
    <row r="31507" spans="119:119" x14ac:dyDescent="0.2">
      <c r="DO31507" s="303" t="s">
        <v>232</v>
      </c>
    </row>
    <row r="31508" spans="119:119" x14ac:dyDescent="0.2">
      <c r="DO31508" s="303" t="s">
        <v>232</v>
      </c>
    </row>
    <row r="31509" spans="119:119" x14ac:dyDescent="0.2">
      <c r="DO31509" s="303" t="s">
        <v>232</v>
      </c>
    </row>
    <row r="31510" spans="119:119" x14ac:dyDescent="0.2">
      <c r="DO31510" s="303" t="s">
        <v>232</v>
      </c>
    </row>
    <row r="31511" spans="119:119" x14ac:dyDescent="0.2">
      <c r="DO31511" s="303" t="s">
        <v>232</v>
      </c>
    </row>
    <row r="31512" spans="119:119" x14ac:dyDescent="0.2">
      <c r="DO31512" s="303" t="s">
        <v>232</v>
      </c>
    </row>
    <row r="31513" spans="119:119" x14ac:dyDescent="0.2">
      <c r="DO31513" s="303" t="s">
        <v>232</v>
      </c>
    </row>
    <row r="31514" spans="119:119" x14ac:dyDescent="0.2">
      <c r="DO31514" s="303" t="s">
        <v>232</v>
      </c>
    </row>
    <row r="31515" spans="119:119" x14ac:dyDescent="0.2">
      <c r="DO31515" s="303" t="s">
        <v>232</v>
      </c>
    </row>
    <row r="31516" spans="119:119" x14ac:dyDescent="0.2">
      <c r="DO31516" s="303" t="s">
        <v>232</v>
      </c>
    </row>
    <row r="31517" spans="119:119" x14ac:dyDescent="0.2">
      <c r="DO31517" s="303" t="s">
        <v>232</v>
      </c>
    </row>
    <row r="31518" spans="119:119" x14ac:dyDescent="0.2">
      <c r="DO31518" s="303" t="s">
        <v>232</v>
      </c>
    </row>
    <row r="31519" spans="119:119" x14ac:dyDescent="0.2">
      <c r="DO31519" s="303" t="s">
        <v>232</v>
      </c>
    </row>
    <row r="31520" spans="119:119" x14ac:dyDescent="0.2">
      <c r="DO31520" s="303" t="s">
        <v>232</v>
      </c>
    </row>
    <row r="31521" spans="119:119" x14ac:dyDescent="0.2">
      <c r="DO31521" s="303" t="s">
        <v>232</v>
      </c>
    </row>
    <row r="31522" spans="119:119" x14ac:dyDescent="0.2">
      <c r="DO31522" s="303" t="s">
        <v>232</v>
      </c>
    </row>
    <row r="31523" spans="119:119" x14ac:dyDescent="0.2">
      <c r="DO31523" s="303" t="s">
        <v>232</v>
      </c>
    </row>
    <row r="31524" spans="119:119" x14ac:dyDescent="0.2">
      <c r="DO31524" s="303" t="s">
        <v>232</v>
      </c>
    </row>
    <row r="31525" spans="119:119" x14ac:dyDescent="0.2">
      <c r="DO31525" s="303" t="s">
        <v>232</v>
      </c>
    </row>
    <row r="31526" spans="119:119" x14ac:dyDescent="0.2">
      <c r="DO31526" s="303" t="s">
        <v>232</v>
      </c>
    </row>
    <row r="31527" spans="119:119" x14ac:dyDescent="0.2">
      <c r="DO31527" s="303" t="s">
        <v>232</v>
      </c>
    </row>
    <row r="31528" spans="119:119" x14ac:dyDescent="0.2">
      <c r="DO31528" s="303" t="s">
        <v>232</v>
      </c>
    </row>
    <row r="31529" spans="119:119" x14ac:dyDescent="0.2">
      <c r="DO31529" s="303" t="s">
        <v>232</v>
      </c>
    </row>
    <row r="31530" spans="119:119" x14ac:dyDescent="0.2">
      <c r="DO31530" s="303" t="s">
        <v>232</v>
      </c>
    </row>
    <row r="31531" spans="119:119" x14ac:dyDescent="0.2">
      <c r="DO31531" s="303" t="s">
        <v>232</v>
      </c>
    </row>
    <row r="31532" spans="119:119" x14ac:dyDescent="0.2">
      <c r="DO31532" s="303" t="s">
        <v>232</v>
      </c>
    </row>
    <row r="31533" spans="119:119" x14ac:dyDescent="0.2">
      <c r="DO31533" s="303" t="s">
        <v>232</v>
      </c>
    </row>
    <row r="31534" spans="119:119" x14ac:dyDescent="0.2">
      <c r="DO31534" s="303" t="s">
        <v>232</v>
      </c>
    </row>
    <row r="31535" spans="119:119" x14ac:dyDescent="0.2">
      <c r="DO31535" s="303" t="s">
        <v>232</v>
      </c>
    </row>
    <row r="31536" spans="119:119" x14ac:dyDescent="0.2">
      <c r="DO31536" s="303" t="s">
        <v>232</v>
      </c>
    </row>
    <row r="31537" spans="119:119" x14ac:dyDescent="0.2">
      <c r="DO31537" s="303" t="s">
        <v>232</v>
      </c>
    </row>
    <row r="31538" spans="119:119" x14ac:dyDescent="0.2">
      <c r="DO31538" s="303" t="s">
        <v>232</v>
      </c>
    </row>
    <row r="31539" spans="119:119" x14ac:dyDescent="0.2">
      <c r="DO31539" s="303" t="s">
        <v>232</v>
      </c>
    </row>
    <row r="31540" spans="119:119" x14ac:dyDescent="0.2">
      <c r="DO31540" s="303" t="s">
        <v>232</v>
      </c>
    </row>
    <row r="31541" spans="119:119" x14ac:dyDescent="0.2">
      <c r="DO31541" s="303" t="s">
        <v>232</v>
      </c>
    </row>
    <row r="31542" spans="119:119" x14ac:dyDescent="0.2">
      <c r="DO31542" s="303" t="s">
        <v>232</v>
      </c>
    </row>
    <row r="31543" spans="119:119" x14ac:dyDescent="0.2">
      <c r="DO31543" s="303" t="s">
        <v>232</v>
      </c>
    </row>
    <row r="31544" spans="119:119" x14ac:dyDescent="0.2">
      <c r="DO31544" s="303" t="s">
        <v>232</v>
      </c>
    </row>
    <row r="31545" spans="119:119" x14ac:dyDescent="0.2">
      <c r="DO31545" s="303" t="s">
        <v>232</v>
      </c>
    </row>
    <row r="31546" spans="119:119" x14ac:dyDescent="0.2">
      <c r="DO31546" s="303" t="s">
        <v>232</v>
      </c>
    </row>
    <row r="31547" spans="119:119" x14ac:dyDescent="0.2">
      <c r="DO31547" s="303" t="s">
        <v>232</v>
      </c>
    </row>
    <row r="31548" spans="119:119" x14ac:dyDescent="0.2">
      <c r="DO31548" s="303" t="s">
        <v>232</v>
      </c>
    </row>
    <row r="31549" spans="119:119" x14ac:dyDescent="0.2">
      <c r="DO31549" s="303" t="s">
        <v>232</v>
      </c>
    </row>
    <row r="31550" spans="119:119" x14ac:dyDescent="0.2">
      <c r="DO31550" s="303" t="s">
        <v>232</v>
      </c>
    </row>
    <row r="31551" spans="119:119" x14ac:dyDescent="0.2">
      <c r="DO31551" s="303" t="s">
        <v>232</v>
      </c>
    </row>
    <row r="31552" spans="119:119" x14ac:dyDescent="0.2">
      <c r="DO31552" s="303" t="s">
        <v>232</v>
      </c>
    </row>
    <row r="31553" spans="119:119" x14ac:dyDescent="0.2">
      <c r="DO31553" s="303" t="s">
        <v>232</v>
      </c>
    </row>
    <row r="31554" spans="119:119" x14ac:dyDescent="0.2">
      <c r="DO31554" s="303" t="s">
        <v>232</v>
      </c>
    </row>
    <row r="31555" spans="119:119" x14ac:dyDescent="0.2">
      <c r="DO31555" s="303" t="s">
        <v>232</v>
      </c>
    </row>
    <row r="31556" spans="119:119" x14ac:dyDescent="0.2">
      <c r="DO31556" s="303" t="s">
        <v>232</v>
      </c>
    </row>
    <row r="31557" spans="119:119" x14ac:dyDescent="0.2">
      <c r="DO31557" s="303" t="s">
        <v>232</v>
      </c>
    </row>
    <row r="31558" spans="119:119" x14ac:dyDescent="0.2">
      <c r="DO31558" s="303" t="s">
        <v>232</v>
      </c>
    </row>
    <row r="31559" spans="119:119" x14ac:dyDescent="0.2">
      <c r="DO31559" s="303" t="s">
        <v>232</v>
      </c>
    </row>
    <row r="31560" spans="119:119" x14ac:dyDescent="0.2">
      <c r="DO31560" s="303" t="s">
        <v>232</v>
      </c>
    </row>
    <row r="31561" spans="119:119" x14ac:dyDescent="0.2">
      <c r="DO31561" s="303" t="s">
        <v>232</v>
      </c>
    </row>
    <row r="31562" spans="119:119" x14ac:dyDescent="0.2">
      <c r="DO31562" s="303" t="s">
        <v>232</v>
      </c>
    </row>
    <row r="31563" spans="119:119" x14ac:dyDescent="0.2">
      <c r="DO31563" s="303" t="s">
        <v>232</v>
      </c>
    </row>
    <row r="31564" spans="119:119" x14ac:dyDescent="0.2">
      <c r="DO31564" s="303" t="s">
        <v>232</v>
      </c>
    </row>
    <row r="31565" spans="119:119" x14ac:dyDescent="0.2">
      <c r="DO31565" s="303" t="s">
        <v>232</v>
      </c>
    </row>
    <row r="31566" spans="119:119" x14ac:dyDescent="0.2">
      <c r="DO31566" s="303" t="s">
        <v>232</v>
      </c>
    </row>
    <row r="31567" spans="119:119" x14ac:dyDescent="0.2">
      <c r="DO31567" s="303" t="s">
        <v>232</v>
      </c>
    </row>
    <row r="31568" spans="119:119" x14ac:dyDescent="0.2">
      <c r="DO31568" s="303" t="s">
        <v>232</v>
      </c>
    </row>
    <row r="31569" spans="119:119" x14ac:dyDescent="0.2">
      <c r="DO31569" s="303" t="s">
        <v>232</v>
      </c>
    </row>
    <row r="31570" spans="119:119" x14ac:dyDescent="0.2">
      <c r="DO31570" s="303" t="s">
        <v>232</v>
      </c>
    </row>
    <row r="31571" spans="119:119" x14ac:dyDescent="0.2">
      <c r="DO31571" s="303" t="s">
        <v>232</v>
      </c>
    </row>
    <row r="31572" spans="119:119" x14ac:dyDescent="0.2">
      <c r="DO31572" s="303" t="s">
        <v>232</v>
      </c>
    </row>
    <row r="31573" spans="119:119" x14ac:dyDescent="0.2">
      <c r="DO31573" s="303" t="s">
        <v>232</v>
      </c>
    </row>
    <row r="31574" spans="119:119" x14ac:dyDescent="0.2">
      <c r="DO31574" s="303" t="s">
        <v>232</v>
      </c>
    </row>
    <row r="31575" spans="119:119" x14ac:dyDescent="0.2">
      <c r="DO31575" s="303" t="s">
        <v>232</v>
      </c>
    </row>
    <row r="31576" spans="119:119" x14ac:dyDescent="0.2">
      <c r="DO31576" s="303" t="s">
        <v>232</v>
      </c>
    </row>
    <row r="31577" spans="119:119" x14ac:dyDescent="0.2">
      <c r="DO31577" s="303" t="s">
        <v>232</v>
      </c>
    </row>
    <row r="31578" spans="119:119" x14ac:dyDescent="0.2">
      <c r="DO31578" s="303" t="s">
        <v>232</v>
      </c>
    </row>
    <row r="31579" spans="119:119" x14ac:dyDescent="0.2">
      <c r="DO31579" s="303" t="s">
        <v>232</v>
      </c>
    </row>
    <row r="31580" spans="119:119" x14ac:dyDescent="0.2">
      <c r="DO31580" s="303" t="s">
        <v>232</v>
      </c>
    </row>
    <row r="31581" spans="119:119" x14ac:dyDescent="0.2">
      <c r="DO31581" s="303" t="s">
        <v>232</v>
      </c>
    </row>
    <row r="31582" spans="119:119" x14ac:dyDescent="0.2">
      <c r="DO31582" s="303" t="s">
        <v>232</v>
      </c>
    </row>
    <row r="31583" spans="119:119" x14ac:dyDescent="0.2">
      <c r="DO31583" s="303" t="s">
        <v>232</v>
      </c>
    </row>
    <row r="31584" spans="119:119" x14ac:dyDescent="0.2">
      <c r="DO31584" s="303" t="s">
        <v>232</v>
      </c>
    </row>
    <row r="31585" spans="119:119" x14ac:dyDescent="0.2">
      <c r="DO31585" s="303" t="s">
        <v>232</v>
      </c>
    </row>
    <row r="31586" spans="119:119" x14ac:dyDescent="0.2">
      <c r="DO31586" s="303" t="s">
        <v>232</v>
      </c>
    </row>
    <row r="31587" spans="119:119" x14ac:dyDescent="0.2">
      <c r="DO31587" s="303" t="s">
        <v>232</v>
      </c>
    </row>
    <row r="31588" spans="119:119" x14ac:dyDescent="0.2">
      <c r="DO31588" s="303" t="s">
        <v>232</v>
      </c>
    </row>
    <row r="31589" spans="119:119" x14ac:dyDescent="0.2">
      <c r="DO31589" s="303" t="s">
        <v>232</v>
      </c>
    </row>
    <row r="31590" spans="119:119" x14ac:dyDescent="0.2">
      <c r="DO31590" s="303" t="s">
        <v>232</v>
      </c>
    </row>
    <row r="31591" spans="119:119" x14ac:dyDescent="0.2">
      <c r="DO31591" s="303" t="s">
        <v>232</v>
      </c>
    </row>
    <row r="31592" spans="119:119" x14ac:dyDescent="0.2">
      <c r="DO31592" s="303" t="s">
        <v>232</v>
      </c>
    </row>
    <row r="31593" spans="119:119" x14ac:dyDescent="0.2">
      <c r="DO31593" s="303" t="s">
        <v>232</v>
      </c>
    </row>
    <row r="31594" spans="119:119" x14ac:dyDescent="0.2">
      <c r="DO31594" s="303" t="s">
        <v>232</v>
      </c>
    </row>
    <row r="31595" spans="119:119" x14ac:dyDescent="0.2">
      <c r="DO31595" s="303" t="s">
        <v>232</v>
      </c>
    </row>
    <row r="31596" spans="119:119" x14ac:dyDescent="0.2">
      <c r="DO31596" s="303" t="s">
        <v>232</v>
      </c>
    </row>
    <row r="31597" spans="119:119" x14ac:dyDescent="0.2">
      <c r="DO31597" s="303" t="s">
        <v>232</v>
      </c>
    </row>
    <row r="31598" spans="119:119" x14ac:dyDescent="0.2">
      <c r="DO31598" s="303" t="s">
        <v>232</v>
      </c>
    </row>
    <row r="31599" spans="119:119" x14ac:dyDescent="0.2">
      <c r="DO31599" s="303" t="s">
        <v>232</v>
      </c>
    </row>
    <row r="31600" spans="119:119" x14ac:dyDescent="0.2">
      <c r="DO31600" s="303" t="s">
        <v>232</v>
      </c>
    </row>
    <row r="31601" spans="119:119" x14ac:dyDescent="0.2">
      <c r="DO31601" s="303" t="s">
        <v>232</v>
      </c>
    </row>
    <row r="31602" spans="119:119" x14ac:dyDescent="0.2">
      <c r="DO31602" s="303" t="s">
        <v>232</v>
      </c>
    </row>
    <row r="31603" spans="119:119" x14ac:dyDescent="0.2">
      <c r="DO31603" s="303" t="s">
        <v>232</v>
      </c>
    </row>
    <row r="31604" spans="119:119" x14ac:dyDescent="0.2">
      <c r="DO31604" s="303" t="s">
        <v>232</v>
      </c>
    </row>
    <row r="31605" spans="119:119" x14ac:dyDescent="0.2">
      <c r="DO31605" s="303" t="s">
        <v>232</v>
      </c>
    </row>
    <row r="31606" spans="119:119" x14ac:dyDescent="0.2">
      <c r="DO31606" s="303" t="s">
        <v>232</v>
      </c>
    </row>
    <row r="31607" spans="119:119" x14ac:dyDescent="0.2">
      <c r="DO31607" s="303" t="s">
        <v>232</v>
      </c>
    </row>
    <row r="31608" spans="119:119" x14ac:dyDescent="0.2">
      <c r="DO31608" s="303" t="s">
        <v>232</v>
      </c>
    </row>
    <row r="31609" spans="119:119" x14ac:dyDescent="0.2">
      <c r="DO31609" s="303" t="s">
        <v>232</v>
      </c>
    </row>
    <row r="31610" spans="119:119" x14ac:dyDescent="0.2">
      <c r="DO31610" s="303" t="s">
        <v>232</v>
      </c>
    </row>
    <row r="31611" spans="119:119" x14ac:dyDescent="0.2">
      <c r="DO31611" s="303" t="s">
        <v>232</v>
      </c>
    </row>
    <row r="31612" spans="119:119" x14ac:dyDescent="0.2">
      <c r="DO31612" s="303" t="s">
        <v>232</v>
      </c>
    </row>
    <row r="31613" spans="119:119" x14ac:dyDescent="0.2">
      <c r="DO31613" s="303" t="s">
        <v>232</v>
      </c>
    </row>
    <row r="31614" spans="119:119" x14ac:dyDescent="0.2">
      <c r="DO31614" s="303" t="s">
        <v>232</v>
      </c>
    </row>
    <row r="31615" spans="119:119" x14ac:dyDescent="0.2">
      <c r="DO31615" s="303" t="s">
        <v>232</v>
      </c>
    </row>
    <row r="31616" spans="119:119" x14ac:dyDescent="0.2">
      <c r="DO31616" s="303" t="s">
        <v>232</v>
      </c>
    </row>
    <row r="31617" spans="119:119" x14ac:dyDescent="0.2">
      <c r="DO31617" s="303" t="s">
        <v>232</v>
      </c>
    </row>
    <row r="31618" spans="119:119" x14ac:dyDescent="0.2">
      <c r="DO31618" s="303" t="s">
        <v>232</v>
      </c>
    </row>
    <row r="31619" spans="119:119" x14ac:dyDescent="0.2">
      <c r="DO31619" s="303" t="s">
        <v>232</v>
      </c>
    </row>
    <row r="31620" spans="119:119" x14ac:dyDescent="0.2">
      <c r="DO31620" s="303" t="s">
        <v>232</v>
      </c>
    </row>
    <row r="31621" spans="119:119" x14ac:dyDescent="0.2">
      <c r="DO31621" s="303" t="s">
        <v>232</v>
      </c>
    </row>
    <row r="31622" spans="119:119" x14ac:dyDescent="0.2">
      <c r="DO31622" s="303" t="s">
        <v>232</v>
      </c>
    </row>
    <row r="31623" spans="119:119" x14ac:dyDescent="0.2">
      <c r="DO31623" s="303" t="s">
        <v>232</v>
      </c>
    </row>
    <row r="31624" spans="119:119" x14ac:dyDescent="0.2">
      <c r="DO31624" s="303" t="s">
        <v>232</v>
      </c>
    </row>
    <row r="31625" spans="119:119" x14ac:dyDescent="0.2">
      <c r="DO31625" s="303" t="s">
        <v>232</v>
      </c>
    </row>
    <row r="31626" spans="119:119" x14ac:dyDescent="0.2">
      <c r="DO31626" s="303" t="s">
        <v>232</v>
      </c>
    </row>
    <row r="31627" spans="119:119" x14ac:dyDescent="0.2">
      <c r="DO31627" s="303" t="s">
        <v>232</v>
      </c>
    </row>
    <row r="31628" spans="119:119" x14ac:dyDescent="0.2">
      <c r="DO31628" s="303" t="s">
        <v>232</v>
      </c>
    </row>
    <row r="31629" spans="119:119" x14ac:dyDescent="0.2">
      <c r="DO31629" s="303" t="s">
        <v>232</v>
      </c>
    </row>
    <row r="31630" spans="119:119" x14ac:dyDescent="0.2">
      <c r="DO31630" s="303" t="s">
        <v>232</v>
      </c>
    </row>
    <row r="31631" spans="119:119" x14ac:dyDescent="0.2">
      <c r="DO31631" s="303" t="s">
        <v>232</v>
      </c>
    </row>
    <row r="31632" spans="119:119" x14ac:dyDescent="0.2">
      <c r="DO31632" s="303" t="s">
        <v>232</v>
      </c>
    </row>
    <row r="31633" spans="119:119" x14ac:dyDescent="0.2">
      <c r="DO31633" s="303" t="s">
        <v>232</v>
      </c>
    </row>
    <row r="31634" spans="119:119" x14ac:dyDescent="0.2">
      <c r="DO31634" s="303" t="s">
        <v>232</v>
      </c>
    </row>
    <row r="31635" spans="119:119" x14ac:dyDescent="0.2">
      <c r="DO31635" s="303" t="s">
        <v>232</v>
      </c>
    </row>
    <row r="31636" spans="119:119" x14ac:dyDescent="0.2">
      <c r="DO31636" s="303" t="s">
        <v>232</v>
      </c>
    </row>
    <row r="31637" spans="119:119" x14ac:dyDescent="0.2">
      <c r="DO31637" s="303" t="s">
        <v>232</v>
      </c>
    </row>
    <row r="31638" spans="119:119" x14ac:dyDescent="0.2">
      <c r="DO31638" s="303" t="s">
        <v>232</v>
      </c>
    </row>
    <row r="31639" spans="119:119" x14ac:dyDescent="0.2">
      <c r="DO31639" s="303" t="s">
        <v>232</v>
      </c>
    </row>
    <row r="31640" spans="119:119" x14ac:dyDescent="0.2">
      <c r="DO31640" s="303" t="s">
        <v>232</v>
      </c>
    </row>
    <row r="31641" spans="119:119" x14ac:dyDescent="0.2">
      <c r="DO31641" s="303" t="s">
        <v>232</v>
      </c>
    </row>
    <row r="31642" spans="119:119" x14ac:dyDescent="0.2">
      <c r="DO31642" s="303" t="s">
        <v>232</v>
      </c>
    </row>
    <row r="31643" spans="119:119" x14ac:dyDescent="0.2">
      <c r="DO31643" s="303" t="s">
        <v>232</v>
      </c>
    </row>
    <row r="31644" spans="119:119" x14ac:dyDescent="0.2">
      <c r="DO31644" s="303" t="s">
        <v>232</v>
      </c>
    </row>
    <row r="31645" spans="119:119" x14ac:dyDescent="0.2">
      <c r="DO31645" s="303" t="s">
        <v>232</v>
      </c>
    </row>
    <row r="31646" spans="119:119" x14ac:dyDescent="0.2">
      <c r="DO31646" s="303" t="s">
        <v>232</v>
      </c>
    </row>
    <row r="31647" spans="119:119" x14ac:dyDescent="0.2">
      <c r="DO31647" s="303" t="s">
        <v>232</v>
      </c>
    </row>
    <row r="31648" spans="119:119" x14ac:dyDescent="0.2">
      <c r="DO31648" s="303" t="s">
        <v>232</v>
      </c>
    </row>
    <row r="31649" spans="119:119" x14ac:dyDescent="0.2">
      <c r="DO31649" s="303" t="s">
        <v>232</v>
      </c>
    </row>
    <row r="31650" spans="119:119" x14ac:dyDescent="0.2">
      <c r="DO31650" s="303" t="s">
        <v>232</v>
      </c>
    </row>
    <row r="31651" spans="119:119" x14ac:dyDescent="0.2">
      <c r="DO31651" s="303" t="s">
        <v>232</v>
      </c>
    </row>
    <row r="31652" spans="119:119" x14ac:dyDescent="0.2">
      <c r="DO31652" s="303" t="s">
        <v>232</v>
      </c>
    </row>
    <row r="31653" spans="119:119" x14ac:dyDescent="0.2">
      <c r="DO31653" s="303" t="s">
        <v>232</v>
      </c>
    </row>
    <row r="31654" spans="119:119" x14ac:dyDescent="0.2">
      <c r="DO31654" s="303" t="s">
        <v>232</v>
      </c>
    </row>
    <row r="31655" spans="119:119" x14ac:dyDescent="0.2">
      <c r="DO31655" s="303" t="s">
        <v>232</v>
      </c>
    </row>
    <row r="31656" spans="119:119" x14ac:dyDescent="0.2">
      <c r="DO31656" s="303" t="s">
        <v>232</v>
      </c>
    </row>
    <row r="31657" spans="119:119" x14ac:dyDescent="0.2">
      <c r="DO31657" s="303" t="s">
        <v>232</v>
      </c>
    </row>
    <row r="31658" spans="119:119" x14ac:dyDescent="0.2">
      <c r="DO31658" s="303" t="s">
        <v>232</v>
      </c>
    </row>
    <row r="31659" spans="119:119" x14ac:dyDescent="0.2">
      <c r="DO31659" s="303" t="s">
        <v>232</v>
      </c>
    </row>
    <row r="31660" spans="119:119" x14ac:dyDescent="0.2">
      <c r="DO31660" s="303" t="s">
        <v>232</v>
      </c>
    </row>
    <row r="31661" spans="119:119" x14ac:dyDescent="0.2">
      <c r="DO31661" s="303" t="s">
        <v>232</v>
      </c>
    </row>
    <row r="31662" spans="119:119" x14ac:dyDescent="0.2">
      <c r="DO31662" s="303" t="s">
        <v>232</v>
      </c>
    </row>
    <row r="31663" spans="119:119" x14ac:dyDescent="0.2">
      <c r="DO31663" s="303" t="s">
        <v>232</v>
      </c>
    </row>
    <row r="31664" spans="119:119" x14ac:dyDescent="0.2">
      <c r="DO31664" s="303" t="s">
        <v>232</v>
      </c>
    </row>
    <row r="31665" spans="119:119" x14ac:dyDescent="0.2">
      <c r="DO31665" s="303" t="s">
        <v>232</v>
      </c>
    </row>
    <row r="31666" spans="119:119" x14ac:dyDescent="0.2">
      <c r="DO31666" s="303" t="s">
        <v>232</v>
      </c>
    </row>
    <row r="31667" spans="119:119" x14ac:dyDescent="0.2">
      <c r="DO31667" s="303" t="s">
        <v>232</v>
      </c>
    </row>
    <row r="31668" spans="119:119" x14ac:dyDescent="0.2">
      <c r="DO31668" s="303" t="s">
        <v>232</v>
      </c>
    </row>
    <row r="31669" spans="119:119" x14ac:dyDescent="0.2">
      <c r="DO31669" s="303" t="s">
        <v>232</v>
      </c>
    </row>
    <row r="31670" spans="119:119" x14ac:dyDescent="0.2">
      <c r="DO31670" s="303" t="s">
        <v>232</v>
      </c>
    </row>
    <row r="31671" spans="119:119" x14ac:dyDescent="0.2">
      <c r="DO31671" s="303" t="s">
        <v>232</v>
      </c>
    </row>
    <row r="31672" spans="119:119" x14ac:dyDescent="0.2">
      <c r="DO31672" s="303" t="s">
        <v>232</v>
      </c>
    </row>
    <row r="31673" spans="119:119" x14ac:dyDescent="0.2">
      <c r="DO31673" s="303" t="s">
        <v>232</v>
      </c>
    </row>
    <row r="31674" spans="119:119" x14ac:dyDescent="0.2">
      <c r="DO31674" s="303" t="s">
        <v>232</v>
      </c>
    </row>
    <row r="31675" spans="119:119" x14ac:dyDescent="0.2">
      <c r="DO31675" s="303" t="s">
        <v>232</v>
      </c>
    </row>
    <row r="31676" spans="119:119" x14ac:dyDescent="0.2">
      <c r="DO31676" s="303" t="s">
        <v>232</v>
      </c>
    </row>
    <row r="31677" spans="119:119" x14ac:dyDescent="0.2">
      <c r="DO31677" s="303" t="s">
        <v>232</v>
      </c>
    </row>
    <row r="31678" spans="119:119" x14ac:dyDescent="0.2">
      <c r="DO31678" s="303" t="s">
        <v>232</v>
      </c>
    </row>
    <row r="31679" spans="119:119" x14ac:dyDescent="0.2">
      <c r="DO31679" s="303" t="s">
        <v>232</v>
      </c>
    </row>
    <row r="31680" spans="119:119" x14ac:dyDescent="0.2">
      <c r="DO31680" s="303" t="s">
        <v>232</v>
      </c>
    </row>
    <row r="31681" spans="119:119" x14ac:dyDescent="0.2">
      <c r="DO31681" s="303" t="s">
        <v>232</v>
      </c>
    </row>
    <row r="31682" spans="119:119" x14ac:dyDescent="0.2">
      <c r="DO31682" s="303" t="s">
        <v>232</v>
      </c>
    </row>
    <row r="31683" spans="119:119" x14ac:dyDescent="0.2">
      <c r="DO31683" s="303" t="s">
        <v>232</v>
      </c>
    </row>
    <row r="31684" spans="119:119" x14ac:dyDescent="0.2">
      <c r="DO31684" s="303" t="s">
        <v>232</v>
      </c>
    </row>
    <row r="31685" spans="119:119" x14ac:dyDescent="0.2">
      <c r="DO31685" s="303" t="s">
        <v>232</v>
      </c>
    </row>
    <row r="31686" spans="119:119" x14ac:dyDescent="0.2">
      <c r="DO31686" s="303" t="s">
        <v>232</v>
      </c>
    </row>
    <row r="31687" spans="119:119" x14ac:dyDescent="0.2">
      <c r="DO31687" s="303" t="s">
        <v>232</v>
      </c>
    </row>
    <row r="31688" spans="119:119" x14ac:dyDescent="0.2">
      <c r="DO31688" s="303" t="s">
        <v>232</v>
      </c>
    </row>
    <row r="31689" spans="119:119" x14ac:dyDescent="0.2">
      <c r="DO31689" s="303" t="s">
        <v>232</v>
      </c>
    </row>
    <row r="31690" spans="119:119" x14ac:dyDescent="0.2">
      <c r="DO31690" s="303" t="s">
        <v>232</v>
      </c>
    </row>
    <row r="31691" spans="119:119" x14ac:dyDescent="0.2">
      <c r="DO31691" s="303" t="s">
        <v>232</v>
      </c>
    </row>
    <row r="31692" spans="119:119" x14ac:dyDescent="0.2">
      <c r="DO31692" s="303" t="s">
        <v>232</v>
      </c>
    </row>
    <row r="31693" spans="119:119" x14ac:dyDescent="0.2">
      <c r="DO31693" s="303" t="s">
        <v>232</v>
      </c>
    </row>
    <row r="31694" spans="119:119" x14ac:dyDescent="0.2">
      <c r="DO31694" s="303" t="s">
        <v>232</v>
      </c>
    </row>
    <row r="31695" spans="119:119" x14ac:dyDescent="0.2">
      <c r="DO31695" s="303" t="s">
        <v>232</v>
      </c>
    </row>
    <row r="31696" spans="119:119" x14ac:dyDescent="0.2">
      <c r="DO31696" s="303" t="s">
        <v>232</v>
      </c>
    </row>
    <row r="31697" spans="119:119" x14ac:dyDescent="0.2">
      <c r="DO31697" s="303" t="s">
        <v>232</v>
      </c>
    </row>
    <row r="31698" spans="119:119" x14ac:dyDescent="0.2">
      <c r="DO31698" s="303" t="s">
        <v>232</v>
      </c>
    </row>
    <row r="31699" spans="119:119" x14ac:dyDescent="0.2">
      <c r="DO31699" s="303" t="s">
        <v>232</v>
      </c>
    </row>
    <row r="31700" spans="119:119" x14ac:dyDescent="0.2">
      <c r="DO31700" s="303" t="s">
        <v>232</v>
      </c>
    </row>
    <row r="31701" spans="119:119" x14ac:dyDescent="0.2">
      <c r="DO31701" s="303" t="s">
        <v>232</v>
      </c>
    </row>
    <row r="31702" spans="119:119" x14ac:dyDescent="0.2">
      <c r="DO31702" s="303" t="s">
        <v>232</v>
      </c>
    </row>
    <row r="31703" spans="119:119" x14ac:dyDescent="0.2">
      <c r="DO31703" s="303" t="s">
        <v>232</v>
      </c>
    </row>
    <row r="31704" spans="119:119" x14ac:dyDescent="0.2">
      <c r="DO31704" s="303" t="s">
        <v>232</v>
      </c>
    </row>
    <row r="31705" spans="119:119" x14ac:dyDescent="0.2">
      <c r="DO31705" s="303" t="s">
        <v>232</v>
      </c>
    </row>
    <row r="31706" spans="119:119" x14ac:dyDescent="0.2">
      <c r="DO31706" s="303" t="s">
        <v>232</v>
      </c>
    </row>
    <row r="31707" spans="119:119" x14ac:dyDescent="0.2">
      <c r="DO31707" s="303" t="s">
        <v>232</v>
      </c>
    </row>
    <row r="31708" spans="119:119" x14ac:dyDescent="0.2">
      <c r="DO31708" s="303" t="s">
        <v>232</v>
      </c>
    </row>
    <row r="31709" spans="119:119" x14ac:dyDescent="0.2">
      <c r="DO31709" s="303" t="s">
        <v>232</v>
      </c>
    </row>
    <row r="31710" spans="119:119" x14ac:dyDescent="0.2">
      <c r="DO31710" s="303" t="s">
        <v>232</v>
      </c>
    </row>
    <row r="31711" spans="119:119" x14ac:dyDescent="0.2">
      <c r="DO31711" s="303" t="s">
        <v>232</v>
      </c>
    </row>
    <row r="31712" spans="119:119" x14ac:dyDescent="0.2">
      <c r="DO31712" s="303" t="s">
        <v>232</v>
      </c>
    </row>
    <row r="31713" spans="119:119" x14ac:dyDescent="0.2">
      <c r="DO31713" s="303" t="s">
        <v>232</v>
      </c>
    </row>
    <row r="31714" spans="119:119" x14ac:dyDescent="0.2">
      <c r="DO31714" s="303" t="s">
        <v>232</v>
      </c>
    </row>
    <row r="31715" spans="119:119" x14ac:dyDescent="0.2">
      <c r="DO31715" s="303" t="s">
        <v>232</v>
      </c>
    </row>
    <row r="31716" spans="119:119" x14ac:dyDescent="0.2">
      <c r="DO31716" s="303" t="s">
        <v>232</v>
      </c>
    </row>
    <row r="31717" spans="119:119" x14ac:dyDescent="0.2">
      <c r="DO31717" s="303" t="s">
        <v>232</v>
      </c>
    </row>
    <row r="31718" spans="119:119" x14ac:dyDescent="0.2">
      <c r="DO31718" s="303" t="s">
        <v>232</v>
      </c>
    </row>
    <row r="31719" spans="119:119" x14ac:dyDescent="0.2">
      <c r="DO31719" s="303" t="s">
        <v>232</v>
      </c>
    </row>
    <row r="31720" spans="119:119" x14ac:dyDescent="0.2">
      <c r="DO31720" s="303" t="s">
        <v>232</v>
      </c>
    </row>
    <row r="31721" spans="119:119" x14ac:dyDescent="0.2">
      <c r="DO31721" s="303" t="s">
        <v>232</v>
      </c>
    </row>
    <row r="31722" spans="119:119" x14ac:dyDescent="0.2">
      <c r="DO31722" s="303" t="s">
        <v>232</v>
      </c>
    </row>
    <row r="31723" spans="119:119" x14ac:dyDescent="0.2">
      <c r="DO31723" s="303" t="s">
        <v>232</v>
      </c>
    </row>
    <row r="31724" spans="119:119" x14ac:dyDescent="0.2">
      <c r="DO31724" s="303" t="s">
        <v>232</v>
      </c>
    </row>
    <row r="31725" spans="119:119" x14ac:dyDescent="0.2">
      <c r="DO31725" s="303" t="s">
        <v>232</v>
      </c>
    </row>
    <row r="31726" spans="119:119" x14ac:dyDescent="0.2">
      <c r="DO31726" s="303" t="s">
        <v>232</v>
      </c>
    </row>
    <row r="31727" spans="119:119" x14ac:dyDescent="0.2">
      <c r="DO31727" s="303" t="s">
        <v>232</v>
      </c>
    </row>
    <row r="31728" spans="119:119" x14ac:dyDescent="0.2">
      <c r="DO31728" s="303" t="s">
        <v>232</v>
      </c>
    </row>
    <row r="31729" spans="119:119" x14ac:dyDescent="0.2">
      <c r="DO31729" s="303" t="s">
        <v>232</v>
      </c>
    </row>
    <row r="31730" spans="119:119" x14ac:dyDescent="0.2">
      <c r="DO31730" s="303" t="s">
        <v>232</v>
      </c>
    </row>
    <row r="31731" spans="119:119" x14ac:dyDescent="0.2">
      <c r="DO31731" s="303" t="s">
        <v>232</v>
      </c>
    </row>
    <row r="31732" spans="119:119" x14ac:dyDescent="0.2">
      <c r="DO31732" s="303" t="s">
        <v>232</v>
      </c>
    </row>
    <row r="31733" spans="119:119" x14ac:dyDescent="0.2">
      <c r="DO31733" s="303" t="s">
        <v>232</v>
      </c>
    </row>
    <row r="31734" spans="119:119" x14ac:dyDescent="0.2">
      <c r="DO31734" s="303" t="s">
        <v>232</v>
      </c>
    </row>
    <row r="31735" spans="119:119" x14ac:dyDescent="0.2">
      <c r="DO31735" s="303" t="s">
        <v>232</v>
      </c>
    </row>
    <row r="31736" spans="119:119" x14ac:dyDescent="0.2">
      <c r="DO31736" s="303" t="s">
        <v>232</v>
      </c>
    </row>
    <row r="31737" spans="119:119" x14ac:dyDescent="0.2">
      <c r="DO31737" s="303" t="s">
        <v>232</v>
      </c>
    </row>
    <row r="31738" spans="119:119" x14ac:dyDescent="0.2">
      <c r="DO31738" s="303" t="s">
        <v>232</v>
      </c>
    </row>
    <row r="31739" spans="119:119" x14ac:dyDescent="0.2">
      <c r="DO31739" s="303" t="s">
        <v>232</v>
      </c>
    </row>
    <row r="31740" spans="119:119" x14ac:dyDescent="0.2">
      <c r="DO31740" s="303" t="s">
        <v>232</v>
      </c>
    </row>
    <row r="31741" spans="119:119" x14ac:dyDescent="0.2">
      <c r="DO31741" s="303" t="s">
        <v>232</v>
      </c>
    </row>
    <row r="31742" spans="119:119" x14ac:dyDescent="0.2">
      <c r="DO31742" s="303" t="s">
        <v>232</v>
      </c>
    </row>
    <row r="31743" spans="119:119" x14ac:dyDescent="0.2">
      <c r="DO31743" s="303" t="s">
        <v>232</v>
      </c>
    </row>
    <row r="31744" spans="119:119" x14ac:dyDescent="0.2">
      <c r="DO31744" s="303" t="s">
        <v>232</v>
      </c>
    </row>
    <row r="31745" spans="119:119" x14ac:dyDescent="0.2">
      <c r="DO31745" s="303" t="s">
        <v>232</v>
      </c>
    </row>
    <row r="31746" spans="119:119" x14ac:dyDescent="0.2">
      <c r="DO31746" s="303" t="s">
        <v>232</v>
      </c>
    </row>
    <row r="31747" spans="119:119" x14ac:dyDescent="0.2">
      <c r="DO31747" s="303" t="s">
        <v>232</v>
      </c>
    </row>
    <row r="31748" spans="119:119" x14ac:dyDescent="0.2">
      <c r="DO31748" s="303" t="s">
        <v>232</v>
      </c>
    </row>
    <row r="31749" spans="119:119" x14ac:dyDescent="0.2">
      <c r="DO31749" s="303" t="s">
        <v>232</v>
      </c>
    </row>
    <row r="31750" spans="119:119" x14ac:dyDescent="0.2">
      <c r="DO31750" s="303" t="s">
        <v>232</v>
      </c>
    </row>
    <row r="31751" spans="119:119" x14ac:dyDescent="0.2">
      <c r="DO31751" s="303" t="s">
        <v>232</v>
      </c>
    </row>
    <row r="31752" spans="119:119" x14ac:dyDescent="0.2">
      <c r="DO31752" s="303" t="s">
        <v>232</v>
      </c>
    </row>
    <row r="31753" spans="119:119" x14ac:dyDescent="0.2">
      <c r="DO31753" s="303" t="s">
        <v>232</v>
      </c>
    </row>
    <row r="31754" spans="119:119" x14ac:dyDescent="0.2">
      <c r="DO31754" s="303" t="s">
        <v>232</v>
      </c>
    </row>
    <row r="31755" spans="119:119" x14ac:dyDescent="0.2">
      <c r="DO31755" s="303" t="s">
        <v>232</v>
      </c>
    </row>
    <row r="31756" spans="119:119" x14ac:dyDescent="0.2">
      <c r="DO31756" s="303" t="s">
        <v>232</v>
      </c>
    </row>
    <row r="31757" spans="119:119" x14ac:dyDescent="0.2">
      <c r="DO31757" s="303" t="s">
        <v>232</v>
      </c>
    </row>
    <row r="31758" spans="119:119" x14ac:dyDescent="0.2">
      <c r="DO31758" s="303" t="s">
        <v>232</v>
      </c>
    </row>
    <row r="31759" spans="119:119" x14ac:dyDescent="0.2">
      <c r="DO31759" s="303" t="s">
        <v>232</v>
      </c>
    </row>
    <row r="31760" spans="119:119" x14ac:dyDescent="0.2">
      <c r="DO31760" s="303" t="s">
        <v>232</v>
      </c>
    </row>
    <row r="31761" spans="119:119" x14ac:dyDescent="0.2">
      <c r="DO31761" s="303" t="s">
        <v>232</v>
      </c>
    </row>
    <row r="31762" spans="119:119" x14ac:dyDescent="0.2">
      <c r="DO31762" s="303" t="s">
        <v>232</v>
      </c>
    </row>
    <row r="31763" spans="119:119" x14ac:dyDescent="0.2">
      <c r="DO31763" s="303" t="s">
        <v>232</v>
      </c>
    </row>
    <row r="31764" spans="119:119" x14ac:dyDescent="0.2">
      <c r="DO31764" s="303" t="s">
        <v>232</v>
      </c>
    </row>
    <row r="31765" spans="119:119" x14ac:dyDescent="0.2">
      <c r="DO31765" s="303" t="s">
        <v>232</v>
      </c>
    </row>
    <row r="31766" spans="119:119" x14ac:dyDescent="0.2">
      <c r="DO31766" s="303" t="s">
        <v>232</v>
      </c>
    </row>
    <row r="31767" spans="119:119" x14ac:dyDescent="0.2">
      <c r="DO31767" s="303" t="s">
        <v>232</v>
      </c>
    </row>
    <row r="31768" spans="119:119" x14ac:dyDescent="0.2">
      <c r="DO31768" s="303" t="s">
        <v>232</v>
      </c>
    </row>
    <row r="31769" spans="119:119" x14ac:dyDescent="0.2">
      <c r="DO31769" s="303" t="s">
        <v>232</v>
      </c>
    </row>
    <row r="31770" spans="119:119" x14ac:dyDescent="0.2">
      <c r="DO31770" s="303" t="s">
        <v>232</v>
      </c>
    </row>
    <row r="31771" spans="119:119" x14ac:dyDescent="0.2">
      <c r="DO31771" s="303" t="s">
        <v>232</v>
      </c>
    </row>
    <row r="31772" spans="119:119" x14ac:dyDescent="0.2">
      <c r="DO31772" s="303" t="s">
        <v>232</v>
      </c>
    </row>
    <row r="31773" spans="119:119" x14ac:dyDescent="0.2">
      <c r="DO31773" s="303" t="s">
        <v>232</v>
      </c>
    </row>
    <row r="31774" spans="119:119" x14ac:dyDescent="0.2">
      <c r="DO31774" s="303" t="s">
        <v>232</v>
      </c>
    </row>
    <row r="31775" spans="119:119" x14ac:dyDescent="0.2">
      <c r="DO31775" s="303" t="s">
        <v>232</v>
      </c>
    </row>
    <row r="31776" spans="119:119" x14ac:dyDescent="0.2">
      <c r="DO31776" s="303" t="s">
        <v>232</v>
      </c>
    </row>
    <row r="31777" spans="119:119" x14ac:dyDescent="0.2">
      <c r="DO31777" s="303" t="s">
        <v>232</v>
      </c>
    </row>
    <row r="31778" spans="119:119" x14ac:dyDescent="0.2">
      <c r="DO31778" s="303" t="s">
        <v>232</v>
      </c>
    </row>
    <row r="31779" spans="119:119" x14ac:dyDescent="0.2">
      <c r="DO31779" s="303" t="s">
        <v>232</v>
      </c>
    </row>
    <row r="31780" spans="119:119" x14ac:dyDescent="0.2">
      <c r="DO31780" s="303" t="s">
        <v>232</v>
      </c>
    </row>
    <row r="31781" spans="119:119" x14ac:dyDescent="0.2">
      <c r="DO31781" s="303" t="s">
        <v>232</v>
      </c>
    </row>
    <row r="31782" spans="119:119" x14ac:dyDescent="0.2">
      <c r="DO31782" s="303" t="s">
        <v>232</v>
      </c>
    </row>
    <row r="31783" spans="119:119" x14ac:dyDescent="0.2">
      <c r="DO31783" s="303" t="s">
        <v>232</v>
      </c>
    </row>
    <row r="31784" spans="119:119" x14ac:dyDescent="0.2">
      <c r="DO31784" s="303" t="s">
        <v>232</v>
      </c>
    </row>
    <row r="31785" spans="119:119" x14ac:dyDescent="0.2">
      <c r="DO31785" s="303" t="s">
        <v>232</v>
      </c>
    </row>
    <row r="31786" spans="119:119" x14ac:dyDescent="0.2">
      <c r="DO31786" s="303" t="s">
        <v>232</v>
      </c>
    </row>
    <row r="31787" spans="119:119" x14ac:dyDescent="0.2">
      <c r="DO31787" s="303" t="s">
        <v>232</v>
      </c>
    </row>
    <row r="31788" spans="119:119" x14ac:dyDescent="0.2">
      <c r="DO31788" s="303" t="s">
        <v>232</v>
      </c>
    </row>
    <row r="31789" spans="119:119" x14ac:dyDescent="0.2">
      <c r="DO31789" s="303" t="s">
        <v>232</v>
      </c>
    </row>
    <row r="31790" spans="119:119" x14ac:dyDescent="0.2">
      <c r="DO31790" s="303" t="s">
        <v>232</v>
      </c>
    </row>
    <row r="31791" spans="119:119" x14ac:dyDescent="0.2">
      <c r="DO31791" s="303" t="s">
        <v>232</v>
      </c>
    </row>
    <row r="31792" spans="119:119" x14ac:dyDescent="0.2">
      <c r="DO31792" s="303" t="s">
        <v>232</v>
      </c>
    </row>
    <row r="31793" spans="119:119" x14ac:dyDescent="0.2">
      <c r="DO31793" s="303" t="s">
        <v>232</v>
      </c>
    </row>
    <row r="31794" spans="119:119" x14ac:dyDescent="0.2">
      <c r="DO31794" s="303" t="s">
        <v>232</v>
      </c>
    </row>
    <row r="31795" spans="119:119" x14ac:dyDescent="0.2">
      <c r="DO31795" s="303" t="s">
        <v>232</v>
      </c>
    </row>
    <row r="31796" spans="119:119" x14ac:dyDescent="0.2">
      <c r="DO31796" s="303" t="s">
        <v>232</v>
      </c>
    </row>
    <row r="31797" spans="119:119" x14ac:dyDescent="0.2">
      <c r="DO31797" s="303" t="s">
        <v>232</v>
      </c>
    </row>
    <row r="31798" spans="119:119" x14ac:dyDescent="0.2">
      <c r="DO31798" s="303" t="s">
        <v>232</v>
      </c>
    </row>
    <row r="31799" spans="119:119" x14ac:dyDescent="0.2">
      <c r="DO31799" s="303" t="s">
        <v>232</v>
      </c>
    </row>
    <row r="31800" spans="119:119" x14ac:dyDescent="0.2">
      <c r="DO31800" s="303" t="s">
        <v>232</v>
      </c>
    </row>
    <row r="31801" spans="119:119" x14ac:dyDescent="0.2">
      <c r="DO31801" s="303" t="s">
        <v>232</v>
      </c>
    </row>
    <row r="31802" spans="119:119" x14ac:dyDescent="0.2">
      <c r="DO31802" s="303" t="s">
        <v>232</v>
      </c>
    </row>
    <row r="31803" spans="119:119" x14ac:dyDescent="0.2">
      <c r="DO31803" s="303" t="s">
        <v>232</v>
      </c>
    </row>
    <row r="31804" spans="119:119" x14ac:dyDescent="0.2">
      <c r="DO31804" s="303" t="s">
        <v>232</v>
      </c>
    </row>
    <row r="31805" spans="119:119" x14ac:dyDescent="0.2">
      <c r="DO31805" s="303" t="s">
        <v>232</v>
      </c>
    </row>
    <row r="31806" spans="119:119" x14ac:dyDescent="0.2">
      <c r="DO31806" s="303" t="s">
        <v>232</v>
      </c>
    </row>
    <row r="31807" spans="119:119" x14ac:dyDescent="0.2">
      <c r="DO31807" s="303" t="s">
        <v>232</v>
      </c>
    </row>
    <row r="31808" spans="119:119" x14ac:dyDescent="0.2">
      <c r="DO31808" s="303" t="s">
        <v>232</v>
      </c>
    </row>
    <row r="31809" spans="119:119" x14ac:dyDescent="0.2">
      <c r="DO31809" s="303" t="s">
        <v>232</v>
      </c>
    </row>
    <row r="31810" spans="119:119" x14ac:dyDescent="0.2">
      <c r="DO31810" s="303" t="s">
        <v>232</v>
      </c>
    </row>
    <row r="31811" spans="119:119" x14ac:dyDescent="0.2">
      <c r="DO31811" s="303" t="s">
        <v>232</v>
      </c>
    </row>
    <row r="31812" spans="119:119" x14ac:dyDescent="0.2">
      <c r="DO31812" s="303" t="s">
        <v>232</v>
      </c>
    </row>
    <row r="31813" spans="119:119" x14ac:dyDescent="0.2">
      <c r="DO31813" s="303" t="s">
        <v>232</v>
      </c>
    </row>
    <row r="31814" spans="119:119" x14ac:dyDescent="0.2">
      <c r="DO31814" s="303" t="s">
        <v>232</v>
      </c>
    </row>
    <row r="31815" spans="119:119" x14ac:dyDescent="0.2">
      <c r="DO31815" s="303" t="s">
        <v>232</v>
      </c>
    </row>
    <row r="31816" spans="119:119" x14ac:dyDescent="0.2">
      <c r="DO31816" s="303" t="s">
        <v>232</v>
      </c>
    </row>
    <row r="31817" spans="119:119" x14ac:dyDescent="0.2">
      <c r="DO31817" s="303" t="s">
        <v>232</v>
      </c>
    </row>
    <row r="31818" spans="119:119" x14ac:dyDescent="0.2">
      <c r="DO31818" s="303" t="s">
        <v>232</v>
      </c>
    </row>
    <row r="31819" spans="119:119" x14ac:dyDescent="0.2">
      <c r="DO31819" s="303" t="s">
        <v>232</v>
      </c>
    </row>
    <row r="31820" spans="119:119" x14ac:dyDescent="0.2">
      <c r="DO31820" s="303" t="s">
        <v>232</v>
      </c>
    </row>
    <row r="31821" spans="119:119" x14ac:dyDescent="0.2">
      <c r="DO31821" s="303" t="s">
        <v>232</v>
      </c>
    </row>
    <row r="31822" spans="119:119" x14ac:dyDescent="0.2">
      <c r="DO31822" s="303" t="s">
        <v>232</v>
      </c>
    </row>
    <row r="31823" spans="119:119" x14ac:dyDescent="0.2">
      <c r="DO31823" s="303" t="s">
        <v>232</v>
      </c>
    </row>
    <row r="31824" spans="119:119" x14ac:dyDescent="0.2">
      <c r="DO31824" s="303" t="s">
        <v>232</v>
      </c>
    </row>
    <row r="31825" spans="119:119" x14ac:dyDescent="0.2">
      <c r="DO31825" s="303" t="s">
        <v>232</v>
      </c>
    </row>
    <row r="31826" spans="119:119" x14ac:dyDescent="0.2">
      <c r="DO31826" s="303" t="s">
        <v>232</v>
      </c>
    </row>
    <row r="31827" spans="119:119" x14ac:dyDescent="0.2">
      <c r="DO31827" s="303" t="s">
        <v>232</v>
      </c>
    </row>
    <row r="31828" spans="119:119" x14ac:dyDescent="0.2">
      <c r="DO31828" s="303" t="s">
        <v>232</v>
      </c>
    </row>
    <row r="31829" spans="119:119" x14ac:dyDescent="0.2">
      <c r="DO31829" s="303" t="s">
        <v>232</v>
      </c>
    </row>
    <row r="31830" spans="119:119" x14ac:dyDescent="0.2">
      <c r="DO31830" s="303" t="s">
        <v>232</v>
      </c>
    </row>
    <row r="31831" spans="119:119" x14ac:dyDescent="0.2">
      <c r="DO31831" s="303" t="s">
        <v>232</v>
      </c>
    </row>
    <row r="31832" spans="119:119" x14ac:dyDescent="0.2">
      <c r="DO31832" s="303" t="s">
        <v>232</v>
      </c>
    </row>
    <row r="31833" spans="119:119" x14ac:dyDescent="0.2">
      <c r="DO31833" s="303" t="s">
        <v>232</v>
      </c>
    </row>
    <row r="31834" spans="119:119" x14ac:dyDescent="0.2">
      <c r="DO31834" s="303" t="s">
        <v>232</v>
      </c>
    </row>
    <row r="31835" spans="119:119" x14ac:dyDescent="0.2">
      <c r="DO31835" s="303" t="s">
        <v>232</v>
      </c>
    </row>
    <row r="31836" spans="119:119" x14ac:dyDescent="0.2">
      <c r="DO31836" s="303" t="s">
        <v>232</v>
      </c>
    </row>
    <row r="31837" spans="119:119" x14ac:dyDescent="0.2">
      <c r="DO31837" s="303" t="s">
        <v>232</v>
      </c>
    </row>
    <row r="31838" spans="119:119" x14ac:dyDescent="0.2">
      <c r="DO31838" s="303" t="s">
        <v>232</v>
      </c>
    </row>
    <row r="31839" spans="119:119" x14ac:dyDescent="0.2">
      <c r="DO31839" s="303" t="s">
        <v>232</v>
      </c>
    </row>
    <row r="31840" spans="119:119" x14ac:dyDescent="0.2">
      <c r="DO31840" s="303" t="s">
        <v>232</v>
      </c>
    </row>
    <row r="31841" spans="119:119" x14ac:dyDescent="0.2">
      <c r="DO31841" s="303" t="s">
        <v>232</v>
      </c>
    </row>
    <row r="31842" spans="119:119" x14ac:dyDescent="0.2">
      <c r="DO31842" s="303" t="s">
        <v>232</v>
      </c>
    </row>
    <row r="31843" spans="119:119" x14ac:dyDescent="0.2">
      <c r="DO31843" s="303" t="s">
        <v>232</v>
      </c>
    </row>
    <row r="31844" spans="119:119" x14ac:dyDescent="0.2">
      <c r="DO31844" s="303" t="s">
        <v>232</v>
      </c>
    </row>
    <row r="31845" spans="119:119" x14ac:dyDescent="0.2">
      <c r="DO31845" s="303" t="s">
        <v>232</v>
      </c>
    </row>
    <row r="31846" spans="119:119" x14ac:dyDescent="0.2">
      <c r="DO31846" s="303" t="s">
        <v>232</v>
      </c>
    </row>
    <row r="31847" spans="119:119" x14ac:dyDescent="0.2">
      <c r="DO31847" s="303" t="s">
        <v>232</v>
      </c>
    </row>
    <row r="31848" spans="119:119" x14ac:dyDescent="0.2">
      <c r="DO31848" s="303" t="s">
        <v>232</v>
      </c>
    </row>
    <row r="31849" spans="119:119" x14ac:dyDescent="0.2">
      <c r="DO31849" s="303" t="s">
        <v>232</v>
      </c>
    </row>
    <row r="31850" spans="119:119" x14ac:dyDescent="0.2">
      <c r="DO31850" s="303" t="s">
        <v>232</v>
      </c>
    </row>
    <row r="31851" spans="119:119" x14ac:dyDescent="0.2">
      <c r="DO31851" s="303" t="s">
        <v>232</v>
      </c>
    </row>
    <row r="31852" spans="119:119" x14ac:dyDescent="0.2">
      <c r="DO31852" s="303" t="s">
        <v>232</v>
      </c>
    </row>
    <row r="31853" spans="119:119" x14ac:dyDescent="0.2">
      <c r="DO31853" s="303" t="s">
        <v>232</v>
      </c>
    </row>
    <row r="31854" spans="119:119" x14ac:dyDescent="0.2">
      <c r="DO31854" s="303" t="s">
        <v>232</v>
      </c>
    </row>
    <row r="31855" spans="119:119" x14ac:dyDescent="0.2">
      <c r="DO31855" s="303" t="s">
        <v>232</v>
      </c>
    </row>
    <row r="31856" spans="119:119" x14ac:dyDescent="0.2">
      <c r="DO31856" s="303" t="s">
        <v>232</v>
      </c>
    </row>
    <row r="31857" spans="119:119" x14ac:dyDescent="0.2">
      <c r="DO31857" s="303" t="s">
        <v>232</v>
      </c>
    </row>
    <row r="31858" spans="119:119" x14ac:dyDescent="0.2">
      <c r="DO31858" s="303" t="s">
        <v>232</v>
      </c>
    </row>
    <row r="31859" spans="119:119" x14ac:dyDescent="0.2">
      <c r="DO31859" s="303" t="s">
        <v>232</v>
      </c>
    </row>
    <row r="31860" spans="119:119" x14ac:dyDescent="0.2">
      <c r="DO31860" s="303" t="s">
        <v>232</v>
      </c>
    </row>
    <row r="31861" spans="119:119" x14ac:dyDescent="0.2">
      <c r="DO31861" s="303" t="s">
        <v>232</v>
      </c>
    </row>
    <row r="31862" spans="119:119" x14ac:dyDescent="0.2">
      <c r="DO31862" s="303" t="s">
        <v>232</v>
      </c>
    </row>
    <row r="31863" spans="119:119" x14ac:dyDescent="0.2">
      <c r="DO31863" s="303" t="s">
        <v>232</v>
      </c>
    </row>
    <row r="31864" spans="119:119" x14ac:dyDescent="0.2">
      <c r="DO31864" s="303" t="s">
        <v>232</v>
      </c>
    </row>
    <row r="31865" spans="119:119" x14ac:dyDescent="0.2">
      <c r="DO31865" s="303" t="s">
        <v>232</v>
      </c>
    </row>
    <row r="31866" spans="119:119" x14ac:dyDescent="0.2">
      <c r="DO31866" s="303" t="s">
        <v>232</v>
      </c>
    </row>
    <row r="31867" spans="119:119" x14ac:dyDescent="0.2">
      <c r="DO31867" s="303" t="s">
        <v>232</v>
      </c>
    </row>
    <row r="31868" spans="119:119" x14ac:dyDescent="0.2">
      <c r="DO31868" s="303" t="s">
        <v>232</v>
      </c>
    </row>
    <row r="31869" spans="119:119" x14ac:dyDescent="0.2">
      <c r="DO31869" s="303" t="s">
        <v>232</v>
      </c>
    </row>
    <row r="31870" spans="119:119" x14ac:dyDescent="0.2">
      <c r="DO31870" s="303" t="s">
        <v>232</v>
      </c>
    </row>
    <row r="31871" spans="119:119" x14ac:dyDescent="0.2">
      <c r="DO31871" s="303" t="s">
        <v>232</v>
      </c>
    </row>
    <row r="31872" spans="119:119" x14ac:dyDescent="0.2">
      <c r="DO31872" s="303" t="s">
        <v>232</v>
      </c>
    </row>
    <row r="31873" spans="119:119" x14ac:dyDescent="0.2">
      <c r="DO31873" s="303" t="s">
        <v>232</v>
      </c>
    </row>
    <row r="31874" spans="119:119" x14ac:dyDescent="0.2">
      <c r="DO31874" s="303" t="s">
        <v>232</v>
      </c>
    </row>
    <row r="31875" spans="119:119" x14ac:dyDescent="0.2">
      <c r="DO31875" s="303" t="s">
        <v>232</v>
      </c>
    </row>
    <row r="31876" spans="119:119" x14ac:dyDescent="0.2">
      <c r="DO31876" s="303" t="s">
        <v>232</v>
      </c>
    </row>
    <row r="31877" spans="119:119" x14ac:dyDescent="0.2">
      <c r="DO31877" s="303" t="s">
        <v>232</v>
      </c>
    </row>
    <row r="31878" spans="119:119" x14ac:dyDescent="0.2">
      <c r="DO31878" s="303" t="s">
        <v>232</v>
      </c>
    </row>
    <row r="31879" spans="119:119" x14ac:dyDescent="0.2">
      <c r="DO31879" s="303" t="s">
        <v>232</v>
      </c>
    </row>
    <row r="31880" spans="119:119" x14ac:dyDescent="0.2">
      <c r="DO31880" s="303" t="s">
        <v>232</v>
      </c>
    </row>
    <row r="31881" spans="119:119" x14ac:dyDescent="0.2">
      <c r="DO31881" s="303" t="s">
        <v>232</v>
      </c>
    </row>
    <row r="31882" spans="119:119" x14ac:dyDescent="0.2">
      <c r="DO31882" s="303" t="s">
        <v>232</v>
      </c>
    </row>
    <row r="31883" spans="119:119" x14ac:dyDescent="0.2">
      <c r="DO31883" s="303" t="s">
        <v>232</v>
      </c>
    </row>
    <row r="31884" spans="119:119" x14ac:dyDescent="0.2">
      <c r="DO31884" s="303" t="s">
        <v>232</v>
      </c>
    </row>
    <row r="31885" spans="119:119" x14ac:dyDescent="0.2">
      <c r="DO31885" s="303" t="s">
        <v>232</v>
      </c>
    </row>
    <row r="31886" spans="119:119" x14ac:dyDescent="0.2">
      <c r="DO31886" s="303" t="s">
        <v>232</v>
      </c>
    </row>
    <row r="31887" spans="119:119" x14ac:dyDescent="0.2">
      <c r="DO31887" s="303" t="s">
        <v>232</v>
      </c>
    </row>
    <row r="31888" spans="119:119" x14ac:dyDescent="0.2">
      <c r="DO31888" s="303" t="s">
        <v>232</v>
      </c>
    </row>
    <row r="31889" spans="119:119" x14ac:dyDescent="0.2">
      <c r="DO31889" s="303" t="s">
        <v>232</v>
      </c>
    </row>
    <row r="31890" spans="119:119" x14ac:dyDescent="0.2">
      <c r="DO31890" s="303" t="s">
        <v>232</v>
      </c>
    </row>
    <row r="31891" spans="119:119" x14ac:dyDescent="0.2">
      <c r="DO31891" s="303" t="s">
        <v>232</v>
      </c>
    </row>
    <row r="31892" spans="119:119" x14ac:dyDescent="0.2">
      <c r="DO31892" s="303" t="s">
        <v>232</v>
      </c>
    </row>
    <row r="31893" spans="119:119" x14ac:dyDescent="0.2">
      <c r="DO31893" s="303" t="s">
        <v>232</v>
      </c>
    </row>
    <row r="31894" spans="119:119" x14ac:dyDescent="0.2">
      <c r="DO31894" s="303" t="s">
        <v>232</v>
      </c>
    </row>
    <row r="31895" spans="119:119" x14ac:dyDescent="0.2">
      <c r="DO31895" s="303" t="s">
        <v>232</v>
      </c>
    </row>
    <row r="31896" spans="119:119" x14ac:dyDescent="0.2">
      <c r="DO31896" s="303" t="s">
        <v>232</v>
      </c>
    </row>
    <row r="31897" spans="119:119" x14ac:dyDescent="0.2">
      <c r="DO31897" s="303" t="s">
        <v>232</v>
      </c>
    </row>
    <row r="31898" spans="119:119" x14ac:dyDescent="0.2">
      <c r="DO31898" s="303" t="s">
        <v>232</v>
      </c>
    </row>
    <row r="31899" spans="119:119" x14ac:dyDescent="0.2">
      <c r="DO31899" s="303" t="s">
        <v>232</v>
      </c>
    </row>
    <row r="31900" spans="119:119" x14ac:dyDescent="0.2">
      <c r="DO31900" s="303" t="s">
        <v>232</v>
      </c>
    </row>
    <row r="31901" spans="119:119" x14ac:dyDescent="0.2">
      <c r="DO31901" s="303" t="s">
        <v>232</v>
      </c>
    </row>
    <row r="31902" spans="119:119" x14ac:dyDescent="0.2">
      <c r="DO31902" s="303" t="s">
        <v>232</v>
      </c>
    </row>
    <row r="31903" spans="119:119" x14ac:dyDescent="0.2">
      <c r="DO31903" s="303" t="s">
        <v>232</v>
      </c>
    </row>
    <row r="31904" spans="119:119" x14ac:dyDescent="0.2">
      <c r="DO31904" s="303" t="s">
        <v>232</v>
      </c>
    </row>
    <row r="31905" spans="119:119" x14ac:dyDescent="0.2">
      <c r="DO31905" s="303" t="s">
        <v>232</v>
      </c>
    </row>
    <row r="31906" spans="119:119" x14ac:dyDescent="0.2">
      <c r="DO31906" s="303" t="s">
        <v>232</v>
      </c>
    </row>
    <row r="31907" spans="119:119" x14ac:dyDescent="0.2">
      <c r="DO31907" s="303" t="s">
        <v>232</v>
      </c>
    </row>
    <row r="31908" spans="119:119" x14ac:dyDescent="0.2">
      <c r="DO31908" s="303" t="s">
        <v>232</v>
      </c>
    </row>
    <row r="31909" spans="119:119" x14ac:dyDescent="0.2">
      <c r="DO31909" s="303" t="s">
        <v>232</v>
      </c>
    </row>
    <row r="31910" spans="119:119" x14ac:dyDescent="0.2">
      <c r="DO31910" s="303" t="s">
        <v>232</v>
      </c>
    </row>
    <row r="31911" spans="119:119" x14ac:dyDescent="0.2">
      <c r="DO31911" s="303" t="s">
        <v>232</v>
      </c>
    </row>
    <row r="31912" spans="119:119" x14ac:dyDescent="0.2">
      <c r="DO31912" s="303" t="s">
        <v>232</v>
      </c>
    </row>
    <row r="31913" spans="119:119" x14ac:dyDescent="0.2">
      <c r="DO31913" s="303" t="s">
        <v>232</v>
      </c>
    </row>
    <row r="31914" spans="119:119" x14ac:dyDescent="0.2">
      <c r="DO31914" s="303" t="s">
        <v>232</v>
      </c>
    </row>
    <row r="31915" spans="119:119" x14ac:dyDescent="0.2">
      <c r="DO31915" s="303" t="s">
        <v>232</v>
      </c>
    </row>
    <row r="31916" spans="119:119" x14ac:dyDescent="0.2">
      <c r="DO31916" s="303" t="s">
        <v>232</v>
      </c>
    </row>
    <row r="31917" spans="119:119" x14ac:dyDescent="0.2">
      <c r="DO31917" s="303" t="s">
        <v>232</v>
      </c>
    </row>
    <row r="31918" spans="119:119" x14ac:dyDescent="0.2">
      <c r="DO31918" s="303" t="s">
        <v>232</v>
      </c>
    </row>
    <row r="31919" spans="119:119" x14ac:dyDescent="0.2">
      <c r="DO31919" s="303" t="s">
        <v>232</v>
      </c>
    </row>
    <row r="31920" spans="119:119" x14ac:dyDescent="0.2">
      <c r="DO31920" s="303" t="s">
        <v>232</v>
      </c>
    </row>
    <row r="31921" spans="119:119" x14ac:dyDescent="0.2">
      <c r="DO31921" s="303" t="s">
        <v>232</v>
      </c>
    </row>
    <row r="31922" spans="119:119" x14ac:dyDescent="0.2">
      <c r="DO31922" s="303" t="s">
        <v>232</v>
      </c>
    </row>
    <row r="31923" spans="119:119" x14ac:dyDescent="0.2">
      <c r="DO31923" s="303" t="s">
        <v>232</v>
      </c>
    </row>
    <row r="31924" spans="119:119" x14ac:dyDescent="0.2">
      <c r="DO31924" s="303" t="s">
        <v>232</v>
      </c>
    </row>
    <row r="31925" spans="119:119" x14ac:dyDescent="0.2">
      <c r="DO31925" s="303" t="s">
        <v>232</v>
      </c>
    </row>
    <row r="31926" spans="119:119" x14ac:dyDescent="0.2">
      <c r="DO31926" s="303" t="s">
        <v>232</v>
      </c>
    </row>
    <row r="31927" spans="119:119" x14ac:dyDescent="0.2">
      <c r="DO31927" s="303" t="s">
        <v>232</v>
      </c>
    </row>
    <row r="31928" spans="119:119" x14ac:dyDescent="0.2">
      <c r="DO31928" s="303" t="s">
        <v>232</v>
      </c>
    </row>
    <row r="31929" spans="119:119" x14ac:dyDescent="0.2">
      <c r="DO31929" s="303" t="s">
        <v>232</v>
      </c>
    </row>
    <row r="31930" spans="119:119" x14ac:dyDescent="0.2">
      <c r="DO31930" s="303" t="s">
        <v>232</v>
      </c>
    </row>
    <row r="31931" spans="119:119" x14ac:dyDescent="0.2">
      <c r="DO31931" s="303" t="s">
        <v>232</v>
      </c>
    </row>
    <row r="31932" spans="119:119" x14ac:dyDescent="0.2">
      <c r="DO31932" s="303" t="s">
        <v>232</v>
      </c>
    </row>
    <row r="31933" spans="119:119" x14ac:dyDescent="0.2">
      <c r="DO31933" s="303" t="s">
        <v>232</v>
      </c>
    </row>
    <row r="31934" spans="119:119" x14ac:dyDescent="0.2">
      <c r="DO31934" s="303" t="s">
        <v>232</v>
      </c>
    </row>
    <row r="31935" spans="119:119" x14ac:dyDescent="0.2">
      <c r="DO31935" s="303" t="s">
        <v>232</v>
      </c>
    </row>
    <row r="31936" spans="119:119" x14ac:dyDescent="0.2">
      <c r="DO31936" s="303" t="s">
        <v>232</v>
      </c>
    </row>
    <row r="31937" spans="119:119" x14ac:dyDescent="0.2">
      <c r="DO31937" s="303" t="s">
        <v>232</v>
      </c>
    </row>
    <row r="31938" spans="119:119" x14ac:dyDescent="0.2">
      <c r="DO31938" s="303" t="s">
        <v>232</v>
      </c>
    </row>
    <row r="31939" spans="119:119" x14ac:dyDescent="0.2">
      <c r="DO31939" s="303" t="s">
        <v>232</v>
      </c>
    </row>
    <row r="31940" spans="119:119" x14ac:dyDescent="0.2">
      <c r="DO31940" s="303" t="s">
        <v>232</v>
      </c>
    </row>
    <row r="31941" spans="119:119" x14ac:dyDescent="0.2">
      <c r="DO31941" s="303" t="s">
        <v>232</v>
      </c>
    </row>
    <row r="31942" spans="119:119" x14ac:dyDescent="0.2">
      <c r="DO31942" s="303" t="s">
        <v>232</v>
      </c>
    </row>
    <row r="31943" spans="119:119" x14ac:dyDescent="0.2">
      <c r="DO31943" s="303" t="s">
        <v>232</v>
      </c>
    </row>
    <row r="31944" spans="119:119" x14ac:dyDescent="0.2">
      <c r="DO31944" s="303" t="s">
        <v>232</v>
      </c>
    </row>
    <row r="31945" spans="119:119" x14ac:dyDescent="0.2">
      <c r="DO31945" s="303" t="s">
        <v>232</v>
      </c>
    </row>
    <row r="31946" spans="119:119" x14ac:dyDescent="0.2">
      <c r="DO31946" s="303" t="s">
        <v>232</v>
      </c>
    </row>
    <row r="31947" spans="119:119" x14ac:dyDescent="0.2">
      <c r="DO31947" s="303" t="s">
        <v>232</v>
      </c>
    </row>
    <row r="31948" spans="119:119" x14ac:dyDescent="0.2">
      <c r="DO31948" s="303" t="s">
        <v>232</v>
      </c>
    </row>
    <row r="31949" spans="119:119" x14ac:dyDescent="0.2">
      <c r="DO31949" s="303" t="s">
        <v>232</v>
      </c>
    </row>
    <row r="31950" spans="119:119" x14ac:dyDescent="0.2">
      <c r="DO31950" s="303" t="s">
        <v>232</v>
      </c>
    </row>
    <row r="31951" spans="119:119" x14ac:dyDescent="0.2">
      <c r="DO31951" s="303" t="s">
        <v>232</v>
      </c>
    </row>
    <row r="31952" spans="119:119" x14ac:dyDescent="0.2">
      <c r="DO31952" s="303" t="s">
        <v>232</v>
      </c>
    </row>
    <row r="31953" spans="119:119" x14ac:dyDescent="0.2">
      <c r="DO31953" s="303" t="s">
        <v>232</v>
      </c>
    </row>
    <row r="31954" spans="119:119" x14ac:dyDescent="0.2">
      <c r="DO31954" s="303" t="s">
        <v>232</v>
      </c>
    </row>
    <row r="31955" spans="119:119" x14ac:dyDescent="0.2">
      <c r="DO31955" s="303" t="s">
        <v>232</v>
      </c>
    </row>
    <row r="31956" spans="119:119" x14ac:dyDescent="0.2">
      <c r="DO31956" s="303" t="s">
        <v>232</v>
      </c>
    </row>
    <row r="31957" spans="119:119" x14ac:dyDescent="0.2">
      <c r="DO31957" s="303" t="s">
        <v>232</v>
      </c>
    </row>
    <row r="31958" spans="119:119" x14ac:dyDescent="0.2">
      <c r="DO31958" s="303" t="s">
        <v>232</v>
      </c>
    </row>
    <row r="31959" spans="119:119" x14ac:dyDescent="0.2">
      <c r="DO31959" s="303" t="s">
        <v>232</v>
      </c>
    </row>
    <row r="31960" spans="119:119" x14ac:dyDescent="0.2">
      <c r="DO31960" s="303" t="s">
        <v>232</v>
      </c>
    </row>
    <row r="31961" spans="119:119" x14ac:dyDescent="0.2">
      <c r="DO31961" s="303" t="s">
        <v>232</v>
      </c>
    </row>
    <row r="31962" spans="119:119" x14ac:dyDescent="0.2">
      <c r="DO31962" s="303" t="s">
        <v>232</v>
      </c>
    </row>
    <row r="31963" spans="119:119" x14ac:dyDescent="0.2">
      <c r="DO31963" s="303" t="s">
        <v>232</v>
      </c>
    </row>
    <row r="31964" spans="119:119" x14ac:dyDescent="0.2">
      <c r="DO31964" s="303" t="s">
        <v>232</v>
      </c>
    </row>
    <row r="31965" spans="119:119" x14ac:dyDescent="0.2">
      <c r="DO31965" s="303" t="s">
        <v>232</v>
      </c>
    </row>
    <row r="31966" spans="119:119" x14ac:dyDescent="0.2">
      <c r="DO31966" s="303" t="s">
        <v>232</v>
      </c>
    </row>
    <row r="31967" spans="119:119" x14ac:dyDescent="0.2">
      <c r="DO31967" s="303" t="s">
        <v>232</v>
      </c>
    </row>
    <row r="31968" spans="119:119" x14ac:dyDescent="0.2">
      <c r="DO31968" s="303" t="s">
        <v>232</v>
      </c>
    </row>
    <row r="31969" spans="119:119" x14ac:dyDescent="0.2">
      <c r="DO31969" s="303" t="s">
        <v>232</v>
      </c>
    </row>
    <row r="31970" spans="119:119" x14ac:dyDescent="0.2">
      <c r="DO31970" s="303" t="s">
        <v>232</v>
      </c>
    </row>
    <row r="31971" spans="119:119" x14ac:dyDescent="0.2">
      <c r="DO31971" s="303" t="s">
        <v>232</v>
      </c>
    </row>
    <row r="31972" spans="119:119" x14ac:dyDescent="0.2">
      <c r="DO31972" s="303" t="s">
        <v>232</v>
      </c>
    </row>
    <row r="31973" spans="119:119" x14ac:dyDescent="0.2">
      <c r="DO31973" s="303" t="s">
        <v>232</v>
      </c>
    </row>
    <row r="31974" spans="119:119" x14ac:dyDescent="0.2">
      <c r="DO31974" s="303" t="s">
        <v>232</v>
      </c>
    </row>
    <row r="31975" spans="119:119" x14ac:dyDescent="0.2">
      <c r="DO31975" s="303" t="s">
        <v>232</v>
      </c>
    </row>
    <row r="31976" spans="119:119" x14ac:dyDescent="0.2">
      <c r="DO31976" s="303" t="s">
        <v>232</v>
      </c>
    </row>
    <row r="31977" spans="119:119" x14ac:dyDescent="0.2">
      <c r="DO31977" s="303" t="s">
        <v>232</v>
      </c>
    </row>
    <row r="31978" spans="119:119" x14ac:dyDescent="0.2">
      <c r="DO31978" s="303" t="s">
        <v>232</v>
      </c>
    </row>
    <row r="31979" spans="119:119" x14ac:dyDescent="0.2">
      <c r="DO31979" s="303" t="s">
        <v>232</v>
      </c>
    </row>
    <row r="31980" spans="119:119" x14ac:dyDescent="0.2">
      <c r="DO31980" s="303" t="s">
        <v>232</v>
      </c>
    </row>
    <row r="31981" spans="119:119" x14ac:dyDescent="0.2">
      <c r="DO31981" s="303" t="s">
        <v>232</v>
      </c>
    </row>
    <row r="31982" spans="119:119" x14ac:dyDescent="0.2">
      <c r="DO31982" s="303" t="s">
        <v>232</v>
      </c>
    </row>
    <row r="31983" spans="119:119" x14ac:dyDescent="0.2">
      <c r="DO31983" s="303" t="s">
        <v>232</v>
      </c>
    </row>
    <row r="31984" spans="119:119" x14ac:dyDescent="0.2">
      <c r="DO31984" s="303" t="s">
        <v>232</v>
      </c>
    </row>
    <row r="31985" spans="119:119" x14ac:dyDescent="0.2">
      <c r="DO31985" s="303" t="s">
        <v>232</v>
      </c>
    </row>
    <row r="31986" spans="119:119" x14ac:dyDescent="0.2">
      <c r="DO31986" s="303" t="s">
        <v>232</v>
      </c>
    </row>
    <row r="31987" spans="119:119" x14ac:dyDescent="0.2">
      <c r="DO31987" s="303" t="s">
        <v>232</v>
      </c>
    </row>
    <row r="31988" spans="119:119" x14ac:dyDescent="0.2">
      <c r="DO31988" s="303" t="s">
        <v>232</v>
      </c>
    </row>
    <row r="31989" spans="119:119" x14ac:dyDescent="0.2">
      <c r="DO31989" s="303" t="s">
        <v>232</v>
      </c>
    </row>
    <row r="31990" spans="119:119" x14ac:dyDescent="0.2">
      <c r="DO31990" s="303" t="s">
        <v>232</v>
      </c>
    </row>
    <row r="31991" spans="119:119" x14ac:dyDescent="0.2">
      <c r="DO31991" s="303" t="s">
        <v>232</v>
      </c>
    </row>
    <row r="31992" spans="119:119" x14ac:dyDescent="0.2">
      <c r="DO31992" s="303" t="s">
        <v>232</v>
      </c>
    </row>
    <row r="31993" spans="119:119" x14ac:dyDescent="0.2">
      <c r="DO31993" s="303" t="s">
        <v>232</v>
      </c>
    </row>
    <row r="31994" spans="119:119" x14ac:dyDescent="0.2">
      <c r="DO31994" s="303" t="s">
        <v>232</v>
      </c>
    </row>
    <row r="31995" spans="119:119" x14ac:dyDescent="0.2">
      <c r="DO31995" s="303" t="s">
        <v>232</v>
      </c>
    </row>
    <row r="31996" spans="119:119" x14ac:dyDescent="0.2">
      <c r="DO31996" s="303" t="s">
        <v>232</v>
      </c>
    </row>
    <row r="31997" spans="119:119" x14ac:dyDescent="0.2">
      <c r="DO31997" s="303" t="s">
        <v>232</v>
      </c>
    </row>
    <row r="31998" spans="119:119" x14ac:dyDescent="0.2">
      <c r="DO31998" s="303" t="s">
        <v>232</v>
      </c>
    </row>
    <row r="31999" spans="119:119" x14ac:dyDescent="0.2">
      <c r="DO31999" s="303" t="s">
        <v>232</v>
      </c>
    </row>
    <row r="32000" spans="119:119" x14ac:dyDescent="0.2">
      <c r="DO32000" s="303" t="s">
        <v>232</v>
      </c>
    </row>
    <row r="32001" spans="119:119" x14ac:dyDescent="0.2">
      <c r="DO32001" s="303" t="s">
        <v>232</v>
      </c>
    </row>
    <row r="32002" spans="119:119" x14ac:dyDescent="0.2">
      <c r="DO32002" s="303" t="s">
        <v>232</v>
      </c>
    </row>
    <row r="32003" spans="119:119" x14ac:dyDescent="0.2">
      <c r="DO32003" s="303" t="s">
        <v>232</v>
      </c>
    </row>
    <row r="32004" spans="119:119" x14ac:dyDescent="0.2">
      <c r="DO32004" s="303" t="s">
        <v>232</v>
      </c>
    </row>
    <row r="32005" spans="119:119" x14ac:dyDescent="0.2">
      <c r="DO32005" s="303" t="s">
        <v>232</v>
      </c>
    </row>
    <row r="32006" spans="119:119" x14ac:dyDescent="0.2">
      <c r="DO32006" s="303" t="s">
        <v>232</v>
      </c>
    </row>
    <row r="32007" spans="119:119" x14ac:dyDescent="0.2">
      <c r="DO32007" s="303" t="s">
        <v>232</v>
      </c>
    </row>
    <row r="32008" spans="119:119" x14ac:dyDescent="0.2">
      <c r="DO32008" s="303" t="s">
        <v>232</v>
      </c>
    </row>
    <row r="32009" spans="119:119" x14ac:dyDescent="0.2">
      <c r="DO32009" s="303" t="s">
        <v>232</v>
      </c>
    </row>
    <row r="32010" spans="119:119" x14ac:dyDescent="0.2">
      <c r="DO32010" s="303" t="s">
        <v>232</v>
      </c>
    </row>
    <row r="32011" spans="119:119" x14ac:dyDescent="0.2">
      <c r="DO32011" s="303" t="s">
        <v>232</v>
      </c>
    </row>
    <row r="32012" spans="119:119" x14ac:dyDescent="0.2">
      <c r="DO32012" s="303" t="s">
        <v>232</v>
      </c>
    </row>
    <row r="32013" spans="119:119" x14ac:dyDescent="0.2">
      <c r="DO32013" s="303" t="s">
        <v>232</v>
      </c>
    </row>
    <row r="32014" spans="119:119" x14ac:dyDescent="0.2">
      <c r="DO32014" s="303" t="s">
        <v>232</v>
      </c>
    </row>
    <row r="32015" spans="119:119" x14ac:dyDescent="0.2">
      <c r="DO32015" s="303" t="s">
        <v>232</v>
      </c>
    </row>
    <row r="32016" spans="119:119" x14ac:dyDescent="0.2">
      <c r="DO32016" s="303" t="s">
        <v>232</v>
      </c>
    </row>
    <row r="32017" spans="119:119" x14ac:dyDescent="0.2">
      <c r="DO32017" s="303" t="s">
        <v>232</v>
      </c>
    </row>
    <row r="32018" spans="119:119" x14ac:dyDescent="0.2">
      <c r="DO32018" s="303" t="s">
        <v>232</v>
      </c>
    </row>
    <row r="32019" spans="119:119" x14ac:dyDescent="0.2">
      <c r="DO32019" s="303" t="s">
        <v>232</v>
      </c>
    </row>
    <row r="32020" spans="119:119" x14ac:dyDescent="0.2">
      <c r="DO32020" s="303" t="s">
        <v>232</v>
      </c>
    </row>
    <row r="32021" spans="119:119" x14ac:dyDescent="0.2">
      <c r="DO32021" s="303" t="s">
        <v>232</v>
      </c>
    </row>
    <row r="32022" spans="119:119" x14ac:dyDescent="0.2">
      <c r="DO32022" s="303" t="s">
        <v>232</v>
      </c>
    </row>
    <row r="32023" spans="119:119" x14ac:dyDescent="0.2">
      <c r="DO32023" s="303" t="s">
        <v>232</v>
      </c>
    </row>
    <row r="32024" spans="119:119" x14ac:dyDescent="0.2">
      <c r="DO32024" s="303" t="s">
        <v>232</v>
      </c>
    </row>
    <row r="32025" spans="119:119" x14ac:dyDescent="0.2">
      <c r="DO32025" s="303" t="s">
        <v>232</v>
      </c>
    </row>
    <row r="32026" spans="119:119" x14ac:dyDescent="0.2">
      <c r="DO32026" s="303" t="s">
        <v>232</v>
      </c>
    </row>
    <row r="32027" spans="119:119" x14ac:dyDescent="0.2">
      <c r="DO32027" s="303" t="s">
        <v>232</v>
      </c>
    </row>
    <row r="32028" spans="119:119" x14ac:dyDescent="0.2">
      <c r="DO32028" s="303" t="s">
        <v>232</v>
      </c>
    </row>
    <row r="32029" spans="119:119" x14ac:dyDescent="0.2">
      <c r="DO32029" s="303" t="s">
        <v>232</v>
      </c>
    </row>
    <row r="32030" spans="119:119" x14ac:dyDescent="0.2">
      <c r="DO32030" s="303" t="s">
        <v>232</v>
      </c>
    </row>
    <row r="32031" spans="119:119" x14ac:dyDescent="0.2">
      <c r="DO32031" s="303" t="s">
        <v>232</v>
      </c>
    </row>
    <row r="32032" spans="119:119" x14ac:dyDescent="0.2">
      <c r="DO32032" s="303" t="s">
        <v>232</v>
      </c>
    </row>
    <row r="32033" spans="119:119" x14ac:dyDescent="0.2">
      <c r="DO32033" s="303" t="s">
        <v>232</v>
      </c>
    </row>
    <row r="32034" spans="119:119" x14ac:dyDescent="0.2">
      <c r="DO32034" s="303" t="s">
        <v>232</v>
      </c>
    </row>
    <row r="32035" spans="119:119" x14ac:dyDescent="0.2">
      <c r="DO32035" s="303" t="s">
        <v>232</v>
      </c>
    </row>
    <row r="32036" spans="119:119" x14ac:dyDescent="0.2">
      <c r="DO32036" s="303" t="s">
        <v>232</v>
      </c>
    </row>
    <row r="32037" spans="119:119" x14ac:dyDescent="0.2">
      <c r="DO32037" s="303" t="s">
        <v>232</v>
      </c>
    </row>
    <row r="32038" spans="119:119" x14ac:dyDescent="0.2">
      <c r="DO32038" s="303" t="s">
        <v>232</v>
      </c>
    </row>
    <row r="32039" spans="119:119" x14ac:dyDescent="0.2">
      <c r="DO32039" s="303" t="s">
        <v>232</v>
      </c>
    </row>
    <row r="32040" spans="119:119" x14ac:dyDescent="0.2">
      <c r="DO32040" s="303" t="s">
        <v>232</v>
      </c>
    </row>
    <row r="32041" spans="119:119" x14ac:dyDescent="0.2">
      <c r="DO32041" s="303" t="s">
        <v>232</v>
      </c>
    </row>
    <row r="32042" spans="119:119" x14ac:dyDescent="0.2">
      <c r="DO32042" s="303" t="s">
        <v>232</v>
      </c>
    </row>
    <row r="32043" spans="119:119" x14ac:dyDescent="0.2">
      <c r="DO32043" s="303" t="s">
        <v>232</v>
      </c>
    </row>
    <row r="32044" spans="119:119" x14ac:dyDescent="0.2">
      <c r="DO32044" s="303" t="s">
        <v>232</v>
      </c>
    </row>
    <row r="32045" spans="119:119" x14ac:dyDescent="0.2">
      <c r="DO32045" s="303" t="s">
        <v>232</v>
      </c>
    </row>
    <row r="32046" spans="119:119" x14ac:dyDescent="0.2">
      <c r="DO32046" s="303" t="s">
        <v>232</v>
      </c>
    </row>
    <row r="32047" spans="119:119" x14ac:dyDescent="0.2">
      <c r="DO32047" s="303" t="s">
        <v>232</v>
      </c>
    </row>
    <row r="32048" spans="119:119" x14ac:dyDescent="0.2">
      <c r="DO32048" s="303" t="s">
        <v>232</v>
      </c>
    </row>
    <row r="32049" spans="119:119" x14ac:dyDescent="0.2">
      <c r="DO32049" s="303" t="s">
        <v>232</v>
      </c>
    </row>
    <row r="32050" spans="119:119" x14ac:dyDescent="0.2">
      <c r="DO32050" s="303" t="s">
        <v>232</v>
      </c>
    </row>
    <row r="32051" spans="119:119" x14ac:dyDescent="0.2">
      <c r="DO32051" s="303" t="s">
        <v>232</v>
      </c>
    </row>
    <row r="32052" spans="119:119" x14ac:dyDescent="0.2">
      <c r="DO32052" s="303" t="s">
        <v>232</v>
      </c>
    </row>
    <row r="32053" spans="119:119" x14ac:dyDescent="0.2">
      <c r="DO32053" s="303" t="s">
        <v>232</v>
      </c>
    </row>
    <row r="32054" spans="119:119" x14ac:dyDescent="0.2">
      <c r="DO32054" s="303" t="s">
        <v>232</v>
      </c>
    </row>
    <row r="32055" spans="119:119" x14ac:dyDescent="0.2">
      <c r="DO32055" s="303" t="s">
        <v>232</v>
      </c>
    </row>
    <row r="32056" spans="119:119" x14ac:dyDescent="0.2">
      <c r="DO32056" s="303" t="s">
        <v>232</v>
      </c>
    </row>
    <row r="32057" spans="119:119" x14ac:dyDescent="0.2">
      <c r="DO32057" s="303" t="s">
        <v>232</v>
      </c>
    </row>
    <row r="32058" spans="119:119" x14ac:dyDescent="0.2">
      <c r="DO32058" s="303" t="s">
        <v>232</v>
      </c>
    </row>
    <row r="32059" spans="119:119" x14ac:dyDescent="0.2">
      <c r="DO32059" s="303" t="s">
        <v>232</v>
      </c>
    </row>
    <row r="32060" spans="119:119" x14ac:dyDescent="0.2">
      <c r="DO32060" s="303" t="s">
        <v>232</v>
      </c>
    </row>
    <row r="32061" spans="119:119" x14ac:dyDescent="0.2">
      <c r="DO32061" s="303" t="s">
        <v>232</v>
      </c>
    </row>
    <row r="32062" spans="119:119" x14ac:dyDescent="0.2">
      <c r="DO32062" s="303" t="s">
        <v>232</v>
      </c>
    </row>
    <row r="32063" spans="119:119" x14ac:dyDescent="0.2">
      <c r="DO32063" s="303" t="s">
        <v>232</v>
      </c>
    </row>
    <row r="32064" spans="119:119" x14ac:dyDescent="0.2">
      <c r="DO32064" s="303" t="s">
        <v>232</v>
      </c>
    </row>
    <row r="32065" spans="119:119" x14ac:dyDescent="0.2">
      <c r="DO32065" s="303" t="s">
        <v>232</v>
      </c>
    </row>
    <row r="32066" spans="119:119" x14ac:dyDescent="0.2">
      <c r="DO32066" s="303" t="s">
        <v>232</v>
      </c>
    </row>
    <row r="32067" spans="119:119" x14ac:dyDescent="0.2">
      <c r="DO32067" s="303" t="s">
        <v>232</v>
      </c>
    </row>
    <row r="32068" spans="119:119" x14ac:dyDescent="0.2">
      <c r="DO32068" s="303" t="s">
        <v>232</v>
      </c>
    </row>
    <row r="32069" spans="119:119" x14ac:dyDescent="0.2">
      <c r="DO32069" s="303" t="s">
        <v>232</v>
      </c>
    </row>
    <row r="32070" spans="119:119" x14ac:dyDescent="0.2">
      <c r="DO32070" s="303" t="s">
        <v>232</v>
      </c>
    </row>
    <row r="32071" spans="119:119" x14ac:dyDescent="0.2">
      <c r="DO32071" s="303" t="s">
        <v>232</v>
      </c>
    </row>
    <row r="32072" spans="119:119" x14ac:dyDescent="0.2">
      <c r="DO32072" s="303" t="s">
        <v>232</v>
      </c>
    </row>
    <row r="32073" spans="119:119" x14ac:dyDescent="0.2">
      <c r="DO32073" s="303" t="s">
        <v>232</v>
      </c>
    </row>
    <row r="32074" spans="119:119" x14ac:dyDescent="0.2">
      <c r="DO32074" s="303" t="s">
        <v>232</v>
      </c>
    </row>
    <row r="32075" spans="119:119" x14ac:dyDescent="0.2">
      <c r="DO32075" s="303" t="s">
        <v>232</v>
      </c>
    </row>
    <row r="32076" spans="119:119" x14ac:dyDescent="0.2">
      <c r="DO32076" s="303" t="s">
        <v>232</v>
      </c>
    </row>
    <row r="32077" spans="119:119" x14ac:dyDescent="0.2">
      <c r="DO32077" s="303" t="s">
        <v>232</v>
      </c>
    </row>
    <row r="32078" spans="119:119" x14ac:dyDescent="0.2">
      <c r="DO32078" s="303" t="s">
        <v>232</v>
      </c>
    </row>
    <row r="32079" spans="119:119" x14ac:dyDescent="0.2">
      <c r="DO32079" s="303" t="s">
        <v>232</v>
      </c>
    </row>
    <row r="32080" spans="119:119" x14ac:dyDescent="0.2">
      <c r="DO32080" s="303" t="s">
        <v>232</v>
      </c>
    </row>
    <row r="32081" spans="119:119" x14ac:dyDescent="0.2">
      <c r="DO32081" s="303" t="s">
        <v>232</v>
      </c>
    </row>
    <row r="32082" spans="119:119" x14ac:dyDescent="0.2">
      <c r="DO32082" s="303" t="s">
        <v>232</v>
      </c>
    </row>
    <row r="32083" spans="119:119" x14ac:dyDescent="0.2">
      <c r="DO32083" s="303" t="s">
        <v>232</v>
      </c>
    </row>
    <row r="32084" spans="119:119" x14ac:dyDescent="0.2">
      <c r="DO32084" s="303" t="s">
        <v>232</v>
      </c>
    </row>
    <row r="32085" spans="119:119" x14ac:dyDescent="0.2">
      <c r="DO32085" s="303" t="s">
        <v>232</v>
      </c>
    </row>
    <row r="32086" spans="119:119" x14ac:dyDescent="0.2">
      <c r="DO32086" s="303" t="s">
        <v>232</v>
      </c>
    </row>
    <row r="32087" spans="119:119" x14ac:dyDescent="0.2">
      <c r="DO32087" s="303" t="s">
        <v>232</v>
      </c>
    </row>
    <row r="32088" spans="119:119" x14ac:dyDescent="0.2">
      <c r="DO32088" s="303" t="s">
        <v>232</v>
      </c>
    </row>
    <row r="32089" spans="119:119" x14ac:dyDescent="0.2">
      <c r="DO32089" s="303" t="s">
        <v>232</v>
      </c>
    </row>
    <row r="32090" spans="119:119" x14ac:dyDescent="0.2">
      <c r="DO32090" s="303" t="s">
        <v>232</v>
      </c>
    </row>
    <row r="32091" spans="119:119" x14ac:dyDescent="0.2">
      <c r="DO32091" s="303" t="s">
        <v>232</v>
      </c>
    </row>
    <row r="32092" spans="119:119" x14ac:dyDescent="0.2">
      <c r="DO32092" s="303" t="s">
        <v>232</v>
      </c>
    </row>
    <row r="32093" spans="119:119" x14ac:dyDescent="0.2">
      <c r="DO32093" s="303" t="s">
        <v>232</v>
      </c>
    </row>
    <row r="32094" spans="119:119" x14ac:dyDescent="0.2">
      <c r="DO32094" s="303" t="s">
        <v>232</v>
      </c>
    </row>
    <row r="32095" spans="119:119" x14ac:dyDescent="0.2">
      <c r="DO32095" s="303" t="s">
        <v>232</v>
      </c>
    </row>
    <row r="32096" spans="119:119" x14ac:dyDescent="0.2">
      <c r="DO32096" s="303" t="s">
        <v>232</v>
      </c>
    </row>
    <row r="32097" spans="119:119" x14ac:dyDescent="0.2">
      <c r="DO32097" s="303" t="s">
        <v>232</v>
      </c>
    </row>
    <row r="32098" spans="119:119" x14ac:dyDescent="0.2">
      <c r="DO32098" s="303" t="s">
        <v>232</v>
      </c>
    </row>
    <row r="32099" spans="119:119" x14ac:dyDescent="0.2">
      <c r="DO32099" s="303" t="s">
        <v>232</v>
      </c>
    </row>
    <row r="32100" spans="119:119" x14ac:dyDescent="0.2">
      <c r="DO32100" s="303" t="s">
        <v>232</v>
      </c>
    </row>
    <row r="32101" spans="119:119" x14ac:dyDescent="0.2">
      <c r="DO32101" s="303" t="s">
        <v>232</v>
      </c>
    </row>
    <row r="32102" spans="119:119" x14ac:dyDescent="0.2">
      <c r="DO32102" s="303" t="s">
        <v>232</v>
      </c>
    </row>
    <row r="32103" spans="119:119" x14ac:dyDescent="0.2">
      <c r="DO32103" s="303" t="s">
        <v>232</v>
      </c>
    </row>
    <row r="32104" spans="119:119" x14ac:dyDescent="0.2">
      <c r="DO32104" s="303" t="s">
        <v>232</v>
      </c>
    </row>
    <row r="32105" spans="119:119" x14ac:dyDescent="0.2">
      <c r="DO32105" s="303" t="s">
        <v>232</v>
      </c>
    </row>
    <row r="32106" spans="119:119" x14ac:dyDescent="0.2">
      <c r="DO32106" s="303" t="s">
        <v>232</v>
      </c>
    </row>
    <row r="32107" spans="119:119" x14ac:dyDescent="0.2">
      <c r="DO32107" s="303" t="s">
        <v>232</v>
      </c>
    </row>
    <row r="32108" spans="119:119" x14ac:dyDescent="0.2">
      <c r="DO32108" s="303" t="s">
        <v>232</v>
      </c>
    </row>
    <row r="32109" spans="119:119" x14ac:dyDescent="0.2">
      <c r="DO32109" s="303" t="s">
        <v>232</v>
      </c>
    </row>
    <row r="32110" spans="119:119" x14ac:dyDescent="0.2">
      <c r="DO32110" s="303" t="s">
        <v>232</v>
      </c>
    </row>
    <row r="32111" spans="119:119" x14ac:dyDescent="0.2">
      <c r="DO32111" s="303" t="s">
        <v>232</v>
      </c>
    </row>
    <row r="32112" spans="119:119" x14ac:dyDescent="0.2">
      <c r="DO32112" s="303" t="s">
        <v>232</v>
      </c>
    </row>
    <row r="32113" spans="119:119" x14ac:dyDescent="0.2">
      <c r="DO32113" s="303" t="s">
        <v>232</v>
      </c>
    </row>
    <row r="32114" spans="119:119" x14ac:dyDescent="0.2">
      <c r="DO32114" s="303" t="s">
        <v>232</v>
      </c>
    </row>
    <row r="32115" spans="119:119" x14ac:dyDescent="0.2">
      <c r="DO32115" s="303" t="s">
        <v>232</v>
      </c>
    </row>
    <row r="32116" spans="119:119" x14ac:dyDescent="0.2">
      <c r="DO32116" s="303" t="s">
        <v>232</v>
      </c>
    </row>
    <row r="32117" spans="119:119" x14ac:dyDescent="0.2">
      <c r="DO32117" s="303" t="s">
        <v>232</v>
      </c>
    </row>
    <row r="32118" spans="119:119" x14ac:dyDescent="0.2">
      <c r="DO32118" s="303" t="s">
        <v>232</v>
      </c>
    </row>
    <row r="32119" spans="119:119" x14ac:dyDescent="0.2">
      <c r="DO32119" s="303" t="s">
        <v>232</v>
      </c>
    </row>
    <row r="32120" spans="119:119" x14ac:dyDescent="0.2">
      <c r="DO32120" s="303" t="s">
        <v>232</v>
      </c>
    </row>
    <row r="32121" spans="119:119" x14ac:dyDescent="0.2">
      <c r="DO32121" s="303" t="s">
        <v>232</v>
      </c>
    </row>
    <row r="32122" spans="119:119" x14ac:dyDescent="0.2">
      <c r="DO32122" s="303" t="s">
        <v>232</v>
      </c>
    </row>
    <row r="32123" spans="119:119" x14ac:dyDescent="0.2">
      <c r="DO32123" s="303" t="s">
        <v>232</v>
      </c>
    </row>
    <row r="32124" spans="119:119" x14ac:dyDescent="0.2">
      <c r="DO32124" s="303" t="s">
        <v>232</v>
      </c>
    </row>
    <row r="32125" spans="119:119" x14ac:dyDescent="0.2">
      <c r="DO32125" s="303" t="s">
        <v>232</v>
      </c>
    </row>
    <row r="32126" spans="119:119" x14ac:dyDescent="0.2">
      <c r="DO32126" s="303" t="s">
        <v>232</v>
      </c>
    </row>
    <row r="32127" spans="119:119" x14ac:dyDescent="0.2">
      <c r="DO32127" s="303" t="s">
        <v>232</v>
      </c>
    </row>
    <row r="32128" spans="119:119" x14ac:dyDescent="0.2">
      <c r="DO32128" s="303" t="s">
        <v>232</v>
      </c>
    </row>
    <row r="32129" spans="119:119" x14ac:dyDescent="0.2">
      <c r="DO32129" s="303" t="s">
        <v>232</v>
      </c>
    </row>
    <row r="32130" spans="119:119" x14ac:dyDescent="0.2">
      <c r="DO32130" s="303" t="s">
        <v>232</v>
      </c>
    </row>
    <row r="32131" spans="119:119" x14ac:dyDescent="0.2">
      <c r="DO32131" s="303" t="s">
        <v>232</v>
      </c>
    </row>
    <row r="32132" spans="119:119" x14ac:dyDescent="0.2">
      <c r="DO32132" s="303" t="s">
        <v>232</v>
      </c>
    </row>
    <row r="32133" spans="119:119" x14ac:dyDescent="0.2">
      <c r="DO32133" s="303" t="s">
        <v>232</v>
      </c>
    </row>
    <row r="32134" spans="119:119" x14ac:dyDescent="0.2">
      <c r="DO32134" s="303" t="s">
        <v>232</v>
      </c>
    </row>
    <row r="32135" spans="119:119" x14ac:dyDescent="0.2">
      <c r="DO32135" s="303" t="s">
        <v>232</v>
      </c>
    </row>
    <row r="32136" spans="119:119" x14ac:dyDescent="0.2">
      <c r="DO32136" s="303" t="s">
        <v>232</v>
      </c>
    </row>
    <row r="32137" spans="119:119" x14ac:dyDescent="0.2">
      <c r="DO32137" s="303" t="s">
        <v>232</v>
      </c>
    </row>
    <row r="32138" spans="119:119" x14ac:dyDescent="0.2">
      <c r="DO32138" s="303" t="s">
        <v>232</v>
      </c>
    </row>
    <row r="32139" spans="119:119" x14ac:dyDescent="0.2">
      <c r="DO32139" s="303" t="s">
        <v>232</v>
      </c>
    </row>
    <row r="32140" spans="119:119" x14ac:dyDescent="0.2">
      <c r="DO32140" s="303" t="s">
        <v>232</v>
      </c>
    </row>
    <row r="32141" spans="119:119" x14ac:dyDescent="0.2">
      <c r="DO32141" s="303" t="s">
        <v>232</v>
      </c>
    </row>
    <row r="32142" spans="119:119" x14ac:dyDescent="0.2">
      <c r="DO32142" s="303" t="s">
        <v>232</v>
      </c>
    </row>
    <row r="32143" spans="119:119" x14ac:dyDescent="0.2">
      <c r="DO32143" s="303" t="s">
        <v>232</v>
      </c>
    </row>
    <row r="32144" spans="119:119" x14ac:dyDescent="0.2">
      <c r="DO32144" s="303" t="s">
        <v>232</v>
      </c>
    </row>
    <row r="32145" spans="119:119" x14ac:dyDescent="0.2">
      <c r="DO32145" s="303" t="s">
        <v>232</v>
      </c>
    </row>
    <row r="32146" spans="119:119" x14ac:dyDescent="0.2">
      <c r="DO32146" s="303" t="s">
        <v>232</v>
      </c>
    </row>
    <row r="32147" spans="119:119" x14ac:dyDescent="0.2">
      <c r="DO32147" s="303" t="s">
        <v>232</v>
      </c>
    </row>
    <row r="32148" spans="119:119" x14ac:dyDescent="0.2">
      <c r="DO32148" s="303" t="s">
        <v>232</v>
      </c>
    </row>
    <row r="32149" spans="119:119" x14ac:dyDescent="0.2">
      <c r="DO32149" s="303" t="s">
        <v>232</v>
      </c>
    </row>
    <row r="32150" spans="119:119" x14ac:dyDescent="0.2">
      <c r="DO32150" s="303" t="s">
        <v>232</v>
      </c>
    </row>
    <row r="32151" spans="119:119" x14ac:dyDescent="0.2">
      <c r="DO32151" s="303" t="s">
        <v>232</v>
      </c>
    </row>
    <row r="32152" spans="119:119" x14ac:dyDescent="0.2">
      <c r="DO32152" s="303" t="s">
        <v>232</v>
      </c>
    </row>
    <row r="32153" spans="119:119" x14ac:dyDescent="0.2">
      <c r="DO32153" s="303" t="s">
        <v>232</v>
      </c>
    </row>
    <row r="32154" spans="119:119" x14ac:dyDescent="0.2">
      <c r="DO32154" s="303" t="s">
        <v>232</v>
      </c>
    </row>
    <row r="32155" spans="119:119" x14ac:dyDescent="0.2">
      <c r="DO32155" s="303" t="s">
        <v>232</v>
      </c>
    </row>
    <row r="32156" spans="119:119" x14ac:dyDescent="0.2">
      <c r="DO32156" s="303" t="s">
        <v>232</v>
      </c>
    </row>
    <row r="32157" spans="119:119" x14ac:dyDescent="0.2">
      <c r="DO32157" s="303" t="s">
        <v>232</v>
      </c>
    </row>
    <row r="32158" spans="119:119" x14ac:dyDescent="0.2">
      <c r="DO32158" s="303" t="s">
        <v>232</v>
      </c>
    </row>
    <row r="32159" spans="119:119" x14ac:dyDescent="0.2">
      <c r="DO32159" s="303" t="s">
        <v>232</v>
      </c>
    </row>
    <row r="32160" spans="119:119" x14ac:dyDescent="0.2">
      <c r="DO32160" s="303" t="s">
        <v>232</v>
      </c>
    </row>
    <row r="32161" spans="119:119" x14ac:dyDescent="0.2">
      <c r="DO32161" s="303" t="s">
        <v>232</v>
      </c>
    </row>
    <row r="32162" spans="119:119" x14ac:dyDescent="0.2">
      <c r="DO32162" s="303" t="s">
        <v>232</v>
      </c>
    </row>
    <row r="32163" spans="119:119" x14ac:dyDescent="0.2">
      <c r="DO32163" s="303" t="s">
        <v>232</v>
      </c>
    </row>
    <row r="32164" spans="119:119" x14ac:dyDescent="0.2">
      <c r="DO32164" s="303" t="s">
        <v>232</v>
      </c>
    </row>
    <row r="32165" spans="119:119" x14ac:dyDescent="0.2">
      <c r="DO32165" s="303" t="s">
        <v>232</v>
      </c>
    </row>
    <row r="32166" spans="119:119" x14ac:dyDescent="0.2">
      <c r="DO32166" s="303" t="s">
        <v>232</v>
      </c>
    </row>
    <row r="32167" spans="119:119" x14ac:dyDescent="0.2">
      <c r="DO32167" s="303" t="s">
        <v>232</v>
      </c>
    </row>
    <row r="32168" spans="119:119" x14ac:dyDescent="0.2">
      <c r="DO32168" s="303" t="s">
        <v>232</v>
      </c>
    </row>
    <row r="32169" spans="119:119" x14ac:dyDescent="0.2">
      <c r="DO32169" s="303" t="s">
        <v>232</v>
      </c>
    </row>
    <row r="32170" spans="119:119" x14ac:dyDescent="0.2">
      <c r="DO32170" s="303" t="s">
        <v>232</v>
      </c>
    </row>
    <row r="32171" spans="119:119" x14ac:dyDescent="0.2">
      <c r="DO32171" s="303" t="s">
        <v>232</v>
      </c>
    </row>
    <row r="32172" spans="119:119" x14ac:dyDescent="0.2">
      <c r="DO32172" s="303" t="s">
        <v>232</v>
      </c>
    </row>
    <row r="32173" spans="119:119" x14ac:dyDescent="0.2">
      <c r="DO32173" s="303" t="s">
        <v>232</v>
      </c>
    </row>
    <row r="32174" spans="119:119" x14ac:dyDescent="0.2">
      <c r="DO32174" s="303" t="s">
        <v>232</v>
      </c>
    </row>
    <row r="32175" spans="119:119" x14ac:dyDescent="0.2">
      <c r="DO32175" s="303" t="s">
        <v>232</v>
      </c>
    </row>
    <row r="32176" spans="119:119" x14ac:dyDescent="0.2">
      <c r="DO32176" s="303" t="s">
        <v>232</v>
      </c>
    </row>
    <row r="32177" spans="119:119" x14ac:dyDescent="0.2">
      <c r="DO32177" s="303" t="s">
        <v>232</v>
      </c>
    </row>
    <row r="32178" spans="119:119" x14ac:dyDescent="0.2">
      <c r="DO32178" s="303" t="s">
        <v>232</v>
      </c>
    </row>
    <row r="32179" spans="119:119" x14ac:dyDescent="0.2">
      <c r="DO32179" s="303" t="s">
        <v>232</v>
      </c>
    </row>
    <row r="32180" spans="119:119" x14ac:dyDescent="0.2">
      <c r="DO32180" s="303" t="s">
        <v>232</v>
      </c>
    </row>
    <row r="32181" spans="119:119" x14ac:dyDescent="0.2">
      <c r="DO32181" s="303" t="s">
        <v>232</v>
      </c>
    </row>
    <row r="32182" spans="119:119" x14ac:dyDescent="0.2">
      <c r="DO32182" s="303" t="s">
        <v>232</v>
      </c>
    </row>
    <row r="32183" spans="119:119" x14ac:dyDescent="0.2">
      <c r="DO32183" s="303" t="s">
        <v>232</v>
      </c>
    </row>
    <row r="32184" spans="119:119" x14ac:dyDescent="0.2">
      <c r="DO32184" s="303" t="s">
        <v>232</v>
      </c>
    </row>
    <row r="32185" spans="119:119" x14ac:dyDescent="0.2">
      <c r="DO32185" s="303" t="s">
        <v>232</v>
      </c>
    </row>
    <row r="32186" spans="119:119" x14ac:dyDescent="0.2">
      <c r="DO32186" s="303" t="s">
        <v>232</v>
      </c>
    </row>
    <row r="32187" spans="119:119" x14ac:dyDescent="0.2">
      <c r="DO32187" s="303" t="s">
        <v>232</v>
      </c>
    </row>
    <row r="32188" spans="119:119" x14ac:dyDescent="0.2">
      <c r="DO32188" s="303" t="s">
        <v>232</v>
      </c>
    </row>
    <row r="32189" spans="119:119" x14ac:dyDescent="0.2">
      <c r="DO32189" s="303" t="s">
        <v>232</v>
      </c>
    </row>
    <row r="32190" spans="119:119" x14ac:dyDescent="0.2">
      <c r="DO32190" s="303" t="s">
        <v>232</v>
      </c>
    </row>
    <row r="32191" spans="119:119" x14ac:dyDescent="0.2">
      <c r="DO32191" s="303" t="s">
        <v>232</v>
      </c>
    </row>
    <row r="32192" spans="119:119" x14ac:dyDescent="0.2">
      <c r="DO32192" s="303" t="s">
        <v>232</v>
      </c>
    </row>
    <row r="32193" spans="119:119" x14ac:dyDescent="0.2">
      <c r="DO32193" s="303" t="s">
        <v>232</v>
      </c>
    </row>
    <row r="32194" spans="119:119" x14ac:dyDescent="0.2">
      <c r="DO32194" s="303" t="s">
        <v>232</v>
      </c>
    </row>
    <row r="32195" spans="119:119" x14ac:dyDescent="0.2">
      <c r="DO32195" s="303" t="s">
        <v>232</v>
      </c>
    </row>
    <row r="32196" spans="119:119" x14ac:dyDescent="0.2">
      <c r="DO32196" s="303" t="s">
        <v>232</v>
      </c>
    </row>
    <row r="32197" spans="119:119" x14ac:dyDescent="0.2">
      <c r="DO32197" s="303" t="s">
        <v>232</v>
      </c>
    </row>
    <row r="32198" spans="119:119" x14ac:dyDescent="0.2">
      <c r="DO32198" s="303" t="s">
        <v>232</v>
      </c>
    </row>
    <row r="32199" spans="119:119" x14ac:dyDescent="0.2">
      <c r="DO32199" s="303" t="s">
        <v>232</v>
      </c>
    </row>
    <row r="32200" spans="119:119" x14ac:dyDescent="0.2">
      <c r="DO32200" s="303" t="s">
        <v>232</v>
      </c>
    </row>
    <row r="32201" spans="119:119" x14ac:dyDescent="0.2">
      <c r="DO32201" s="303" t="s">
        <v>232</v>
      </c>
    </row>
    <row r="32202" spans="119:119" x14ac:dyDescent="0.2">
      <c r="DO32202" s="303" t="s">
        <v>232</v>
      </c>
    </row>
    <row r="32203" spans="119:119" x14ac:dyDescent="0.2">
      <c r="DO32203" s="303" t="s">
        <v>232</v>
      </c>
    </row>
    <row r="32204" spans="119:119" x14ac:dyDescent="0.2">
      <c r="DO32204" s="303" t="s">
        <v>232</v>
      </c>
    </row>
    <row r="32205" spans="119:119" x14ac:dyDescent="0.2">
      <c r="DO32205" s="303" t="s">
        <v>232</v>
      </c>
    </row>
    <row r="32206" spans="119:119" x14ac:dyDescent="0.2">
      <c r="DO32206" s="303" t="s">
        <v>232</v>
      </c>
    </row>
    <row r="32207" spans="119:119" x14ac:dyDescent="0.2">
      <c r="DO32207" s="303" t="s">
        <v>232</v>
      </c>
    </row>
    <row r="32208" spans="119:119" x14ac:dyDescent="0.2">
      <c r="DO32208" s="303" t="s">
        <v>232</v>
      </c>
    </row>
    <row r="32209" spans="119:119" x14ac:dyDescent="0.2">
      <c r="DO32209" s="303" t="s">
        <v>232</v>
      </c>
    </row>
    <row r="32210" spans="119:119" x14ac:dyDescent="0.2">
      <c r="DO32210" s="303" t="s">
        <v>232</v>
      </c>
    </row>
    <row r="32211" spans="119:119" x14ac:dyDescent="0.2">
      <c r="DO32211" s="303" t="s">
        <v>232</v>
      </c>
    </row>
    <row r="32212" spans="119:119" x14ac:dyDescent="0.2">
      <c r="DO32212" s="303" t="s">
        <v>232</v>
      </c>
    </row>
    <row r="32213" spans="119:119" x14ac:dyDescent="0.2">
      <c r="DO32213" s="303" t="s">
        <v>232</v>
      </c>
    </row>
    <row r="32214" spans="119:119" x14ac:dyDescent="0.2">
      <c r="DO32214" s="303" t="s">
        <v>232</v>
      </c>
    </row>
    <row r="32215" spans="119:119" x14ac:dyDescent="0.2">
      <c r="DO32215" s="303" t="s">
        <v>232</v>
      </c>
    </row>
    <row r="32216" spans="119:119" x14ac:dyDescent="0.2">
      <c r="DO32216" s="303" t="s">
        <v>232</v>
      </c>
    </row>
    <row r="32217" spans="119:119" x14ac:dyDescent="0.2">
      <c r="DO32217" s="303" t="s">
        <v>232</v>
      </c>
    </row>
    <row r="32218" spans="119:119" x14ac:dyDescent="0.2">
      <c r="DO32218" s="303" t="s">
        <v>232</v>
      </c>
    </row>
    <row r="32219" spans="119:119" x14ac:dyDescent="0.2">
      <c r="DO32219" s="303" t="s">
        <v>232</v>
      </c>
    </row>
    <row r="32220" spans="119:119" x14ac:dyDescent="0.2">
      <c r="DO32220" s="303" t="s">
        <v>232</v>
      </c>
    </row>
    <row r="32221" spans="119:119" x14ac:dyDescent="0.2">
      <c r="DO32221" s="303" t="s">
        <v>232</v>
      </c>
    </row>
    <row r="32222" spans="119:119" x14ac:dyDescent="0.2">
      <c r="DO32222" s="303" t="s">
        <v>232</v>
      </c>
    </row>
    <row r="32223" spans="119:119" x14ac:dyDescent="0.2">
      <c r="DO32223" s="303" t="s">
        <v>232</v>
      </c>
    </row>
    <row r="32224" spans="119:119" x14ac:dyDescent="0.2">
      <c r="DO32224" s="303" t="s">
        <v>232</v>
      </c>
    </row>
    <row r="32225" spans="119:119" x14ac:dyDescent="0.2">
      <c r="DO32225" s="303" t="s">
        <v>232</v>
      </c>
    </row>
    <row r="32226" spans="119:119" x14ac:dyDescent="0.2">
      <c r="DO32226" s="303" t="s">
        <v>232</v>
      </c>
    </row>
    <row r="32227" spans="119:119" x14ac:dyDescent="0.2">
      <c r="DO32227" s="303" t="s">
        <v>232</v>
      </c>
    </row>
    <row r="32228" spans="119:119" x14ac:dyDescent="0.2">
      <c r="DO32228" s="303" t="s">
        <v>232</v>
      </c>
    </row>
    <row r="32229" spans="119:119" x14ac:dyDescent="0.2">
      <c r="DO32229" s="303" t="s">
        <v>232</v>
      </c>
    </row>
    <row r="32230" spans="119:119" x14ac:dyDescent="0.2">
      <c r="DO32230" s="303" t="s">
        <v>232</v>
      </c>
    </row>
    <row r="32231" spans="119:119" x14ac:dyDescent="0.2">
      <c r="DO32231" s="303" t="s">
        <v>232</v>
      </c>
    </row>
    <row r="32232" spans="119:119" x14ac:dyDescent="0.2">
      <c r="DO32232" s="303" t="s">
        <v>232</v>
      </c>
    </row>
    <row r="32233" spans="119:119" x14ac:dyDescent="0.2">
      <c r="DO32233" s="303" t="s">
        <v>232</v>
      </c>
    </row>
    <row r="32234" spans="119:119" x14ac:dyDescent="0.2">
      <c r="DO32234" s="303" t="s">
        <v>232</v>
      </c>
    </row>
    <row r="32235" spans="119:119" x14ac:dyDescent="0.2">
      <c r="DO32235" s="303" t="s">
        <v>232</v>
      </c>
    </row>
    <row r="32236" spans="119:119" x14ac:dyDescent="0.2">
      <c r="DO32236" s="303" t="s">
        <v>232</v>
      </c>
    </row>
    <row r="32237" spans="119:119" x14ac:dyDescent="0.2">
      <c r="DO32237" s="303" t="s">
        <v>232</v>
      </c>
    </row>
    <row r="32238" spans="119:119" x14ac:dyDescent="0.2">
      <c r="DO32238" s="303" t="s">
        <v>232</v>
      </c>
    </row>
    <row r="32239" spans="119:119" x14ac:dyDescent="0.2">
      <c r="DO32239" s="303" t="s">
        <v>232</v>
      </c>
    </row>
    <row r="32240" spans="119:119" x14ac:dyDescent="0.2">
      <c r="DO32240" s="303" t="s">
        <v>232</v>
      </c>
    </row>
    <row r="32241" spans="119:119" x14ac:dyDescent="0.2">
      <c r="DO32241" s="303" t="s">
        <v>232</v>
      </c>
    </row>
    <row r="32242" spans="119:119" x14ac:dyDescent="0.2">
      <c r="DO32242" s="303" t="s">
        <v>232</v>
      </c>
    </row>
    <row r="32243" spans="119:119" x14ac:dyDescent="0.2">
      <c r="DO32243" s="303" t="s">
        <v>232</v>
      </c>
    </row>
    <row r="32244" spans="119:119" x14ac:dyDescent="0.2">
      <c r="DO32244" s="303" t="s">
        <v>232</v>
      </c>
    </row>
    <row r="32245" spans="119:119" x14ac:dyDescent="0.2">
      <c r="DO32245" s="303" t="s">
        <v>232</v>
      </c>
    </row>
    <row r="32246" spans="119:119" x14ac:dyDescent="0.2">
      <c r="DO32246" s="303" t="s">
        <v>232</v>
      </c>
    </row>
    <row r="32247" spans="119:119" x14ac:dyDescent="0.2">
      <c r="DO32247" s="303" t="s">
        <v>232</v>
      </c>
    </row>
    <row r="32248" spans="119:119" x14ac:dyDescent="0.2">
      <c r="DO32248" s="303" t="s">
        <v>232</v>
      </c>
    </row>
    <row r="32249" spans="119:119" x14ac:dyDescent="0.2">
      <c r="DO32249" s="303" t="s">
        <v>232</v>
      </c>
    </row>
    <row r="32250" spans="119:119" x14ac:dyDescent="0.2">
      <c r="DO32250" s="303" t="s">
        <v>232</v>
      </c>
    </row>
    <row r="32251" spans="119:119" x14ac:dyDescent="0.2">
      <c r="DO32251" s="303" t="s">
        <v>232</v>
      </c>
    </row>
    <row r="32252" spans="119:119" x14ac:dyDescent="0.2">
      <c r="DO32252" s="303" t="s">
        <v>232</v>
      </c>
    </row>
    <row r="32253" spans="119:119" x14ac:dyDescent="0.2">
      <c r="DO32253" s="303" t="s">
        <v>232</v>
      </c>
    </row>
    <row r="32254" spans="119:119" x14ac:dyDescent="0.2">
      <c r="DO32254" s="303" t="s">
        <v>232</v>
      </c>
    </row>
    <row r="32255" spans="119:119" x14ac:dyDescent="0.2">
      <c r="DO32255" s="303" t="s">
        <v>232</v>
      </c>
    </row>
    <row r="32256" spans="119:119" x14ac:dyDescent="0.2">
      <c r="DO32256" s="303" t="s">
        <v>232</v>
      </c>
    </row>
    <row r="32257" spans="119:119" x14ac:dyDescent="0.2">
      <c r="DO32257" s="303" t="s">
        <v>232</v>
      </c>
    </row>
    <row r="32258" spans="119:119" x14ac:dyDescent="0.2">
      <c r="DO32258" s="303" t="s">
        <v>232</v>
      </c>
    </row>
    <row r="32259" spans="119:119" x14ac:dyDescent="0.2">
      <c r="DO32259" s="303" t="s">
        <v>232</v>
      </c>
    </row>
    <row r="32260" spans="119:119" x14ac:dyDescent="0.2">
      <c r="DO32260" s="303" t="s">
        <v>232</v>
      </c>
    </row>
    <row r="32261" spans="119:119" x14ac:dyDescent="0.2">
      <c r="DO32261" s="303" t="s">
        <v>232</v>
      </c>
    </row>
    <row r="32262" spans="119:119" x14ac:dyDescent="0.2">
      <c r="DO32262" s="303" t="s">
        <v>232</v>
      </c>
    </row>
    <row r="32263" spans="119:119" x14ac:dyDescent="0.2">
      <c r="DO32263" s="303" t="s">
        <v>232</v>
      </c>
    </row>
    <row r="32264" spans="119:119" x14ac:dyDescent="0.2">
      <c r="DO32264" s="303" t="s">
        <v>232</v>
      </c>
    </row>
    <row r="32265" spans="119:119" x14ac:dyDescent="0.2">
      <c r="DO32265" s="303" t="s">
        <v>232</v>
      </c>
    </row>
    <row r="32266" spans="119:119" x14ac:dyDescent="0.2">
      <c r="DO32266" s="303" t="s">
        <v>232</v>
      </c>
    </row>
    <row r="32267" spans="119:119" x14ac:dyDescent="0.2">
      <c r="DO32267" s="303" t="s">
        <v>232</v>
      </c>
    </row>
    <row r="32268" spans="119:119" x14ac:dyDescent="0.2">
      <c r="DO32268" s="303" t="s">
        <v>232</v>
      </c>
    </row>
    <row r="32269" spans="119:119" x14ac:dyDescent="0.2">
      <c r="DO32269" s="303" t="s">
        <v>232</v>
      </c>
    </row>
    <row r="32270" spans="119:119" x14ac:dyDescent="0.2">
      <c r="DO32270" s="303" t="s">
        <v>232</v>
      </c>
    </row>
    <row r="32271" spans="119:119" x14ac:dyDescent="0.2">
      <c r="DO32271" s="303" t="s">
        <v>232</v>
      </c>
    </row>
    <row r="32272" spans="119:119" x14ac:dyDescent="0.2">
      <c r="DO32272" s="303" t="s">
        <v>232</v>
      </c>
    </row>
    <row r="32273" spans="119:119" x14ac:dyDescent="0.2">
      <c r="DO32273" s="303" t="s">
        <v>232</v>
      </c>
    </row>
    <row r="32274" spans="119:119" x14ac:dyDescent="0.2">
      <c r="DO32274" s="303" t="s">
        <v>232</v>
      </c>
    </row>
    <row r="32275" spans="119:119" x14ac:dyDescent="0.2">
      <c r="DO32275" s="303" t="s">
        <v>232</v>
      </c>
    </row>
    <row r="32276" spans="119:119" x14ac:dyDescent="0.2">
      <c r="DO32276" s="303" t="s">
        <v>232</v>
      </c>
    </row>
    <row r="32277" spans="119:119" x14ac:dyDescent="0.2">
      <c r="DO32277" s="303" t="s">
        <v>232</v>
      </c>
    </row>
    <row r="32278" spans="119:119" x14ac:dyDescent="0.2">
      <c r="DO32278" s="303" t="s">
        <v>232</v>
      </c>
    </row>
    <row r="32279" spans="119:119" x14ac:dyDescent="0.2">
      <c r="DO32279" s="303" t="s">
        <v>232</v>
      </c>
    </row>
    <row r="32280" spans="119:119" x14ac:dyDescent="0.2">
      <c r="DO32280" s="303" t="s">
        <v>232</v>
      </c>
    </row>
    <row r="32281" spans="119:119" x14ac:dyDescent="0.2">
      <c r="DO32281" s="303" t="s">
        <v>232</v>
      </c>
    </row>
    <row r="32282" spans="119:119" x14ac:dyDescent="0.2">
      <c r="DO32282" s="303" t="s">
        <v>232</v>
      </c>
    </row>
    <row r="32283" spans="119:119" x14ac:dyDescent="0.2">
      <c r="DO32283" s="303" t="s">
        <v>232</v>
      </c>
    </row>
    <row r="32284" spans="119:119" x14ac:dyDescent="0.2">
      <c r="DO32284" s="303" t="s">
        <v>232</v>
      </c>
    </row>
    <row r="32285" spans="119:119" x14ac:dyDescent="0.2">
      <c r="DO32285" s="303" t="s">
        <v>232</v>
      </c>
    </row>
    <row r="32286" spans="119:119" x14ac:dyDescent="0.2">
      <c r="DO32286" s="303" t="s">
        <v>232</v>
      </c>
    </row>
    <row r="32287" spans="119:119" x14ac:dyDescent="0.2">
      <c r="DO32287" s="303" t="s">
        <v>232</v>
      </c>
    </row>
    <row r="32288" spans="119:119" x14ac:dyDescent="0.2">
      <c r="DO32288" s="303" t="s">
        <v>232</v>
      </c>
    </row>
    <row r="32289" spans="119:119" x14ac:dyDescent="0.2">
      <c r="DO32289" s="303" t="s">
        <v>232</v>
      </c>
    </row>
    <row r="32290" spans="119:119" x14ac:dyDescent="0.2">
      <c r="DO32290" s="303" t="s">
        <v>232</v>
      </c>
    </row>
    <row r="32291" spans="119:119" x14ac:dyDescent="0.2">
      <c r="DO32291" s="303" t="s">
        <v>232</v>
      </c>
    </row>
    <row r="32292" spans="119:119" x14ac:dyDescent="0.2">
      <c r="DO32292" s="303" t="s">
        <v>232</v>
      </c>
    </row>
    <row r="32293" spans="119:119" x14ac:dyDescent="0.2">
      <c r="DO32293" s="303" t="s">
        <v>232</v>
      </c>
    </row>
    <row r="32294" spans="119:119" x14ac:dyDescent="0.2">
      <c r="DO32294" s="303" t="s">
        <v>232</v>
      </c>
    </row>
    <row r="32295" spans="119:119" x14ac:dyDescent="0.2">
      <c r="DO32295" s="303" t="s">
        <v>232</v>
      </c>
    </row>
    <row r="32296" spans="119:119" x14ac:dyDescent="0.2">
      <c r="DO32296" s="303" t="s">
        <v>232</v>
      </c>
    </row>
    <row r="32297" spans="119:119" x14ac:dyDescent="0.2">
      <c r="DO32297" s="303" t="s">
        <v>232</v>
      </c>
    </row>
    <row r="32298" spans="119:119" x14ac:dyDescent="0.2">
      <c r="DO32298" s="303" t="s">
        <v>232</v>
      </c>
    </row>
    <row r="32299" spans="119:119" x14ac:dyDescent="0.2">
      <c r="DO32299" s="303" t="s">
        <v>232</v>
      </c>
    </row>
    <row r="32300" spans="119:119" x14ac:dyDescent="0.2">
      <c r="DO32300" s="303" t="s">
        <v>232</v>
      </c>
    </row>
    <row r="32301" spans="119:119" x14ac:dyDescent="0.2">
      <c r="DO32301" s="303" t="s">
        <v>232</v>
      </c>
    </row>
    <row r="32302" spans="119:119" x14ac:dyDescent="0.2">
      <c r="DO32302" s="303" t="s">
        <v>232</v>
      </c>
    </row>
    <row r="32303" spans="119:119" x14ac:dyDescent="0.2">
      <c r="DO32303" s="303" t="s">
        <v>232</v>
      </c>
    </row>
    <row r="32304" spans="119:119" x14ac:dyDescent="0.2">
      <c r="DO32304" s="303" t="s">
        <v>232</v>
      </c>
    </row>
    <row r="32305" spans="119:119" x14ac:dyDescent="0.2">
      <c r="DO32305" s="303" t="s">
        <v>232</v>
      </c>
    </row>
    <row r="32306" spans="119:119" x14ac:dyDescent="0.2">
      <c r="DO32306" s="303" t="s">
        <v>232</v>
      </c>
    </row>
    <row r="32307" spans="119:119" x14ac:dyDescent="0.2">
      <c r="DO32307" s="303" t="s">
        <v>232</v>
      </c>
    </row>
    <row r="32308" spans="119:119" x14ac:dyDescent="0.2">
      <c r="DO32308" s="303" t="s">
        <v>232</v>
      </c>
    </row>
    <row r="32309" spans="119:119" x14ac:dyDescent="0.2">
      <c r="DO32309" s="303" t="s">
        <v>232</v>
      </c>
    </row>
    <row r="32310" spans="119:119" x14ac:dyDescent="0.2">
      <c r="DO32310" s="303" t="s">
        <v>232</v>
      </c>
    </row>
    <row r="32311" spans="119:119" x14ac:dyDescent="0.2">
      <c r="DO32311" s="303" t="s">
        <v>232</v>
      </c>
    </row>
    <row r="32312" spans="119:119" x14ac:dyDescent="0.2">
      <c r="DO32312" s="303" t="s">
        <v>232</v>
      </c>
    </row>
    <row r="32313" spans="119:119" x14ac:dyDescent="0.2">
      <c r="DO32313" s="303" t="s">
        <v>232</v>
      </c>
    </row>
    <row r="32314" spans="119:119" x14ac:dyDescent="0.2">
      <c r="DO32314" s="303" t="s">
        <v>232</v>
      </c>
    </row>
    <row r="32315" spans="119:119" x14ac:dyDescent="0.2">
      <c r="DO32315" s="303" t="s">
        <v>232</v>
      </c>
    </row>
    <row r="32316" spans="119:119" x14ac:dyDescent="0.2">
      <c r="DO32316" s="303" t="s">
        <v>232</v>
      </c>
    </row>
    <row r="32317" spans="119:119" x14ac:dyDescent="0.2">
      <c r="DO32317" s="303" t="s">
        <v>232</v>
      </c>
    </row>
    <row r="32318" spans="119:119" x14ac:dyDescent="0.2">
      <c r="DO32318" s="303" t="s">
        <v>232</v>
      </c>
    </row>
    <row r="32319" spans="119:119" x14ac:dyDescent="0.2">
      <c r="DO32319" s="303" t="s">
        <v>232</v>
      </c>
    </row>
    <row r="32320" spans="119:119" x14ac:dyDescent="0.2">
      <c r="DO32320" s="303" t="s">
        <v>232</v>
      </c>
    </row>
    <row r="32321" spans="119:119" x14ac:dyDescent="0.2">
      <c r="DO32321" s="303" t="s">
        <v>232</v>
      </c>
    </row>
    <row r="32322" spans="119:119" x14ac:dyDescent="0.2">
      <c r="DO32322" s="303" t="s">
        <v>232</v>
      </c>
    </row>
    <row r="32323" spans="119:119" x14ac:dyDescent="0.2">
      <c r="DO32323" s="303" t="s">
        <v>232</v>
      </c>
    </row>
    <row r="32324" spans="119:119" x14ac:dyDescent="0.2">
      <c r="DO32324" s="303" t="s">
        <v>232</v>
      </c>
    </row>
    <row r="32325" spans="119:119" x14ac:dyDescent="0.2">
      <c r="DO32325" s="303" t="s">
        <v>232</v>
      </c>
    </row>
    <row r="32326" spans="119:119" x14ac:dyDescent="0.2">
      <c r="DO32326" s="303" t="s">
        <v>232</v>
      </c>
    </row>
    <row r="32327" spans="119:119" x14ac:dyDescent="0.2">
      <c r="DO32327" s="303" t="s">
        <v>232</v>
      </c>
    </row>
    <row r="32328" spans="119:119" x14ac:dyDescent="0.2">
      <c r="DO32328" s="303" t="s">
        <v>232</v>
      </c>
    </row>
    <row r="32329" spans="119:119" x14ac:dyDescent="0.2">
      <c r="DO32329" s="303" t="s">
        <v>232</v>
      </c>
    </row>
    <row r="32330" spans="119:119" x14ac:dyDescent="0.2">
      <c r="DO32330" s="303" t="s">
        <v>232</v>
      </c>
    </row>
    <row r="32331" spans="119:119" x14ac:dyDescent="0.2">
      <c r="DO32331" s="303" t="s">
        <v>232</v>
      </c>
    </row>
    <row r="32332" spans="119:119" x14ac:dyDescent="0.2">
      <c r="DO32332" s="303" t="s">
        <v>232</v>
      </c>
    </row>
    <row r="32333" spans="119:119" x14ac:dyDescent="0.2">
      <c r="DO32333" s="303" t="s">
        <v>232</v>
      </c>
    </row>
    <row r="32334" spans="119:119" x14ac:dyDescent="0.2">
      <c r="DO32334" s="303" t="s">
        <v>232</v>
      </c>
    </row>
    <row r="32335" spans="119:119" x14ac:dyDescent="0.2">
      <c r="DO32335" s="303" t="s">
        <v>232</v>
      </c>
    </row>
    <row r="32336" spans="119:119" x14ac:dyDescent="0.2">
      <c r="DO32336" s="303" t="s">
        <v>232</v>
      </c>
    </row>
    <row r="32337" spans="119:119" x14ac:dyDescent="0.2">
      <c r="DO32337" s="303" t="s">
        <v>232</v>
      </c>
    </row>
    <row r="32338" spans="119:119" x14ac:dyDescent="0.2">
      <c r="DO32338" s="303" t="s">
        <v>232</v>
      </c>
    </row>
    <row r="32339" spans="119:119" x14ac:dyDescent="0.2">
      <c r="DO32339" s="303" t="s">
        <v>232</v>
      </c>
    </row>
    <row r="32340" spans="119:119" x14ac:dyDescent="0.2">
      <c r="DO32340" s="303" t="s">
        <v>232</v>
      </c>
    </row>
    <row r="32341" spans="119:119" x14ac:dyDescent="0.2">
      <c r="DO32341" s="303" t="s">
        <v>232</v>
      </c>
    </row>
    <row r="32342" spans="119:119" x14ac:dyDescent="0.2">
      <c r="DO32342" s="303" t="s">
        <v>232</v>
      </c>
    </row>
    <row r="32343" spans="119:119" x14ac:dyDescent="0.2">
      <c r="DO32343" s="303" t="s">
        <v>232</v>
      </c>
    </row>
    <row r="32344" spans="119:119" x14ac:dyDescent="0.2">
      <c r="DO32344" s="303" t="s">
        <v>232</v>
      </c>
    </row>
    <row r="32345" spans="119:119" x14ac:dyDescent="0.2">
      <c r="DO32345" s="303" t="s">
        <v>232</v>
      </c>
    </row>
    <row r="32346" spans="119:119" x14ac:dyDescent="0.2">
      <c r="DO32346" s="303" t="s">
        <v>232</v>
      </c>
    </row>
    <row r="32347" spans="119:119" x14ac:dyDescent="0.2">
      <c r="DO32347" s="303" t="s">
        <v>232</v>
      </c>
    </row>
    <row r="32348" spans="119:119" x14ac:dyDescent="0.2">
      <c r="DO32348" s="303" t="s">
        <v>232</v>
      </c>
    </row>
    <row r="32349" spans="119:119" x14ac:dyDescent="0.2">
      <c r="DO32349" s="303" t="s">
        <v>232</v>
      </c>
    </row>
    <row r="32350" spans="119:119" x14ac:dyDescent="0.2">
      <c r="DO32350" s="303" t="s">
        <v>232</v>
      </c>
    </row>
    <row r="32351" spans="119:119" x14ac:dyDescent="0.2">
      <c r="DO32351" s="303" t="s">
        <v>232</v>
      </c>
    </row>
    <row r="32352" spans="119:119" x14ac:dyDescent="0.2">
      <c r="DO32352" s="303" t="s">
        <v>232</v>
      </c>
    </row>
    <row r="32353" spans="119:119" x14ac:dyDescent="0.2">
      <c r="DO32353" s="303" t="s">
        <v>232</v>
      </c>
    </row>
    <row r="32354" spans="119:119" x14ac:dyDescent="0.2">
      <c r="DO32354" s="303" t="s">
        <v>232</v>
      </c>
    </row>
    <row r="32355" spans="119:119" x14ac:dyDescent="0.2">
      <c r="DO32355" s="303" t="s">
        <v>232</v>
      </c>
    </row>
    <row r="32356" spans="119:119" x14ac:dyDescent="0.2">
      <c r="DO32356" s="303" t="s">
        <v>232</v>
      </c>
    </row>
    <row r="32357" spans="119:119" x14ac:dyDescent="0.2">
      <c r="DO32357" s="303" t="s">
        <v>232</v>
      </c>
    </row>
    <row r="32358" spans="119:119" x14ac:dyDescent="0.2">
      <c r="DO32358" s="303" t="s">
        <v>232</v>
      </c>
    </row>
    <row r="32359" spans="119:119" x14ac:dyDescent="0.2">
      <c r="DO32359" s="303" t="s">
        <v>232</v>
      </c>
    </row>
    <row r="32360" spans="119:119" x14ac:dyDescent="0.2">
      <c r="DO32360" s="303" t="s">
        <v>232</v>
      </c>
    </row>
    <row r="32361" spans="119:119" x14ac:dyDescent="0.2">
      <c r="DO32361" s="303" t="s">
        <v>232</v>
      </c>
    </row>
    <row r="32362" spans="119:119" x14ac:dyDescent="0.2">
      <c r="DO32362" s="303" t="s">
        <v>232</v>
      </c>
    </row>
    <row r="32363" spans="119:119" x14ac:dyDescent="0.2">
      <c r="DO32363" s="303" t="s">
        <v>232</v>
      </c>
    </row>
    <row r="32364" spans="119:119" x14ac:dyDescent="0.2">
      <c r="DO32364" s="303" t="s">
        <v>232</v>
      </c>
    </row>
    <row r="32365" spans="119:119" x14ac:dyDescent="0.2">
      <c r="DO32365" s="303" t="s">
        <v>232</v>
      </c>
    </row>
    <row r="32366" spans="119:119" x14ac:dyDescent="0.2">
      <c r="DO32366" s="303" t="s">
        <v>232</v>
      </c>
    </row>
    <row r="32367" spans="119:119" x14ac:dyDescent="0.2">
      <c r="DO32367" s="303" t="s">
        <v>232</v>
      </c>
    </row>
    <row r="32368" spans="119:119" x14ac:dyDescent="0.2">
      <c r="DO32368" s="303" t="s">
        <v>232</v>
      </c>
    </row>
    <row r="32369" spans="119:119" x14ac:dyDescent="0.2">
      <c r="DO32369" s="303" t="s">
        <v>232</v>
      </c>
    </row>
    <row r="32370" spans="119:119" x14ac:dyDescent="0.2">
      <c r="DO32370" s="303" t="s">
        <v>232</v>
      </c>
    </row>
    <row r="32371" spans="119:119" x14ac:dyDescent="0.2">
      <c r="DO32371" s="303" t="s">
        <v>232</v>
      </c>
    </row>
    <row r="32372" spans="119:119" x14ac:dyDescent="0.2">
      <c r="DO32372" s="303" t="s">
        <v>232</v>
      </c>
    </row>
    <row r="32373" spans="119:119" x14ac:dyDescent="0.2">
      <c r="DO32373" s="303" t="s">
        <v>232</v>
      </c>
    </row>
    <row r="32374" spans="119:119" x14ac:dyDescent="0.2">
      <c r="DO32374" s="303" t="s">
        <v>232</v>
      </c>
    </row>
    <row r="32375" spans="119:119" x14ac:dyDescent="0.2">
      <c r="DO32375" s="303" t="s">
        <v>232</v>
      </c>
    </row>
    <row r="32376" spans="119:119" x14ac:dyDescent="0.2">
      <c r="DO32376" s="303" t="s">
        <v>232</v>
      </c>
    </row>
    <row r="32377" spans="119:119" x14ac:dyDescent="0.2">
      <c r="DO32377" s="303" t="s">
        <v>232</v>
      </c>
    </row>
    <row r="32378" spans="119:119" x14ac:dyDescent="0.2">
      <c r="DO32378" s="303" t="s">
        <v>232</v>
      </c>
    </row>
    <row r="32379" spans="119:119" x14ac:dyDescent="0.2">
      <c r="DO32379" s="303" t="s">
        <v>232</v>
      </c>
    </row>
    <row r="32380" spans="119:119" x14ac:dyDescent="0.2">
      <c r="DO32380" s="303" t="s">
        <v>232</v>
      </c>
    </row>
    <row r="32381" spans="119:119" x14ac:dyDescent="0.2">
      <c r="DO32381" s="303" t="s">
        <v>232</v>
      </c>
    </row>
    <row r="32382" spans="119:119" x14ac:dyDescent="0.2">
      <c r="DO32382" s="303" t="s">
        <v>232</v>
      </c>
    </row>
    <row r="32383" spans="119:119" x14ac:dyDescent="0.2">
      <c r="DO32383" s="303" t="s">
        <v>232</v>
      </c>
    </row>
    <row r="32384" spans="119:119" x14ac:dyDescent="0.2">
      <c r="DO32384" s="303" t="s">
        <v>232</v>
      </c>
    </row>
    <row r="32385" spans="119:119" x14ac:dyDescent="0.2">
      <c r="DO32385" s="303" t="s">
        <v>232</v>
      </c>
    </row>
    <row r="32386" spans="119:119" x14ac:dyDescent="0.2">
      <c r="DO32386" s="303" t="s">
        <v>232</v>
      </c>
    </row>
    <row r="32387" spans="119:119" x14ac:dyDescent="0.2">
      <c r="DO32387" s="303" t="s">
        <v>232</v>
      </c>
    </row>
    <row r="32388" spans="119:119" x14ac:dyDescent="0.2">
      <c r="DO32388" s="303" t="s">
        <v>232</v>
      </c>
    </row>
    <row r="32389" spans="119:119" x14ac:dyDescent="0.2">
      <c r="DO32389" s="303" t="s">
        <v>232</v>
      </c>
    </row>
    <row r="32390" spans="119:119" x14ac:dyDescent="0.2">
      <c r="DO32390" s="303" t="s">
        <v>232</v>
      </c>
    </row>
    <row r="32391" spans="119:119" x14ac:dyDescent="0.2">
      <c r="DO32391" s="303" t="s">
        <v>232</v>
      </c>
    </row>
    <row r="32392" spans="119:119" x14ac:dyDescent="0.2">
      <c r="DO32392" s="303" t="s">
        <v>232</v>
      </c>
    </row>
    <row r="32393" spans="119:119" x14ac:dyDescent="0.2">
      <c r="DO32393" s="303" t="s">
        <v>232</v>
      </c>
    </row>
    <row r="32394" spans="119:119" x14ac:dyDescent="0.2">
      <c r="DO32394" s="303" t="s">
        <v>232</v>
      </c>
    </row>
    <row r="32395" spans="119:119" x14ac:dyDescent="0.2">
      <c r="DO32395" s="303" t="s">
        <v>232</v>
      </c>
    </row>
    <row r="32396" spans="119:119" x14ac:dyDescent="0.2">
      <c r="DO32396" s="303" t="s">
        <v>232</v>
      </c>
    </row>
    <row r="32397" spans="119:119" x14ac:dyDescent="0.2">
      <c r="DO32397" s="303" t="s">
        <v>232</v>
      </c>
    </row>
    <row r="32398" spans="119:119" x14ac:dyDescent="0.2">
      <c r="DO32398" s="303" t="s">
        <v>232</v>
      </c>
    </row>
    <row r="32399" spans="119:119" x14ac:dyDescent="0.2">
      <c r="DO32399" s="303" t="s">
        <v>232</v>
      </c>
    </row>
    <row r="32400" spans="119:119" x14ac:dyDescent="0.2">
      <c r="DO32400" s="303" t="s">
        <v>232</v>
      </c>
    </row>
    <row r="32401" spans="119:119" x14ac:dyDescent="0.2">
      <c r="DO32401" s="303" t="s">
        <v>232</v>
      </c>
    </row>
    <row r="32402" spans="119:119" x14ac:dyDescent="0.2">
      <c r="DO32402" s="303" t="s">
        <v>232</v>
      </c>
    </row>
    <row r="32403" spans="119:119" x14ac:dyDescent="0.2">
      <c r="DO32403" s="303" t="s">
        <v>232</v>
      </c>
    </row>
    <row r="32404" spans="119:119" x14ac:dyDescent="0.2">
      <c r="DO32404" s="303" t="s">
        <v>232</v>
      </c>
    </row>
    <row r="32405" spans="119:119" x14ac:dyDescent="0.2">
      <c r="DO32405" s="303" t="s">
        <v>232</v>
      </c>
    </row>
    <row r="32406" spans="119:119" x14ac:dyDescent="0.2">
      <c r="DO32406" s="303" t="s">
        <v>232</v>
      </c>
    </row>
    <row r="32407" spans="119:119" x14ac:dyDescent="0.2">
      <c r="DO32407" s="303" t="s">
        <v>232</v>
      </c>
    </row>
    <row r="32408" spans="119:119" x14ac:dyDescent="0.2">
      <c r="DO32408" s="303" t="s">
        <v>232</v>
      </c>
    </row>
    <row r="32409" spans="119:119" x14ac:dyDescent="0.2">
      <c r="DO32409" s="303" t="s">
        <v>232</v>
      </c>
    </row>
    <row r="32410" spans="119:119" x14ac:dyDescent="0.2">
      <c r="DO32410" s="303" t="s">
        <v>232</v>
      </c>
    </row>
    <row r="32411" spans="119:119" x14ac:dyDescent="0.2">
      <c r="DO32411" s="303" t="s">
        <v>232</v>
      </c>
    </row>
    <row r="32412" spans="119:119" x14ac:dyDescent="0.2">
      <c r="DO32412" s="303" t="s">
        <v>232</v>
      </c>
    </row>
    <row r="32413" spans="119:119" x14ac:dyDescent="0.2">
      <c r="DO32413" s="303" t="s">
        <v>232</v>
      </c>
    </row>
    <row r="32414" spans="119:119" x14ac:dyDescent="0.2">
      <c r="DO32414" s="303" t="s">
        <v>232</v>
      </c>
    </row>
    <row r="32415" spans="119:119" x14ac:dyDescent="0.2">
      <c r="DO32415" s="303" t="s">
        <v>232</v>
      </c>
    </row>
    <row r="32416" spans="119:119" x14ac:dyDescent="0.2">
      <c r="DO32416" s="303" t="s">
        <v>232</v>
      </c>
    </row>
    <row r="32417" spans="119:119" x14ac:dyDescent="0.2">
      <c r="DO32417" s="303" t="s">
        <v>232</v>
      </c>
    </row>
    <row r="32418" spans="119:119" x14ac:dyDescent="0.2">
      <c r="DO32418" s="303" t="s">
        <v>232</v>
      </c>
    </row>
    <row r="32419" spans="119:119" x14ac:dyDescent="0.2">
      <c r="DO32419" s="303" t="s">
        <v>232</v>
      </c>
    </row>
    <row r="32420" spans="119:119" x14ac:dyDescent="0.2">
      <c r="DO32420" s="303" t="s">
        <v>232</v>
      </c>
    </row>
    <row r="32421" spans="119:119" x14ac:dyDescent="0.2">
      <c r="DO32421" s="303" t="s">
        <v>232</v>
      </c>
    </row>
    <row r="32422" spans="119:119" x14ac:dyDescent="0.2">
      <c r="DO32422" s="303" t="s">
        <v>232</v>
      </c>
    </row>
    <row r="32423" spans="119:119" x14ac:dyDescent="0.2">
      <c r="DO32423" s="303" t="s">
        <v>232</v>
      </c>
    </row>
    <row r="32424" spans="119:119" x14ac:dyDescent="0.2">
      <c r="DO32424" s="303" t="s">
        <v>232</v>
      </c>
    </row>
    <row r="32425" spans="119:119" x14ac:dyDescent="0.2">
      <c r="DO32425" s="303" t="s">
        <v>232</v>
      </c>
    </row>
    <row r="32426" spans="119:119" x14ac:dyDescent="0.2">
      <c r="DO32426" s="303" t="s">
        <v>232</v>
      </c>
    </row>
    <row r="32427" spans="119:119" x14ac:dyDescent="0.2">
      <c r="DO32427" s="303" t="s">
        <v>232</v>
      </c>
    </row>
    <row r="32428" spans="119:119" x14ac:dyDescent="0.2">
      <c r="DO32428" s="303" t="s">
        <v>232</v>
      </c>
    </row>
    <row r="32429" spans="119:119" x14ac:dyDescent="0.2">
      <c r="DO32429" s="303" t="s">
        <v>232</v>
      </c>
    </row>
    <row r="32430" spans="119:119" x14ac:dyDescent="0.2">
      <c r="DO32430" s="303" t="s">
        <v>232</v>
      </c>
    </row>
    <row r="32431" spans="119:119" x14ac:dyDescent="0.2">
      <c r="DO32431" s="303" t="s">
        <v>232</v>
      </c>
    </row>
    <row r="32432" spans="119:119" x14ac:dyDescent="0.2">
      <c r="DO32432" s="303" t="s">
        <v>232</v>
      </c>
    </row>
    <row r="32433" spans="119:119" x14ac:dyDescent="0.2">
      <c r="DO32433" s="303" t="s">
        <v>232</v>
      </c>
    </row>
    <row r="32434" spans="119:119" x14ac:dyDescent="0.2">
      <c r="DO32434" s="303" t="s">
        <v>232</v>
      </c>
    </row>
    <row r="32435" spans="119:119" x14ac:dyDescent="0.2">
      <c r="DO32435" s="303" t="s">
        <v>232</v>
      </c>
    </row>
    <row r="32436" spans="119:119" x14ac:dyDescent="0.2">
      <c r="DO32436" s="303" t="s">
        <v>232</v>
      </c>
    </row>
    <row r="32437" spans="119:119" x14ac:dyDescent="0.2">
      <c r="DO32437" s="303" t="s">
        <v>232</v>
      </c>
    </row>
    <row r="32438" spans="119:119" x14ac:dyDescent="0.2">
      <c r="DO32438" s="303" t="s">
        <v>232</v>
      </c>
    </row>
    <row r="32439" spans="119:119" x14ac:dyDescent="0.2">
      <c r="DO32439" s="303" t="s">
        <v>232</v>
      </c>
    </row>
    <row r="32440" spans="119:119" x14ac:dyDescent="0.2">
      <c r="DO32440" s="303" t="s">
        <v>232</v>
      </c>
    </row>
    <row r="32441" spans="119:119" x14ac:dyDescent="0.2">
      <c r="DO32441" s="303" t="s">
        <v>232</v>
      </c>
    </row>
    <row r="32442" spans="119:119" x14ac:dyDescent="0.2">
      <c r="DO32442" s="303" t="s">
        <v>232</v>
      </c>
    </row>
    <row r="32443" spans="119:119" x14ac:dyDescent="0.2">
      <c r="DO32443" s="303" t="s">
        <v>232</v>
      </c>
    </row>
    <row r="32444" spans="119:119" x14ac:dyDescent="0.2">
      <c r="DO32444" s="303" t="s">
        <v>232</v>
      </c>
    </row>
    <row r="32445" spans="119:119" x14ac:dyDescent="0.2">
      <c r="DO32445" s="303" t="s">
        <v>232</v>
      </c>
    </row>
    <row r="32446" spans="119:119" x14ac:dyDescent="0.2">
      <c r="DO32446" s="303" t="s">
        <v>232</v>
      </c>
    </row>
    <row r="32447" spans="119:119" x14ac:dyDescent="0.2">
      <c r="DO32447" s="303" t="s">
        <v>232</v>
      </c>
    </row>
    <row r="32448" spans="119:119" x14ac:dyDescent="0.2">
      <c r="DO32448" s="303" t="s">
        <v>232</v>
      </c>
    </row>
    <row r="32449" spans="119:119" x14ac:dyDescent="0.2">
      <c r="DO32449" s="303" t="s">
        <v>232</v>
      </c>
    </row>
    <row r="32450" spans="119:119" x14ac:dyDescent="0.2">
      <c r="DO32450" s="303" t="s">
        <v>232</v>
      </c>
    </row>
    <row r="32451" spans="119:119" x14ac:dyDescent="0.2">
      <c r="DO32451" s="303" t="s">
        <v>232</v>
      </c>
    </row>
    <row r="32452" spans="119:119" x14ac:dyDescent="0.2">
      <c r="DO32452" s="303" t="s">
        <v>232</v>
      </c>
    </row>
    <row r="32453" spans="119:119" x14ac:dyDescent="0.2">
      <c r="DO32453" s="303" t="s">
        <v>232</v>
      </c>
    </row>
    <row r="32454" spans="119:119" x14ac:dyDescent="0.2">
      <c r="DO32454" s="303" t="s">
        <v>232</v>
      </c>
    </row>
    <row r="32455" spans="119:119" x14ac:dyDescent="0.2">
      <c r="DO32455" s="303" t="s">
        <v>232</v>
      </c>
    </row>
    <row r="32456" spans="119:119" x14ac:dyDescent="0.2">
      <c r="DO32456" s="303" t="s">
        <v>232</v>
      </c>
    </row>
    <row r="32457" spans="119:119" x14ac:dyDescent="0.2">
      <c r="DO32457" s="303" t="s">
        <v>232</v>
      </c>
    </row>
    <row r="32458" spans="119:119" x14ac:dyDescent="0.2">
      <c r="DO32458" s="303" t="s">
        <v>232</v>
      </c>
    </row>
    <row r="32459" spans="119:119" x14ac:dyDescent="0.2">
      <c r="DO32459" s="303" t="s">
        <v>232</v>
      </c>
    </row>
    <row r="32460" spans="119:119" x14ac:dyDescent="0.2">
      <c r="DO32460" s="303" t="s">
        <v>232</v>
      </c>
    </row>
    <row r="32461" spans="119:119" x14ac:dyDescent="0.2">
      <c r="DO32461" s="303" t="s">
        <v>232</v>
      </c>
    </row>
    <row r="32462" spans="119:119" x14ac:dyDescent="0.2">
      <c r="DO32462" s="303" t="s">
        <v>232</v>
      </c>
    </row>
    <row r="32463" spans="119:119" x14ac:dyDescent="0.2">
      <c r="DO32463" s="303" t="s">
        <v>232</v>
      </c>
    </row>
    <row r="32464" spans="119:119" x14ac:dyDescent="0.2">
      <c r="DO32464" s="303" t="s">
        <v>232</v>
      </c>
    </row>
    <row r="32465" spans="119:119" x14ac:dyDescent="0.2">
      <c r="DO32465" s="303" t="s">
        <v>232</v>
      </c>
    </row>
    <row r="32466" spans="119:119" x14ac:dyDescent="0.2">
      <c r="DO32466" s="303" t="s">
        <v>232</v>
      </c>
    </row>
    <row r="32467" spans="119:119" x14ac:dyDescent="0.2">
      <c r="DO32467" s="303" t="s">
        <v>232</v>
      </c>
    </row>
    <row r="32468" spans="119:119" x14ac:dyDescent="0.2">
      <c r="DO32468" s="303" t="s">
        <v>232</v>
      </c>
    </row>
    <row r="32469" spans="119:119" x14ac:dyDescent="0.2">
      <c r="DO32469" s="303" t="s">
        <v>232</v>
      </c>
    </row>
    <row r="32470" spans="119:119" x14ac:dyDescent="0.2">
      <c r="DO32470" s="303" t="s">
        <v>232</v>
      </c>
    </row>
    <row r="32471" spans="119:119" x14ac:dyDescent="0.2">
      <c r="DO32471" s="303" t="s">
        <v>232</v>
      </c>
    </row>
    <row r="32472" spans="119:119" x14ac:dyDescent="0.2">
      <c r="DO32472" s="303" t="s">
        <v>232</v>
      </c>
    </row>
    <row r="32473" spans="119:119" x14ac:dyDescent="0.2">
      <c r="DO32473" s="303" t="s">
        <v>232</v>
      </c>
    </row>
    <row r="32474" spans="119:119" x14ac:dyDescent="0.2">
      <c r="DO32474" s="303" t="s">
        <v>232</v>
      </c>
    </row>
    <row r="32475" spans="119:119" x14ac:dyDescent="0.2">
      <c r="DO32475" s="303" t="s">
        <v>232</v>
      </c>
    </row>
    <row r="32476" spans="119:119" x14ac:dyDescent="0.2">
      <c r="DO32476" s="303" t="s">
        <v>232</v>
      </c>
    </row>
    <row r="32477" spans="119:119" x14ac:dyDescent="0.2">
      <c r="DO32477" s="303" t="s">
        <v>232</v>
      </c>
    </row>
    <row r="32478" spans="119:119" x14ac:dyDescent="0.2">
      <c r="DO32478" s="303" t="s">
        <v>232</v>
      </c>
    </row>
    <row r="32479" spans="119:119" x14ac:dyDescent="0.2">
      <c r="DO32479" s="303" t="s">
        <v>232</v>
      </c>
    </row>
    <row r="32480" spans="119:119" x14ac:dyDescent="0.2">
      <c r="DO32480" s="303" t="s">
        <v>232</v>
      </c>
    </row>
    <row r="32481" spans="119:119" x14ac:dyDescent="0.2">
      <c r="DO32481" s="303" t="s">
        <v>232</v>
      </c>
    </row>
    <row r="32482" spans="119:119" x14ac:dyDescent="0.2">
      <c r="DO32482" s="303" t="s">
        <v>232</v>
      </c>
    </row>
    <row r="32483" spans="119:119" x14ac:dyDescent="0.2">
      <c r="DO32483" s="303" t="s">
        <v>232</v>
      </c>
    </row>
    <row r="32484" spans="119:119" x14ac:dyDescent="0.2">
      <c r="DO32484" s="303" t="s">
        <v>232</v>
      </c>
    </row>
    <row r="32485" spans="119:119" x14ac:dyDescent="0.2">
      <c r="DO32485" s="303" t="s">
        <v>232</v>
      </c>
    </row>
    <row r="32486" spans="119:119" x14ac:dyDescent="0.2">
      <c r="DO32486" s="303" t="s">
        <v>232</v>
      </c>
    </row>
    <row r="32487" spans="119:119" x14ac:dyDescent="0.2">
      <c r="DO32487" s="303" t="s">
        <v>232</v>
      </c>
    </row>
    <row r="32488" spans="119:119" x14ac:dyDescent="0.2">
      <c r="DO32488" s="303" t="s">
        <v>232</v>
      </c>
    </row>
    <row r="32489" spans="119:119" x14ac:dyDescent="0.2">
      <c r="DO32489" s="303" t="s">
        <v>232</v>
      </c>
    </row>
    <row r="32490" spans="119:119" x14ac:dyDescent="0.2">
      <c r="DO32490" s="303" t="s">
        <v>232</v>
      </c>
    </row>
    <row r="32491" spans="119:119" x14ac:dyDescent="0.2">
      <c r="DO32491" s="303" t="s">
        <v>232</v>
      </c>
    </row>
    <row r="32492" spans="119:119" x14ac:dyDescent="0.2">
      <c r="DO32492" s="303" t="s">
        <v>232</v>
      </c>
    </row>
    <row r="32493" spans="119:119" x14ac:dyDescent="0.2">
      <c r="DO32493" s="303" t="s">
        <v>232</v>
      </c>
    </row>
    <row r="32494" spans="119:119" x14ac:dyDescent="0.2">
      <c r="DO32494" s="303" t="s">
        <v>232</v>
      </c>
    </row>
    <row r="32495" spans="119:119" x14ac:dyDescent="0.2">
      <c r="DO32495" s="303" t="s">
        <v>232</v>
      </c>
    </row>
    <row r="32496" spans="119:119" x14ac:dyDescent="0.2">
      <c r="DO32496" s="303" t="s">
        <v>232</v>
      </c>
    </row>
    <row r="32497" spans="119:119" x14ac:dyDescent="0.2">
      <c r="DO32497" s="303" t="s">
        <v>232</v>
      </c>
    </row>
    <row r="32498" spans="119:119" x14ac:dyDescent="0.2">
      <c r="DO32498" s="303" t="s">
        <v>232</v>
      </c>
    </row>
    <row r="32499" spans="119:119" x14ac:dyDescent="0.2">
      <c r="DO32499" s="303" t="s">
        <v>232</v>
      </c>
    </row>
    <row r="32500" spans="119:119" x14ac:dyDescent="0.2">
      <c r="DO32500" s="303" t="s">
        <v>232</v>
      </c>
    </row>
    <row r="32501" spans="119:119" x14ac:dyDescent="0.2">
      <c r="DO32501" s="303" t="s">
        <v>232</v>
      </c>
    </row>
    <row r="32502" spans="119:119" x14ac:dyDescent="0.2">
      <c r="DO32502" s="303" t="s">
        <v>232</v>
      </c>
    </row>
    <row r="32503" spans="119:119" x14ac:dyDescent="0.2">
      <c r="DO32503" s="303" t="s">
        <v>232</v>
      </c>
    </row>
    <row r="32504" spans="119:119" x14ac:dyDescent="0.2">
      <c r="DO32504" s="303" t="s">
        <v>232</v>
      </c>
    </row>
    <row r="32505" spans="119:119" x14ac:dyDescent="0.2">
      <c r="DO32505" s="303" t="s">
        <v>232</v>
      </c>
    </row>
    <row r="32506" spans="119:119" x14ac:dyDescent="0.2">
      <c r="DO32506" s="303" t="s">
        <v>232</v>
      </c>
    </row>
    <row r="32507" spans="119:119" x14ac:dyDescent="0.2">
      <c r="DO32507" s="303" t="s">
        <v>232</v>
      </c>
    </row>
    <row r="32508" spans="119:119" x14ac:dyDescent="0.2">
      <c r="DO32508" s="303" t="s">
        <v>232</v>
      </c>
    </row>
    <row r="32509" spans="119:119" x14ac:dyDescent="0.2">
      <c r="DO32509" s="303" t="s">
        <v>232</v>
      </c>
    </row>
    <row r="32510" spans="119:119" x14ac:dyDescent="0.2">
      <c r="DO32510" s="303" t="s">
        <v>232</v>
      </c>
    </row>
    <row r="32511" spans="119:119" x14ac:dyDescent="0.2">
      <c r="DO32511" s="303" t="s">
        <v>232</v>
      </c>
    </row>
    <row r="32512" spans="119:119" x14ac:dyDescent="0.2">
      <c r="DO32512" s="303" t="s">
        <v>232</v>
      </c>
    </row>
    <row r="32513" spans="119:119" x14ac:dyDescent="0.2">
      <c r="DO32513" s="303" t="s">
        <v>232</v>
      </c>
    </row>
    <row r="32514" spans="119:119" x14ac:dyDescent="0.2">
      <c r="DO32514" s="303" t="s">
        <v>232</v>
      </c>
    </row>
    <row r="32515" spans="119:119" x14ac:dyDescent="0.2">
      <c r="DO32515" s="303" t="s">
        <v>232</v>
      </c>
    </row>
    <row r="32516" spans="119:119" x14ac:dyDescent="0.2">
      <c r="DO32516" s="303" t="s">
        <v>232</v>
      </c>
    </row>
    <row r="32517" spans="119:119" x14ac:dyDescent="0.2">
      <c r="DO32517" s="303" t="s">
        <v>232</v>
      </c>
    </row>
    <row r="32518" spans="119:119" x14ac:dyDescent="0.2">
      <c r="DO32518" s="303" t="s">
        <v>232</v>
      </c>
    </row>
    <row r="32519" spans="119:119" x14ac:dyDescent="0.2">
      <c r="DO32519" s="303" t="s">
        <v>232</v>
      </c>
    </row>
    <row r="32520" spans="119:119" x14ac:dyDescent="0.2">
      <c r="DO32520" s="303" t="s">
        <v>232</v>
      </c>
    </row>
    <row r="32521" spans="119:119" x14ac:dyDescent="0.2">
      <c r="DO32521" s="303" t="s">
        <v>232</v>
      </c>
    </row>
    <row r="32522" spans="119:119" x14ac:dyDescent="0.2">
      <c r="DO32522" s="303" t="s">
        <v>232</v>
      </c>
    </row>
    <row r="32523" spans="119:119" x14ac:dyDescent="0.2">
      <c r="DO32523" s="303" t="s">
        <v>232</v>
      </c>
    </row>
    <row r="32524" spans="119:119" x14ac:dyDescent="0.2">
      <c r="DO32524" s="303" t="s">
        <v>232</v>
      </c>
    </row>
    <row r="32525" spans="119:119" x14ac:dyDescent="0.2">
      <c r="DO32525" s="303" t="s">
        <v>232</v>
      </c>
    </row>
    <row r="32526" spans="119:119" x14ac:dyDescent="0.2">
      <c r="DO32526" s="303" t="s">
        <v>232</v>
      </c>
    </row>
    <row r="32527" spans="119:119" x14ac:dyDescent="0.2">
      <c r="DO32527" s="303" t="s">
        <v>232</v>
      </c>
    </row>
    <row r="32528" spans="119:119" x14ac:dyDescent="0.2">
      <c r="DO32528" s="303" t="s">
        <v>232</v>
      </c>
    </row>
    <row r="32529" spans="119:119" x14ac:dyDescent="0.2">
      <c r="DO32529" s="303" t="s">
        <v>232</v>
      </c>
    </row>
    <row r="32530" spans="119:119" x14ac:dyDescent="0.2">
      <c r="DO32530" s="303" t="s">
        <v>232</v>
      </c>
    </row>
    <row r="32531" spans="119:119" x14ac:dyDescent="0.2">
      <c r="DO32531" s="303" t="s">
        <v>232</v>
      </c>
    </row>
    <row r="32532" spans="119:119" x14ac:dyDescent="0.2">
      <c r="DO32532" s="303" t="s">
        <v>232</v>
      </c>
    </row>
    <row r="32533" spans="119:119" x14ac:dyDescent="0.2">
      <c r="DO32533" s="303" t="s">
        <v>232</v>
      </c>
    </row>
    <row r="32534" spans="119:119" x14ac:dyDescent="0.2">
      <c r="DO32534" s="303" t="s">
        <v>232</v>
      </c>
    </row>
    <row r="32535" spans="119:119" x14ac:dyDescent="0.2">
      <c r="DO32535" s="303" t="s">
        <v>232</v>
      </c>
    </row>
    <row r="32536" spans="119:119" x14ac:dyDescent="0.2">
      <c r="DO32536" s="303" t="s">
        <v>232</v>
      </c>
    </row>
    <row r="32537" spans="119:119" x14ac:dyDescent="0.2">
      <c r="DO32537" s="303" t="s">
        <v>232</v>
      </c>
    </row>
    <row r="32538" spans="119:119" x14ac:dyDescent="0.2">
      <c r="DO32538" s="303" t="s">
        <v>232</v>
      </c>
    </row>
    <row r="32539" spans="119:119" x14ac:dyDescent="0.2">
      <c r="DO32539" s="303" t="s">
        <v>232</v>
      </c>
    </row>
    <row r="32540" spans="119:119" x14ac:dyDescent="0.2">
      <c r="DO32540" s="303" t="s">
        <v>232</v>
      </c>
    </row>
    <row r="32541" spans="119:119" x14ac:dyDescent="0.2">
      <c r="DO32541" s="303" t="s">
        <v>232</v>
      </c>
    </row>
    <row r="32542" spans="119:119" x14ac:dyDescent="0.2">
      <c r="DO32542" s="303" t="s">
        <v>232</v>
      </c>
    </row>
    <row r="32543" spans="119:119" x14ac:dyDescent="0.2">
      <c r="DO32543" s="303" t="s">
        <v>232</v>
      </c>
    </row>
    <row r="32544" spans="119:119" x14ac:dyDescent="0.2">
      <c r="DO32544" s="303" t="s">
        <v>232</v>
      </c>
    </row>
    <row r="32545" spans="119:119" x14ac:dyDescent="0.2">
      <c r="DO32545" s="303" t="s">
        <v>232</v>
      </c>
    </row>
    <row r="32546" spans="119:119" x14ac:dyDescent="0.2">
      <c r="DO32546" s="303" t="s">
        <v>232</v>
      </c>
    </row>
    <row r="32547" spans="119:119" x14ac:dyDescent="0.2">
      <c r="DO32547" s="303" t="s">
        <v>232</v>
      </c>
    </row>
    <row r="32548" spans="119:119" x14ac:dyDescent="0.2">
      <c r="DO32548" s="303" t="s">
        <v>232</v>
      </c>
    </row>
    <row r="32549" spans="119:119" x14ac:dyDescent="0.2">
      <c r="DO32549" s="303" t="s">
        <v>232</v>
      </c>
    </row>
    <row r="32550" spans="119:119" x14ac:dyDescent="0.2">
      <c r="DO32550" s="303" t="s">
        <v>232</v>
      </c>
    </row>
    <row r="32551" spans="119:119" x14ac:dyDescent="0.2">
      <c r="DO32551" s="303" t="s">
        <v>232</v>
      </c>
    </row>
    <row r="32552" spans="119:119" x14ac:dyDescent="0.2">
      <c r="DO32552" s="303" t="s">
        <v>232</v>
      </c>
    </row>
    <row r="32553" spans="119:119" x14ac:dyDescent="0.2">
      <c r="DO32553" s="303" t="s">
        <v>232</v>
      </c>
    </row>
    <row r="32554" spans="119:119" x14ac:dyDescent="0.2">
      <c r="DO32554" s="303" t="s">
        <v>232</v>
      </c>
    </row>
    <row r="32555" spans="119:119" x14ac:dyDescent="0.2">
      <c r="DO32555" s="303" t="s">
        <v>232</v>
      </c>
    </row>
    <row r="32556" spans="119:119" x14ac:dyDescent="0.2">
      <c r="DO32556" s="303" t="s">
        <v>232</v>
      </c>
    </row>
    <row r="32557" spans="119:119" x14ac:dyDescent="0.2">
      <c r="DO32557" s="303" t="s">
        <v>232</v>
      </c>
    </row>
    <row r="32558" spans="119:119" x14ac:dyDescent="0.2">
      <c r="DO32558" s="303" t="s">
        <v>232</v>
      </c>
    </row>
    <row r="32559" spans="119:119" x14ac:dyDescent="0.2">
      <c r="DO32559" s="303" t="s">
        <v>232</v>
      </c>
    </row>
    <row r="32560" spans="119:119" x14ac:dyDescent="0.2">
      <c r="DO32560" s="303" t="s">
        <v>232</v>
      </c>
    </row>
    <row r="32561" spans="119:119" x14ac:dyDescent="0.2">
      <c r="DO32561" s="303" t="s">
        <v>232</v>
      </c>
    </row>
    <row r="32562" spans="119:119" x14ac:dyDescent="0.2">
      <c r="DO32562" s="303" t="s">
        <v>232</v>
      </c>
    </row>
    <row r="32563" spans="119:119" x14ac:dyDescent="0.2">
      <c r="DO32563" s="303" t="s">
        <v>232</v>
      </c>
    </row>
    <row r="32564" spans="119:119" x14ac:dyDescent="0.2">
      <c r="DO32564" s="303" t="s">
        <v>232</v>
      </c>
    </row>
    <row r="32565" spans="119:119" x14ac:dyDescent="0.2">
      <c r="DO32565" s="303" t="s">
        <v>232</v>
      </c>
    </row>
    <row r="32566" spans="119:119" x14ac:dyDescent="0.2">
      <c r="DO32566" s="303" t="s">
        <v>232</v>
      </c>
    </row>
    <row r="32567" spans="119:119" x14ac:dyDescent="0.2">
      <c r="DO32567" s="303" t="s">
        <v>232</v>
      </c>
    </row>
    <row r="32568" spans="119:119" x14ac:dyDescent="0.2">
      <c r="DO32568" s="303" t="s">
        <v>232</v>
      </c>
    </row>
    <row r="32569" spans="119:119" x14ac:dyDescent="0.2">
      <c r="DO32569" s="303" t="s">
        <v>232</v>
      </c>
    </row>
    <row r="32570" spans="119:119" x14ac:dyDescent="0.2">
      <c r="DO32570" s="303" t="s">
        <v>232</v>
      </c>
    </row>
    <row r="32571" spans="119:119" x14ac:dyDescent="0.2">
      <c r="DO32571" s="303" t="s">
        <v>232</v>
      </c>
    </row>
    <row r="32572" spans="119:119" x14ac:dyDescent="0.2">
      <c r="DO32572" s="303" t="s">
        <v>232</v>
      </c>
    </row>
    <row r="32573" spans="119:119" x14ac:dyDescent="0.2">
      <c r="DO32573" s="303" t="s">
        <v>232</v>
      </c>
    </row>
    <row r="32574" spans="119:119" x14ac:dyDescent="0.2">
      <c r="DO32574" s="303" t="s">
        <v>232</v>
      </c>
    </row>
    <row r="32575" spans="119:119" x14ac:dyDescent="0.2">
      <c r="DO32575" s="303" t="s">
        <v>232</v>
      </c>
    </row>
    <row r="32576" spans="119:119" x14ac:dyDescent="0.2">
      <c r="DO32576" s="303" t="s">
        <v>232</v>
      </c>
    </row>
    <row r="32577" spans="119:119" x14ac:dyDescent="0.2">
      <c r="DO32577" s="303" t="s">
        <v>232</v>
      </c>
    </row>
    <row r="32578" spans="119:119" x14ac:dyDescent="0.2">
      <c r="DO32578" s="303" t="s">
        <v>232</v>
      </c>
    </row>
    <row r="32579" spans="119:119" x14ac:dyDescent="0.2">
      <c r="DO32579" s="303" t="s">
        <v>232</v>
      </c>
    </row>
    <row r="32580" spans="119:119" x14ac:dyDescent="0.2">
      <c r="DO32580" s="303" t="s">
        <v>232</v>
      </c>
    </row>
    <row r="32581" spans="119:119" x14ac:dyDescent="0.2">
      <c r="DO32581" s="303" t="s">
        <v>232</v>
      </c>
    </row>
    <row r="32582" spans="119:119" x14ac:dyDescent="0.2">
      <c r="DO32582" s="303" t="s">
        <v>232</v>
      </c>
    </row>
    <row r="32583" spans="119:119" x14ac:dyDescent="0.2">
      <c r="DO32583" s="303" t="s">
        <v>232</v>
      </c>
    </row>
    <row r="32584" spans="119:119" x14ac:dyDescent="0.2">
      <c r="DO32584" s="303" t="s">
        <v>232</v>
      </c>
    </row>
    <row r="32585" spans="119:119" x14ac:dyDescent="0.2">
      <c r="DO32585" s="303" t="s">
        <v>232</v>
      </c>
    </row>
    <row r="32586" spans="119:119" x14ac:dyDescent="0.2">
      <c r="DO32586" s="303" t="s">
        <v>232</v>
      </c>
    </row>
    <row r="32587" spans="119:119" x14ac:dyDescent="0.2">
      <c r="DO32587" s="303" t="s">
        <v>232</v>
      </c>
    </row>
    <row r="32588" spans="119:119" x14ac:dyDescent="0.2">
      <c r="DO32588" s="303" t="s">
        <v>232</v>
      </c>
    </row>
    <row r="32589" spans="119:119" x14ac:dyDescent="0.2">
      <c r="DO32589" s="303" t="s">
        <v>232</v>
      </c>
    </row>
    <row r="32590" spans="119:119" x14ac:dyDescent="0.2">
      <c r="DO32590" s="303" t="s">
        <v>232</v>
      </c>
    </row>
    <row r="32591" spans="119:119" x14ac:dyDescent="0.2">
      <c r="DO32591" s="303" t="s">
        <v>232</v>
      </c>
    </row>
    <row r="32592" spans="119:119" x14ac:dyDescent="0.2">
      <c r="DO32592" s="303" t="s">
        <v>232</v>
      </c>
    </row>
    <row r="32593" spans="119:119" x14ac:dyDescent="0.2">
      <c r="DO32593" s="303" t="s">
        <v>232</v>
      </c>
    </row>
    <row r="32594" spans="119:119" x14ac:dyDescent="0.2">
      <c r="DO32594" s="303" t="s">
        <v>232</v>
      </c>
    </row>
    <row r="32595" spans="119:119" x14ac:dyDescent="0.2">
      <c r="DO32595" s="303" t="s">
        <v>232</v>
      </c>
    </row>
    <row r="32596" spans="119:119" x14ac:dyDescent="0.2">
      <c r="DO32596" s="303" t="s">
        <v>232</v>
      </c>
    </row>
    <row r="32597" spans="119:119" x14ac:dyDescent="0.2">
      <c r="DO32597" s="303" t="s">
        <v>232</v>
      </c>
    </row>
    <row r="32598" spans="119:119" x14ac:dyDescent="0.2">
      <c r="DO32598" s="303" t="s">
        <v>232</v>
      </c>
    </row>
    <row r="32599" spans="119:119" x14ac:dyDescent="0.2">
      <c r="DO32599" s="303" t="s">
        <v>232</v>
      </c>
    </row>
    <row r="32600" spans="119:119" x14ac:dyDescent="0.2">
      <c r="DO32600" s="303" t="s">
        <v>232</v>
      </c>
    </row>
    <row r="32601" spans="119:119" x14ac:dyDescent="0.2">
      <c r="DO32601" s="303" t="s">
        <v>232</v>
      </c>
    </row>
    <row r="32602" spans="119:119" x14ac:dyDescent="0.2">
      <c r="DO32602" s="303" t="s">
        <v>232</v>
      </c>
    </row>
    <row r="32603" spans="119:119" x14ac:dyDescent="0.2">
      <c r="DO32603" s="303" t="s">
        <v>232</v>
      </c>
    </row>
    <row r="32604" spans="119:119" x14ac:dyDescent="0.2">
      <c r="DO32604" s="303" t="s">
        <v>232</v>
      </c>
    </row>
    <row r="32605" spans="119:119" x14ac:dyDescent="0.2">
      <c r="DO32605" s="303" t="s">
        <v>232</v>
      </c>
    </row>
    <row r="32606" spans="119:119" x14ac:dyDescent="0.2">
      <c r="DO32606" s="303" t="s">
        <v>232</v>
      </c>
    </row>
    <row r="32607" spans="119:119" x14ac:dyDescent="0.2">
      <c r="DO32607" s="303" t="s">
        <v>232</v>
      </c>
    </row>
    <row r="32608" spans="119:119" x14ac:dyDescent="0.2">
      <c r="DO32608" s="303" t="s">
        <v>232</v>
      </c>
    </row>
    <row r="32609" spans="119:119" x14ac:dyDescent="0.2">
      <c r="DO32609" s="303" t="s">
        <v>232</v>
      </c>
    </row>
    <row r="32610" spans="119:119" x14ac:dyDescent="0.2">
      <c r="DO32610" s="303" t="s">
        <v>232</v>
      </c>
    </row>
    <row r="32611" spans="119:119" x14ac:dyDescent="0.2">
      <c r="DO32611" s="303" t="s">
        <v>232</v>
      </c>
    </row>
    <row r="32612" spans="119:119" x14ac:dyDescent="0.2">
      <c r="DO32612" s="303" t="s">
        <v>232</v>
      </c>
    </row>
    <row r="32613" spans="119:119" x14ac:dyDescent="0.2">
      <c r="DO32613" s="303" t="s">
        <v>232</v>
      </c>
    </row>
    <row r="32614" spans="119:119" x14ac:dyDescent="0.2">
      <c r="DO32614" s="303" t="s">
        <v>232</v>
      </c>
    </row>
    <row r="32615" spans="119:119" x14ac:dyDescent="0.2">
      <c r="DO32615" s="303" t="s">
        <v>232</v>
      </c>
    </row>
    <row r="32616" spans="119:119" x14ac:dyDescent="0.2">
      <c r="DO32616" s="303" t="s">
        <v>232</v>
      </c>
    </row>
    <row r="32617" spans="119:119" x14ac:dyDescent="0.2">
      <c r="DO32617" s="303" t="s">
        <v>232</v>
      </c>
    </row>
    <row r="32618" spans="119:119" x14ac:dyDescent="0.2">
      <c r="DO32618" s="303" t="s">
        <v>232</v>
      </c>
    </row>
    <row r="32619" spans="119:119" x14ac:dyDescent="0.2">
      <c r="DO32619" s="303" t="s">
        <v>232</v>
      </c>
    </row>
    <row r="32620" spans="119:119" x14ac:dyDescent="0.2">
      <c r="DO32620" s="303" t="s">
        <v>232</v>
      </c>
    </row>
    <row r="32621" spans="119:119" x14ac:dyDescent="0.2">
      <c r="DO32621" s="303" t="s">
        <v>232</v>
      </c>
    </row>
    <row r="32622" spans="119:119" x14ac:dyDescent="0.2">
      <c r="DO32622" s="303" t="s">
        <v>232</v>
      </c>
    </row>
    <row r="32623" spans="119:119" x14ac:dyDescent="0.2">
      <c r="DO32623" s="303" t="s">
        <v>232</v>
      </c>
    </row>
    <row r="32624" spans="119:119" x14ac:dyDescent="0.2">
      <c r="DO32624" s="303" t="s">
        <v>232</v>
      </c>
    </row>
    <row r="32625" spans="119:119" x14ac:dyDescent="0.2">
      <c r="DO32625" s="303" t="s">
        <v>232</v>
      </c>
    </row>
    <row r="32626" spans="119:119" x14ac:dyDescent="0.2">
      <c r="DO32626" s="303" t="s">
        <v>232</v>
      </c>
    </row>
    <row r="32627" spans="119:119" x14ac:dyDescent="0.2">
      <c r="DO32627" s="303" t="s">
        <v>232</v>
      </c>
    </row>
    <row r="32628" spans="119:119" x14ac:dyDescent="0.2">
      <c r="DO32628" s="303" t="s">
        <v>232</v>
      </c>
    </row>
    <row r="32629" spans="119:119" x14ac:dyDescent="0.2">
      <c r="DO32629" s="303" t="s">
        <v>232</v>
      </c>
    </row>
    <row r="32630" spans="119:119" x14ac:dyDescent="0.2">
      <c r="DO32630" s="303" t="s">
        <v>232</v>
      </c>
    </row>
    <row r="32631" spans="119:119" x14ac:dyDescent="0.2">
      <c r="DO32631" s="303" t="s">
        <v>232</v>
      </c>
    </row>
    <row r="32632" spans="119:119" x14ac:dyDescent="0.2">
      <c r="DO32632" s="303" t="s">
        <v>232</v>
      </c>
    </row>
    <row r="32633" spans="119:119" x14ac:dyDescent="0.2">
      <c r="DO32633" s="303" t="s">
        <v>232</v>
      </c>
    </row>
    <row r="32634" spans="119:119" x14ac:dyDescent="0.2">
      <c r="DO32634" s="303" t="s">
        <v>232</v>
      </c>
    </row>
    <row r="32635" spans="119:119" x14ac:dyDescent="0.2">
      <c r="DO32635" s="303" t="s">
        <v>232</v>
      </c>
    </row>
    <row r="32636" spans="119:119" x14ac:dyDescent="0.2">
      <c r="DO32636" s="303" t="s">
        <v>232</v>
      </c>
    </row>
    <row r="32637" spans="119:119" x14ac:dyDescent="0.2">
      <c r="DO32637" s="303" t="s">
        <v>232</v>
      </c>
    </row>
    <row r="32638" spans="119:119" x14ac:dyDescent="0.2">
      <c r="DO32638" s="303" t="s">
        <v>232</v>
      </c>
    </row>
    <row r="32639" spans="119:119" x14ac:dyDescent="0.2">
      <c r="DO32639" s="303" t="s">
        <v>232</v>
      </c>
    </row>
    <row r="32640" spans="119:119" x14ac:dyDescent="0.2">
      <c r="DO32640" s="303" t="s">
        <v>232</v>
      </c>
    </row>
    <row r="32641" spans="119:119" x14ac:dyDescent="0.2">
      <c r="DO32641" s="303" t="s">
        <v>232</v>
      </c>
    </row>
    <row r="32642" spans="119:119" x14ac:dyDescent="0.2">
      <c r="DO32642" s="303" t="s">
        <v>232</v>
      </c>
    </row>
    <row r="32643" spans="119:119" x14ac:dyDescent="0.2">
      <c r="DO32643" s="303" t="s">
        <v>232</v>
      </c>
    </row>
    <row r="32644" spans="119:119" x14ac:dyDescent="0.2">
      <c r="DO32644" s="303" t="s">
        <v>232</v>
      </c>
    </row>
    <row r="32645" spans="119:119" x14ac:dyDescent="0.2">
      <c r="DO32645" s="303" t="s">
        <v>232</v>
      </c>
    </row>
    <row r="32646" spans="119:119" x14ac:dyDescent="0.2">
      <c r="DO32646" s="303" t="s">
        <v>232</v>
      </c>
    </row>
    <row r="32647" spans="119:119" x14ac:dyDescent="0.2">
      <c r="DO32647" s="303" t="s">
        <v>232</v>
      </c>
    </row>
    <row r="32648" spans="119:119" x14ac:dyDescent="0.2">
      <c r="DO32648" s="303" t="s">
        <v>232</v>
      </c>
    </row>
    <row r="32649" spans="119:119" x14ac:dyDescent="0.2">
      <c r="DO32649" s="303" t="s">
        <v>232</v>
      </c>
    </row>
    <row r="32650" spans="119:119" x14ac:dyDescent="0.2">
      <c r="DO32650" s="303" t="s">
        <v>232</v>
      </c>
    </row>
    <row r="32651" spans="119:119" x14ac:dyDescent="0.2">
      <c r="DO32651" s="303" t="s">
        <v>232</v>
      </c>
    </row>
    <row r="32652" spans="119:119" x14ac:dyDescent="0.2">
      <c r="DO32652" s="303" t="s">
        <v>232</v>
      </c>
    </row>
    <row r="32653" spans="119:119" x14ac:dyDescent="0.2">
      <c r="DO32653" s="303" t="s">
        <v>232</v>
      </c>
    </row>
    <row r="32654" spans="119:119" x14ac:dyDescent="0.2">
      <c r="DO32654" s="303" t="s">
        <v>232</v>
      </c>
    </row>
    <row r="32655" spans="119:119" x14ac:dyDescent="0.2">
      <c r="DO32655" s="303" t="s">
        <v>232</v>
      </c>
    </row>
    <row r="32656" spans="119:119" x14ac:dyDescent="0.2">
      <c r="DO32656" s="303" t="s">
        <v>232</v>
      </c>
    </row>
    <row r="32657" spans="119:119" x14ac:dyDescent="0.2">
      <c r="DO32657" s="303" t="s">
        <v>232</v>
      </c>
    </row>
    <row r="32658" spans="119:119" x14ac:dyDescent="0.2">
      <c r="DO32658" s="303" t="s">
        <v>232</v>
      </c>
    </row>
    <row r="32659" spans="119:119" x14ac:dyDescent="0.2">
      <c r="DO32659" s="303" t="s">
        <v>232</v>
      </c>
    </row>
    <row r="32660" spans="119:119" x14ac:dyDescent="0.2">
      <c r="DO32660" s="303" t="s">
        <v>232</v>
      </c>
    </row>
    <row r="32661" spans="119:119" x14ac:dyDescent="0.2">
      <c r="DO32661" s="303" t="s">
        <v>232</v>
      </c>
    </row>
    <row r="32662" spans="119:119" x14ac:dyDescent="0.2">
      <c r="DO32662" s="303" t="s">
        <v>232</v>
      </c>
    </row>
    <row r="32663" spans="119:119" x14ac:dyDescent="0.2">
      <c r="DO32663" s="303" t="s">
        <v>232</v>
      </c>
    </row>
    <row r="32664" spans="119:119" x14ac:dyDescent="0.2">
      <c r="DO32664" s="303" t="s">
        <v>232</v>
      </c>
    </row>
    <row r="32665" spans="119:119" x14ac:dyDescent="0.2">
      <c r="DO32665" s="303" t="s">
        <v>232</v>
      </c>
    </row>
    <row r="32666" spans="119:119" x14ac:dyDescent="0.2">
      <c r="DO32666" s="303" t="s">
        <v>232</v>
      </c>
    </row>
    <row r="32667" spans="119:119" x14ac:dyDescent="0.2">
      <c r="DO32667" s="303" t="s">
        <v>232</v>
      </c>
    </row>
    <row r="32668" spans="119:119" x14ac:dyDescent="0.2">
      <c r="DO32668" s="303" t="s">
        <v>232</v>
      </c>
    </row>
    <row r="32669" spans="119:119" x14ac:dyDescent="0.2">
      <c r="DO32669" s="303" t="s">
        <v>232</v>
      </c>
    </row>
    <row r="32670" spans="119:119" x14ac:dyDescent="0.2">
      <c r="DO32670" s="303" t="s">
        <v>232</v>
      </c>
    </row>
    <row r="32671" spans="119:119" x14ac:dyDescent="0.2">
      <c r="DO32671" s="303" t="s">
        <v>232</v>
      </c>
    </row>
    <row r="32672" spans="119:119" x14ac:dyDescent="0.2">
      <c r="DO32672" s="303" t="s">
        <v>232</v>
      </c>
    </row>
    <row r="32673" spans="119:119" x14ac:dyDescent="0.2">
      <c r="DO32673" s="303" t="s">
        <v>232</v>
      </c>
    </row>
    <row r="32674" spans="119:119" x14ac:dyDescent="0.2">
      <c r="DO32674" s="303" t="s">
        <v>232</v>
      </c>
    </row>
    <row r="32675" spans="119:119" x14ac:dyDescent="0.2">
      <c r="DO32675" s="303" t="s">
        <v>232</v>
      </c>
    </row>
    <row r="32676" spans="119:119" x14ac:dyDescent="0.2">
      <c r="DO32676" s="303" t="s">
        <v>232</v>
      </c>
    </row>
    <row r="32677" spans="119:119" x14ac:dyDescent="0.2">
      <c r="DO32677" s="303" t="s">
        <v>232</v>
      </c>
    </row>
    <row r="32678" spans="119:119" x14ac:dyDescent="0.2">
      <c r="DO32678" s="303" t="s">
        <v>232</v>
      </c>
    </row>
    <row r="32679" spans="119:119" x14ac:dyDescent="0.2">
      <c r="DO32679" s="303" t="s">
        <v>232</v>
      </c>
    </row>
    <row r="32680" spans="119:119" x14ac:dyDescent="0.2">
      <c r="DO32680" s="303" t="s">
        <v>232</v>
      </c>
    </row>
    <row r="32681" spans="119:119" x14ac:dyDescent="0.2">
      <c r="DO32681" s="303" t="s">
        <v>232</v>
      </c>
    </row>
    <row r="32682" spans="119:119" x14ac:dyDescent="0.2">
      <c r="DO32682" s="303" t="s">
        <v>232</v>
      </c>
    </row>
    <row r="32683" spans="119:119" x14ac:dyDescent="0.2">
      <c r="DO32683" s="303" t="s">
        <v>232</v>
      </c>
    </row>
    <row r="32684" spans="119:119" x14ac:dyDescent="0.2">
      <c r="DO32684" s="303" t="s">
        <v>232</v>
      </c>
    </row>
    <row r="32685" spans="119:119" x14ac:dyDescent="0.2">
      <c r="DO32685" s="303" t="s">
        <v>232</v>
      </c>
    </row>
    <row r="32686" spans="119:119" x14ac:dyDescent="0.2">
      <c r="DO32686" s="303" t="s">
        <v>232</v>
      </c>
    </row>
    <row r="32687" spans="119:119" x14ac:dyDescent="0.2">
      <c r="DO32687" s="303" t="s">
        <v>232</v>
      </c>
    </row>
    <row r="32688" spans="119:119" x14ac:dyDescent="0.2">
      <c r="DO32688" s="303" t="s">
        <v>232</v>
      </c>
    </row>
    <row r="32689" spans="119:119" x14ac:dyDescent="0.2">
      <c r="DO32689" s="303" t="s">
        <v>232</v>
      </c>
    </row>
    <row r="32690" spans="119:119" x14ac:dyDescent="0.2">
      <c r="DO32690" s="303" t="s">
        <v>232</v>
      </c>
    </row>
    <row r="32691" spans="119:119" x14ac:dyDescent="0.2">
      <c r="DO32691" s="303" t="s">
        <v>232</v>
      </c>
    </row>
    <row r="32692" spans="119:119" x14ac:dyDescent="0.2">
      <c r="DO32692" s="303" t="s">
        <v>232</v>
      </c>
    </row>
    <row r="32693" spans="119:119" x14ac:dyDescent="0.2">
      <c r="DO32693" s="303" t="s">
        <v>232</v>
      </c>
    </row>
    <row r="32694" spans="119:119" x14ac:dyDescent="0.2">
      <c r="DO32694" s="303" t="s">
        <v>232</v>
      </c>
    </row>
    <row r="32695" spans="119:119" x14ac:dyDescent="0.2">
      <c r="DO32695" s="303" t="s">
        <v>232</v>
      </c>
    </row>
    <row r="32696" spans="119:119" x14ac:dyDescent="0.2">
      <c r="DO32696" s="303" t="s">
        <v>232</v>
      </c>
    </row>
    <row r="32697" spans="119:119" x14ac:dyDescent="0.2">
      <c r="DO32697" s="303" t="s">
        <v>232</v>
      </c>
    </row>
    <row r="32698" spans="119:119" x14ac:dyDescent="0.2">
      <c r="DO32698" s="303" t="s">
        <v>232</v>
      </c>
    </row>
    <row r="32699" spans="119:119" x14ac:dyDescent="0.2">
      <c r="DO32699" s="303" t="s">
        <v>232</v>
      </c>
    </row>
    <row r="32700" spans="119:119" x14ac:dyDescent="0.2">
      <c r="DO32700" s="303" t="s">
        <v>232</v>
      </c>
    </row>
    <row r="32701" spans="119:119" x14ac:dyDescent="0.2">
      <c r="DO32701" s="303" t="s">
        <v>232</v>
      </c>
    </row>
    <row r="32702" spans="119:119" x14ac:dyDescent="0.2">
      <c r="DO32702" s="303" t="s">
        <v>232</v>
      </c>
    </row>
    <row r="32703" spans="119:119" x14ac:dyDescent="0.2">
      <c r="DO32703" s="303" t="s">
        <v>232</v>
      </c>
    </row>
    <row r="32704" spans="119:119" x14ac:dyDescent="0.2">
      <c r="DO32704" s="303" t="s">
        <v>232</v>
      </c>
    </row>
    <row r="32705" spans="119:119" x14ac:dyDescent="0.2">
      <c r="DO32705" s="303" t="s">
        <v>232</v>
      </c>
    </row>
    <row r="32706" spans="119:119" x14ac:dyDescent="0.2">
      <c r="DO32706" s="303" t="s">
        <v>232</v>
      </c>
    </row>
    <row r="32707" spans="119:119" x14ac:dyDescent="0.2">
      <c r="DO32707" s="303" t="s">
        <v>232</v>
      </c>
    </row>
    <row r="32708" spans="119:119" x14ac:dyDescent="0.2">
      <c r="DO32708" s="303" t="s">
        <v>232</v>
      </c>
    </row>
    <row r="32709" spans="119:119" x14ac:dyDescent="0.2">
      <c r="DO32709" s="303" t="s">
        <v>232</v>
      </c>
    </row>
    <row r="32710" spans="119:119" x14ac:dyDescent="0.2">
      <c r="DO32710" s="303" t="s">
        <v>232</v>
      </c>
    </row>
    <row r="32711" spans="119:119" x14ac:dyDescent="0.2">
      <c r="DO32711" s="303" t="s">
        <v>232</v>
      </c>
    </row>
    <row r="32712" spans="119:119" x14ac:dyDescent="0.2">
      <c r="DO32712" s="303" t="s">
        <v>232</v>
      </c>
    </row>
    <row r="32713" spans="119:119" x14ac:dyDescent="0.2">
      <c r="DO32713" s="303" t="s">
        <v>232</v>
      </c>
    </row>
    <row r="32714" spans="119:119" x14ac:dyDescent="0.2">
      <c r="DO32714" s="303" t="s">
        <v>232</v>
      </c>
    </row>
    <row r="32715" spans="119:119" x14ac:dyDescent="0.2">
      <c r="DO32715" s="303" t="s">
        <v>232</v>
      </c>
    </row>
    <row r="32716" spans="119:119" x14ac:dyDescent="0.2">
      <c r="DO32716" s="303" t="s">
        <v>232</v>
      </c>
    </row>
    <row r="32717" spans="119:119" x14ac:dyDescent="0.2">
      <c r="DO32717" s="303" t="s">
        <v>232</v>
      </c>
    </row>
    <row r="32718" spans="119:119" x14ac:dyDescent="0.2">
      <c r="DO32718" s="303" t="s">
        <v>232</v>
      </c>
    </row>
    <row r="32719" spans="119:119" x14ac:dyDescent="0.2">
      <c r="DO32719" s="303" t="s">
        <v>232</v>
      </c>
    </row>
    <row r="32720" spans="119:119" x14ac:dyDescent="0.2">
      <c r="DO32720" s="303" t="s">
        <v>232</v>
      </c>
    </row>
    <row r="32721" spans="119:119" x14ac:dyDescent="0.2">
      <c r="DO32721" s="303" t="s">
        <v>232</v>
      </c>
    </row>
    <row r="32722" spans="119:119" x14ac:dyDescent="0.2">
      <c r="DO32722" s="303" t="s">
        <v>232</v>
      </c>
    </row>
    <row r="32723" spans="119:119" x14ac:dyDescent="0.2">
      <c r="DO32723" s="303" t="s">
        <v>232</v>
      </c>
    </row>
    <row r="32724" spans="119:119" x14ac:dyDescent="0.2">
      <c r="DO32724" s="303" t="s">
        <v>232</v>
      </c>
    </row>
    <row r="32725" spans="119:119" x14ac:dyDescent="0.2">
      <c r="DO32725" s="303" t="s">
        <v>232</v>
      </c>
    </row>
    <row r="32726" spans="119:119" x14ac:dyDescent="0.2">
      <c r="DO32726" s="303" t="s">
        <v>232</v>
      </c>
    </row>
    <row r="32727" spans="119:119" x14ac:dyDescent="0.2">
      <c r="DO32727" s="303" t="s">
        <v>232</v>
      </c>
    </row>
    <row r="32728" spans="119:119" x14ac:dyDescent="0.2">
      <c r="DO32728" s="303" t="s">
        <v>232</v>
      </c>
    </row>
    <row r="32729" spans="119:119" x14ac:dyDescent="0.2">
      <c r="DO32729" s="303" t="s">
        <v>232</v>
      </c>
    </row>
    <row r="32730" spans="119:119" x14ac:dyDescent="0.2">
      <c r="DO32730" s="303" t="s">
        <v>232</v>
      </c>
    </row>
    <row r="32731" spans="119:119" x14ac:dyDescent="0.2">
      <c r="DO32731" s="303" t="s">
        <v>232</v>
      </c>
    </row>
    <row r="32732" spans="119:119" x14ac:dyDescent="0.2">
      <c r="DO32732" s="303" t="s">
        <v>232</v>
      </c>
    </row>
    <row r="32733" spans="119:119" x14ac:dyDescent="0.2">
      <c r="DO32733" s="303" t="s">
        <v>232</v>
      </c>
    </row>
    <row r="32734" spans="119:119" x14ac:dyDescent="0.2">
      <c r="DO32734" s="303" t="s">
        <v>232</v>
      </c>
    </row>
    <row r="32735" spans="119:119" x14ac:dyDescent="0.2">
      <c r="DO32735" s="303" t="s">
        <v>232</v>
      </c>
    </row>
    <row r="32736" spans="119:119" x14ac:dyDescent="0.2">
      <c r="DO32736" s="303" t="s">
        <v>232</v>
      </c>
    </row>
    <row r="32737" spans="119:119" x14ac:dyDescent="0.2">
      <c r="DO32737" s="303" t="s">
        <v>232</v>
      </c>
    </row>
    <row r="32738" spans="119:119" x14ac:dyDescent="0.2">
      <c r="DO32738" s="303" t="s">
        <v>232</v>
      </c>
    </row>
    <row r="32739" spans="119:119" x14ac:dyDescent="0.2">
      <c r="DO32739" s="303" t="s">
        <v>232</v>
      </c>
    </row>
    <row r="32740" spans="119:119" x14ac:dyDescent="0.2">
      <c r="DO32740" s="303" t="s">
        <v>232</v>
      </c>
    </row>
    <row r="32741" spans="119:119" x14ac:dyDescent="0.2">
      <c r="DO32741" s="303" t="s">
        <v>232</v>
      </c>
    </row>
    <row r="32742" spans="119:119" x14ac:dyDescent="0.2">
      <c r="DO32742" s="303" t="s">
        <v>232</v>
      </c>
    </row>
    <row r="32743" spans="119:119" x14ac:dyDescent="0.2">
      <c r="DO32743" s="303" t="s">
        <v>232</v>
      </c>
    </row>
    <row r="32744" spans="119:119" x14ac:dyDescent="0.2">
      <c r="DO32744" s="303" t="s">
        <v>232</v>
      </c>
    </row>
    <row r="32745" spans="119:119" x14ac:dyDescent="0.2">
      <c r="DO32745" s="303" t="s">
        <v>232</v>
      </c>
    </row>
    <row r="32746" spans="119:119" x14ac:dyDescent="0.2">
      <c r="DO32746" s="303" t="s">
        <v>232</v>
      </c>
    </row>
    <row r="32747" spans="119:119" x14ac:dyDescent="0.2">
      <c r="DO32747" s="303" t="s">
        <v>232</v>
      </c>
    </row>
    <row r="32748" spans="119:119" x14ac:dyDescent="0.2">
      <c r="DO32748" s="303" t="s">
        <v>232</v>
      </c>
    </row>
    <row r="32749" spans="119:119" x14ac:dyDescent="0.2">
      <c r="DO32749" s="303" t="s">
        <v>232</v>
      </c>
    </row>
    <row r="32750" spans="119:119" x14ac:dyDescent="0.2">
      <c r="DO32750" s="303" t="s">
        <v>232</v>
      </c>
    </row>
    <row r="32751" spans="119:119" x14ac:dyDescent="0.2">
      <c r="DO32751" s="303" t="s">
        <v>232</v>
      </c>
    </row>
    <row r="32752" spans="119:119" x14ac:dyDescent="0.2">
      <c r="DO32752" s="303" t="s">
        <v>232</v>
      </c>
    </row>
    <row r="32753" spans="119:119" x14ac:dyDescent="0.2">
      <c r="DO32753" s="303" t="s">
        <v>232</v>
      </c>
    </row>
    <row r="32754" spans="119:119" x14ac:dyDescent="0.2">
      <c r="DO32754" s="303" t="s">
        <v>232</v>
      </c>
    </row>
    <row r="32755" spans="119:119" x14ac:dyDescent="0.2">
      <c r="DO32755" s="303" t="s">
        <v>232</v>
      </c>
    </row>
    <row r="32756" spans="119:119" x14ac:dyDescent="0.2">
      <c r="DO32756" s="303" t="s">
        <v>232</v>
      </c>
    </row>
    <row r="32757" spans="119:119" x14ac:dyDescent="0.2">
      <c r="DO32757" s="303" t="s">
        <v>232</v>
      </c>
    </row>
    <row r="32758" spans="119:119" x14ac:dyDescent="0.2">
      <c r="DO32758" s="303" t="s">
        <v>232</v>
      </c>
    </row>
    <row r="32759" spans="119:119" x14ac:dyDescent="0.2">
      <c r="DO32759" s="303" t="s">
        <v>232</v>
      </c>
    </row>
    <row r="32760" spans="119:119" x14ac:dyDescent="0.2">
      <c r="DO32760" s="303" t="s">
        <v>232</v>
      </c>
    </row>
    <row r="32761" spans="119:119" x14ac:dyDescent="0.2">
      <c r="DO32761" s="303" t="s">
        <v>232</v>
      </c>
    </row>
    <row r="32762" spans="119:119" x14ac:dyDescent="0.2">
      <c r="DO32762" s="303" t="s">
        <v>232</v>
      </c>
    </row>
    <row r="32763" spans="119:119" x14ac:dyDescent="0.2">
      <c r="DO32763" s="303" t="s">
        <v>232</v>
      </c>
    </row>
    <row r="32764" spans="119:119" x14ac:dyDescent="0.2">
      <c r="DO32764" s="303" t="s">
        <v>232</v>
      </c>
    </row>
    <row r="32765" spans="119:119" x14ac:dyDescent="0.2">
      <c r="DO32765" s="303" t="s">
        <v>232</v>
      </c>
    </row>
    <row r="32766" spans="119:119" x14ac:dyDescent="0.2">
      <c r="DO32766" s="303" t="s">
        <v>232</v>
      </c>
    </row>
    <row r="32767" spans="119:119" x14ac:dyDescent="0.2">
      <c r="DO32767" s="303" t="s">
        <v>232</v>
      </c>
    </row>
    <row r="32768" spans="119:119" x14ac:dyDescent="0.2">
      <c r="DO32768" s="303" t="s">
        <v>232</v>
      </c>
    </row>
    <row r="32769" spans="119:119" x14ac:dyDescent="0.2">
      <c r="DO32769" s="303" t="s">
        <v>232</v>
      </c>
    </row>
    <row r="32770" spans="119:119" x14ac:dyDescent="0.2">
      <c r="DO32770" s="303" t="s">
        <v>232</v>
      </c>
    </row>
    <row r="32771" spans="119:119" x14ac:dyDescent="0.2">
      <c r="DO32771" s="303" t="s">
        <v>232</v>
      </c>
    </row>
    <row r="32772" spans="119:119" x14ac:dyDescent="0.2">
      <c r="DO32772" s="303" t="s">
        <v>232</v>
      </c>
    </row>
    <row r="32773" spans="119:119" x14ac:dyDescent="0.2">
      <c r="DO32773" s="303" t="s">
        <v>232</v>
      </c>
    </row>
    <row r="32774" spans="119:119" x14ac:dyDescent="0.2">
      <c r="DO32774" s="303" t="s">
        <v>232</v>
      </c>
    </row>
    <row r="32775" spans="119:119" x14ac:dyDescent="0.2">
      <c r="DO32775" s="303" t="s">
        <v>232</v>
      </c>
    </row>
    <row r="32776" spans="119:119" x14ac:dyDescent="0.2">
      <c r="DO32776" s="303" t="s">
        <v>232</v>
      </c>
    </row>
    <row r="32777" spans="119:119" x14ac:dyDescent="0.2">
      <c r="DO32777" s="303" t="s">
        <v>232</v>
      </c>
    </row>
    <row r="32778" spans="119:119" x14ac:dyDescent="0.2">
      <c r="DO32778" s="303" t="s">
        <v>232</v>
      </c>
    </row>
    <row r="32779" spans="119:119" x14ac:dyDescent="0.2">
      <c r="DO32779" s="303" t="s">
        <v>232</v>
      </c>
    </row>
    <row r="32780" spans="119:119" x14ac:dyDescent="0.2">
      <c r="DO32780" s="303" t="s">
        <v>232</v>
      </c>
    </row>
    <row r="32781" spans="119:119" x14ac:dyDescent="0.2">
      <c r="DO32781" s="303" t="s">
        <v>232</v>
      </c>
    </row>
    <row r="32782" spans="119:119" x14ac:dyDescent="0.2">
      <c r="DO32782" s="303" t="s">
        <v>232</v>
      </c>
    </row>
    <row r="32783" spans="119:119" x14ac:dyDescent="0.2">
      <c r="DO32783" s="303" t="s">
        <v>232</v>
      </c>
    </row>
    <row r="32784" spans="119:119" x14ac:dyDescent="0.2">
      <c r="DO32784" s="303" t="s">
        <v>232</v>
      </c>
    </row>
    <row r="32785" spans="119:119" x14ac:dyDescent="0.2">
      <c r="DO32785" s="303" t="s">
        <v>232</v>
      </c>
    </row>
    <row r="32786" spans="119:119" x14ac:dyDescent="0.2">
      <c r="DO32786" s="303" t="s">
        <v>232</v>
      </c>
    </row>
    <row r="32787" spans="119:119" x14ac:dyDescent="0.2">
      <c r="DO32787" s="303" t="s">
        <v>232</v>
      </c>
    </row>
    <row r="32788" spans="119:119" x14ac:dyDescent="0.2">
      <c r="DO32788" s="303" t="s">
        <v>232</v>
      </c>
    </row>
    <row r="32789" spans="119:119" x14ac:dyDescent="0.2">
      <c r="DO32789" s="303" t="s">
        <v>232</v>
      </c>
    </row>
    <row r="32790" spans="119:119" x14ac:dyDescent="0.2">
      <c r="DO32790" s="303" t="s">
        <v>232</v>
      </c>
    </row>
    <row r="32791" spans="119:119" x14ac:dyDescent="0.2">
      <c r="DO32791" s="303" t="s">
        <v>232</v>
      </c>
    </row>
    <row r="32792" spans="119:119" x14ac:dyDescent="0.2">
      <c r="DO32792" s="303" t="s">
        <v>232</v>
      </c>
    </row>
    <row r="32793" spans="119:119" x14ac:dyDescent="0.2">
      <c r="DO32793" s="303" t="s">
        <v>232</v>
      </c>
    </row>
    <row r="32794" spans="119:119" x14ac:dyDescent="0.2">
      <c r="DO32794" s="303" t="s">
        <v>232</v>
      </c>
    </row>
    <row r="32795" spans="119:119" x14ac:dyDescent="0.2">
      <c r="DO32795" s="303" t="s">
        <v>232</v>
      </c>
    </row>
    <row r="32796" spans="119:119" x14ac:dyDescent="0.2">
      <c r="DO32796" s="303" t="s">
        <v>232</v>
      </c>
    </row>
    <row r="32797" spans="119:119" x14ac:dyDescent="0.2">
      <c r="DO32797" s="303" t="s">
        <v>232</v>
      </c>
    </row>
    <row r="32798" spans="119:119" x14ac:dyDescent="0.2">
      <c r="DO32798" s="303" t="s">
        <v>232</v>
      </c>
    </row>
    <row r="32799" spans="119:119" x14ac:dyDescent="0.2">
      <c r="DO32799" s="303" t="s">
        <v>232</v>
      </c>
    </row>
    <row r="32800" spans="119:119" x14ac:dyDescent="0.2">
      <c r="DO32800" s="303" t="s">
        <v>232</v>
      </c>
    </row>
    <row r="32801" spans="119:119" x14ac:dyDescent="0.2">
      <c r="DO32801" s="303" t="s">
        <v>232</v>
      </c>
    </row>
    <row r="32802" spans="119:119" x14ac:dyDescent="0.2">
      <c r="DO32802" s="303" t="s">
        <v>232</v>
      </c>
    </row>
    <row r="32803" spans="119:119" x14ac:dyDescent="0.2">
      <c r="DO32803" s="303" t="s">
        <v>232</v>
      </c>
    </row>
    <row r="32804" spans="119:119" x14ac:dyDescent="0.2">
      <c r="DO32804" s="303" t="s">
        <v>232</v>
      </c>
    </row>
    <row r="32805" spans="119:119" x14ac:dyDescent="0.2">
      <c r="DO32805" s="303" t="s">
        <v>232</v>
      </c>
    </row>
    <row r="32806" spans="119:119" x14ac:dyDescent="0.2">
      <c r="DO32806" s="303" t="s">
        <v>232</v>
      </c>
    </row>
    <row r="32807" spans="119:119" x14ac:dyDescent="0.2">
      <c r="DO32807" s="303" t="s">
        <v>232</v>
      </c>
    </row>
    <row r="32808" spans="119:119" x14ac:dyDescent="0.2">
      <c r="DO32808" s="303" t="s">
        <v>232</v>
      </c>
    </row>
    <row r="32809" spans="119:119" x14ac:dyDescent="0.2">
      <c r="DO32809" s="303" t="s">
        <v>232</v>
      </c>
    </row>
    <row r="32810" spans="119:119" x14ac:dyDescent="0.2">
      <c r="DO32810" s="303" t="s">
        <v>232</v>
      </c>
    </row>
    <row r="32811" spans="119:119" x14ac:dyDescent="0.2">
      <c r="DO32811" s="303" t="s">
        <v>232</v>
      </c>
    </row>
    <row r="32812" spans="119:119" x14ac:dyDescent="0.2">
      <c r="DO32812" s="303" t="s">
        <v>232</v>
      </c>
    </row>
    <row r="32813" spans="119:119" x14ac:dyDescent="0.2">
      <c r="DO32813" s="303" t="s">
        <v>232</v>
      </c>
    </row>
    <row r="32814" spans="119:119" x14ac:dyDescent="0.2">
      <c r="DO32814" s="303" t="s">
        <v>232</v>
      </c>
    </row>
    <row r="32815" spans="119:119" x14ac:dyDescent="0.2">
      <c r="DO32815" s="303" t="s">
        <v>232</v>
      </c>
    </row>
    <row r="32816" spans="119:119" x14ac:dyDescent="0.2">
      <c r="DO32816" s="303" t="s">
        <v>232</v>
      </c>
    </row>
    <row r="32817" spans="119:119" x14ac:dyDescent="0.2">
      <c r="DO32817" s="303" t="s">
        <v>232</v>
      </c>
    </row>
    <row r="32818" spans="119:119" x14ac:dyDescent="0.2">
      <c r="DO32818" s="303" t="s">
        <v>232</v>
      </c>
    </row>
    <row r="32819" spans="119:119" x14ac:dyDescent="0.2">
      <c r="DO32819" s="303" t="s">
        <v>232</v>
      </c>
    </row>
    <row r="32820" spans="119:119" x14ac:dyDescent="0.2">
      <c r="DO32820" s="303" t="s">
        <v>232</v>
      </c>
    </row>
    <row r="32821" spans="119:119" x14ac:dyDescent="0.2">
      <c r="DO32821" s="303" t="s">
        <v>232</v>
      </c>
    </row>
    <row r="32822" spans="119:119" x14ac:dyDescent="0.2">
      <c r="DO32822" s="303" t="s">
        <v>232</v>
      </c>
    </row>
    <row r="32823" spans="119:119" x14ac:dyDescent="0.2">
      <c r="DO32823" s="303" t="s">
        <v>232</v>
      </c>
    </row>
    <row r="32824" spans="119:119" x14ac:dyDescent="0.2">
      <c r="DO32824" s="303" t="s">
        <v>232</v>
      </c>
    </row>
    <row r="32825" spans="119:119" x14ac:dyDescent="0.2">
      <c r="DO32825" s="303" t="s">
        <v>232</v>
      </c>
    </row>
    <row r="32826" spans="119:119" x14ac:dyDescent="0.2">
      <c r="DO32826" s="303" t="s">
        <v>232</v>
      </c>
    </row>
    <row r="32827" spans="119:119" x14ac:dyDescent="0.2">
      <c r="DO32827" s="303" t="s">
        <v>232</v>
      </c>
    </row>
    <row r="32828" spans="119:119" x14ac:dyDescent="0.2">
      <c r="DO32828" s="303" t="s">
        <v>232</v>
      </c>
    </row>
    <row r="32829" spans="119:119" x14ac:dyDescent="0.2">
      <c r="DO32829" s="303" t="s">
        <v>232</v>
      </c>
    </row>
    <row r="32830" spans="119:119" x14ac:dyDescent="0.2">
      <c r="DO32830" s="303" t="s">
        <v>232</v>
      </c>
    </row>
    <row r="32831" spans="119:119" x14ac:dyDescent="0.2">
      <c r="DO32831" s="303" t="s">
        <v>232</v>
      </c>
    </row>
    <row r="32832" spans="119:119" x14ac:dyDescent="0.2">
      <c r="DO32832" s="303" t="s">
        <v>232</v>
      </c>
    </row>
    <row r="32833" spans="119:119" x14ac:dyDescent="0.2">
      <c r="DO32833" s="303" t="s">
        <v>232</v>
      </c>
    </row>
    <row r="32834" spans="119:119" x14ac:dyDescent="0.2">
      <c r="DO32834" s="303" t="s">
        <v>232</v>
      </c>
    </row>
    <row r="32835" spans="119:119" x14ac:dyDescent="0.2">
      <c r="DO32835" s="303" t="s">
        <v>232</v>
      </c>
    </row>
    <row r="32836" spans="119:119" x14ac:dyDescent="0.2">
      <c r="DO32836" s="303" t="s">
        <v>232</v>
      </c>
    </row>
    <row r="32837" spans="119:119" x14ac:dyDescent="0.2">
      <c r="DO32837" s="303" t="s">
        <v>232</v>
      </c>
    </row>
    <row r="32838" spans="119:119" x14ac:dyDescent="0.2">
      <c r="DO32838" s="303" t="s">
        <v>232</v>
      </c>
    </row>
    <row r="32839" spans="119:119" x14ac:dyDescent="0.2">
      <c r="DO32839" s="303" t="s">
        <v>232</v>
      </c>
    </row>
    <row r="32840" spans="119:119" x14ac:dyDescent="0.2">
      <c r="DO32840" s="303" t="s">
        <v>232</v>
      </c>
    </row>
    <row r="32841" spans="119:119" x14ac:dyDescent="0.2">
      <c r="DO32841" s="303" t="s">
        <v>232</v>
      </c>
    </row>
    <row r="32842" spans="119:119" x14ac:dyDescent="0.2">
      <c r="DO32842" s="303" t="s">
        <v>232</v>
      </c>
    </row>
    <row r="32843" spans="119:119" x14ac:dyDescent="0.2">
      <c r="DO32843" s="303" t="s">
        <v>232</v>
      </c>
    </row>
    <row r="32844" spans="119:119" x14ac:dyDescent="0.2">
      <c r="DO32844" s="303" t="s">
        <v>232</v>
      </c>
    </row>
    <row r="32845" spans="119:119" x14ac:dyDescent="0.2">
      <c r="DO32845" s="303" t="s">
        <v>232</v>
      </c>
    </row>
    <row r="32846" spans="119:119" x14ac:dyDescent="0.2">
      <c r="DO32846" s="303" t="s">
        <v>232</v>
      </c>
    </row>
    <row r="32847" spans="119:119" x14ac:dyDescent="0.2">
      <c r="DO32847" s="303" t="s">
        <v>232</v>
      </c>
    </row>
    <row r="32848" spans="119:119" x14ac:dyDescent="0.2">
      <c r="DO32848" s="303" t="s">
        <v>232</v>
      </c>
    </row>
    <row r="32849" spans="119:119" x14ac:dyDescent="0.2">
      <c r="DO32849" s="303" t="s">
        <v>232</v>
      </c>
    </row>
    <row r="32850" spans="119:119" x14ac:dyDescent="0.2">
      <c r="DO32850" s="303" t="s">
        <v>232</v>
      </c>
    </row>
    <row r="32851" spans="119:119" x14ac:dyDescent="0.2">
      <c r="DO32851" s="303" t="s">
        <v>232</v>
      </c>
    </row>
    <row r="32852" spans="119:119" x14ac:dyDescent="0.2">
      <c r="DO32852" s="303" t="s">
        <v>232</v>
      </c>
    </row>
    <row r="32853" spans="119:119" x14ac:dyDescent="0.2">
      <c r="DO32853" s="303" t="s">
        <v>232</v>
      </c>
    </row>
    <row r="32854" spans="119:119" x14ac:dyDescent="0.2">
      <c r="DO32854" s="303" t="s">
        <v>232</v>
      </c>
    </row>
    <row r="32855" spans="119:119" x14ac:dyDescent="0.2">
      <c r="DO32855" s="303" t="s">
        <v>232</v>
      </c>
    </row>
    <row r="32856" spans="119:119" x14ac:dyDescent="0.2">
      <c r="DO32856" s="303" t="s">
        <v>232</v>
      </c>
    </row>
    <row r="32857" spans="119:119" x14ac:dyDescent="0.2">
      <c r="DO32857" s="303" t="s">
        <v>232</v>
      </c>
    </row>
    <row r="32858" spans="119:119" x14ac:dyDescent="0.2">
      <c r="DO32858" s="303" t="s">
        <v>232</v>
      </c>
    </row>
    <row r="32859" spans="119:119" x14ac:dyDescent="0.2">
      <c r="DO32859" s="303" t="s">
        <v>232</v>
      </c>
    </row>
    <row r="32860" spans="119:119" x14ac:dyDescent="0.2">
      <c r="DO32860" s="303" t="s">
        <v>232</v>
      </c>
    </row>
    <row r="32861" spans="119:119" x14ac:dyDescent="0.2">
      <c r="DO32861" s="303" t="s">
        <v>232</v>
      </c>
    </row>
    <row r="32862" spans="119:119" x14ac:dyDescent="0.2">
      <c r="DO32862" s="303" t="s">
        <v>232</v>
      </c>
    </row>
    <row r="32863" spans="119:119" x14ac:dyDescent="0.2">
      <c r="DO32863" s="303" t="s">
        <v>232</v>
      </c>
    </row>
    <row r="32864" spans="119:119" x14ac:dyDescent="0.2">
      <c r="DO32864" s="303" t="s">
        <v>232</v>
      </c>
    </row>
    <row r="32865" spans="119:119" x14ac:dyDescent="0.2">
      <c r="DO32865" s="303" t="s">
        <v>232</v>
      </c>
    </row>
    <row r="32866" spans="119:119" x14ac:dyDescent="0.2">
      <c r="DO32866" s="303" t="s">
        <v>232</v>
      </c>
    </row>
    <row r="32867" spans="119:119" x14ac:dyDescent="0.2">
      <c r="DO32867" s="303" t="s">
        <v>232</v>
      </c>
    </row>
    <row r="32868" spans="119:119" x14ac:dyDescent="0.2">
      <c r="DO32868" s="303" t="s">
        <v>232</v>
      </c>
    </row>
    <row r="32869" spans="119:119" x14ac:dyDescent="0.2">
      <c r="DO32869" s="303" t="s">
        <v>232</v>
      </c>
    </row>
    <row r="32870" spans="119:119" x14ac:dyDescent="0.2">
      <c r="DO32870" s="303" t="s">
        <v>232</v>
      </c>
    </row>
    <row r="32871" spans="119:119" x14ac:dyDescent="0.2">
      <c r="DO32871" s="303" t="s">
        <v>232</v>
      </c>
    </row>
    <row r="32872" spans="119:119" x14ac:dyDescent="0.2">
      <c r="DO32872" s="303" t="s">
        <v>232</v>
      </c>
    </row>
    <row r="32873" spans="119:119" x14ac:dyDescent="0.2">
      <c r="DO32873" s="303" t="s">
        <v>232</v>
      </c>
    </row>
    <row r="32874" spans="119:119" x14ac:dyDescent="0.2">
      <c r="DO32874" s="303" t="s">
        <v>232</v>
      </c>
    </row>
    <row r="32875" spans="119:119" x14ac:dyDescent="0.2">
      <c r="DO32875" s="303" t="s">
        <v>232</v>
      </c>
    </row>
    <row r="32876" spans="119:119" x14ac:dyDescent="0.2">
      <c r="DO32876" s="303" t="s">
        <v>232</v>
      </c>
    </row>
    <row r="32877" spans="119:119" x14ac:dyDescent="0.2">
      <c r="DO32877" s="303" t="s">
        <v>232</v>
      </c>
    </row>
    <row r="32878" spans="119:119" x14ac:dyDescent="0.2">
      <c r="DO32878" s="303" t="s">
        <v>232</v>
      </c>
    </row>
    <row r="32879" spans="119:119" x14ac:dyDescent="0.2">
      <c r="DO32879" s="303" t="s">
        <v>232</v>
      </c>
    </row>
    <row r="32880" spans="119:119" x14ac:dyDescent="0.2">
      <c r="DO32880" s="303" t="s">
        <v>232</v>
      </c>
    </row>
    <row r="32881" spans="119:119" x14ac:dyDescent="0.2">
      <c r="DO32881" s="303" t="s">
        <v>232</v>
      </c>
    </row>
    <row r="32882" spans="119:119" x14ac:dyDescent="0.2">
      <c r="DO32882" s="303" t="s">
        <v>232</v>
      </c>
    </row>
    <row r="32883" spans="119:119" x14ac:dyDescent="0.2">
      <c r="DO32883" s="303" t="s">
        <v>232</v>
      </c>
    </row>
    <row r="32884" spans="119:119" x14ac:dyDescent="0.2">
      <c r="DO32884" s="303" t="s">
        <v>232</v>
      </c>
    </row>
    <row r="32885" spans="119:119" x14ac:dyDescent="0.2">
      <c r="DO32885" s="303" t="s">
        <v>232</v>
      </c>
    </row>
    <row r="32886" spans="119:119" x14ac:dyDescent="0.2">
      <c r="DO32886" s="303" t="s">
        <v>232</v>
      </c>
    </row>
    <row r="32887" spans="119:119" x14ac:dyDescent="0.2">
      <c r="DO32887" s="303" t="s">
        <v>232</v>
      </c>
    </row>
    <row r="32888" spans="119:119" x14ac:dyDescent="0.2">
      <c r="DO32888" s="303" t="s">
        <v>232</v>
      </c>
    </row>
    <row r="32889" spans="119:119" x14ac:dyDescent="0.2">
      <c r="DO32889" s="303" t="s">
        <v>232</v>
      </c>
    </row>
    <row r="32890" spans="119:119" x14ac:dyDescent="0.2">
      <c r="DO32890" s="303" t="s">
        <v>232</v>
      </c>
    </row>
    <row r="32891" spans="119:119" x14ac:dyDescent="0.2">
      <c r="DO32891" s="303" t="s">
        <v>232</v>
      </c>
    </row>
    <row r="32892" spans="119:119" x14ac:dyDescent="0.2">
      <c r="DO32892" s="303" t="s">
        <v>232</v>
      </c>
    </row>
    <row r="32893" spans="119:119" x14ac:dyDescent="0.2">
      <c r="DO32893" s="303" t="s">
        <v>232</v>
      </c>
    </row>
    <row r="32894" spans="119:119" x14ac:dyDescent="0.2">
      <c r="DO32894" s="303" t="s">
        <v>232</v>
      </c>
    </row>
    <row r="32895" spans="119:119" x14ac:dyDescent="0.2">
      <c r="DO32895" s="303" t="s">
        <v>232</v>
      </c>
    </row>
    <row r="32896" spans="119:119" x14ac:dyDescent="0.2">
      <c r="DO32896" s="303" t="s">
        <v>232</v>
      </c>
    </row>
    <row r="32897" spans="119:119" x14ac:dyDescent="0.2">
      <c r="DO32897" s="303" t="s">
        <v>232</v>
      </c>
    </row>
    <row r="32898" spans="119:119" x14ac:dyDescent="0.2">
      <c r="DO32898" s="303" t="s">
        <v>232</v>
      </c>
    </row>
    <row r="32899" spans="119:119" x14ac:dyDescent="0.2">
      <c r="DO32899" s="303" t="s">
        <v>232</v>
      </c>
    </row>
    <row r="32900" spans="119:119" x14ac:dyDescent="0.2">
      <c r="DO32900" s="303" t="s">
        <v>232</v>
      </c>
    </row>
    <row r="32901" spans="119:119" x14ac:dyDescent="0.2">
      <c r="DO32901" s="303" t="s">
        <v>232</v>
      </c>
    </row>
    <row r="32902" spans="119:119" x14ac:dyDescent="0.2">
      <c r="DO32902" s="303" t="s">
        <v>232</v>
      </c>
    </row>
    <row r="32903" spans="119:119" x14ac:dyDescent="0.2">
      <c r="DO32903" s="303" t="s">
        <v>232</v>
      </c>
    </row>
    <row r="32904" spans="119:119" x14ac:dyDescent="0.2">
      <c r="DO32904" s="303" t="s">
        <v>232</v>
      </c>
    </row>
    <row r="32905" spans="119:119" x14ac:dyDescent="0.2">
      <c r="DO32905" s="303" t="s">
        <v>232</v>
      </c>
    </row>
    <row r="32906" spans="119:119" x14ac:dyDescent="0.2">
      <c r="DO32906" s="303" t="s">
        <v>232</v>
      </c>
    </row>
    <row r="32907" spans="119:119" x14ac:dyDescent="0.2">
      <c r="DO32907" s="303" t="s">
        <v>232</v>
      </c>
    </row>
    <row r="32908" spans="119:119" x14ac:dyDescent="0.2">
      <c r="DO32908" s="303" t="s">
        <v>232</v>
      </c>
    </row>
    <row r="32909" spans="119:119" x14ac:dyDescent="0.2">
      <c r="DO32909" s="303" t="s">
        <v>232</v>
      </c>
    </row>
    <row r="32910" spans="119:119" x14ac:dyDescent="0.2">
      <c r="DO32910" s="303" t="s">
        <v>232</v>
      </c>
    </row>
    <row r="32911" spans="119:119" x14ac:dyDescent="0.2">
      <c r="DO32911" s="303" t="s">
        <v>232</v>
      </c>
    </row>
    <row r="32912" spans="119:119" x14ac:dyDescent="0.2">
      <c r="DO32912" s="303" t="s">
        <v>232</v>
      </c>
    </row>
    <row r="32913" spans="119:119" x14ac:dyDescent="0.2">
      <c r="DO32913" s="303" t="s">
        <v>232</v>
      </c>
    </row>
    <row r="32914" spans="119:119" x14ac:dyDescent="0.2">
      <c r="DO32914" s="303" t="s">
        <v>232</v>
      </c>
    </row>
    <row r="32915" spans="119:119" x14ac:dyDescent="0.2">
      <c r="DO32915" s="303" t="s">
        <v>232</v>
      </c>
    </row>
    <row r="32916" spans="119:119" x14ac:dyDescent="0.2">
      <c r="DO32916" s="303" t="s">
        <v>232</v>
      </c>
    </row>
    <row r="32917" spans="119:119" x14ac:dyDescent="0.2">
      <c r="DO32917" s="303" t="s">
        <v>232</v>
      </c>
    </row>
    <row r="32918" spans="119:119" x14ac:dyDescent="0.2">
      <c r="DO32918" s="303" t="s">
        <v>232</v>
      </c>
    </row>
    <row r="32919" spans="119:119" x14ac:dyDescent="0.2">
      <c r="DO32919" s="303" t="s">
        <v>232</v>
      </c>
    </row>
    <row r="32920" spans="119:119" x14ac:dyDescent="0.2">
      <c r="DO32920" s="303" t="s">
        <v>232</v>
      </c>
    </row>
    <row r="32921" spans="119:119" x14ac:dyDescent="0.2">
      <c r="DO32921" s="303" t="s">
        <v>232</v>
      </c>
    </row>
    <row r="32922" spans="119:119" x14ac:dyDescent="0.2">
      <c r="DO32922" s="303" t="s">
        <v>232</v>
      </c>
    </row>
    <row r="32923" spans="119:119" x14ac:dyDescent="0.2">
      <c r="DO32923" s="303" t="s">
        <v>232</v>
      </c>
    </row>
    <row r="32924" spans="119:119" x14ac:dyDescent="0.2">
      <c r="DO32924" s="303" t="s">
        <v>232</v>
      </c>
    </row>
    <row r="32925" spans="119:119" x14ac:dyDescent="0.2">
      <c r="DO32925" s="303" t="s">
        <v>232</v>
      </c>
    </row>
    <row r="32926" spans="119:119" x14ac:dyDescent="0.2">
      <c r="DO32926" s="303" t="s">
        <v>232</v>
      </c>
    </row>
    <row r="32927" spans="119:119" x14ac:dyDescent="0.2">
      <c r="DO32927" s="303" t="s">
        <v>232</v>
      </c>
    </row>
    <row r="32928" spans="119:119" x14ac:dyDescent="0.2">
      <c r="DO32928" s="303" t="s">
        <v>232</v>
      </c>
    </row>
    <row r="32929" spans="119:119" x14ac:dyDescent="0.2">
      <c r="DO32929" s="303" t="s">
        <v>232</v>
      </c>
    </row>
    <row r="32930" spans="119:119" x14ac:dyDescent="0.2">
      <c r="DO32930" s="303" t="s">
        <v>232</v>
      </c>
    </row>
    <row r="32931" spans="119:119" x14ac:dyDescent="0.2">
      <c r="DO32931" s="303" t="s">
        <v>232</v>
      </c>
    </row>
    <row r="32932" spans="119:119" x14ac:dyDescent="0.2">
      <c r="DO32932" s="303" t="s">
        <v>232</v>
      </c>
    </row>
    <row r="32933" spans="119:119" x14ac:dyDescent="0.2">
      <c r="DO32933" s="303" t="s">
        <v>232</v>
      </c>
    </row>
    <row r="32934" spans="119:119" x14ac:dyDescent="0.2">
      <c r="DO32934" s="303" t="s">
        <v>232</v>
      </c>
    </row>
    <row r="32935" spans="119:119" x14ac:dyDescent="0.2">
      <c r="DO32935" s="303" t="s">
        <v>232</v>
      </c>
    </row>
    <row r="32936" spans="119:119" x14ac:dyDescent="0.2">
      <c r="DO32936" s="303" t="s">
        <v>232</v>
      </c>
    </row>
    <row r="32937" spans="119:119" x14ac:dyDescent="0.2">
      <c r="DO32937" s="303" t="s">
        <v>232</v>
      </c>
    </row>
    <row r="32938" spans="119:119" x14ac:dyDescent="0.2">
      <c r="DO32938" s="303" t="s">
        <v>232</v>
      </c>
    </row>
    <row r="32939" spans="119:119" x14ac:dyDescent="0.2">
      <c r="DO32939" s="303" t="s">
        <v>232</v>
      </c>
    </row>
    <row r="32940" spans="119:119" x14ac:dyDescent="0.2">
      <c r="DO32940" s="303" t="s">
        <v>232</v>
      </c>
    </row>
    <row r="32941" spans="119:119" x14ac:dyDescent="0.2">
      <c r="DO32941" s="303" t="s">
        <v>232</v>
      </c>
    </row>
    <row r="32942" spans="119:119" x14ac:dyDescent="0.2">
      <c r="DO32942" s="303" t="s">
        <v>232</v>
      </c>
    </row>
    <row r="32943" spans="119:119" x14ac:dyDescent="0.2">
      <c r="DO32943" s="303" t="s">
        <v>232</v>
      </c>
    </row>
    <row r="32944" spans="119:119" x14ac:dyDescent="0.2">
      <c r="DO32944" s="303" t="s">
        <v>232</v>
      </c>
    </row>
    <row r="32945" spans="119:119" x14ac:dyDescent="0.2">
      <c r="DO32945" s="303" t="s">
        <v>232</v>
      </c>
    </row>
    <row r="32946" spans="119:119" x14ac:dyDescent="0.2">
      <c r="DO32946" s="303" t="s">
        <v>232</v>
      </c>
    </row>
    <row r="32947" spans="119:119" x14ac:dyDescent="0.2">
      <c r="DO32947" s="303" t="s">
        <v>232</v>
      </c>
    </row>
    <row r="32948" spans="119:119" x14ac:dyDescent="0.2">
      <c r="DO32948" s="303" t="s">
        <v>232</v>
      </c>
    </row>
    <row r="32949" spans="119:119" x14ac:dyDescent="0.2">
      <c r="DO32949" s="303" t="s">
        <v>232</v>
      </c>
    </row>
    <row r="32950" spans="119:119" x14ac:dyDescent="0.2">
      <c r="DO32950" s="303" t="s">
        <v>232</v>
      </c>
    </row>
    <row r="32951" spans="119:119" x14ac:dyDescent="0.2">
      <c r="DO32951" s="303" t="s">
        <v>232</v>
      </c>
    </row>
    <row r="32952" spans="119:119" x14ac:dyDescent="0.2">
      <c r="DO32952" s="303" t="s">
        <v>232</v>
      </c>
    </row>
    <row r="32953" spans="119:119" x14ac:dyDescent="0.2">
      <c r="DO32953" s="303" t="s">
        <v>232</v>
      </c>
    </row>
    <row r="32954" spans="119:119" x14ac:dyDescent="0.2">
      <c r="DO32954" s="303" t="s">
        <v>232</v>
      </c>
    </row>
    <row r="32955" spans="119:119" x14ac:dyDescent="0.2">
      <c r="DO32955" s="303" t="s">
        <v>232</v>
      </c>
    </row>
    <row r="32956" spans="119:119" x14ac:dyDescent="0.2">
      <c r="DO32956" s="303" t="s">
        <v>232</v>
      </c>
    </row>
    <row r="32957" spans="119:119" x14ac:dyDescent="0.2">
      <c r="DO32957" s="303" t="s">
        <v>232</v>
      </c>
    </row>
    <row r="32958" spans="119:119" x14ac:dyDescent="0.2">
      <c r="DO32958" s="303" t="s">
        <v>232</v>
      </c>
    </row>
    <row r="32959" spans="119:119" x14ac:dyDescent="0.2">
      <c r="DO32959" s="303" t="s">
        <v>232</v>
      </c>
    </row>
    <row r="32960" spans="119:119" x14ac:dyDescent="0.2">
      <c r="DO32960" s="303" t="s">
        <v>232</v>
      </c>
    </row>
    <row r="32961" spans="119:119" x14ac:dyDescent="0.2">
      <c r="DO32961" s="303" t="s">
        <v>232</v>
      </c>
    </row>
    <row r="32962" spans="119:119" x14ac:dyDescent="0.2">
      <c r="DO32962" s="303" t="s">
        <v>232</v>
      </c>
    </row>
    <row r="32963" spans="119:119" x14ac:dyDescent="0.2">
      <c r="DO32963" s="303" t="s">
        <v>232</v>
      </c>
    </row>
    <row r="32964" spans="119:119" x14ac:dyDescent="0.2">
      <c r="DO32964" s="303" t="s">
        <v>232</v>
      </c>
    </row>
    <row r="32965" spans="119:119" x14ac:dyDescent="0.2">
      <c r="DO32965" s="303" t="s">
        <v>232</v>
      </c>
    </row>
    <row r="32966" spans="119:119" x14ac:dyDescent="0.2">
      <c r="DO32966" s="303" t="s">
        <v>232</v>
      </c>
    </row>
    <row r="32967" spans="119:119" x14ac:dyDescent="0.2">
      <c r="DO32967" s="303" t="s">
        <v>232</v>
      </c>
    </row>
    <row r="32968" spans="119:119" x14ac:dyDescent="0.2">
      <c r="DO32968" s="303" t="s">
        <v>232</v>
      </c>
    </row>
    <row r="32969" spans="119:119" x14ac:dyDescent="0.2">
      <c r="DO32969" s="303" t="s">
        <v>232</v>
      </c>
    </row>
    <row r="32970" spans="119:119" x14ac:dyDescent="0.2">
      <c r="DO32970" s="303" t="s">
        <v>232</v>
      </c>
    </row>
    <row r="32971" spans="119:119" x14ac:dyDescent="0.2">
      <c r="DO32971" s="303" t="s">
        <v>232</v>
      </c>
    </row>
    <row r="32972" spans="119:119" x14ac:dyDescent="0.2">
      <c r="DO32972" s="303" t="s">
        <v>232</v>
      </c>
    </row>
    <row r="32973" spans="119:119" x14ac:dyDescent="0.2">
      <c r="DO32973" s="303" t="s">
        <v>232</v>
      </c>
    </row>
    <row r="32974" spans="119:119" x14ac:dyDescent="0.2">
      <c r="DO32974" s="303" t="s">
        <v>232</v>
      </c>
    </row>
    <row r="32975" spans="119:119" x14ac:dyDescent="0.2">
      <c r="DO32975" s="303" t="s">
        <v>232</v>
      </c>
    </row>
    <row r="32976" spans="119:119" x14ac:dyDescent="0.2">
      <c r="DO32976" s="303" t="s">
        <v>232</v>
      </c>
    </row>
    <row r="32977" spans="119:119" x14ac:dyDescent="0.2">
      <c r="DO32977" s="303" t="s">
        <v>232</v>
      </c>
    </row>
    <row r="32978" spans="119:119" x14ac:dyDescent="0.2">
      <c r="DO32978" s="303" t="s">
        <v>232</v>
      </c>
    </row>
    <row r="32979" spans="119:119" x14ac:dyDescent="0.2">
      <c r="DO32979" s="303" t="s">
        <v>232</v>
      </c>
    </row>
    <row r="32980" spans="119:119" x14ac:dyDescent="0.2">
      <c r="DO32980" s="303" t="s">
        <v>232</v>
      </c>
    </row>
    <row r="32981" spans="119:119" x14ac:dyDescent="0.2">
      <c r="DO32981" s="303" t="s">
        <v>232</v>
      </c>
    </row>
    <row r="32982" spans="119:119" x14ac:dyDescent="0.2">
      <c r="DO32982" s="303" t="s">
        <v>232</v>
      </c>
    </row>
    <row r="32983" spans="119:119" x14ac:dyDescent="0.2">
      <c r="DO32983" s="303" t="s">
        <v>232</v>
      </c>
    </row>
    <row r="32984" spans="119:119" x14ac:dyDescent="0.2">
      <c r="DO32984" s="303" t="s">
        <v>232</v>
      </c>
    </row>
    <row r="32985" spans="119:119" x14ac:dyDescent="0.2">
      <c r="DO32985" s="303" t="s">
        <v>232</v>
      </c>
    </row>
    <row r="32986" spans="119:119" x14ac:dyDescent="0.2">
      <c r="DO32986" s="303" t="s">
        <v>232</v>
      </c>
    </row>
    <row r="32987" spans="119:119" x14ac:dyDescent="0.2">
      <c r="DO32987" s="303" t="s">
        <v>232</v>
      </c>
    </row>
    <row r="32988" spans="119:119" x14ac:dyDescent="0.2">
      <c r="DO32988" s="303" t="s">
        <v>232</v>
      </c>
    </row>
    <row r="32989" spans="119:119" x14ac:dyDescent="0.2">
      <c r="DO32989" s="303" t="s">
        <v>232</v>
      </c>
    </row>
    <row r="32990" spans="119:119" x14ac:dyDescent="0.2">
      <c r="DO32990" s="303" t="s">
        <v>232</v>
      </c>
    </row>
    <row r="32991" spans="119:119" x14ac:dyDescent="0.2">
      <c r="DO32991" s="303" t="s">
        <v>232</v>
      </c>
    </row>
    <row r="32992" spans="119:119" x14ac:dyDescent="0.2">
      <c r="DO32992" s="303" t="s">
        <v>232</v>
      </c>
    </row>
    <row r="32993" spans="119:119" x14ac:dyDescent="0.2">
      <c r="DO32993" s="303" t="s">
        <v>232</v>
      </c>
    </row>
    <row r="32994" spans="119:119" x14ac:dyDescent="0.2">
      <c r="DO32994" s="303" t="s">
        <v>232</v>
      </c>
    </row>
    <row r="32995" spans="119:119" x14ac:dyDescent="0.2">
      <c r="DO32995" s="303" t="s">
        <v>232</v>
      </c>
    </row>
    <row r="32996" spans="119:119" x14ac:dyDescent="0.2">
      <c r="DO32996" s="303" t="s">
        <v>232</v>
      </c>
    </row>
    <row r="32997" spans="119:119" x14ac:dyDescent="0.2">
      <c r="DO32997" s="303" t="s">
        <v>232</v>
      </c>
    </row>
    <row r="32998" spans="119:119" x14ac:dyDescent="0.2">
      <c r="DO32998" s="303" t="s">
        <v>232</v>
      </c>
    </row>
    <row r="32999" spans="119:119" x14ac:dyDescent="0.2">
      <c r="DO32999" s="303" t="s">
        <v>232</v>
      </c>
    </row>
    <row r="33000" spans="119:119" x14ac:dyDescent="0.2">
      <c r="DO33000" s="303" t="s">
        <v>232</v>
      </c>
    </row>
    <row r="33001" spans="119:119" x14ac:dyDescent="0.2">
      <c r="DO33001" s="303" t="s">
        <v>232</v>
      </c>
    </row>
    <row r="33002" spans="119:119" x14ac:dyDescent="0.2">
      <c r="DO33002" s="303" t="s">
        <v>232</v>
      </c>
    </row>
    <row r="33003" spans="119:119" x14ac:dyDescent="0.2">
      <c r="DO33003" s="303" t="s">
        <v>232</v>
      </c>
    </row>
    <row r="33004" spans="119:119" x14ac:dyDescent="0.2">
      <c r="DO33004" s="303" t="s">
        <v>232</v>
      </c>
    </row>
    <row r="33005" spans="119:119" x14ac:dyDescent="0.2">
      <c r="DO33005" s="303" t="s">
        <v>232</v>
      </c>
    </row>
    <row r="33006" spans="119:119" x14ac:dyDescent="0.2">
      <c r="DO33006" s="303" t="s">
        <v>232</v>
      </c>
    </row>
    <row r="33007" spans="119:119" x14ac:dyDescent="0.2">
      <c r="DO33007" s="303" t="s">
        <v>232</v>
      </c>
    </row>
    <row r="33008" spans="119:119" x14ac:dyDescent="0.2">
      <c r="DO33008" s="303" t="s">
        <v>232</v>
      </c>
    </row>
    <row r="33009" spans="119:119" x14ac:dyDescent="0.2">
      <c r="DO33009" s="303" t="s">
        <v>232</v>
      </c>
    </row>
    <row r="33010" spans="119:119" x14ac:dyDescent="0.2">
      <c r="DO33010" s="303" t="s">
        <v>232</v>
      </c>
    </row>
    <row r="33011" spans="119:119" x14ac:dyDescent="0.2">
      <c r="DO33011" s="303" t="s">
        <v>232</v>
      </c>
    </row>
    <row r="33012" spans="119:119" x14ac:dyDescent="0.2">
      <c r="DO33012" s="303" t="s">
        <v>232</v>
      </c>
    </row>
    <row r="33013" spans="119:119" x14ac:dyDescent="0.2">
      <c r="DO33013" s="303" t="s">
        <v>232</v>
      </c>
    </row>
    <row r="33014" spans="119:119" x14ac:dyDescent="0.2">
      <c r="DO33014" s="303" t="s">
        <v>232</v>
      </c>
    </row>
    <row r="33015" spans="119:119" x14ac:dyDescent="0.2">
      <c r="DO33015" s="303" t="s">
        <v>232</v>
      </c>
    </row>
    <row r="33016" spans="119:119" x14ac:dyDescent="0.2">
      <c r="DO33016" s="303" t="s">
        <v>232</v>
      </c>
    </row>
    <row r="33017" spans="119:119" x14ac:dyDescent="0.2">
      <c r="DO33017" s="303" t="s">
        <v>232</v>
      </c>
    </row>
    <row r="33018" spans="119:119" x14ac:dyDescent="0.2">
      <c r="DO33018" s="303" t="s">
        <v>232</v>
      </c>
    </row>
    <row r="33019" spans="119:119" x14ac:dyDescent="0.2">
      <c r="DO33019" s="303" t="s">
        <v>232</v>
      </c>
    </row>
    <row r="33020" spans="119:119" x14ac:dyDescent="0.2">
      <c r="DO33020" s="303" t="s">
        <v>232</v>
      </c>
    </row>
    <row r="33021" spans="119:119" x14ac:dyDescent="0.2">
      <c r="DO33021" s="303" t="s">
        <v>232</v>
      </c>
    </row>
    <row r="33022" spans="119:119" x14ac:dyDescent="0.2">
      <c r="DO33022" s="303" t="s">
        <v>232</v>
      </c>
    </row>
    <row r="33023" spans="119:119" x14ac:dyDescent="0.2">
      <c r="DO33023" s="303" t="s">
        <v>232</v>
      </c>
    </row>
    <row r="33024" spans="119:119" x14ac:dyDescent="0.2">
      <c r="DO33024" s="303" t="s">
        <v>232</v>
      </c>
    </row>
    <row r="33025" spans="119:119" x14ac:dyDescent="0.2">
      <c r="DO33025" s="303" t="s">
        <v>232</v>
      </c>
    </row>
    <row r="33026" spans="119:119" x14ac:dyDescent="0.2">
      <c r="DO33026" s="303" t="s">
        <v>232</v>
      </c>
    </row>
    <row r="33027" spans="119:119" x14ac:dyDescent="0.2">
      <c r="DO33027" s="303" t="s">
        <v>232</v>
      </c>
    </row>
    <row r="33028" spans="119:119" x14ac:dyDescent="0.2">
      <c r="DO33028" s="303" t="s">
        <v>232</v>
      </c>
    </row>
    <row r="33029" spans="119:119" x14ac:dyDescent="0.2">
      <c r="DO33029" s="303" t="s">
        <v>232</v>
      </c>
    </row>
    <row r="33030" spans="119:119" x14ac:dyDescent="0.2">
      <c r="DO33030" s="303" t="s">
        <v>232</v>
      </c>
    </row>
    <row r="33031" spans="119:119" x14ac:dyDescent="0.2">
      <c r="DO33031" s="303" t="s">
        <v>232</v>
      </c>
    </row>
    <row r="33032" spans="119:119" x14ac:dyDescent="0.2">
      <c r="DO33032" s="303" t="s">
        <v>232</v>
      </c>
    </row>
    <row r="33033" spans="119:119" x14ac:dyDescent="0.2">
      <c r="DO33033" s="303" t="s">
        <v>232</v>
      </c>
    </row>
    <row r="33034" spans="119:119" x14ac:dyDescent="0.2">
      <c r="DO33034" s="303" t="s">
        <v>232</v>
      </c>
    </row>
    <row r="33035" spans="119:119" x14ac:dyDescent="0.2">
      <c r="DO33035" s="303" t="s">
        <v>232</v>
      </c>
    </row>
    <row r="33036" spans="119:119" x14ac:dyDescent="0.2">
      <c r="DO33036" s="303" t="s">
        <v>232</v>
      </c>
    </row>
    <row r="33037" spans="119:119" x14ac:dyDescent="0.2">
      <c r="DO33037" s="303" t="s">
        <v>232</v>
      </c>
    </row>
    <row r="33038" spans="119:119" x14ac:dyDescent="0.2">
      <c r="DO33038" s="303" t="s">
        <v>232</v>
      </c>
    </row>
    <row r="33039" spans="119:119" x14ac:dyDescent="0.2">
      <c r="DO33039" s="303" t="s">
        <v>232</v>
      </c>
    </row>
    <row r="33040" spans="119:119" x14ac:dyDescent="0.2">
      <c r="DO33040" s="303" t="s">
        <v>232</v>
      </c>
    </row>
    <row r="33041" spans="119:119" x14ac:dyDescent="0.2">
      <c r="DO33041" s="303" t="s">
        <v>232</v>
      </c>
    </row>
    <row r="33042" spans="119:119" x14ac:dyDescent="0.2">
      <c r="DO33042" s="303" t="s">
        <v>232</v>
      </c>
    </row>
    <row r="33043" spans="119:119" x14ac:dyDescent="0.2">
      <c r="DO33043" s="303" t="s">
        <v>232</v>
      </c>
    </row>
    <row r="33044" spans="119:119" x14ac:dyDescent="0.2">
      <c r="DO33044" s="303" t="s">
        <v>232</v>
      </c>
    </row>
    <row r="33045" spans="119:119" x14ac:dyDescent="0.2">
      <c r="DO33045" s="303" t="s">
        <v>232</v>
      </c>
    </row>
    <row r="33046" spans="119:119" x14ac:dyDescent="0.2">
      <c r="DO33046" s="303" t="s">
        <v>232</v>
      </c>
    </row>
    <row r="33047" spans="119:119" x14ac:dyDescent="0.2">
      <c r="DO33047" s="303" t="s">
        <v>232</v>
      </c>
    </row>
    <row r="33048" spans="119:119" x14ac:dyDescent="0.2">
      <c r="DO33048" s="303" t="s">
        <v>232</v>
      </c>
    </row>
    <row r="33049" spans="119:119" x14ac:dyDescent="0.2">
      <c r="DO33049" s="303" t="s">
        <v>232</v>
      </c>
    </row>
    <row r="33050" spans="119:119" x14ac:dyDescent="0.2">
      <c r="DO33050" s="303" t="s">
        <v>232</v>
      </c>
    </row>
    <row r="33051" spans="119:119" x14ac:dyDescent="0.2">
      <c r="DO33051" s="303" t="s">
        <v>232</v>
      </c>
    </row>
    <row r="33052" spans="119:119" x14ac:dyDescent="0.2">
      <c r="DO33052" s="303" t="s">
        <v>232</v>
      </c>
    </row>
    <row r="33053" spans="119:119" x14ac:dyDescent="0.2">
      <c r="DO33053" s="303" t="s">
        <v>232</v>
      </c>
    </row>
    <row r="33054" spans="119:119" x14ac:dyDescent="0.2">
      <c r="DO33054" s="303" t="s">
        <v>232</v>
      </c>
    </row>
    <row r="33055" spans="119:119" x14ac:dyDescent="0.2">
      <c r="DO33055" s="303" t="s">
        <v>232</v>
      </c>
    </row>
    <row r="33056" spans="119:119" x14ac:dyDescent="0.2">
      <c r="DO33056" s="303" t="s">
        <v>232</v>
      </c>
    </row>
    <row r="33057" spans="119:119" x14ac:dyDescent="0.2">
      <c r="DO33057" s="303" t="s">
        <v>232</v>
      </c>
    </row>
    <row r="33058" spans="119:119" x14ac:dyDescent="0.2">
      <c r="DO33058" s="303" t="s">
        <v>232</v>
      </c>
    </row>
    <row r="33059" spans="119:119" x14ac:dyDescent="0.2">
      <c r="DO33059" s="303" t="s">
        <v>232</v>
      </c>
    </row>
    <row r="33060" spans="119:119" x14ac:dyDescent="0.2">
      <c r="DO33060" s="303" t="s">
        <v>232</v>
      </c>
    </row>
    <row r="33061" spans="119:119" x14ac:dyDescent="0.2">
      <c r="DO33061" s="303" t="s">
        <v>232</v>
      </c>
    </row>
    <row r="33062" spans="119:119" x14ac:dyDescent="0.2">
      <c r="DO33062" s="303" t="s">
        <v>232</v>
      </c>
    </row>
    <row r="33063" spans="119:119" x14ac:dyDescent="0.2">
      <c r="DO33063" s="303" t="s">
        <v>232</v>
      </c>
    </row>
    <row r="33064" spans="119:119" x14ac:dyDescent="0.2">
      <c r="DO33064" s="303" t="s">
        <v>232</v>
      </c>
    </row>
    <row r="33065" spans="119:119" x14ac:dyDescent="0.2">
      <c r="DO33065" s="303" t="s">
        <v>232</v>
      </c>
    </row>
    <row r="33066" spans="119:119" x14ac:dyDescent="0.2">
      <c r="DO33066" s="303" t="s">
        <v>232</v>
      </c>
    </row>
    <row r="33067" spans="119:119" x14ac:dyDescent="0.2">
      <c r="DO33067" s="303" t="s">
        <v>232</v>
      </c>
    </row>
    <row r="33068" spans="119:119" x14ac:dyDescent="0.2">
      <c r="DO33068" s="303" t="s">
        <v>232</v>
      </c>
    </row>
    <row r="33069" spans="119:119" x14ac:dyDescent="0.2">
      <c r="DO33069" s="303" t="s">
        <v>232</v>
      </c>
    </row>
    <row r="33070" spans="119:119" x14ac:dyDescent="0.2">
      <c r="DO33070" s="303" t="s">
        <v>232</v>
      </c>
    </row>
    <row r="33071" spans="119:119" x14ac:dyDescent="0.2">
      <c r="DO33071" s="303" t="s">
        <v>232</v>
      </c>
    </row>
    <row r="33072" spans="119:119" x14ac:dyDescent="0.2">
      <c r="DO33072" s="303" t="s">
        <v>232</v>
      </c>
    </row>
    <row r="33073" spans="119:119" x14ac:dyDescent="0.2">
      <c r="DO33073" s="303" t="s">
        <v>232</v>
      </c>
    </row>
    <row r="33074" spans="119:119" x14ac:dyDescent="0.2">
      <c r="DO33074" s="303" t="s">
        <v>232</v>
      </c>
    </row>
    <row r="33075" spans="119:119" x14ac:dyDescent="0.2">
      <c r="DO33075" s="303" t="s">
        <v>232</v>
      </c>
    </row>
    <row r="33076" spans="119:119" x14ac:dyDescent="0.2">
      <c r="DO33076" s="303" t="s">
        <v>232</v>
      </c>
    </row>
    <row r="33077" spans="119:119" x14ac:dyDescent="0.2">
      <c r="DO33077" s="303" t="s">
        <v>232</v>
      </c>
    </row>
    <row r="33078" spans="119:119" x14ac:dyDescent="0.2">
      <c r="DO33078" s="303" t="s">
        <v>232</v>
      </c>
    </row>
    <row r="33079" spans="119:119" x14ac:dyDescent="0.2">
      <c r="DO33079" s="303" t="s">
        <v>232</v>
      </c>
    </row>
    <row r="33080" spans="119:119" x14ac:dyDescent="0.2">
      <c r="DO33080" s="303" t="s">
        <v>232</v>
      </c>
    </row>
    <row r="33081" spans="119:119" x14ac:dyDescent="0.2">
      <c r="DO33081" s="303" t="s">
        <v>232</v>
      </c>
    </row>
    <row r="33082" spans="119:119" x14ac:dyDescent="0.2">
      <c r="DO33082" s="303" t="s">
        <v>232</v>
      </c>
    </row>
    <row r="33083" spans="119:119" x14ac:dyDescent="0.2">
      <c r="DO33083" s="303" t="s">
        <v>232</v>
      </c>
    </row>
    <row r="33084" spans="119:119" x14ac:dyDescent="0.2">
      <c r="DO33084" s="303" t="s">
        <v>232</v>
      </c>
    </row>
    <row r="33085" spans="119:119" x14ac:dyDescent="0.2">
      <c r="DO33085" s="303" t="s">
        <v>232</v>
      </c>
    </row>
    <row r="33086" spans="119:119" x14ac:dyDescent="0.2">
      <c r="DO33086" s="303" t="s">
        <v>232</v>
      </c>
    </row>
    <row r="33087" spans="119:119" x14ac:dyDescent="0.2">
      <c r="DO33087" s="303" t="s">
        <v>232</v>
      </c>
    </row>
    <row r="33088" spans="119:119" x14ac:dyDescent="0.2">
      <c r="DO33088" s="303" t="s">
        <v>232</v>
      </c>
    </row>
    <row r="33089" spans="119:119" x14ac:dyDescent="0.2">
      <c r="DO33089" s="303" t="s">
        <v>232</v>
      </c>
    </row>
    <row r="33090" spans="119:119" x14ac:dyDescent="0.2">
      <c r="DO33090" s="303" t="s">
        <v>232</v>
      </c>
    </row>
    <row r="33091" spans="119:119" x14ac:dyDescent="0.2">
      <c r="DO33091" s="303" t="s">
        <v>232</v>
      </c>
    </row>
    <row r="33092" spans="119:119" x14ac:dyDescent="0.2">
      <c r="DO33092" s="303" t="s">
        <v>232</v>
      </c>
    </row>
    <row r="33093" spans="119:119" x14ac:dyDescent="0.2">
      <c r="DO33093" s="303" t="s">
        <v>232</v>
      </c>
    </row>
    <row r="33094" spans="119:119" x14ac:dyDescent="0.2">
      <c r="DO33094" s="303" t="s">
        <v>232</v>
      </c>
    </row>
    <row r="33095" spans="119:119" x14ac:dyDescent="0.2">
      <c r="DO33095" s="303" t="s">
        <v>232</v>
      </c>
    </row>
    <row r="33096" spans="119:119" x14ac:dyDescent="0.2">
      <c r="DO33096" s="303" t="s">
        <v>232</v>
      </c>
    </row>
    <row r="33097" spans="119:119" x14ac:dyDescent="0.2">
      <c r="DO33097" s="303" t="s">
        <v>232</v>
      </c>
    </row>
    <row r="33098" spans="119:119" x14ac:dyDescent="0.2">
      <c r="DO33098" s="303" t="s">
        <v>232</v>
      </c>
    </row>
    <row r="33099" spans="119:119" x14ac:dyDescent="0.2">
      <c r="DO33099" s="303" t="s">
        <v>232</v>
      </c>
    </row>
    <row r="33100" spans="119:119" x14ac:dyDescent="0.2">
      <c r="DO33100" s="303" t="s">
        <v>232</v>
      </c>
    </row>
    <row r="33101" spans="119:119" x14ac:dyDescent="0.2">
      <c r="DO33101" s="303" t="s">
        <v>232</v>
      </c>
    </row>
    <row r="33102" spans="119:119" x14ac:dyDescent="0.2">
      <c r="DO33102" s="303" t="s">
        <v>232</v>
      </c>
    </row>
    <row r="33103" spans="119:119" x14ac:dyDescent="0.2">
      <c r="DO33103" s="303" t="s">
        <v>232</v>
      </c>
    </row>
    <row r="33104" spans="119:119" x14ac:dyDescent="0.2">
      <c r="DO33104" s="303" t="s">
        <v>232</v>
      </c>
    </row>
    <row r="33105" spans="119:119" x14ac:dyDescent="0.2">
      <c r="DO33105" s="303" t="s">
        <v>232</v>
      </c>
    </row>
    <row r="33106" spans="119:119" x14ac:dyDescent="0.2">
      <c r="DO33106" s="303" t="s">
        <v>232</v>
      </c>
    </row>
    <row r="33107" spans="119:119" x14ac:dyDescent="0.2">
      <c r="DO33107" s="303" t="s">
        <v>232</v>
      </c>
    </row>
    <row r="33108" spans="119:119" x14ac:dyDescent="0.2">
      <c r="DO33108" s="303" t="s">
        <v>232</v>
      </c>
    </row>
    <row r="33109" spans="119:119" x14ac:dyDescent="0.2">
      <c r="DO33109" s="303" t="s">
        <v>232</v>
      </c>
    </row>
    <row r="33110" spans="119:119" x14ac:dyDescent="0.2">
      <c r="DO33110" s="303" t="s">
        <v>232</v>
      </c>
    </row>
    <row r="33111" spans="119:119" x14ac:dyDescent="0.2">
      <c r="DO33111" s="303" t="s">
        <v>232</v>
      </c>
    </row>
    <row r="33112" spans="119:119" x14ac:dyDescent="0.2">
      <c r="DO33112" s="303" t="s">
        <v>232</v>
      </c>
    </row>
    <row r="33113" spans="119:119" x14ac:dyDescent="0.2">
      <c r="DO33113" s="303" t="s">
        <v>232</v>
      </c>
    </row>
    <row r="33114" spans="119:119" x14ac:dyDescent="0.2">
      <c r="DO33114" s="303" t="s">
        <v>232</v>
      </c>
    </row>
    <row r="33115" spans="119:119" x14ac:dyDescent="0.2">
      <c r="DO33115" s="303" t="s">
        <v>232</v>
      </c>
    </row>
    <row r="33116" spans="119:119" x14ac:dyDescent="0.2">
      <c r="DO33116" s="303" t="s">
        <v>232</v>
      </c>
    </row>
    <row r="33117" spans="119:119" x14ac:dyDescent="0.2">
      <c r="DO33117" s="303" t="s">
        <v>232</v>
      </c>
    </row>
    <row r="33118" spans="119:119" x14ac:dyDescent="0.2">
      <c r="DO33118" s="303" t="s">
        <v>232</v>
      </c>
    </row>
    <row r="33119" spans="119:119" x14ac:dyDescent="0.2">
      <c r="DO33119" s="303" t="s">
        <v>232</v>
      </c>
    </row>
    <row r="33120" spans="119:119" x14ac:dyDescent="0.2">
      <c r="DO33120" s="303" t="s">
        <v>232</v>
      </c>
    </row>
    <row r="33121" spans="119:119" x14ac:dyDescent="0.2">
      <c r="DO33121" s="303" t="s">
        <v>232</v>
      </c>
    </row>
    <row r="33122" spans="119:119" x14ac:dyDescent="0.2">
      <c r="DO33122" s="303" t="s">
        <v>232</v>
      </c>
    </row>
    <row r="33123" spans="119:119" x14ac:dyDescent="0.2">
      <c r="DO33123" s="303" t="s">
        <v>232</v>
      </c>
    </row>
    <row r="33124" spans="119:119" x14ac:dyDescent="0.2">
      <c r="DO33124" s="303" t="s">
        <v>232</v>
      </c>
    </row>
    <row r="33125" spans="119:119" x14ac:dyDescent="0.2">
      <c r="DO33125" s="303" t="s">
        <v>232</v>
      </c>
    </row>
    <row r="33126" spans="119:119" x14ac:dyDescent="0.2">
      <c r="DO33126" s="303" t="s">
        <v>232</v>
      </c>
    </row>
    <row r="33127" spans="119:119" x14ac:dyDescent="0.2">
      <c r="DO33127" s="303" t="s">
        <v>232</v>
      </c>
    </row>
    <row r="33128" spans="119:119" x14ac:dyDescent="0.2">
      <c r="DO33128" s="303" t="s">
        <v>232</v>
      </c>
    </row>
    <row r="33129" spans="119:119" x14ac:dyDescent="0.2">
      <c r="DO33129" s="303" t="s">
        <v>232</v>
      </c>
    </row>
    <row r="33130" spans="119:119" x14ac:dyDescent="0.2">
      <c r="DO33130" s="303" t="s">
        <v>232</v>
      </c>
    </row>
    <row r="33131" spans="119:119" x14ac:dyDescent="0.2">
      <c r="DO33131" s="303" t="s">
        <v>232</v>
      </c>
    </row>
    <row r="33132" spans="119:119" x14ac:dyDescent="0.2">
      <c r="DO33132" s="303" t="s">
        <v>232</v>
      </c>
    </row>
    <row r="33133" spans="119:119" x14ac:dyDescent="0.2">
      <c r="DO33133" s="303" t="s">
        <v>232</v>
      </c>
    </row>
    <row r="33134" spans="119:119" x14ac:dyDescent="0.2">
      <c r="DO33134" s="303" t="s">
        <v>232</v>
      </c>
    </row>
    <row r="33135" spans="119:119" x14ac:dyDescent="0.2">
      <c r="DO33135" s="303" t="s">
        <v>232</v>
      </c>
    </row>
    <row r="33136" spans="119:119" x14ac:dyDescent="0.2">
      <c r="DO33136" s="303" t="s">
        <v>232</v>
      </c>
    </row>
    <row r="33137" spans="119:119" x14ac:dyDescent="0.2">
      <c r="DO33137" s="303" t="s">
        <v>232</v>
      </c>
    </row>
    <row r="33138" spans="119:119" x14ac:dyDescent="0.2">
      <c r="DO33138" s="303" t="s">
        <v>232</v>
      </c>
    </row>
    <row r="33139" spans="119:119" x14ac:dyDescent="0.2">
      <c r="DO33139" s="303" t="s">
        <v>232</v>
      </c>
    </row>
    <row r="33140" spans="119:119" x14ac:dyDescent="0.2">
      <c r="DO33140" s="303" t="s">
        <v>232</v>
      </c>
    </row>
    <row r="33141" spans="119:119" x14ac:dyDescent="0.2">
      <c r="DO33141" s="303" t="s">
        <v>232</v>
      </c>
    </row>
    <row r="33142" spans="119:119" x14ac:dyDescent="0.2">
      <c r="DO33142" s="303" t="s">
        <v>232</v>
      </c>
    </row>
    <row r="33143" spans="119:119" x14ac:dyDescent="0.2">
      <c r="DO33143" s="303" t="s">
        <v>232</v>
      </c>
    </row>
    <row r="33144" spans="119:119" x14ac:dyDescent="0.2">
      <c r="DO33144" s="303" t="s">
        <v>232</v>
      </c>
    </row>
    <row r="33145" spans="119:119" x14ac:dyDescent="0.2">
      <c r="DO33145" s="303" t="s">
        <v>232</v>
      </c>
    </row>
    <row r="33146" spans="119:119" x14ac:dyDescent="0.2">
      <c r="DO33146" s="303" t="s">
        <v>232</v>
      </c>
    </row>
    <row r="33147" spans="119:119" x14ac:dyDescent="0.2">
      <c r="DO33147" s="303" t="s">
        <v>232</v>
      </c>
    </row>
    <row r="33148" spans="119:119" x14ac:dyDescent="0.2">
      <c r="DO33148" s="303" t="s">
        <v>232</v>
      </c>
    </row>
    <row r="33149" spans="119:119" x14ac:dyDescent="0.2">
      <c r="DO33149" s="303" t="s">
        <v>232</v>
      </c>
    </row>
    <row r="33150" spans="119:119" x14ac:dyDescent="0.2">
      <c r="DO33150" s="303" t="s">
        <v>232</v>
      </c>
    </row>
    <row r="33151" spans="119:119" x14ac:dyDescent="0.2">
      <c r="DO33151" s="303" t="s">
        <v>232</v>
      </c>
    </row>
    <row r="33152" spans="119:119" x14ac:dyDescent="0.2">
      <c r="DO33152" s="303" t="s">
        <v>232</v>
      </c>
    </row>
    <row r="33153" spans="119:119" x14ac:dyDescent="0.2">
      <c r="DO33153" s="303" t="s">
        <v>232</v>
      </c>
    </row>
    <row r="33154" spans="119:119" x14ac:dyDescent="0.2">
      <c r="DO33154" s="303" t="s">
        <v>232</v>
      </c>
    </row>
    <row r="33155" spans="119:119" x14ac:dyDescent="0.2">
      <c r="DO33155" s="303" t="s">
        <v>232</v>
      </c>
    </row>
    <row r="33156" spans="119:119" x14ac:dyDescent="0.2">
      <c r="DO33156" s="303" t="s">
        <v>232</v>
      </c>
    </row>
    <row r="33157" spans="119:119" x14ac:dyDescent="0.2">
      <c r="DO33157" s="303" t="s">
        <v>232</v>
      </c>
    </row>
    <row r="33158" spans="119:119" x14ac:dyDescent="0.2">
      <c r="DO33158" s="303" t="s">
        <v>232</v>
      </c>
    </row>
    <row r="33159" spans="119:119" x14ac:dyDescent="0.2">
      <c r="DO33159" s="303" t="s">
        <v>232</v>
      </c>
    </row>
    <row r="33160" spans="119:119" x14ac:dyDescent="0.2">
      <c r="DO33160" s="303" t="s">
        <v>232</v>
      </c>
    </row>
    <row r="33161" spans="119:119" x14ac:dyDescent="0.2">
      <c r="DO33161" s="303" t="s">
        <v>232</v>
      </c>
    </row>
    <row r="33162" spans="119:119" x14ac:dyDescent="0.2">
      <c r="DO33162" s="303" t="s">
        <v>232</v>
      </c>
    </row>
    <row r="33163" spans="119:119" x14ac:dyDescent="0.2">
      <c r="DO33163" s="303" t="s">
        <v>232</v>
      </c>
    </row>
    <row r="33164" spans="119:119" x14ac:dyDescent="0.2">
      <c r="DO33164" s="303" t="s">
        <v>232</v>
      </c>
    </row>
    <row r="33165" spans="119:119" x14ac:dyDescent="0.2">
      <c r="DO33165" s="303" t="s">
        <v>232</v>
      </c>
    </row>
    <row r="33166" spans="119:119" x14ac:dyDescent="0.2">
      <c r="DO33166" s="303" t="s">
        <v>232</v>
      </c>
    </row>
    <row r="33167" spans="119:119" x14ac:dyDescent="0.2">
      <c r="DO33167" s="303" t="s">
        <v>232</v>
      </c>
    </row>
    <row r="33168" spans="119:119" x14ac:dyDescent="0.2">
      <c r="DO33168" s="303" t="s">
        <v>232</v>
      </c>
    </row>
    <row r="33169" spans="119:119" x14ac:dyDescent="0.2">
      <c r="DO33169" s="303" t="s">
        <v>232</v>
      </c>
    </row>
    <row r="33170" spans="119:119" x14ac:dyDescent="0.2">
      <c r="DO33170" s="303" t="s">
        <v>232</v>
      </c>
    </row>
    <row r="33171" spans="119:119" x14ac:dyDescent="0.2">
      <c r="DO33171" s="303" t="s">
        <v>232</v>
      </c>
    </row>
    <row r="33172" spans="119:119" x14ac:dyDescent="0.2">
      <c r="DO33172" s="303" t="s">
        <v>232</v>
      </c>
    </row>
    <row r="33173" spans="119:119" x14ac:dyDescent="0.2">
      <c r="DO33173" s="303" t="s">
        <v>232</v>
      </c>
    </row>
    <row r="33174" spans="119:119" x14ac:dyDescent="0.2">
      <c r="DO33174" s="303" t="s">
        <v>232</v>
      </c>
    </row>
    <row r="33175" spans="119:119" x14ac:dyDescent="0.2">
      <c r="DO33175" s="303" t="s">
        <v>232</v>
      </c>
    </row>
    <row r="33176" spans="119:119" x14ac:dyDescent="0.2">
      <c r="DO33176" s="303" t="s">
        <v>232</v>
      </c>
    </row>
    <row r="33177" spans="119:119" x14ac:dyDescent="0.2">
      <c r="DO33177" s="303" t="s">
        <v>232</v>
      </c>
    </row>
    <row r="33178" spans="119:119" x14ac:dyDescent="0.2">
      <c r="DO33178" s="303" t="s">
        <v>232</v>
      </c>
    </row>
    <row r="33179" spans="119:119" x14ac:dyDescent="0.2">
      <c r="DO33179" s="303" t="s">
        <v>232</v>
      </c>
    </row>
    <row r="33180" spans="119:119" x14ac:dyDescent="0.2">
      <c r="DO33180" s="303" t="s">
        <v>232</v>
      </c>
    </row>
    <row r="33181" spans="119:119" x14ac:dyDescent="0.2">
      <c r="DO33181" s="303" t="s">
        <v>232</v>
      </c>
    </row>
    <row r="33182" spans="119:119" x14ac:dyDescent="0.2">
      <c r="DO33182" s="303" t="s">
        <v>232</v>
      </c>
    </row>
    <row r="33183" spans="119:119" x14ac:dyDescent="0.2">
      <c r="DO33183" s="303" t="s">
        <v>232</v>
      </c>
    </row>
    <row r="33184" spans="119:119" x14ac:dyDescent="0.2">
      <c r="DO33184" s="303" t="s">
        <v>232</v>
      </c>
    </row>
    <row r="33185" spans="119:119" x14ac:dyDescent="0.2">
      <c r="DO33185" s="303" t="s">
        <v>232</v>
      </c>
    </row>
    <row r="33186" spans="119:119" x14ac:dyDescent="0.2">
      <c r="DO33186" s="303" t="s">
        <v>232</v>
      </c>
    </row>
    <row r="33187" spans="119:119" x14ac:dyDescent="0.2">
      <c r="DO33187" s="303" t="s">
        <v>232</v>
      </c>
    </row>
    <row r="33188" spans="119:119" x14ac:dyDescent="0.2">
      <c r="DO33188" s="303" t="s">
        <v>232</v>
      </c>
    </row>
    <row r="33189" spans="119:119" x14ac:dyDescent="0.2">
      <c r="DO33189" s="303" t="s">
        <v>232</v>
      </c>
    </row>
    <row r="33190" spans="119:119" x14ac:dyDescent="0.2">
      <c r="DO33190" s="303" t="s">
        <v>232</v>
      </c>
    </row>
    <row r="33191" spans="119:119" x14ac:dyDescent="0.2">
      <c r="DO33191" s="303" t="s">
        <v>232</v>
      </c>
    </row>
    <row r="33192" spans="119:119" x14ac:dyDescent="0.2">
      <c r="DO33192" s="303" t="s">
        <v>232</v>
      </c>
    </row>
    <row r="33193" spans="119:119" x14ac:dyDescent="0.2">
      <c r="DO33193" s="303" t="s">
        <v>232</v>
      </c>
    </row>
    <row r="33194" spans="119:119" x14ac:dyDescent="0.2">
      <c r="DO33194" s="303" t="s">
        <v>232</v>
      </c>
    </row>
    <row r="33195" spans="119:119" x14ac:dyDescent="0.2">
      <c r="DO33195" s="303" t="s">
        <v>232</v>
      </c>
    </row>
    <row r="33196" spans="119:119" x14ac:dyDescent="0.2">
      <c r="DO33196" s="303" t="s">
        <v>232</v>
      </c>
    </row>
    <row r="33197" spans="119:119" x14ac:dyDescent="0.2">
      <c r="DO33197" s="303" t="s">
        <v>232</v>
      </c>
    </row>
    <row r="33198" spans="119:119" x14ac:dyDescent="0.2">
      <c r="DO33198" s="303" t="s">
        <v>232</v>
      </c>
    </row>
    <row r="33199" spans="119:119" x14ac:dyDescent="0.2">
      <c r="DO33199" s="303" t="s">
        <v>232</v>
      </c>
    </row>
    <row r="33200" spans="119:119" x14ac:dyDescent="0.2">
      <c r="DO33200" s="303" t="s">
        <v>232</v>
      </c>
    </row>
    <row r="33201" spans="119:119" x14ac:dyDescent="0.2">
      <c r="DO33201" s="303" t="s">
        <v>232</v>
      </c>
    </row>
    <row r="33202" spans="119:119" x14ac:dyDescent="0.2">
      <c r="DO33202" s="303" t="s">
        <v>232</v>
      </c>
    </row>
    <row r="33203" spans="119:119" x14ac:dyDescent="0.2">
      <c r="DO33203" s="303" t="s">
        <v>232</v>
      </c>
    </row>
    <row r="33204" spans="119:119" x14ac:dyDescent="0.2">
      <c r="DO33204" s="303" t="s">
        <v>232</v>
      </c>
    </row>
    <row r="33205" spans="119:119" x14ac:dyDescent="0.2">
      <c r="DO33205" s="303" t="s">
        <v>232</v>
      </c>
    </row>
    <row r="33206" spans="119:119" x14ac:dyDescent="0.2">
      <c r="DO33206" s="303" t="s">
        <v>232</v>
      </c>
    </row>
    <row r="33207" spans="119:119" x14ac:dyDescent="0.2">
      <c r="DO33207" s="303" t="s">
        <v>232</v>
      </c>
    </row>
    <row r="33208" spans="119:119" x14ac:dyDescent="0.2">
      <c r="DO33208" s="303" t="s">
        <v>232</v>
      </c>
    </row>
    <row r="33209" spans="119:119" x14ac:dyDescent="0.2">
      <c r="DO33209" s="303" t="s">
        <v>232</v>
      </c>
    </row>
    <row r="33210" spans="119:119" x14ac:dyDescent="0.2">
      <c r="DO33210" s="303" t="s">
        <v>232</v>
      </c>
    </row>
    <row r="33211" spans="119:119" x14ac:dyDescent="0.2">
      <c r="DO33211" s="303" t="s">
        <v>232</v>
      </c>
    </row>
    <row r="33212" spans="119:119" x14ac:dyDescent="0.2">
      <c r="DO33212" s="303" t="s">
        <v>232</v>
      </c>
    </row>
    <row r="33213" spans="119:119" x14ac:dyDescent="0.2">
      <c r="DO33213" s="303" t="s">
        <v>232</v>
      </c>
    </row>
    <row r="33214" spans="119:119" x14ac:dyDescent="0.2">
      <c r="DO33214" s="303" t="s">
        <v>232</v>
      </c>
    </row>
    <row r="33215" spans="119:119" x14ac:dyDescent="0.2">
      <c r="DO33215" s="303" t="s">
        <v>232</v>
      </c>
    </row>
    <row r="33216" spans="119:119" x14ac:dyDescent="0.2">
      <c r="DO33216" s="303" t="s">
        <v>232</v>
      </c>
    </row>
    <row r="33217" spans="119:119" x14ac:dyDescent="0.2">
      <c r="DO33217" s="303" t="s">
        <v>232</v>
      </c>
    </row>
    <row r="33218" spans="119:119" x14ac:dyDescent="0.2">
      <c r="DO33218" s="303" t="s">
        <v>232</v>
      </c>
    </row>
    <row r="33219" spans="119:119" x14ac:dyDescent="0.2">
      <c r="DO33219" s="303" t="s">
        <v>232</v>
      </c>
    </row>
    <row r="33220" spans="119:119" x14ac:dyDescent="0.2">
      <c r="DO33220" s="303" t="s">
        <v>232</v>
      </c>
    </row>
    <row r="33221" spans="119:119" x14ac:dyDescent="0.2">
      <c r="DO33221" s="303" t="s">
        <v>232</v>
      </c>
    </row>
    <row r="33222" spans="119:119" x14ac:dyDescent="0.2">
      <c r="DO33222" s="303" t="s">
        <v>232</v>
      </c>
    </row>
    <row r="33223" spans="119:119" x14ac:dyDescent="0.2">
      <c r="DO33223" s="303" t="s">
        <v>232</v>
      </c>
    </row>
    <row r="33224" spans="119:119" x14ac:dyDescent="0.2">
      <c r="DO33224" s="303" t="s">
        <v>232</v>
      </c>
    </row>
    <row r="33225" spans="119:119" x14ac:dyDescent="0.2">
      <c r="DO33225" s="303" t="s">
        <v>232</v>
      </c>
    </row>
    <row r="33226" spans="119:119" x14ac:dyDescent="0.2">
      <c r="DO33226" s="303" t="s">
        <v>232</v>
      </c>
    </row>
    <row r="33227" spans="119:119" x14ac:dyDescent="0.2">
      <c r="DO33227" s="303" t="s">
        <v>232</v>
      </c>
    </row>
    <row r="33228" spans="119:119" x14ac:dyDescent="0.2">
      <c r="DO33228" s="303" t="s">
        <v>232</v>
      </c>
    </row>
    <row r="33229" spans="119:119" x14ac:dyDescent="0.2">
      <c r="DO33229" s="303" t="s">
        <v>232</v>
      </c>
    </row>
    <row r="33230" spans="119:119" x14ac:dyDescent="0.2">
      <c r="DO33230" s="303" t="s">
        <v>232</v>
      </c>
    </row>
    <row r="33231" spans="119:119" x14ac:dyDescent="0.2">
      <c r="DO33231" s="303" t="s">
        <v>232</v>
      </c>
    </row>
    <row r="33232" spans="119:119" x14ac:dyDescent="0.2">
      <c r="DO33232" s="303" t="s">
        <v>232</v>
      </c>
    </row>
    <row r="33233" spans="119:119" x14ac:dyDescent="0.2">
      <c r="DO33233" s="303" t="s">
        <v>232</v>
      </c>
    </row>
    <row r="33234" spans="119:119" x14ac:dyDescent="0.2">
      <c r="DO33234" s="303" t="s">
        <v>232</v>
      </c>
    </row>
    <row r="33235" spans="119:119" x14ac:dyDescent="0.2">
      <c r="DO33235" s="303" t="s">
        <v>232</v>
      </c>
    </row>
    <row r="33236" spans="119:119" x14ac:dyDescent="0.2">
      <c r="DO33236" s="303" t="s">
        <v>232</v>
      </c>
    </row>
    <row r="33237" spans="119:119" x14ac:dyDescent="0.2">
      <c r="DO33237" s="303" t="s">
        <v>232</v>
      </c>
    </row>
    <row r="33238" spans="119:119" x14ac:dyDescent="0.2">
      <c r="DO33238" s="303" t="s">
        <v>232</v>
      </c>
    </row>
    <row r="33239" spans="119:119" x14ac:dyDescent="0.2">
      <c r="DO33239" s="303" t="s">
        <v>232</v>
      </c>
    </row>
    <row r="33240" spans="119:119" x14ac:dyDescent="0.2">
      <c r="DO33240" s="303" t="s">
        <v>232</v>
      </c>
    </row>
    <row r="33241" spans="119:119" x14ac:dyDescent="0.2">
      <c r="DO33241" s="303" t="s">
        <v>232</v>
      </c>
    </row>
    <row r="33242" spans="119:119" x14ac:dyDescent="0.2">
      <c r="DO33242" s="303" t="s">
        <v>232</v>
      </c>
    </row>
    <row r="33243" spans="119:119" x14ac:dyDescent="0.2">
      <c r="DO33243" s="303" t="s">
        <v>232</v>
      </c>
    </row>
    <row r="33244" spans="119:119" x14ac:dyDescent="0.2">
      <c r="DO33244" s="303" t="s">
        <v>232</v>
      </c>
    </row>
    <row r="33245" spans="119:119" x14ac:dyDescent="0.2">
      <c r="DO33245" s="303" t="s">
        <v>232</v>
      </c>
    </row>
    <row r="33246" spans="119:119" x14ac:dyDescent="0.2">
      <c r="DO33246" s="303" t="s">
        <v>232</v>
      </c>
    </row>
    <row r="33247" spans="119:119" x14ac:dyDescent="0.2">
      <c r="DO33247" s="303" t="s">
        <v>232</v>
      </c>
    </row>
    <row r="33248" spans="119:119" x14ac:dyDescent="0.2">
      <c r="DO33248" s="303" t="s">
        <v>232</v>
      </c>
    </row>
    <row r="33249" spans="119:119" x14ac:dyDescent="0.2">
      <c r="DO33249" s="303" t="s">
        <v>232</v>
      </c>
    </row>
    <row r="33250" spans="119:119" x14ac:dyDescent="0.2">
      <c r="DO33250" s="303" t="s">
        <v>232</v>
      </c>
    </row>
    <row r="33251" spans="119:119" x14ac:dyDescent="0.2">
      <c r="DO33251" s="303" t="s">
        <v>232</v>
      </c>
    </row>
    <row r="33252" spans="119:119" x14ac:dyDescent="0.2">
      <c r="DO33252" s="303" t="s">
        <v>232</v>
      </c>
    </row>
    <row r="33253" spans="119:119" x14ac:dyDescent="0.2">
      <c r="DO33253" s="303" t="s">
        <v>232</v>
      </c>
    </row>
    <row r="33254" spans="119:119" x14ac:dyDescent="0.2">
      <c r="DO33254" s="303" t="s">
        <v>232</v>
      </c>
    </row>
    <row r="33255" spans="119:119" x14ac:dyDescent="0.2">
      <c r="DO33255" s="303" t="s">
        <v>232</v>
      </c>
    </row>
    <row r="33256" spans="119:119" x14ac:dyDescent="0.2">
      <c r="DO33256" s="303" t="s">
        <v>232</v>
      </c>
    </row>
    <row r="33257" spans="119:119" x14ac:dyDescent="0.2">
      <c r="DO33257" s="303" t="s">
        <v>232</v>
      </c>
    </row>
    <row r="33258" spans="119:119" x14ac:dyDescent="0.2">
      <c r="DO33258" s="303" t="s">
        <v>232</v>
      </c>
    </row>
    <row r="33259" spans="119:119" x14ac:dyDescent="0.2">
      <c r="DO33259" s="303" t="s">
        <v>232</v>
      </c>
    </row>
    <row r="33260" spans="119:119" x14ac:dyDescent="0.2">
      <c r="DO33260" s="303" t="s">
        <v>232</v>
      </c>
    </row>
    <row r="33261" spans="119:119" x14ac:dyDescent="0.2">
      <c r="DO33261" s="303" t="s">
        <v>232</v>
      </c>
    </row>
    <row r="33262" spans="119:119" x14ac:dyDescent="0.2">
      <c r="DO33262" s="303" t="s">
        <v>232</v>
      </c>
    </row>
    <row r="33263" spans="119:119" x14ac:dyDescent="0.2">
      <c r="DO33263" s="303" t="s">
        <v>232</v>
      </c>
    </row>
    <row r="33264" spans="119:119" x14ac:dyDescent="0.2">
      <c r="DO33264" s="303" t="s">
        <v>232</v>
      </c>
    </row>
    <row r="33265" spans="119:119" x14ac:dyDescent="0.2">
      <c r="DO33265" s="303" t="s">
        <v>232</v>
      </c>
    </row>
    <row r="33266" spans="119:119" x14ac:dyDescent="0.2">
      <c r="DO33266" s="303" t="s">
        <v>232</v>
      </c>
    </row>
    <row r="33267" spans="119:119" x14ac:dyDescent="0.2">
      <c r="DO33267" s="303" t="s">
        <v>232</v>
      </c>
    </row>
    <row r="33268" spans="119:119" x14ac:dyDescent="0.2">
      <c r="DO33268" s="303" t="s">
        <v>232</v>
      </c>
    </row>
    <row r="33269" spans="119:119" x14ac:dyDescent="0.2">
      <c r="DO33269" s="303" t="s">
        <v>232</v>
      </c>
    </row>
    <row r="33270" spans="119:119" x14ac:dyDescent="0.2">
      <c r="DO33270" s="303" t="s">
        <v>232</v>
      </c>
    </row>
    <row r="33271" spans="119:119" x14ac:dyDescent="0.2">
      <c r="DO33271" s="303" t="s">
        <v>232</v>
      </c>
    </row>
    <row r="33272" spans="119:119" x14ac:dyDescent="0.2">
      <c r="DO33272" s="303" t="s">
        <v>232</v>
      </c>
    </row>
    <row r="33273" spans="119:119" x14ac:dyDescent="0.2">
      <c r="DO33273" s="303" t="s">
        <v>232</v>
      </c>
    </row>
    <row r="33274" spans="119:119" x14ac:dyDescent="0.2">
      <c r="DO33274" s="303" t="s">
        <v>232</v>
      </c>
    </row>
    <row r="33275" spans="119:119" x14ac:dyDescent="0.2">
      <c r="DO33275" s="303" t="s">
        <v>232</v>
      </c>
    </row>
    <row r="33276" spans="119:119" x14ac:dyDescent="0.2">
      <c r="DO33276" s="303" t="s">
        <v>232</v>
      </c>
    </row>
    <row r="33277" spans="119:119" x14ac:dyDescent="0.2">
      <c r="DO33277" s="303" t="s">
        <v>232</v>
      </c>
    </row>
    <row r="33278" spans="119:119" x14ac:dyDescent="0.2">
      <c r="DO33278" s="303" t="s">
        <v>232</v>
      </c>
    </row>
    <row r="33279" spans="119:119" x14ac:dyDescent="0.2">
      <c r="DO33279" s="303" t="s">
        <v>232</v>
      </c>
    </row>
    <row r="33280" spans="119:119" x14ac:dyDescent="0.2">
      <c r="DO33280" s="303" t="s">
        <v>232</v>
      </c>
    </row>
    <row r="33281" spans="119:119" x14ac:dyDescent="0.2">
      <c r="DO33281" s="303" t="s">
        <v>232</v>
      </c>
    </row>
    <row r="33282" spans="119:119" x14ac:dyDescent="0.2">
      <c r="DO33282" s="303" t="s">
        <v>232</v>
      </c>
    </row>
    <row r="33283" spans="119:119" x14ac:dyDescent="0.2">
      <c r="DO33283" s="303" t="s">
        <v>232</v>
      </c>
    </row>
    <row r="33284" spans="119:119" x14ac:dyDescent="0.2">
      <c r="DO33284" s="303" t="s">
        <v>232</v>
      </c>
    </row>
    <row r="33285" spans="119:119" x14ac:dyDescent="0.2">
      <c r="DO33285" s="303" t="s">
        <v>232</v>
      </c>
    </row>
    <row r="33286" spans="119:119" x14ac:dyDescent="0.2">
      <c r="DO33286" s="303" t="s">
        <v>232</v>
      </c>
    </row>
    <row r="33287" spans="119:119" x14ac:dyDescent="0.2">
      <c r="DO33287" s="303" t="s">
        <v>232</v>
      </c>
    </row>
    <row r="33288" spans="119:119" x14ac:dyDescent="0.2">
      <c r="DO33288" s="303" t="s">
        <v>232</v>
      </c>
    </row>
    <row r="33289" spans="119:119" x14ac:dyDescent="0.2">
      <c r="DO33289" s="303" t="s">
        <v>232</v>
      </c>
    </row>
    <row r="33290" spans="119:119" x14ac:dyDescent="0.2">
      <c r="DO33290" s="303" t="s">
        <v>232</v>
      </c>
    </row>
    <row r="33291" spans="119:119" x14ac:dyDescent="0.2">
      <c r="DO33291" s="303" t="s">
        <v>232</v>
      </c>
    </row>
    <row r="33292" spans="119:119" x14ac:dyDescent="0.2">
      <c r="DO33292" s="303" t="s">
        <v>232</v>
      </c>
    </row>
    <row r="33293" spans="119:119" x14ac:dyDescent="0.2">
      <c r="DO33293" s="303" t="s">
        <v>232</v>
      </c>
    </row>
    <row r="33294" spans="119:119" x14ac:dyDescent="0.2">
      <c r="DO33294" s="303" t="s">
        <v>232</v>
      </c>
    </row>
    <row r="33295" spans="119:119" x14ac:dyDescent="0.2">
      <c r="DO33295" s="303" t="s">
        <v>232</v>
      </c>
    </row>
    <row r="33296" spans="119:119" x14ac:dyDescent="0.2">
      <c r="DO33296" s="303" t="s">
        <v>232</v>
      </c>
    </row>
    <row r="33297" spans="119:119" x14ac:dyDescent="0.2">
      <c r="DO33297" s="303" t="s">
        <v>232</v>
      </c>
    </row>
    <row r="33298" spans="119:119" x14ac:dyDescent="0.2">
      <c r="DO33298" s="303" t="s">
        <v>232</v>
      </c>
    </row>
    <row r="33299" spans="119:119" x14ac:dyDescent="0.2">
      <c r="DO33299" s="303" t="s">
        <v>232</v>
      </c>
    </row>
    <row r="33300" spans="119:119" x14ac:dyDescent="0.2">
      <c r="DO33300" s="303" t="s">
        <v>232</v>
      </c>
    </row>
    <row r="33301" spans="119:119" x14ac:dyDescent="0.2">
      <c r="DO33301" s="303" t="s">
        <v>232</v>
      </c>
    </row>
    <row r="33302" spans="119:119" x14ac:dyDescent="0.2">
      <c r="DO33302" s="303" t="s">
        <v>232</v>
      </c>
    </row>
    <row r="33303" spans="119:119" x14ac:dyDescent="0.2">
      <c r="DO33303" s="303" t="s">
        <v>232</v>
      </c>
    </row>
    <row r="33304" spans="119:119" x14ac:dyDescent="0.2">
      <c r="DO33304" s="303" t="s">
        <v>232</v>
      </c>
    </row>
    <row r="33305" spans="119:119" x14ac:dyDescent="0.2">
      <c r="DO33305" s="303" t="s">
        <v>232</v>
      </c>
    </row>
    <row r="33306" spans="119:119" x14ac:dyDescent="0.2">
      <c r="DO33306" s="303" t="s">
        <v>232</v>
      </c>
    </row>
    <row r="33307" spans="119:119" x14ac:dyDescent="0.2">
      <c r="DO33307" s="303" t="s">
        <v>232</v>
      </c>
    </row>
    <row r="33308" spans="119:119" x14ac:dyDescent="0.2">
      <c r="DO33308" s="303" t="s">
        <v>232</v>
      </c>
    </row>
    <row r="33309" spans="119:119" x14ac:dyDescent="0.2">
      <c r="DO33309" s="303" t="s">
        <v>232</v>
      </c>
    </row>
    <row r="33310" spans="119:119" x14ac:dyDescent="0.2">
      <c r="DO33310" s="303" t="s">
        <v>232</v>
      </c>
    </row>
    <row r="33311" spans="119:119" x14ac:dyDescent="0.2">
      <c r="DO33311" s="303" t="s">
        <v>232</v>
      </c>
    </row>
    <row r="33312" spans="119:119" x14ac:dyDescent="0.2">
      <c r="DO33312" s="303" t="s">
        <v>232</v>
      </c>
    </row>
    <row r="33313" spans="119:119" x14ac:dyDescent="0.2">
      <c r="DO33313" s="303" t="s">
        <v>232</v>
      </c>
    </row>
    <row r="33314" spans="119:119" x14ac:dyDescent="0.2">
      <c r="DO33314" s="303" t="s">
        <v>232</v>
      </c>
    </row>
    <row r="33315" spans="119:119" x14ac:dyDescent="0.2">
      <c r="DO33315" s="303" t="s">
        <v>232</v>
      </c>
    </row>
    <row r="33316" spans="119:119" x14ac:dyDescent="0.2">
      <c r="DO33316" s="303" t="s">
        <v>232</v>
      </c>
    </row>
    <row r="33317" spans="119:119" x14ac:dyDescent="0.2">
      <c r="DO33317" s="303" t="s">
        <v>232</v>
      </c>
    </row>
    <row r="33318" spans="119:119" x14ac:dyDescent="0.2">
      <c r="DO33318" s="303" t="s">
        <v>232</v>
      </c>
    </row>
    <row r="33319" spans="119:119" x14ac:dyDescent="0.2">
      <c r="DO33319" s="303" t="s">
        <v>232</v>
      </c>
    </row>
    <row r="33320" spans="119:119" x14ac:dyDescent="0.2">
      <c r="DO33320" s="303" t="s">
        <v>232</v>
      </c>
    </row>
    <row r="33321" spans="119:119" x14ac:dyDescent="0.2">
      <c r="DO33321" s="303" t="s">
        <v>232</v>
      </c>
    </row>
    <row r="33322" spans="119:119" x14ac:dyDescent="0.2">
      <c r="DO33322" s="303" t="s">
        <v>232</v>
      </c>
    </row>
    <row r="33323" spans="119:119" x14ac:dyDescent="0.2">
      <c r="DO33323" s="303" t="s">
        <v>232</v>
      </c>
    </row>
    <row r="33324" spans="119:119" x14ac:dyDescent="0.2">
      <c r="DO33324" s="303" t="s">
        <v>232</v>
      </c>
    </row>
    <row r="33325" spans="119:119" x14ac:dyDescent="0.2">
      <c r="DO33325" s="303" t="s">
        <v>232</v>
      </c>
    </row>
    <row r="33326" spans="119:119" x14ac:dyDescent="0.2">
      <c r="DO33326" s="303" t="s">
        <v>232</v>
      </c>
    </row>
    <row r="33327" spans="119:119" x14ac:dyDescent="0.2">
      <c r="DO33327" s="303" t="s">
        <v>232</v>
      </c>
    </row>
    <row r="33328" spans="119:119" x14ac:dyDescent="0.2">
      <c r="DO33328" s="303" t="s">
        <v>232</v>
      </c>
    </row>
    <row r="33329" spans="119:119" x14ac:dyDescent="0.2">
      <c r="DO33329" s="303" t="s">
        <v>232</v>
      </c>
    </row>
    <row r="33330" spans="119:119" x14ac:dyDescent="0.2">
      <c r="DO33330" s="303" t="s">
        <v>232</v>
      </c>
    </row>
    <row r="33331" spans="119:119" x14ac:dyDescent="0.2">
      <c r="DO33331" s="303" t="s">
        <v>232</v>
      </c>
    </row>
    <row r="33332" spans="119:119" x14ac:dyDescent="0.2">
      <c r="DO33332" s="303" t="s">
        <v>232</v>
      </c>
    </row>
    <row r="33333" spans="119:119" x14ac:dyDescent="0.2">
      <c r="DO33333" s="303" t="s">
        <v>232</v>
      </c>
    </row>
    <row r="33334" spans="119:119" x14ac:dyDescent="0.2">
      <c r="DO33334" s="303" t="s">
        <v>232</v>
      </c>
    </row>
    <row r="33335" spans="119:119" x14ac:dyDescent="0.2">
      <c r="DO33335" s="303" t="s">
        <v>232</v>
      </c>
    </row>
    <row r="33336" spans="119:119" x14ac:dyDescent="0.2">
      <c r="DO33336" s="303" t="s">
        <v>232</v>
      </c>
    </row>
    <row r="33337" spans="119:119" x14ac:dyDescent="0.2">
      <c r="DO33337" s="303" t="s">
        <v>232</v>
      </c>
    </row>
    <row r="33338" spans="119:119" x14ac:dyDescent="0.2">
      <c r="DO33338" s="303" t="s">
        <v>232</v>
      </c>
    </row>
    <row r="33339" spans="119:119" x14ac:dyDescent="0.2">
      <c r="DO33339" s="303" t="s">
        <v>232</v>
      </c>
    </row>
    <row r="33340" spans="119:119" x14ac:dyDescent="0.2">
      <c r="DO33340" s="303" t="s">
        <v>232</v>
      </c>
    </row>
    <row r="33341" spans="119:119" x14ac:dyDescent="0.2">
      <c r="DO33341" s="303" t="s">
        <v>232</v>
      </c>
    </row>
    <row r="33342" spans="119:119" x14ac:dyDescent="0.2">
      <c r="DO33342" s="303" t="s">
        <v>232</v>
      </c>
    </row>
    <row r="33343" spans="119:119" x14ac:dyDescent="0.2">
      <c r="DO33343" s="303" t="s">
        <v>232</v>
      </c>
    </row>
    <row r="33344" spans="119:119" x14ac:dyDescent="0.2">
      <c r="DO33344" s="303" t="s">
        <v>232</v>
      </c>
    </row>
    <row r="33345" spans="119:119" x14ac:dyDescent="0.2">
      <c r="DO33345" s="303" t="s">
        <v>232</v>
      </c>
    </row>
    <row r="33346" spans="119:119" x14ac:dyDescent="0.2">
      <c r="DO33346" s="303" t="s">
        <v>232</v>
      </c>
    </row>
    <row r="33347" spans="119:119" x14ac:dyDescent="0.2">
      <c r="DO33347" s="303" t="s">
        <v>232</v>
      </c>
    </row>
    <row r="33348" spans="119:119" x14ac:dyDescent="0.2">
      <c r="DO33348" s="303" t="s">
        <v>232</v>
      </c>
    </row>
    <row r="33349" spans="119:119" x14ac:dyDescent="0.2">
      <c r="DO33349" s="303" t="s">
        <v>232</v>
      </c>
    </row>
    <row r="33350" spans="119:119" x14ac:dyDescent="0.2">
      <c r="DO33350" s="303" t="s">
        <v>232</v>
      </c>
    </row>
    <row r="33351" spans="119:119" x14ac:dyDescent="0.2">
      <c r="DO33351" s="303" t="s">
        <v>232</v>
      </c>
    </row>
    <row r="33352" spans="119:119" x14ac:dyDescent="0.2">
      <c r="DO33352" s="303" t="s">
        <v>232</v>
      </c>
    </row>
    <row r="33353" spans="119:119" x14ac:dyDescent="0.2">
      <c r="DO33353" s="303" t="s">
        <v>232</v>
      </c>
    </row>
    <row r="33354" spans="119:119" x14ac:dyDescent="0.2">
      <c r="DO33354" s="303" t="s">
        <v>232</v>
      </c>
    </row>
    <row r="33355" spans="119:119" x14ac:dyDescent="0.2">
      <c r="DO33355" s="303" t="s">
        <v>232</v>
      </c>
    </row>
    <row r="33356" spans="119:119" x14ac:dyDescent="0.2">
      <c r="DO33356" s="303" t="s">
        <v>232</v>
      </c>
    </row>
    <row r="33357" spans="119:119" x14ac:dyDescent="0.2">
      <c r="DO33357" s="303" t="s">
        <v>232</v>
      </c>
    </row>
    <row r="33358" spans="119:119" x14ac:dyDescent="0.2">
      <c r="DO33358" s="303" t="s">
        <v>232</v>
      </c>
    </row>
    <row r="33359" spans="119:119" x14ac:dyDescent="0.2">
      <c r="DO33359" s="303" t="s">
        <v>232</v>
      </c>
    </row>
    <row r="33360" spans="119:119" x14ac:dyDescent="0.2">
      <c r="DO33360" s="303" t="s">
        <v>232</v>
      </c>
    </row>
    <row r="33361" spans="119:119" x14ac:dyDescent="0.2">
      <c r="DO33361" s="303" t="s">
        <v>232</v>
      </c>
    </row>
    <row r="33362" spans="119:119" x14ac:dyDescent="0.2">
      <c r="DO33362" s="303" t="s">
        <v>232</v>
      </c>
    </row>
    <row r="33363" spans="119:119" x14ac:dyDescent="0.2">
      <c r="DO33363" s="303" t="s">
        <v>232</v>
      </c>
    </row>
    <row r="33364" spans="119:119" x14ac:dyDescent="0.2">
      <c r="DO33364" s="303" t="s">
        <v>232</v>
      </c>
    </row>
    <row r="33365" spans="119:119" x14ac:dyDescent="0.2">
      <c r="DO33365" s="303" t="s">
        <v>232</v>
      </c>
    </row>
    <row r="33366" spans="119:119" x14ac:dyDescent="0.2">
      <c r="DO33366" s="303" t="s">
        <v>232</v>
      </c>
    </row>
    <row r="33367" spans="119:119" x14ac:dyDescent="0.2">
      <c r="DO33367" s="303" t="s">
        <v>232</v>
      </c>
    </row>
    <row r="33368" spans="119:119" x14ac:dyDescent="0.2">
      <c r="DO33368" s="303" t="s">
        <v>232</v>
      </c>
    </row>
    <row r="33369" spans="119:119" x14ac:dyDescent="0.2">
      <c r="DO33369" s="303" t="s">
        <v>232</v>
      </c>
    </row>
    <row r="33370" spans="119:119" x14ac:dyDescent="0.2">
      <c r="DO33370" s="303" t="s">
        <v>232</v>
      </c>
    </row>
    <row r="33371" spans="119:119" x14ac:dyDescent="0.2">
      <c r="DO33371" s="303" t="s">
        <v>232</v>
      </c>
    </row>
    <row r="33372" spans="119:119" x14ac:dyDescent="0.2">
      <c r="DO33372" s="303" t="s">
        <v>232</v>
      </c>
    </row>
    <row r="33373" spans="119:119" x14ac:dyDescent="0.2">
      <c r="DO33373" s="303" t="s">
        <v>232</v>
      </c>
    </row>
    <row r="33374" spans="119:119" x14ac:dyDescent="0.2">
      <c r="DO33374" s="303" t="s">
        <v>232</v>
      </c>
    </row>
    <row r="33375" spans="119:119" x14ac:dyDescent="0.2">
      <c r="DO33375" s="303" t="s">
        <v>232</v>
      </c>
    </row>
    <row r="33376" spans="119:119" x14ac:dyDescent="0.2">
      <c r="DO33376" s="303" t="s">
        <v>232</v>
      </c>
    </row>
    <row r="33377" spans="119:119" x14ac:dyDescent="0.2">
      <c r="DO33377" s="303" t="s">
        <v>232</v>
      </c>
    </row>
    <row r="33378" spans="119:119" x14ac:dyDescent="0.2">
      <c r="DO33378" s="303" t="s">
        <v>232</v>
      </c>
    </row>
    <row r="33379" spans="119:119" x14ac:dyDescent="0.2">
      <c r="DO33379" s="303" t="s">
        <v>232</v>
      </c>
    </row>
    <row r="33380" spans="119:119" x14ac:dyDescent="0.2">
      <c r="DO33380" s="303" t="s">
        <v>232</v>
      </c>
    </row>
    <row r="33381" spans="119:119" x14ac:dyDescent="0.2">
      <c r="DO33381" s="303" t="s">
        <v>232</v>
      </c>
    </row>
    <row r="33382" spans="119:119" x14ac:dyDescent="0.2">
      <c r="DO33382" s="303" t="s">
        <v>232</v>
      </c>
    </row>
    <row r="33383" spans="119:119" x14ac:dyDescent="0.2">
      <c r="DO33383" s="303" t="s">
        <v>232</v>
      </c>
    </row>
    <row r="33384" spans="119:119" x14ac:dyDescent="0.2">
      <c r="DO33384" s="303" t="s">
        <v>232</v>
      </c>
    </row>
    <row r="33385" spans="119:119" x14ac:dyDescent="0.2">
      <c r="DO33385" s="303" t="s">
        <v>232</v>
      </c>
    </row>
    <row r="33386" spans="119:119" x14ac:dyDescent="0.2">
      <c r="DO33386" s="303" t="s">
        <v>232</v>
      </c>
    </row>
    <row r="33387" spans="119:119" x14ac:dyDescent="0.2">
      <c r="DO33387" s="303" t="s">
        <v>232</v>
      </c>
    </row>
    <row r="33388" spans="119:119" x14ac:dyDescent="0.2">
      <c r="DO33388" s="303" t="s">
        <v>232</v>
      </c>
    </row>
    <row r="33389" spans="119:119" x14ac:dyDescent="0.2">
      <c r="DO33389" s="303" t="s">
        <v>232</v>
      </c>
    </row>
    <row r="33390" spans="119:119" x14ac:dyDescent="0.2">
      <c r="DO33390" s="303" t="s">
        <v>232</v>
      </c>
    </row>
    <row r="33391" spans="119:119" x14ac:dyDescent="0.2">
      <c r="DO33391" s="303" t="s">
        <v>232</v>
      </c>
    </row>
    <row r="33392" spans="119:119" x14ac:dyDescent="0.2">
      <c r="DO33392" s="303" t="s">
        <v>232</v>
      </c>
    </row>
    <row r="33393" spans="119:119" x14ac:dyDescent="0.2">
      <c r="DO33393" s="303" t="s">
        <v>232</v>
      </c>
    </row>
    <row r="33394" spans="119:119" x14ac:dyDescent="0.2">
      <c r="DO33394" s="303" t="s">
        <v>232</v>
      </c>
    </row>
    <row r="33395" spans="119:119" x14ac:dyDescent="0.2">
      <c r="DO33395" s="303" t="s">
        <v>232</v>
      </c>
    </row>
    <row r="33396" spans="119:119" x14ac:dyDescent="0.2">
      <c r="DO33396" s="303" t="s">
        <v>232</v>
      </c>
    </row>
    <row r="33397" spans="119:119" x14ac:dyDescent="0.2">
      <c r="DO33397" s="303" t="s">
        <v>232</v>
      </c>
    </row>
    <row r="33398" spans="119:119" x14ac:dyDescent="0.2">
      <c r="DO33398" s="303" t="s">
        <v>232</v>
      </c>
    </row>
    <row r="33399" spans="119:119" x14ac:dyDescent="0.2">
      <c r="DO33399" s="303" t="s">
        <v>232</v>
      </c>
    </row>
    <row r="33400" spans="119:119" x14ac:dyDescent="0.2">
      <c r="DO33400" s="303" t="s">
        <v>232</v>
      </c>
    </row>
    <row r="33401" spans="119:119" x14ac:dyDescent="0.2">
      <c r="DO33401" s="303" t="s">
        <v>232</v>
      </c>
    </row>
    <row r="33402" spans="119:119" x14ac:dyDescent="0.2">
      <c r="DO33402" s="303" t="s">
        <v>232</v>
      </c>
    </row>
    <row r="33403" spans="119:119" x14ac:dyDescent="0.2">
      <c r="DO33403" s="303" t="s">
        <v>232</v>
      </c>
    </row>
    <row r="33404" spans="119:119" x14ac:dyDescent="0.2">
      <c r="DO33404" s="303" t="s">
        <v>232</v>
      </c>
    </row>
    <row r="33405" spans="119:119" x14ac:dyDescent="0.2">
      <c r="DO33405" s="303" t="s">
        <v>232</v>
      </c>
    </row>
    <row r="33406" spans="119:119" x14ac:dyDescent="0.2">
      <c r="DO33406" s="303" t="s">
        <v>232</v>
      </c>
    </row>
    <row r="33407" spans="119:119" x14ac:dyDescent="0.2">
      <c r="DO33407" s="303" t="s">
        <v>232</v>
      </c>
    </row>
    <row r="33408" spans="119:119" x14ac:dyDescent="0.2">
      <c r="DO33408" s="303" t="s">
        <v>232</v>
      </c>
    </row>
    <row r="33409" spans="119:119" x14ac:dyDescent="0.2">
      <c r="DO33409" s="303" t="s">
        <v>232</v>
      </c>
    </row>
    <row r="33410" spans="119:119" x14ac:dyDescent="0.2">
      <c r="DO33410" s="303" t="s">
        <v>232</v>
      </c>
    </row>
    <row r="33411" spans="119:119" x14ac:dyDescent="0.2">
      <c r="DO33411" s="303" t="s">
        <v>232</v>
      </c>
    </row>
    <row r="33412" spans="119:119" x14ac:dyDescent="0.2">
      <c r="DO33412" s="303" t="s">
        <v>232</v>
      </c>
    </row>
    <row r="33413" spans="119:119" x14ac:dyDescent="0.2">
      <c r="DO33413" s="303" t="s">
        <v>232</v>
      </c>
    </row>
    <row r="33414" spans="119:119" x14ac:dyDescent="0.2">
      <c r="DO33414" s="303" t="s">
        <v>232</v>
      </c>
    </row>
    <row r="33415" spans="119:119" x14ac:dyDescent="0.2">
      <c r="DO33415" s="303" t="s">
        <v>232</v>
      </c>
    </row>
    <row r="33416" spans="119:119" x14ac:dyDescent="0.2">
      <c r="DO33416" s="303" t="s">
        <v>232</v>
      </c>
    </row>
    <row r="33417" spans="119:119" x14ac:dyDescent="0.2">
      <c r="DO33417" s="303" t="s">
        <v>232</v>
      </c>
    </row>
    <row r="33418" spans="119:119" x14ac:dyDescent="0.2">
      <c r="DO33418" s="303" t="s">
        <v>232</v>
      </c>
    </row>
    <row r="33419" spans="119:119" x14ac:dyDescent="0.2">
      <c r="DO33419" s="303" t="s">
        <v>232</v>
      </c>
    </row>
    <row r="33420" spans="119:119" x14ac:dyDescent="0.2">
      <c r="DO33420" s="303" t="s">
        <v>232</v>
      </c>
    </row>
    <row r="33421" spans="119:119" x14ac:dyDescent="0.2">
      <c r="DO33421" s="303" t="s">
        <v>232</v>
      </c>
    </row>
    <row r="33422" spans="119:119" x14ac:dyDescent="0.2">
      <c r="DO33422" s="303" t="s">
        <v>232</v>
      </c>
    </row>
    <row r="33423" spans="119:119" x14ac:dyDescent="0.2">
      <c r="DO33423" s="303" t="s">
        <v>232</v>
      </c>
    </row>
    <row r="33424" spans="119:119" x14ac:dyDescent="0.2">
      <c r="DO33424" s="303" t="s">
        <v>232</v>
      </c>
    </row>
    <row r="33425" spans="119:119" x14ac:dyDescent="0.2">
      <c r="DO33425" s="303" t="s">
        <v>232</v>
      </c>
    </row>
    <row r="33426" spans="119:119" x14ac:dyDescent="0.2">
      <c r="DO33426" s="303" t="s">
        <v>232</v>
      </c>
    </row>
    <row r="33427" spans="119:119" x14ac:dyDescent="0.2">
      <c r="DO33427" s="303" t="s">
        <v>232</v>
      </c>
    </row>
    <row r="33428" spans="119:119" x14ac:dyDescent="0.2">
      <c r="DO33428" s="303" t="s">
        <v>232</v>
      </c>
    </row>
    <row r="33429" spans="119:119" x14ac:dyDescent="0.2">
      <c r="DO33429" s="303" t="s">
        <v>232</v>
      </c>
    </row>
    <row r="33430" spans="119:119" x14ac:dyDescent="0.2">
      <c r="DO33430" s="303" t="s">
        <v>232</v>
      </c>
    </row>
    <row r="33431" spans="119:119" x14ac:dyDescent="0.2">
      <c r="DO33431" s="303" t="s">
        <v>232</v>
      </c>
    </row>
    <row r="33432" spans="119:119" x14ac:dyDescent="0.2">
      <c r="DO33432" s="303" t="s">
        <v>232</v>
      </c>
    </row>
    <row r="33433" spans="119:119" x14ac:dyDescent="0.2">
      <c r="DO33433" s="303" t="s">
        <v>232</v>
      </c>
    </row>
    <row r="33434" spans="119:119" x14ac:dyDescent="0.2">
      <c r="DO33434" s="303" t="s">
        <v>232</v>
      </c>
    </row>
    <row r="33435" spans="119:119" x14ac:dyDescent="0.2">
      <c r="DO33435" s="303" t="s">
        <v>232</v>
      </c>
    </row>
    <row r="33436" spans="119:119" x14ac:dyDescent="0.2">
      <c r="DO33436" s="303" t="s">
        <v>232</v>
      </c>
    </row>
    <row r="33437" spans="119:119" x14ac:dyDescent="0.2">
      <c r="DO33437" s="303" t="s">
        <v>232</v>
      </c>
    </row>
    <row r="33438" spans="119:119" x14ac:dyDescent="0.2">
      <c r="DO33438" s="303" t="s">
        <v>232</v>
      </c>
    </row>
    <row r="33439" spans="119:119" x14ac:dyDescent="0.2">
      <c r="DO33439" s="303" t="s">
        <v>232</v>
      </c>
    </row>
    <row r="33440" spans="119:119" x14ac:dyDescent="0.2">
      <c r="DO33440" s="303" t="s">
        <v>232</v>
      </c>
    </row>
    <row r="33441" spans="119:119" x14ac:dyDescent="0.2">
      <c r="DO33441" s="303" t="s">
        <v>232</v>
      </c>
    </row>
    <row r="33442" spans="119:119" x14ac:dyDescent="0.2">
      <c r="DO33442" s="303" t="s">
        <v>232</v>
      </c>
    </row>
    <row r="33443" spans="119:119" x14ac:dyDescent="0.2">
      <c r="DO33443" s="303" t="s">
        <v>232</v>
      </c>
    </row>
    <row r="33444" spans="119:119" x14ac:dyDescent="0.2">
      <c r="DO33444" s="303" t="s">
        <v>232</v>
      </c>
    </row>
    <row r="33445" spans="119:119" x14ac:dyDescent="0.2">
      <c r="DO33445" s="303" t="s">
        <v>232</v>
      </c>
    </row>
    <row r="33446" spans="119:119" x14ac:dyDescent="0.2">
      <c r="DO33446" s="303" t="s">
        <v>232</v>
      </c>
    </row>
    <row r="33447" spans="119:119" x14ac:dyDescent="0.2">
      <c r="DO33447" s="303" t="s">
        <v>232</v>
      </c>
    </row>
    <row r="33448" spans="119:119" x14ac:dyDescent="0.2">
      <c r="DO33448" s="303" t="s">
        <v>232</v>
      </c>
    </row>
    <row r="33449" spans="119:119" x14ac:dyDescent="0.2">
      <c r="DO33449" s="303" t="s">
        <v>232</v>
      </c>
    </row>
    <row r="33450" spans="119:119" x14ac:dyDescent="0.2">
      <c r="DO33450" s="303" t="s">
        <v>232</v>
      </c>
    </row>
    <row r="33451" spans="119:119" x14ac:dyDescent="0.2">
      <c r="DO33451" s="303" t="s">
        <v>232</v>
      </c>
    </row>
    <row r="33452" spans="119:119" x14ac:dyDescent="0.2">
      <c r="DO33452" s="303" t="s">
        <v>232</v>
      </c>
    </row>
    <row r="33453" spans="119:119" x14ac:dyDescent="0.2">
      <c r="DO33453" s="303" t="s">
        <v>232</v>
      </c>
    </row>
    <row r="33454" spans="119:119" x14ac:dyDescent="0.2">
      <c r="DO33454" s="303" t="s">
        <v>232</v>
      </c>
    </row>
    <row r="33455" spans="119:119" x14ac:dyDescent="0.2">
      <c r="DO33455" s="303" t="s">
        <v>232</v>
      </c>
    </row>
    <row r="33456" spans="119:119" x14ac:dyDescent="0.2">
      <c r="DO33456" s="303" t="s">
        <v>232</v>
      </c>
    </row>
    <row r="33457" spans="119:119" x14ac:dyDescent="0.2">
      <c r="DO33457" s="303" t="s">
        <v>232</v>
      </c>
    </row>
    <row r="33458" spans="119:119" x14ac:dyDescent="0.2">
      <c r="DO33458" s="303" t="s">
        <v>232</v>
      </c>
    </row>
    <row r="33459" spans="119:119" x14ac:dyDescent="0.2">
      <c r="DO33459" s="303" t="s">
        <v>232</v>
      </c>
    </row>
    <row r="33460" spans="119:119" x14ac:dyDescent="0.2">
      <c r="DO33460" s="303" t="s">
        <v>232</v>
      </c>
    </row>
    <row r="33461" spans="119:119" x14ac:dyDescent="0.2">
      <c r="DO33461" s="303" t="s">
        <v>232</v>
      </c>
    </row>
    <row r="33462" spans="119:119" x14ac:dyDescent="0.2">
      <c r="DO33462" s="303" t="s">
        <v>232</v>
      </c>
    </row>
    <row r="33463" spans="119:119" x14ac:dyDescent="0.2">
      <c r="DO33463" s="303" t="s">
        <v>232</v>
      </c>
    </row>
    <row r="33464" spans="119:119" x14ac:dyDescent="0.2">
      <c r="DO33464" s="303" t="s">
        <v>232</v>
      </c>
    </row>
    <row r="33465" spans="119:119" x14ac:dyDescent="0.2">
      <c r="DO33465" s="303" t="s">
        <v>232</v>
      </c>
    </row>
    <row r="33466" spans="119:119" x14ac:dyDescent="0.2">
      <c r="DO33466" s="303" t="s">
        <v>232</v>
      </c>
    </row>
    <row r="33467" spans="119:119" x14ac:dyDescent="0.2">
      <c r="DO33467" s="303" t="s">
        <v>232</v>
      </c>
    </row>
    <row r="33468" spans="119:119" x14ac:dyDescent="0.2">
      <c r="DO33468" s="303" t="s">
        <v>232</v>
      </c>
    </row>
    <row r="33469" spans="119:119" x14ac:dyDescent="0.2">
      <c r="DO33469" s="303" t="s">
        <v>232</v>
      </c>
    </row>
    <row r="33470" spans="119:119" x14ac:dyDescent="0.2">
      <c r="DO33470" s="303" t="s">
        <v>232</v>
      </c>
    </row>
    <row r="33471" spans="119:119" x14ac:dyDescent="0.2">
      <c r="DO33471" s="303" t="s">
        <v>232</v>
      </c>
    </row>
    <row r="33472" spans="119:119" x14ac:dyDescent="0.2">
      <c r="DO33472" s="303" t="s">
        <v>232</v>
      </c>
    </row>
    <row r="33473" spans="119:119" x14ac:dyDescent="0.2">
      <c r="DO33473" s="303" t="s">
        <v>232</v>
      </c>
    </row>
    <row r="33474" spans="119:119" x14ac:dyDescent="0.2">
      <c r="DO33474" s="303" t="s">
        <v>232</v>
      </c>
    </row>
    <row r="33475" spans="119:119" x14ac:dyDescent="0.2">
      <c r="DO33475" s="303" t="s">
        <v>232</v>
      </c>
    </row>
    <row r="33476" spans="119:119" x14ac:dyDescent="0.2">
      <c r="DO33476" s="303" t="s">
        <v>232</v>
      </c>
    </row>
    <row r="33477" spans="119:119" x14ac:dyDescent="0.2">
      <c r="DO33477" s="303" t="s">
        <v>232</v>
      </c>
    </row>
    <row r="33478" spans="119:119" x14ac:dyDescent="0.2">
      <c r="DO33478" s="303" t="s">
        <v>232</v>
      </c>
    </row>
    <row r="33479" spans="119:119" x14ac:dyDescent="0.2">
      <c r="DO33479" s="303" t="s">
        <v>232</v>
      </c>
    </row>
    <row r="33480" spans="119:119" x14ac:dyDescent="0.2">
      <c r="DO33480" s="303" t="s">
        <v>232</v>
      </c>
    </row>
    <row r="33481" spans="119:119" x14ac:dyDescent="0.2">
      <c r="DO33481" s="303" t="s">
        <v>232</v>
      </c>
    </row>
    <row r="33482" spans="119:119" x14ac:dyDescent="0.2">
      <c r="DO33482" s="303" t="s">
        <v>232</v>
      </c>
    </row>
    <row r="33483" spans="119:119" x14ac:dyDescent="0.2">
      <c r="DO33483" s="303" t="s">
        <v>232</v>
      </c>
    </row>
    <row r="33484" spans="119:119" x14ac:dyDescent="0.2">
      <c r="DO33484" s="303" t="s">
        <v>232</v>
      </c>
    </row>
    <row r="33485" spans="119:119" x14ac:dyDescent="0.2">
      <c r="DO33485" s="303" t="s">
        <v>232</v>
      </c>
    </row>
    <row r="33486" spans="119:119" x14ac:dyDescent="0.2">
      <c r="DO33486" s="303" t="s">
        <v>232</v>
      </c>
    </row>
    <row r="33487" spans="119:119" x14ac:dyDescent="0.2">
      <c r="DO33487" s="303" t="s">
        <v>232</v>
      </c>
    </row>
    <row r="33488" spans="119:119" x14ac:dyDescent="0.2">
      <c r="DO33488" s="303" t="s">
        <v>232</v>
      </c>
    </row>
    <row r="33489" spans="119:119" x14ac:dyDescent="0.2">
      <c r="DO33489" s="303" t="s">
        <v>232</v>
      </c>
    </row>
    <row r="33490" spans="119:119" x14ac:dyDescent="0.2">
      <c r="DO33490" s="303" t="s">
        <v>232</v>
      </c>
    </row>
    <row r="33491" spans="119:119" x14ac:dyDescent="0.2">
      <c r="DO33491" s="303" t="s">
        <v>232</v>
      </c>
    </row>
    <row r="33492" spans="119:119" x14ac:dyDescent="0.2">
      <c r="DO33492" s="303" t="s">
        <v>232</v>
      </c>
    </row>
    <row r="33493" spans="119:119" x14ac:dyDescent="0.2">
      <c r="DO33493" s="303" t="s">
        <v>232</v>
      </c>
    </row>
    <row r="33494" spans="119:119" x14ac:dyDescent="0.2">
      <c r="DO33494" s="303" t="s">
        <v>232</v>
      </c>
    </row>
    <row r="33495" spans="119:119" x14ac:dyDescent="0.2">
      <c r="DO33495" s="303" t="s">
        <v>232</v>
      </c>
    </row>
    <row r="33496" spans="119:119" x14ac:dyDescent="0.2">
      <c r="DO33496" s="303" t="s">
        <v>232</v>
      </c>
    </row>
    <row r="33497" spans="119:119" x14ac:dyDescent="0.2">
      <c r="DO33497" s="303" t="s">
        <v>232</v>
      </c>
    </row>
    <row r="33498" spans="119:119" x14ac:dyDescent="0.2">
      <c r="DO33498" s="303" t="s">
        <v>232</v>
      </c>
    </row>
    <row r="33499" spans="119:119" x14ac:dyDescent="0.2">
      <c r="DO33499" s="303" t="s">
        <v>232</v>
      </c>
    </row>
    <row r="33500" spans="119:119" x14ac:dyDescent="0.2">
      <c r="DO33500" s="303" t="s">
        <v>232</v>
      </c>
    </row>
    <row r="33501" spans="119:119" x14ac:dyDescent="0.2">
      <c r="DO33501" s="303" t="s">
        <v>232</v>
      </c>
    </row>
    <row r="33502" spans="119:119" x14ac:dyDescent="0.2">
      <c r="DO33502" s="303" t="s">
        <v>232</v>
      </c>
    </row>
    <row r="33503" spans="119:119" x14ac:dyDescent="0.2">
      <c r="DO33503" s="303" t="s">
        <v>232</v>
      </c>
    </row>
    <row r="33504" spans="119:119" x14ac:dyDescent="0.2">
      <c r="DO33504" s="303" t="s">
        <v>232</v>
      </c>
    </row>
    <row r="33505" spans="119:119" x14ac:dyDescent="0.2">
      <c r="DO33505" s="303" t="s">
        <v>232</v>
      </c>
    </row>
    <row r="33506" spans="119:119" x14ac:dyDescent="0.2">
      <c r="DO33506" s="303" t="s">
        <v>232</v>
      </c>
    </row>
    <row r="33507" spans="119:119" x14ac:dyDescent="0.2">
      <c r="DO33507" s="303" t="s">
        <v>232</v>
      </c>
    </row>
    <row r="33508" spans="119:119" x14ac:dyDescent="0.2">
      <c r="DO33508" s="303" t="s">
        <v>232</v>
      </c>
    </row>
    <row r="33509" spans="119:119" x14ac:dyDescent="0.2">
      <c r="DO33509" s="303" t="s">
        <v>232</v>
      </c>
    </row>
    <row r="33510" spans="119:119" x14ac:dyDescent="0.2">
      <c r="DO33510" s="303" t="s">
        <v>232</v>
      </c>
    </row>
    <row r="33511" spans="119:119" x14ac:dyDescent="0.2">
      <c r="DO33511" s="303" t="s">
        <v>232</v>
      </c>
    </row>
    <row r="33512" spans="119:119" x14ac:dyDescent="0.2">
      <c r="DO33512" s="303" t="s">
        <v>232</v>
      </c>
    </row>
    <row r="33513" spans="119:119" x14ac:dyDescent="0.2">
      <c r="DO33513" s="303" t="s">
        <v>232</v>
      </c>
    </row>
    <row r="33514" spans="119:119" x14ac:dyDescent="0.2">
      <c r="DO33514" s="303" t="s">
        <v>232</v>
      </c>
    </row>
    <row r="33515" spans="119:119" x14ac:dyDescent="0.2">
      <c r="DO33515" s="303" t="s">
        <v>232</v>
      </c>
    </row>
    <row r="33516" spans="119:119" x14ac:dyDescent="0.2">
      <c r="DO33516" s="303" t="s">
        <v>232</v>
      </c>
    </row>
    <row r="33517" spans="119:119" x14ac:dyDescent="0.2">
      <c r="DO33517" s="303" t="s">
        <v>232</v>
      </c>
    </row>
    <row r="33518" spans="119:119" x14ac:dyDescent="0.2">
      <c r="DO33518" s="303" t="s">
        <v>232</v>
      </c>
    </row>
    <row r="33519" spans="119:119" x14ac:dyDescent="0.2">
      <c r="DO33519" s="303" t="s">
        <v>232</v>
      </c>
    </row>
    <row r="33520" spans="119:119" x14ac:dyDescent="0.2">
      <c r="DO33520" s="303" t="s">
        <v>232</v>
      </c>
    </row>
    <row r="33521" spans="119:119" x14ac:dyDescent="0.2">
      <c r="DO33521" s="303" t="s">
        <v>232</v>
      </c>
    </row>
    <row r="33522" spans="119:119" x14ac:dyDescent="0.2">
      <c r="DO33522" s="303" t="s">
        <v>232</v>
      </c>
    </row>
    <row r="33523" spans="119:119" x14ac:dyDescent="0.2">
      <c r="DO33523" s="303" t="s">
        <v>232</v>
      </c>
    </row>
    <row r="33524" spans="119:119" x14ac:dyDescent="0.2">
      <c r="DO33524" s="303" t="s">
        <v>232</v>
      </c>
    </row>
    <row r="33525" spans="119:119" x14ac:dyDescent="0.2">
      <c r="DO33525" s="303" t="s">
        <v>232</v>
      </c>
    </row>
    <row r="33526" spans="119:119" x14ac:dyDescent="0.2">
      <c r="DO33526" s="303" t="s">
        <v>232</v>
      </c>
    </row>
    <row r="33527" spans="119:119" x14ac:dyDescent="0.2">
      <c r="DO33527" s="303" t="s">
        <v>232</v>
      </c>
    </row>
    <row r="33528" spans="119:119" x14ac:dyDescent="0.2">
      <c r="DO33528" s="303" t="s">
        <v>232</v>
      </c>
    </row>
    <row r="33529" spans="119:119" x14ac:dyDescent="0.2">
      <c r="DO33529" s="303" t="s">
        <v>232</v>
      </c>
    </row>
    <row r="33530" spans="119:119" x14ac:dyDescent="0.2">
      <c r="DO33530" s="303" t="s">
        <v>232</v>
      </c>
    </row>
    <row r="33531" spans="119:119" x14ac:dyDescent="0.2">
      <c r="DO33531" s="303" t="s">
        <v>232</v>
      </c>
    </row>
    <row r="33532" spans="119:119" x14ac:dyDescent="0.2">
      <c r="DO33532" s="303" t="s">
        <v>232</v>
      </c>
    </row>
    <row r="33533" spans="119:119" x14ac:dyDescent="0.2">
      <c r="DO33533" s="303" t="s">
        <v>232</v>
      </c>
    </row>
    <row r="33534" spans="119:119" x14ac:dyDescent="0.2">
      <c r="DO33534" s="303" t="s">
        <v>232</v>
      </c>
    </row>
    <row r="33535" spans="119:119" x14ac:dyDescent="0.2">
      <c r="DO33535" s="303" t="s">
        <v>232</v>
      </c>
    </row>
    <row r="33536" spans="119:119" x14ac:dyDescent="0.2">
      <c r="DO33536" s="303" t="s">
        <v>232</v>
      </c>
    </row>
    <row r="33537" spans="119:119" x14ac:dyDescent="0.2">
      <c r="DO33537" s="303" t="s">
        <v>232</v>
      </c>
    </row>
    <row r="33538" spans="119:119" x14ac:dyDescent="0.2">
      <c r="DO33538" s="303" t="s">
        <v>232</v>
      </c>
    </row>
    <row r="33539" spans="119:119" x14ac:dyDescent="0.2">
      <c r="DO33539" s="303" t="s">
        <v>232</v>
      </c>
    </row>
    <row r="33540" spans="119:119" x14ac:dyDescent="0.2">
      <c r="DO33540" s="303" t="s">
        <v>232</v>
      </c>
    </row>
    <row r="33541" spans="119:119" x14ac:dyDescent="0.2">
      <c r="DO33541" s="303" t="s">
        <v>232</v>
      </c>
    </row>
    <row r="33542" spans="119:119" x14ac:dyDescent="0.2">
      <c r="DO33542" s="303" t="s">
        <v>232</v>
      </c>
    </row>
    <row r="33543" spans="119:119" x14ac:dyDescent="0.2">
      <c r="DO33543" s="303" t="s">
        <v>232</v>
      </c>
    </row>
    <row r="33544" spans="119:119" x14ac:dyDescent="0.2">
      <c r="DO33544" s="303" t="s">
        <v>232</v>
      </c>
    </row>
    <row r="33545" spans="119:119" x14ac:dyDescent="0.2">
      <c r="DO33545" s="303" t="s">
        <v>232</v>
      </c>
    </row>
    <row r="33546" spans="119:119" x14ac:dyDescent="0.2">
      <c r="DO33546" s="303" t="s">
        <v>232</v>
      </c>
    </row>
    <row r="33547" spans="119:119" x14ac:dyDescent="0.2">
      <c r="DO33547" s="303" t="s">
        <v>232</v>
      </c>
    </row>
    <row r="33548" spans="119:119" x14ac:dyDescent="0.2">
      <c r="DO33548" s="303" t="s">
        <v>232</v>
      </c>
    </row>
    <row r="33549" spans="119:119" x14ac:dyDescent="0.2">
      <c r="DO33549" s="303" t="s">
        <v>232</v>
      </c>
    </row>
    <row r="33550" spans="119:119" x14ac:dyDescent="0.2">
      <c r="DO33550" s="303" t="s">
        <v>232</v>
      </c>
    </row>
    <row r="33551" spans="119:119" x14ac:dyDescent="0.2">
      <c r="DO33551" s="303" t="s">
        <v>232</v>
      </c>
    </row>
    <row r="33552" spans="119:119" x14ac:dyDescent="0.2">
      <c r="DO33552" s="303" t="s">
        <v>232</v>
      </c>
    </row>
    <row r="33553" spans="119:119" x14ac:dyDescent="0.2">
      <c r="DO33553" s="303" t="s">
        <v>232</v>
      </c>
    </row>
    <row r="33554" spans="119:119" x14ac:dyDescent="0.2">
      <c r="DO33554" s="303" t="s">
        <v>232</v>
      </c>
    </row>
    <row r="33555" spans="119:119" x14ac:dyDescent="0.2">
      <c r="DO33555" s="303" t="s">
        <v>232</v>
      </c>
    </row>
    <row r="33556" spans="119:119" x14ac:dyDescent="0.2">
      <c r="DO33556" s="303" t="s">
        <v>232</v>
      </c>
    </row>
    <row r="33557" spans="119:119" x14ac:dyDescent="0.2">
      <c r="DO33557" s="303" t="s">
        <v>232</v>
      </c>
    </row>
    <row r="33558" spans="119:119" x14ac:dyDescent="0.2">
      <c r="DO33558" s="303" t="s">
        <v>232</v>
      </c>
    </row>
    <row r="33559" spans="119:119" x14ac:dyDescent="0.2">
      <c r="DO33559" s="303" t="s">
        <v>232</v>
      </c>
    </row>
    <row r="33560" spans="119:119" x14ac:dyDescent="0.2">
      <c r="DO33560" s="303" t="s">
        <v>232</v>
      </c>
    </row>
    <row r="33561" spans="119:119" x14ac:dyDescent="0.2">
      <c r="DO33561" s="303" t="s">
        <v>232</v>
      </c>
    </row>
    <row r="33562" spans="119:119" x14ac:dyDescent="0.2">
      <c r="DO33562" s="303" t="s">
        <v>232</v>
      </c>
    </row>
    <row r="33563" spans="119:119" x14ac:dyDescent="0.2">
      <c r="DO33563" s="303" t="s">
        <v>232</v>
      </c>
    </row>
    <row r="33564" spans="119:119" x14ac:dyDescent="0.2">
      <c r="DO33564" s="303" t="s">
        <v>232</v>
      </c>
    </row>
    <row r="33565" spans="119:119" x14ac:dyDescent="0.2">
      <c r="DO33565" s="303" t="s">
        <v>232</v>
      </c>
    </row>
    <row r="33566" spans="119:119" x14ac:dyDescent="0.2">
      <c r="DO33566" s="303" t="s">
        <v>232</v>
      </c>
    </row>
    <row r="33567" spans="119:119" x14ac:dyDescent="0.2">
      <c r="DO33567" s="303" t="s">
        <v>232</v>
      </c>
    </row>
    <row r="33568" spans="119:119" x14ac:dyDescent="0.2">
      <c r="DO33568" s="303" t="s">
        <v>232</v>
      </c>
    </row>
    <row r="33569" spans="119:119" x14ac:dyDescent="0.2">
      <c r="DO33569" s="303" t="s">
        <v>232</v>
      </c>
    </row>
    <row r="33570" spans="119:119" x14ac:dyDescent="0.2">
      <c r="DO33570" s="303" t="s">
        <v>232</v>
      </c>
    </row>
    <row r="33571" spans="119:119" x14ac:dyDescent="0.2">
      <c r="DO33571" s="303" t="s">
        <v>232</v>
      </c>
    </row>
    <row r="33572" spans="119:119" x14ac:dyDescent="0.2">
      <c r="DO33572" s="303" t="s">
        <v>232</v>
      </c>
    </row>
    <row r="33573" spans="119:119" x14ac:dyDescent="0.2">
      <c r="DO33573" s="303" t="s">
        <v>232</v>
      </c>
    </row>
    <row r="33574" spans="119:119" x14ac:dyDescent="0.2">
      <c r="DO33574" s="303" t="s">
        <v>232</v>
      </c>
    </row>
    <row r="33575" spans="119:119" x14ac:dyDescent="0.2">
      <c r="DO33575" s="303" t="s">
        <v>232</v>
      </c>
    </row>
    <row r="33576" spans="119:119" x14ac:dyDescent="0.2">
      <c r="DO33576" s="303" t="s">
        <v>232</v>
      </c>
    </row>
    <row r="33577" spans="119:119" x14ac:dyDescent="0.2">
      <c r="DO33577" s="303" t="s">
        <v>232</v>
      </c>
    </row>
    <row r="33578" spans="119:119" x14ac:dyDescent="0.2">
      <c r="DO33578" s="303" t="s">
        <v>232</v>
      </c>
    </row>
    <row r="33579" spans="119:119" x14ac:dyDescent="0.2">
      <c r="DO33579" s="303" t="s">
        <v>232</v>
      </c>
    </row>
    <row r="33580" spans="119:119" x14ac:dyDescent="0.2">
      <c r="DO33580" s="303" t="s">
        <v>232</v>
      </c>
    </row>
    <row r="33581" spans="119:119" x14ac:dyDescent="0.2">
      <c r="DO33581" s="303" t="s">
        <v>232</v>
      </c>
    </row>
    <row r="33582" spans="119:119" x14ac:dyDescent="0.2">
      <c r="DO33582" s="303" t="s">
        <v>232</v>
      </c>
    </row>
    <row r="33583" spans="119:119" x14ac:dyDescent="0.2">
      <c r="DO33583" s="303" t="s">
        <v>232</v>
      </c>
    </row>
    <row r="33584" spans="119:119" x14ac:dyDescent="0.2">
      <c r="DO33584" s="303" t="s">
        <v>232</v>
      </c>
    </row>
    <row r="33585" spans="119:119" x14ac:dyDescent="0.2">
      <c r="DO33585" s="303" t="s">
        <v>232</v>
      </c>
    </row>
    <row r="33586" spans="119:119" x14ac:dyDescent="0.2">
      <c r="DO33586" s="303" t="s">
        <v>232</v>
      </c>
    </row>
    <row r="33587" spans="119:119" x14ac:dyDescent="0.2">
      <c r="DO33587" s="303" t="s">
        <v>232</v>
      </c>
    </row>
    <row r="33588" spans="119:119" x14ac:dyDescent="0.2">
      <c r="DO33588" s="303" t="s">
        <v>232</v>
      </c>
    </row>
    <row r="33589" spans="119:119" x14ac:dyDescent="0.2">
      <c r="DO33589" s="303" t="s">
        <v>232</v>
      </c>
    </row>
    <row r="33590" spans="119:119" x14ac:dyDescent="0.2">
      <c r="DO33590" s="303" t="s">
        <v>232</v>
      </c>
    </row>
    <row r="33591" spans="119:119" x14ac:dyDescent="0.2">
      <c r="DO33591" s="303" t="s">
        <v>232</v>
      </c>
    </row>
    <row r="33592" spans="119:119" x14ac:dyDescent="0.2">
      <c r="DO33592" s="303" t="s">
        <v>232</v>
      </c>
    </row>
    <row r="33593" spans="119:119" x14ac:dyDescent="0.2">
      <c r="DO33593" s="303" t="s">
        <v>232</v>
      </c>
    </row>
    <row r="33594" spans="119:119" x14ac:dyDescent="0.2">
      <c r="DO33594" s="303" t="s">
        <v>232</v>
      </c>
    </row>
    <row r="33595" spans="119:119" x14ac:dyDescent="0.2">
      <c r="DO33595" s="303" t="s">
        <v>232</v>
      </c>
    </row>
    <row r="33596" spans="119:119" x14ac:dyDescent="0.2">
      <c r="DO33596" s="303" t="s">
        <v>232</v>
      </c>
    </row>
    <row r="33597" spans="119:119" x14ac:dyDescent="0.2">
      <c r="DO33597" s="303" t="s">
        <v>232</v>
      </c>
    </row>
    <row r="33598" spans="119:119" x14ac:dyDescent="0.2">
      <c r="DO33598" s="303" t="s">
        <v>232</v>
      </c>
    </row>
    <row r="33599" spans="119:119" x14ac:dyDescent="0.2">
      <c r="DO33599" s="303" t="s">
        <v>232</v>
      </c>
    </row>
    <row r="33600" spans="119:119" x14ac:dyDescent="0.2">
      <c r="DO33600" s="303" t="s">
        <v>232</v>
      </c>
    </row>
    <row r="33601" spans="119:119" x14ac:dyDescent="0.2">
      <c r="DO33601" s="303" t="s">
        <v>232</v>
      </c>
    </row>
    <row r="33602" spans="119:119" x14ac:dyDescent="0.2">
      <c r="DO33602" s="303" t="s">
        <v>232</v>
      </c>
    </row>
    <row r="33603" spans="119:119" x14ac:dyDescent="0.2">
      <c r="DO33603" s="303" t="s">
        <v>232</v>
      </c>
    </row>
    <row r="33604" spans="119:119" x14ac:dyDescent="0.2">
      <c r="DO33604" s="303" t="s">
        <v>232</v>
      </c>
    </row>
    <row r="33605" spans="119:119" x14ac:dyDescent="0.2">
      <c r="DO33605" s="303" t="s">
        <v>232</v>
      </c>
    </row>
    <row r="33606" spans="119:119" x14ac:dyDescent="0.2">
      <c r="DO33606" s="303" t="s">
        <v>232</v>
      </c>
    </row>
    <row r="33607" spans="119:119" x14ac:dyDescent="0.2">
      <c r="DO33607" s="303" t="s">
        <v>232</v>
      </c>
    </row>
    <row r="33608" spans="119:119" x14ac:dyDescent="0.2">
      <c r="DO33608" s="303" t="s">
        <v>232</v>
      </c>
    </row>
    <row r="33609" spans="119:119" x14ac:dyDescent="0.2">
      <c r="DO33609" s="303" t="s">
        <v>232</v>
      </c>
    </row>
    <row r="33610" spans="119:119" x14ac:dyDescent="0.2">
      <c r="DO33610" s="303" t="s">
        <v>232</v>
      </c>
    </row>
    <row r="33611" spans="119:119" x14ac:dyDescent="0.2">
      <c r="DO33611" s="303" t="s">
        <v>232</v>
      </c>
    </row>
    <row r="33612" spans="119:119" x14ac:dyDescent="0.2">
      <c r="DO33612" s="303" t="s">
        <v>232</v>
      </c>
    </row>
    <row r="33613" spans="119:119" x14ac:dyDescent="0.2">
      <c r="DO33613" s="303" t="s">
        <v>232</v>
      </c>
    </row>
    <row r="33614" spans="119:119" x14ac:dyDescent="0.2">
      <c r="DO33614" s="303" t="s">
        <v>232</v>
      </c>
    </row>
    <row r="33615" spans="119:119" x14ac:dyDescent="0.2">
      <c r="DO33615" s="303" t="s">
        <v>232</v>
      </c>
    </row>
    <row r="33616" spans="119:119" x14ac:dyDescent="0.2">
      <c r="DO33616" s="303" t="s">
        <v>232</v>
      </c>
    </row>
    <row r="33617" spans="119:119" x14ac:dyDescent="0.2">
      <c r="DO33617" s="303" t="s">
        <v>232</v>
      </c>
    </row>
    <row r="33618" spans="119:119" x14ac:dyDescent="0.2">
      <c r="DO33618" s="303" t="s">
        <v>232</v>
      </c>
    </row>
    <row r="33619" spans="119:119" x14ac:dyDescent="0.2">
      <c r="DO33619" s="303" t="s">
        <v>232</v>
      </c>
    </row>
    <row r="33620" spans="119:119" x14ac:dyDescent="0.2">
      <c r="DO33620" s="303" t="s">
        <v>232</v>
      </c>
    </row>
    <row r="33621" spans="119:119" x14ac:dyDescent="0.2">
      <c r="DO33621" s="303" t="s">
        <v>232</v>
      </c>
    </row>
    <row r="33622" spans="119:119" x14ac:dyDescent="0.2">
      <c r="DO33622" s="303" t="s">
        <v>232</v>
      </c>
    </row>
    <row r="33623" spans="119:119" x14ac:dyDescent="0.2">
      <c r="DO33623" s="303" t="s">
        <v>232</v>
      </c>
    </row>
    <row r="33624" spans="119:119" x14ac:dyDescent="0.2">
      <c r="DO33624" s="303" t="s">
        <v>232</v>
      </c>
    </row>
    <row r="33625" spans="119:119" x14ac:dyDescent="0.2">
      <c r="DO33625" s="303" t="s">
        <v>232</v>
      </c>
    </row>
    <row r="33626" spans="119:119" x14ac:dyDescent="0.2">
      <c r="DO33626" s="303" t="s">
        <v>232</v>
      </c>
    </row>
    <row r="33627" spans="119:119" x14ac:dyDescent="0.2">
      <c r="DO33627" s="303" t="s">
        <v>232</v>
      </c>
    </row>
    <row r="33628" spans="119:119" x14ac:dyDescent="0.2">
      <c r="DO33628" s="303" t="s">
        <v>232</v>
      </c>
    </row>
    <row r="33629" spans="119:119" x14ac:dyDescent="0.2">
      <c r="DO33629" s="303" t="s">
        <v>232</v>
      </c>
    </row>
    <row r="33630" spans="119:119" x14ac:dyDescent="0.2">
      <c r="DO33630" s="303" t="s">
        <v>232</v>
      </c>
    </row>
    <row r="33631" spans="119:119" x14ac:dyDescent="0.2">
      <c r="DO33631" s="303" t="s">
        <v>232</v>
      </c>
    </row>
    <row r="33632" spans="119:119" x14ac:dyDescent="0.2">
      <c r="DO33632" s="303" t="s">
        <v>232</v>
      </c>
    </row>
    <row r="33633" spans="119:119" x14ac:dyDescent="0.2">
      <c r="DO33633" s="303" t="s">
        <v>232</v>
      </c>
    </row>
    <row r="33634" spans="119:119" x14ac:dyDescent="0.2">
      <c r="DO33634" s="303" t="s">
        <v>232</v>
      </c>
    </row>
    <row r="33635" spans="119:119" x14ac:dyDescent="0.2">
      <c r="DO33635" s="303" t="s">
        <v>232</v>
      </c>
    </row>
    <row r="33636" spans="119:119" x14ac:dyDescent="0.2">
      <c r="DO33636" s="303" t="s">
        <v>232</v>
      </c>
    </row>
    <row r="33637" spans="119:119" x14ac:dyDescent="0.2">
      <c r="DO33637" s="303" t="s">
        <v>232</v>
      </c>
    </row>
    <row r="33638" spans="119:119" x14ac:dyDescent="0.2">
      <c r="DO33638" s="303" t="s">
        <v>232</v>
      </c>
    </row>
    <row r="33639" spans="119:119" x14ac:dyDescent="0.2">
      <c r="DO33639" s="303" t="s">
        <v>232</v>
      </c>
    </row>
    <row r="33640" spans="119:119" x14ac:dyDescent="0.2">
      <c r="DO33640" s="303" t="s">
        <v>232</v>
      </c>
    </row>
    <row r="33641" spans="119:119" x14ac:dyDescent="0.2">
      <c r="DO33641" s="303" t="s">
        <v>232</v>
      </c>
    </row>
    <row r="33642" spans="119:119" x14ac:dyDescent="0.2">
      <c r="DO33642" s="303" t="s">
        <v>232</v>
      </c>
    </row>
    <row r="33643" spans="119:119" x14ac:dyDescent="0.2">
      <c r="DO33643" s="303" t="s">
        <v>232</v>
      </c>
    </row>
    <row r="33644" spans="119:119" x14ac:dyDescent="0.2">
      <c r="DO33644" s="303" t="s">
        <v>232</v>
      </c>
    </row>
    <row r="33645" spans="119:119" x14ac:dyDescent="0.2">
      <c r="DO33645" s="303" t="s">
        <v>232</v>
      </c>
    </row>
    <row r="33646" spans="119:119" x14ac:dyDescent="0.2">
      <c r="DO33646" s="303" t="s">
        <v>232</v>
      </c>
    </row>
    <row r="33647" spans="119:119" x14ac:dyDescent="0.2">
      <c r="DO33647" s="303" t="s">
        <v>232</v>
      </c>
    </row>
    <row r="33648" spans="119:119" x14ac:dyDescent="0.2">
      <c r="DO33648" s="303" t="s">
        <v>232</v>
      </c>
    </row>
    <row r="33649" spans="119:119" x14ac:dyDescent="0.2">
      <c r="DO33649" s="303" t="s">
        <v>232</v>
      </c>
    </row>
    <row r="33650" spans="119:119" x14ac:dyDescent="0.2">
      <c r="DO33650" s="303" t="s">
        <v>232</v>
      </c>
    </row>
    <row r="33651" spans="119:119" x14ac:dyDescent="0.2">
      <c r="DO33651" s="303" t="s">
        <v>232</v>
      </c>
    </row>
    <row r="33652" spans="119:119" x14ac:dyDescent="0.2">
      <c r="DO33652" s="303" t="s">
        <v>232</v>
      </c>
    </row>
    <row r="33653" spans="119:119" x14ac:dyDescent="0.2">
      <c r="DO33653" s="303" t="s">
        <v>232</v>
      </c>
    </row>
    <row r="33654" spans="119:119" x14ac:dyDescent="0.2">
      <c r="DO33654" s="303" t="s">
        <v>232</v>
      </c>
    </row>
    <row r="33655" spans="119:119" x14ac:dyDescent="0.2">
      <c r="DO33655" s="303" t="s">
        <v>232</v>
      </c>
    </row>
    <row r="33656" spans="119:119" x14ac:dyDescent="0.2">
      <c r="DO33656" s="303" t="s">
        <v>232</v>
      </c>
    </row>
    <row r="33657" spans="119:119" x14ac:dyDescent="0.2">
      <c r="DO33657" s="303" t="s">
        <v>232</v>
      </c>
    </row>
    <row r="33658" spans="119:119" x14ac:dyDescent="0.2">
      <c r="DO33658" s="303" t="s">
        <v>232</v>
      </c>
    </row>
    <row r="33659" spans="119:119" x14ac:dyDescent="0.2">
      <c r="DO33659" s="303" t="s">
        <v>232</v>
      </c>
    </row>
    <row r="33660" spans="119:119" x14ac:dyDescent="0.2">
      <c r="DO33660" s="303" t="s">
        <v>232</v>
      </c>
    </row>
    <row r="33661" spans="119:119" x14ac:dyDescent="0.2">
      <c r="DO33661" s="303" t="s">
        <v>232</v>
      </c>
    </row>
    <row r="33662" spans="119:119" x14ac:dyDescent="0.2">
      <c r="DO33662" s="303" t="s">
        <v>232</v>
      </c>
    </row>
    <row r="33663" spans="119:119" x14ac:dyDescent="0.2">
      <c r="DO33663" s="303" t="s">
        <v>232</v>
      </c>
    </row>
    <row r="33664" spans="119:119" x14ac:dyDescent="0.2">
      <c r="DO33664" s="303" t="s">
        <v>232</v>
      </c>
    </row>
    <row r="33665" spans="119:119" x14ac:dyDescent="0.2">
      <c r="DO33665" s="303" t="s">
        <v>232</v>
      </c>
    </row>
    <row r="33666" spans="119:119" x14ac:dyDescent="0.2">
      <c r="DO33666" s="303" t="s">
        <v>232</v>
      </c>
    </row>
    <row r="33667" spans="119:119" x14ac:dyDescent="0.2">
      <c r="DO33667" s="303" t="s">
        <v>232</v>
      </c>
    </row>
    <row r="33668" spans="119:119" x14ac:dyDescent="0.2">
      <c r="DO33668" s="303" t="s">
        <v>232</v>
      </c>
    </row>
    <row r="33669" spans="119:119" x14ac:dyDescent="0.2">
      <c r="DO33669" s="303" t="s">
        <v>232</v>
      </c>
    </row>
    <row r="33670" spans="119:119" x14ac:dyDescent="0.2">
      <c r="DO33670" s="303" t="s">
        <v>232</v>
      </c>
    </row>
    <row r="33671" spans="119:119" x14ac:dyDescent="0.2">
      <c r="DO33671" s="303" t="s">
        <v>232</v>
      </c>
    </row>
    <row r="33672" spans="119:119" x14ac:dyDescent="0.2">
      <c r="DO33672" s="303" t="s">
        <v>232</v>
      </c>
    </row>
    <row r="33673" spans="119:119" x14ac:dyDescent="0.2">
      <c r="DO33673" s="303" t="s">
        <v>232</v>
      </c>
    </row>
    <row r="33674" spans="119:119" x14ac:dyDescent="0.2">
      <c r="DO33674" s="303" t="s">
        <v>232</v>
      </c>
    </row>
    <row r="33675" spans="119:119" x14ac:dyDescent="0.2">
      <c r="DO33675" s="303" t="s">
        <v>232</v>
      </c>
    </row>
    <row r="33676" spans="119:119" x14ac:dyDescent="0.2">
      <c r="DO33676" s="303" t="s">
        <v>232</v>
      </c>
    </row>
    <row r="33677" spans="119:119" x14ac:dyDescent="0.2">
      <c r="DO33677" s="303" t="s">
        <v>232</v>
      </c>
    </row>
    <row r="33678" spans="119:119" x14ac:dyDescent="0.2">
      <c r="DO33678" s="303" t="s">
        <v>232</v>
      </c>
    </row>
    <row r="33679" spans="119:119" x14ac:dyDescent="0.2">
      <c r="DO33679" s="303" t="s">
        <v>232</v>
      </c>
    </row>
    <row r="33680" spans="119:119" x14ac:dyDescent="0.2">
      <c r="DO33680" s="303" t="s">
        <v>232</v>
      </c>
    </row>
    <row r="33681" spans="119:119" x14ac:dyDescent="0.2">
      <c r="DO33681" s="303" t="s">
        <v>232</v>
      </c>
    </row>
    <row r="33682" spans="119:119" x14ac:dyDescent="0.2">
      <c r="DO33682" s="303" t="s">
        <v>232</v>
      </c>
    </row>
    <row r="33683" spans="119:119" x14ac:dyDescent="0.2">
      <c r="DO33683" s="303" t="s">
        <v>232</v>
      </c>
    </row>
    <row r="33684" spans="119:119" x14ac:dyDescent="0.2">
      <c r="DO33684" s="303" t="s">
        <v>232</v>
      </c>
    </row>
    <row r="33685" spans="119:119" x14ac:dyDescent="0.2">
      <c r="DO33685" s="303" t="s">
        <v>232</v>
      </c>
    </row>
    <row r="33686" spans="119:119" x14ac:dyDescent="0.2">
      <c r="DO33686" s="303" t="s">
        <v>232</v>
      </c>
    </row>
    <row r="33687" spans="119:119" x14ac:dyDescent="0.2">
      <c r="DO33687" s="303" t="s">
        <v>232</v>
      </c>
    </row>
    <row r="33688" spans="119:119" x14ac:dyDescent="0.2">
      <c r="DO33688" s="303" t="s">
        <v>232</v>
      </c>
    </row>
    <row r="33689" spans="119:119" x14ac:dyDescent="0.2">
      <c r="DO33689" s="303" t="s">
        <v>232</v>
      </c>
    </row>
    <row r="33690" spans="119:119" x14ac:dyDescent="0.2">
      <c r="DO33690" s="303" t="s">
        <v>232</v>
      </c>
    </row>
    <row r="33691" spans="119:119" x14ac:dyDescent="0.2">
      <c r="DO33691" s="303" t="s">
        <v>232</v>
      </c>
    </row>
    <row r="33692" spans="119:119" x14ac:dyDescent="0.2">
      <c r="DO33692" s="303" t="s">
        <v>232</v>
      </c>
    </row>
    <row r="33693" spans="119:119" x14ac:dyDescent="0.2">
      <c r="DO33693" s="303" t="s">
        <v>232</v>
      </c>
    </row>
    <row r="33694" spans="119:119" x14ac:dyDescent="0.2">
      <c r="DO33694" s="303" t="s">
        <v>232</v>
      </c>
    </row>
    <row r="33695" spans="119:119" x14ac:dyDescent="0.2">
      <c r="DO33695" s="303" t="s">
        <v>232</v>
      </c>
    </row>
    <row r="33696" spans="119:119" x14ac:dyDescent="0.2">
      <c r="DO33696" s="303" t="s">
        <v>232</v>
      </c>
    </row>
    <row r="33697" spans="119:119" x14ac:dyDescent="0.2">
      <c r="DO33697" s="303" t="s">
        <v>232</v>
      </c>
    </row>
    <row r="33698" spans="119:119" x14ac:dyDescent="0.2">
      <c r="DO33698" s="303" t="s">
        <v>232</v>
      </c>
    </row>
    <row r="33699" spans="119:119" x14ac:dyDescent="0.2">
      <c r="DO33699" s="303" t="s">
        <v>232</v>
      </c>
    </row>
    <row r="33700" spans="119:119" x14ac:dyDescent="0.2">
      <c r="DO33700" s="303" t="s">
        <v>232</v>
      </c>
    </row>
    <row r="33701" spans="119:119" x14ac:dyDescent="0.2">
      <c r="DO33701" s="303" t="s">
        <v>232</v>
      </c>
    </row>
    <row r="33702" spans="119:119" x14ac:dyDescent="0.2">
      <c r="DO33702" s="303" t="s">
        <v>232</v>
      </c>
    </row>
    <row r="33703" spans="119:119" x14ac:dyDescent="0.2">
      <c r="DO33703" s="303" t="s">
        <v>232</v>
      </c>
    </row>
    <row r="33704" spans="119:119" x14ac:dyDescent="0.2">
      <c r="DO33704" s="303" t="s">
        <v>232</v>
      </c>
    </row>
    <row r="33705" spans="119:119" x14ac:dyDescent="0.2">
      <c r="DO33705" s="303" t="s">
        <v>232</v>
      </c>
    </row>
    <row r="33706" spans="119:119" x14ac:dyDescent="0.2">
      <c r="DO33706" s="303" t="s">
        <v>232</v>
      </c>
    </row>
    <row r="33707" spans="119:119" x14ac:dyDescent="0.2">
      <c r="DO33707" s="303" t="s">
        <v>232</v>
      </c>
    </row>
    <row r="33708" spans="119:119" x14ac:dyDescent="0.2">
      <c r="DO33708" s="303" t="s">
        <v>232</v>
      </c>
    </row>
    <row r="33709" spans="119:119" x14ac:dyDescent="0.2">
      <c r="DO33709" s="303" t="s">
        <v>232</v>
      </c>
    </row>
    <row r="33710" spans="119:119" x14ac:dyDescent="0.2">
      <c r="DO33710" s="303" t="s">
        <v>232</v>
      </c>
    </row>
    <row r="33711" spans="119:119" x14ac:dyDescent="0.2">
      <c r="DO33711" s="303" t="s">
        <v>232</v>
      </c>
    </row>
    <row r="33712" spans="119:119" x14ac:dyDescent="0.2">
      <c r="DO33712" s="303" t="s">
        <v>232</v>
      </c>
    </row>
    <row r="33713" spans="119:119" x14ac:dyDescent="0.2">
      <c r="DO33713" s="303" t="s">
        <v>232</v>
      </c>
    </row>
    <row r="33714" spans="119:119" x14ac:dyDescent="0.2">
      <c r="DO33714" s="303" t="s">
        <v>232</v>
      </c>
    </row>
    <row r="33715" spans="119:119" x14ac:dyDescent="0.2">
      <c r="DO33715" s="303" t="s">
        <v>232</v>
      </c>
    </row>
    <row r="33716" spans="119:119" x14ac:dyDescent="0.2">
      <c r="DO33716" s="303" t="s">
        <v>232</v>
      </c>
    </row>
    <row r="33717" spans="119:119" x14ac:dyDescent="0.2">
      <c r="DO33717" s="303" t="s">
        <v>232</v>
      </c>
    </row>
    <row r="33718" spans="119:119" x14ac:dyDescent="0.2">
      <c r="DO33718" s="303" t="s">
        <v>232</v>
      </c>
    </row>
    <row r="33719" spans="119:119" x14ac:dyDescent="0.2">
      <c r="DO33719" s="303" t="s">
        <v>232</v>
      </c>
    </row>
    <row r="33720" spans="119:119" x14ac:dyDescent="0.2">
      <c r="DO33720" s="303" t="s">
        <v>232</v>
      </c>
    </row>
    <row r="33721" spans="119:119" x14ac:dyDescent="0.2">
      <c r="DO33721" s="303" t="s">
        <v>232</v>
      </c>
    </row>
    <row r="33722" spans="119:119" x14ac:dyDescent="0.2">
      <c r="DO33722" s="303" t="s">
        <v>232</v>
      </c>
    </row>
    <row r="33723" spans="119:119" x14ac:dyDescent="0.2">
      <c r="DO33723" s="303" t="s">
        <v>232</v>
      </c>
    </row>
    <row r="33724" spans="119:119" x14ac:dyDescent="0.2">
      <c r="DO33724" s="303" t="s">
        <v>232</v>
      </c>
    </row>
    <row r="33725" spans="119:119" x14ac:dyDescent="0.2">
      <c r="DO33725" s="303" t="s">
        <v>232</v>
      </c>
    </row>
    <row r="33726" spans="119:119" x14ac:dyDescent="0.2">
      <c r="DO33726" s="303" t="s">
        <v>232</v>
      </c>
    </row>
    <row r="33727" spans="119:119" x14ac:dyDescent="0.2">
      <c r="DO33727" s="303" t="s">
        <v>232</v>
      </c>
    </row>
    <row r="33728" spans="119:119" x14ac:dyDescent="0.2">
      <c r="DO33728" s="303" t="s">
        <v>232</v>
      </c>
    </row>
    <row r="33729" spans="119:119" x14ac:dyDescent="0.2">
      <c r="DO33729" s="303" t="s">
        <v>232</v>
      </c>
    </row>
    <row r="33730" spans="119:119" x14ac:dyDescent="0.2">
      <c r="DO33730" s="303" t="s">
        <v>232</v>
      </c>
    </row>
    <row r="33731" spans="119:119" x14ac:dyDescent="0.2">
      <c r="DO33731" s="303" t="s">
        <v>232</v>
      </c>
    </row>
    <row r="33732" spans="119:119" x14ac:dyDescent="0.2">
      <c r="DO33732" s="303" t="s">
        <v>232</v>
      </c>
    </row>
    <row r="33733" spans="119:119" x14ac:dyDescent="0.2">
      <c r="DO33733" s="303" t="s">
        <v>232</v>
      </c>
    </row>
    <row r="33734" spans="119:119" x14ac:dyDescent="0.2">
      <c r="DO33734" s="303" t="s">
        <v>232</v>
      </c>
    </row>
    <row r="33735" spans="119:119" x14ac:dyDescent="0.2">
      <c r="DO33735" s="303" t="s">
        <v>232</v>
      </c>
    </row>
    <row r="33736" spans="119:119" x14ac:dyDescent="0.2">
      <c r="DO33736" s="303" t="s">
        <v>232</v>
      </c>
    </row>
    <row r="33737" spans="119:119" x14ac:dyDescent="0.2">
      <c r="DO33737" s="303" t="s">
        <v>232</v>
      </c>
    </row>
    <row r="33738" spans="119:119" x14ac:dyDescent="0.2">
      <c r="DO33738" s="303" t="s">
        <v>232</v>
      </c>
    </row>
    <row r="33739" spans="119:119" x14ac:dyDescent="0.2">
      <c r="DO33739" s="303" t="s">
        <v>232</v>
      </c>
    </row>
    <row r="33740" spans="119:119" x14ac:dyDescent="0.2">
      <c r="DO33740" s="303" t="s">
        <v>232</v>
      </c>
    </row>
    <row r="33741" spans="119:119" x14ac:dyDescent="0.2">
      <c r="DO33741" s="303" t="s">
        <v>232</v>
      </c>
    </row>
    <row r="33742" spans="119:119" x14ac:dyDescent="0.2">
      <c r="DO33742" s="303" t="s">
        <v>232</v>
      </c>
    </row>
    <row r="33743" spans="119:119" x14ac:dyDescent="0.2">
      <c r="DO33743" s="303" t="s">
        <v>232</v>
      </c>
    </row>
    <row r="33744" spans="119:119" x14ac:dyDescent="0.2">
      <c r="DO33744" s="303" t="s">
        <v>232</v>
      </c>
    </row>
    <row r="33745" spans="119:119" x14ac:dyDescent="0.2">
      <c r="DO33745" s="303" t="s">
        <v>232</v>
      </c>
    </row>
    <row r="33746" spans="119:119" x14ac:dyDescent="0.2">
      <c r="DO33746" s="303" t="s">
        <v>232</v>
      </c>
    </row>
    <row r="33747" spans="119:119" x14ac:dyDescent="0.2">
      <c r="DO33747" s="303" t="s">
        <v>232</v>
      </c>
    </row>
    <row r="33748" spans="119:119" x14ac:dyDescent="0.2">
      <c r="DO33748" s="303" t="s">
        <v>232</v>
      </c>
    </row>
    <row r="33749" spans="119:119" x14ac:dyDescent="0.2">
      <c r="DO33749" s="303" t="s">
        <v>232</v>
      </c>
    </row>
    <row r="33750" spans="119:119" x14ac:dyDescent="0.2">
      <c r="DO33750" s="303" t="s">
        <v>232</v>
      </c>
    </row>
    <row r="33751" spans="119:119" x14ac:dyDescent="0.2">
      <c r="DO33751" s="303" t="s">
        <v>232</v>
      </c>
    </row>
    <row r="33752" spans="119:119" x14ac:dyDescent="0.2">
      <c r="DO33752" s="303" t="s">
        <v>232</v>
      </c>
    </row>
    <row r="33753" spans="119:119" x14ac:dyDescent="0.2">
      <c r="DO33753" s="303" t="s">
        <v>232</v>
      </c>
    </row>
    <row r="33754" spans="119:119" x14ac:dyDescent="0.2">
      <c r="DO33754" s="303" t="s">
        <v>232</v>
      </c>
    </row>
    <row r="33755" spans="119:119" x14ac:dyDescent="0.2">
      <c r="DO33755" s="303" t="s">
        <v>232</v>
      </c>
    </row>
    <row r="33756" spans="119:119" x14ac:dyDescent="0.2">
      <c r="DO33756" s="303" t="s">
        <v>232</v>
      </c>
    </row>
    <row r="33757" spans="119:119" x14ac:dyDescent="0.2">
      <c r="DO33757" s="303" t="s">
        <v>232</v>
      </c>
    </row>
    <row r="33758" spans="119:119" x14ac:dyDescent="0.2">
      <c r="DO33758" s="303" t="s">
        <v>232</v>
      </c>
    </row>
    <row r="33759" spans="119:119" x14ac:dyDescent="0.2">
      <c r="DO33759" s="303" t="s">
        <v>232</v>
      </c>
    </row>
    <row r="33760" spans="119:119" x14ac:dyDescent="0.2">
      <c r="DO33760" s="303" t="s">
        <v>232</v>
      </c>
    </row>
    <row r="33761" spans="119:119" x14ac:dyDescent="0.2">
      <c r="DO33761" s="303" t="s">
        <v>232</v>
      </c>
    </row>
    <row r="33762" spans="119:119" x14ac:dyDescent="0.2">
      <c r="DO33762" s="303" t="s">
        <v>232</v>
      </c>
    </row>
    <row r="33763" spans="119:119" x14ac:dyDescent="0.2">
      <c r="DO33763" s="303" t="s">
        <v>232</v>
      </c>
    </row>
    <row r="33764" spans="119:119" x14ac:dyDescent="0.2">
      <c r="DO33764" s="303" t="s">
        <v>232</v>
      </c>
    </row>
    <row r="33765" spans="119:119" x14ac:dyDescent="0.2">
      <c r="DO33765" s="303" t="s">
        <v>232</v>
      </c>
    </row>
    <row r="33766" spans="119:119" x14ac:dyDescent="0.2">
      <c r="DO33766" s="303" t="s">
        <v>232</v>
      </c>
    </row>
    <row r="33767" spans="119:119" x14ac:dyDescent="0.2">
      <c r="DO33767" s="303" t="s">
        <v>232</v>
      </c>
    </row>
    <row r="33768" spans="119:119" x14ac:dyDescent="0.2">
      <c r="DO33768" s="303" t="s">
        <v>232</v>
      </c>
    </row>
    <row r="33769" spans="119:119" x14ac:dyDescent="0.2">
      <c r="DO33769" s="303" t="s">
        <v>232</v>
      </c>
    </row>
    <row r="33770" spans="119:119" x14ac:dyDescent="0.2">
      <c r="DO33770" s="303" t="s">
        <v>232</v>
      </c>
    </row>
    <row r="33771" spans="119:119" x14ac:dyDescent="0.2">
      <c r="DO33771" s="303" t="s">
        <v>232</v>
      </c>
    </row>
    <row r="33772" spans="119:119" x14ac:dyDescent="0.2">
      <c r="DO33772" s="303" t="s">
        <v>232</v>
      </c>
    </row>
    <row r="33773" spans="119:119" x14ac:dyDescent="0.2">
      <c r="DO33773" s="303" t="s">
        <v>232</v>
      </c>
    </row>
    <row r="33774" spans="119:119" x14ac:dyDescent="0.2">
      <c r="DO33774" s="303" t="s">
        <v>232</v>
      </c>
    </row>
    <row r="33775" spans="119:119" x14ac:dyDescent="0.2">
      <c r="DO33775" s="303" t="s">
        <v>232</v>
      </c>
    </row>
    <row r="33776" spans="119:119" x14ac:dyDescent="0.2">
      <c r="DO33776" s="303" t="s">
        <v>232</v>
      </c>
    </row>
    <row r="33777" spans="119:119" x14ac:dyDescent="0.2">
      <c r="DO33777" s="303" t="s">
        <v>232</v>
      </c>
    </row>
    <row r="33778" spans="119:119" x14ac:dyDescent="0.2">
      <c r="DO33778" s="303" t="s">
        <v>232</v>
      </c>
    </row>
    <row r="33779" spans="119:119" x14ac:dyDescent="0.2">
      <c r="DO33779" s="303" t="s">
        <v>232</v>
      </c>
    </row>
    <row r="33780" spans="119:119" x14ac:dyDescent="0.2">
      <c r="DO33780" s="303" t="s">
        <v>232</v>
      </c>
    </row>
    <row r="33781" spans="119:119" x14ac:dyDescent="0.2">
      <c r="DO33781" s="303" t="s">
        <v>232</v>
      </c>
    </row>
    <row r="33782" spans="119:119" x14ac:dyDescent="0.2">
      <c r="DO33782" s="303" t="s">
        <v>232</v>
      </c>
    </row>
    <row r="33783" spans="119:119" x14ac:dyDescent="0.2">
      <c r="DO33783" s="303" t="s">
        <v>232</v>
      </c>
    </row>
    <row r="33784" spans="119:119" x14ac:dyDescent="0.2">
      <c r="DO33784" s="303" t="s">
        <v>232</v>
      </c>
    </row>
    <row r="33785" spans="119:119" x14ac:dyDescent="0.2">
      <c r="DO33785" s="303" t="s">
        <v>232</v>
      </c>
    </row>
    <row r="33786" spans="119:119" x14ac:dyDescent="0.2">
      <c r="DO33786" s="303" t="s">
        <v>232</v>
      </c>
    </row>
    <row r="33787" spans="119:119" x14ac:dyDescent="0.2">
      <c r="DO33787" s="303" t="s">
        <v>232</v>
      </c>
    </row>
    <row r="33788" spans="119:119" x14ac:dyDescent="0.2">
      <c r="DO33788" s="303" t="s">
        <v>232</v>
      </c>
    </row>
    <row r="33789" spans="119:119" x14ac:dyDescent="0.2">
      <c r="DO33789" s="303" t="s">
        <v>232</v>
      </c>
    </row>
    <row r="33790" spans="119:119" x14ac:dyDescent="0.2">
      <c r="DO33790" s="303" t="s">
        <v>232</v>
      </c>
    </row>
    <row r="33791" spans="119:119" x14ac:dyDescent="0.2">
      <c r="DO33791" s="303" t="s">
        <v>232</v>
      </c>
    </row>
    <row r="33792" spans="119:119" x14ac:dyDescent="0.2">
      <c r="DO33792" s="303" t="s">
        <v>232</v>
      </c>
    </row>
    <row r="33793" spans="119:119" x14ac:dyDescent="0.2">
      <c r="DO33793" s="303" t="s">
        <v>232</v>
      </c>
    </row>
    <row r="33794" spans="119:119" x14ac:dyDescent="0.2">
      <c r="DO33794" s="303" t="s">
        <v>232</v>
      </c>
    </row>
    <row r="33795" spans="119:119" x14ac:dyDescent="0.2">
      <c r="DO33795" s="303" t="s">
        <v>232</v>
      </c>
    </row>
    <row r="33796" spans="119:119" x14ac:dyDescent="0.2">
      <c r="DO33796" s="303" t="s">
        <v>232</v>
      </c>
    </row>
    <row r="33797" spans="119:119" x14ac:dyDescent="0.2">
      <c r="DO33797" s="303" t="s">
        <v>232</v>
      </c>
    </row>
    <row r="33798" spans="119:119" x14ac:dyDescent="0.2">
      <c r="DO33798" s="303" t="s">
        <v>232</v>
      </c>
    </row>
    <row r="33799" spans="119:119" x14ac:dyDescent="0.2">
      <c r="DO33799" s="303" t="s">
        <v>232</v>
      </c>
    </row>
    <row r="33800" spans="119:119" x14ac:dyDescent="0.2">
      <c r="DO33800" s="303" t="s">
        <v>232</v>
      </c>
    </row>
    <row r="33801" spans="119:119" x14ac:dyDescent="0.2">
      <c r="DO33801" s="303" t="s">
        <v>232</v>
      </c>
    </row>
    <row r="33802" spans="119:119" x14ac:dyDescent="0.2">
      <c r="DO33802" s="303" t="s">
        <v>232</v>
      </c>
    </row>
    <row r="33803" spans="119:119" x14ac:dyDescent="0.2">
      <c r="DO33803" s="303" t="s">
        <v>232</v>
      </c>
    </row>
    <row r="33804" spans="119:119" x14ac:dyDescent="0.2">
      <c r="DO33804" s="303" t="s">
        <v>232</v>
      </c>
    </row>
    <row r="33805" spans="119:119" x14ac:dyDescent="0.2">
      <c r="DO33805" s="303" t="s">
        <v>232</v>
      </c>
    </row>
    <row r="33806" spans="119:119" x14ac:dyDescent="0.2">
      <c r="DO33806" s="303" t="s">
        <v>232</v>
      </c>
    </row>
    <row r="33807" spans="119:119" x14ac:dyDescent="0.2">
      <c r="DO33807" s="303" t="s">
        <v>232</v>
      </c>
    </row>
    <row r="33808" spans="119:119" x14ac:dyDescent="0.2">
      <c r="DO33808" s="303" t="s">
        <v>232</v>
      </c>
    </row>
    <row r="33809" spans="119:119" x14ac:dyDescent="0.2">
      <c r="DO33809" s="303" t="s">
        <v>232</v>
      </c>
    </row>
    <row r="33810" spans="119:119" x14ac:dyDescent="0.2">
      <c r="DO33810" s="303" t="s">
        <v>232</v>
      </c>
    </row>
    <row r="33811" spans="119:119" x14ac:dyDescent="0.2">
      <c r="DO33811" s="303" t="s">
        <v>232</v>
      </c>
    </row>
    <row r="33812" spans="119:119" x14ac:dyDescent="0.2">
      <c r="DO33812" s="303" t="s">
        <v>232</v>
      </c>
    </row>
    <row r="33813" spans="119:119" x14ac:dyDescent="0.2">
      <c r="DO33813" s="303" t="s">
        <v>232</v>
      </c>
    </row>
    <row r="33814" spans="119:119" x14ac:dyDescent="0.2">
      <c r="DO33814" s="303" t="s">
        <v>232</v>
      </c>
    </row>
    <row r="33815" spans="119:119" x14ac:dyDescent="0.2">
      <c r="DO33815" s="303" t="s">
        <v>232</v>
      </c>
    </row>
    <row r="33816" spans="119:119" x14ac:dyDescent="0.2">
      <c r="DO33816" s="303" t="s">
        <v>232</v>
      </c>
    </row>
    <row r="33817" spans="119:119" x14ac:dyDescent="0.2">
      <c r="DO33817" s="303" t="s">
        <v>232</v>
      </c>
    </row>
    <row r="33818" spans="119:119" x14ac:dyDescent="0.2">
      <c r="DO33818" s="303" t="s">
        <v>232</v>
      </c>
    </row>
    <row r="33819" spans="119:119" x14ac:dyDescent="0.2">
      <c r="DO33819" s="303" t="s">
        <v>232</v>
      </c>
    </row>
    <row r="33820" spans="119:119" x14ac:dyDescent="0.2">
      <c r="DO33820" s="303" t="s">
        <v>232</v>
      </c>
    </row>
    <row r="33821" spans="119:119" x14ac:dyDescent="0.2">
      <c r="DO33821" s="303" t="s">
        <v>232</v>
      </c>
    </row>
    <row r="33822" spans="119:119" x14ac:dyDescent="0.2">
      <c r="DO33822" s="303" t="s">
        <v>232</v>
      </c>
    </row>
    <row r="33823" spans="119:119" x14ac:dyDescent="0.2">
      <c r="DO33823" s="303" t="s">
        <v>232</v>
      </c>
    </row>
    <row r="33824" spans="119:119" x14ac:dyDescent="0.2">
      <c r="DO33824" s="303" t="s">
        <v>232</v>
      </c>
    </row>
    <row r="33825" spans="119:119" x14ac:dyDescent="0.2">
      <c r="DO33825" s="303" t="s">
        <v>232</v>
      </c>
    </row>
    <row r="33826" spans="119:119" x14ac:dyDescent="0.2">
      <c r="DO33826" s="303" t="s">
        <v>232</v>
      </c>
    </row>
    <row r="33827" spans="119:119" x14ac:dyDescent="0.2">
      <c r="DO33827" s="303" t="s">
        <v>232</v>
      </c>
    </row>
    <row r="33828" spans="119:119" x14ac:dyDescent="0.2">
      <c r="DO33828" s="303" t="s">
        <v>232</v>
      </c>
    </row>
    <row r="33829" spans="119:119" x14ac:dyDescent="0.2">
      <c r="DO33829" s="303" t="s">
        <v>232</v>
      </c>
    </row>
    <row r="33830" spans="119:119" x14ac:dyDescent="0.2">
      <c r="DO33830" s="303" t="s">
        <v>232</v>
      </c>
    </row>
    <row r="33831" spans="119:119" x14ac:dyDescent="0.2">
      <c r="DO33831" s="303" t="s">
        <v>232</v>
      </c>
    </row>
    <row r="33832" spans="119:119" x14ac:dyDescent="0.2">
      <c r="DO33832" s="303" t="s">
        <v>232</v>
      </c>
    </row>
    <row r="33833" spans="119:119" x14ac:dyDescent="0.2">
      <c r="DO33833" s="303" t="s">
        <v>232</v>
      </c>
    </row>
    <row r="33834" spans="119:119" x14ac:dyDescent="0.2">
      <c r="DO33834" s="303" t="s">
        <v>232</v>
      </c>
    </row>
    <row r="33835" spans="119:119" x14ac:dyDescent="0.2">
      <c r="DO33835" s="303" t="s">
        <v>232</v>
      </c>
    </row>
    <row r="33836" spans="119:119" x14ac:dyDescent="0.2">
      <c r="DO33836" s="303" t="s">
        <v>232</v>
      </c>
    </row>
    <row r="33837" spans="119:119" x14ac:dyDescent="0.2">
      <c r="DO33837" s="303" t="s">
        <v>232</v>
      </c>
    </row>
    <row r="33838" spans="119:119" x14ac:dyDescent="0.2">
      <c r="DO33838" s="303" t="s">
        <v>232</v>
      </c>
    </row>
    <row r="33839" spans="119:119" x14ac:dyDescent="0.2">
      <c r="DO33839" s="303" t="s">
        <v>232</v>
      </c>
    </row>
    <row r="33840" spans="119:119" x14ac:dyDescent="0.2">
      <c r="DO33840" s="303" t="s">
        <v>232</v>
      </c>
    </row>
    <row r="33841" spans="119:119" x14ac:dyDescent="0.2">
      <c r="DO33841" s="303" t="s">
        <v>232</v>
      </c>
    </row>
    <row r="33842" spans="119:119" x14ac:dyDescent="0.2">
      <c r="DO33842" s="303" t="s">
        <v>232</v>
      </c>
    </row>
    <row r="33843" spans="119:119" x14ac:dyDescent="0.2">
      <c r="DO33843" s="303" t="s">
        <v>232</v>
      </c>
    </row>
    <row r="33844" spans="119:119" x14ac:dyDescent="0.2">
      <c r="DO33844" s="303" t="s">
        <v>232</v>
      </c>
    </row>
    <row r="33845" spans="119:119" x14ac:dyDescent="0.2">
      <c r="DO33845" s="303" t="s">
        <v>232</v>
      </c>
    </row>
    <row r="33846" spans="119:119" x14ac:dyDescent="0.2">
      <c r="DO33846" s="303" t="s">
        <v>232</v>
      </c>
    </row>
    <row r="33847" spans="119:119" x14ac:dyDescent="0.2">
      <c r="DO33847" s="303" t="s">
        <v>232</v>
      </c>
    </row>
    <row r="33848" spans="119:119" x14ac:dyDescent="0.2">
      <c r="DO33848" s="303" t="s">
        <v>232</v>
      </c>
    </row>
    <row r="33849" spans="119:119" x14ac:dyDescent="0.2">
      <c r="DO33849" s="303" t="s">
        <v>232</v>
      </c>
    </row>
    <row r="33850" spans="119:119" x14ac:dyDescent="0.2">
      <c r="DO33850" s="303" t="s">
        <v>232</v>
      </c>
    </row>
    <row r="33851" spans="119:119" x14ac:dyDescent="0.2">
      <c r="DO33851" s="303" t="s">
        <v>232</v>
      </c>
    </row>
    <row r="33852" spans="119:119" x14ac:dyDescent="0.2">
      <c r="DO33852" s="303" t="s">
        <v>232</v>
      </c>
    </row>
    <row r="33853" spans="119:119" x14ac:dyDescent="0.2">
      <c r="DO33853" s="303" t="s">
        <v>232</v>
      </c>
    </row>
    <row r="33854" spans="119:119" x14ac:dyDescent="0.2">
      <c r="DO33854" s="303" t="s">
        <v>232</v>
      </c>
    </row>
    <row r="33855" spans="119:119" x14ac:dyDescent="0.2">
      <c r="DO33855" s="303" t="s">
        <v>232</v>
      </c>
    </row>
    <row r="33856" spans="119:119" x14ac:dyDescent="0.2">
      <c r="DO33856" s="303" t="s">
        <v>232</v>
      </c>
    </row>
    <row r="33857" spans="119:119" x14ac:dyDescent="0.2">
      <c r="DO33857" s="303" t="s">
        <v>232</v>
      </c>
    </row>
    <row r="33858" spans="119:119" x14ac:dyDescent="0.2">
      <c r="DO33858" s="303" t="s">
        <v>232</v>
      </c>
    </row>
    <row r="33859" spans="119:119" x14ac:dyDescent="0.2">
      <c r="DO33859" s="303" t="s">
        <v>232</v>
      </c>
    </row>
    <row r="33860" spans="119:119" x14ac:dyDescent="0.2">
      <c r="DO33860" s="303" t="s">
        <v>232</v>
      </c>
    </row>
    <row r="33861" spans="119:119" x14ac:dyDescent="0.2">
      <c r="DO33861" s="303" t="s">
        <v>232</v>
      </c>
    </row>
    <row r="33862" spans="119:119" x14ac:dyDescent="0.2">
      <c r="DO33862" s="303" t="s">
        <v>232</v>
      </c>
    </row>
    <row r="33863" spans="119:119" x14ac:dyDescent="0.2">
      <c r="DO33863" s="303" t="s">
        <v>232</v>
      </c>
    </row>
    <row r="33864" spans="119:119" x14ac:dyDescent="0.2">
      <c r="DO33864" s="303" t="s">
        <v>232</v>
      </c>
    </row>
    <row r="33865" spans="119:119" x14ac:dyDescent="0.2">
      <c r="DO33865" s="303" t="s">
        <v>232</v>
      </c>
    </row>
    <row r="33866" spans="119:119" x14ac:dyDescent="0.2">
      <c r="DO33866" s="303" t="s">
        <v>232</v>
      </c>
    </row>
    <row r="33867" spans="119:119" x14ac:dyDescent="0.2">
      <c r="DO33867" s="303" t="s">
        <v>232</v>
      </c>
    </row>
    <row r="33868" spans="119:119" x14ac:dyDescent="0.2">
      <c r="DO33868" s="303" t="s">
        <v>232</v>
      </c>
    </row>
    <row r="33869" spans="119:119" x14ac:dyDescent="0.2">
      <c r="DO33869" s="303" t="s">
        <v>232</v>
      </c>
    </row>
    <row r="33870" spans="119:119" x14ac:dyDescent="0.2">
      <c r="DO33870" s="303" t="s">
        <v>232</v>
      </c>
    </row>
    <row r="33871" spans="119:119" x14ac:dyDescent="0.2">
      <c r="DO33871" s="303" t="s">
        <v>232</v>
      </c>
    </row>
    <row r="33872" spans="119:119" x14ac:dyDescent="0.2">
      <c r="DO33872" s="303" t="s">
        <v>232</v>
      </c>
    </row>
    <row r="33873" spans="119:119" x14ac:dyDescent="0.2">
      <c r="DO33873" s="303" t="s">
        <v>232</v>
      </c>
    </row>
    <row r="33874" spans="119:119" x14ac:dyDescent="0.2">
      <c r="DO33874" s="303" t="s">
        <v>232</v>
      </c>
    </row>
    <row r="33875" spans="119:119" x14ac:dyDescent="0.2">
      <c r="DO33875" s="303" t="s">
        <v>232</v>
      </c>
    </row>
    <row r="33876" spans="119:119" x14ac:dyDescent="0.2">
      <c r="DO33876" s="303" t="s">
        <v>232</v>
      </c>
    </row>
    <row r="33877" spans="119:119" x14ac:dyDescent="0.2">
      <c r="DO33877" s="303" t="s">
        <v>232</v>
      </c>
    </row>
    <row r="33878" spans="119:119" x14ac:dyDescent="0.2">
      <c r="DO33878" s="303" t="s">
        <v>232</v>
      </c>
    </row>
    <row r="33879" spans="119:119" x14ac:dyDescent="0.2">
      <c r="DO33879" s="303" t="s">
        <v>232</v>
      </c>
    </row>
    <row r="33880" spans="119:119" x14ac:dyDescent="0.2">
      <c r="DO33880" s="303" t="s">
        <v>232</v>
      </c>
    </row>
    <row r="33881" spans="119:119" x14ac:dyDescent="0.2">
      <c r="DO33881" s="303" t="s">
        <v>232</v>
      </c>
    </row>
    <row r="33882" spans="119:119" x14ac:dyDescent="0.2">
      <c r="DO33882" s="303" t="s">
        <v>232</v>
      </c>
    </row>
    <row r="33883" spans="119:119" x14ac:dyDescent="0.2">
      <c r="DO33883" s="303" t="s">
        <v>232</v>
      </c>
    </row>
    <row r="33884" spans="119:119" x14ac:dyDescent="0.2">
      <c r="DO33884" s="303" t="s">
        <v>232</v>
      </c>
    </row>
    <row r="33885" spans="119:119" x14ac:dyDescent="0.2">
      <c r="DO33885" s="303" t="s">
        <v>232</v>
      </c>
    </row>
    <row r="33886" spans="119:119" x14ac:dyDescent="0.2">
      <c r="DO33886" s="303" t="s">
        <v>232</v>
      </c>
    </row>
    <row r="33887" spans="119:119" x14ac:dyDescent="0.2">
      <c r="DO33887" s="303" t="s">
        <v>232</v>
      </c>
    </row>
    <row r="33888" spans="119:119" x14ac:dyDescent="0.2">
      <c r="DO33888" s="303" t="s">
        <v>232</v>
      </c>
    </row>
    <row r="33889" spans="119:119" x14ac:dyDescent="0.2">
      <c r="DO33889" s="303" t="s">
        <v>232</v>
      </c>
    </row>
    <row r="33890" spans="119:119" x14ac:dyDescent="0.2">
      <c r="DO33890" s="303" t="s">
        <v>232</v>
      </c>
    </row>
    <row r="33891" spans="119:119" x14ac:dyDescent="0.2">
      <c r="DO33891" s="303" t="s">
        <v>232</v>
      </c>
    </row>
    <row r="33892" spans="119:119" x14ac:dyDescent="0.2">
      <c r="DO33892" s="303" t="s">
        <v>232</v>
      </c>
    </row>
    <row r="33893" spans="119:119" x14ac:dyDescent="0.2">
      <c r="DO33893" s="303" t="s">
        <v>232</v>
      </c>
    </row>
    <row r="33894" spans="119:119" x14ac:dyDescent="0.2">
      <c r="DO33894" s="303" t="s">
        <v>232</v>
      </c>
    </row>
    <row r="33895" spans="119:119" x14ac:dyDescent="0.2">
      <c r="DO33895" s="303" t="s">
        <v>232</v>
      </c>
    </row>
    <row r="33896" spans="119:119" x14ac:dyDescent="0.2">
      <c r="DO33896" s="303" t="s">
        <v>232</v>
      </c>
    </row>
    <row r="33897" spans="119:119" x14ac:dyDescent="0.2">
      <c r="DO33897" s="303" t="s">
        <v>232</v>
      </c>
    </row>
    <row r="33898" spans="119:119" x14ac:dyDescent="0.2">
      <c r="DO33898" s="303" t="s">
        <v>232</v>
      </c>
    </row>
    <row r="33899" spans="119:119" x14ac:dyDescent="0.2">
      <c r="DO33899" s="303" t="s">
        <v>232</v>
      </c>
    </row>
    <row r="33900" spans="119:119" x14ac:dyDescent="0.2">
      <c r="DO33900" s="303" t="s">
        <v>232</v>
      </c>
    </row>
    <row r="33901" spans="119:119" x14ac:dyDescent="0.2">
      <c r="DO33901" s="303" t="s">
        <v>232</v>
      </c>
    </row>
    <row r="33902" spans="119:119" x14ac:dyDescent="0.2">
      <c r="DO33902" s="303" t="s">
        <v>232</v>
      </c>
    </row>
    <row r="33903" spans="119:119" x14ac:dyDescent="0.2">
      <c r="DO33903" s="303" t="s">
        <v>232</v>
      </c>
    </row>
    <row r="33904" spans="119:119" x14ac:dyDescent="0.2">
      <c r="DO33904" s="303" t="s">
        <v>232</v>
      </c>
    </row>
    <row r="33905" spans="119:119" x14ac:dyDescent="0.2">
      <c r="DO33905" s="303" t="s">
        <v>232</v>
      </c>
    </row>
    <row r="33906" spans="119:119" x14ac:dyDescent="0.2">
      <c r="DO33906" s="303" t="s">
        <v>232</v>
      </c>
    </row>
    <row r="33907" spans="119:119" x14ac:dyDescent="0.2">
      <c r="DO33907" s="303" t="s">
        <v>232</v>
      </c>
    </row>
    <row r="33908" spans="119:119" x14ac:dyDescent="0.2">
      <c r="DO33908" s="303" t="s">
        <v>232</v>
      </c>
    </row>
    <row r="33909" spans="119:119" x14ac:dyDescent="0.2">
      <c r="DO33909" s="303" t="s">
        <v>232</v>
      </c>
    </row>
    <row r="33910" spans="119:119" x14ac:dyDescent="0.2">
      <c r="DO33910" s="303" t="s">
        <v>232</v>
      </c>
    </row>
    <row r="33911" spans="119:119" x14ac:dyDescent="0.2">
      <c r="DO33911" s="303" t="s">
        <v>232</v>
      </c>
    </row>
    <row r="33912" spans="119:119" x14ac:dyDescent="0.2">
      <c r="DO33912" s="303" t="s">
        <v>232</v>
      </c>
    </row>
    <row r="33913" spans="119:119" x14ac:dyDescent="0.2">
      <c r="DO33913" s="303" t="s">
        <v>232</v>
      </c>
    </row>
    <row r="33914" spans="119:119" x14ac:dyDescent="0.2">
      <c r="DO33914" s="303" t="s">
        <v>232</v>
      </c>
    </row>
    <row r="33915" spans="119:119" x14ac:dyDescent="0.2">
      <c r="DO33915" s="303" t="s">
        <v>232</v>
      </c>
    </row>
    <row r="33916" spans="119:119" x14ac:dyDescent="0.2">
      <c r="DO33916" s="303" t="s">
        <v>232</v>
      </c>
    </row>
    <row r="33917" spans="119:119" x14ac:dyDescent="0.2">
      <c r="DO33917" s="303" t="s">
        <v>232</v>
      </c>
    </row>
    <row r="33918" spans="119:119" x14ac:dyDescent="0.2">
      <c r="DO33918" s="303" t="s">
        <v>232</v>
      </c>
    </row>
    <row r="33919" spans="119:119" x14ac:dyDescent="0.2">
      <c r="DO33919" s="303" t="s">
        <v>232</v>
      </c>
    </row>
    <row r="33920" spans="119:119" x14ac:dyDescent="0.2">
      <c r="DO33920" s="303" t="s">
        <v>232</v>
      </c>
    </row>
    <row r="33921" spans="119:119" x14ac:dyDescent="0.2">
      <c r="DO33921" s="303" t="s">
        <v>232</v>
      </c>
    </row>
    <row r="33922" spans="119:119" x14ac:dyDescent="0.2">
      <c r="DO33922" s="303" t="s">
        <v>232</v>
      </c>
    </row>
    <row r="33923" spans="119:119" x14ac:dyDescent="0.2">
      <c r="DO33923" s="303" t="s">
        <v>232</v>
      </c>
    </row>
    <row r="33924" spans="119:119" x14ac:dyDescent="0.2">
      <c r="DO33924" s="303" t="s">
        <v>232</v>
      </c>
    </row>
    <row r="33925" spans="119:119" x14ac:dyDescent="0.2">
      <c r="DO33925" s="303" t="s">
        <v>232</v>
      </c>
    </row>
    <row r="33926" spans="119:119" x14ac:dyDescent="0.2">
      <c r="DO33926" s="303" t="s">
        <v>232</v>
      </c>
    </row>
    <row r="33927" spans="119:119" x14ac:dyDescent="0.2">
      <c r="DO33927" s="303" t="s">
        <v>232</v>
      </c>
    </row>
    <row r="33928" spans="119:119" x14ac:dyDescent="0.2">
      <c r="DO33928" s="303" t="s">
        <v>232</v>
      </c>
    </row>
    <row r="33929" spans="119:119" x14ac:dyDescent="0.2">
      <c r="DO33929" s="303" t="s">
        <v>232</v>
      </c>
    </row>
    <row r="33930" spans="119:119" x14ac:dyDescent="0.2">
      <c r="DO33930" s="303" t="s">
        <v>232</v>
      </c>
    </row>
    <row r="33931" spans="119:119" x14ac:dyDescent="0.2">
      <c r="DO33931" s="303" t="s">
        <v>232</v>
      </c>
    </row>
    <row r="33932" spans="119:119" x14ac:dyDescent="0.2">
      <c r="DO33932" s="303" t="s">
        <v>232</v>
      </c>
    </row>
    <row r="33933" spans="119:119" x14ac:dyDescent="0.2">
      <c r="DO33933" s="303" t="s">
        <v>232</v>
      </c>
    </row>
    <row r="33934" spans="119:119" x14ac:dyDescent="0.2">
      <c r="DO33934" s="303" t="s">
        <v>232</v>
      </c>
    </row>
    <row r="33935" spans="119:119" x14ac:dyDescent="0.2">
      <c r="DO33935" s="303" t="s">
        <v>232</v>
      </c>
    </row>
    <row r="33936" spans="119:119" x14ac:dyDescent="0.2">
      <c r="DO33936" s="303" t="s">
        <v>232</v>
      </c>
    </row>
    <row r="33937" spans="119:119" x14ac:dyDescent="0.2">
      <c r="DO33937" s="303" t="s">
        <v>232</v>
      </c>
    </row>
    <row r="33938" spans="119:119" x14ac:dyDescent="0.2">
      <c r="DO33938" s="303" t="s">
        <v>232</v>
      </c>
    </row>
    <row r="33939" spans="119:119" x14ac:dyDescent="0.2">
      <c r="DO33939" s="303" t="s">
        <v>232</v>
      </c>
    </row>
    <row r="33940" spans="119:119" x14ac:dyDescent="0.2">
      <c r="DO33940" s="303" t="s">
        <v>232</v>
      </c>
    </row>
    <row r="33941" spans="119:119" x14ac:dyDescent="0.2">
      <c r="DO33941" s="303" t="s">
        <v>232</v>
      </c>
    </row>
    <row r="33942" spans="119:119" x14ac:dyDescent="0.2">
      <c r="DO33942" s="303" t="s">
        <v>232</v>
      </c>
    </row>
    <row r="33943" spans="119:119" x14ac:dyDescent="0.2">
      <c r="DO33943" s="303" t="s">
        <v>232</v>
      </c>
    </row>
    <row r="33944" spans="119:119" x14ac:dyDescent="0.2">
      <c r="DO33944" s="303" t="s">
        <v>232</v>
      </c>
    </row>
    <row r="33945" spans="119:119" x14ac:dyDescent="0.2">
      <c r="DO33945" s="303" t="s">
        <v>232</v>
      </c>
    </row>
    <row r="33946" spans="119:119" x14ac:dyDescent="0.2">
      <c r="DO33946" s="303" t="s">
        <v>232</v>
      </c>
    </row>
    <row r="33947" spans="119:119" x14ac:dyDescent="0.2">
      <c r="DO33947" s="303" t="s">
        <v>232</v>
      </c>
    </row>
    <row r="33948" spans="119:119" x14ac:dyDescent="0.2">
      <c r="DO33948" s="303" t="s">
        <v>232</v>
      </c>
    </row>
    <row r="33949" spans="119:119" x14ac:dyDescent="0.2">
      <c r="DO33949" s="303" t="s">
        <v>232</v>
      </c>
    </row>
    <row r="33950" spans="119:119" x14ac:dyDescent="0.2">
      <c r="DO33950" s="303" t="s">
        <v>232</v>
      </c>
    </row>
    <row r="33951" spans="119:119" x14ac:dyDescent="0.2">
      <c r="DO33951" s="303" t="s">
        <v>232</v>
      </c>
    </row>
    <row r="33952" spans="119:119" x14ac:dyDescent="0.2">
      <c r="DO33952" s="303" t="s">
        <v>232</v>
      </c>
    </row>
    <row r="33953" spans="119:119" x14ac:dyDescent="0.2">
      <c r="DO33953" s="303" t="s">
        <v>232</v>
      </c>
    </row>
    <row r="33954" spans="119:119" x14ac:dyDescent="0.2">
      <c r="DO33954" s="303" t="s">
        <v>232</v>
      </c>
    </row>
    <row r="33955" spans="119:119" x14ac:dyDescent="0.2">
      <c r="DO33955" s="303" t="s">
        <v>232</v>
      </c>
    </row>
    <row r="33956" spans="119:119" x14ac:dyDescent="0.2">
      <c r="DO33956" s="303" t="s">
        <v>232</v>
      </c>
    </row>
    <row r="33957" spans="119:119" x14ac:dyDescent="0.2">
      <c r="DO33957" s="303" t="s">
        <v>232</v>
      </c>
    </row>
    <row r="33958" spans="119:119" x14ac:dyDescent="0.2">
      <c r="DO33958" s="303" t="s">
        <v>232</v>
      </c>
    </row>
    <row r="33959" spans="119:119" x14ac:dyDescent="0.2">
      <c r="DO33959" s="303" t="s">
        <v>232</v>
      </c>
    </row>
    <row r="33960" spans="119:119" x14ac:dyDescent="0.2">
      <c r="DO33960" s="303" t="s">
        <v>232</v>
      </c>
    </row>
    <row r="33961" spans="119:119" x14ac:dyDescent="0.2">
      <c r="DO33961" s="303" t="s">
        <v>232</v>
      </c>
    </row>
    <row r="33962" spans="119:119" x14ac:dyDescent="0.2">
      <c r="DO33962" s="303" t="s">
        <v>232</v>
      </c>
    </row>
    <row r="33963" spans="119:119" x14ac:dyDescent="0.2">
      <c r="DO33963" s="303" t="s">
        <v>232</v>
      </c>
    </row>
    <row r="33964" spans="119:119" x14ac:dyDescent="0.2">
      <c r="DO33964" s="303" t="s">
        <v>232</v>
      </c>
    </row>
    <row r="33965" spans="119:119" x14ac:dyDescent="0.2">
      <c r="DO33965" s="303" t="s">
        <v>232</v>
      </c>
    </row>
    <row r="33966" spans="119:119" x14ac:dyDescent="0.2">
      <c r="DO33966" s="303" t="s">
        <v>232</v>
      </c>
    </row>
    <row r="33967" spans="119:119" x14ac:dyDescent="0.2">
      <c r="DO33967" s="303" t="s">
        <v>232</v>
      </c>
    </row>
    <row r="33968" spans="119:119" x14ac:dyDescent="0.2">
      <c r="DO33968" s="303" t="s">
        <v>232</v>
      </c>
    </row>
    <row r="33969" spans="119:119" x14ac:dyDescent="0.2">
      <c r="DO33969" s="303" t="s">
        <v>232</v>
      </c>
    </row>
    <row r="33970" spans="119:119" x14ac:dyDescent="0.2">
      <c r="DO33970" s="303" t="s">
        <v>232</v>
      </c>
    </row>
    <row r="33971" spans="119:119" x14ac:dyDescent="0.2">
      <c r="DO33971" s="303" t="s">
        <v>232</v>
      </c>
    </row>
    <row r="33972" spans="119:119" x14ac:dyDescent="0.2">
      <c r="DO33972" s="303" t="s">
        <v>232</v>
      </c>
    </row>
    <row r="33973" spans="119:119" x14ac:dyDescent="0.2">
      <c r="DO33973" s="303" t="s">
        <v>232</v>
      </c>
    </row>
    <row r="33974" spans="119:119" x14ac:dyDescent="0.2">
      <c r="DO33974" s="303" t="s">
        <v>232</v>
      </c>
    </row>
    <row r="33975" spans="119:119" x14ac:dyDescent="0.2">
      <c r="DO33975" s="303" t="s">
        <v>232</v>
      </c>
    </row>
    <row r="33976" spans="119:119" x14ac:dyDescent="0.2">
      <c r="DO33976" s="303" t="s">
        <v>232</v>
      </c>
    </row>
    <row r="33977" spans="119:119" x14ac:dyDescent="0.2">
      <c r="DO33977" s="303" t="s">
        <v>232</v>
      </c>
    </row>
    <row r="33978" spans="119:119" x14ac:dyDescent="0.2">
      <c r="DO33978" s="303" t="s">
        <v>232</v>
      </c>
    </row>
    <row r="33979" spans="119:119" x14ac:dyDescent="0.2">
      <c r="DO33979" s="303" t="s">
        <v>232</v>
      </c>
    </row>
    <row r="33980" spans="119:119" x14ac:dyDescent="0.2">
      <c r="DO33980" s="303" t="s">
        <v>232</v>
      </c>
    </row>
    <row r="33981" spans="119:119" x14ac:dyDescent="0.2">
      <c r="DO33981" s="303" t="s">
        <v>232</v>
      </c>
    </row>
    <row r="33982" spans="119:119" x14ac:dyDescent="0.2">
      <c r="DO33982" s="303" t="s">
        <v>232</v>
      </c>
    </row>
    <row r="33983" spans="119:119" x14ac:dyDescent="0.2">
      <c r="DO33983" s="303" t="s">
        <v>232</v>
      </c>
    </row>
    <row r="33984" spans="119:119" x14ac:dyDescent="0.2">
      <c r="DO33984" s="303" t="s">
        <v>232</v>
      </c>
    </row>
    <row r="33985" spans="119:119" x14ac:dyDescent="0.2">
      <c r="DO33985" s="303" t="s">
        <v>232</v>
      </c>
    </row>
    <row r="33986" spans="119:119" x14ac:dyDescent="0.2">
      <c r="DO33986" s="303" t="s">
        <v>232</v>
      </c>
    </row>
    <row r="33987" spans="119:119" x14ac:dyDescent="0.2">
      <c r="DO33987" s="303" t="s">
        <v>232</v>
      </c>
    </row>
    <row r="33988" spans="119:119" x14ac:dyDescent="0.2">
      <c r="DO33988" s="303" t="s">
        <v>232</v>
      </c>
    </row>
    <row r="33989" spans="119:119" x14ac:dyDescent="0.2">
      <c r="DO33989" s="303" t="s">
        <v>232</v>
      </c>
    </row>
    <row r="33990" spans="119:119" x14ac:dyDescent="0.2">
      <c r="DO33990" s="303" t="s">
        <v>232</v>
      </c>
    </row>
    <row r="33991" spans="119:119" x14ac:dyDescent="0.2">
      <c r="DO33991" s="303" t="s">
        <v>232</v>
      </c>
    </row>
    <row r="33992" spans="119:119" x14ac:dyDescent="0.2">
      <c r="DO33992" s="303" t="s">
        <v>232</v>
      </c>
    </row>
    <row r="33993" spans="119:119" x14ac:dyDescent="0.2">
      <c r="DO33993" s="303" t="s">
        <v>232</v>
      </c>
    </row>
    <row r="33994" spans="119:119" x14ac:dyDescent="0.2">
      <c r="DO33994" s="303" t="s">
        <v>232</v>
      </c>
    </row>
    <row r="33995" spans="119:119" x14ac:dyDescent="0.2">
      <c r="DO33995" s="303" t="s">
        <v>232</v>
      </c>
    </row>
    <row r="33996" spans="119:119" x14ac:dyDescent="0.2">
      <c r="DO33996" s="303" t="s">
        <v>232</v>
      </c>
    </row>
    <row r="33997" spans="119:119" x14ac:dyDescent="0.2">
      <c r="DO33997" s="303" t="s">
        <v>232</v>
      </c>
    </row>
    <row r="33998" spans="119:119" x14ac:dyDescent="0.2">
      <c r="DO33998" s="303" t="s">
        <v>232</v>
      </c>
    </row>
    <row r="33999" spans="119:119" x14ac:dyDescent="0.2">
      <c r="DO33999" s="303" t="s">
        <v>232</v>
      </c>
    </row>
    <row r="34000" spans="119:119" x14ac:dyDescent="0.2">
      <c r="DO34000" s="303" t="s">
        <v>232</v>
      </c>
    </row>
    <row r="34001" spans="119:119" x14ac:dyDescent="0.2">
      <c r="DO34001" s="303" t="s">
        <v>232</v>
      </c>
    </row>
    <row r="34002" spans="119:119" x14ac:dyDescent="0.2">
      <c r="DO34002" s="303" t="s">
        <v>232</v>
      </c>
    </row>
    <row r="34003" spans="119:119" x14ac:dyDescent="0.2">
      <c r="DO34003" s="303" t="s">
        <v>232</v>
      </c>
    </row>
    <row r="34004" spans="119:119" x14ac:dyDescent="0.2">
      <c r="DO34004" s="303" t="s">
        <v>232</v>
      </c>
    </row>
    <row r="34005" spans="119:119" x14ac:dyDescent="0.2">
      <c r="DO34005" s="303" t="s">
        <v>232</v>
      </c>
    </row>
    <row r="34006" spans="119:119" x14ac:dyDescent="0.2">
      <c r="DO34006" s="303" t="s">
        <v>232</v>
      </c>
    </row>
    <row r="34007" spans="119:119" x14ac:dyDescent="0.2">
      <c r="DO34007" s="303" t="s">
        <v>232</v>
      </c>
    </row>
    <row r="34008" spans="119:119" x14ac:dyDescent="0.2">
      <c r="DO34008" s="303" t="s">
        <v>232</v>
      </c>
    </row>
    <row r="34009" spans="119:119" x14ac:dyDescent="0.2">
      <c r="DO34009" s="303" t="s">
        <v>232</v>
      </c>
    </row>
    <row r="34010" spans="119:119" x14ac:dyDescent="0.2">
      <c r="DO34010" s="303" t="s">
        <v>232</v>
      </c>
    </row>
    <row r="34011" spans="119:119" x14ac:dyDescent="0.2">
      <c r="DO34011" s="303" t="s">
        <v>232</v>
      </c>
    </row>
    <row r="34012" spans="119:119" x14ac:dyDescent="0.2">
      <c r="DO34012" s="303" t="s">
        <v>232</v>
      </c>
    </row>
    <row r="34013" spans="119:119" x14ac:dyDescent="0.2">
      <c r="DO34013" s="303" t="s">
        <v>232</v>
      </c>
    </row>
    <row r="34014" spans="119:119" x14ac:dyDescent="0.2">
      <c r="DO34014" s="303" t="s">
        <v>232</v>
      </c>
    </row>
    <row r="34015" spans="119:119" x14ac:dyDescent="0.2">
      <c r="DO34015" s="303" t="s">
        <v>232</v>
      </c>
    </row>
    <row r="34016" spans="119:119" x14ac:dyDescent="0.2">
      <c r="DO34016" s="303" t="s">
        <v>232</v>
      </c>
    </row>
    <row r="34017" spans="119:119" x14ac:dyDescent="0.2">
      <c r="DO34017" s="303" t="s">
        <v>232</v>
      </c>
    </row>
    <row r="34018" spans="119:119" x14ac:dyDescent="0.2">
      <c r="DO34018" s="303" t="s">
        <v>232</v>
      </c>
    </row>
    <row r="34019" spans="119:119" x14ac:dyDescent="0.2">
      <c r="DO34019" s="303" t="s">
        <v>232</v>
      </c>
    </row>
    <row r="34020" spans="119:119" x14ac:dyDescent="0.2">
      <c r="DO34020" s="303" t="s">
        <v>232</v>
      </c>
    </row>
    <row r="34021" spans="119:119" x14ac:dyDescent="0.2">
      <c r="DO34021" s="303" t="s">
        <v>232</v>
      </c>
    </row>
    <row r="34022" spans="119:119" x14ac:dyDescent="0.2">
      <c r="DO34022" s="303" t="s">
        <v>232</v>
      </c>
    </row>
    <row r="34023" spans="119:119" x14ac:dyDescent="0.2">
      <c r="DO34023" s="303" t="s">
        <v>232</v>
      </c>
    </row>
    <row r="34024" spans="119:119" x14ac:dyDescent="0.2">
      <c r="DO34024" s="303" t="s">
        <v>232</v>
      </c>
    </row>
    <row r="34025" spans="119:119" x14ac:dyDescent="0.2">
      <c r="DO34025" s="303" t="s">
        <v>232</v>
      </c>
    </row>
    <row r="34026" spans="119:119" x14ac:dyDescent="0.2">
      <c r="DO34026" s="303" t="s">
        <v>232</v>
      </c>
    </row>
    <row r="34027" spans="119:119" x14ac:dyDescent="0.2">
      <c r="DO34027" s="303" t="s">
        <v>232</v>
      </c>
    </row>
    <row r="34028" spans="119:119" x14ac:dyDescent="0.2">
      <c r="DO34028" s="303" t="s">
        <v>232</v>
      </c>
    </row>
    <row r="34029" spans="119:119" x14ac:dyDescent="0.2">
      <c r="DO34029" s="303" t="s">
        <v>232</v>
      </c>
    </row>
    <row r="34030" spans="119:119" x14ac:dyDescent="0.2">
      <c r="DO34030" s="303" t="s">
        <v>232</v>
      </c>
    </row>
    <row r="34031" spans="119:119" x14ac:dyDescent="0.2">
      <c r="DO34031" s="303" t="s">
        <v>232</v>
      </c>
    </row>
    <row r="34032" spans="119:119" x14ac:dyDescent="0.2">
      <c r="DO34032" s="303" t="s">
        <v>232</v>
      </c>
    </row>
    <row r="34033" spans="119:119" x14ac:dyDescent="0.2">
      <c r="DO34033" s="303" t="s">
        <v>232</v>
      </c>
    </row>
    <row r="34034" spans="119:119" x14ac:dyDescent="0.2">
      <c r="DO34034" s="303" t="s">
        <v>232</v>
      </c>
    </row>
    <row r="34035" spans="119:119" x14ac:dyDescent="0.2">
      <c r="DO34035" s="303" t="s">
        <v>232</v>
      </c>
    </row>
    <row r="34036" spans="119:119" x14ac:dyDescent="0.2">
      <c r="DO34036" s="303" t="s">
        <v>232</v>
      </c>
    </row>
    <row r="34037" spans="119:119" x14ac:dyDescent="0.2">
      <c r="DO34037" s="303" t="s">
        <v>232</v>
      </c>
    </row>
    <row r="34038" spans="119:119" x14ac:dyDescent="0.2">
      <c r="DO34038" s="303" t="s">
        <v>232</v>
      </c>
    </row>
    <row r="34039" spans="119:119" x14ac:dyDescent="0.2">
      <c r="DO34039" s="303" t="s">
        <v>232</v>
      </c>
    </row>
    <row r="34040" spans="119:119" x14ac:dyDescent="0.2">
      <c r="DO34040" s="303" t="s">
        <v>232</v>
      </c>
    </row>
    <row r="34041" spans="119:119" x14ac:dyDescent="0.2">
      <c r="DO34041" s="303" t="s">
        <v>232</v>
      </c>
    </row>
    <row r="34042" spans="119:119" x14ac:dyDescent="0.2">
      <c r="DO34042" s="303" t="s">
        <v>232</v>
      </c>
    </row>
    <row r="34043" spans="119:119" x14ac:dyDescent="0.2">
      <c r="DO34043" s="303" t="s">
        <v>232</v>
      </c>
    </row>
    <row r="34044" spans="119:119" x14ac:dyDescent="0.2">
      <c r="DO34044" s="303" t="s">
        <v>232</v>
      </c>
    </row>
    <row r="34045" spans="119:119" x14ac:dyDescent="0.2">
      <c r="DO34045" s="303" t="s">
        <v>232</v>
      </c>
    </row>
    <row r="34046" spans="119:119" x14ac:dyDescent="0.2">
      <c r="DO34046" s="303" t="s">
        <v>232</v>
      </c>
    </row>
    <row r="34047" spans="119:119" x14ac:dyDescent="0.2">
      <c r="DO34047" s="303" t="s">
        <v>232</v>
      </c>
    </row>
    <row r="34048" spans="119:119" x14ac:dyDescent="0.2">
      <c r="DO34048" s="303" t="s">
        <v>232</v>
      </c>
    </row>
    <row r="34049" spans="119:119" x14ac:dyDescent="0.2">
      <c r="DO34049" s="303" t="s">
        <v>232</v>
      </c>
    </row>
    <row r="34050" spans="119:119" x14ac:dyDescent="0.2">
      <c r="DO34050" s="303" t="s">
        <v>232</v>
      </c>
    </row>
    <row r="34051" spans="119:119" x14ac:dyDescent="0.2">
      <c r="DO34051" s="303" t="s">
        <v>232</v>
      </c>
    </row>
    <row r="34052" spans="119:119" x14ac:dyDescent="0.2">
      <c r="DO34052" s="303" t="s">
        <v>232</v>
      </c>
    </row>
    <row r="34053" spans="119:119" x14ac:dyDescent="0.2">
      <c r="DO34053" s="303" t="s">
        <v>232</v>
      </c>
    </row>
    <row r="34054" spans="119:119" x14ac:dyDescent="0.2">
      <c r="DO34054" s="303" t="s">
        <v>232</v>
      </c>
    </row>
    <row r="34055" spans="119:119" x14ac:dyDescent="0.2">
      <c r="DO34055" s="303" t="s">
        <v>232</v>
      </c>
    </row>
    <row r="34056" spans="119:119" x14ac:dyDescent="0.2">
      <c r="DO34056" s="303" t="s">
        <v>232</v>
      </c>
    </row>
    <row r="34057" spans="119:119" x14ac:dyDescent="0.2">
      <c r="DO34057" s="303" t="s">
        <v>232</v>
      </c>
    </row>
    <row r="34058" spans="119:119" x14ac:dyDescent="0.2">
      <c r="DO34058" s="303" t="s">
        <v>232</v>
      </c>
    </row>
    <row r="34059" spans="119:119" x14ac:dyDescent="0.2">
      <c r="DO34059" s="303" t="s">
        <v>232</v>
      </c>
    </row>
    <row r="34060" spans="119:119" x14ac:dyDescent="0.2">
      <c r="DO34060" s="303" t="s">
        <v>232</v>
      </c>
    </row>
    <row r="34061" spans="119:119" x14ac:dyDescent="0.2">
      <c r="DO34061" s="303" t="s">
        <v>232</v>
      </c>
    </row>
    <row r="34062" spans="119:119" x14ac:dyDescent="0.2">
      <c r="DO34062" s="303" t="s">
        <v>232</v>
      </c>
    </row>
    <row r="34063" spans="119:119" x14ac:dyDescent="0.2">
      <c r="DO34063" s="303" t="s">
        <v>232</v>
      </c>
    </row>
    <row r="34064" spans="119:119" x14ac:dyDescent="0.2">
      <c r="DO34064" s="303" t="s">
        <v>232</v>
      </c>
    </row>
    <row r="34065" spans="119:119" x14ac:dyDescent="0.2">
      <c r="DO34065" s="303" t="s">
        <v>232</v>
      </c>
    </row>
    <row r="34066" spans="119:119" x14ac:dyDescent="0.2">
      <c r="DO34066" s="303" t="s">
        <v>232</v>
      </c>
    </row>
    <row r="34067" spans="119:119" x14ac:dyDescent="0.2">
      <c r="DO34067" s="303" t="s">
        <v>232</v>
      </c>
    </row>
    <row r="34068" spans="119:119" x14ac:dyDescent="0.2">
      <c r="DO34068" s="303" t="s">
        <v>232</v>
      </c>
    </row>
    <row r="34069" spans="119:119" x14ac:dyDescent="0.2">
      <c r="DO34069" s="303" t="s">
        <v>232</v>
      </c>
    </row>
    <row r="34070" spans="119:119" x14ac:dyDescent="0.2">
      <c r="DO34070" s="303" t="s">
        <v>232</v>
      </c>
    </row>
    <row r="34071" spans="119:119" x14ac:dyDescent="0.2">
      <c r="DO34071" s="303" t="s">
        <v>232</v>
      </c>
    </row>
    <row r="34072" spans="119:119" x14ac:dyDescent="0.2">
      <c r="DO34072" s="303" t="s">
        <v>232</v>
      </c>
    </row>
    <row r="34073" spans="119:119" x14ac:dyDescent="0.2">
      <c r="DO34073" s="303" t="s">
        <v>232</v>
      </c>
    </row>
    <row r="34074" spans="119:119" x14ac:dyDescent="0.2">
      <c r="DO34074" s="303" t="s">
        <v>232</v>
      </c>
    </row>
    <row r="34075" spans="119:119" x14ac:dyDescent="0.2">
      <c r="DO34075" s="303" t="s">
        <v>232</v>
      </c>
    </row>
    <row r="34076" spans="119:119" x14ac:dyDescent="0.2">
      <c r="DO34076" s="303" t="s">
        <v>232</v>
      </c>
    </row>
    <row r="34077" spans="119:119" x14ac:dyDescent="0.2">
      <c r="DO34077" s="303" t="s">
        <v>232</v>
      </c>
    </row>
    <row r="34078" spans="119:119" x14ac:dyDescent="0.2">
      <c r="DO34078" s="303" t="s">
        <v>232</v>
      </c>
    </row>
    <row r="34079" spans="119:119" x14ac:dyDescent="0.2">
      <c r="DO34079" s="303" t="s">
        <v>232</v>
      </c>
    </row>
    <row r="34080" spans="119:119" x14ac:dyDescent="0.2">
      <c r="DO34080" s="303" t="s">
        <v>232</v>
      </c>
    </row>
    <row r="34081" spans="119:119" x14ac:dyDescent="0.2">
      <c r="DO34081" s="303" t="s">
        <v>232</v>
      </c>
    </row>
    <row r="34082" spans="119:119" x14ac:dyDescent="0.2">
      <c r="DO34082" s="303" t="s">
        <v>232</v>
      </c>
    </row>
    <row r="34083" spans="119:119" x14ac:dyDescent="0.2">
      <c r="DO34083" s="303" t="s">
        <v>232</v>
      </c>
    </row>
    <row r="34084" spans="119:119" x14ac:dyDescent="0.2">
      <c r="DO34084" s="303" t="s">
        <v>232</v>
      </c>
    </row>
    <row r="34085" spans="119:119" x14ac:dyDescent="0.2">
      <c r="DO34085" s="303" t="s">
        <v>232</v>
      </c>
    </row>
    <row r="34086" spans="119:119" x14ac:dyDescent="0.2">
      <c r="DO34086" s="303" t="s">
        <v>232</v>
      </c>
    </row>
    <row r="34087" spans="119:119" x14ac:dyDescent="0.2">
      <c r="DO34087" s="303" t="s">
        <v>232</v>
      </c>
    </row>
    <row r="34088" spans="119:119" x14ac:dyDescent="0.2">
      <c r="DO34088" s="303" t="s">
        <v>232</v>
      </c>
    </row>
    <row r="34089" spans="119:119" x14ac:dyDescent="0.2">
      <c r="DO34089" s="303" t="s">
        <v>232</v>
      </c>
    </row>
    <row r="34090" spans="119:119" x14ac:dyDescent="0.2">
      <c r="DO34090" s="303" t="s">
        <v>232</v>
      </c>
    </row>
    <row r="34091" spans="119:119" x14ac:dyDescent="0.2">
      <c r="DO34091" s="303" t="s">
        <v>232</v>
      </c>
    </row>
    <row r="34092" spans="119:119" x14ac:dyDescent="0.2">
      <c r="DO34092" s="303" t="s">
        <v>232</v>
      </c>
    </row>
    <row r="34093" spans="119:119" x14ac:dyDescent="0.2">
      <c r="DO34093" s="303" t="s">
        <v>232</v>
      </c>
    </row>
    <row r="34094" spans="119:119" x14ac:dyDescent="0.2">
      <c r="DO34094" s="303" t="s">
        <v>232</v>
      </c>
    </row>
    <row r="34095" spans="119:119" x14ac:dyDescent="0.2">
      <c r="DO34095" s="303" t="s">
        <v>232</v>
      </c>
    </row>
    <row r="34096" spans="119:119" x14ac:dyDescent="0.2">
      <c r="DO34096" s="303" t="s">
        <v>232</v>
      </c>
    </row>
    <row r="34097" spans="119:119" x14ac:dyDescent="0.2">
      <c r="DO34097" s="303" t="s">
        <v>232</v>
      </c>
    </row>
    <row r="34098" spans="119:119" x14ac:dyDescent="0.2">
      <c r="DO34098" s="303" t="s">
        <v>232</v>
      </c>
    </row>
    <row r="34099" spans="119:119" x14ac:dyDescent="0.2">
      <c r="DO34099" s="303" t="s">
        <v>232</v>
      </c>
    </row>
    <row r="34100" spans="119:119" x14ac:dyDescent="0.2">
      <c r="DO34100" s="303" t="s">
        <v>232</v>
      </c>
    </row>
    <row r="34101" spans="119:119" x14ac:dyDescent="0.2">
      <c r="DO34101" s="303" t="s">
        <v>232</v>
      </c>
    </row>
    <row r="34102" spans="119:119" x14ac:dyDescent="0.2">
      <c r="DO34102" s="303" t="s">
        <v>232</v>
      </c>
    </row>
    <row r="34103" spans="119:119" x14ac:dyDescent="0.2">
      <c r="DO34103" s="303" t="s">
        <v>232</v>
      </c>
    </row>
    <row r="34104" spans="119:119" x14ac:dyDescent="0.2">
      <c r="DO34104" s="303" t="s">
        <v>232</v>
      </c>
    </row>
    <row r="34105" spans="119:119" x14ac:dyDescent="0.2">
      <c r="DO34105" s="303" t="s">
        <v>232</v>
      </c>
    </row>
    <row r="34106" spans="119:119" x14ac:dyDescent="0.2">
      <c r="DO34106" s="303" t="s">
        <v>232</v>
      </c>
    </row>
    <row r="34107" spans="119:119" x14ac:dyDescent="0.2">
      <c r="DO34107" s="303" t="s">
        <v>232</v>
      </c>
    </row>
    <row r="34108" spans="119:119" x14ac:dyDescent="0.2">
      <c r="DO34108" s="303" t="s">
        <v>232</v>
      </c>
    </row>
    <row r="34109" spans="119:119" x14ac:dyDescent="0.2">
      <c r="DO34109" s="303" t="s">
        <v>232</v>
      </c>
    </row>
    <row r="34110" spans="119:119" x14ac:dyDescent="0.2">
      <c r="DO34110" s="303" t="s">
        <v>232</v>
      </c>
    </row>
    <row r="34111" spans="119:119" x14ac:dyDescent="0.2">
      <c r="DO34111" s="303" t="s">
        <v>232</v>
      </c>
    </row>
    <row r="34112" spans="119:119" x14ac:dyDescent="0.2">
      <c r="DO34112" s="303" t="s">
        <v>232</v>
      </c>
    </row>
    <row r="34113" spans="119:119" x14ac:dyDescent="0.2">
      <c r="DO34113" s="303" t="s">
        <v>232</v>
      </c>
    </row>
    <row r="34114" spans="119:119" x14ac:dyDescent="0.2">
      <c r="DO34114" s="303" t="s">
        <v>232</v>
      </c>
    </row>
    <row r="34115" spans="119:119" x14ac:dyDescent="0.2">
      <c r="DO34115" s="303" t="s">
        <v>232</v>
      </c>
    </row>
    <row r="34116" spans="119:119" x14ac:dyDescent="0.2">
      <c r="DO34116" s="303" t="s">
        <v>232</v>
      </c>
    </row>
    <row r="34117" spans="119:119" x14ac:dyDescent="0.2">
      <c r="DO34117" s="303" t="s">
        <v>232</v>
      </c>
    </row>
    <row r="34118" spans="119:119" x14ac:dyDescent="0.2">
      <c r="DO34118" s="303" t="s">
        <v>232</v>
      </c>
    </row>
    <row r="34119" spans="119:119" x14ac:dyDescent="0.2">
      <c r="DO34119" s="303" t="s">
        <v>232</v>
      </c>
    </row>
    <row r="34120" spans="119:119" x14ac:dyDescent="0.2">
      <c r="DO34120" s="303" t="s">
        <v>232</v>
      </c>
    </row>
    <row r="34121" spans="119:119" x14ac:dyDescent="0.2">
      <c r="DO34121" s="303" t="s">
        <v>232</v>
      </c>
    </row>
    <row r="34122" spans="119:119" x14ac:dyDescent="0.2">
      <c r="DO34122" s="303" t="s">
        <v>232</v>
      </c>
    </row>
    <row r="34123" spans="119:119" x14ac:dyDescent="0.2">
      <c r="DO34123" s="303" t="s">
        <v>232</v>
      </c>
    </row>
    <row r="34124" spans="119:119" x14ac:dyDescent="0.2">
      <c r="DO34124" s="303" t="s">
        <v>232</v>
      </c>
    </row>
    <row r="34125" spans="119:119" x14ac:dyDescent="0.2">
      <c r="DO34125" s="303" t="s">
        <v>232</v>
      </c>
    </row>
    <row r="34126" spans="119:119" x14ac:dyDescent="0.2">
      <c r="DO34126" s="303" t="s">
        <v>232</v>
      </c>
    </row>
    <row r="34127" spans="119:119" x14ac:dyDescent="0.2">
      <c r="DO34127" s="303" t="s">
        <v>232</v>
      </c>
    </row>
    <row r="34128" spans="119:119" x14ac:dyDescent="0.2">
      <c r="DO34128" s="303" t="s">
        <v>232</v>
      </c>
    </row>
    <row r="34129" spans="119:119" x14ac:dyDescent="0.2">
      <c r="DO34129" s="303" t="s">
        <v>232</v>
      </c>
    </row>
    <row r="34130" spans="119:119" x14ac:dyDescent="0.2">
      <c r="DO34130" s="303" t="s">
        <v>232</v>
      </c>
    </row>
    <row r="34131" spans="119:119" x14ac:dyDescent="0.2">
      <c r="DO34131" s="303" t="s">
        <v>232</v>
      </c>
    </row>
    <row r="34132" spans="119:119" x14ac:dyDescent="0.2">
      <c r="DO34132" s="303" t="s">
        <v>232</v>
      </c>
    </row>
    <row r="34133" spans="119:119" x14ac:dyDescent="0.2">
      <c r="DO34133" s="303" t="s">
        <v>232</v>
      </c>
    </row>
    <row r="34134" spans="119:119" x14ac:dyDescent="0.2">
      <c r="DO34134" s="303" t="s">
        <v>232</v>
      </c>
    </row>
    <row r="34135" spans="119:119" x14ac:dyDescent="0.2">
      <c r="DO34135" s="303" t="s">
        <v>232</v>
      </c>
    </row>
    <row r="34136" spans="119:119" x14ac:dyDescent="0.2">
      <c r="DO34136" s="303" t="s">
        <v>232</v>
      </c>
    </row>
    <row r="34137" spans="119:119" x14ac:dyDescent="0.2">
      <c r="DO34137" s="303" t="s">
        <v>232</v>
      </c>
    </row>
    <row r="34138" spans="119:119" x14ac:dyDescent="0.2">
      <c r="DO34138" s="303" t="s">
        <v>232</v>
      </c>
    </row>
    <row r="34139" spans="119:119" x14ac:dyDescent="0.2">
      <c r="DO34139" s="303" t="s">
        <v>232</v>
      </c>
    </row>
    <row r="34140" spans="119:119" x14ac:dyDescent="0.2">
      <c r="DO34140" s="303" t="s">
        <v>232</v>
      </c>
    </row>
    <row r="34141" spans="119:119" x14ac:dyDescent="0.2">
      <c r="DO34141" s="303" t="s">
        <v>232</v>
      </c>
    </row>
    <row r="34142" spans="119:119" x14ac:dyDescent="0.2">
      <c r="DO34142" s="303" t="s">
        <v>232</v>
      </c>
    </row>
    <row r="34143" spans="119:119" x14ac:dyDescent="0.2">
      <c r="DO34143" s="303" t="s">
        <v>232</v>
      </c>
    </row>
    <row r="34144" spans="119:119" x14ac:dyDescent="0.2">
      <c r="DO34144" s="303" t="s">
        <v>232</v>
      </c>
    </row>
    <row r="34145" spans="119:119" x14ac:dyDescent="0.2">
      <c r="DO34145" s="303" t="s">
        <v>232</v>
      </c>
    </row>
    <row r="34146" spans="119:119" x14ac:dyDescent="0.2">
      <c r="DO34146" s="303" t="s">
        <v>232</v>
      </c>
    </row>
    <row r="34147" spans="119:119" x14ac:dyDescent="0.2">
      <c r="DO34147" s="303" t="s">
        <v>232</v>
      </c>
    </row>
    <row r="34148" spans="119:119" x14ac:dyDescent="0.2">
      <c r="DO34148" s="303" t="s">
        <v>232</v>
      </c>
    </row>
    <row r="34149" spans="119:119" x14ac:dyDescent="0.2">
      <c r="DO34149" s="303" t="s">
        <v>232</v>
      </c>
    </row>
    <row r="34150" spans="119:119" x14ac:dyDescent="0.2">
      <c r="DO34150" s="303" t="s">
        <v>232</v>
      </c>
    </row>
    <row r="34151" spans="119:119" x14ac:dyDescent="0.2">
      <c r="DO34151" s="303" t="s">
        <v>232</v>
      </c>
    </row>
    <row r="34152" spans="119:119" x14ac:dyDescent="0.2">
      <c r="DO34152" s="303" t="s">
        <v>232</v>
      </c>
    </row>
    <row r="34153" spans="119:119" x14ac:dyDescent="0.2">
      <c r="DO34153" s="303" t="s">
        <v>232</v>
      </c>
    </row>
    <row r="34154" spans="119:119" x14ac:dyDescent="0.2">
      <c r="DO34154" s="303" t="s">
        <v>232</v>
      </c>
    </row>
    <row r="34155" spans="119:119" x14ac:dyDescent="0.2">
      <c r="DO34155" s="303" t="s">
        <v>232</v>
      </c>
    </row>
    <row r="34156" spans="119:119" x14ac:dyDescent="0.2">
      <c r="DO34156" s="303" t="s">
        <v>232</v>
      </c>
    </row>
    <row r="34157" spans="119:119" x14ac:dyDescent="0.2">
      <c r="DO34157" s="303" t="s">
        <v>232</v>
      </c>
    </row>
    <row r="34158" spans="119:119" x14ac:dyDescent="0.2">
      <c r="DO34158" s="303" t="s">
        <v>232</v>
      </c>
    </row>
    <row r="34159" spans="119:119" x14ac:dyDescent="0.2">
      <c r="DO34159" s="303" t="s">
        <v>232</v>
      </c>
    </row>
    <row r="34160" spans="119:119" x14ac:dyDescent="0.2">
      <c r="DO34160" s="303" t="s">
        <v>232</v>
      </c>
    </row>
    <row r="34161" spans="119:119" x14ac:dyDescent="0.2">
      <c r="DO34161" s="303" t="s">
        <v>232</v>
      </c>
    </row>
    <row r="34162" spans="119:119" x14ac:dyDescent="0.2">
      <c r="DO34162" s="303" t="s">
        <v>232</v>
      </c>
    </row>
    <row r="34163" spans="119:119" x14ac:dyDescent="0.2">
      <c r="DO34163" s="303" t="s">
        <v>232</v>
      </c>
    </row>
    <row r="34164" spans="119:119" x14ac:dyDescent="0.2">
      <c r="DO34164" s="303" t="s">
        <v>232</v>
      </c>
    </row>
    <row r="34165" spans="119:119" x14ac:dyDescent="0.2">
      <c r="DO34165" s="303" t="s">
        <v>232</v>
      </c>
    </row>
    <row r="34166" spans="119:119" x14ac:dyDescent="0.2">
      <c r="DO34166" s="303" t="s">
        <v>232</v>
      </c>
    </row>
    <row r="34167" spans="119:119" x14ac:dyDescent="0.2">
      <c r="DO34167" s="303" t="s">
        <v>232</v>
      </c>
    </row>
    <row r="34168" spans="119:119" x14ac:dyDescent="0.2">
      <c r="DO34168" s="303" t="s">
        <v>232</v>
      </c>
    </row>
    <row r="34169" spans="119:119" x14ac:dyDescent="0.2">
      <c r="DO34169" s="303" t="s">
        <v>232</v>
      </c>
    </row>
    <row r="34170" spans="119:119" x14ac:dyDescent="0.2">
      <c r="DO34170" s="303" t="s">
        <v>232</v>
      </c>
    </row>
    <row r="34171" spans="119:119" x14ac:dyDescent="0.2">
      <c r="DO34171" s="303" t="s">
        <v>232</v>
      </c>
    </row>
    <row r="34172" spans="119:119" x14ac:dyDescent="0.2">
      <c r="DO34172" s="303" t="s">
        <v>232</v>
      </c>
    </row>
    <row r="34173" spans="119:119" x14ac:dyDescent="0.2">
      <c r="DO34173" s="303" t="s">
        <v>232</v>
      </c>
    </row>
    <row r="34174" spans="119:119" x14ac:dyDescent="0.2">
      <c r="DO34174" s="303" t="s">
        <v>232</v>
      </c>
    </row>
    <row r="34175" spans="119:119" x14ac:dyDescent="0.2">
      <c r="DO34175" s="303" t="s">
        <v>232</v>
      </c>
    </row>
    <row r="34176" spans="119:119" x14ac:dyDescent="0.2">
      <c r="DO34176" s="303" t="s">
        <v>232</v>
      </c>
    </row>
    <row r="34177" spans="119:119" x14ac:dyDescent="0.2">
      <c r="DO34177" s="303" t="s">
        <v>232</v>
      </c>
    </row>
    <row r="34178" spans="119:119" x14ac:dyDescent="0.2">
      <c r="DO34178" s="303" t="s">
        <v>232</v>
      </c>
    </row>
    <row r="34179" spans="119:119" x14ac:dyDescent="0.2">
      <c r="DO34179" s="303" t="s">
        <v>232</v>
      </c>
    </row>
    <row r="34180" spans="119:119" x14ac:dyDescent="0.2">
      <c r="DO34180" s="303" t="s">
        <v>232</v>
      </c>
    </row>
    <row r="34181" spans="119:119" x14ac:dyDescent="0.2">
      <c r="DO34181" s="303" t="s">
        <v>232</v>
      </c>
    </row>
    <row r="34182" spans="119:119" x14ac:dyDescent="0.2">
      <c r="DO34182" s="303" t="s">
        <v>232</v>
      </c>
    </row>
    <row r="34183" spans="119:119" x14ac:dyDescent="0.2">
      <c r="DO34183" s="303" t="s">
        <v>232</v>
      </c>
    </row>
    <row r="34184" spans="119:119" x14ac:dyDescent="0.2">
      <c r="DO34184" s="303" t="s">
        <v>232</v>
      </c>
    </row>
    <row r="34185" spans="119:119" x14ac:dyDescent="0.2">
      <c r="DO34185" s="303" t="s">
        <v>232</v>
      </c>
    </row>
    <row r="34186" spans="119:119" x14ac:dyDescent="0.2">
      <c r="DO34186" s="303" t="s">
        <v>232</v>
      </c>
    </row>
    <row r="34187" spans="119:119" x14ac:dyDescent="0.2">
      <c r="DO34187" s="303" t="s">
        <v>232</v>
      </c>
    </row>
    <row r="34188" spans="119:119" x14ac:dyDescent="0.2">
      <c r="DO34188" s="303" t="s">
        <v>232</v>
      </c>
    </row>
    <row r="34189" spans="119:119" x14ac:dyDescent="0.2">
      <c r="DO34189" s="303" t="s">
        <v>232</v>
      </c>
    </row>
    <row r="34190" spans="119:119" x14ac:dyDescent="0.2">
      <c r="DO34190" s="303" t="s">
        <v>232</v>
      </c>
    </row>
    <row r="34191" spans="119:119" x14ac:dyDescent="0.2">
      <c r="DO34191" s="303" t="s">
        <v>232</v>
      </c>
    </row>
    <row r="34192" spans="119:119" x14ac:dyDescent="0.2">
      <c r="DO34192" s="303" t="s">
        <v>232</v>
      </c>
    </row>
    <row r="34193" spans="119:119" x14ac:dyDescent="0.2">
      <c r="DO34193" s="303" t="s">
        <v>232</v>
      </c>
    </row>
    <row r="34194" spans="119:119" x14ac:dyDescent="0.2">
      <c r="DO34194" s="303" t="s">
        <v>232</v>
      </c>
    </row>
    <row r="34195" spans="119:119" x14ac:dyDescent="0.2">
      <c r="DO34195" s="303" t="s">
        <v>232</v>
      </c>
    </row>
    <row r="34196" spans="119:119" x14ac:dyDescent="0.2">
      <c r="DO34196" s="303" t="s">
        <v>232</v>
      </c>
    </row>
    <row r="34197" spans="119:119" x14ac:dyDescent="0.2">
      <c r="DO34197" s="303" t="s">
        <v>232</v>
      </c>
    </row>
    <row r="34198" spans="119:119" x14ac:dyDescent="0.2">
      <c r="DO34198" s="303" t="s">
        <v>232</v>
      </c>
    </row>
    <row r="34199" spans="119:119" x14ac:dyDescent="0.2">
      <c r="DO34199" s="303" t="s">
        <v>232</v>
      </c>
    </row>
    <row r="34200" spans="119:119" x14ac:dyDescent="0.2">
      <c r="DO34200" s="303" t="s">
        <v>232</v>
      </c>
    </row>
    <row r="34201" spans="119:119" x14ac:dyDescent="0.2">
      <c r="DO34201" s="303" t="s">
        <v>232</v>
      </c>
    </row>
    <row r="34202" spans="119:119" x14ac:dyDescent="0.2">
      <c r="DO34202" s="303" t="s">
        <v>232</v>
      </c>
    </row>
    <row r="34203" spans="119:119" x14ac:dyDescent="0.2">
      <c r="DO34203" s="303" t="s">
        <v>232</v>
      </c>
    </row>
    <row r="34204" spans="119:119" x14ac:dyDescent="0.2">
      <c r="DO34204" s="303" t="s">
        <v>232</v>
      </c>
    </row>
    <row r="34205" spans="119:119" x14ac:dyDescent="0.2">
      <c r="DO34205" s="303" t="s">
        <v>232</v>
      </c>
    </row>
    <row r="34206" spans="119:119" x14ac:dyDescent="0.2">
      <c r="DO34206" s="303" t="s">
        <v>232</v>
      </c>
    </row>
    <row r="34207" spans="119:119" x14ac:dyDescent="0.2">
      <c r="DO34207" s="303" t="s">
        <v>232</v>
      </c>
    </row>
    <row r="34208" spans="119:119" x14ac:dyDescent="0.2">
      <c r="DO34208" s="303" t="s">
        <v>232</v>
      </c>
    </row>
    <row r="34209" spans="119:119" x14ac:dyDescent="0.2">
      <c r="DO34209" s="303" t="s">
        <v>232</v>
      </c>
    </row>
    <row r="34210" spans="119:119" x14ac:dyDescent="0.2">
      <c r="DO34210" s="303" t="s">
        <v>232</v>
      </c>
    </row>
    <row r="34211" spans="119:119" x14ac:dyDescent="0.2">
      <c r="DO34211" s="303" t="s">
        <v>232</v>
      </c>
    </row>
    <row r="34212" spans="119:119" x14ac:dyDescent="0.2">
      <c r="DO34212" s="303" t="s">
        <v>232</v>
      </c>
    </row>
    <row r="34213" spans="119:119" x14ac:dyDescent="0.2">
      <c r="DO34213" s="303" t="s">
        <v>232</v>
      </c>
    </row>
    <row r="34214" spans="119:119" x14ac:dyDescent="0.2">
      <c r="DO34214" s="303" t="s">
        <v>232</v>
      </c>
    </row>
    <row r="34215" spans="119:119" x14ac:dyDescent="0.2">
      <c r="DO34215" s="303" t="s">
        <v>232</v>
      </c>
    </row>
    <row r="34216" spans="119:119" x14ac:dyDescent="0.2">
      <c r="DO34216" s="303" t="s">
        <v>232</v>
      </c>
    </row>
    <row r="34217" spans="119:119" x14ac:dyDescent="0.2">
      <c r="DO34217" s="303" t="s">
        <v>232</v>
      </c>
    </row>
    <row r="34218" spans="119:119" x14ac:dyDescent="0.2">
      <c r="DO34218" s="303" t="s">
        <v>232</v>
      </c>
    </row>
    <row r="34219" spans="119:119" x14ac:dyDescent="0.2">
      <c r="DO34219" s="303" t="s">
        <v>232</v>
      </c>
    </row>
    <row r="34220" spans="119:119" x14ac:dyDescent="0.2">
      <c r="DO34220" s="303" t="s">
        <v>232</v>
      </c>
    </row>
    <row r="34221" spans="119:119" x14ac:dyDescent="0.2">
      <c r="DO34221" s="303" t="s">
        <v>232</v>
      </c>
    </row>
    <row r="34222" spans="119:119" x14ac:dyDescent="0.2">
      <c r="DO34222" s="303" t="s">
        <v>232</v>
      </c>
    </row>
    <row r="34223" spans="119:119" x14ac:dyDescent="0.2">
      <c r="DO34223" s="303" t="s">
        <v>232</v>
      </c>
    </row>
    <row r="34224" spans="119:119" x14ac:dyDescent="0.2">
      <c r="DO34224" s="303" t="s">
        <v>232</v>
      </c>
    </row>
    <row r="34225" spans="119:119" x14ac:dyDescent="0.2">
      <c r="DO34225" s="303" t="s">
        <v>232</v>
      </c>
    </row>
    <row r="34226" spans="119:119" x14ac:dyDescent="0.2">
      <c r="DO34226" s="303" t="s">
        <v>232</v>
      </c>
    </row>
    <row r="34227" spans="119:119" x14ac:dyDescent="0.2">
      <c r="DO34227" s="303" t="s">
        <v>232</v>
      </c>
    </row>
    <row r="34228" spans="119:119" x14ac:dyDescent="0.2">
      <c r="DO34228" s="303" t="s">
        <v>232</v>
      </c>
    </row>
    <row r="34229" spans="119:119" x14ac:dyDescent="0.2">
      <c r="DO34229" s="303" t="s">
        <v>232</v>
      </c>
    </row>
    <row r="34230" spans="119:119" x14ac:dyDescent="0.2">
      <c r="DO34230" s="303" t="s">
        <v>232</v>
      </c>
    </row>
    <row r="34231" spans="119:119" x14ac:dyDescent="0.2">
      <c r="DO34231" s="303" t="s">
        <v>232</v>
      </c>
    </row>
    <row r="34232" spans="119:119" x14ac:dyDescent="0.2">
      <c r="DO34232" s="303" t="s">
        <v>232</v>
      </c>
    </row>
    <row r="34233" spans="119:119" x14ac:dyDescent="0.2">
      <c r="DO34233" s="303" t="s">
        <v>232</v>
      </c>
    </row>
    <row r="34234" spans="119:119" x14ac:dyDescent="0.2">
      <c r="DO34234" s="303" t="s">
        <v>232</v>
      </c>
    </row>
    <row r="34235" spans="119:119" x14ac:dyDescent="0.2">
      <c r="DO34235" s="303" t="s">
        <v>232</v>
      </c>
    </row>
    <row r="34236" spans="119:119" x14ac:dyDescent="0.2">
      <c r="DO34236" s="303" t="s">
        <v>232</v>
      </c>
    </row>
    <row r="34237" spans="119:119" x14ac:dyDescent="0.2">
      <c r="DO34237" s="303" t="s">
        <v>232</v>
      </c>
    </row>
    <row r="34238" spans="119:119" x14ac:dyDescent="0.2">
      <c r="DO34238" s="303" t="s">
        <v>232</v>
      </c>
    </row>
    <row r="34239" spans="119:119" x14ac:dyDescent="0.2">
      <c r="DO34239" s="303" t="s">
        <v>232</v>
      </c>
    </row>
    <row r="34240" spans="119:119" x14ac:dyDescent="0.2">
      <c r="DO34240" s="303" t="s">
        <v>232</v>
      </c>
    </row>
    <row r="34241" spans="119:119" x14ac:dyDescent="0.2">
      <c r="DO34241" s="303" t="s">
        <v>232</v>
      </c>
    </row>
    <row r="34242" spans="119:119" x14ac:dyDescent="0.2">
      <c r="DO34242" s="303" t="s">
        <v>232</v>
      </c>
    </row>
    <row r="34243" spans="119:119" x14ac:dyDescent="0.2">
      <c r="DO34243" s="303" t="s">
        <v>232</v>
      </c>
    </row>
    <row r="34244" spans="119:119" x14ac:dyDescent="0.2">
      <c r="DO34244" s="303" t="s">
        <v>232</v>
      </c>
    </row>
    <row r="34245" spans="119:119" x14ac:dyDescent="0.2">
      <c r="DO34245" s="303" t="s">
        <v>232</v>
      </c>
    </row>
    <row r="34246" spans="119:119" x14ac:dyDescent="0.2">
      <c r="DO34246" s="303" t="s">
        <v>232</v>
      </c>
    </row>
    <row r="34247" spans="119:119" x14ac:dyDescent="0.2">
      <c r="DO34247" s="303" t="s">
        <v>232</v>
      </c>
    </row>
    <row r="34248" spans="119:119" x14ac:dyDescent="0.2">
      <c r="DO34248" s="303" t="s">
        <v>232</v>
      </c>
    </row>
    <row r="34249" spans="119:119" x14ac:dyDescent="0.2">
      <c r="DO34249" s="303" t="s">
        <v>232</v>
      </c>
    </row>
    <row r="34250" spans="119:119" x14ac:dyDescent="0.2">
      <c r="DO34250" s="303" t="s">
        <v>232</v>
      </c>
    </row>
    <row r="34251" spans="119:119" x14ac:dyDescent="0.2">
      <c r="DO34251" s="303" t="s">
        <v>232</v>
      </c>
    </row>
    <row r="34252" spans="119:119" x14ac:dyDescent="0.2">
      <c r="DO34252" s="303" t="s">
        <v>232</v>
      </c>
    </row>
    <row r="34253" spans="119:119" x14ac:dyDescent="0.2">
      <c r="DO34253" s="303" t="s">
        <v>232</v>
      </c>
    </row>
    <row r="34254" spans="119:119" x14ac:dyDescent="0.2">
      <c r="DO34254" s="303" t="s">
        <v>232</v>
      </c>
    </row>
    <row r="34255" spans="119:119" x14ac:dyDescent="0.2">
      <c r="DO34255" s="303" t="s">
        <v>232</v>
      </c>
    </row>
    <row r="34256" spans="119:119" x14ac:dyDescent="0.2">
      <c r="DO34256" s="303" t="s">
        <v>232</v>
      </c>
    </row>
    <row r="34257" spans="119:119" x14ac:dyDescent="0.2">
      <c r="DO34257" s="303" t="s">
        <v>232</v>
      </c>
    </row>
    <row r="34258" spans="119:119" x14ac:dyDescent="0.2">
      <c r="DO34258" s="303" t="s">
        <v>232</v>
      </c>
    </row>
    <row r="34259" spans="119:119" x14ac:dyDescent="0.2">
      <c r="DO34259" s="303" t="s">
        <v>232</v>
      </c>
    </row>
    <row r="34260" spans="119:119" x14ac:dyDescent="0.2">
      <c r="DO34260" s="303" t="s">
        <v>232</v>
      </c>
    </row>
    <row r="34261" spans="119:119" x14ac:dyDescent="0.2">
      <c r="DO34261" s="303" t="s">
        <v>232</v>
      </c>
    </row>
    <row r="34262" spans="119:119" x14ac:dyDescent="0.2">
      <c r="DO34262" s="303" t="s">
        <v>232</v>
      </c>
    </row>
    <row r="34263" spans="119:119" x14ac:dyDescent="0.2">
      <c r="DO34263" s="303" t="s">
        <v>232</v>
      </c>
    </row>
    <row r="34264" spans="119:119" x14ac:dyDescent="0.2">
      <c r="DO34264" s="303" t="s">
        <v>232</v>
      </c>
    </row>
    <row r="34265" spans="119:119" x14ac:dyDescent="0.2">
      <c r="DO34265" s="303" t="s">
        <v>232</v>
      </c>
    </row>
    <row r="34266" spans="119:119" x14ac:dyDescent="0.2">
      <c r="DO34266" s="303" t="s">
        <v>232</v>
      </c>
    </row>
    <row r="34267" spans="119:119" x14ac:dyDescent="0.2">
      <c r="DO34267" s="303" t="s">
        <v>232</v>
      </c>
    </row>
    <row r="34268" spans="119:119" x14ac:dyDescent="0.2">
      <c r="DO34268" s="303" t="s">
        <v>232</v>
      </c>
    </row>
    <row r="34269" spans="119:119" x14ac:dyDescent="0.2">
      <c r="DO34269" s="303" t="s">
        <v>232</v>
      </c>
    </row>
    <row r="34270" spans="119:119" x14ac:dyDescent="0.2">
      <c r="DO34270" s="303" t="s">
        <v>232</v>
      </c>
    </row>
    <row r="34271" spans="119:119" x14ac:dyDescent="0.2">
      <c r="DO34271" s="303" t="s">
        <v>232</v>
      </c>
    </row>
    <row r="34272" spans="119:119" x14ac:dyDescent="0.2">
      <c r="DO34272" s="303" t="s">
        <v>232</v>
      </c>
    </row>
    <row r="34273" spans="119:119" x14ac:dyDescent="0.2">
      <c r="DO34273" s="303" t="s">
        <v>232</v>
      </c>
    </row>
    <row r="34274" spans="119:119" x14ac:dyDescent="0.2">
      <c r="DO34274" s="303" t="s">
        <v>232</v>
      </c>
    </row>
    <row r="34275" spans="119:119" x14ac:dyDescent="0.2">
      <c r="DO34275" s="303" t="s">
        <v>232</v>
      </c>
    </row>
    <row r="34276" spans="119:119" x14ac:dyDescent="0.2">
      <c r="DO34276" s="303" t="s">
        <v>232</v>
      </c>
    </row>
    <row r="34277" spans="119:119" x14ac:dyDescent="0.2">
      <c r="DO34277" s="303" t="s">
        <v>232</v>
      </c>
    </row>
    <row r="34278" spans="119:119" x14ac:dyDescent="0.2">
      <c r="DO34278" s="303" t="s">
        <v>232</v>
      </c>
    </row>
    <row r="34279" spans="119:119" x14ac:dyDescent="0.2">
      <c r="DO34279" s="303" t="s">
        <v>232</v>
      </c>
    </row>
    <row r="34280" spans="119:119" x14ac:dyDescent="0.2">
      <c r="DO34280" s="303" t="s">
        <v>232</v>
      </c>
    </row>
    <row r="34281" spans="119:119" x14ac:dyDescent="0.2">
      <c r="DO34281" s="303" t="s">
        <v>232</v>
      </c>
    </row>
    <row r="34282" spans="119:119" x14ac:dyDescent="0.2">
      <c r="DO34282" s="303" t="s">
        <v>232</v>
      </c>
    </row>
    <row r="34283" spans="119:119" x14ac:dyDescent="0.2">
      <c r="DO34283" s="303" t="s">
        <v>232</v>
      </c>
    </row>
    <row r="34284" spans="119:119" x14ac:dyDescent="0.2">
      <c r="DO34284" s="303" t="s">
        <v>232</v>
      </c>
    </row>
    <row r="34285" spans="119:119" x14ac:dyDescent="0.2">
      <c r="DO34285" s="303" t="s">
        <v>232</v>
      </c>
    </row>
    <row r="34286" spans="119:119" x14ac:dyDescent="0.2">
      <c r="DO34286" s="303" t="s">
        <v>232</v>
      </c>
    </row>
    <row r="34287" spans="119:119" x14ac:dyDescent="0.2">
      <c r="DO34287" s="303" t="s">
        <v>232</v>
      </c>
    </row>
    <row r="34288" spans="119:119" x14ac:dyDescent="0.2">
      <c r="DO34288" s="303" t="s">
        <v>232</v>
      </c>
    </row>
    <row r="34289" spans="119:119" x14ac:dyDescent="0.2">
      <c r="DO34289" s="303" t="s">
        <v>232</v>
      </c>
    </row>
    <row r="34290" spans="119:119" x14ac:dyDescent="0.2">
      <c r="DO34290" s="303" t="s">
        <v>232</v>
      </c>
    </row>
    <row r="34291" spans="119:119" x14ac:dyDescent="0.2">
      <c r="DO34291" s="303" t="s">
        <v>232</v>
      </c>
    </row>
    <row r="34292" spans="119:119" x14ac:dyDescent="0.2">
      <c r="DO34292" s="303" t="s">
        <v>232</v>
      </c>
    </row>
    <row r="34293" spans="119:119" x14ac:dyDescent="0.2">
      <c r="DO34293" s="303" t="s">
        <v>232</v>
      </c>
    </row>
    <row r="34294" spans="119:119" x14ac:dyDescent="0.2">
      <c r="DO34294" s="303" t="s">
        <v>232</v>
      </c>
    </row>
    <row r="34295" spans="119:119" x14ac:dyDescent="0.2">
      <c r="DO34295" s="303" t="s">
        <v>232</v>
      </c>
    </row>
    <row r="34296" spans="119:119" x14ac:dyDescent="0.2">
      <c r="DO34296" s="303" t="s">
        <v>232</v>
      </c>
    </row>
    <row r="34297" spans="119:119" x14ac:dyDescent="0.2">
      <c r="DO34297" s="303" t="s">
        <v>232</v>
      </c>
    </row>
    <row r="34298" spans="119:119" x14ac:dyDescent="0.2">
      <c r="DO34298" s="303" t="s">
        <v>232</v>
      </c>
    </row>
    <row r="34299" spans="119:119" x14ac:dyDescent="0.2">
      <c r="DO34299" s="303" t="s">
        <v>232</v>
      </c>
    </row>
    <row r="34300" spans="119:119" x14ac:dyDescent="0.2">
      <c r="DO34300" s="303" t="s">
        <v>232</v>
      </c>
    </row>
    <row r="34301" spans="119:119" x14ac:dyDescent="0.2">
      <c r="DO34301" s="303" t="s">
        <v>232</v>
      </c>
    </row>
    <row r="34302" spans="119:119" x14ac:dyDescent="0.2">
      <c r="DO34302" s="303" t="s">
        <v>232</v>
      </c>
    </row>
    <row r="34303" spans="119:119" x14ac:dyDescent="0.2">
      <c r="DO34303" s="303" t="s">
        <v>232</v>
      </c>
    </row>
    <row r="34304" spans="119:119" x14ac:dyDescent="0.2">
      <c r="DO34304" s="303" t="s">
        <v>232</v>
      </c>
    </row>
    <row r="34305" spans="119:119" x14ac:dyDescent="0.2">
      <c r="DO34305" s="303" t="s">
        <v>232</v>
      </c>
    </row>
    <row r="34306" spans="119:119" x14ac:dyDescent="0.2">
      <c r="DO34306" s="303" t="s">
        <v>232</v>
      </c>
    </row>
    <row r="34307" spans="119:119" x14ac:dyDescent="0.2">
      <c r="DO34307" s="303" t="s">
        <v>232</v>
      </c>
    </row>
    <row r="34308" spans="119:119" x14ac:dyDescent="0.2">
      <c r="DO34308" s="303" t="s">
        <v>232</v>
      </c>
    </row>
    <row r="34309" spans="119:119" x14ac:dyDescent="0.2">
      <c r="DO34309" s="303" t="s">
        <v>232</v>
      </c>
    </row>
    <row r="34310" spans="119:119" x14ac:dyDescent="0.2">
      <c r="DO34310" s="303" t="s">
        <v>232</v>
      </c>
    </row>
    <row r="34311" spans="119:119" x14ac:dyDescent="0.2">
      <c r="DO34311" s="303" t="s">
        <v>232</v>
      </c>
    </row>
    <row r="34312" spans="119:119" x14ac:dyDescent="0.2">
      <c r="DO34312" s="303" t="s">
        <v>232</v>
      </c>
    </row>
    <row r="34313" spans="119:119" x14ac:dyDescent="0.2">
      <c r="DO34313" s="303" t="s">
        <v>232</v>
      </c>
    </row>
    <row r="34314" spans="119:119" x14ac:dyDescent="0.2">
      <c r="DO34314" s="303" t="s">
        <v>232</v>
      </c>
    </row>
    <row r="34315" spans="119:119" x14ac:dyDescent="0.2">
      <c r="DO34315" s="303" t="s">
        <v>232</v>
      </c>
    </row>
    <row r="34316" spans="119:119" x14ac:dyDescent="0.2">
      <c r="DO34316" s="303" t="s">
        <v>232</v>
      </c>
    </row>
    <row r="34317" spans="119:119" x14ac:dyDescent="0.2">
      <c r="DO34317" s="303" t="s">
        <v>232</v>
      </c>
    </row>
    <row r="34318" spans="119:119" x14ac:dyDescent="0.2">
      <c r="DO34318" s="303" t="s">
        <v>232</v>
      </c>
    </row>
    <row r="34319" spans="119:119" x14ac:dyDescent="0.2">
      <c r="DO34319" s="303" t="s">
        <v>232</v>
      </c>
    </row>
    <row r="34320" spans="119:119" x14ac:dyDescent="0.2">
      <c r="DO34320" s="303" t="s">
        <v>232</v>
      </c>
    </row>
    <row r="34321" spans="119:119" x14ac:dyDescent="0.2">
      <c r="DO34321" s="303" t="s">
        <v>232</v>
      </c>
    </row>
    <row r="34322" spans="119:119" x14ac:dyDescent="0.2">
      <c r="DO34322" s="303" t="s">
        <v>232</v>
      </c>
    </row>
    <row r="34323" spans="119:119" x14ac:dyDescent="0.2">
      <c r="DO34323" s="303" t="s">
        <v>232</v>
      </c>
    </row>
    <row r="34324" spans="119:119" x14ac:dyDescent="0.2">
      <c r="DO34324" s="303" t="s">
        <v>232</v>
      </c>
    </row>
    <row r="34325" spans="119:119" x14ac:dyDescent="0.2">
      <c r="DO34325" s="303" t="s">
        <v>232</v>
      </c>
    </row>
    <row r="34326" spans="119:119" x14ac:dyDescent="0.2">
      <c r="DO34326" s="303" t="s">
        <v>232</v>
      </c>
    </row>
    <row r="34327" spans="119:119" x14ac:dyDescent="0.2">
      <c r="DO34327" s="303" t="s">
        <v>232</v>
      </c>
    </row>
    <row r="34328" spans="119:119" x14ac:dyDescent="0.2">
      <c r="DO34328" s="303" t="s">
        <v>232</v>
      </c>
    </row>
    <row r="34329" spans="119:119" x14ac:dyDescent="0.2">
      <c r="DO34329" s="303" t="s">
        <v>232</v>
      </c>
    </row>
    <row r="34330" spans="119:119" x14ac:dyDescent="0.2">
      <c r="DO34330" s="303" t="s">
        <v>232</v>
      </c>
    </row>
    <row r="34331" spans="119:119" x14ac:dyDescent="0.2">
      <c r="DO34331" s="303" t="s">
        <v>232</v>
      </c>
    </row>
    <row r="34332" spans="119:119" x14ac:dyDescent="0.2">
      <c r="DO34332" s="303" t="s">
        <v>232</v>
      </c>
    </row>
    <row r="34333" spans="119:119" x14ac:dyDescent="0.2">
      <c r="DO34333" s="303" t="s">
        <v>232</v>
      </c>
    </row>
    <row r="34334" spans="119:119" x14ac:dyDescent="0.2">
      <c r="DO34334" s="303" t="s">
        <v>232</v>
      </c>
    </row>
    <row r="34335" spans="119:119" x14ac:dyDescent="0.2">
      <c r="DO34335" s="303" t="s">
        <v>232</v>
      </c>
    </row>
    <row r="34336" spans="119:119" x14ac:dyDescent="0.2">
      <c r="DO34336" s="303" t="s">
        <v>232</v>
      </c>
    </row>
    <row r="34337" spans="119:119" x14ac:dyDescent="0.2">
      <c r="DO34337" s="303" t="s">
        <v>232</v>
      </c>
    </row>
    <row r="34338" spans="119:119" x14ac:dyDescent="0.2">
      <c r="DO34338" s="303" t="s">
        <v>232</v>
      </c>
    </row>
    <row r="34339" spans="119:119" x14ac:dyDescent="0.2">
      <c r="DO34339" s="303" t="s">
        <v>232</v>
      </c>
    </row>
    <row r="34340" spans="119:119" x14ac:dyDescent="0.2">
      <c r="DO34340" s="303" t="s">
        <v>232</v>
      </c>
    </row>
    <row r="34341" spans="119:119" x14ac:dyDescent="0.2">
      <c r="DO34341" s="303" t="s">
        <v>232</v>
      </c>
    </row>
    <row r="34342" spans="119:119" x14ac:dyDescent="0.2">
      <c r="DO34342" s="303" t="s">
        <v>232</v>
      </c>
    </row>
    <row r="34343" spans="119:119" x14ac:dyDescent="0.2">
      <c r="DO34343" s="303" t="s">
        <v>232</v>
      </c>
    </row>
    <row r="34344" spans="119:119" x14ac:dyDescent="0.2">
      <c r="DO34344" s="303" t="s">
        <v>232</v>
      </c>
    </row>
    <row r="34345" spans="119:119" x14ac:dyDescent="0.2">
      <c r="DO34345" s="303" t="s">
        <v>232</v>
      </c>
    </row>
    <row r="34346" spans="119:119" x14ac:dyDescent="0.2">
      <c r="DO34346" s="303" t="s">
        <v>232</v>
      </c>
    </row>
    <row r="34347" spans="119:119" x14ac:dyDescent="0.2">
      <c r="DO34347" s="303" t="s">
        <v>232</v>
      </c>
    </row>
    <row r="34348" spans="119:119" x14ac:dyDescent="0.2">
      <c r="DO34348" s="303" t="s">
        <v>232</v>
      </c>
    </row>
    <row r="34349" spans="119:119" x14ac:dyDescent="0.2">
      <c r="DO34349" s="303" t="s">
        <v>232</v>
      </c>
    </row>
    <row r="34350" spans="119:119" x14ac:dyDescent="0.2">
      <c r="DO34350" s="303" t="s">
        <v>232</v>
      </c>
    </row>
    <row r="34351" spans="119:119" x14ac:dyDescent="0.2">
      <c r="DO34351" s="303" t="s">
        <v>232</v>
      </c>
    </row>
    <row r="34352" spans="119:119" x14ac:dyDescent="0.2">
      <c r="DO34352" s="303" t="s">
        <v>232</v>
      </c>
    </row>
    <row r="34353" spans="119:119" x14ac:dyDescent="0.2">
      <c r="DO34353" s="303" t="s">
        <v>232</v>
      </c>
    </row>
    <row r="34354" spans="119:119" x14ac:dyDescent="0.2">
      <c r="DO34354" s="303" t="s">
        <v>232</v>
      </c>
    </row>
    <row r="34355" spans="119:119" x14ac:dyDescent="0.2">
      <c r="DO34355" s="303" t="s">
        <v>232</v>
      </c>
    </row>
    <row r="34356" spans="119:119" x14ac:dyDescent="0.2">
      <c r="DO34356" s="303" t="s">
        <v>232</v>
      </c>
    </row>
    <row r="34357" spans="119:119" x14ac:dyDescent="0.2">
      <c r="DO34357" s="303" t="s">
        <v>232</v>
      </c>
    </row>
    <row r="34358" spans="119:119" x14ac:dyDescent="0.2">
      <c r="DO34358" s="303" t="s">
        <v>232</v>
      </c>
    </row>
    <row r="34359" spans="119:119" x14ac:dyDescent="0.2">
      <c r="DO34359" s="303" t="s">
        <v>232</v>
      </c>
    </row>
    <row r="34360" spans="119:119" x14ac:dyDescent="0.2">
      <c r="DO34360" s="303" t="s">
        <v>232</v>
      </c>
    </row>
    <row r="34361" spans="119:119" x14ac:dyDescent="0.2">
      <c r="DO34361" s="303" t="s">
        <v>232</v>
      </c>
    </row>
    <row r="34362" spans="119:119" x14ac:dyDescent="0.2">
      <c r="DO34362" s="303" t="s">
        <v>232</v>
      </c>
    </row>
    <row r="34363" spans="119:119" x14ac:dyDescent="0.2">
      <c r="DO34363" s="303" t="s">
        <v>232</v>
      </c>
    </row>
    <row r="34364" spans="119:119" x14ac:dyDescent="0.2">
      <c r="DO34364" s="303" t="s">
        <v>232</v>
      </c>
    </row>
    <row r="34365" spans="119:119" x14ac:dyDescent="0.2">
      <c r="DO34365" s="303" t="s">
        <v>232</v>
      </c>
    </row>
    <row r="34366" spans="119:119" x14ac:dyDescent="0.2">
      <c r="DO34366" s="303" t="s">
        <v>232</v>
      </c>
    </row>
    <row r="34367" spans="119:119" x14ac:dyDescent="0.2">
      <c r="DO34367" s="303" t="s">
        <v>232</v>
      </c>
    </row>
    <row r="34368" spans="119:119" x14ac:dyDescent="0.2">
      <c r="DO34368" s="303" t="s">
        <v>232</v>
      </c>
    </row>
    <row r="34369" spans="119:119" x14ac:dyDescent="0.2">
      <c r="DO34369" s="303" t="s">
        <v>232</v>
      </c>
    </row>
    <row r="34370" spans="119:119" x14ac:dyDescent="0.2">
      <c r="DO34370" s="303" t="s">
        <v>232</v>
      </c>
    </row>
    <row r="34371" spans="119:119" x14ac:dyDescent="0.2">
      <c r="DO34371" s="303" t="s">
        <v>232</v>
      </c>
    </row>
    <row r="34372" spans="119:119" x14ac:dyDescent="0.2">
      <c r="DO34372" s="303" t="s">
        <v>232</v>
      </c>
    </row>
    <row r="34373" spans="119:119" x14ac:dyDescent="0.2">
      <c r="DO34373" s="303" t="s">
        <v>232</v>
      </c>
    </row>
    <row r="34374" spans="119:119" x14ac:dyDescent="0.2">
      <c r="DO34374" s="303" t="s">
        <v>232</v>
      </c>
    </row>
    <row r="34375" spans="119:119" x14ac:dyDescent="0.2">
      <c r="DO34375" s="303" t="s">
        <v>232</v>
      </c>
    </row>
    <row r="34376" spans="119:119" x14ac:dyDescent="0.2">
      <c r="DO34376" s="303" t="s">
        <v>232</v>
      </c>
    </row>
    <row r="34377" spans="119:119" x14ac:dyDescent="0.2">
      <c r="DO34377" s="303" t="s">
        <v>232</v>
      </c>
    </row>
    <row r="34378" spans="119:119" x14ac:dyDescent="0.2">
      <c r="DO34378" s="303" t="s">
        <v>232</v>
      </c>
    </row>
    <row r="34379" spans="119:119" x14ac:dyDescent="0.2">
      <c r="DO34379" s="303" t="s">
        <v>232</v>
      </c>
    </row>
    <row r="34380" spans="119:119" x14ac:dyDescent="0.2">
      <c r="DO34380" s="303" t="s">
        <v>232</v>
      </c>
    </row>
    <row r="34381" spans="119:119" x14ac:dyDescent="0.2">
      <c r="DO34381" s="303" t="s">
        <v>232</v>
      </c>
    </row>
    <row r="34382" spans="119:119" x14ac:dyDescent="0.2">
      <c r="DO34382" s="303" t="s">
        <v>232</v>
      </c>
    </row>
    <row r="34383" spans="119:119" x14ac:dyDescent="0.2">
      <c r="DO34383" s="303" t="s">
        <v>232</v>
      </c>
    </row>
    <row r="34384" spans="119:119" x14ac:dyDescent="0.2">
      <c r="DO34384" s="303" t="s">
        <v>232</v>
      </c>
    </row>
    <row r="34385" spans="119:119" x14ac:dyDescent="0.2">
      <c r="DO34385" s="303" t="s">
        <v>232</v>
      </c>
    </row>
    <row r="34386" spans="119:119" x14ac:dyDescent="0.2">
      <c r="DO34386" s="303" t="s">
        <v>232</v>
      </c>
    </row>
    <row r="34387" spans="119:119" x14ac:dyDescent="0.2">
      <c r="DO34387" s="303" t="s">
        <v>232</v>
      </c>
    </row>
    <row r="34388" spans="119:119" x14ac:dyDescent="0.2">
      <c r="DO34388" s="303" t="s">
        <v>232</v>
      </c>
    </row>
    <row r="34389" spans="119:119" x14ac:dyDescent="0.2">
      <c r="DO34389" s="303" t="s">
        <v>232</v>
      </c>
    </row>
    <row r="34390" spans="119:119" x14ac:dyDescent="0.2">
      <c r="DO34390" s="303" t="s">
        <v>232</v>
      </c>
    </row>
    <row r="34391" spans="119:119" x14ac:dyDescent="0.2">
      <c r="DO34391" s="303" t="s">
        <v>232</v>
      </c>
    </row>
    <row r="34392" spans="119:119" x14ac:dyDescent="0.2">
      <c r="DO34392" s="303" t="s">
        <v>232</v>
      </c>
    </row>
    <row r="34393" spans="119:119" x14ac:dyDescent="0.2">
      <c r="DO34393" s="303" t="s">
        <v>232</v>
      </c>
    </row>
    <row r="34394" spans="119:119" x14ac:dyDescent="0.2">
      <c r="DO34394" s="303" t="s">
        <v>232</v>
      </c>
    </row>
    <row r="34395" spans="119:119" x14ac:dyDescent="0.2">
      <c r="DO34395" s="303" t="s">
        <v>232</v>
      </c>
    </row>
    <row r="34396" spans="119:119" x14ac:dyDescent="0.2">
      <c r="DO34396" s="303" t="s">
        <v>232</v>
      </c>
    </row>
    <row r="34397" spans="119:119" x14ac:dyDescent="0.2">
      <c r="DO34397" s="303" t="s">
        <v>232</v>
      </c>
    </row>
    <row r="34398" spans="119:119" x14ac:dyDescent="0.2">
      <c r="DO34398" s="303" t="s">
        <v>232</v>
      </c>
    </row>
    <row r="34399" spans="119:119" x14ac:dyDescent="0.2">
      <c r="DO34399" s="303" t="s">
        <v>232</v>
      </c>
    </row>
    <row r="34400" spans="119:119" x14ac:dyDescent="0.2">
      <c r="DO34400" s="303" t="s">
        <v>232</v>
      </c>
    </row>
    <row r="34401" spans="119:119" x14ac:dyDescent="0.2">
      <c r="DO34401" s="303" t="s">
        <v>232</v>
      </c>
    </row>
    <row r="34402" spans="119:119" x14ac:dyDescent="0.2">
      <c r="DO34402" s="303" t="s">
        <v>232</v>
      </c>
    </row>
    <row r="34403" spans="119:119" x14ac:dyDescent="0.2">
      <c r="DO34403" s="303" t="s">
        <v>232</v>
      </c>
    </row>
    <row r="34404" spans="119:119" x14ac:dyDescent="0.2">
      <c r="DO34404" s="303" t="s">
        <v>232</v>
      </c>
    </row>
    <row r="34405" spans="119:119" x14ac:dyDescent="0.2">
      <c r="DO34405" s="303" t="s">
        <v>232</v>
      </c>
    </row>
    <row r="34406" spans="119:119" x14ac:dyDescent="0.2">
      <c r="DO34406" s="303" t="s">
        <v>232</v>
      </c>
    </row>
    <row r="34407" spans="119:119" x14ac:dyDescent="0.2">
      <c r="DO34407" s="303" t="s">
        <v>232</v>
      </c>
    </row>
    <row r="34408" spans="119:119" x14ac:dyDescent="0.2">
      <c r="DO34408" s="303" t="s">
        <v>232</v>
      </c>
    </row>
    <row r="34409" spans="119:119" x14ac:dyDescent="0.2">
      <c r="DO34409" s="303" t="s">
        <v>232</v>
      </c>
    </row>
    <row r="34410" spans="119:119" x14ac:dyDescent="0.2">
      <c r="DO34410" s="303" t="s">
        <v>232</v>
      </c>
    </row>
    <row r="34411" spans="119:119" x14ac:dyDescent="0.2">
      <c r="DO34411" s="303" t="s">
        <v>232</v>
      </c>
    </row>
    <row r="34412" spans="119:119" x14ac:dyDescent="0.2">
      <c r="DO34412" s="303" t="s">
        <v>232</v>
      </c>
    </row>
    <row r="34413" spans="119:119" x14ac:dyDescent="0.2">
      <c r="DO34413" s="303" t="s">
        <v>232</v>
      </c>
    </row>
    <row r="34414" spans="119:119" x14ac:dyDescent="0.2">
      <c r="DO34414" s="303" t="s">
        <v>232</v>
      </c>
    </row>
    <row r="34415" spans="119:119" x14ac:dyDescent="0.2">
      <c r="DO34415" s="303" t="s">
        <v>232</v>
      </c>
    </row>
    <row r="34416" spans="119:119" x14ac:dyDescent="0.2">
      <c r="DO34416" s="303" t="s">
        <v>232</v>
      </c>
    </row>
    <row r="34417" spans="119:119" x14ac:dyDescent="0.2">
      <c r="DO34417" s="303" t="s">
        <v>232</v>
      </c>
    </row>
    <row r="34418" spans="119:119" x14ac:dyDescent="0.2">
      <c r="DO34418" s="303" t="s">
        <v>232</v>
      </c>
    </row>
    <row r="34419" spans="119:119" x14ac:dyDescent="0.2">
      <c r="DO34419" s="303" t="s">
        <v>232</v>
      </c>
    </row>
    <row r="34420" spans="119:119" x14ac:dyDescent="0.2">
      <c r="DO34420" s="303" t="s">
        <v>232</v>
      </c>
    </row>
    <row r="34421" spans="119:119" x14ac:dyDescent="0.2">
      <c r="DO34421" s="303" t="s">
        <v>232</v>
      </c>
    </row>
    <row r="34422" spans="119:119" x14ac:dyDescent="0.2">
      <c r="DO34422" s="303" t="s">
        <v>232</v>
      </c>
    </row>
    <row r="34423" spans="119:119" x14ac:dyDescent="0.2">
      <c r="DO34423" s="303" t="s">
        <v>232</v>
      </c>
    </row>
    <row r="34424" spans="119:119" x14ac:dyDescent="0.2">
      <c r="DO34424" s="303" t="s">
        <v>232</v>
      </c>
    </row>
    <row r="34425" spans="119:119" x14ac:dyDescent="0.2">
      <c r="DO34425" s="303" t="s">
        <v>232</v>
      </c>
    </row>
    <row r="34426" spans="119:119" x14ac:dyDescent="0.2">
      <c r="DO34426" s="303" t="s">
        <v>232</v>
      </c>
    </row>
    <row r="34427" spans="119:119" x14ac:dyDescent="0.2">
      <c r="DO34427" s="303" t="s">
        <v>232</v>
      </c>
    </row>
    <row r="34428" spans="119:119" x14ac:dyDescent="0.2">
      <c r="DO34428" s="303" t="s">
        <v>232</v>
      </c>
    </row>
    <row r="34429" spans="119:119" x14ac:dyDescent="0.2">
      <c r="DO34429" s="303" t="s">
        <v>232</v>
      </c>
    </row>
    <row r="34430" spans="119:119" x14ac:dyDescent="0.2">
      <c r="DO34430" s="303" t="s">
        <v>232</v>
      </c>
    </row>
    <row r="34431" spans="119:119" x14ac:dyDescent="0.2">
      <c r="DO34431" s="303" t="s">
        <v>232</v>
      </c>
    </row>
    <row r="34432" spans="119:119" x14ac:dyDescent="0.2">
      <c r="DO34432" s="303" t="s">
        <v>232</v>
      </c>
    </row>
    <row r="34433" spans="119:119" x14ac:dyDescent="0.2">
      <c r="DO34433" s="303" t="s">
        <v>232</v>
      </c>
    </row>
    <row r="34434" spans="119:119" x14ac:dyDescent="0.2">
      <c r="DO34434" s="303" t="s">
        <v>232</v>
      </c>
    </row>
    <row r="34435" spans="119:119" x14ac:dyDescent="0.2">
      <c r="DO34435" s="303" t="s">
        <v>232</v>
      </c>
    </row>
    <row r="34436" spans="119:119" x14ac:dyDescent="0.2">
      <c r="DO34436" s="303" t="s">
        <v>232</v>
      </c>
    </row>
    <row r="34437" spans="119:119" x14ac:dyDescent="0.2">
      <c r="DO34437" s="303" t="s">
        <v>232</v>
      </c>
    </row>
    <row r="34438" spans="119:119" x14ac:dyDescent="0.2">
      <c r="DO34438" s="303" t="s">
        <v>232</v>
      </c>
    </row>
    <row r="34439" spans="119:119" x14ac:dyDescent="0.2">
      <c r="DO34439" s="303" t="s">
        <v>232</v>
      </c>
    </row>
    <row r="34440" spans="119:119" x14ac:dyDescent="0.2">
      <c r="DO34440" s="303" t="s">
        <v>232</v>
      </c>
    </row>
    <row r="34441" spans="119:119" x14ac:dyDescent="0.2">
      <c r="DO34441" s="303" t="s">
        <v>232</v>
      </c>
    </row>
    <row r="34442" spans="119:119" x14ac:dyDescent="0.2">
      <c r="DO34442" s="303" t="s">
        <v>232</v>
      </c>
    </row>
    <row r="34443" spans="119:119" x14ac:dyDescent="0.2">
      <c r="DO34443" s="303" t="s">
        <v>232</v>
      </c>
    </row>
    <row r="34444" spans="119:119" x14ac:dyDescent="0.2">
      <c r="DO34444" s="303" t="s">
        <v>232</v>
      </c>
    </row>
    <row r="34445" spans="119:119" x14ac:dyDescent="0.2">
      <c r="DO34445" s="303" t="s">
        <v>232</v>
      </c>
    </row>
    <row r="34446" spans="119:119" x14ac:dyDescent="0.2">
      <c r="DO34446" s="303" t="s">
        <v>232</v>
      </c>
    </row>
    <row r="34447" spans="119:119" x14ac:dyDescent="0.2">
      <c r="DO34447" s="303" t="s">
        <v>232</v>
      </c>
    </row>
    <row r="34448" spans="119:119" x14ac:dyDescent="0.2">
      <c r="DO34448" s="303" t="s">
        <v>232</v>
      </c>
    </row>
    <row r="34449" spans="119:119" x14ac:dyDescent="0.2">
      <c r="DO34449" s="303" t="s">
        <v>232</v>
      </c>
    </row>
    <row r="34450" spans="119:119" x14ac:dyDescent="0.2">
      <c r="DO34450" s="303" t="s">
        <v>232</v>
      </c>
    </row>
    <row r="34451" spans="119:119" x14ac:dyDescent="0.2">
      <c r="DO34451" s="303" t="s">
        <v>232</v>
      </c>
    </row>
    <row r="34452" spans="119:119" x14ac:dyDescent="0.2">
      <c r="DO34452" s="303" t="s">
        <v>232</v>
      </c>
    </row>
    <row r="34453" spans="119:119" x14ac:dyDescent="0.2">
      <c r="DO34453" s="303" t="s">
        <v>232</v>
      </c>
    </row>
    <row r="34454" spans="119:119" x14ac:dyDescent="0.2">
      <c r="DO34454" s="303" t="s">
        <v>232</v>
      </c>
    </row>
    <row r="34455" spans="119:119" x14ac:dyDescent="0.2">
      <c r="DO34455" s="303" t="s">
        <v>232</v>
      </c>
    </row>
    <row r="34456" spans="119:119" x14ac:dyDescent="0.2">
      <c r="DO34456" s="303" t="s">
        <v>232</v>
      </c>
    </row>
    <row r="34457" spans="119:119" x14ac:dyDescent="0.2">
      <c r="DO34457" s="303" t="s">
        <v>232</v>
      </c>
    </row>
    <row r="34458" spans="119:119" x14ac:dyDescent="0.2">
      <c r="DO34458" s="303" t="s">
        <v>232</v>
      </c>
    </row>
    <row r="34459" spans="119:119" x14ac:dyDescent="0.2">
      <c r="DO34459" s="303" t="s">
        <v>232</v>
      </c>
    </row>
    <row r="34460" spans="119:119" x14ac:dyDescent="0.2">
      <c r="DO34460" s="303" t="s">
        <v>232</v>
      </c>
    </row>
    <row r="34461" spans="119:119" x14ac:dyDescent="0.2">
      <c r="DO34461" s="303" t="s">
        <v>232</v>
      </c>
    </row>
    <row r="34462" spans="119:119" x14ac:dyDescent="0.2">
      <c r="DO34462" s="303" t="s">
        <v>232</v>
      </c>
    </row>
    <row r="34463" spans="119:119" x14ac:dyDescent="0.2">
      <c r="DO34463" s="303" t="s">
        <v>232</v>
      </c>
    </row>
    <row r="34464" spans="119:119" x14ac:dyDescent="0.2">
      <c r="DO34464" s="303" t="s">
        <v>232</v>
      </c>
    </row>
    <row r="34465" spans="119:119" x14ac:dyDescent="0.2">
      <c r="DO34465" s="303" t="s">
        <v>232</v>
      </c>
    </row>
    <row r="34466" spans="119:119" x14ac:dyDescent="0.2">
      <c r="DO34466" s="303" t="s">
        <v>232</v>
      </c>
    </row>
    <row r="34467" spans="119:119" x14ac:dyDescent="0.2">
      <c r="DO34467" s="303" t="s">
        <v>232</v>
      </c>
    </row>
    <row r="34468" spans="119:119" x14ac:dyDescent="0.2">
      <c r="DO34468" s="303" t="s">
        <v>232</v>
      </c>
    </row>
    <row r="34469" spans="119:119" x14ac:dyDescent="0.2">
      <c r="DO34469" s="303" t="s">
        <v>232</v>
      </c>
    </row>
    <row r="34470" spans="119:119" x14ac:dyDescent="0.2">
      <c r="DO34470" s="303" t="s">
        <v>232</v>
      </c>
    </row>
    <row r="34471" spans="119:119" x14ac:dyDescent="0.2">
      <c r="DO34471" s="303" t="s">
        <v>232</v>
      </c>
    </row>
    <row r="34472" spans="119:119" x14ac:dyDescent="0.2">
      <c r="DO34472" s="303" t="s">
        <v>232</v>
      </c>
    </row>
    <row r="34473" spans="119:119" x14ac:dyDescent="0.2">
      <c r="DO34473" s="303" t="s">
        <v>232</v>
      </c>
    </row>
    <row r="34474" spans="119:119" x14ac:dyDescent="0.2">
      <c r="DO34474" s="303" t="s">
        <v>232</v>
      </c>
    </row>
    <row r="34475" spans="119:119" x14ac:dyDescent="0.2">
      <c r="DO34475" s="303" t="s">
        <v>232</v>
      </c>
    </row>
    <row r="34476" spans="119:119" x14ac:dyDescent="0.2">
      <c r="DO34476" s="303" t="s">
        <v>232</v>
      </c>
    </row>
    <row r="34477" spans="119:119" x14ac:dyDescent="0.2">
      <c r="DO34477" s="303" t="s">
        <v>232</v>
      </c>
    </row>
    <row r="34478" spans="119:119" x14ac:dyDescent="0.2">
      <c r="DO34478" s="303" t="s">
        <v>232</v>
      </c>
    </row>
    <row r="34479" spans="119:119" x14ac:dyDescent="0.2">
      <c r="DO34479" s="303" t="s">
        <v>232</v>
      </c>
    </row>
    <row r="34480" spans="119:119" x14ac:dyDescent="0.2">
      <c r="DO34480" s="303" t="s">
        <v>232</v>
      </c>
    </row>
    <row r="34481" spans="119:119" x14ac:dyDescent="0.2">
      <c r="DO34481" s="303" t="s">
        <v>232</v>
      </c>
    </row>
    <row r="34482" spans="119:119" x14ac:dyDescent="0.2">
      <c r="DO34482" s="303" t="s">
        <v>232</v>
      </c>
    </row>
    <row r="34483" spans="119:119" x14ac:dyDescent="0.2">
      <c r="DO34483" s="303" t="s">
        <v>232</v>
      </c>
    </row>
    <row r="34484" spans="119:119" x14ac:dyDescent="0.2">
      <c r="DO34484" s="303" t="s">
        <v>232</v>
      </c>
    </row>
    <row r="34485" spans="119:119" x14ac:dyDescent="0.2">
      <c r="DO34485" s="303" t="s">
        <v>232</v>
      </c>
    </row>
    <row r="34486" spans="119:119" x14ac:dyDescent="0.2">
      <c r="DO34486" s="303" t="s">
        <v>232</v>
      </c>
    </row>
    <row r="34487" spans="119:119" x14ac:dyDescent="0.2">
      <c r="DO34487" s="303" t="s">
        <v>232</v>
      </c>
    </row>
    <row r="34488" spans="119:119" x14ac:dyDescent="0.2">
      <c r="DO34488" s="303" t="s">
        <v>232</v>
      </c>
    </row>
    <row r="34489" spans="119:119" x14ac:dyDescent="0.2">
      <c r="DO34489" s="303" t="s">
        <v>232</v>
      </c>
    </row>
    <row r="34490" spans="119:119" x14ac:dyDescent="0.2">
      <c r="DO34490" s="303" t="s">
        <v>232</v>
      </c>
    </row>
    <row r="34491" spans="119:119" x14ac:dyDescent="0.2">
      <c r="DO34491" s="303" t="s">
        <v>232</v>
      </c>
    </row>
    <row r="34492" spans="119:119" x14ac:dyDescent="0.2">
      <c r="DO34492" s="303" t="s">
        <v>232</v>
      </c>
    </row>
    <row r="34493" spans="119:119" x14ac:dyDescent="0.2">
      <c r="DO34493" s="303" t="s">
        <v>232</v>
      </c>
    </row>
    <row r="34494" spans="119:119" x14ac:dyDescent="0.2">
      <c r="DO34494" s="303" t="s">
        <v>232</v>
      </c>
    </row>
    <row r="34495" spans="119:119" x14ac:dyDescent="0.2">
      <c r="DO34495" s="303" t="s">
        <v>232</v>
      </c>
    </row>
    <row r="34496" spans="119:119" x14ac:dyDescent="0.2">
      <c r="DO34496" s="303" t="s">
        <v>232</v>
      </c>
    </row>
    <row r="34497" spans="119:119" x14ac:dyDescent="0.2">
      <c r="DO34497" s="303" t="s">
        <v>232</v>
      </c>
    </row>
    <row r="34498" spans="119:119" x14ac:dyDescent="0.2">
      <c r="DO34498" s="303" t="s">
        <v>232</v>
      </c>
    </row>
    <row r="34499" spans="119:119" x14ac:dyDescent="0.2">
      <c r="DO34499" s="303" t="s">
        <v>232</v>
      </c>
    </row>
    <row r="34500" spans="119:119" x14ac:dyDescent="0.2">
      <c r="DO34500" s="303" t="s">
        <v>232</v>
      </c>
    </row>
    <row r="34501" spans="119:119" x14ac:dyDescent="0.2">
      <c r="DO34501" s="303" t="s">
        <v>232</v>
      </c>
    </row>
    <row r="34502" spans="119:119" x14ac:dyDescent="0.2">
      <c r="DO34502" s="303" t="s">
        <v>232</v>
      </c>
    </row>
    <row r="34503" spans="119:119" x14ac:dyDescent="0.2">
      <c r="DO34503" s="303" t="s">
        <v>232</v>
      </c>
    </row>
    <row r="34504" spans="119:119" x14ac:dyDescent="0.2">
      <c r="DO34504" s="303" t="s">
        <v>232</v>
      </c>
    </row>
    <row r="34505" spans="119:119" x14ac:dyDescent="0.2">
      <c r="DO34505" s="303" t="s">
        <v>232</v>
      </c>
    </row>
    <row r="34506" spans="119:119" x14ac:dyDescent="0.2">
      <c r="DO34506" s="303" t="s">
        <v>232</v>
      </c>
    </row>
    <row r="34507" spans="119:119" x14ac:dyDescent="0.2">
      <c r="DO34507" s="303" t="s">
        <v>232</v>
      </c>
    </row>
    <row r="34508" spans="119:119" x14ac:dyDescent="0.2">
      <c r="DO34508" s="303" t="s">
        <v>232</v>
      </c>
    </row>
    <row r="34509" spans="119:119" x14ac:dyDescent="0.2">
      <c r="DO34509" s="303" t="s">
        <v>232</v>
      </c>
    </row>
    <row r="34510" spans="119:119" x14ac:dyDescent="0.2">
      <c r="DO34510" s="303" t="s">
        <v>232</v>
      </c>
    </row>
    <row r="34511" spans="119:119" x14ac:dyDescent="0.2">
      <c r="DO34511" s="303" t="s">
        <v>232</v>
      </c>
    </row>
    <row r="34512" spans="119:119" x14ac:dyDescent="0.2">
      <c r="DO34512" s="303" t="s">
        <v>232</v>
      </c>
    </row>
    <row r="34513" spans="119:119" x14ac:dyDescent="0.2">
      <c r="DO34513" s="303" t="s">
        <v>232</v>
      </c>
    </row>
    <row r="34514" spans="119:119" x14ac:dyDescent="0.2">
      <c r="DO34514" s="303" t="s">
        <v>232</v>
      </c>
    </row>
    <row r="34515" spans="119:119" x14ac:dyDescent="0.2">
      <c r="DO34515" s="303" t="s">
        <v>232</v>
      </c>
    </row>
    <row r="34516" spans="119:119" x14ac:dyDescent="0.2">
      <c r="DO34516" s="303" t="s">
        <v>232</v>
      </c>
    </row>
    <row r="34517" spans="119:119" x14ac:dyDescent="0.2">
      <c r="DO34517" s="303" t="s">
        <v>232</v>
      </c>
    </row>
    <row r="34518" spans="119:119" x14ac:dyDescent="0.2">
      <c r="DO34518" s="303" t="s">
        <v>232</v>
      </c>
    </row>
    <row r="34519" spans="119:119" x14ac:dyDescent="0.2">
      <c r="DO34519" s="303" t="s">
        <v>232</v>
      </c>
    </row>
    <row r="34520" spans="119:119" x14ac:dyDescent="0.2">
      <c r="DO34520" s="303" t="s">
        <v>232</v>
      </c>
    </row>
    <row r="34521" spans="119:119" x14ac:dyDescent="0.2">
      <c r="DO34521" s="303" t="s">
        <v>232</v>
      </c>
    </row>
    <row r="34522" spans="119:119" x14ac:dyDescent="0.2">
      <c r="DO34522" s="303" t="s">
        <v>232</v>
      </c>
    </row>
    <row r="34523" spans="119:119" x14ac:dyDescent="0.2">
      <c r="DO34523" s="303" t="s">
        <v>232</v>
      </c>
    </row>
    <row r="34524" spans="119:119" x14ac:dyDescent="0.2">
      <c r="DO34524" s="303" t="s">
        <v>232</v>
      </c>
    </row>
    <row r="34525" spans="119:119" x14ac:dyDescent="0.2">
      <c r="DO34525" s="303" t="s">
        <v>232</v>
      </c>
    </row>
    <row r="34526" spans="119:119" x14ac:dyDescent="0.2">
      <c r="DO34526" s="303" t="s">
        <v>232</v>
      </c>
    </row>
    <row r="34527" spans="119:119" x14ac:dyDescent="0.2">
      <c r="DO34527" s="303" t="s">
        <v>232</v>
      </c>
    </row>
    <row r="34528" spans="119:119" x14ac:dyDescent="0.2">
      <c r="DO34528" s="303" t="s">
        <v>232</v>
      </c>
    </row>
    <row r="34529" spans="119:119" x14ac:dyDescent="0.2">
      <c r="DO34529" s="303" t="s">
        <v>232</v>
      </c>
    </row>
    <row r="34530" spans="119:119" x14ac:dyDescent="0.2">
      <c r="DO34530" s="303" t="s">
        <v>232</v>
      </c>
    </row>
    <row r="34531" spans="119:119" x14ac:dyDescent="0.2">
      <c r="DO34531" s="303" t="s">
        <v>232</v>
      </c>
    </row>
    <row r="34532" spans="119:119" x14ac:dyDescent="0.2">
      <c r="DO34532" s="303" t="s">
        <v>232</v>
      </c>
    </row>
    <row r="34533" spans="119:119" x14ac:dyDescent="0.2">
      <c r="DO34533" s="303" t="s">
        <v>232</v>
      </c>
    </row>
    <row r="34534" spans="119:119" x14ac:dyDescent="0.2">
      <c r="DO34534" s="303" t="s">
        <v>232</v>
      </c>
    </row>
    <row r="34535" spans="119:119" x14ac:dyDescent="0.2">
      <c r="DO34535" s="303" t="s">
        <v>232</v>
      </c>
    </row>
    <row r="34536" spans="119:119" x14ac:dyDescent="0.2">
      <c r="DO34536" s="303" t="s">
        <v>232</v>
      </c>
    </row>
    <row r="34537" spans="119:119" x14ac:dyDescent="0.2">
      <c r="DO34537" s="303" t="s">
        <v>232</v>
      </c>
    </row>
    <row r="34538" spans="119:119" x14ac:dyDescent="0.2">
      <c r="DO34538" s="303" t="s">
        <v>232</v>
      </c>
    </row>
    <row r="34539" spans="119:119" x14ac:dyDescent="0.2">
      <c r="DO34539" s="303" t="s">
        <v>232</v>
      </c>
    </row>
    <row r="34540" spans="119:119" x14ac:dyDescent="0.2">
      <c r="DO34540" s="303" t="s">
        <v>232</v>
      </c>
    </row>
    <row r="34541" spans="119:119" x14ac:dyDescent="0.2">
      <c r="DO34541" s="303" t="s">
        <v>232</v>
      </c>
    </row>
    <row r="34542" spans="119:119" x14ac:dyDescent="0.2">
      <c r="DO34542" s="303" t="s">
        <v>232</v>
      </c>
    </row>
    <row r="34543" spans="119:119" x14ac:dyDescent="0.2">
      <c r="DO34543" s="303" t="s">
        <v>232</v>
      </c>
    </row>
    <row r="34544" spans="119:119" x14ac:dyDescent="0.2">
      <c r="DO34544" s="303" t="s">
        <v>232</v>
      </c>
    </row>
    <row r="34545" spans="119:119" x14ac:dyDescent="0.2">
      <c r="DO34545" s="303" t="s">
        <v>232</v>
      </c>
    </row>
    <row r="34546" spans="119:119" x14ac:dyDescent="0.2">
      <c r="DO34546" s="303" t="s">
        <v>232</v>
      </c>
    </row>
    <row r="34547" spans="119:119" x14ac:dyDescent="0.2">
      <c r="DO34547" s="303" t="s">
        <v>232</v>
      </c>
    </row>
    <row r="34548" spans="119:119" x14ac:dyDescent="0.2">
      <c r="DO34548" s="303" t="s">
        <v>232</v>
      </c>
    </row>
    <row r="34549" spans="119:119" x14ac:dyDescent="0.2">
      <c r="DO34549" s="303" t="s">
        <v>232</v>
      </c>
    </row>
    <row r="34550" spans="119:119" x14ac:dyDescent="0.2">
      <c r="DO34550" s="303" t="s">
        <v>232</v>
      </c>
    </row>
    <row r="34551" spans="119:119" x14ac:dyDescent="0.2">
      <c r="DO34551" s="303" t="s">
        <v>232</v>
      </c>
    </row>
    <row r="34552" spans="119:119" x14ac:dyDescent="0.2">
      <c r="DO34552" s="303" t="s">
        <v>232</v>
      </c>
    </row>
    <row r="34553" spans="119:119" x14ac:dyDescent="0.2">
      <c r="DO34553" s="303" t="s">
        <v>232</v>
      </c>
    </row>
    <row r="34554" spans="119:119" x14ac:dyDescent="0.2">
      <c r="DO34554" s="303" t="s">
        <v>232</v>
      </c>
    </row>
    <row r="34555" spans="119:119" x14ac:dyDescent="0.2">
      <c r="DO34555" s="303" t="s">
        <v>232</v>
      </c>
    </row>
    <row r="34556" spans="119:119" x14ac:dyDescent="0.2">
      <c r="DO34556" s="303" t="s">
        <v>232</v>
      </c>
    </row>
    <row r="34557" spans="119:119" x14ac:dyDescent="0.2">
      <c r="DO34557" s="303" t="s">
        <v>232</v>
      </c>
    </row>
    <row r="34558" spans="119:119" x14ac:dyDescent="0.2">
      <c r="DO34558" s="303" t="s">
        <v>232</v>
      </c>
    </row>
    <row r="34559" spans="119:119" x14ac:dyDescent="0.2">
      <c r="DO34559" s="303" t="s">
        <v>232</v>
      </c>
    </row>
    <row r="34560" spans="119:119" x14ac:dyDescent="0.2">
      <c r="DO34560" s="303" t="s">
        <v>232</v>
      </c>
    </row>
    <row r="34561" spans="119:119" x14ac:dyDescent="0.2">
      <c r="DO34561" s="303" t="s">
        <v>232</v>
      </c>
    </row>
    <row r="34562" spans="119:119" x14ac:dyDescent="0.2">
      <c r="DO34562" s="303" t="s">
        <v>232</v>
      </c>
    </row>
    <row r="34563" spans="119:119" x14ac:dyDescent="0.2">
      <c r="DO34563" s="303" t="s">
        <v>232</v>
      </c>
    </row>
    <row r="34564" spans="119:119" x14ac:dyDescent="0.2">
      <c r="DO34564" s="303" t="s">
        <v>232</v>
      </c>
    </row>
    <row r="34565" spans="119:119" x14ac:dyDescent="0.2">
      <c r="DO34565" s="303" t="s">
        <v>232</v>
      </c>
    </row>
    <row r="34566" spans="119:119" x14ac:dyDescent="0.2">
      <c r="DO34566" s="303" t="s">
        <v>232</v>
      </c>
    </row>
    <row r="34567" spans="119:119" x14ac:dyDescent="0.2">
      <c r="DO34567" s="303" t="s">
        <v>232</v>
      </c>
    </row>
    <row r="34568" spans="119:119" x14ac:dyDescent="0.2">
      <c r="DO34568" s="303" t="s">
        <v>232</v>
      </c>
    </row>
    <row r="34569" spans="119:119" x14ac:dyDescent="0.2">
      <c r="DO34569" s="303" t="s">
        <v>232</v>
      </c>
    </row>
    <row r="34570" spans="119:119" x14ac:dyDescent="0.2">
      <c r="DO34570" s="303" t="s">
        <v>232</v>
      </c>
    </row>
    <row r="34571" spans="119:119" x14ac:dyDescent="0.2">
      <c r="DO34571" s="303" t="s">
        <v>232</v>
      </c>
    </row>
    <row r="34572" spans="119:119" x14ac:dyDescent="0.2">
      <c r="DO34572" s="303" t="s">
        <v>232</v>
      </c>
    </row>
    <row r="34573" spans="119:119" x14ac:dyDescent="0.2">
      <c r="DO34573" s="303" t="s">
        <v>232</v>
      </c>
    </row>
    <row r="34574" spans="119:119" x14ac:dyDescent="0.2">
      <c r="DO34574" s="303" t="s">
        <v>232</v>
      </c>
    </row>
    <row r="34575" spans="119:119" x14ac:dyDescent="0.2">
      <c r="DO34575" s="303" t="s">
        <v>232</v>
      </c>
    </row>
    <row r="34576" spans="119:119" x14ac:dyDescent="0.2">
      <c r="DO34576" s="303" t="s">
        <v>232</v>
      </c>
    </row>
    <row r="34577" spans="119:119" x14ac:dyDescent="0.2">
      <c r="DO34577" s="303" t="s">
        <v>232</v>
      </c>
    </row>
    <row r="34578" spans="119:119" x14ac:dyDescent="0.2">
      <c r="DO34578" s="303" t="s">
        <v>232</v>
      </c>
    </row>
    <row r="34579" spans="119:119" x14ac:dyDescent="0.2">
      <c r="DO34579" s="303" t="s">
        <v>232</v>
      </c>
    </row>
    <row r="34580" spans="119:119" x14ac:dyDescent="0.2">
      <c r="DO34580" s="303" t="s">
        <v>232</v>
      </c>
    </row>
    <row r="34581" spans="119:119" x14ac:dyDescent="0.2">
      <c r="DO34581" s="303" t="s">
        <v>232</v>
      </c>
    </row>
    <row r="34582" spans="119:119" x14ac:dyDescent="0.2">
      <c r="DO34582" s="303" t="s">
        <v>232</v>
      </c>
    </row>
    <row r="34583" spans="119:119" x14ac:dyDescent="0.2">
      <c r="DO34583" s="303" t="s">
        <v>232</v>
      </c>
    </row>
    <row r="34584" spans="119:119" x14ac:dyDescent="0.2">
      <c r="DO34584" s="303" t="s">
        <v>232</v>
      </c>
    </row>
    <row r="34585" spans="119:119" x14ac:dyDescent="0.2">
      <c r="DO34585" s="303" t="s">
        <v>232</v>
      </c>
    </row>
    <row r="34586" spans="119:119" x14ac:dyDescent="0.2">
      <c r="DO34586" s="303" t="s">
        <v>232</v>
      </c>
    </row>
    <row r="34587" spans="119:119" x14ac:dyDescent="0.2">
      <c r="DO34587" s="303" t="s">
        <v>232</v>
      </c>
    </row>
    <row r="34588" spans="119:119" x14ac:dyDescent="0.2">
      <c r="DO34588" s="303" t="s">
        <v>232</v>
      </c>
    </row>
    <row r="34589" spans="119:119" x14ac:dyDescent="0.2">
      <c r="DO34589" s="303" t="s">
        <v>232</v>
      </c>
    </row>
    <row r="34590" spans="119:119" x14ac:dyDescent="0.2">
      <c r="DO34590" s="303" t="s">
        <v>232</v>
      </c>
    </row>
    <row r="34591" spans="119:119" x14ac:dyDescent="0.2">
      <c r="DO34591" s="303" t="s">
        <v>232</v>
      </c>
    </row>
    <row r="34592" spans="119:119" x14ac:dyDescent="0.2">
      <c r="DO34592" s="303" t="s">
        <v>232</v>
      </c>
    </row>
    <row r="34593" spans="119:119" x14ac:dyDescent="0.2">
      <c r="DO34593" s="303" t="s">
        <v>232</v>
      </c>
    </row>
    <row r="34594" spans="119:119" x14ac:dyDescent="0.2">
      <c r="DO34594" s="303" t="s">
        <v>232</v>
      </c>
    </row>
    <row r="34595" spans="119:119" x14ac:dyDescent="0.2">
      <c r="DO34595" s="303" t="s">
        <v>232</v>
      </c>
    </row>
    <row r="34596" spans="119:119" x14ac:dyDescent="0.2">
      <c r="DO34596" s="303" t="s">
        <v>232</v>
      </c>
    </row>
    <row r="34597" spans="119:119" x14ac:dyDescent="0.2">
      <c r="DO34597" s="303" t="s">
        <v>232</v>
      </c>
    </row>
    <row r="34598" spans="119:119" x14ac:dyDescent="0.2">
      <c r="DO34598" s="303" t="s">
        <v>232</v>
      </c>
    </row>
    <row r="34599" spans="119:119" x14ac:dyDescent="0.2">
      <c r="DO34599" s="303" t="s">
        <v>232</v>
      </c>
    </row>
    <row r="34600" spans="119:119" x14ac:dyDescent="0.2">
      <c r="DO34600" s="303" t="s">
        <v>232</v>
      </c>
    </row>
    <row r="34601" spans="119:119" x14ac:dyDescent="0.2">
      <c r="DO34601" s="303" t="s">
        <v>232</v>
      </c>
    </row>
    <row r="34602" spans="119:119" x14ac:dyDescent="0.2">
      <c r="DO34602" s="303" t="s">
        <v>232</v>
      </c>
    </row>
    <row r="34603" spans="119:119" x14ac:dyDescent="0.2">
      <c r="DO34603" s="303" t="s">
        <v>232</v>
      </c>
    </row>
    <row r="34604" spans="119:119" x14ac:dyDescent="0.2">
      <c r="DO34604" s="303" t="s">
        <v>232</v>
      </c>
    </row>
    <row r="34605" spans="119:119" x14ac:dyDescent="0.2">
      <c r="DO34605" s="303" t="s">
        <v>232</v>
      </c>
    </row>
    <row r="34606" spans="119:119" x14ac:dyDescent="0.2">
      <c r="DO34606" s="303" t="s">
        <v>232</v>
      </c>
    </row>
    <row r="34607" spans="119:119" x14ac:dyDescent="0.2">
      <c r="DO34607" s="303" t="s">
        <v>232</v>
      </c>
    </row>
    <row r="34608" spans="119:119" x14ac:dyDescent="0.2">
      <c r="DO34608" s="303" t="s">
        <v>232</v>
      </c>
    </row>
    <row r="34609" spans="119:119" x14ac:dyDescent="0.2">
      <c r="DO34609" s="303" t="s">
        <v>232</v>
      </c>
    </row>
    <row r="34610" spans="119:119" x14ac:dyDescent="0.2">
      <c r="DO34610" s="303" t="s">
        <v>232</v>
      </c>
    </row>
    <row r="34611" spans="119:119" x14ac:dyDescent="0.2">
      <c r="DO34611" s="303" t="s">
        <v>232</v>
      </c>
    </row>
    <row r="34612" spans="119:119" x14ac:dyDescent="0.2">
      <c r="DO34612" s="303" t="s">
        <v>232</v>
      </c>
    </row>
    <row r="34613" spans="119:119" x14ac:dyDescent="0.2">
      <c r="DO34613" s="303" t="s">
        <v>232</v>
      </c>
    </row>
    <row r="34614" spans="119:119" x14ac:dyDescent="0.2">
      <c r="DO34614" s="303" t="s">
        <v>232</v>
      </c>
    </row>
    <row r="34615" spans="119:119" x14ac:dyDescent="0.2">
      <c r="DO34615" s="303" t="s">
        <v>232</v>
      </c>
    </row>
    <row r="34616" spans="119:119" x14ac:dyDescent="0.2">
      <c r="DO34616" s="303" t="s">
        <v>232</v>
      </c>
    </row>
    <row r="34617" spans="119:119" x14ac:dyDescent="0.2">
      <c r="DO34617" s="303" t="s">
        <v>232</v>
      </c>
    </row>
    <row r="34618" spans="119:119" x14ac:dyDescent="0.2">
      <c r="DO34618" s="303" t="s">
        <v>232</v>
      </c>
    </row>
    <row r="34619" spans="119:119" x14ac:dyDescent="0.2">
      <c r="DO34619" s="303" t="s">
        <v>232</v>
      </c>
    </row>
    <row r="34620" spans="119:119" x14ac:dyDescent="0.2">
      <c r="DO34620" s="303" t="s">
        <v>232</v>
      </c>
    </row>
    <row r="34621" spans="119:119" x14ac:dyDescent="0.2">
      <c r="DO34621" s="303" t="s">
        <v>232</v>
      </c>
    </row>
    <row r="34622" spans="119:119" x14ac:dyDescent="0.2">
      <c r="DO34622" s="303" t="s">
        <v>232</v>
      </c>
    </row>
    <row r="34623" spans="119:119" x14ac:dyDescent="0.2">
      <c r="DO34623" s="303" t="s">
        <v>232</v>
      </c>
    </row>
    <row r="34624" spans="119:119" x14ac:dyDescent="0.2">
      <c r="DO34624" s="303" t="s">
        <v>232</v>
      </c>
    </row>
    <row r="34625" spans="119:119" x14ac:dyDescent="0.2">
      <c r="DO34625" s="303" t="s">
        <v>232</v>
      </c>
    </row>
    <row r="34626" spans="119:119" x14ac:dyDescent="0.2">
      <c r="DO34626" s="303" t="s">
        <v>232</v>
      </c>
    </row>
    <row r="34627" spans="119:119" x14ac:dyDescent="0.2">
      <c r="DO34627" s="303" t="s">
        <v>232</v>
      </c>
    </row>
    <row r="34628" spans="119:119" x14ac:dyDescent="0.2">
      <c r="DO34628" s="303" t="s">
        <v>232</v>
      </c>
    </row>
    <row r="34629" spans="119:119" x14ac:dyDescent="0.2">
      <c r="DO34629" s="303" t="s">
        <v>232</v>
      </c>
    </row>
    <row r="34630" spans="119:119" x14ac:dyDescent="0.2">
      <c r="DO34630" s="303" t="s">
        <v>232</v>
      </c>
    </row>
    <row r="34631" spans="119:119" x14ac:dyDescent="0.2">
      <c r="DO34631" s="303" t="s">
        <v>232</v>
      </c>
    </row>
    <row r="34632" spans="119:119" x14ac:dyDescent="0.2">
      <c r="DO34632" s="303" t="s">
        <v>232</v>
      </c>
    </row>
    <row r="34633" spans="119:119" x14ac:dyDescent="0.2">
      <c r="DO34633" s="303" t="s">
        <v>232</v>
      </c>
    </row>
    <row r="34634" spans="119:119" x14ac:dyDescent="0.2">
      <c r="DO34634" s="303" t="s">
        <v>232</v>
      </c>
    </row>
    <row r="34635" spans="119:119" x14ac:dyDescent="0.2">
      <c r="DO34635" s="303" t="s">
        <v>232</v>
      </c>
    </row>
    <row r="34636" spans="119:119" x14ac:dyDescent="0.2">
      <c r="DO34636" s="303" t="s">
        <v>232</v>
      </c>
    </row>
    <row r="34637" spans="119:119" x14ac:dyDescent="0.2">
      <c r="DO34637" s="303" t="s">
        <v>232</v>
      </c>
    </row>
    <row r="34638" spans="119:119" x14ac:dyDescent="0.2">
      <c r="DO34638" s="303" t="s">
        <v>232</v>
      </c>
    </row>
    <row r="34639" spans="119:119" x14ac:dyDescent="0.2">
      <c r="DO34639" s="303" t="s">
        <v>232</v>
      </c>
    </row>
    <row r="34640" spans="119:119" x14ac:dyDescent="0.2">
      <c r="DO34640" s="303" t="s">
        <v>232</v>
      </c>
    </row>
    <row r="34641" spans="119:119" x14ac:dyDescent="0.2">
      <c r="DO34641" s="303" t="s">
        <v>232</v>
      </c>
    </row>
    <row r="34642" spans="119:119" x14ac:dyDescent="0.2">
      <c r="DO34642" s="303" t="s">
        <v>232</v>
      </c>
    </row>
    <row r="34643" spans="119:119" x14ac:dyDescent="0.2">
      <c r="DO34643" s="303" t="s">
        <v>232</v>
      </c>
    </row>
    <row r="34644" spans="119:119" x14ac:dyDescent="0.2">
      <c r="DO34644" s="303" t="s">
        <v>232</v>
      </c>
    </row>
    <row r="34645" spans="119:119" x14ac:dyDescent="0.2">
      <c r="DO34645" s="303" t="s">
        <v>232</v>
      </c>
    </row>
    <row r="34646" spans="119:119" x14ac:dyDescent="0.2">
      <c r="DO34646" s="303" t="s">
        <v>232</v>
      </c>
    </row>
    <row r="34647" spans="119:119" x14ac:dyDescent="0.2">
      <c r="DO34647" s="303" t="s">
        <v>232</v>
      </c>
    </row>
    <row r="34648" spans="119:119" x14ac:dyDescent="0.2">
      <c r="DO34648" s="303" t="s">
        <v>232</v>
      </c>
    </row>
    <row r="34649" spans="119:119" x14ac:dyDescent="0.2">
      <c r="DO34649" s="303" t="s">
        <v>232</v>
      </c>
    </row>
    <row r="34650" spans="119:119" x14ac:dyDescent="0.2">
      <c r="DO34650" s="303" t="s">
        <v>232</v>
      </c>
    </row>
    <row r="34651" spans="119:119" x14ac:dyDescent="0.2">
      <c r="DO34651" s="303" t="s">
        <v>232</v>
      </c>
    </row>
    <row r="34652" spans="119:119" x14ac:dyDescent="0.2">
      <c r="DO34652" s="303" t="s">
        <v>232</v>
      </c>
    </row>
    <row r="34653" spans="119:119" x14ac:dyDescent="0.2">
      <c r="DO34653" s="303" t="s">
        <v>232</v>
      </c>
    </row>
    <row r="34654" spans="119:119" x14ac:dyDescent="0.2">
      <c r="DO34654" s="303" t="s">
        <v>232</v>
      </c>
    </row>
    <row r="34655" spans="119:119" x14ac:dyDescent="0.2">
      <c r="DO34655" s="303" t="s">
        <v>232</v>
      </c>
    </row>
    <row r="34656" spans="119:119" x14ac:dyDescent="0.2">
      <c r="DO34656" s="303" t="s">
        <v>232</v>
      </c>
    </row>
    <row r="34657" spans="119:119" x14ac:dyDescent="0.2">
      <c r="DO34657" s="303" t="s">
        <v>232</v>
      </c>
    </row>
    <row r="34658" spans="119:119" x14ac:dyDescent="0.2">
      <c r="DO34658" s="303" t="s">
        <v>232</v>
      </c>
    </row>
    <row r="34659" spans="119:119" x14ac:dyDescent="0.2">
      <c r="DO34659" s="303" t="s">
        <v>232</v>
      </c>
    </row>
    <row r="34660" spans="119:119" x14ac:dyDescent="0.2">
      <c r="DO34660" s="303" t="s">
        <v>232</v>
      </c>
    </row>
    <row r="34661" spans="119:119" x14ac:dyDescent="0.2">
      <c r="DO34661" s="303" t="s">
        <v>232</v>
      </c>
    </row>
    <row r="34662" spans="119:119" x14ac:dyDescent="0.2">
      <c r="DO34662" s="303" t="s">
        <v>232</v>
      </c>
    </row>
    <row r="34663" spans="119:119" x14ac:dyDescent="0.2">
      <c r="DO34663" s="303" t="s">
        <v>232</v>
      </c>
    </row>
    <row r="34664" spans="119:119" x14ac:dyDescent="0.2">
      <c r="DO34664" s="303" t="s">
        <v>232</v>
      </c>
    </row>
    <row r="34665" spans="119:119" x14ac:dyDescent="0.2">
      <c r="DO34665" s="303" t="s">
        <v>232</v>
      </c>
    </row>
    <row r="34666" spans="119:119" x14ac:dyDescent="0.2">
      <c r="DO34666" s="303" t="s">
        <v>232</v>
      </c>
    </row>
    <row r="34667" spans="119:119" x14ac:dyDescent="0.2">
      <c r="DO34667" s="303" t="s">
        <v>232</v>
      </c>
    </row>
    <row r="34668" spans="119:119" x14ac:dyDescent="0.2">
      <c r="DO34668" s="303" t="s">
        <v>232</v>
      </c>
    </row>
    <row r="34669" spans="119:119" x14ac:dyDescent="0.2">
      <c r="DO34669" s="303" t="s">
        <v>232</v>
      </c>
    </row>
    <row r="34670" spans="119:119" x14ac:dyDescent="0.2">
      <c r="DO34670" s="303" t="s">
        <v>232</v>
      </c>
    </row>
    <row r="34671" spans="119:119" x14ac:dyDescent="0.2">
      <c r="DO34671" s="303" t="s">
        <v>232</v>
      </c>
    </row>
    <row r="34672" spans="119:119" x14ac:dyDescent="0.2">
      <c r="DO34672" s="303" t="s">
        <v>232</v>
      </c>
    </row>
    <row r="34673" spans="119:119" x14ac:dyDescent="0.2">
      <c r="DO34673" s="303" t="s">
        <v>232</v>
      </c>
    </row>
    <row r="34674" spans="119:119" x14ac:dyDescent="0.2">
      <c r="DO34674" s="303" t="s">
        <v>232</v>
      </c>
    </row>
    <row r="34675" spans="119:119" x14ac:dyDescent="0.2">
      <c r="DO34675" s="303" t="s">
        <v>232</v>
      </c>
    </row>
    <row r="34676" spans="119:119" x14ac:dyDescent="0.2">
      <c r="DO34676" s="303" t="s">
        <v>232</v>
      </c>
    </row>
    <row r="34677" spans="119:119" x14ac:dyDescent="0.2">
      <c r="DO34677" s="303" t="s">
        <v>232</v>
      </c>
    </row>
    <row r="34678" spans="119:119" x14ac:dyDescent="0.2">
      <c r="DO34678" s="303" t="s">
        <v>232</v>
      </c>
    </row>
    <row r="34679" spans="119:119" x14ac:dyDescent="0.2">
      <c r="DO34679" s="303" t="s">
        <v>232</v>
      </c>
    </row>
    <row r="34680" spans="119:119" x14ac:dyDescent="0.2">
      <c r="DO34680" s="303" t="s">
        <v>232</v>
      </c>
    </row>
    <row r="34681" spans="119:119" x14ac:dyDescent="0.2">
      <c r="DO34681" s="303" t="s">
        <v>232</v>
      </c>
    </row>
    <row r="34682" spans="119:119" x14ac:dyDescent="0.2">
      <c r="DO34682" s="303" t="s">
        <v>232</v>
      </c>
    </row>
    <row r="34683" spans="119:119" x14ac:dyDescent="0.2">
      <c r="DO34683" s="303" t="s">
        <v>232</v>
      </c>
    </row>
    <row r="34684" spans="119:119" x14ac:dyDescent="0.2">
      <c r="DO34684" s="303" t="s">
        <v>232</v>
      </c>
    </row>
    <row r="34685" spans="119:119" x14ac:dyDescent="0.2">
      <c r="DO34685" s="303" t="s">
        <v>232</v>
      </c>
    </row>
    <row r="34686" spans="119:119" x14ac:dyDescent="0.2">
      <c r="DO34686" s="303" t="s">
        <v>232</v>
      </c>
    </row>
    <row r="34687" spans="119:119" x14ac:dyDescent="0.2">
      <c r="DO34687" s="303" t="s">
        <v>232</v>
      </c>
    </row>
    <row r="34688" spans="119:119" x14ac:dyDescent="0.2">
      <c r="DO34688" s="303" t="s">
        <v>232</v>
      </c>
    </row>
    <row r="34689" spans="119:119" x14ac:dyDescent="0.2">
      <c r="DO34689" s="303" t="s">
        <v>232</v>
      </c>
    </row>
    <row r="34690" spans="119:119" x14ac:dyDescent="0.2">
      <c r="DO34690" s="303" t="s">
        <v>232</v>
      </c>
    </row>
    <row r="34691" spans="119:119" x14ac:dyDescent="0.2">
      <c r="DO34691" s="303" t="s">
        <v>232</v>
      </c>
    </row>
    <row r="34692" spans="119:119" x14ac:dyDescent="0.2">
      <c r="DO34692" s="303" t="s">
        <v>232</v>
      </c>
    </row>
    <row r="34693" spans="119:119" x14ac:dyDescent="0.2">
      <c r="DO34693" s="303" t="s">
        <v>232</v>
      </c>
    </row>
    <row r="34694" spans="119:119" x14ac:dyDescent="0.2">
      <c r="DO34694" s="303" t="s">
        <v>232</v>
      </c>
    </row>
    <row r="34695" spans="119:119" x14ac:dyDescent="0.2">
      <c r="DO34695" s="303" t="s">
        <v>232</v>
      </c>
    </row>
    <row r="34696" spans="119:119" x14ac:dyDescent="0.2">
      <c r="DO34696" s="303" t="s">
        <v>232</v>
      </c>
    </row>
    <row r="34697" spans="119:119" x14ac:dyDescent="0.2">
      <c r="DO34697" s="303" t="s">
        <v>232</v>
      </c>
    </row>
    <row r="34698" spans="119:119" x14ac:dyDescent="0.2">
      <c r="DO34698" s="303" t="s">
        <v>232</v>
      </c>
    </row>
    <row r="34699" spans="119:119" x14ac:dyDescent="0.2">
      <c r="DO34699" s="303" t="s">
        <v>232</v>
      </c>
    </row>
    <row r="34700" spans="119:119" x14ac:dyDescent="0.2">
      <c r="DO34700" s="303" t="s">
        <v>232</v>
      </c>
    </row>
    <row r="34701" spans="119:119" x14ac:dyDescent="0.2">
      <c r="DO34701" s="303" t="s">
        <v>232</v>
      </c>
    </row>
    <row r="34702" spans="119:119" x14ac:dyDescent="0.2">
      <c r="DO34702" s="303" t="s">
        <v>232</v>
      </c>
    </row>
    <row r="34703" spans="119:119" x14ac:dyDescent="0.2">
      <c r="DO34703" s="303" t="s">
        <v>232</v>
      </c>
    </row>
    <row r="34704" spans="119:119" x14ac:dyDescent="0.2">
      <c r="DO34704" s="303" t="s">
        <v>232</v>
      </c>
    </row>
    <row r="34705" spans="119:119" x14ac:dyDescent="0.2">
      <c r="DO34705" s="303" t="s">
        <v>232</v>
      </c>
    </row>
    <row r="34706" spans="119:119" x14ac:dyDescent="0.2">
      <c r="DO34706" s="303" t="s">
        <v>232</v>
      </c>
    </row>
    <row r="34707" spans="119:119" x14ac:dyDescent="0.2">
      <c r="DO34707" s="303" t="s">
        <v>232</v>
      </c>
    </row>
    <row r="34708" spans="119:119" x14ac:dyDescent="0.2">
      <c r="DO34708" s="303" t="s">
        <v>232</v>
      </c>
    </row>
    <row r="34709" spans="119:119" x14ac:dyDescent="0.2">
      <c r="DO34709" s="303" t="s">
        <v>232</v>
      </c>
    </row>
    <row r="34710" spans="119:119" x14ac:dyDescent="0.2">
      <c r="DO34710" s="303" t="s">
        <v>232</v>
      </c>
    </row>
    <row r="34711" spans="119:119" x14ac:dyDescent="0.2">
      <c r="DO34711" s="303" t="s">
        <v>232</v>
      </c>
    </row>
    <row r="34712" spans="119:119" x14ac:dyDescent="0.2">
      <c r="DO34712" s="303" t="s">
        <v>232</v>
      </c>
    </row>
    <row r="34713" spans="119:119" x14ac:dyDescent="0.2">
      <c r="DO34713" s="303" t="s">
        <v>232</v>
      </c>
    </row>
    <row r="34714" spans="119:119" x14ac:dyDescent="0.2">
      <c r="DO34714" s="303" t="s">
        <v>232</v>
      </c>
    </row>
    <row r="34715" spans="119:119" x14ac:dyDescent="0.2">
      <c r="DO34715" s="303" t="s">
        <v>232</v>
      </c>
    </row>
    <row r="34716" spans="119:119" x14ac:dyDescent="0.2">
      <c r="DO34716" s="303" t="s">
        <v>232</v>
      </c>
    </row>
    <row r="34717" spans="119:119" x14ac:dyDescent="0.2">
      <c r="DO34717" s="303" t="s">
        <v>232</v>
      </c>
    </row>
    <row r="34718" spans="119:119" x14ac:dyDescent="0.2">
      <c r="DO34718" s="303" t="s">
        <v>232</v>
      </c>
    </row>
    <row r="34719" spans="119:119" x14ac:dyDescent="0.2">
      <c r="DO34719" s="303" t="s">
        <v>232</v>
      </c>
    </row>
    <row r="34720" spans="119:119" x14ac:dyDescent="0.2">
      <c r="DO34720" s="303" t="s">
        <v>232</v>
      </c>
    </row>
    <row r="34721" spans="119:119" x14ac:dyDescent="0.2">
      <c r="DO34721" s="303" t="s">
        <v>232</v>
      </c>
    </row>
    <row r="34722" spans="119:119" x14ac:dyDescent="0.2">
      <c r="DO34722" s="303" t="s">
        <v>232</v>
      </c>
    </row>
    <row r="34723" spans="119:119" x14ac:dyDescent="0.2">
      <c r="DO34723" s="303" t="s">
        <v>232</v>
      </c>
    </row>
    <row r="34724" spans="119:119" x14ac:dyDescent="0.2">
      <c r="DO34724" s="303" t="s">
        <v>232</v>
      </c>
    </row>
    <row r="34725" spans="119:119" x14ac:dyDescent="0.2">
      <c r="DO34725" s="303" t="s">
        <v>232</v>
      </c>
    </row>
    <row r="34726" spans="119:119" x14ac:dyDescent="0.2">
      <c r="DO34726" s="303" t="s">
        <v>232</v>
      </c>
    </row>
    <row r="34727" spans="119:119" x14ac:dyDescent="0.2">
      <c r="DO34727" s="303" t="s">
        <v>232</v>
      </c>
    </row>
    <row r="34728" spans="119:119" x14ac:dyDescent="0.2">
      <c r="DO34728" s="303" t="s">
        <v>232</v>
      </c>
    </row>
    <row r="34729" spans="119:119" x14ac:dyDescent="0.2">
      <c r="DO34729" s="303" t="s">
        <v>232</v>
      </c>
    </row>
    <row r="34730" spans="119:119" x14ac:dyDescent="0.2">
      <c r="DO34730" s="303" t="s">
        <v>232</v>
      </c>
    </row>
    <row r="34731" spans="119:119" x14ac:dyDescent="0.2">
      <c r="DO34731" s="303" t="s">
        <v>232</v>
      </c>
    </row>
    <row r="34732" spans="119:119" x14ac:dyDescent="0.2">
      <c r="DO34732" s="303" t="s">
        <v>232</v>
      </c>
    </row>
    <row r="34733" spans="119:119" x14ac:dyDescent="0.2">
      <c r="DO34733" s="303" t="s">
        <v>232</v>
      </c>
    </row>
    <row r="34734" spans="119:119" x14ac:dyDescent="0.2">
      <c r="DO34734" s="303" t="s">
        <v>232</v>
      </c>
    </row>
    <row r="34735" spans="119:119" x14ac:dyDescent="0.2">
      <c r="DO34735" s="303" t="s">
        <v>232</v>
      </c>
    </row>
    <row r="34736" spans="119:119" x14ac:dyDescent="0.2">
      <c r="DO34736" s="303" t="s">
        <v>232</v>
      </c>
    </row>
    <row r="34737" spans="119:119" x14ac:dyDescent="0.2">
      <c r="DO34737" s="303" t="s">
        <v>232</v>
      </c>
    </row>
    <row r="34738" spans="119:119" x14ac:dyDescent="0.2">
      <c r="DO34738" s="303" t="s">
        <v>232</v>
      </c>
    </row>
    <row r="34739" spans="119:119" x14ac:dyDescent="0.2">
      <c r="DO34739" s="303" t="s">
        <v>232</v>
      </c>
    </row>
    <row r="34740" spans="119:119" x14ac:dyDescent="0.2">
      <c r="DO34740" s="303" t="s">
        <v>232</v>
      </c>
    </row>
    <row r="34741" spans="119:119" x14ac:dyDescent="0.2">
      <c r="DO34741" s="303" t="s">
        <v>232</v>
      </c>
    </row>
    <row r="34742" spans="119:119" x14ac:dyDescent="0.2">
      <c r="DO34742" s="303" t="s">
        <v>232</v>
      </c>
    </row>
    <row r="34743" spans="119:119" x14ac:dyDescent="0.2">
      <c r="DO34743" s="303" t="s">
        <v>232</v>
      </c>
    </row>
    <row r="34744" spans="119:119" x14ac:dyDescent="0.2">
      <c r="DO34744" s="303" t="s">
        <v>232</v>
      </c>
    </row>
    <row r="34745" spans="119:119" x14ac:dyDescent="0.2">
      <c r="DO34745" s="303" t="s">
        <v>232</v>
      </c>
    </row>
    <row r="34746" spans="119:119" x14ac:dyDescent="0.2">
      <c r="DO34746" s="303" t="s">
        <v>232</v>
      </c>
    </row>
    <row r="34747" spans="119:119" x14ac:dyDescent="0.2">
      <c r="DO34747" s="303" t="s">
        <v>232</v>
      </c>
    </row>
    <row r="34748" spans="119:119" x14ac:dyDescent="0.2">
      <c r="DO34748" s="303" t="s">
        <v>232</v>
      </c>
    </row>
    <row r="34749" spans="119:119" x14ac:dyDescent="0.2">
      <c r="DO34749" s="303" t="s">
        <v>232</v>
      </c>
    </row>
    <row r="34750" spans="119:119" x14ac:dyDescent="0.2">
      <c r="DO34750" s="303" t="s">
        <v>232</v>
      </c>
    </row>
    <row r="34751" spans="119:119" x14ac:dyDescent="0.2">
      <c r="DO34751" s="303" t="s">
        <v>232</v>
      </c>
    </row>
    <row r="34752" spans="119:119" x14ac:dyDescent="0.2">
      <c r="DO34752" s="303" t="s">
        <v>232</v>
      </c>
    </row>
    <row r="34753" spans="119:119" x14ac:dyDescent="0.2">
      <c r="DO34753" s="303" t="s">
        <v>232</v>
      </c>
    </row>
    <row r="34754" spans="119:119" x14ac:dyDescent="0.2">
      <c r="DO34754" s="303" t="s">
        <v>232</v>
      </c>
    </row>
    <row r="34755" spans="119:119" x14ac:dyDescent="0.2">
      <c r="DO34755" s="303" t="s">
        <v>232</v>
      </c>
    </row>
    <row r="34756" spans="119:119" x14ac:dyDescent="0.2">
      <c r="DO34756" s="303" t="s">
        <v>232</v>
      </c>
    </row>
    <row r="34757" spans="119:119" x14ac:dyDescent="0.2">
      <c r="DO34757" s="303" t="s">
        <v>232</v>
      </c>
    </row>
    <row r="34758" spans="119:119" x14ac:dyDescent="0.2">
      <c r="DO34758" s="303" t="s">
        <v>232</v>
      </c>
    </row>
    <row r="34759" spans="119:119" x14ac:dyDescent="0.2">
      <c r="DO34759" s="303" t="s">
        <v>232</v>
      </c>
    </row>
    <row r="34760" spans="119:119" x14ac:dyDescent="0.2">
      <c r="DO34760" s="303" t="s">
        <v>232</v>
      </c>
    </row>
    <row r="34761" spans="119:119" x14ac:dyDescent="0.2">
      <c r="DO34761" s="303" t="s">
        <v>232</v>
      </c>
    </row>
    <row r="34762" spans="119:119" x14ac:dyDescent="0.2">
      <c r="DO34762" s="303" t="s">
        <v>232</v>
      </c>
    </row>
    <row r="34763" spans="119:119" x14ac:dyDescent="0.2">
      <c r="DO34763" s="303" t="s">
        <v>232</v>
      </c>
    </row>
    <row r="34764" spans="119:119" x14ac:dyDescent="0.2">
      <c r="DO34764" s="303" t="s">
        <v>232</v>
      </c>
    </row>
    <row r="34765" spans="119:119" x14ac:dyDescent="0.2">
      <c r="DO34765" s="303" t="s">
        <v>232</v>
      </c>
    </row>
    <row r="34766" spans="119:119" x14ac:dyDescent="0.2">
      <c r="DO34766" s="303" t="s">
        <v>232</v>
      </c>
    </row>
    <row r="34767" spans="119:119" x14ac:dyDescent="0.2">
      <c r="DO34767" s="303" t="s">
        <v>232</v>
      </c>
    </row>
    <row r="34768" spans="119:119" x14ac:dyDescent="0.2">
      <c r="DO34768" s="303" t="s">
        <v>232</v>
      </c>
    </row>
    <row r="34769" spans="119:119" x14ac:dyDescent="0.2">
      <c r="DO34769" s="303" t="s">
        <v>232</v>
      </c>
    </row>
    <row r="34770" spans="119:119" x14ac:dyDescent="0.2">
      <c r="DO34770" s="303" t="s">
        <v>232</v>
      </c>
    </row>
    <row r="34771" spans="119:119" x14ac:dyDescent="0.2">
      <c r="DO34771" s="303" t="s">
        <v>232</v>
      </c>
    </row>
    <row r="34772" spans="119:119" x14ac:dyDescent="0.2">
      <c r="DO34772" s="303" t="s">
        <v>232</v>
      </c>
    </row>
    <row r="34773" spans="119:119" x14ac:dyDescent="0.2">
      <c r="DO34773" s="303" t="s">
        <v>232</v>
      </c>
    </row>
    <row r="34774" spans="119:119" x14ac:dyDescent="0.2">
      <c r="DO34774" s="303" t="s">
        <v>232</v>
      </c>
    </row>
    <row r="34775" spans="119:119" x14ac:dyDescent="0.2">
      <c r="DO34775" s="303" t="s">
        <v>232</v>
      </c>
    </row>
    <row r="34776" spans="119:119" x14ac:dyDescent="0.2">
      <c r="DO34776" s="303" t="s">
        <v>232</v>
      </c>
    </row>
    <row r="34777" spans="119:119" x14ac:dyDescent="0.2">
      <c r="DO34777" s="303" t="s">
        <v>232</v>
      </c>
    </row>
    <row r="34778" spans="119:119" x14ac:dyDescent="0.2">
      <c r="DO34778" s="303" t="s">
        <v>232</v>
      </c>
    </row>
    <row r="34779" spans="119:119" x14ac:dyDescent="0.2">
      <c r="DO34779" s="303" t="s">
        <v>232</v>
      </c>
    </row>
    <row r="34780" spans="119:119" x14ac:dyDescent="0.2">
      <c r="DO34780" s="303" t="s">
        <v>232</v>
      </c>
    </row>
    <row r="34781" spans="119:119" x14ac:dyDescent="0.2">
      <c r="DO34781" s="303" t="s">
        <v>232</v>
      </c>
    </row>
    <row r="34782" spans="119:119" x14ac:dyDescent="0.2">
      <c r="DO34782" s="303" t="s">
        <v>232</v>
      </c>
    </row>
    <row r="34783" spans="119:119" x14ac:dyDescent="0.2">
      <c r="DO34783" s="303" t="s">
        <v>232</v>
      </c>
    </row>
    <row r="34784" spans="119:119" x14ac:dyDescent="0.2">
      <c r="DO34784" s="303" t="s">
        <v>232</v>
      </c>
    </row>
    <row r="34785" spans="119:119" x14ac:dyDescent="0.2">
      <c r="DO34785" s="303" t="s">
        <v>232</v>
      </c>
    </row>
    <row r="34786" spans="119:119" x14ac:dyDescent="0.2">
      <c r="DO34786" s="303" t="s">
        <v>232</v>
      </c>
    </row>
    <row r="34787" spans="119:119" x14ac:dyDescent="0.2">
      <c r="DO34787" s="303" t="s">
        <v>232</v>
      </c>
    </row>
    <row r="34788" spans="119:119" x14ac:dyDescent="0.2">
      <c r="DO34788" s="303" t="s">
        <v>232</v>
      </c>
    </row>
    <row r="34789" spans="119:119" x14ac:dyDescent="0.2">
      <c r="DO34789" s="303" t="s">
        <v>232</v>
      </c>
    </row>
    <row r="34790" spans="119:119" x14ac:dyDescent="0.2">
      <c r="DO34790" s="303" t="s">
        <v>232</v>
      </c>
    </row>
    <row r="34791" spans="119:119" x14ac:dyDescent="0.2">
      <c r="DO34791" s="303" t="s">
        <v>232</v>
      </c>
    </row>
    <row r="34792" spans="119:119" x14ac:dyDescent="0.2">
      <c r="DO34792" s="303" t="s">
        <v>232</v>
      </c>
    </row>
    <row r="34793" spans="119:119" x14ac:dyDescent="0.2">
      <c r="DO34793" s="303" t="s">
        <v>232</v>
      </c>
    </row>
    <row r="34794" spans="119:119" x14ac:dyDescent="0.2">
      <c r="DO34794" s="303" t="s">
        <v>232</v>
      </c>
    </row>
    <row r="34795" spans="119:119" x14ac:dyDescent="0.2">
      <c r="DO34795" s="303" t="s">
        <v>232</v>
      </c>
    </row>
    <row r="34796" spans="119:119" x14ac:dyDescent="0.2">
      <c r="DO34796" s="303" t="s">
        <v>232</v>
      </c>
    </row>
    <row r="34797" spans="119:119" x14ac:dyDescent="0.2">
      <c r="DO34797" s="303" t="s">
        <v>232</v>
      </c>
    </row>
    <row r="34798" spans="119:119" x14ac:dyDescent="0.2">
      <c r="DO34798" s="303" t="s">
        <v>232</v>
      </c>
    </row>
    <row r="34799" spans="119:119" x14ac:dyDescent="0.2">
      <c r="DO34799" s="303" t="s">
        <v>232</v>
      </c>
    </row>
    <row r="34800" spans="119:119" x14ac:dyDescent="0.2">
      <c r="DO34800" s="303" t="s">
        <v>232</v>
      </c>
    </row>
    <row r="34801" spans="119:119" x14ac:dyDescent="0.2">
      <c r="DO34801" s="303" t="s">
        <v>232</v>
      </c>
    </row>
    <row r="34802" spans="119:119" x14ac:dyDescent="0.2">
      <c r="DO34802" s="303" t="s">
        <v>232</v>
      </c>
    </row>
    <row r="34803" spans="119:119" x14ac:dyDescent="0.2">
      <c r="DO34803" s="303" t="s">
        <v>232</v>
      </c>
    </row>
    <row r="34804" spans="119:119" x14ac:dyDescent="0.2">
      <c r="DO34804" s="303" t="s">
        <v>232</v>
      </c>
    </row>
    <row r="34805" spans="119:119" x14ac:dyDescent="0.2">
      <c r="DO34805" s="303" t="s">
        <v>232</v>
      </c>
    </row>
    <row r="34806" spans="119:119" x14ac:dyDescent="0.2">
      <c r="DO34806" s="303" t="s">
        <v>232</v>
      </c>
    </row>
    <row r="34807" spans="119:119" x14ac:dyDescent="0.2">
      <c r="DO34807" s="303" t="s">
        <v>232</v>
      </c>
    </row>
    <row r="34808" spans="119:119" x14ac:dyDescent="0.2">
      <c r="DO34808" s="303" t="s">
        <v>232</v>
      </c>
    </row>
    <row r="34809" spans="119:119" x14ac:dyDescent="0.2">
      <c r="DO34809" s="303" t="s">
        <v>232</v>
      </c>
    </row>
    <row r="34810" spans="119:119" x14ac:dyDescent="0.2">
      <c r="DO34810" s="303" t="s">
        <v>232</v>
      </c>
    </row>
    <row r="34811" spans="119:119" x14ac:dyDescent="0.2">
      <c r="DO34811" s="303" t="s">
        <v>232</v>
      </c>
    </row>
    <row r="34812" spans="119:119" x14ac:dyDescent="0.2">
      <c r="DO34812" s="303" t="s">
        <v>232</v>
      </c>
    </row>
    <row r="34813" spans="119:119" x14ac:dyDescent="0.2">
      <c r="DO34813" s="303" t="s">
        <v>232</v>
      </c>
    </row>
    <row r="34814" spans="119:119" x14ac:dyDescent="0.2">
      <c r="DO34814" s="303" t="s">
        <v>232</v>
      </c>
    </row>
    <row r="34815" spans="119:119" x14ac:dyDescent="0.2">
      <c r="DO34815" s="303" t="s">
        <v>232</v>
      </c>
    </row>
    <row r="34816" spans="119:119" x14ac:dyDescent="0.2">
      <c r="DO34816" s="303" t="s">
        <v>232</v>
      </c>
    </row>
    <row r="34817" spans="119:119" x14ac:dyDescent="0.2">
      <c r="DO34817" s="303" t="s">
        <v>232</v>
      </c>
    </row>
    <row r="34818" spans="119:119" x14ac:dyDescent="0.2">
      <c r="DO34818" s="303" t="s">
        <v>232</v>
      </c>
    </row>
    <row r="34819" spans="119:119" x14ac:dyDescent="0.2">
      <c r="DO34819" s="303" t="s">
        <v>232</v>
      </c>
    </row>
    <row r="34820" spans="119:119" x14ac:dyDescent="0.2">
      <c r="DO34820" s="303" t="s">
        <v>232</v>
      </c>
    </row>
    <row r="34821" spans="119:119" x14ac:dyDescent="0.2">
      <c r="DO34821" s="303" t="s">
        <v>232</v>
      </c>
    </row>
    <row r="34822" spans="119:119" x14ac:dyDescent="0.2">
      <c r="DO34822" s="303" t="s">
        <v>232</v>
      </c>
    </row>
    <row r="34823" spans="119:119" x14ac:dyDescent="0.2">
      <c r="DO34823" s="303" t="s">
        <v>232</v>
      </c>
    </row>
    <row r="34824" spans="119:119" x14ac:dyDescent="0.2">
      <c r="DO34824" s="303" t="s">
        <v>232</v>
      </c>
    </row>
    <row r="34825" spans="119:119" x14ac:dyDescent="0.2">
      <c r="DO34825" s="303" t="s">
        <v>232</v>
      </c>
    </row>
    <row r="34826" spans="119:119" x14ac:dyDescent="0.2">
      <c r="DO34826" s="303" t="s">
        <v>232</v>
      </c>
    </row>
    <row r="34827" spans="119:119" x14ac:dyDescent="0.2">
      <c r="DO34827" s="303" t="s">
        <v>232</v>
      </c>
    </row>
    <row r="34828" spans="119:119" x14ac:dyDescent="0.2">
      <c r="DO34828" s="303" t="s">
        <v>232</v>
      </c>
    </row>
    <row r="34829" spans="119:119" x14ac:dyDescent="0.2">
      <c r="DO34829" s="303" t="s">
        <v>232</v>
      </c>
    </row>
    <row r="34830" spans="119:119" x14ac:dyDescent="0.2">
      <c r="DO34830" s="303" t="s">
        <v>232</v>
      </c>
    </row>
    <row r="34831" spans="119:119" x14ac:dyDescent="0.2">
      <c r="DO34831" s="303" t="s">
        <v>232</v>
      </c>
    </row>
    <row r="34832" spans="119:119" x14ac:dyDescent="0.2">
      <c r="DO34832" s="303" t="s">
        <v>232</v>
      </c>
    </row>
    <row r="34833" spans="119:119" x14ac:dyDescent="0.2">
      <c r="DO34833" s="303" t="s">
        <v>232</v>
      </c>
    </row>
    <row r="34834" spans="119:119" x14ac:dyDescent="0.2">
      <c r="DO34834" s="303" t="s">
        <v>232</v>
      </c>
    </row>
    <row r="34835" spans="119:119" x14ac:dyDescent="0.2">
      <c r="DO34835" s="303" t="s">
        <v>232</v>
      </c>
    </row>
    <row r="34836" spans="119:119" x14ac:dyDescent="0.2">
      <c r="DO34836" s="303" t="s">
        <v>232</v>
      </c>
    </row>
    <row r="34837" spans="119:119" x14ac:dyDescent="0.2">
      <c r="DO34837" s="303" t="s">
        <v>232</v>
      </c>
    </row>
    <row r="34838" spans="119:119" x14ac:dyDescent="0.2">
      <c r="DO34838" s="303" t="s">
        <v>232</v>
      </c>
    </row>
    <row r="34839" spans="119:119" x14ac:dyDescent="0.2">
      <c r="DO34839" s="303" t="s">
        <v>232</v>
      </c>
    </row>
    <row r="34840" spans="119:119" x14ac:dyDescent="0.2">
      <c r="DO34840" s="303" t="s">
        <v>232</v>
      </c>
    </row>
    <row r="34841" spans="119:119" x14ac:dyDescent="0.2">
      <c r="DO34841" s="303" t="s">
        <v>232</v>
      </c>
    </row>
    <row r="34842" spans="119:119" x14ac:dyDescent="0.2">
      <c r="DO34842" s="303" t="s">
        <v>232</v>
      </c>
    </row>
    <row r="34843" spans="119:119" x14ac:dyDescent="0.2">
      <c r="DO34843" s="303" t="s">
        <v>232</v>
      </c>
    </row>
    <row r="34844" spans="119:119" x14ac:dyDescent="0.2">
      <c r="DO34844" s="303" t="s">
        <v>232</v>
      </c>
    </row>
    <row r="34845" spans="119:119" x14ac:dyDescent="0.2">
      <c r="DO34845" s="303" t="s">
        <v>232</v>
      </c>
    </row>
    <row r="34846" spans="119:119" x14ac:dyDescent="0.2">
      <c r="DO34846" s="303" t="s">
        <v>232</v>
      </c>
    </row>
    <row r="34847" spans="119:119" x14ac:dyDescent="0.2">
      <c r="DO34847" s="303" t="s">
        <v>232</v>
      </c>
    </row>
    <row r="34848" spans="119:119" x14ac:dyDescent="0.2">
      <c r="DO34848" s="303" t="s">
        <v>232</v>
      </c>
    </row>
    <row r="34849" spans="119:119" x14ac:dyDescent="0.2">
      <c r="DO34849" s="303" t="s">
        <v>232</v>
      </c>
    </row>
    <row r="34850" spans="119:119" x14ac:dyDescent="0.2">
      <c r="DO34850" s="303" t="s">
        <v>232</v>
      </c>
    </row>
    <row r="34851" spans="119:119" x14ac:dyDescent="0.2">
      <c r="DO34851" s="303" t="s">
        <v>232</v>
      </c>
    </row>
    <row r="34852" spans="119:119" x14ac:dyDescent="0.2">
      <c r="DO34852" s="303" t="s">
        <v>232</v>
      </c>
    </row>
    <row r="34853" spans="119:119" x14ac:dyDescent="0.2">
      <c r="DO34853" s="303" t="s">
        <v>232</v>
      </c>
    </row>
    <row r="34854" spans="119:119" x14ac:dyDescent="0.2">
      <c r="DO34854" s="303" t="s">
        <v>232</v>
      </c>
    </row>
    <row r="34855" spans="119:119" x14ac:dyDescent="0.2">
      <c r="DO34855" s="303" t="s">
        <v>232</v>
      </c>
    </row>
    <row r="34856" spans="119:119" x14ac:dyDescent="0.2">
      <c r="DO34856" s="303" t="s">
        <v>232</v>
      </c>
    </row>
    <row r="34857" spans="119:119" x14ac:dyDescent="0.2">
      <c r="DO34857" s="303" t="s">
        <v>232</v>
      </c>
    </row>
    <row r="34858" spans="119:119" x14ac:dyDescent="0.2">
      <c r="DO34858" s="303" t="s">
        <v>232</v>
      </c>
    </row>
    <row r="34859" spans="119:119" x14ac:dyDescent="0.2">
      <c r="DO34859" s="303" t="s">
        <v>232</v>
      </c>
    </row>
    <row r="34860" spans="119:119" x14ac:dyDescent="0.2">
      <c r="DO34860" s="303" t="s">
        <v>232</v>
      </c>
    </row>
    <row r="34861" spans="119:119" x14ac:dyDescent="0.2">
      <c r="DO34861" s="303" t="s">
        <v>232</v>
      </c>
    </row>
    <row r="34862" spans="119:119" x14ac:dyDescent="0.2">
      <c r="DO34862" s="303" t="s">
        <v>232</v>
      </c>
    </row>
    <row r="34863" spans="119:119" x14ac:dyDescent="0.2">
      <c r="DO34863" s="303" t="s">
        <v>232</v>
      </c>
    </row>
    <row r="34864" spans="119:119" x14ac:dyDescent="0.2">
      <c r="DO34864" s="303" t="s">
        <v>232</v>
      </c>
    </row>
    <row r="34865" spans="119:119" x14ac:dyDescent="0.2">
      <c r="DO34865" s="303" t="s">
        <v>232</v>
      </c>
    </row>
    <row r="34866" spans="119:119" x14ac:dyDescent="0.2">
      <c r="DO34866" s="303" t="s">
        <v>232</v>
      </c>
    </row>
    <row r="34867" spans="119:119" x14ac:dyDescent="0.2">
      <c r="DO34867" s="303" t="s">
        <v>232</v>
      </c>
    </row>
    <row r="34868" spans="119:119" x14ac:dyDescent="0.2">
      <c r="DO34868" s="303" t="s">
        <v>232</v>
      </c>
    </row>
    <row r="34869" spans="119:119" x14ac:dyDescent="0.2">
      <c r="DO34869" s="303" t="s">
        <v>232</v>
      </c>
    </row>
    <row r="34870" spans="119:119" x14ac:dyDescent="0.2">
      <c r="DO34870" s="303" t="s">
        <v>232</v>
      </c>
    </row>
    <row r="34871" spans="119:119" x14ac:dyDescent="0.2">
      <c r="DO34871" s="303" t="s">
        <v>232</v>
      </c>
    </row>
    <row r="34872" spans="119:119" x14ac:dyDescent="0.2">
      <c r="DO34872" s="303" t="s">
        <v>232</v>
      </c>
    </row>
    <row r="34873" spans="119:119" x14ac:dyDescent="0.2">
      <c r="DO34873" s="303" t="s">
        <v>232</v>
      </c>
    </row>
    <row r="34874" spans="119:119" x14ac:dyDescent="0.2">
      <c r="DO34874" s="303" t="s">
        <v>232</v>
      </c>
    </row>
    <row r="34875" spans="119:119" x14ac:dyDescent="0.2">
      <c r="DO34875" s="303" t="s">
        <v>232</v>
      </c>
    </row>
    <row r="34876" spans="119:119" x14ac:dyDescent="0.2">
      <c r="DO34876" s="303" t="s">
        <v>232</v>
      </c>
    </row>
    <row r="34877" spans="119:119" x14ac:dyDescent="0.2">
      <c r="DO34877" s="303" t="s">
        <v>232</v>
      </c>
    </row>
    <row r="34878" spans="119:119" x14ac:dyDescent="0.2">
      <c r="DO34878" s="303" t="s">
        <v>232</v>
      </c>
    </row>
    <row r="34879" spans="119:119" x14ac:dyDescent="0.2">
      <c r="DO34879" s="303" t="s">
        <v>232</v>
      </c>
    </row>
    <row r="34880" spans="119:119" x14ac:dyDescent="0.2">
      <c r="DO34880" s="303" t="s">
        <v>232</v>
      </c>
    </row>
    <row r="34881" spans="119:119" x14ac:dyDescent="0.2">
      <c r="DO34881" s="303" t="s">
        <v>232</v>
      </c>
    </row>
    <row r="34882" spans="119:119" x14ac:dyDescent="0.2">
      <c r="DO34882" s="303" t="s">
        <v>232</v>
      </c>
    </row>
    <row r="34883" spans="119:119" x14ac:dyDescent="0.2">
      <c r="DO34883" s="303" t="s">
        <v>232</v>
      </c>
    </row>
    <row r="34884" spans="119:119" x14ac:dyDescent="0.2">
      <c r="DO34884" s="303" t="s">
        <v>232</v>
      </c>
    </row>
    <row r="34885" spans="119:119" x14ac:dyDescent="0.2">
      <c r="DO34885" s="303" t="s">
        <v>232</v>
      </c>
    </row>
    <row r="34886" spans="119:119" x14ac:dyDescent="0.2">
      <c r="DO34886" s="303" t="s">
        <v>232</v>
      </c>
    </row>
    <row r="34887" spans="119:119" x14ac:dyDescent="0.2">
      <c r="DO34887" s="303" t="s">
        <v>232</v>
      </c>
    </row>
    <row r="34888" spans="119:119" x14ac:dyDescent="0.2">
      <c r="DO34888" s="303" t="s">
        <v>232</v>
      </c>
    </row>
    <row r="34889" spans="119:119" x14ac:dyDescent="0.2">
      <c r="DO34889" s="303" t="s">
        <v>232</v>
      </c>
    </row>
    <row r="34890" spans="119:119" x14ac:dyDescent="0.2">
      <c r="DO34890" s="303" t="s">
        <v>232</v>
      </c>
    </row>
    <row r="34891" spans="119:119" x14ac:dyDescent="0.2">
      <c r="DO34891" s="303" t="s">
        <v>232</v>
      </c>
    </row>
    <row r="34892" spans="119:119" x14ac:dyDescent="0.2">
      <c r="DO34892" s="303" t="s">
        <v>232</v>
      </c>
    </row>
    <row r="34893" spans="119:119" x14ac:dyDescent="0.2">
      <c r="DO34893" s="303" t="s">
        <v>232</v>
      </c>
    </row>
    <row r="34894" spans="119:119" x14ac:dyDescent="0.2">
      <c r="DO34894" s="303" t="s">
        <v>232</v>
      </c>
    </row>
    <row r="34895" spans="119:119" x14ac:dyDescent="0.2">
      <c r="DO34895" s="303" t="s">
        <v>232</v>
      </c>
    </row>
    <row r="34896" spans="119:119" x14ac:dyDescent="0.2">
      <c r="DO34896" s="303" t="s">
        <v>232</v>
      </c>
    </row>
    <row r="34897" spans="119:119" x14ac:dyDescent="0.2">
      <c r="DO34897" s="303" t="s">
        <v>232</v>
      </c>
    </row>
    <row r="34898" spans="119:119" x14ac:dyDescent="0.2">
      <c r="DO34898" s="303" t="s">
        <v>232</v>
      </c>
    </row>
    <row r="34899" spans="119:119" x14ac:dyDescent="0.2">
      <c r="DO34899" s="303" t="s">
        <v>232</v>
      </c>
    </row>
    <row r="34900" spans="119:119" x14ac:dyDescent="0.2">
      <c r="DO34900" s="303" t="s">
        <v>232</v>
      </c>
    </row>
    <row r="34901" spans="119:119" x14ac:dyDescent="0.2">
      <c r="DO34901" s="303" t="s">
        <v>232</v>
      </c>
    </row>
    <row r="34902" spans="119:119" x14ac:dyDescent="0.2">
      <c r="DO34902" s="303" t="s">
        <v>232</v>
      </c>
    </row>
    <row r="34903" spans="119:119" x14ac:dyDescent="0.2">
      <c r="DO34903" s="303" t="s">
        <v>232</v>
      </c>
    </row>
    <row r="34904" spans="119:119" x14ac:dyDescent="0.2">
      <c r="DO34904" s="303" t="s">
        <v>232</v>
      </c>
    </row>
    <row r="34905" spans="119:119" x14ac:dyDescent="0.2">
      <c r="DO34905" s="303" t="s">
        <v>232</v>
      </c>
    </row>
    <row r="34906" spans="119:119" x14ac:dyDescent="0.2">
      <c r="DO34906" s="303" t="s">
        <v>232</v>
      </c>
    </row>
    <row r="34907" spans="119:119" x14ac:dyDescent="0.2">
      <c r="DO34907" s="303" t="s">
        <v>232</v>
      </c>
    </row>
    <row r="34908" spans="119:119" x14ac:dyDescent="0.2">
      <c r="DO34908" s="303" t="s">
        <v>232</v>
      </c>
    </row>
    <row r="34909" spans="119:119" x14ac:dyDescent="0.2">
      <c r="DO34909" s="303" t="s">
        <v>232</v>
      </c>
    </row>
    <row r="34910" spans="119:119" x14ac:dyDescent="0.2">
      <c r="DO34910" s="303" t="s">
        <v>232</v>
      </c>
    </row>
    <row r="34911" spans="119:119" x14ac:dyDescent="0.2">
      <c r="DO34911" s="303" t="s">
        <v>232</v>
      </c>
    </row>
    <row r="34912" spans="119:119" x14ac:dyDescent="0.2">
      <c r="DO34912" s="303" t="s">
        <v>232</v>
      </c>
    </row>
    <row r="34913" spans="119:119" x14ac:dyDescent="0.2">
      <c r="DO34913" s="303" t="s">
        <v>232</v>
      </c>
    </row>
    <row r="34914" spans="119:119" x14ac:dyDescent="0.2">
      <c r="DO34914" s="303" t="s">
        <v>232</v>
      </c>
    </row>
    <row r="34915" spans="119:119" x14ac:dyDescent="0.2">
      <c r="DO34915" s="303" t="s">
        <v>232</v>
      </c>
    </row>
    <row r="34916" spans="119:119" x14ac:dyDescent="0.2">
      <c r="DO34916" s="303" t="s">
        <v>232</v>
      </c>
    </row>
    <row r="34917" spans="119:119" x14ac:dyDescent="0.2">
      <c r="DO34917" s="303" t="s">
        <v>232</v>
      </c>
    </row>
    <row r="34918" spans="119:119" x14ac:dyDescent="0.2">
      <c r="DO34918" s="303" t="s">
        <v>232</v>
      </c>
    </row>
    <row r="34919" spans="119:119" x14ac:dyDescent="0.2">
      <c r="DO34919" s="303" t="s">
        <v>232</v>
      </c>
    </row>
    <row r="34920" spans="119:119" x14ac:dyDescent="0.2">
      <c r="DO34920" s="303" t="s">
        <v>232</v>
      </c>
    </row>
    <row r="34921" spans="119:119" x14ac:dyDescent="0.2">
      <c r="DO34921" s="303" t="s">
        <v>232</v>
      </c>
    </row>
    <row r="34922" spans="119:119" x14ac:dyDescent="0.2">
      <c r="DO34922" s="303" t="s">
        <v>232</v>
      </c>
    </row>
    <row r="34923" spans="119:119" x14ac:dyDescent="0.2">
      <c r="DO34923" s="303" t="s">
        <v>232</v>
      </c>
    </row>
    <row r="34924" spans="119:119" x14ac:dyDescent="0.2">
      <c r="DO34924" s="303" t="s">
        <v>232</v>
      </c>
    </row>
    <row r="34925" spans="119:119" x14ac:dyDescent="0.2">
      <c r="DO34925" s="303" t="s">
        <v>232</v>
      </c>
    </row>
    <row r="34926" spans="119:119" x14ac:dyDescent="0.2">
      <c r="DO34926" s="303" t="s">
        <v>232</v>
      </c>
    </row>
    <row r="34927" spans="119:119" x14ac:dyDescent="0.2">
      <c r="DO34927" s="303" t="s">
        <v>232</v>
      </c>
    </row>
    <row r="34928" spans="119:119" x14ac:dyDescent="0.2">
      <c r="DO34928" s="303" t="s">
        <v>232</v>
      </c>
    </row>
    <row r="34929" spans="119:119" x14ac:dyDescent="0.2">
      <c r="DO34929" s="303" t="s">
        <v>232</v>
      </c>
    </row>
    <row r="34930" spans="119:119" x14ac:dyDescent="0.2">
      <c r="DO34930" s="303" t="s">
        <v>232</v>
      </c>
    </row>
    <row r="34931" spans="119:119" x14ac:dyDescent="0.2">
      <c r="DO34931" s="303" t="s">
        <v>232</v>
      </c>
    </row>
    <row r="34932" spans="119:119" x14ac:dyDescent="0.2">
      <c r="DO34932" s="303" t="s">
        <v>232</v>
      </c>
    </row>
    <row r="34933" spans="119:119" x14ac:dyDescent="0.2">
      <c r="DO34933" s="303" t="s">
        <v>232</v>
      </c>
    </row>
    <row r="34934" spans="119:119" x14ac:dyDescent="0.2">
      <c r="DO34934" s="303" t="s">
        <v>232</v>
      </c>
    </row>
    <row r="34935" spans="119:119" x14ac:dyDescent="0.2">
      <c r="DO34935" s="303" t="s">
        <v>232</v>
      </c>
    </row>
    <row r="34936" spans="119:119" x14ac:dyDescent="0.2">
      <c r="DO34936" s="303" t="s">
        <v>232</v>
      </c>
    </row>
    <row r="34937" spans="119:119" x14ac:dyDescent="0.2">
      <c r="DO34937" s="303" t="s">
        <v>232</v>
      </c>
    </row>
    <row r="34938" spans="119:119" x14ac:dyDescent="0.2">
      <c r="DO34938" s="303" t="s">
        <v>232</v>
      </c>
    </row>
    <row r="34939" spans="119:119" x14ac:dyDescent="0.2">
      <c r="DO34939" s="303" t="s">
        <v>232</v>
      </c>
    </row>
    <row r="34940" spans="119:119" x14ac:dyDescent="0.2">
      <c r="DO34940" s="303" t="s">
        <v>232</v>
      </c>
    </row>
    <row r="34941" spans="119:119" x14ac:dyDescent="0.2">
      <c r="DO34941" s="303" t="s">
        <v>232</v>
      </c>
    </row>
    <row r="34942" spans="119:119" x14ac:dyDescent="0.2">
      <c r="DO34942" s="303" t="s">
        <v>232</v>
      </c>
    </row>
    <row r="34943" spans="119:119" x14ac:dyDescent="0.2">
      <c r="DO34943" s="303" t="s">
        <v>232</v>
      </c>
    </row>
    <row r="34944" spans="119:119" x14ac:dyDescent="0.2">
      <c r="DO34944" s="303" t="s">
        <v>232</v>
      </c>
    </row>
    <row r="34945" spans="119:119" x14ac:dyDescent="0.2">
      <c r="DO34945" s="303" t="s">
        <v>232</v>
      </c>
    </row>
    <row r="34946" spans="119:119" x14ac:dyDescent="0.2">
      <c r="DO34946" s="303" t="s">
        <v>232</v>
      </c>
    </row>
    <row r="34947" spans="119:119" x14ac:dyDescent="0.2">
      <c r="DO34947" s="303" t="s">
        <v>232</v>
      </c>
    </row>
    <row r="34948" spans="119:119" x14ac:dyDescent="0.2">
      <c r="DO34948" s="303" t="s">
        <v>232</v>
      </c>
    </row>
    <row r="34949" spans="119:119" x14ac:dyDescent="0.2">
      <c r="DO34949" s="303" t="s">
        <v>232</v>
      </c>
    </row>
    <row r="34950" spans="119:119" x14ac:dyDescent="0.2">
      <c r="DO34950" s="303" t="s">
        <v>232</v>
      </c>
    </row>
    <row r="34951" spans="119:119" x14ac:dyDescent="0.2">
      <c r="DO34951" s="303" t="s">
        <v>232</v>
      </c>
    </row>
    <row r="34952" spans="119:119" x14ac:dyDescent="0.2">
      <c r="DO34952" s="303" t="s">
        <v>232</v>
      </c>
    </row>
    <row r="34953" spans="119:119" x14ac:dyDescent="0.2">
      <c r="DO34953" s="303" t="s">
        <v>232</v>
      </c>
    </row>
    <row r="34954" spans="119:119" x14ac:dyDescent="0.2">
      <c r="DO34954" s="303" t="s">
        <v>232</v>
      </c>
    </row>
    <row r="34955" spans="119:119" x14ac:dyDescent="0.2">
      <c r="DO34955" s="303" t="s">
        <v>232</v>
      </c>
    </row>
    <row r="34956" spans="119:119" x14ac:dyDescent="0.2">
      <c r="DO34956" s="303" t="s">
        <v>232</v>
      </c>
    </row>
    <row r="34957" spans="119:119" x14ac:dyDescent="0.2">
      <c r="DO34957" s="303" t="s">
        <v>232</v>
      </c>
    </row>
    <row r="34958" spans="119:119" x14ac:dyDescent="0.2">
      <c r="DO34958" s="303" t="s">
        <v>232</v>
      </c>
    </row>
    <row r="34959" spans="119:119" x14ac:dyDescent="0.2">
      <c r="DO34959" s="303" t="s">
        <v>232</v>
      </c>
    </row>
    <row r="34960" spans="119:119" x14ac:dyDescent="0.2">
      <c r="DO34960" s="303" t="s">
        <v>232</v>
      </c>
    </row>
    <row r="34961" spans="119:119" x14ac:dyDescent="0.2">
      <c r="DO34961" s="303" t="s">
        <v>232</v>
      </c>
    </row>
    <row r="34962" spans="119:119" x14ac:dyDescent="0.2">
      <c r="DO34962" s="303" t="s">
        <v>232</v>
      </c>
    </row>
    <row r="34963" spans="119:119" x14ac:dyDescent="0.2">
      <c r="DO34963" s="303" t="s">
        <v>232</v>
      </c>
    </row>
    <row r="34964" spans="119:119" x14ac:dyDescent="0.2">
      <c r="DO34964" s="303" t="s">
        <v>232</v>
      </c>
    </row>
    <row r="34965" spans="119:119" x14ac:dyDescent="0.2">
      <c r="DO34965" s="303" t="s">
        <v>232</v>
      </c>
    </row>
    <row r="34966" spans="119:119" x14ac:dyDescent="0.2">
      <c r="DO34966" s="303" t="s">
        <v>232</v>
      </c>
    </row>
    <row r="34967" spans="119:119" x14ac:dyDescent="0.2">
      <c r="DO34967" s="303" t="s">
        <v>232</v>
      </c>
    </row>
    <row r="34968" spans="119:119" x14ac:dyDescent="0.2">
      <c r="DO34968" s="303" t="s">
        <v>232</v>
      </c>
    </row>
    <row r="34969" spans="119:119" x14ac:dyDescent="0.2">
      <c r="DO34969" s="303" t="s">
        <v>232</v>
      </c>
    </row>
    <row r="34970" spans="119:119" x14ac:dyDescent="0.2">
      <c r="DO34970" s="303" t="s">
        <v>232</v>
      </c>
    </row>
    <row r="34971" spans="119:119" x14ac:dyDescent="0.2">
      <c r="DO34971" s="303" t="s">
        <v>232</v>
      </c>
    </row>
    <row r="34972" spans="119:119" x14ac:dyDescent="0.2">
      <c r="DO34972" s="303" t="s">
        <v>232</v>
      </c>
    </row>
    <row r="34973" spans="119:119" x14ac:dyDescent="0.2">
      <c r="DO34973" s="303" t="s">
        <v>232</v>
      </c>
    </row>
    <row r="34974" spans="119:119" x14ac:dyDescent="0.2">
      <c r="DO34974" s="303" t="s">
        <v>232</v>
      </c>
    </row>
    <row r="34975" spans="119:119" x14ac:dyDescent="0.2">
      <c r="DO34975" s="303" t="s">
        <v>232</v>
      </c>
    </row>
    <row r="34976" spans="119:119" x14ac:dyDescent="0.2">
      <c r="DO34976" s="303" t="s">
        <v>232</v>
      </c>
    </row>
    <row r="34977" spans="119:119" x14ac:dyDescent="0.2">
      <c r="DO34977" s="303" t="s">
        <v>232</v>
      </c>
    </row>
    <row r="34978" spans="119:119" x14ac:dyDescent="0.2">
      <c r="DO34978" s="303" t="s">
        <v>232</v>
      </c>
    </row>
    <row r="34979" spans="119:119" x14ac:dyDescent="0.2">
      <c r="DO34979" s="303" t="s">
        <v>232</v>
      </c>
    </row>
    <row r="34980" spans="119:119" x14ac:dyDescent="0.2">
      <c r="DO34980" s="303" t="s">
        <v>232</v>
      </c>
    </row>
    <row r="34981" spans="119:119" x14ac:dyDescent="0.2">
      <c r="DO34981" s="303" t="s">
        <v>232</v>
      </c>
    </row>
    <row r="34982" spans="119:119" x14ac:dyDescent="0.2">
      <c r="DO34982" s="303" t="s">
        <v>232</v>
      </c>
    </row>
    <row r="34983" spans="119:119" x14ac:dyDescent="0.2">
      <c r="DO34983" s="303" t="s">
        <v>232</v>
      </c>
    </row>
    <row r="34984" spans="119:119" x14ac:dyDescent="0.2">
      <c r="DO34984" s="303" t="s">
        <v>232</v>
      </c>
    </row>
    <row r="34985" spans="119:119" x14ac:dyDescent="0.2">
      <c r="DO34985" s="303" t="s">
        <v>232</v>
      </c>
    </row>
    <row r="34986" spans="119:119" x14ac:dyDescent="0.2">
      <c r="DO34986" s="303" t="s">
        <v>232</v>
      </c>
    </row>
    <row r="34987" spans="119:119" x14ac:dyDescent="0.2">
      <c r="DO34987" s="303" t="s">
        <v>232</v>
      </c>
    </row>
    <row r="34988" spans="119:119" x14ac:dyDescent="0.2">
      <c r="DO34988" s="303" t="s">
        <v>232</v>
      </c>
    </row>
    <row r="34989" spans="119:119" x14ac:dyDescent="0.2">
      <c r="DO34989" s="303" t="s">
        <v>232</v>
      </c>
    </row>
    <row r="34990" spans="119:119" x14ac:dyDescent="0.2">
      <c r="DO34990" s="303" t="s">
        <v>232</v>
      </c>
    </row>
    <row r="34991" spans="119:119" x14ac:dyDescent="0.2">
      <c r="DO34991" s="303" t="s">
        <v>232</v>
      </c>
    </row>
    <row r="34992" spans="119:119" x14ac:dyDescent="0.2">
      <c r="DO34992" s="303" t="s">
        <v>232</v>
      </c>
    </row>
    <row r="34993" spans="119:119" x14ac:dyDescent="0.2">
      <c r="DO34993" s="303" t="s">
        <v>232</v>
      </c>
    </row>
    <row r="34994" spans="119:119" x14ac:dyDescent="0.2">
      <c r="DO34994" s="303" t="s">
        <v>232</v>
      </c>
    </row>
    <row r="34995" spans="119:119" x14ac:dyDescent="0.2">
      <c r="DO34995" s="303" t="s">
        <v>232</v>
      </c>
    </row>
    <row r="34996" spans="119:119" x14ac:dyDescent="0.2">
      <c r="DO34996" s="303" t="s">
        <v>232</v>
      </c>
    </row>
    <row r="34997" spans="119:119" x14ac:dyDescent="0.2">
      <c r="DO34997" s="303" t="s">
        <v>232</v>
      </c>
    </row>
    <row r="34998" spans="119:119" x14ac:dyDescent="0.2">
      <c r="DO34998" s="303" t="s">
        <v>232</v>
      </c>
    </row>
    <row r="34999" spans="119:119" x14ac:dyDescent="0.2">
      <c r="DO34999" s="303" t="s">
        <v>232</v>
      </c>
    </row>
    <row r="35000" spans="119:119" x14ac:dyDescent="0.2">
      <c r="DO35000" s="303" t="s">
        <v>232</v>
      </c>
    </row>
    <row r="35001" spans="119:119" x14ac:dyDescent="0.2">
      <c r="DO35001" s="303" t="s">
        <v>232</v>
      </c>
    </row>
    <row r="35002" spans="119:119" x14ac:dyDescent="0.2">
      <c r="DO35002" s="303" t="s">
        <v>232</v>
      </c>
    </row>
    <row r="35003" spans="119:119" x14ac:dyDescent="0.2">
      <c r="DO35003" s="303" t="s">
        <v>232</v>
      </c>
    </row>
    <row r="35004" spans="119:119" x14ac:dyDescent="0.2">
      <c r="DO35004" s="303" t="s">
        <v>232</v>
      </c>
    </row>
    <row r="35005" spans="119:119" x14ac:dyDescent="0.2">
      <c r="DO35005" s="303" t="s">
        <v>232</v>
      </c>
    </row>
    <row r="35006" spans="119:119" x14ac:dyDescent="0.2">
      <c r="DO35006" s="303" t="s">
        <v>232</v>
      </c>
    </row>
    <row r="35007" spans="119:119" x14ac:dyDescent="0.2">
      <c r="DO35007" s="303" t="s">
        <v>232</v>
      </c>
    </row>
    <row r="35008" spans="119:119" x14ac:dyDescent="0.2">
      <c r="DO35008" s="303" t="s">
        <v>232</v>
      </c>
    </row>
    <row r="35009" spans="119:119" x14ac:dyDescent="0.2">
      <c r="DO35009" s="303" t="s">
        <v>232</v>
      </c>
    </row>
    <row r="35010" spans="119:119" x14ac:dyDescent="0.2">
      <c r="DO35010" s="303" t="s">
        <v>232</v>
      </c>
    </row>
    <row r="35011" spans="119:119" x14ac:dyDescent="0.2">
      <c r="DO35011" s="303" t="s">
        <v>232</v>
      </c>
    </row>
    <row r="35012" spans="119:119" x14ac:dyDescent="0.2">
      <c r="DO35012" s="303" t="s">
        <v>232</v>
      </c>
    </row>
    <row r="35013" spans="119:119" x14ac:dyDescent="0.2">
      <c r="DO35013" s="303" t="s">
        <v>232</v>
      </c>
    </row>
    <row r="35014" spans="119:119" x14ac:dyDescent="0.2">
      <c r="DO35014" s="303" t="s">
        <v>232</v>
      </c>
    </row>
    <row r="35015" spans="119:119" x14ac:dyDescent="0.2">
      <c r="DO35015" s="303" t="s">
        <v>232</v>
      </c>
    </row>
    <row r="35016" spans="119:119" x14ac:dyDescent="0.2">
      <c r="DO35016" s="303" t="s">
        <v>232</v>
      </c>
    </row>
    <row r="35017" spans="119:119" x14ac:dyDescent="0.2">
      <c r="DO35017" s="303" t="s">
        <v>232</v>
      </c>
    </row>
    <row r="35018" spans="119:119" x14ac:dyDescent="0.2">
      <c r="DO35018" s="303" t="s">
        <v>232</v>
      </c>
    </row>
    <row r="35019" spans="119:119" x14ac:dyDescent="0.2">
      <c r="DO35019" s="303" t="s">
        <v>232</v>
      </c>
    </row>
    <row r="35020" spans="119:119" x14ac:dyDescent="0.2">
      <c r="DO35020" s="303" t="s">
        <v>232</v>
      </c>
    </row>
    <row r="35021" spans="119:119" x14ac:dyDescent="0.2">
      <c r="DO35021" s="303" t="s">
        <v>232</v>
      </c>
    </row>
    <row r="35022" spans="119:119" x14ac:dyDescent="0.2">
      <c r="DO35022" s="303" t="s">
        <v>232</v>
      </c>
    </row>
    <row r="35023" spans="119:119" x14ac:dyDescent="0.2">
      <c r="DO35023" s="303" t="s">
        <v>232</v>
      </c>
    </row>
    <row r="35024" spans="119:119" x14ac:dyDescent="0.2">
      <c r="DO35024" s="303" t="s">
        <v>232</v>
      </c>
    </row>
    <row r="35025" spans="119:119" x14ac:dyDescent="0.2">
      <c r="DO35025" s="303" t="s">
        <v>232</v>
      </c>
    </row>
    <row r="35026" spans="119:119" x14ac:dyDescent="0.2">
      <c r="DO35026" s="303" t="s">
        <v>232</v>
      </c>
    </row>
    <row r="35027" spans="119:119" x14ac:dyDescent="0.2">
      <c r="DO35027" s="303" t="s">
        <v>232</v>
      </c>
    </row>
    <row r="35028" spans="119:119" x14ac:dyDescent="0.2">
      <c r="DO35028" s="303" t="s">
        <v>232</v>
      </c>
    </row>
    <row r="35029" spans="119:119" x14ac:dyDescent="0.2">
      <c r="DO35029" s="303" t="s">
        <v>232</v>
      </c>
    </row>
    <row r="35030" spans="119:119" x14ac:dyDescent="0.2">
      <c r="DO35030" s="303" t="s">
        <v>232</v>
      </c>
    </row>
    <row r="35031" spans="119:119" x14ac:dyDescent="0.2">
      <c r="DO35031" s="303" t="s">
        <v>232</v>
      </c>
    </row>
    <row r="35032" spans="119:119" x14ac:dyDescent="0.2">
      <c r="DO35032" s="303" t="s">
        <v>232</v>
      </c>
    </row>
    <row r="35033" spans="119:119" x14ac:dyDescent="0.2">
      <c r="DO35033" s="303" t="s">
        <v>232</v>
      </c>
    </row>
    <row r="35034" spans="119:119" x14ac:dyDescent="0.2">
      <c r="DO35034" s="303" t="s">
        <v>232</v>
      </c>
    </row>
    <row r="35035" spans="119:119" x14ac:dyDescent="0.2">
      <c r="DO35035" s="303" t="s">
        <v>232</v>
      </c>
    </row>
    <row r="35036" spans="119:119" x14ac:dyDescent="0.2">
      <c r="DO35036" s="303" t="s">
        <v>232</v>
      </c>
    </row>
    <row r="35037" spans="119:119" x14ac:dyDescent="0.2">
      <c r="DO35037" s="303" t="s">
        <v>232</v>
      </c>
    </row>
    <row r="35038" spans="119:119" x14ac:dyDescent="0.2">
      <c r="DO35038" s="303" t="s">
        <v>232</v>
      </c>
    </row>
    <row r="35039" spans="119:119" x14ac:dyDescent="0.2">
      <c r="DO35039" s="303" t="s">
        <v>232</v>
      </c>
    </row>
    <row r="35040" spans="119:119" x14ac:dyDescent="0.2">
      <c r="DO35040" s="303" t="s">
        <v>232</v>
      </c>
    </row>
    <row r="35041" spans="119:119" x14ac:dyDescent="0.2">
      <c r="DO35041" s="303" t="s">
        <v>232</v>
      </c>
    </row>
    <row r="35042" spans="119:119" x14ac:dyDescent="0.2">
      <c r="DO35042" s="303" t="s">
        <v>232</v>
      </c>
    </row>
    <row r="35043" spans="119:119" x14ac:dyDescent="0.2">
      <c r="DO35043" s="303" t="s">
        <v>232</v>
      </c>
    </row>
    <row r="35044" spans="119:119" x14ac:dyDescent="0.2">
      <c r="DO35044" s="303" t="s">
        <v>232</v>
      </c>
    </row>
    <row r="35045" spans="119:119" x14ac:dyDescent="0.2">
      <c r="DO35045" s="303" t="s">
        <v>232</v>
      </c>
    </row>
    <row r="35046" spans="119:119" x14ac:dyDescent="0.2">
      <c r="DO35046" s="303" t="s">
        <v>232</v>
      </c>
    </row>
    <row r="35047" spans="119:119" x14ac:dyDescent="0.2">
      <c r="DO35047" s="303" t="s">
        <v>232</v>
      </c>
    </row>
    <row r="35048" spans="119:119" x14ac:dyDescent="0.2">
      <c r="DO35048" s="303" t="s">
        <v>232</v>
      </c>
    </row>
    <row r="35049" spans="119:119" x14ac:dyDescent="0.2">
      <c r="DO35049" s="303" t="s">
        <v>232</v>
      </c>
    </row>
    <row r="35050" spans="119:119" x14ac:dyDescent="0.2">
      <c r="DO35050" s="303" t="s">
        <v>232</v>
      </c>
    </row>
    <row r="35051" spans="119:119" x14ac:dyDescent="0.2">
      <c r="DO35051" s="303" t="s">
        <v>232</v>
      </c>
    </row>
    <row r="35052" spans="119:119" x14ac:dyDescent="0.2">
      <c r="DO35052" s="303" t="s">
        <v>232</v>
      </c>
    </row>
    <row r="35053" spans="119:119" x14ac:dyDescent="0.2">
      <c r="DO35053" s="303" t="s">
        <v>232</v>
      </c>
    </row>
    <row r="35054" spans="119:119" x14ac:dyDescent="0.2">
      <c r="DO35054" s="303" t="s">
        <v>232</v>
      </c>
    </row>
    <row r="35055" spans="119:119" x14ac:dyDescent="0.2">
      <c r="DO35055" s="303" t="s">
        <v>232</v>
      </c>
    </row>
    <row r="35056" spans="119:119" x14ac:dyDescent="0.2">
      <c r="DO35056" s="303" t="s">
        <v>232</v>
      </c>
    </row>
    <row r="35057" spans="119:119" x14ac:dyDescent="0.2">
      <c r="DO35057" s="303" t="s">
        <v>232</v>
      </c>
    </row>
    <row r="35058" spans="119:119" x14ac:dyDescent="0.2">
      <c r="DO35058" s="303" t="s">
        <v>232</v>
      </c>
    </row>
    <row r="35059" spans="119:119" x14ac:dyDescent="0.2">
      <c r="DO35059" s="303" t="s">
        <v>232</v>
      </c>
    </row>
    <row r="35060" spans="119:119" x14ac:dyDescent="0.2">
      <c r="DO35060" s="303" t="s">
        <v>232</v>
      </c>
    </row>
    <row r="35061" spans="119:119" x14ac:dyDescent="0.2">
      <c r="DO35061" s="303" t="s">
        <v>232</v>
      </c>
    </row>
    <row r="35062" spans="119:119" x14ac:dyDescent="0.2">
      <c r="DO35062" s="303" t="s">
        <v>232</v>
      </c>
    </row>
    <row r="35063" spans="119:119" x14ac:dyDescent="0.2">
      <c r="DO35063" s="303" t="s">
        <v>232</v>
      </c>
    </row>
    <row r="35064" spans="119:119" x14ac:dyDescent="0.2">
      <c r="DO35064" s="303" t="s">
        <v>232</v>
      </c>
    </row>
    <row r="35065" spans="119:119" x14ac:dyDescent="0.2">
      <c r="DO35065" s="303" t="s">
        <v>232</v>
      </c>
    </row>
    <row r="35066" spans="119:119" x14ac:dyDescent="0.2">
      <c r="DO35066" s="303" t="s">
        <v>232</v>
      </c>
    </row>
    <row r="35067" spans="119:119" x14ac:dyDescent="0.2">
      <c r="DO35067" s="303" t="s">
        <v>232</v>
      </c>
    </row>
    <row r="35068" spans="119:119" x14ac:dyDescent="0.2">
      <c r="DO35068" s="303" t="s">
        <v>232</v>
      </c>
    </row>
    <row r="35069" spans="119:119" x14ac:dyDescent="0.2">
      <c r="DO35069" s="303" t="s">
        <v>232</v>
      </c>
    </row>
    <row r="35070" spans="119:119" x14ac:dyDescent="0.2">
      <c r="DO35070" s="303" t="s">
        <v>232</v>
      </c>
    </row>
    <row r="35071" spans="119:119" x14ac:dyDescent="0.2">
      <c r="DO35071" s="303" t="s">
        <v>232</v>
      </c>
    </row>
    <row r="35072" spans="119:119" x14ac:dyDescent="0.2">
      <c r="DO35072" s="303" t="s">
        <v>232</v>
      </c>
    </row>
    <row r="35073" spans="119:119" x14ac:dyDescent="0.2">
      <c r="DO35073" s="303" t="s">
        <v>232</v>
      </c>
    </row>
    <row r="35074" spans="119:119" x14ac:dyDescent="0.2">
      <c r="DO35074" s="303" t="s">
        <v>232</v>
      </c>
    </row>
    <row r="35075" spans="119:119" x14ac:dyDescent="0.2">
      <c r="DO35075" s="303" t="s">
        <v>232</v>
      </c>
    </row>
    <row r="35076" spans="119:119" x14ac:dyDescent="0.2">
      <c r="DO35076" s="303" t="s">
        <v>232</v>
      </c>
    </row>
    <row r="35077" spans="119:119" x14ac:dyDescent="0.2">
      <c r="DO35077" s="303" t="s">
        <v>232</v>
      </c>
    </row>
    <row r="35078" spans="119:119" x14ac:dyDescent="0.2">
      <c r="DO35078" s="303" t="s">
        <v>232</v>
      </c>
    </row>
    <row r="35079" spans="119:119" x14ac:dyDescent="0.2">
      <c r="DO35079" s="303" t="s">
        <v>232</v>
      </c>
    </row>
    <row r="35080" spans="119:119" x14ac:dyDescent="0.2">
      <c r="DO35080" s="303" t="s">
        <v>232</v>
      </c>
    </row>
    <row r="35081" spans="119:119" x14ac:dyDescent="0.2">
      <c r="DO35081" s="303" t="s">
        <v>232</v>
      </c>
    </row>
    <row r="35082" spans="119:119" x14ac:dyDescent="0.2">
      <c r="DO35082" s="303" t="s">
        <v>232</v>
      </c>
    </row>
    <row r="35083" spans="119:119" x14ac:dyDescent="0.2">
      <c r="DO35083" s="303" t="s">
        <v>232</v>
      </c>
    </row>
    <row r="35084" spans="119:119" x14ac:dyDescent="0.2">
      <c r="DO35084" s="303" t="s">
        <v>232</v>
      </c>
    </row>
    <row r="35085" spans="119:119" x14ac:dyDescent="0.2">
      <c r="DO35085" s="303" t="s">
        <v>232</v>
      </c>
    </row>
    <row r="35086" spans="119:119" x14ac:dyDescent="0.2">
      <c r="DO35086" s="303" t="s">
        <v>232</v>
      </c>
    </row>
    <row r="35087" spans="119:119" x14ac:dyDescent="0.2">
      <c r="DO35087" s="303" t="s">
        <v>232</v>
      </c>
    </row>
    <row r="35088" spans="119:119" x14ac:dyDescent="0.2">
      <c r="DO35088" s="303" t="s">
        <v>232</v>
      </c>
    </row>
    <row r="35089" spans="119:119" x14ac:dyDescent="0.2">
      <c r="DO35089" s="303" t="s">
        <v>232</v>
      </c>
    </row>
    <row r="35090" spans="119:119" x14ac:dyDescent="0.2">
      <c r="DO35090" s="303" t="s">
        <v>232</v>
      </c>
    </row>
    <row r="35091" spans="119:119" x14ac:dyDescent="0.2">
      <c r="DO35091" s="303" t="s">
        <v>232</v>
      </c>
    </row>
    <row r="35092" spans="119:119" x14ac:dyDescent="0.2">
      <c r="DO35092" s="303" t="s">
        <v>232</v>
      </c>
    </row>
    <row r="35093" spans="119:119" x14ac:dyDescent="0.2">
      <c r="DO35093" s="303" t="s">
        <v>232</v>
      </c>
    </row>
    <row r="35094" spans="119:119" x14ac:dyDescent="0.2">
      <c r="DO35094" s="303" t="s">
        <v>232</v>
      </c>
    </row>
    <row r="35095" spans="119:119" x14ac:dyDescent="0.2">
      <c r="DO35095" s="303" t="s">
        <v>232</v>
      </c>
    </row>
    <row r="35096" spans="119:119" x14ac:dyDescent="0.2">
      <c r="DO35096" s="303" t="s">
        <v>232</v>
      </c>
    </row>
    <row r="35097" spans="119:119" x14ac:dyDescent="0.2">
      <c r="DO35097" s="303" t="s">
        <v>232</v>
      </c>
    </row>
    <row r="35098" spans="119:119" x14ac:dyDescent="0.2">
      <c r="DO35098" s="303" t="s">
        <v>232</v>
      </c>
    </row>
    <row r="35099" spans="119:119" x14ac:dyDescent="0.2">
      <c r="DO35099" s="303" t="s">
        <v>232</v>
      </c>
    </row>
    <row r="35100" spans="119:119" x14ac:dyDescent="0.2">
      <c r="DO35100" s="303" t="s">
        <v>232</v>
      </c>
    </row>
    <row r="35101" spans="119:119" x14ac:dyDescent="0.2">
      <c r="DO35101" s="303" t="s">
        <v>232</v>
      </c>
    </row>
    <row r="35102" spans="119:119" x14ac:dyDescent="0.2">
      <c r="DO35102" s="303" t="s">
        <v>232</v>
      </c>
    </row>
    <row r="35103" spans="119:119" x14ac:dyDescent="0.2">
      <c r="DO35103" s="303" t="s">
        <v>232</v>
      </c>
    </row>
    <row r="35104" spans="119:119" x14ac:dyDescent="0.2">
      <c r="DO35104" s="303" t="s">
        <v>232</v>
      </c>
    </row>
    <row r="35105" spans="119:119" x14ac:dyDescent="0.2">
      <c r="DO35105" s="303" t="s">
        <v>232</v>
      </c>
    </row>
    <row r="35106" spans="119:119" x14ac:dyDescent="0.2">
      <c r="DO35106" s="303" t="s">
        <v>232</v>
      </c>
    </row>
    <row r="35107" spans="119:119" x14ac:dyDescent="0.2">
      <c r="DO35107" s="303" t="s">
        <v>232</v>
      </c>
    </row>
    <row r="35108" spans="119:119" x14ac:dyDescent="0.2">
      <c r="DO35108" s="303" t="s">
        <v>232</v>
      </c>
    </row>
    <row r="35109" spans="119:119" x14ac:dyDescent="0.2">
      <c r="DO35109" s="303" t="s">
        <v>232</v>
      </c>
    </row>
    <row r="35110" spans="119:119" x14ac:dyDescent="0.2">
      <c r="DO35110" s="303" t="s">
        <v>232</v>
      </c>
    </row>
    <row r="35111" spans="119:119" x14ac:dyDescent="0.2">
      <c r="DO35111" s="303" t="s">
        <v>232</v>
      </c>
    </row>
    <row r="35112" spans="119:119" x14ac:dyDescent="0.2">
      <c r="DO35112" s="303" t="s">
        <v>232</v>
      </c>
    </row>
    <row r="35113" spans="119:119" x14ac:dyDescent="0.2">
      <c r="DO35113" s="303" t="s">
        <v>232</v>
      </c>
    </row>
    <row r="35114" spans="119:119" x14ac:dyDescent="0.2">
      <c r="DO35114" s="303" t="s">
        <v>232</v>
      </c>
    </row>
    <row r="35115" spans="119:119" x14ac:dyDescent="0.2">
      <c r="DO35115" s="303" t="s">
        <v>232</v>
      </c>
    </row>
    <row r="35116" spans="119:119" x14ac:dyDescent="0.2">
      <c r="DO35116" s="303" t="s">
        <v>232</v>
      </c>
    </row>
    <row r="35117" spans="119:119" x14ac:dyDescent="0.2">
      <c r="DO35117" s="303" t="s">
        <v>232</v>
      </c>
    </row>
    <row r="35118" spans="119:119" x14ac:dyDescent="0.2">
      <c r="DO35118" s="303" t="s">
        <v>232</v>
      </c>
    </row>
    <row r="35119" spans="119:119" x14ac:dyDescent="0.2">
      <c r="DO35119" s="303" t="s">
        <v>232</v>
      </c>
    </row>
    <row r="35120" spans="119:119" x14ac:dyDescent="0.2">
      <c r="DO35120" s="303" t="s">
        <v>232</v>
      </c>
    </row>
    <row r="35121" spans="119:119" x14ac:dyDescent="0.2">
      <c r="DO35121" s="303" t="s">
        <v>232</v>
      </c>
    </row>
    <row r="35122" spans="119:119" x14ac:dyDescent="0.2">
      <c r="DO35122" s="303" t="s">
        <v>232</v>
      </c>
    </row>
    <row r="35123" spans="119:119" x14ac:dyDescent="0.2">
      <c r="DO35123" s="303" t="s">
        <v>232</v>
      </c>
    </row>
    <row r="35124" spans="119:119" x14ac:dyDescent="0.2">
      <c r="DO35124" s="303" t="s">
        <v>232</v>
      </c>
    </row>
    <row r="35125" spans="119:119" x14ac:dyDescent="0.2">
      <c r="DO35125" s="303" t="s">
        <v>232</v>
      </c>
    </row>
    <row r="35126" spans="119:119" x14ac:dyDescent="0.2">
      <c r="DO35126" s="303" t="s">
        <v>232</v>
      </c>
    </row>
    <row r="35127" spans="119:119" x14ac:dyDescent="0.2">
      <c r="DO35127" s="303" t="s">
        <v>232</v>
      </c>
    </row>
    <row r="35128" spans="119:119" x14ac:dyDescent="0.2">
      <c r="DO35128" s="303" t="s">
        <v>232</v>
      </c>
    </row>
    <row r="35129" spans="119:119" x14ac:dyDescent="0.2">
      <c r="DO35129" s="303" t="s">
        <v>232</v>
      </c>
    </row>
    <row r="35130" spans="119:119" x14ac:dyDescent="0.2">
      <c r="DO35130" s="303" t="s">
        <v>232</v>
      </c>
    </row>
    <row r="35131" spans="119:119" x14ac:dyDescent="0.2">
      <c r="DO35131" s="303" t="s">
        <v>232</v>
      </c>
    </row>
    <row r="35132" spans="119:119" x14ac:dyDescent="0.2">
      <c r="DO35132" s="303" t="s">
        <v>232</v>
      </c>
    </row>
    <row r="35133" spans="119:119" x14ac:dyDescent="0.2">
      <c r="DO35133" s="303" t="s">
        <v>232</v>
      </c>
    </row>
    <row r="35134" spans="119:119" x14ac:dyDescent="0.2">
      <c r="DO35134" s="303" t="s">
        <v>232</v>
      </c>
    </row>
    <row r="35135" spans="119:119" x14ac:dyDescent="0.2">
      <c r="DO35135" s="303" t="s">
        <v>232</v>
      </c>
    </row>
    <row r="35136" spans="119:119" x14ac:dyDescent="0.2">
      <c r="DO35136" s="303" t="s">
        <v>232</v>
      </c>
    </row>
    <row r="35137" spans="119:119" x14ac:dyDescent="0.2">
      <c r="DO35137" s="303" t="s">
        <v>232</v>
      </c>
    </row>
    <row r="35138" spans="119:119" x14ac:dyDescent="0.2">
      <c r="DO35138" s="303" t="s">
        <v>232</v>
      </c>
    </row>
    <row r="35139" spans="119:119" x14ac:dyDescent="0.2">
      <c r="DO35139" s="303" t="s">
        <v>232</v>
      </c>
    </row>
    <row r="35140" spans="119:119" x14ac:dyDescent="0.2">
      <c r="DO35140" s="303" t="s">
        <v>232</v>
      </c>
    </row>
    <row r="35141" spans="119:119" x14ac:dyDescent="0.2">
      <c r="DO35141" s="303" t="s">
        <v>232</v>
      </c>
    </row>
    <row r="35142" spans="119:119" x14ac:dyDescent="0.2">
      <c r="DO35142" s="303" t="s">
        <v>232</v>
      </c>
    </row>
    <row r="35143" spans="119:119" x14ac:dyDescent="0.2">
      <c r="DO35143" s="303" t="s">
        <v>232</v>
      </c>
    </row>
    <row r="35144" spans="119:119" x14ac:dyDescent="0.2">
      <c r="DO35144" s="303" t="s">
        <v>232</v>
      </c>
    </row>
    <row r="35145" spans="119:119" x14ac:dyDescent="0.2">
      <c r="DO35145" s="303" t="s">
        <v>232</v>
      </c>
    </row>
    <row r="35146" spans="119:119" x14ac:dyDescent="0.2">
      <c r="DO35146" s="303" t="s">
        <v>232</v>
      </c>
    </row>
    <row r="35147" spans="119:119" x14ac:dyDescent="0.2">
      <c r="DO35147" s="303" t="s">
        <v>232</v>
      </c>
    </row>
    <row r="35148" spans="119:119" x14ac:dyDescent="0.2">
      <c r="DO35148" s="303" t="s">
        <v>232</v>
      </c>
    </row>
    <row r="35149" spans="119:119" x14ac:dyDescent="0.2">
      <c r="DO35149" s="303" t="s">
        <v>232</v>
      </c>
    </row>
    <row r="35150" spans="119:119" x14ac:dyDescent="0.2">
      <c r="DO35150" s="303" t="s">
        <v>232</v>
      </c>
    </row>
    <row r="35151" spans="119:119" x14ac:dyDescent="0.2">
      <c r="DO35151" s="303" t="s">
        <v>232</v>
      </c>
    </row>
    <row r="35152" spans="119:119" x14ac:dyDescent="0.2">
      <c r="DO35152" s="303" t="s">
        <v>232</v>
      </c>
    </row>
    <row r="35153" spans="119:119" x14ac:dyDescent="0.2">
      <c r="DO35153" s="303" t="s">
        <v>232</v>
      </c>
    </row>
    <row r="35154" spans="119:119" x14ac:dyDescent="0.2">
      <c r="DO35154" s="303" t="s">
        <v>232</v>
      </c>
    </row>
    <row r="35155" spans="119:119" x14ac:dyDescent="0.2">
      <c r="DO35155" s="303" t="s">
        <v>232</v>
      </c>
    </row>
    <row r="35156" spans="119:119" x14ac:dyDescent="0.2">
      <c r="DO35156" s="303" t="s">
        <v>232</v>
      </c>
    </row>
    <row r="35157" spans="119:119" x14ac:dyDescent="0.2">
      <c r="DO35157" s="303" t="s">
        <v>232</v>
      </c>
    </row>
    <row r="35158" spans="119:119" x14ac:dyDescent="0.2">
      <c r="DO35158" s="303" t="s">
        <v>232</v>
      </c>
    </row>
    <row r="35159" spans="119:119" x14ac:dyDescent="0.2">
      <c r="DO35159" s="303" t="s">
        <v>232</v>
      </c>
    </row>
    <row r="35160" spans="119:119" x14ac:dyDescent="0.2">
      <c r="DO35160" s="303" t="s">
        <v>232</v>
      </c>
    </row>
    <row r="35161" spans="119:119" x14ac:dyDescent="0.2">
      <c r="DO35161" s="303" t="s">
        <v>232</v>
      </c>
    </row>
    <row r="35162" spans="119:119" x14ac:dyDescent="0.2">
      <c r="DO35162" s="303" t="s">
        <v>232</v>
      </c>
    </row>
    <row r="35163" spans="119:119" x14ac:dyDescent="0.2">
      <c r="DO35163" s="303" t="s">
        <v>232</v>
      </c>
    </row>
    <row r="35164" spans="119:119" x14ac:dyDescent="0.2">
      <c r="DO35164" s="303" t="s">
        <v>232</v>
      </c>
    </row>
    <row r="35165" spans="119:119" x14ac:dyDescent="0.2">
      <c r="DO35165" s="303" t="s">
        <v>232</v>
      </c>
    </row>
    <row r="35166" spans="119:119" x14ac:dyDescent="0.2">
      <c r="DO35166" s="303" t="s">
        <v>232</v>
      </c>
    </row>
    <row r="35167" spans="119:119" x14ac:dyDescent="0.2">
      <c r="DO35167" s="303" t="s">
        <v>232</v>
      </c>
    </row>
    <row r="35168" spans="119:119" x14ac:dyDescent="0.2">
      <c r="DO35168" s="303" t="s">
        <v>232</v>
      </c>
    </row>
    <row r="35169" spans="119:119" x14ac:dyDescent="0.2">
      <c r="DO35169" s="303" t="s">
        <v>232</v>
      </c>
    </row>
    <row r="35170" spans="119:119" x14ac:dyDescent="0.2">
      <c r="DO35170" s="303" t="s">
        <v>232</v>
      </c>
    </row>
    <row r="35171" spans="119:119" x14ac:dyDescent="0.2">
      <c r="DO35171" s="303" t="s">
        <v>232</v>
      </c>
    </row>
    <row r="35172" spans="119:119" x14ac:dyDescent="0.2">
      <c r="DO35172" s="303" t="s">
        <v>232</v>
      </c>
    </row>
    <row r="35173" spans="119:119" x14ac:dyDescent="0.2">
      <c r="DO35173" s="303" t="s">
        <v>232</v>
      </c>
    </row>
    <row r="35174" spans="119:119" x14ac:dyDescent="0.2">
      <c r="DO35174" s="303" t="s">
        <v>232</v>
      </c>
    </row>
    <row r="35175" spans="119:119" x14ac:dyDescent="0.2">
      <c r="DO35175" s="303" t="s">
        <v>232</v>
      </c>
    </row>
    <row r="35176" spans="119:119" x14ac:dyDescent="0.2">
      <c r="DO35176" s="303" t="s">
        <v>232</v>
      </c>
    </row>
    <row r="35177" spans="119:119" x14ac:dyDescent="0.2">
      <c r="DO35177" s="303" t="s">
        <v>232</v>
      </c>
    </row>
    <row r="35178" spans="119:119" x14ac:dyDescent="0.2">
      <c r="DO35178" s="303" t="s">
        <v>232</v>
      </c>
    </row>
    <row r="35179" spans="119:119" x14ac:dyDescent="0.2">
      <c r="DO35179" s="303" t="s">
        <v>232</v>
      </c>
    </row>
    <row r="35180" spans="119:119" x14ac:dyDescent="0.2">
      <c r="DO35180" s="303" t="s">
        <v>232</v>
      </c>
    </row>
    <row r="35181" spans="119:119" x14ac:dyDescent="0.2">
      <c r="DO35181" s="303" t="s">
        <v>232</v>
      </c>
    </row>
    <row r="35182" spans="119:119" x14ac:dyDescent="0.2">
      <c r="DO35182" s="303" t="s">
        <v>232</v>
      </c>
    </row>
    <row r="35183" spans="119:119" x14ac:dyDescent="0.2">
      <c r="DO35183" s="303" t="s">
        <v>232</v>
      </c>
    </row>
    <row r="35184" spans="119:119" x14ac:dyDescent="0.2">
      <c r="DO35184" s="303" t="s">
        <v>232</v>
      </c>
    </row>
    <row r="35185" spans="119:119" x14ac:dyDescent="0.2">
      <c r="DO35185" s="303" t="s">
        <v>232</v>
      </c>
    </row>
    <row r="35186" spans="119:119" x14ac:dyDescent="0.2">
      <c r="DO35186" s="303" t="s">
        <v>232</v>
      </c>
    </row>
    <row r="35187" spans="119:119" x14ac:dyDescent="0.2">
      <c r="DO35187" s="303" t="s">
        <v>232</v>
      </c>
    </row>
    <row r="35188" spans="119:119" x14ac:dyDescent="0.2">
      <c r="DO35188" s="303" t="s">
        <v>232</v>
      </c>
    </row>
    <row r="35189" spans="119:119" x14ac:dyDescent="0.2">
      <c r="DO35189" s="303" t="s">
        <v>232</v>
      </c>
    </row>
    <row r="35190" spans="119:119" x14ac:dyDescent="0.2">
      <c r="DO35190" s="303" t="s">
        <v>232</v>
      </c>
    </row>
    <row r="35191" spans="119:119" x14ac:dyDescent="0.2">
      <c r="DO35191" s="303" t="s">
        <v>232</v>
      </c>
    </row>
    <row r="35192" spans="119:119" x14ac:dyDescent="0.2">
      <c r="DO35192" s="303" t="s">
        <v>232</v>
      </c>
    </row>
    <row r="35193" spans="119:119" x14ac:dyDescent="0.2">
      <c r="DO35193" s="303" t="s">
        <v>232</v>
      </c>
    </row>
    <row r="35194" spans="119:119" x14ac:dyDescent="0.2">
      <c r="DO35194" s="303" t="s">
        <v>232</v>
      </c>
    </row>
    <row r="35195" spans="119:119" x14ac:dyDescent="0.2">
      <c r="DO35195" s="303" t="s">
        <v>232</v>
      </c>
    </row>
    <row r="35196" spans="119:119" x14ac:dyDescent="0.2">
      <c r="DO35196" s="303" t="s">
        <v>232</v>
      </c>
    </row>
    <row r="35197" spans="119:119" x14ac:dyDescent="0.2">
      <c r="DO35197" s="303" t="s">
        <v>232</v>
      </c>
    </row>
    <row r="35198" spans="119:119" x14ac:dyDescent="0.2">
      <c r="DO35198" s="303" t="s">
        <v>232</v>
      </c>
    </row>
    <row r="35199" spans="119:119" x14ac:dyDescent="0.2">
      <c r="DO35199" s="303" t="s">
        <v>232</v>
      </c>
    </row>
    <row r="35200" spans="119:119" x14ac:dyDescent="0.2">
      <c r="DO35200" s="303" t="s">
        <v>232</v>
      </c>
    </row>
    <row r="35201" spans="119:119" x14ac:dyDescent="0.2">
      <c r="DO35201" s="303" t="s">
        <v>232</v>
      </c>
    </row>
    <row r="35202" spans="119:119" x14ac:dyDescent="0.2">
      <c r="DO35202" s="303" t="s">
        <v>232</v>
      </c>
    </row>
    <row r="35203" spans="119:119" x14ac:dyDescent="0.2">
      <c r="DO35203" s="303" t="s">
        <v>232</v>
      </c>
    </row>
    <row r="35204" spans="119:119" x14ac:dyDescent="0.2">
      <c r="DO35204" s="303" t="s">
        <v>232</v>
      </c>
    </row>
    <row r="35205" spans="119:119" x14ac:dyDescent="0.2">
      <c r="DO35205" s="303" t="s">
        <v>232</v>
      </c>
    </row>
    <row r="35206" spans="119:119" x14ac:dyDescent="0.2">
      <c r="DO35206" s="303" t="s">
        <v>232</v>
      </c>
    </row>
    <row r="35207" spans="119:119" x14ac:dyDescent="0.2">
      <c r="DO35207" s="303" t="s">
        <v>232</v>
      </c>
    </row>
    <row r="35208" spans="119:119" x14ac:dyDescent="0.2">
      <c r="DO35208" s="303" t="s">
        <v>232</v>
      </c>
    </row>
    <row r="35209" spans="119:119" x14ac:dyDescent="0.2">
      <c r="DO35209" s="303" t="s">
        <v>232</v>
      </c>
    </row>
    <row r="35210" spans="119:119" x14ac:dyDescent="0.2">
      <c r="DO35210" s="303" t="s">
        <v>232</v>
      </c>
    </row>
    <row r="35211" spans="119:119" x14ac:dyDescent="0.2">
      <c r="DO35211" s="303" t="s">
        <v>232</v>
      </c>
    </row>
    <row r="35212" spans="119:119" x14ac:dyDescent="0.2">
      <c r="DO35212" s="303" t="s">
        <v>232</v>
      </c>
    </row>
    <row r="35213" spans="119:119" x14ac:dyDescent="0.2">
      <c r="DO35213" s="303" t="s">
        <v>232</v>
      </c>
    </row>
    <row r="35214" spans="119:119" x14ac:dyDescent="0.2">
      <c r="DO35214" s="303" t="s">
        <v>232</v>
      </c>
    </row>
    <row r="35215" spans="119:119" x14ac:dyDescent="0.2">
      <c r="DO35215" s="303" t="s">
        <v>232</v>
      </c>
    </row>
    <row r="35216" spans="119:119" x14ac:dyDescent="0.2">
      <c r="DO35216" s="303" t="s">
        <v>232</v>
      </c>
    </row>
    <row r="35217" spans="119:119" x14ac:dyDescent="0.2">
      <c r="DO35217" s="303" t="s">
        <v>232</v>
      </c>
    </row>
    <row r="35218" spans="119:119" x14ac:dyDescent="0.2">
      <c r="DO35218" s="303" t="s">
        <v>232</v>
      </c>
    </row>
    <row r="35219" spans="119:119" x14ac:dyDescent="0.2">
      <c r="DO35219" s="303" t="s">
        <v>232</v>
      </c>
    </row>
    <row r="35220" spans="119:119" x14ac:dyDescent="0.2">
      <c r="DO35220" s="303" t="s">
        <v>232</v>
      </c>
    </row>
    <row r="35221" spans="119:119" x14ac:dyDescent="0.2">
      <c r="DO35221" s="303" t="s">
        <v>232</v>
      </c>
    </row>
    <row r="35222" spans="119:119" x14ac:dyDescent="0.2">
      <c r="DO35222" s="303" t="s">
        <v>232</v>
      </c>
    </row>
    <row r="35223" spans="119:119" x14ac:dyDescent="0.2">
      <c r="DO35223" s="303" t="s">
        <v>232</v>
      </c>
    </row>
    <row r="35224" spans="119:119" x14ac:dyDescent="0.2">
      <c r="DO35224" s="303" t="s">
        <v>232</v>
      </c>
    </row>
    <row r="35225" spans="119:119" x14ac:dyDescent="0.2">
      <c r="DO35225" s="303" t="s">
        <v>232</v>
      </c>
    </row>
    <row r="35226" spans="119:119" x14ac:dyDescent="0.2">
      <c r="DO35226" s="303" t="s">
        <v>232</v>
      </c>
    </row>
    <row r="35227" spans="119:119" x14ac:dyDescent="0.2">
      <c r="DO35227" s="303" t="s">
        <v>232</v>
      </c>
    </row>
    <row r="35228" spans="119:119" x14ac:dyDescent="0.2">
      <c r="DO35228" s="303" t="s">
        <v>232</v>
      </c>
    </row>
    <row r="35229" spans="119:119" x14ac:dyDescent="0.2">
      <c r="DO35229" s="303" t="s">
        <v>232</v>
      </c>
    </row>
    <row r="35230" spans="119:119" x14ac:dyDescent="0.2">
      <c r="DO35230" s="303" t="s">
        <v>232</v>
      </c>
    </row>
    <row r="35231" spans="119:119" x14ac:dyDescent="0.2">
      <c r="DO35231" s="303" t="s">
        <v>232</v>
      </c>
    </row>
    <row r="35232" spans="119:119" x14ac:dyDescent="0.2">
      <c r="DO35232" s="303" t="s">
        <v>232</v>
      </c>
    </row>
    <row r="35233" spans="119:119" x14ac:dyDescent="0.2">
      <c r="DO35233" s="303" t="s">
        <v>232</v>
      </c>
    </row>
    <row r="35234" spans="119:119" x14ac:dyDescent="0.2">
      <c r="DO35234" s="303" t="s">
        <v>232</v>
      </c>
    </row>
    <row r="35235" spans="119:119" x14ac:dyDescent="0.2">
      <c r="DO35235" s="303" t="s">
        <v>232</v>
      </c>
    </row>
    <row r="35236" spans="119:119" x14ac:dyDescent="0.2">
      <c r="DO35236" s="303" t="s">
        <v>232</v>
      </c>
    </row>
    <row r="35237" spans="119:119" x14ac:dyDescent="0.2">
      <c r="DO35237" s="303" t="s">
        <v>232</v>
      </c>
    </row>
    <row r="35238" spans="119:119" x14ac:dyDescent="0.2">
      <c r="DO35238" s="303" t="s">
        <v>232</v>
      </c>
    </row>
    <row r="35239" spans="119:119" x14ac:dyDescent="0.2">
      <c r="DO35239" s="303" t="s">
        <v>232</v>
      </c>
    </row>
    <row r="35240" spans="119:119" x14ac:dyDescent="0.2">
      <c r="DO35240" s="303" t="s">
        <v>232</v>
      </c>
    </row>
    <row r="35241" spans="119:119" x14ac:dyDescent="0.2">
      <c r="DO35241" s="303" t="s">
        <v>232</v>
      </c>
    </row>
    <row r="35242" spans="119:119" x14ac:dyDescent="0.2">
      <c r="DO35242" s="303" t="s">
        <v>232</v>
      </c>
    </row>
    <row r="35243" spans="119:119" x14ac:dyDescent="0.2">
      <c r="DO35243" s="303" t="s">
        <v>232</v>
      </c>
    </row>
    <row r="35244" spans="119:119" x14ac:dyDescent="0.2">
      <c r="DO35244" s="303" t="s">
        <v>232</v>
      </c>
    </row>
    <row r="35245" spans="119:119" x14ac:dyDescent="0.2">
      <c r="DO35245" s="303" t="s">
        <v>232</v>
      </c>
    </row>
    <row r="35246" spans="119:119" x14ac:dyDescent="0.2">
      <c r="DO35246" s="303" t="s">
        <v>232</v>
      </c>
    </row>
    <row r="35247" spans="119:119" x14ac:dyDescent="0.2">
      <c r="DO35247" s="303" t="s">
        <v>232</v>
      </c>
    </row>
    <row r="35248" spans="119:119" x14ac:dyDescent="0.2">
      <c r="DO35248" s="303" t="s">
        <v>232</v>
      </c>
    </row>
    <row r="35249" spans="119:119" x14ac:dyDescent="0.2">
      <c r="DO35249" s="303" t="s">
        <v>232</v>
      </c>
    </row>
    <row r="35250" spans="119:119" x14ac:dyDescent="0.2">
      <c r="DO35250" s="303" t="s">
        <v>232</v>
      </c>
    </row>
    <row r="35251" spans="119:119" x14ac:dyDescent="0.2">
      <c r="DO35251" s="303" t="s">
        <v>232</v>
      </c>
    </row>
    <row r="35252" spans="119:119" x14ac:dyDescent="0.2">
      <c r="DO35252" s="303" t="s">
        <v>232</v>
      </c>
    </row>
    <row r="35253" spans="119:119" x14ac:dyDescent="0.2">
      <c r="DO35253" s="303" t="s">
        <v>232</v>
      </c>
    </row>
    <row r="35254" spans="119:119" x14ac:dyDescent="0.2">
      <c r="DO35254" s="303" t="s">
        <v>232</v>
      </c>
    </row>
    <row r="35255" spans="119:119" x14ac:dyDescent="0.2">
      <c r="DO35255" s="303" t="s">
        <v>232</v>
      </c>
    </row>
    <row r="35256" spans="119:119" x14ac:dyDescent="0.2">
      <c r="DO35256" s="303" t="s">
        <v>232</v>
      </c>
    </row>
    <row r="35257" spans="119:119" x14ac:dyDescent="0.2">
      <c r="DO35257" s="303" t="s">
        <v>232</v>
      </c>
    </row>
    <row r="35258" spans="119:119" x14ac:dyDescent="0.2">
      <c r="DO35258" s="303" t="s">
        <v>232</v>
      </c>
    </row>
    <row r="35259" spans="119:119" x14ac:dyDescent="0.2">
      <c r="DO35259" s="303" t="s">
        <v>232</v>
      </c>
    </row>
    <row r="35260" spans="119:119" x14ac:dyDescent="0.2">
      <c r="DO35260" s="303" t="s">
        <v>232</v>
      </c>
    </row>
    <row r="35261" spans="119:119" x14ac:dyDescent="0.2">
      <c r="DO35261" s="303" t="s">
        <v>232</v>
      </c>
    </row>
    <row r="35262" spans="119:119" x14ac:dyDescent="0.2">
      <c r="DO35262" s="303" t="s">
        <v>232</v>
      </c>
    </row>
    <row r="35263" spans="119:119" x14ac:dyDescent="0.2">
      <c r="DO35263" s="303" t="s">
        <v>232</v>
      </c>
    </row>
    <row r="35264" spans="119:119" x14ac:dyDescent="0.2">
      <c r="DO35264" s="303" t="s">
        <v>232</v>
      </c>
    </row>
    <row r="35265" spans="119:119" x14ac:dyDescent="0.2">
      <c r="DO35265" s="303" t="s">
        <v>232</v>
      </c>
    </row>
    <row r="35266" spans="119:119" x14ac:dyDescent="0.2">
      <c r="DO35266" s="303" t="s">
        <v>232</v>
      </c>
    </row>
    <row r="35267" spans="119:119" x14ac:dyDescent="0.2">
      <c r="DO35267" s="303" t="s">
        <v>232</v>
      </c>
    </row>
    <row r="35268" spans="119:119" x14ac:dyDescent="0.2">
      <c r="DO35268" s="303" t="s">
        <v>232</v>
      </c>
    </row>
    <row r="35269" spans="119:119" x14ac:dyDescent="0.2">
      <c r="DO35269" s="303" t="s">
        <v>232</v>
      </c>
    </row>
    <row r="35270" spans="119:119" x14ac:dyDescent="0.2">
      <c r="DO35270" s="303" t="s">
        <v>232</v>
      </c>
    </row>
    <row r="35271" spans="119:119" x14ac:dyDescent="0.2">
      <c r="DO35271" s="303" t="s">
        <v>232</v>
      </c>
    </row>
    <row r="35272" spans="119:119" x14ac:dyDescent="0.2">
      <c r="DO35272" s="303" t="s">
        <v>232</v>
      </c>
    </row>
    <row r="35273" spans="119:119" x14ac:dyDescent="0.2">
      <c r="DO35273" s="303" t="s">
        <v>232</v>
      </c>
    </row>
    <row r="35274" spans="119:119" x14ac:dyDescent="0.2">
      <c r="DO35274" s="303" t="s">
        <v>232</v>
      </c>
    </row>
    <row r="35275" spans="119:119" x14ac:dyDescent="0.2">
      <c r="DO35275" s="303" t="s">
        <v>232</v>
      </c>
    </row>
    <row r="35276" spans="119:119" x14ac:dyDescent="0.2">
      <c r="DO35276" s="303" t="s">
        <v>232</v>
      </c>
    </row>
    <row r="35277" spans="119:119" x14ac:dyDescent="0.2">
      <c r="DO35277" s="303" t="s">
        <v>232</v>
      </c>
    </row>
    <row r="35278" spans="119:119" x14ac:dyDescent="0.2">
      <c r="DO35278" s="303" t="s">
        <v>232</v>
      </c>
    </row>
    <row r="35279" spans="119:119" x14ac:dyDescent="0.2">
      <c r="DO35279" s="303" t="s">
        <v>232</v>
      </c>
    </row>
    <row r="35280" spans="119:119" x14ac:dyDescent="0.2">
      <c r="DO35280" s="303" t="s">
        <v>232</v>
      </c>
    </row>
    <row r="35281" spans="119:119" x14ac:dyDescent="0.2">
      <c r="DO35281" s="303" t="s">
        <v>232</v>
      </c>
    </row>
    <row r="35282" spans="119:119" x14ac:dyDescent="0.2">
      <c r="DO35282" s="303" t="s">
        <v>232</v>
      </c>
    </row>
    <row r="35283" spans="119:119" x14ac:dyDescent="0.2">
      <c r="DO35283" s="303" t="s">
        <v>232</v>
      </c>
    </row>
    <row r="35284" spans="119:119" x14ac:dyDescent="0.2">
      <c r="DO35284" s="303" t="s">
        <v>232</v>
      </c>
    </row>
    <row r="35285" spans="119:119" x14ac:dyDescent="0.2">
      <c r="DO35285" s="303" t="s">
        <v>232</v>
      </c>
    </row>
    <row r="35286" spans="119:119" x14ac:dyDescent="0.2">
      <c r="DO35286" s="303" t="s">
        <v>232</v>
      </c>
    </row>
    <row r="35287" spans="119:119" x14ac:dyDescent="0.2">
      <c r="DO35287" s="303" t="s">
        <v>232</v>
      </c>
    </row>
    <row r="35288" spans="119:119" x14ac:dyDescent="0.2">
      <c r="DO35288" s="303" t="s">
        <v>232</v>
      </c>
    </row>
    <row r="35289" spans="119:119" x14ac:dyDescent="0.2">
      <c r="DO35289" s="303" t="s">
        <v>232</v>
      </c>
    </row>
    <row r="35290" spans="119:119" x14ac:dyDescent="0.2">
      <c r="DO35290" s="303" t="s">
        <v>232</v>
      </c>
    </row>
    <row r="35291" spans="119:119" x14ac:dyDescent="0.2">
      <c r="DO35291" s="303" t="s">
        <v>232</v>
      </c>
    </row>
    <row r="35292" spans="119:119" x14ac:dyDescent="0.2">
      <c r="DO35292" s="303" t="s">
        <v>232</v>
      </c>
    </row>
    <row r="35293" spans="119:119" x14ac:dyDescent="0.2">
      <c r="DO35293" s="303" t="s">
        <v>232</v>
      </c>
    </row>
    <row r="35294" spans="119:119" x14ac:dyDescent="0.2">
      <c r="DO35294" s="303" t="s">
        <v>232</v>
      </c>
    </row>
    <row r="35295" spans="119:119" x14ac:dyDescent="0.2">
      <c r="DO35295" s="303" t="s">
        <v>232</v>
      </c>
    </row>
    <row r="35296" spans="119:119" x14ac:dyDescent="0.2">
      <c r="DO35296" s="303" t="s">
        <v>232</v>
      </c>
    </row>
    <row r="35297" spans="119:119" x14ac:dyDescent="0.2">
      <c r="DO35297" s="303" t="s">
        <v>232</v>
      </c>
    </row>
    <row r="35298" spans="119:119" x14ac:dyDescent="0.2">
      <c r="DO35298" s="303" t="s">
        <v>232</v>
      </c>
    </row>
    <row r="35299" spans="119:119" x14ac:dyDescent="0.2">
      <c r="DO35299" s="303" t="s">
        <v>232</v>
      </c>
    </row>
    <row r="35300" spans="119:119" x14ac:dyDescent="0.2">
      <c r="DO35300" s="303" t="s">
        <v>232</v>
      </c>
    </row>
    <row r="35301" spans="119:119" x14ac:dyDescent="0.2">
      <c r="DO35301" s="303" t="s">
        <v>232</v>
      </c>
    </row>
    <row r="35302" spans="119:119" x14ac:dyDescent="0.2">
      <c r="DO35302" s="303" t="s">
        <v>232</v>
      </c>
    </row>
    <row r="35303" spans="119:119" x14ac:dyDescent="0.2">
      <c r="DO35303" s="303" t="s">
        <v>232</v>
      </c>
    </row>
    <row r="35304" spans="119:119" x14ac:dyDescent="0.2">
      <c r="DO35304" s="303" t="s">
        <v>232</v>
      </c>
    </row>
    <row r="35305" spans="119:119" x14ac:dyDescent="0.2">
      <c r="DO35305" s="303" t="s">
        <v>232</v>
      </c>
    </row>
    <row r="35306" spans="119:119" x14ac:dyDescent="0.2">
      <c r="DO35306" s="303" t="s">
        <v>232</v>
      </c>
    </row>
    <row r="35307" spans="119:119" x14ac:dyDescent="0.2">
      <c r="DO35307" s="303" t="s">
        <v>232</v>
      </c>
    </row>
    <row r="35308" spans="119:119" x14ac:dyDescent="0.2">
      <c r="DO35308" s="303" t="s">
        <v>232</v>
      </c>
    </row>
    <row r="35309" spans="119:119" x14ac:dyDescent="0.2">
      <c r="DO35309" s="303" t="s">
        <v>232</v>
      </c>
    </row>
    <row r="35310" spans="119:119" x14ac:dyDescent="0.2">
      <c r="DO35310" s="303" t="s">
        <v>232</v>
      </c>
    </row>
    <row r="35311" spans="119:119" x14ac:dyDescent="0.2">
      <c r="DO35311" s="303" t="s">
        <v>232</v>
      </c>
    </row>
    <row r="35312" spans="119:119" x14ac:dyDescent="0.2">
      <c r="DO35312" s="303" t="s">
        <v>232</v>
      </c>
    </row>
    <row r="35313" spans="119:119" x14ac:dyDescent="0.2">
      <c r="DO35313" s="303" t="s">
        <v>232</v>
      </c>
    </row>
    <row r="35314" spans="119:119" x14ac:dyDescent="0.2">
      <c r="DO35314" s="303" t="s">
        <v>232</v>
      </c>
    </row>
    <row r="35315" spans="119:119" x14ac:dyDescent="0.2">
      <c r="DO35315" s="303" t="s">
        <v>232</v>
      </c>
    </row>
    <row r="35316" spans="119:119" x14ac:dyDescent="0.2">
      <c r="DO35316" s="303" t="s">
        <v>232</v>
      </c>
    </row>
    <row r="35317" spans="119:119" x14ac:dyDescent="0.2">
      <c r="DO35317" s="303" t="s">
        <v>232</v>
      </c>
    </row>
    <row r="35318" spans="119:119" x14ac:dyDescent="0.2">
      <c r="DO35318" s="303" t="s">
        <v>232</v>
      </c>
    </row>
    <row r="35319" spans="119:119" x14ac:dyDescent="0.2">
      <c r="DO35319" s="303" t="s">
        <v>232</v>
      </c>
    </row>
    <row r="35320" spans="119:119" x14ac:dyDescent="0.2">
      <c r="DO35320" s="303" t="s">
        <v>232</v>
      </c>
    </row>
    <row r="35321" spans="119:119" x14ac:dyDescent="0.2">
      <c r="DO35321" s="303" t="s">
        <v>232</v>
      </c>
    </row>
    <row r="35322" spans="119:119" x14ac:dyDescent="0.2">
      <c r="DO35322" s="303" t="s">
        <v>232</v>
      </c>
    </row>
    <row r="35323" spans="119:119" x14ac:dyDescent="0.2">
      <c r="DO35323" s="303" t="s">
        <v>232</v>
      </c>
    </row>
    <row r="35324" spans="119:119" x14ac:dyDescent="0.2">
      <c r="DO35324" s="303" t="s">
        <v>232</v>
      </c>
    </row>
    <row r="35325" spans="119:119" x14ac:dyDescent="0.2">
      <c r="DO35325" s="303" t="s">
        <v>232</v>
      </c>
    </row>
    <row r="35326" spans="119:119" x14ac:dyDescent="0.2">
      <c r="DO35326" s="303" t="s">
        <v>232</v>
      </c>
    </row>
    <row r="35327" spans="119:119" x14ac:dyDescent="0.2">
      <c r="DO35327" s="303" t="s">
        <v>232</v>
      </c>
    </row>
    <row r="35328" spans="119:119" x14ac:dyDescent="0.2">
      <c r="DO35328" s="303" t="s">
        <v>232</v>
      </c>
    </row>
    <row r="35329" spans="119:119" x14ac:dyDescent="0.2">
      <c r="DO35329" s="303" t="s">
        <v>232</v>
      </c>
    </row>
    <row r="35330" spans="119:119" x14ac:dyDescent="0.2">
      <c r="DO35330" s="303" t="s">
        <v>232</v>
      </c>
    </row>
    <row r="35331" spans="119:119" x14ac:dyDescent="0.2">
      <c r="DO35331" s="303" t="s">
        <v>232</v>
      </c>
    </row>
    <row r="35332" spans="119:119" x14ac:dyDescent="0.2">
      <c r="DO35332" s="303" t="s">
        <v>232</v>
      </c>
    </row>
    <row r="35333" spans="119:119" x14ac:dyDescent="0.2">
      <c r="DO35333" s="303" t="s">
        <v>232</v>
      </c>
    </row>
    <row r="35334" spans="119:119" x14ac:dyDescent="0.2">
      <c r="DO35334" s="303" t="s">
        <v>232</v>
      </c>
    </row>
    <row r="35335" spans="119:119" x14ac:dyDescent="0.2">
      <c r="DO35335" s="303" t="s">
        <v>232</v>
      </c>
    </row>
    <row r="35336" spans="119:119" x14ac:dyDescent="0.2">
      <c r="DO35336" s="303" t="s">
        <v>232</v>
      </c>
    </row>
    <row r="35337" spans="119:119" x14ac:dyDescent="0.2">
      <c r="DO35337" s="303" t="s">
        <v>232</v>
      </c>
    </row>
    <row r="35338" spans="119:119" x14ac:dyDescent="0.2">
      <c r="DO35338" s="303" t="s">
        <v>232</v>
      </c>
    </row>
    <row r="35339" spans="119:119" x14ac:dyDescent="0.2">
      <c r="DO35339" s="303" t="s">
        <v>232</v>
      </c>
    </row>
    <row r="35340" spans="119:119" x14ac:dyDescent="0.2">
      <c r="DO35340" s="303" t="s">
        <v>232</v>
      </c>
    </row>
    <row r="35341" spans="119:119" x14ac:dyDescent="0.2">
      <c r="DO35341" s="303" t="s">
        <v>232</v>
      </c>
    </row>
    <row r="35342" spans="119:119" x14ac:dyDescent="0.2">
      <c r="DO35342" s="303" t="s">
        <v>232</v>
      </c>
    </row>
    <row r="35343" spans="119:119" x14ac:dyDescent="0.2">
      <c r="DO35343" s="303" t="s">
        <v>232</v>
      </c>
    </row>
    <row r="35344" spans="119:119" x14ac:dyDescent="0.2">
      <c r="DO35344" s="303" t="s">
        <v>232</v>
      </c>
    </row>
    <row r="35345" spans="119:119" x14ac:dyDescent="0.2">
      <c r="DO35345" s="303" t="s">
        <v>232</v>
      </c>
    </row>
    <row r="35346" spans="119:119" x14ac:dyDescent="0.2">
      <c r="DO35346" s="303" t="s">
        <v>232</v>
      </c>
    </row>
    <row r="35347" spans="119:119" x14ac:dyDescent="0.2">
      <c r="DO35347" s="303" t="s">
        <v>232</v>
      </c>
    </row>
    <row r="35348" spans="119:119" x14ac:dyDescent="0.2">
      <c r="DO35348" s="303" t="s">
        <v>232</v>
      </c>
    </row>
    <row r="35349" spans="119:119" x14ac:dyDescent="0.2">
      <c r="DO35349" s="303" t="s">
        <v>232</v>
      </c>
    </row>
    <row r="35350" spans="119:119" x14ac:dyDescent="0.2">
      <c r="DO35350" s="303" t="s">
        <v>232</v>
      </c>
    </row>
    <row r="35351" spans="119:119" x14ac:dyDescent="0.2">
      <c r="DO35351" s="303" t="s">
        <v>232</v>
      </c>
    </row>
    <row r="35352" spans="119:119" x14ac:dyDescent="0.2">
      <c r="DO35352" s="303" t="s">
        <v>232</v>
      </c>
    </row>
    <row r="35353" spans="119:119" x14ac:dyDescent="0.2">
      <c r="DO35353" s="303" t="s">
        <v>232</v>
      </c>
    </row>
    <row r="35354" spans="119:119" x14ac:dyDescent="0.2">
      <c r="DO35354" s="303" t="s">
        <v>232</v>
      </c>
    </row>
    <row r="35355" spans="119:119" x14ac:dyDescent="0.2">
      <c r="DO35355" s="303" t="s">
        <v>232</v>
      </c>
    </row>
    <row r="35356" spans="119:119" x14ac:dyDescent="0.2">
      <c r="DO35356" s="303" t="s">
        <v>232</v>
      </c>
    </row>
    <row r="35357" spans="119:119" x14ac:dyDescent="0.2">
      <c r="DO35357" s="303" t="s">
        <v>232</v>
      </c>
    </row>
    <row r="35358" spans="119:119" x14ac:dyDescent="0.2">
      <c r="DO35358" s="303" t="s">
        <v>232</v>
      </c>
    </row>
    <row r="35359" spans="119:119" x14ac:dyDescent="0.2">
      <c r="DO35359" s="303" t="s">
        <v>232</v>
      </c>
    </row>
    <row r="35360" spans="119:119" x14ac:dyDescent="0.2">
      <c r="DO35360" s="303" t="s">
        <v>232</v>
      </c>
    </row>
    <row r="35361" spans="119:119" x14ac:dyDescent="0.2">
      <c r="DO35361" s="303" t="s">
        <v>232</v>
      </c>
    </row>
    <row r="35362" spans="119:119" x14ac:dyDescent="0.2">
      <c r="DO35362" s="303" t="s">
        <v>232</v>
      </c>
    </row>
    <row r="35363" spans="119:119" x14ac:dyDescent="0.2">
      <c r="DO35363" s="303" t="s">
        <v>232</v>
      </c>
    </row>
    <row r="35364" spans="119:119" x14ac:dyDescent="0.2">
      <c r="DO35364" s="303" t="s">
        <v>232</v>
      </c>
    </row>
    <row r="35365" spans="119:119" x14ac:dyDescent="0.2">
      <c r="DO35365" s="303" t="s">
        <v>232</v>
      </c>
    </row>
    <row r="35366" spans="119:119" x14ac:dyDescent="0.2">
      <c r="DO35366" s="303" t="s">
        <v>232</v>
      </c>
    </row>
    <row r="35367" spans="119:119" x14ac:dyDescent="0.2">
      <c r="DO35367" s="303" t="s">
        <v>232</v>
      </c>
    </row>
    <row r="35368" spans="119:119" x14ac:dyDescent="0.2">
      <c r="DO35368" s="303" t="s">
        <v>232</v>
      </c>
    </row>
    <row r="35369" spans="119:119" x14ac:dyDescent="0.2">
      <c r="DO35369" s="303" t="s">
        <v>232</v>
      </c>
    </row>
    <row r="35370" spans="119:119" x14ac:dyDescent="0.2">
      <c r="DO35370" s="303" t="s">
        <v>232</v>
      </c>
    </row>
    <row r="35371" spans="119:119" x14ac:dyDescent="0.2">
      <c r="DO35371" s="303" t="s">
        <v>232</v>
      </c>
    </row>
    <row r="35372" spans="119:119" x14ac:dyDescent="0.2">
      <c r="DO35372" s="303" t="s">
        <v>232</v>
      </c>
    </row>
    <row r="35373" spans="119:119" x14ac:dyDescent="0.2">
      <c r="DO35373" s="303" t="s">
        <v>232</v>
      </c>
    </row>
    <row r="35374" spans="119:119" x14ac:dyDescent="0.2">
      <c r="DO35374" s="303" t="s">
        <v>232</v>
      </c>
    </row>
    <row r="35375" spans="119:119" x14ac:dyDescent="0.2">
      <c r="DO35375" s="303" t="s">
        <v>232</v>
      </c>
    </row>
    <row r="35376" spans="119:119" x14ac:dyDescent="0.2">
      <c r="DO35376" s="303" t="s">
        <v>232</v>
      </c>
    </row>
    <row r="35377" spans="119:119" x14ac:dyDescent="0.2">
      <c r="DO35377" s="303" t="s">
        <v>232</v>
      </c>
    </row>
    <row r="35378" spans="119:119" x14ac:dyDescent="0.2">
      <c r="DO35378" s="303" t="s">
        <v>232</v>
      </c>
    </row>
    <row r="35379" spans="119:119" x14ac:dyDescent="0.2">
      <c r="DO35379" s="303" t="s">
        <v>232</v>
      </c>
    </row>
    <row r="35380" spans="119:119" x14ac:dyDescent="0.2">
      <c r="DO35380" s="303" t="s">
        <v>232</v>
      </c>
    </row>
    <row r="35381" spans="119:119" x14ac:dyDescent="0.2">
      <c r="DO35381" s="303" t="s">
        <v>232</v>
      </c>
    </row>
    <row r="35382" spans="119:119" x14ac:dyDescent="0.2">
      <c r="DO35382" s="303" t="s">
        <v>232</v>
      </c>
    </row>
    <row r="35383" spans="119:119" x14ac:dyDescent="0.2">
      <c r="DO35383" s="303" t="s">
        <v>232</v>
      </c>
    </row>
    <row r="35384" spans="119:119" x14ac:dyDescent="0.2">
      <c r="DO35384" s="303" t="s">
        <v>232</v>
      </c>
    </row>
    <row r="35385" spans="119:119" x14ac:dyDescent="0.2">
      <c r="DO35385" s="303" t="s">
        <v>232</v>
      </c>
    </row>
    <row r="35386" spans="119:119" x14ac:dyDescent="0.2">
      <c r="DO35386" s="303" t="s">
        <v>232</v>
      </c>
    </row>
    <row r="35387" spans="119:119" x14ac:dyDescent="0.2">
      <c r="DO35387" s="303" t="s">
        <v>232</v>
      </c>
    </row>
    <row r="35388" spans="119:119" x14ac:dyDescent="0.2">
      <c r="DO35388" s="303" t="s">
        <v>232</v>
      </c>
    </row>
    <row r="35389" spans="119:119" x14ac:dyDescent="0.2">
      <c r="DO35389" s="303" t="s">
        <v>232</v>
      </c>
    </row>
    <row r="35390" spans="119:119" x14ac:dyDescent="0.2">
      <c r="DO35390" s="303" t="s">
        <v>232</v>
      </c>
    </row>
    <row r="35391" spans="119:119" x14ac:dyDescent="0.2">
      <c r="DO35391" s="303" t="s">
        <v>232</v>
      </c>
    </row>
    <row r="35392" spans="119:119" x14ac:dyDescent="0.2">
      <c r="DO35392" s="303" t="s">
        <v>232</v>
      </c>
    </row>
    <row r="35393" spans="119:119" x14ac:dyDescent="0.2">
      <c r="DO35393" s="303" t="s">
        <v>232</v>
      </c>
    </row>
    <row r="35394" spans="119:119" x14ac:dyDescent="0.2">
      <c r="DO35394" s="303" t="s">
        <v>232</v>
      </c>
    </row>
    <row r="35395" spans="119:119" x14ac:dyDescent="0.2">
      <c r="DO35395" s="303" t="s">
        <v>232</v>
      </c>
    </row>
    <row r="35396" spans="119:119" x14ac:dyDescent="0.2">
      <c r="DO35396" s="303" t="s">
        <v>232</v>
      </c>
    </row>
    <row r="35397" spans="119:119" x14ac:dyDescent="0.2">
      <c r="DO35397" s="303" t="s">
        <v>232</v>
      </c>
    </row>
    <row r="35398" spans="119:119" x14ac:dyDescent="0.2">
      <c r="DO35398" s="303" t="s">
        <v>232</v>
      </c>
    </row>
    <row r="35399" spans="119:119" x14ac:dyDescent="0.2">
      <c r="DO35399" s="303" t="s">
        <v>232</v>
      </c>
    </row>
    <row r="35400" spans="119:119" x14ac:dyDescent="0.2">
      <c r="DO35400" s="303" t="s">
        <v>232</v>
      </c>
    </row>
    <row r="35401" spans="119:119" x14ac:dyDescent="0.2">
      <c r="DO35401" s="303" t="s">
        <v>232</v>
      </c>
    </row>
    <row r="35402" spans="119:119" x14ac:dyDescent="0.2">
      <c r="DO35402" s="303" t="s">
        <v>232</v>
      </c>
    </row>
    <row r="35403" spans="119:119" x14ac:dyDescent="0.2">
      <c r="DO35403" s="303" t="s">
        <v>232</v>
      </c>
    </row>
    <row r="35404" spans="119:119" x14ac:dyDescent="0.2">
      <c r="DO35404" s="303" t="s">
        <v>232</v>
      </c>
    </row>
    <row r="35405" spans="119:119" x14ac:dyDescent="0.2">
      <c r="DO35405" s="303" t="s">
        <v>232</v>
      </c>
    </row>
    <row r="35406" spans="119:119" x14ac:dyDescent="0.2">
      <c r="DO35406" s="303" t="s">
        <v>232</v>
      </c>
    </row>
    <row r="35407" spans="119:119" x14ac:dyDescent="0.2">
      <c r="DO35407" s="303" t="s">
        <v>232</v>
      </c>
    </row>
    <row r="35408" spans="119:119" x14ac:dyDescent="0.2">
      <c r="DO35408" s="303" t="s">
        <v>232</v>
      </c>
    </row>
    <row r="35409" spans="119:119" x14ac:dyDescent="0.2">
      <c r="DO35409" s="303" t="s">
        <v>232</v>
      </c>
    </row>
    <row r="35410" spans="119:119" x14ac:dyDescent="0.2">
      <c r="DO35410" s="303" t="s">
        <v>232</v>
      </c>
    </row>
    <row r="35411" spans="119:119" x14ac:dyDescent="0.2">
      <c r="DO35411" s="303" t="s">
        <v>232</v>
      </c>
    </row>
    <row r="35412" spans="119:119" x14ac:dyDescent="0.2">
      <c r="DO35412" s="303" t="s">
        <v>232</v>
      </c>
    </row>
    <row r="35413" spans="119:119" x14ac:dyDescent="0.2">
      <c r="DO35413" s="303" t="s">
        <v>232</v>
      </c>
    </row>
    <row r="35414" spans="119:119" x14ac:dyDescent="0.2">
      <c r="DO35414" s="303" t="s">
        <v>232</v>
      </c>
    </row>
    <row r="35415" spans="119:119" x14ac:dyDescent="0.2">
      <c r="DO35415" s="303" t="s">
        <v>232</v>
      </c>
    </row>
    <row r="35416" spans="119:119" x14ac:dyDescent="0.2">
      <c r="DO35416" s="303" t="s">
        <v>232</v>
      </c>
    </row>
    <row r="35417" spans="119:119" x14ac:dyDescent="0.2">
      <c r="DO35417" s="303" t="s">
        <v>232</v>
      </c>
    </row>
    <row r="35418" spans="119:119" x14ac:dyDescent="0.2">
      <c r="DO35418" s="303" t="s">
        <v>232</v>
      </c>
    </row>
    <row r="35419" spans="119:119" x14ac:dyDescent="0.2">
      <c r="DO35419" s="303" t="s">
        <v>232</v>
      </c>
    </row>
    <row r="35420" spans="119:119" x14ac:dyDescent="0.2">
      <c r="DO35420" s="303" t="s">
        <v>232</v>
      </c>
    </row>
    <row r="35421" spans="119:119" x14ac:dyDescent="0.2">
      <c r="DO35421" s="303" t="s">
        <v>232</v>
      </c>
    </row>
    <row r="35422" spans="119:119" x14ac:dyDescent="0.2">
      <c r="DO35422" s="303" t="s">
        <v>232</v>
      </c>
    </row>
    <row r="35423" spans="119:119" x14ac:dyDescent="0.2">
      <c r="DO35423" s="303" t="s">
        <v>232</v>
      </c>
    </row>
    <row r="35424" spans="119:119" x14ac:dyDescent="0.2">
      <c r="DO35424" s="303" t="s">
        <v>232</v>
      </c>
    </row>
    <row r="35425" spans="119:119" x14ac:dyDescent="0.2">
      <c r="DO35425" s="303" t="s">
        <v>232</v>
      </c>
    </row>
    <row r="35426" spans="119:119" x14ac:dyDescent="0.2">
      <c r="DO35426" s="303" t="s">
        <v>232</v>
      </c>
    </row>
    <row r="35427" spans="119:119" x14ac:dyDescent="0.2">
      <c r="DO35427" s="303" t="s">
        <v>232</v>
      </c>
    </row>
    <row r="35428" spans="119:119" x14ac:dyDescent="0.2">
      <c r="DO35428" s="303" t="s">
        <v>232</v>
      </c>
    </row>
    <row r="35429" spans="119:119" x14ac:dyDescent="0.2">
      <c r="DO35429" s="303" t="s">
        <v>232</v>
      </c>
    </row>
    <row r="35430" spans="119:119" x14ac:dyDescent="0.2">
      <c r="DO35430" s="303" t="s">
        <v>232</v>
      </c>
    </row>
    <row r="35431" spans="119:119" x14ac:dyDescent="0.2">
      <c r="DO35431" s="303" t="s">
        <v>232</v>
      </c>
    </row>
    <row r="35432" spans="119:119" x14ac:dyDescent="0.2">
      <c r="DO35432" s="303" t="s">
        <v>232</v>
      </c>
    </row>
    <row r="35433" spans="119:119" x14ac:dyDescent="0.2">
      <c r="DO35433" s="303" t="s">
        <v>232</v>
      </c>
    </row>
    <row r="35434" spans="119:119" x14ac:dyDescent="0.2">
      <c r="DO35434" s="303" t="s">
        <v>232</v>
      </c>
    </row>
    <row r="35435" spans="119:119" x14ac:dyDescent="0.2">
      <c r="DO35435" s="303" t="s">
        <v>232</v>
      </c>
    </row>
    <row r="35436" spans="119:119" x14ac:dyDescent="0.2">
      <c r="DO35436" s="303" t="s">
        <v>232</v>
      </c>
    </row>
    <row r="35437" spans="119:119" x14ac:dyDescent="0.2">
      <c r="DO35437" s="303" t="s">
        <v>232</v>
      </c>
    </row>
    <row r="35438" spans="119:119" x14ac:dyDescent="0.2">
      <c r="DO35438" s="303" t="s">
        <v>232</v>
      </c>
    </row>
    <row r="35439" spans="119:119" x14ac:dyDescent="0.2">
      <c r="DO35439" s="303" t="s">
        <v>232</v>
      </c>
    </row>
    <row r="35440" spans="119:119" x14ac:dyDescent="0.2">
      <c r="DO35440" s="303" t="s">
        <v>232</v>
      </c>
    </row>
    <row r="35441" spans="119:119" x14ac:dyDescent="0.2">
      <c r="DO35441" s="303" t="s">
        <v>232</v>
      </c>
    </row>
    <row r="35442" spans="119:119" x14ac:dyDescent="0.2">
      <c r="DO35442" s="303" t="s">
        <v>232</v>
      </c>
    </row>
    <row r="35443" spans="119:119" x14ac:dyDescent="0.2">
      <c r="DO35443" s="303" t="s">
        <v>232</v>
      </c>
    </row>
    <row r="35444" spans="119:119" x14ac:dyDescent="0.2">
      <c r="DO35444" s="303" t="s">
        <v>232</v>
      </c>
    </row>
    <row r="35445" spans="119:119" x14ac:dyDescent="0.2">
      <c r="DO35445" s="303" t="s">
        <v>232</v>
      </c>
    </row>
    <row r="35446" spans="119:119" x14ac:dyDescent="0.2">
      <c r="DO35446" s="303" t="s">
        <v>232</v>
      </c>
    </row>
    <row r="35447" spans="119:119" x14ac:dyDescent="0.2">
      <c r="DO35447" s="303" t="s">
        <v>232</v>
      </c>
    </row>
    <row r="35448" spans="119:119" x14ac:dyDescent="0.2">
      <c r="DO35448" s="303" t="s">
        <v>232</v>
      </c>
    </row>
    <row r="35449" spans="119:119" x14ac:dyDescent="0.2">
      <c r="DO35449" s="303" t="s">
        <v>232</v>
      </c>
    </row>
    <row r="35450" spans="119:119" x14ac:dyDescent="0.2">
      <c r="DO35450" s="303" t="s">
        <v>232</v>
      </c>
    </row>
    <row r="35451" spans="119:119" x14ac:dyDescent="0.2">
      <c r="DO35451" s="303" t="s">
        <v>232</v>
      </c>
    </row>
    <row r="35452" spans="119:119" x14ac:dyDescent="0.2">
      <c r="DO35452" s="303" t="s">
        <v>232</v>
      </c>
    </row>
    <row r="35453" spans="119:119" x14ac:dyDescent="0.2">
      <c r="DO35453" s="303" t="s">
        <v>232</v>
      </c>
    </row>
    <row r="35454" spans="119:119" x14ac:dyDescent="0.2">
      <c r="DO35454" s="303" t="s">
        <v>232</v>
      </c>
    </row>
    <row r="35455" spans="119:119" x14ac:dyDescent="0.2">
      <c r="DO35455" s="303" t="s">
        <v>232</v>
      </c>
    </row>
    <row r="35456" spans="119:119" x14ac:dyDescent="0.2">
      <c r="DO35456" s="303" t="s">
        <v>232</v>
      </c>
    </row>
    <row r="35457" spans="119:119" x14ac:dyDescent="0.2">
      <c r="DO35457" s="303" t="s">
        <v>232</v>
      </c>
    </row>
    <row r="35458" spans="119:119" x14ac:dyDescent="0.2">
      <c r="DO35458" s="303" t="s">
        <v>232</v>
      </c>
    </row>
    <row r="35459" spans="119:119" x14ac:dyDescent="0.2">
      <c r="DO35459" s="303" t="s">
        <v>232</v>
      </c>
    </row>
    <row r="35460" spans="119:119" x14ac:dyDescent="0.2">
      <c r="DO35460" s="303" t="s">
        <v>232</v>
      </c>
    </row>
    <row r="35461" spans="119:119" x14ac:dyDescent="0.2">
      <c r="DO35461" s="303" t="s">
        <v>232</v>
      </c>
    </row>
    <row r="35462" spans="119:119" x14ac:dyDescent="0.2">
      <c r="DO35462" s="303" t="s">
        <v>232</v>
      </c>
    </row>
    <row r="35463" spans="119:119" x14ac:dyDescent="0.2">
      <c r="DO35463" s="303" t="s">
        <v>232</v>
      </c>
    </row>
    <row r="35464" spans="119:119" x14ac:dyDescent="0.2">
      <c r="DO35464" s="303" t="s">
        <v>232</v>
      </c>
    </row>
    <row r="35465" spans="119:119" x14ac:dyDescent="0.2">
      <c r="DO35465" s="303" t="s">
        <v>232</v>
      </c>
    </row>
    <row r="35466" spans="119:119" x14ac:dyDescent="0.2">
      <c r="DO35466" s="303" t="s">
        <v>232</v>
      </c>
    </row>
    <row r="35467" spans="119:119" x14ac:dyDescent="0.2">
      <c r="DO35467" s="303" t="s">
        <v>232</v>
      </c>
    </row>
    <row r="35468" spans="119:119" x14ac:dyDescent="0.2">
      <c r="DO35468" s="303" t="s">
        <v>232</v>
      </c>
    </row>
    <row r="35469" spans="119:119" x14ac:dyDescent="0.2">
      <c r="DO35469" s="303" t="s">
        <v>232</v>
      </c>
    </row>
    <row r="35470" spans="119:119" x14ac:dyDescent="0.2">
      <c r="DO35470" s="303" t="s">
        <v>232</v>
      </c>
    </row>
    <row r="35471" spans="119:119" x14ac:dyDescent="0.2">
      <c r="DO35471" s="303" t="s">
        <v>232</v>
      </c>
    </row>
    <row r="35472" spans="119:119" x14ac:dyDescent="0.2">
      <c r="DO35472" s="303" t="s">
        <v>232</v>
      </c>
    </row>
    <row r="35473" spans="119:119" x14ac:dyDescent="0.2">
      <c r="DO35473" s="303" t="s">
        <v>232</v>
      </c>
    </row>
    <row r="35474" spans="119:119" x14ac:dyDescent="0.2">
      <c r="DO35474" s="303" t="s">
        <v>232</v>
      </c>
    </row>
    <row r="35475" spans="119:119" x14ac:dyDescent="0.2">
      <c r="DO35475" s="303" t="s">
        <v>232</v>
      </c>
    </row>
    <row r="35476" spans="119:119" x14ac:dyDescent="0.2">
      <c r="DO35476" s="303" t="s">
        <v>232</v>
      </c>
    </row>
    <row r="35477" spans="119:119" x14ac:dyDescent="0.2">
      <c r="DO35477" s="303" t="s">
        <v>232</v>
      </c>
    </row>
    <row r="35478" spans="119:119" x14ac:dyDescent="0.2">
      <c r="DO35478" s="303" t="s">
        <v>232</v>
      </c>
    </row>
    <row r="35479" spans="119:119" x14ac:dyDescent="0.2">
      <c r="DO35479" s="303" t="s">
        <v>232</v>
      </c>
    </row>
    <row r="35480" spans="119:119" x14ac:dyDescent="0.2">
      <c r="DO35480" s="303" t="s">
        <v>232</v>
      </c>
    </row>
    <row r="35481" spans="119:119" x14ac:dyDescent="0.2">
      <c r="DO35481" s="303" t="s">
        <v>232</v>
      </c>
    </row>
    <row r="35482" spans="119:119" x14ac:dyDescent="0.2">
      <c r="DO35482" s="303" t="s">
        <v>232</v>
      </c>
    </row>
    <row r="35483" spans="119:119" x14ac:dyDescent="0.2">
      <c r="DO35483" s="303" t="s">
        <v>232</v>
      </c>
    </row>
    <row r="35484" spans="119:119" x14ac:dyDescent="0.2">
      <c r="DO35484" s="303" t="s">
        <v>232</v>
      </c>
    </row>
    <row r="35485" spans="119:119" x14ac:dyDescent="0.2">
      <c r="DO35485" s="303" t="s">
        <v>232</v>
      </c>
    </row>
    <row r="35486" spans="119:119" x14ac:dyDescent="0.2">
      <c r="DO35486" s="303" t="s">
        <v>232</v>
      </c>
    </row>
    <row r="35487" spans="119:119" x14ac:dyDescent="0.2">
      <c r="DO35487" s="303" t="s">
        <v>232</v>
      </c>
    </row>
    <row r="35488" spans="119:119" x14ac:dyDescent="0.2">
      <c r="DO35488" s="303" t="s">
        <v>232</v>
      </c>
    </row>
    <row r="35489" spans="119:119" x14ac:dyDescent="0.2">
      <c r="DO35489" s="303" t="s">
        <v>232</v>
      </c>
    </row>
    <row r="35490" spans="119:119" x14ac:dyDescent="0.2">
      <c r="DO35490" s="303" t="s">
        <v>232</v>
      </c>
    </row>
    <row r="35491" spans="119:119" x14ac:dyDescent="0.2">
      <c r="DO35491" s="303" t="s">
        <v>232</v>
      </c>
    </row>
    <row r="35492" spans="119:119" x14ac:dyDescent="0.2">
      <c r="DO35492" s="303" t="s">
        <v>232</v>
      </c>
    </row>
    <row r="35493" spans="119:119" x14ac:dyDescent="0.2">
      <c r="DO35493" s="303" t="s">
        <v>232</v>
      </c>
    </row>
    <row r="35494" spans="119:119" x14ac:dyDescent="0.2">
      <c r="DO35494" s="303" t="s">
        <v>232</v>
      </c>
    </row>
    <row r="35495" spans="119:119" x14ac:dyDescent="0.2">
      <c r="DO35495" s="303" t="s">
        <v>232</v>
      </c>
    </row>
    <row r="35496" spans="119:119" x14ac:dyDescent="0.2">
      <c r="DO35496" s="303" t="s">
        <v>232</v>
      </c>
    </row>
    <row r="35497" spans="119:119" x14ac:dyDescent="0.2">
      <c r="DO35497" s="303" t="s">
        <v>232</v>
      </c>
    </row>
    <row r="35498" spans="119:119" x14ac:dyDescent="0.2">
      <c r="DO35498" s="303" t="s">
        <v>232</v>
      </c>
    </row>
    <row r="35499" spans="119:119" x14ac:dyDescent="0.2">
      <c r="DO35499" s="303" t="s">
        <v>232</v>
      </c>
    </row>
    <row r="35500" spans="119:119" x14ac:dyDescent="0.2">
      <c r="DO35500" s="303" t="s">
        <v>232</v>
      </c>
    </row>
    <row r="35501" spans="119:119" x14ac:dyDescent="0.2">
      <c r="DO35501" s="303" t="s">
        <v>232</v>
      </c>
    </row>
    <row r="35502" spans="119:119" x14ac:dyDescent="0.2">
      <c r="DO35502" s="303" t="s">
        <v>232</v>
      </c>
    </row>
    <row r="35503" spans="119:119" x14ac:dyDescent="0.2">
      <c r="DO35503" s="303" t="s">
        <v>232</v>
      </c>
    </row>
    <row r="35504" spans="119:119" x14ac:dyDescent="0.2">
      <c r="DO35504" s="303" t="s">
        <v>232</v>
      </c>
    </row>
    <row r="35505" spans="119:119" x14ac:dyDescent="0.2">
      <c r="DO35505" s="303" t="s">
        <v>232</v>
      </c>
    </row>
    <row r="35506" spans="119:119" x14ac:dyDescent="0.2">
      <c r="DO35506" s="303" t="s">
        <v>232</v>
      </c>
    </row>
    <row r="35507" spans="119:119" x14ac:dyDescent="0.2">
      <c r="DO35507" s="303" t="s">
        <v>232</v>
      </c>
    </row>
    <row r="35508" spans="119:119" x14ac:dyDescent="0.2">
      <c r="DO35508" s="303" t="s">
        <v>232</v>
      </c>
    </row>
    <row r="35509" spans="119:119" x14ac:dyDescent="0.2">
      <c r="DO35509" s="303" t="s">
        <v>232</v>
      </c>
    </row>
    <row r="35510" spans="119:119" x14ac:dyDescent="0.2">
      <c r="DO35510" s="303" t="s">
        <v>232</v>
      </c>
    </row>
    <row r="35511" spans="119:119" x14ac:dyDescent="0.2">
      <c r="DO35511" s="303" t="s">
        <v>232</v>
      </c>
    </row>
    <row r="35512" spans="119:119" x14ac:dyDescent="0.2">
      <c r="DO35512" s="303" t="s">
        <v>232</v>
      </c>
    </row>
    <row r="35513" spans="119:119" x14ac:dyDescent="0.2">
      <c r="DO35513" s="303" t="s">
        <v>232</v>
      </c>
    </row>
    <row r="35514" spans="119:119" x14ac:dyDescent="0.2">
      <c r="DO35514" s="303" t="s">
        <v>232</v>
      </c>
    </row>
    <row r="35515" spans="119:119" x14ac:dyDescent="0.2">
      <c r="DO35515" s="303" t="s">
        <v>232</v>
      </c>
    </row>
    <row r="35516" spans="119:119" x14ac:dyDescent="0.2">
      <c r="DO35516" s="303" t="s">
        <v>232</v>
      </c>
    </row>
    <row r="35517" spans="119:119" x14ac:dyDescent="0.2">
      <c r="DO35517" s="303" t="s">
        <v>232</v>
      </c>
    </row>
    <row r="35518" spans="119:119" x14ac:dyDescent="0.2">
      <c r="DO35518" s="303" t="s">
        <v>232</v>
      </c>
    </row>
    <row r="35519" spans="119:119" x14ac:dyDescent="0.2">
      <c r="DO35519" s="303" t="s">
        <v>232</v>
      </c>
    </row>
    <row r="35520" spans="119:119" x14ac:dyDescent="0.2">
      <c r="DO35520" s="303" t="s">
        <v>232</v>
      </c>
    </row>
    <row r="35521" spans="119:119" x14ac:dyDescent="0.2">
      <c r="DO35521" s="303" t="s">
        <v>232</v>
      </c>
    </row>
    <row r="35522" spans="119:119" x14ac:dyDescent="0.2">
      <c r="DO35522" s="303" t="s">
        <v>232</v>
      </c>
    </row>
    <row r="35523" spans="119:119" x14ac:dyDescent="0.2">
      <c r="DO35523" s="303" t="s">
        <v>232</v>
      </c>
    </row>
    <row r="35524" spans="119:119" x14ac:dyDescent="0.2">
      <c r="DO35524" s="303" t="s">
        <v>232</v>
      </c>
    </row>
    <row r="35525" spans="119:119" x14ac:dyDescent="0.2">
      <c r="DO35525" s="303" t="s">
        <v>232</v>
      </c>
    </row>
    <row r="35526" spans="119:119" x14ac:dyDescent="0.2">
      <c r="DO35526" s="303" t="s">
        <v>232</v>
      </c>
    </row>
    <row r="35527" spans="119:119" x14ac:dyDescent="0.2">
      <c r="DO35527" s="303" t="s">
        <v>232</v>
      </c>
    </row>
    <row r="35528" spans="119:119" x14ac:dyDescent="0.2">
      <c r="DO35528" s="303" t="s">
        <v>232</v>
      </c>
    </row>
    <row r="35529" spans="119:119" x14ac:dyDescent="0.2">
      <c r="DO35529" s="303" t="s">
        <v>232</v>
      </c>
    </row>
    <row r="35530" spans="119:119" x14ac:dyDescent="0.2">
      <c r="DO35530" s="303" t="s">
        <v>232</v>
      </c>
    </row>
    <row r="35531" spans="119:119" x14ac:dyDescent="0.2">
      <c r="DO35531" s="303" t="s">
        <v>232</v>
      </c>
    </row>
    <row r="35532" spans="119:119" x14ac:dyDescent="0.2">
      <c r="DO35532" s="303" t="s">
        <v>232</v>
      </c>
    </row>
    <row r="35533" spans="119:119" x14ac:dyDescent="0.2">
      <c r="DO35533" s="303" t="s">
        <v>232</v>
      </c>
    </row>
    <row r="35534" spans="119:119" x14ac:dyDescent="0.2">
      <c r="DO35534" s="303" t="s">
        <v>232</v>
      </c>
    </row>
    <row r="35535" spans="119:119" x14ac:dyDescent="0.2">
      <c r="DO35535" s="303" t="s">
        <v>232</v>
      </c>
    </row>
    <row r="35536" spans="119:119" x14ac:dyDescent="0.2">
      <c r="DO35536" s="303" t="s">
        <v>232</v>
      </c>
    </row>
    <row r="35537" spans="119:119" x14ac:dyDescent="0.2">
      <c r="DO35537" s="303" t="s">
        <v>232</v>
      </c>
    </row>
    <row r="35538" spans="119:119" x14ac:dyDescent="0.2">
      <c r="DO35538" s="303" t="s">
        <v>232</v>
      </c>
    </row>
    <row r="35539" spans="119:119" x14ac:dyDescent="0.2">
      <c r="DO35539" s="303" t="s">
        <v>232</v>
      </c>
    </row>
    <row r="35540" spans="119:119" x14ac:dyDescent="0.2">
      <c r="DO35540" s="303" t="s">
        <v>232</v>
      </c>
    </row>
    <row r="35541" spans="119:119" x14ac:dyDescent="0.2">
      <c r="DO35541" s="303" t="s">
        <v>232</v>
      </c>
    </row>
    <row r="35542" spans="119:119" x14ac:dyDescent="0.2">
      <c r="DO35542" s="303" t="s">
        <v>232</v>
      </c>
    </row>
    <row r="35543" spans="119:119" x14ac:dyDescent="0.2">
      <c r="DO35543" s="303" t="s">
        <v>232</v>
      </c>
    </row>
    <row r="35544" spans="119:119" x14ac:dyDescent="0.2">
      <c r="DO35544" s="303" t="s">
        <v>232</v>
      </c>
    </row>
    <row r="35545" spans="119:119" x14ac:dyDescent="0.2">
      <c r="DO35545" s="303" t="s">
        <v>232</v>
      </c>
    </row>
    <row r="35546" spans="119:119" x14ac:dyDescent="0.2">
      <c r="DO35546" s="303" t="s">
        <v>232</v>
      </c>
    </row>
    <row r="35547" spans="119:119" x14ac:dyDescent="0.2">
      <c r="DO35547" s="303" t="s">
        <v>232</v>
      </c>
    </row>
    <row r="35548" spans="119:119" x14ac:dyDescent="0.2">
      <c r="DO35548" s="303" t="s">
        <v>232</v>
      </c>
    </row>
    <row r="35549" spans="119:119" x14ac:dyDescent="0.2">
      <c r="DO35549" s="303" t="s">
        <v>232</v>
      </c>
    </row>
    <row r="35550" spans="119:119" x14ac:dyDescent="0.2">
      <c r="DO35550" s="303" t="s">
        <v>232</v>
      </c>
    </row>
    <row r="35551" spans="119:119" x14ac:dyDescent="0.2">
      <c r="DO35551" s="303" t="s">
        <v>232</v>
      </c>
    </row>
    <row r="35552" spans="119:119" x14ac:dyDescent="0.2">
      <c r="DO35552" s="303" t="s">
        <v>232</v>
      </c>
    </row>
    <row r="35553" spans="119:119" x14ac:dyDescent="0.2">
      <c r="DO35553" s="303" t="s">
        <v>232</v>
      </c>
    </row>
    <row r="35554" spans="119:119" x14ac:dyDescent="0.2">
      <c r="DO35554" s="303" t="s">
        <v>232</v>
      </c>
    </row>
    <row r="35555" spans="119:119" x14ac:dyDescent="0.2">
      <c r="DO35555" s="303" t="s">
        <v>232</v>
      </c>
    </row>
    <row r="35556" spans="119:119" x14ac:dyDescent="0.2">
      <c r="DO35556" s="303" t="s">
        <v>232</v>
      </c>
    </row>
    <row r="35557" spans="119:119" x14ac:dyDescent="0.2">
      <c r="DO35557" s="303" t="s">
        <v>232</v>
      </c>
    </row>
    <row r="35558" spans="119:119" x14ac:dyDescent="0.2">
      <c r="DO35558" s="303" t="s">
        <v>232</v>
      </c>
    </row>
    <row r="35559" spans="119:119" x14ac:dyDescent="0.2">
      <c r="DO35559" s="303" t="s">
        <v>232</v>
      </c>
    </row>
    <row r="35560" spans="119:119" x14ac:dyDescent="0.2">
      <c r="DO35560" s="303" t="s">
        <v>232</v>
      </c>
    </row>
    <row r="35561" spans="119:119" x14ac:dyDescent="0.2">
      <c r="DO35561" s="303" t="s">
        <v>232</v>
      </c>
    </row>
    <row r="35562" spans="119:119" x14ac:dyDescent="0.2">
      <c r="DO35562" s="303" t="s">
        <v>232</v>
      </c>
    </row>
    <row r="35563" spans="119:119" x14ac:dyDescent="0.2">
      <c r="DO35563" s="303" t="s">
        <v>232</v>
      </c>
    </row>
    <row r="35564" spans="119:119" x14ac:dyDescent="0.2">
      <c r="DO35564" s="303" t="s">
        <v>232</v>
      </c>
    </row>
    <row r="35565" spans="119:119" x14ac:dyDescent="0.2">
      <c r="DO35565" s="303" t="s">
        <v>232</v>
      </c>
    </row>
    <row r="35566" spans="119:119" x14ac:dyDescent="0.2">
      <c r="DO35566" s="303" t="s">
        <v>232</v>
      </c>
    </row>
    <row r="35567" spans="119:119" x14ac:dyDescent="0.2">
      <c r="DO35567" s="303" t="s">
        <v>232</v>
      </c>
    </row>
    <row r="35568" spans="119:119" x14ac:dyDescent="0.2">
      <c r="DO35568" s="303" t="s">
        <v>232</v>
      </c>
    </row>
    <row r="35569" spans="119:119" x14ac:dyDescent="0.2">
      <c r="DO35569" s="303" t="s">
        <v>232</v>
      </c>
    </row>
    <row r="35570" spans="119:119" x14ac:dyDescent="0.2">
      <c r="DO35570" s="303" t="s">
        <v>232</v>
      </c>
    </row>
    <row r="35571" spans="119:119" x14ac:dyDescent="0.2">
      <c r="DO35571" s="303" t="s">
        <v>232</v>
      </c>
    </row>
    <row r="35572" spans="119:119" x14ac:dyDescent="0.2">
      <c r="DO35572" s="303" t="s">
        <v>232</v>
      </c>
    </row>
    <row r="35573" spans="119:119" x14ac:dyDescent="0.2">
      <c r="DO35573" s="303" t="s">
        <v>232</v>
      </c>
    </row>
    <row r="35574" spans="119:119" x14ac:dyDescent="0.2">
      <c r="DO35574" s="303" t="s">
        <v>232</v>
      </c>
    </row>
    <row r="35575" spans="119:119" x14ac:dyDescent="0.2">
      <c r="DO35575" s="303" t="s">
        <v>232</v>
      </c>
    </row>
    <row r="35576" spans="119:119" x14ac:dyDescent="0.2">
      <c r="DO35576" s="303" t="s">
        <v>232</v>
      </c>
    </row>
    <row r="35577" spans="119:119" x14ac:dyDescent="0.2">
      <c r="DO35577" s="303" t="s">
        <v>232</v>
      </c>
    </row>
    <row r="35578" spans="119:119" x14ac:dyDescent="0.2">
      <c r="DO35578" s="303" t="s">
        <v>232</v>
      </c>
    </row>
    <row r="35579" spans="119:119" x14ac:dyDescent="0.2">
      <c r="DO35579" s="303" t="s">
        <v>232</v>
      </c>
    </row>
    <row r="35580" spans="119:119" x14ac:dyDescent="0.2">
      <c r="DO35580" s="303" t="s">
        <v>232</v>
      </c>
    </row>
    <row r="35581" spans="119:119" x14ac:dyDescent="0.2">
      <c r="DO35581" s="303" t="s">
        <v>232</v>
      </c>
    </row>
    <row r="35582" spans="119:119" x14ac:dyDescent="0.2">
      <c r="DO35582" s="303" t="s">
        <v>232</v>
      </c>
    </row>
    <row r="35583" spans="119:119" x14ac:dyDescent="0.2">
      <c r="DO35583" s="303" t="s">
        <v>232</v>
      </c>
    </row>
    <row r="35584" spans="119:119" x14ac:dyDescent="0.2">
      <c r="DO35584" s="303" t="s">
        <v>232</v>
      </c>
    </row>
    <row r="35585" spans="119:119" x14ac:dyDescent="0.2">
      <c r="DO35585" s="303" t="s">
        <v>232</v>
      </c>
    </row>
    <row r="35586" spans="119:119" x14ac:dyDescent="0.2">
      <c r="DO35586" s="303" t="s">
        <v>232</v>
      </c>
    </row>
    <row r="35587" spans="119:119" x14ac:dyDescent="0.2">
      <c r="DO35587" s="303" t="s">
        <v>232</v>
      </c>
    </row>
    <row r="35588" spans="119:119" x14ac:dyDescent="0.2">
      <c r="DO35588" s="303" t="s">
        <v>232</v>
      </c>
    </row>
    <row r="35589" spans="119:119" x14ac:dyDescent="0.2">
      <c r="DO35589" s="303" t="s">
        <v>232</v>
      </c>
    </row>
    <row r="35590" spans="119:119" x14ac:dyDescent="0.2">
      <c r="DO35590" s="303" t="s">
        <v>232</v>
      </c>
    </row>
    <row r="35591" spans="119:119" x14ac:dyDescent="0.2">
      <c r="DO35591" s="303" t="s">
        <v>232</v>
      </c>
    </row>
    <row r="35592" spans="119:119" x14ac:dyDescent="0.2">
      <c r="DO35592" s="303" t="s">
        <v>232</v>
      </c>
    </row>
    <row r="35593" spans="119:119" x14ac:dyDescent="0.2">
      <c r="DO35593" s="303" t="s">
        <v>232</v>
      </c>
    </row>
    <row r="35594" spans="119:119" x14ac:dyDescent="0.2">
      <c r="DO35594" s="303" t="s">
        <v>232</v>
      </c>
    </row>
    <row r="35595" spans="119:119" x14ac:dyDescent="0.2">
      <c r="DO35595" s="303" t="s">
        <v>232</v>
      </c>
    </row>
    <row r="35596" spans="119:119" x14ac:dyDescent="0.2">
      <c r="DO35596" s="303" t="s">
        <v>232</v>
      </c>
    </row>
    <row r="35597" spans="119:119" x14ac:dyDescent="0.2">
      <c r="DO35597" s="303" t="s">
        <v>232</v>
      </c>
    </row>
    <row r="35598" spans="119:119" x14ac:dyDescent="0.2">
      <c r="DO35598" s="303" t="s">
        <v>232</v>
      </c>
    </row>
    <row r="35599" spans="119:119" x14ac:dyDescent="0.2">
      <c r="DO35599" s="303" t="s">
        <v>232</v>
      </c>
    </row>
    <row r="35600" spans="119:119" x14ac:dyDescent="0.2">
      <c r="DO35600" s="303" t="s">
        <v>232</v>
      </c>
    </row>
    <row r="35601" spans="119:119" x14ac:dyDescent="0.2">
      <c r="DO35601" s="303" t="s">
        <v>232</v>
      </c>
    </row>
    <row r="35602" spans="119:119" x14ac:dyDescent="0.2">
      <c r="DO35602" s="303" t="s">
        <v>232</v>
      </c>
    </row>
    <row r="35603" spans="119:119" x14ac:dyDescent="0.2">
      <c r="DO35603" s="303" t="s">
        <v>232</v>
      </c>
    </row>
    <row r="35604" spans="119:119" x14ac:dyDescent="0.2">
      <c r="DO35604" s="303" t="s">
        <v>232</v>
      </c>
    </row>
    <row r="35605" spans="119:119" x14ac:dyDescent="0.2">
      <c r="DO35605" s="303" t="s">
        <v>232</v>
      </c>
    </row>
    <row r="35606" spans="119:119" x14ac:dyDescent="0.2">
      <c r="DO35606" s="303" t="s">
        <v>232</v>
      </c>
    </row>
    <row r="35607" spans="119:119" x14ac:dyDescent="0.2">
      <c r="DO35607" s="303" t="s">
        <v>232</v>
      </c>
    </row>
    <row r="35608" spans="119:119" x14ac:dyDescent="0.2">
      <c r="DO35608" s="303" t="s">
        <v>232</v>
      </c>
    </row>
    <row r="35609" spans="119:119" x14ac:dyDescent="0.2">
      <c r="DO35609" s="303" t="s">
        <v>232</v>
      </c>
    </row>
    <row r="35610" spans="119:119" x14ac:dyDescent="0.2">
      <c r="DO35610" s="303" t="s">
        <v>232</v>
      </c>
    </row>
    <row r="35611" spans="119:119" x14ac:dyDescent="0.2">
      <c r="DO35611" s="303" t="s">
        <v>232</v>
      </c>
    </row>
    <row r="35612" spans="119:119" x14ac:dyDescent="0.2">
      <c r="DO35612" s="303" t="s">
        <v>232</v>
      </c>
    </row>
    <row r="35613" spans="119:119" x14ac:dyDescent="0.2">
      <c r="DO35613" s="303" t="s">
        <v>232</v>
      </c>
    </row>
    <row r="35614" spans="119:119" x14ac:dyDescent="0.2">
      <c r="DO35614" s="303" t="s">
        <v>232</v>
      </c>
    </row>
    <row r="35615" spans="119:119" x14ac:dyDescent="0.2">
      <c r="DO35615" s="303" t="s">
        <v>232</v>
      </c>
    </row>
    <row r="35616" spans="119:119" x14ac:dyDescent="0.2">
      <c r="DO35616" s="303" t="s">
        <v>232</v>
      </c>
    </row>
    <row r="35617" spans="119:119" x14ac:dyDescent="0.2">
      <c r="DO35617" s="303" t="s">
        <v>232</v>
      </c>
    </row>
    <row r="35618" spans="119:119" x14ac:dyDescent="0.2">
      <c r="DO35618" s="303" t="s">
        <v>232</v>
      </c>
    </row>
    <row r="35619" spans="119:119" x14ac:dyDescent="0.2">
      <c r="DO35619" s="303" t="s">
        <v>232</v>
      </c>
    </row>
    <row r="35620" spans="119:119" x14ac:dyDescent="0.2">
      <c r="DO35620" s="303" t="s">
        <v>232</v>
      </c>
    </row>
    <row r="35621" spans="119:119" x14ac:dyDescent="0.2">
      <c r="DO35621" s="303" t="s">
        <v>232</v>
      </c>
    </row>
    <row r="35622" spans="119:119" x14ac:dyDescent="0.2">
      <c r="DO35622" s="303" t="s">
        <v>232</v>
      </c>
    </row>
    <row r="35623" spans="119:119" x14ac:dyDescent="0.2">
      <c r="DO35623" s="303" t="s">
        <v>232</v>
      </c>
    </row>
    <row r="35624" spans="119:119" x14ac:dyDescent="0.2">
      <c r="DO35624" s="303" t="s">
        <v>232</v>
      </c>
    </row>
    <row r="35625" spans="119:119" x14ac:dyDescent="0.2">
      <c r="DO35625" s="303" t="s">
        <v>232</v>
      </c>
    </row>
    <row r="35626" spans="119:119" x14ac:dyDescent="0.2">
      <c r="DO35626" s="303" t="s">
        <v>232</v>
      </c>
    </row>
    <row r="35627" spans="119:119" x14ac:dyDescent="0.2">
      <c r="DO35627" s="303" t="s">
        <v>232</v>
      </c>
    </row>
    <row r="35628" spans="119:119" x14ac:dyDescent="0.2">
      <c r="DO35628" s="303" t="s">
        <v>232</v>
      </c>
    </row>
    <row r="35629" spans="119:119" x14ac:dyDescent="0.2">
      <c r="DO35629" s="303" t="s">
        <v>232</v>
      </c>
    </row>
    <row r="35630" spans="119:119" x14ac:dyDescent="0.2">
      <c r="DO35630" s="303" t="s">
        <v>232</v>
      </c>
    </row>
    <row r="35631" spans="119:119" x14ac:dyDescent="0.2">
      <c r="DO35631" s="303" t="s">
        <v>232</v>
      </c>
    </row>
    <row r="35632" spans="119:119" x14ac:dyDescent="0.2">
      <c r="DO35632" s="303" t="s">
        <v>232</v>
      </c>
    </row>
    <row r="35633" spans="119:119" x14ac:dyDescent="0.2">
      <c r="DO35633" s="303" t="s">
        <v>232</v>
      </c>
    </row>
    <row r="35634" spans="119:119" x14ac:dyDescent="0.2">
      <c r="DO35634" s="303" t="s">
        <v>232</v>
      </c>
    </row>
    <row r="35635" spans="119:119" x14ac:dyDescent="0.2">
      <c r="DO35635" s="303" t="s">
        <v>232</v>
      </c>
    </row>
    <row r="35636" spans="119:119" x14ac:dyDescent="0.2">
      <c r="DO35636" s="303" t="s">
        <v>232</v>
      </c>
    </row>
    <row r="35637" spans="119:119" x14ac:dyDescent="0.2">
      <c r="DO35637" s="303" t="s">
        <v>232</v>
      </c>
    </row>
    <row r="35638" spans="119:119" x14ac:dyDescent="0.2">
      <c r="DO35638" s="303" t="s">
        <v>232</v>
      </c>
    </row>
    <row r="35639" spans="119:119" x14ac:dyDescent="0.2">
      <c r="DO35639" s="303" t="s">
        <v>232</v>
      </c>
    </row>
    <row r="35640" spans="119:119" x14ac:dyDescent="0.2">
      <c r="DO35640" s="303" t="s">
        <v>232</v>
      </c>
    </row>
    <row r="35641" spans="119:119" x14ac:dyDescent="0.2">
      <c r="DO35641" s="303" t="s">
        <v>232</v>
      </c>
    </row>
    <row r="35642" spans="119:119" x14ac:dyDescent="0.2">
      <c r="DO35642" s="303" t="s">
        <v>232</v>
      </c>
    </row>
    <row r="35643" spans="119:119" x14ac:dyDescent="0.2">
      <c r="DO35643" s="303" t="s">
        <v>232</v>
      </c>
    </row>
    <row r="35644" spans="119:119" x14ac:dyDescent="0.2">
      <c r="DO35644" s="303" t="s">
        <v>232</v>
      </c>
    </row>
    <row r="35645" spans="119:119" x14ac:dyDescent="0.2">
      <c r="DO35645" s="303" t="s">
        <v>232</v>
      </c>
    </row>
    <row r="35646" spans="119:119" x14ac:dyDescent="0.2">
      <c r="DO35646" s="303" t="s">
        <v>232</v>
      </c>
    </row>
    <row r="35647" spans="119:119" x14ac:dyDescent="0.2">
      <c r="DO35647" s="303" t="s">
        <v>232</v>
      </c>
    </row>
    <row r="35648" spans="119:119" x14ac:dyDescent="0.2">
      <c r="DO35648" s="303" t="s">
        <v>232</v>
      </c>
    </row>
    <row r="35649" spans="119:119" x14ac:dyDescent="0.2">
      <c r="DO35649" s="303" t="s">
        <v>232</v>
      </c>
    </row>
    <row r="35650" spans="119:119" x14ac:dyDescent="0.2">
      <c r="DO35650" s="303" t="s">
        <v>232</v>
      </c>
    </row>
    <row r="35651" spans="119:119" x14ac:dyDescent="0.2">
      <c r="DO35651" s="303" t="s">
        <v>232</v>
      </c>
    </row>
    <row r="35652" spans="119:119" x14ac:dyDescent="0.2">
      <c r="DO35652" s="303" t="s">
        <v>232</v>
      </c>
    </row>
    <row r="35653" spans="119:119" x14ac:dyDescent="0.2">
      <c r="DO35653" s="303" t="s">
        <v>232</v>
      </c>
    </row>
    <row r="35654" spans="119:119" x14ac:dyDescent="0.2">
      <c r="DO35654" s="303" t="s">
        <v>232</v>
      </c>
    </row>
    <row r="35655" spans="119:119" x14ac:dyDescent="0.2">
      <c r="DO35655" s="303" t="s">
        <v>232</v>
      </c>
    </row>
    <row r="35656" spans="119:119" x14ac:dyDescent="0.2">
      <c r="DO35656" s="303" t="s">
        <v>232</v>
      </c>
    </row>
    <row r="35657" spans="119:119" x14ac:dyDescent="0.2">
      <c r="DO35657" s="303" t="s">
        <v>232</v>
      </c>
    </row>
    <row r="35658" spans="119:119" x14ac:dyDescent="0.2">
      <c r="DO35658" s="303" t="s">
        <v>232</v>
      </c>
    </row>
    <row r="35659" spans="119:119" x14ac:dyDescent="0.2">
      <c r="DO35659" s="303" t="s">
        <v>232</v>
      </c>
    </row>
    <row r="35660" spans="119:119" x14ac:dyDescent="0.2">
      <c r="DO35660" s="303" t="s">
        <v>232</v>
      </c>
    </row>
    <row r="35661" spans="119:119" x14ac:dyDescent="0.2">
      <c r="DO35661" s="303" t="s">
        <v>232</v>
      </c>
    </row>
    <row r="35662" spans="119:119" x14ac:dyDescent="0.2">
      <c r="DO35662" s="303" t="s">
        <v>232</v>
      </c>
    </row>
    <row r="35663" spans="119:119" x14ac:dyDescent="0.2">
      <c r="DO35663" s="303" t="s">
        <v>232</v>
      </c>
    </row>
    <row r="35664" spans="119:119" x14ac:dyDescent="0.2">
      <c r="DO35664" s="303" t="s">
        <v>232</v>
      </c>
    </row>
    <row r="35665" spans="119:119" x14ac:dyDescent="0.2">
      <c r="DO35665" s="303" t="s">
        <v>232</v>
      </c>
    </row>
    <row r="35666" spans="119:119" x14ac:dyDescent="0.2">
      <c r="DO35666" s="303" t="s">
        <v>232</v>
      </c>
    </row>
    <row r="35667" spans="119:119" x14ac:dyDescent="0.2">
      <c r="DO35667" s="303" t="s">
        <v>232</v>
      </c>
    </row>
    <row r="35668" spans="119:119" x14ac:dyDescent="0.2">
      <c r="DO35668" s="303" t="s">
        <v>232</v>
      </c>
    </row>
    <row r="35669" spans="119:119" x14ac:dyDescent="0.2">
      <c r="DO35669" s="303" t="s">
        <v>232</v>
      </c>
    </row>
    <row r="35670" spans="119:119" x14ac:dyDescent="0.2">
      <c r="DO35670" s="303" t="s">
        <v>232</v>
      </c>
    </row>
    <row r="35671" spans="119:119" x14ac:dyDescent="0.2">
      <c r="DO35671" s="303" t="s">
        <v>232</v>
      </c>
    </row>
    <row r="35672" spans="119:119" x14ac:dyDescent="0.2">
      <c r="DO35672" s="303" t="s">
        <v>232</v>
      </c>
    </row>
    <row r="35673" spans="119:119" x14ac:dyDescent="0.2">
      <c r="DO35673" s="303" t="s">
        <v>232</v>
      </c>
    </row>
    <row r="35674" spans="119:119" x14ac:dyDescent="0.2">
      <c r="DO35674" s="303" t="s">
        <v>232</v>
      </c>
    </row>
    <row r="35675" spans="119:119" x14ac:dyDescent="0.2">
      <c r="DO35675" s="303" t="s">
        <v>232</v>
      </c>
    </row>
    <row r="35676" spans="119:119" x14ac:dyDescent="0.2">
      <c r="DO35676" s="303" t="s">
        <v>232</v>
      </c>
    </row>
    <row r="35677" spans="119:119" x14ac:dyDescent="0.2">
      <c r="DO35677" s="303" t="s">
        <v>232</v>
      </c>
    </row>
    <row r="35678" spans="119:119" x14ac:dyDescent="0.2">
      <c r="DO35678" s="303" t="s">
        <v>232</v>
      </c>
    </row>
    <row r="35679" spans="119:119" x14ac:dyDescent="0.2">
      <c r="DO35679" s="303" t="s">
        <v>232</v>
      </c>
    </row>
    <row r="35680" spans="119:119" x14ac:dyDescent="0.2">
      <c r="DO35680" s="303" t="s">
        <v>232</v>
      </c>
    </row>
    <row r="35681" spans="119:119" x14ac:dyDescent="0.2">
      <c r="DO35681" s="303" t="s">
        <v>232</v>
      </c>
    </row>
    <row r="35682" spans="119:119" x14ac:dyDescent="0.2">
      <c r="DO35682" s="303" t="s">
        <v>232</v>
      </c>
    </row>
    <row r="35683" spans="119:119" x14ac:dyDescent="0.2">
      <c r="DO35683" s="303" t="s">
        <v>232</v>
      </c>
    </row>
    <row r="35684" spans="119:119" x14ac:dyDescent="0.2">
      <c r="DO35684" s="303" t="s">
        <v>232</v>
      </c>
    </row>
    <row r="35685" spans="119:119" x14ac:dyDescent="0.2">
      <c r="DO35685" s="303" t="s">
        <v>232</v>
      </c>
    </row>
    <row r="35686" spans="119:119" x14ac:dyDescent="0.2">
      <c r="DO35686" s="303" t="s">
        <v>232</v>
      </c>
    </row>
    <row r="35687" spans="119:119" x14ac:dyDescent="0.2">
      <c r="DO35687" s="303" t="s">
        <v>232</v>
      </c>
    </row>
    <row r="35688" spans="119:119" x14ac:dyDescent="0.2">
      <c r="DO35688" s="303" t="s">
        <v>232</v>
      </c>
    </row>
    <row r="35689" spans="119:119" x14ac:dyDescent="0.2">
      <c r="DO35689" s="303" t="s">
        <v>232</v>
      </c>
    </row>
    <row r="35690" spans="119:119" x14ac:dyDescent="0.2">
      <c r="DO35690" s="303" t="s">
        <v>232</v>
      </c>
    </row>
    <row r="35691" spans="119:119" x14ac:dyDescent="0.2">
      <c r="DO35691" s="303" t="s">
        <v>232</v>
      </c>
    </row>
    <row r="35692" spans="119:119" x14ac:dyDescent="0.2">
      <c r="DO35692" s="303" t="s">
        <v>232</v>
      </c>
    </row>
    <row r="35693" spans="119:119" x14ac:dyDescent="0.2">
      <c r="DO35693" s="303" t="s">
        <v>232</v>
      </c>
    </row>
    <row r="35694" spans="119:119" x14ac:dyDescent="0.2">
      <c r="DO35694" s="303" t="s">
        <v>232</v>
      </c>
    </row>
    <row r="35695" spans="119:119" x14ac:dyDescent="0.2">
      <c r="DO35695" s="303" t="s">
        <v>232</v>
      </c>
    </row>
    <row r="35696" spans="119:119" x14ac:dyDescent="0.2">
      <c r="DO35696" s="303" t="s">
        <v>232</v>
      </c>
    </row>
    <row r="35697" spans="119:119" x14ac:dyDescent="0.2">
      <c r="DO35697" s="303" t="s">
        <v>232</v>
      </c>
    </row>
    <row r="35698" spans="119:119" x14ac:dyDescent="0.2">
      <c r="DO35698" s="303" t="s">
        <v>232</v>
      </c>
    </row>
    <row r="35699" spans="119:119" x14ac:dyDescent="0.2">
      <c r="DO35699" s="303" t="s">
        <v>232</v>
      </c>
    </row>
    <row r="35700" spans="119:119" x14ac:dyDescent="0.2">
      <c r="DO35700" s="303" t="s">
        <v>232</v>
      </c>
    </row>
    <row r="35701" spans="119:119" x14ac:dyDescent="0.2">
      <c r="DO35701" s="303" t="s">
        <v>232</v>
      </c>
    </row>
    <row r="35702" spans="119:119" x14ac:dyDescent="0.2">
      <c r="DO35702" s="303" t="s">
        <v>232</v>
      </c>
    </row>
    <row r="35703" spans="119:119" x14ac:dyDescent="0.2">
      <c r="DO35703" s="303" t="s">
        <v>232</v>
      </c>
    </row>
    <row r="35704" spans="119:119" x14ac:dyDescent="0.2">
      <c r="DO35704" s="303" t="s">
        <v>232</v>
      </c>
    </row>
    <row r="35705" spans="119:119" x14ac:dyDescent="0.2">
      <c r="DO35705" s="303" t="s">
        <v>232</v>
      </c>
    </row>
    <row r="35706" spans="119:119" x14ac:dyDescent="0.2">
      <c r="DO35706" s="303" t="s">
        <v>232</v>
      </c>
    </row>
    <row r="35707" spans="119:119" x14ac:dyDescent="0.2">
      <c r="DO35707" s="303" t="s">
        <v>232</v>
      </c>
    </row>
    <row r="35708" spans="119:119" x14ac:dyDescent="0.2">
      <c r="DO35708" s="303" t="s">
        <v>232</v>
      </c>
    </row>
    <row r="35709" spans="119:119" x14ac:dyDescent="0.2">
      <c r="DO35709" s="303" t="s">
        <v>232</v>
      </c>
    </row>
    <row r="35710" spans="119:119" x14ac:dyDescent="0.2">
      <c r="DO35710" s="303" t="s">
        <v>232</v>
      </c>
    </row>
    <row r="35711" spans="119:119" x14ac:dyDescent="0.2">
      <c r="DO35711" s="303" t="s">
        <v>232</v>
      </c>
    </row>
    <row r="35712" spans="119:119" x14ac:dyDescent="0.2">
      <c r="DO35712" s="303" t="s">
        <v>232</v>
      </c>
    </row>
    <row r="35713" spans="119:119" x14ac:dyDescent="0.2">
      <c r="DO35713" s="303" t="s">
        <v>232</v>
      </c>
    </row>
    <row r="35714" spans="119:119" x14ac:dyDescent="0.2">
      <c r="DO35714" s="303" t="s">
        <v>232</v>
      </c>
    </row>
    <row r="35715" spans="119:119" x14ac:dyDescent="0.2">
      <c r="DO35715" s="303" t="s">
        <v>232</v>
      </c>
    </row>
    <row r="35716" spans="119:119" x14ac:dyDescent="0.2">
      <c r="DO35716" s="303" t="s">
        <v>232</v>
      </c>
    </row>
    <row r="35717" spans="119:119" x14ac:dyDescent="0.2">
      <c r="DO35717" s="303" t="s">
        <v>232</v>
      </c>
    </row>
    <row r="35718" spans="119:119" x14ac:dyDescent="0.2">
      <c r="DO35718" s="303" t="s">
        <v>232</v>
      </c>
    </row>
    <row r="35719" spans="119:119" x14ac:dyDescent="0.2">
      <c r="DO35719" s="303" t="s">
        <v>232</v>
      </c>
    </row>
    <row r="35720" spans="119:119" x14ac:dyDescent="0.2">
      <c r="DO35720" s="303" t="s">
        <v>232</v>
      </c>
    </row>
    <row r="35721" spans="119:119" x14ac:dyDescent="0.2">
      <c r="DO35721" s="303" t="s">
        <v>232</v>
      </c>
    </row>
    <row r="35722" spans="119:119" x14ac:dyDescent="0.2">
      <c r="DO35722" s="303" t="s">
        <v>232</v>
      </c>
    </row>
    <row r="35723" spans="119:119" x14ac:dyDescent="0.2">
      <c r="DO35723" s="303" t="s">
        <v>232</v>
      </c>
    </row>
    <row r="35724" spans="119:119" x14ac:dyDescent="0.2">
      <c r="DO35724" s="303" t="s">
        <v>232</v>
      </c>
    </row>
    <row r="35725" spans="119:119" x14ac:dyDescent="0.2">
      <c r="DO35725" s="303" t="s">
        <v>232</v>
      </c>
    </row>
    <row r="35726" spans="119:119" x14ac:dyDescent="0.2">
      <c r="DO35726" s="303" t="s">
        <v>232</v>
      </c>
    </row>
    <row r="35727" spans="119:119" x14ac:dyDescent="0.2">
      <c r="DO35727" s="303" t="s">
        <v>232</v>
      </c>
    </row>
    <row r="35728" spans="119:119" x14ac:dyDescent="0.2">
      <c r="DO35728" s="303" t="s">
        <v>232</v>
      </c>
    </row>
    <row r="35729" spans="119:119" x14ac:dyDescent="0.2">
      <c r="DO35729" s="303" t="s">
        <v>232</v>
      </c>
    </row>
    <row r="35730" spans="119:119" x14ac:dyDescent="0.2">
      <c r="DO35730" s="303" t="s">
        <v>232</v>
      </c>
    </row>
    <row r="35731" spans="119:119" x14ac:dyDescent="0.2">
      <c r="DO35731" s="303" t="s">
        <v>232</v>
      </c>
    </row>
    <row r="35732" spans="119:119" x14ac:dyDescent="0.2">
      <c r="DO35732" s="303" t="s">
        <v>232</v>
      </c>
    </row>
    <row r="35733" spans="119:119" x14ac:dyDescent="0.2">
      <c r="DO35733" s="303" t="s">
        <v>232</v>
      </c>
    </row>
    <row r="35734" spans="119:119" x14ac:dyDescent="0.2">
      <c r="DO35734" s="303" t="s">
        <v>232</v>
      </c>
    </row>
    <row r="35735" spans="119:119" x14ac:dyDescent="0.2">
      <c r="DO35735" s="303" t="s">
        <v>232</v>
      </c>
    </row>
    <row r="35736" spans="119:119" x14ac:dyDescent="0.2">
      <c r="DO35736" s="303" t="s">
        <v>232</v>
      </c>
    </row>
    <row r="35737" spans="119:119" x14ac:dyDescent="0.2">
      <c r="DO35737" s="303" t="s">
        <v>232</v>
      </c>
    </row>
    <row r="35738" spans="119:119" x14ac:dyDescent="0.2">
      <c r="DO35738" s="303" t="s">
        <v>232</v>
      </c>
    </row>
    <row r="35739" spans="119:119" x14ac:dyDescent="0.2">
      <c r="DO35739" s="303" t="s">
        <v>232</v>
      </c>
    </row>
    <row r="35740" spans="119:119" x14ac:dyDescent="0.2">
      <c r="DO35740" s="303" t="s">
        <v>232</v>
      </c>
    </row>
    <row r="35741" spans="119:119" x14ac:dyDescent="0.2">
      <c r="DO35741" s="303" t="s">
        <v>232</v>
      </c>
    </row>
    <row r="35742" spans="119:119" x14ac:dyDescent="0.2">
      <c r="DO35742" s="303" t="s">
        <v>232</v>
      </c>
    </row>
    <row r="35743" spans="119:119" x14ac:dyDescent="0.2">
      <c r="DO35743" s="303" t="s">
        <v>232</v>
      </c>
    </row>
    <row r="35744" spans="119:119" x14ac:dyDescent="0.2">
      <c r="DO35744" s="303" t="s">
        <v>232</v>
      </c>
    </row>
    <row r="35745" spans="119:119" x14ac:dyDescent="0.2">
      <c r="DO35745" s="303" t="s">
        <v>232</v>
      </c>
    </row>
    <row r="35746" spans="119:119" x14ac:dyDescent="0.2">
      <c r="DO35746" s="303" t="s">
        <v>232</v>
      </c>
    </row>
    <row r="35747" spans="119:119" x14ac:dyDescent="0.2">
      <c r="DO35747" s="303" t="s">
        <v>232</v>
      </c>
    </row>
    <row r="35748" spans="119:119" x14ac:dyDescent="0.2">
      <c r="DO35748" s="303" t="s">
        <v>232</v>
      </c>
    </row>
    <row r="35749" spans="119:119" x14ac:dyDescent="0.2">
      <c r="DO35749" s="303" t="s">
        <v>232</v>
      </c>
    </row>
    <row r="35750" spans="119:119" x14ac:dyDescent="0.2">
      <c r="DO35750" s="303" t="s">
        <v>232</v>
      </c>
    </row>
    <row r="35751" spans="119:119" x14ac:dyDescent="0.2">
      <c r="DO35751" s="303" t="s">
        <v>232</v>
      </c>
    </row>
    <row r="35752" spans="119:119" x14ac:dyDescent="0.2">
      <c r="DO35752" s="303" t="s">
        <v>232</v>
      </c>
    </row>
    <row r="35753" spans="119:119" x14ac:dyDescent="0.2">
      <c r="DO35753" s="303" t="s">
        <v>232</v>
      </c>
    </row>
    <row r="35754" spans="119:119" x14ac:dyDescent="0.2">
      <c r="DO35754" s="303" t="s">
        <v>232</v>
      </c>
    </row>
    <row r="35755" spans="119:119" x14ac:dyDescent="0.2">
      <c r="DO35755" s="303" t="s">
        <v>232</v>
      </c>
    </row>
    <row r="35756" spans="119:119" x14ac:dyDescent="0.2">
      <c r="DO35756" s="303" t="s">
        <v>232</v>
      </c>
    </row>
    <row r="35757" spans="119:119" x14ac:dyDescent="0.2">
      <c r="DO35757" s="303" t="s">
        <v>232</v>
      </c>
    </row>
    <row r="35758" spans="119:119" x14ac:dyDescent="0.2">
      <c r="DO35758" s="303" t="s">
        <v>232</v>
      </c>
    </row>
    <row r="35759" spans="119:119" x14ac:dyDescent="0.2">
      <c r="DO35759" s="303" t="s">
        <v>232</v>
      </c>
    </row>
    <row r="35760" spans="119:119" x14ac:dyDescent="0.2">
      <c r="DO35760" s="303" t="s">
        <v>232</v>
      </c>
    </row>
    <row r="35761" spans="119:119" x14ac:dyDescent="0.2">
      <c r="DO35761" s="303" t="s">
        <v>232</v>
      </c>
    </row>
    <row r="35762" spans="119:119" x14ac:dyDescent="0.2">
      <c r="DO35762" s="303" t="s">
        <v>232</v>
      </c>
    </row>
    <row r="35763" spans="119:119" x14ac:dyDescent="0.2">
      <c r="DO35763" s="303" t="s">
        <v>232</v>
      </c>
    </row>
    <row r="35764" spans="119:119" x14ac:dyDescent="0.2">
      <c r="DO35764" s="303" t="s">
        <v>232</v>
      </c>
    </row>
    <row r="35765" spans="119:119" x14ac:dyDescent="0.2">
      <c r="DO35765" s="303" t="s">
        <v>232</v>
      </c>
    </row>
    <row r="35766" spans="119:119" x14ac:dyDescent="0.2">
      <c r="DO35766" s="303" t="s">
        <v>232</v>
      </c>
    </row>
    <row r="35767" spans="119:119" x14ac:dyDescent="0.2">
      <c r="DO35767" s="303" t="s">
        <v>232</v>
      </c>
    </row>
    <row r="35768" spans="119:119" x14ac:dyDescent="0.2">
      <c r="DO35768" s="303" t="s">
        <v>232</v>
      </c>
    </row>
    <row r="35769" spans="119:119" x14ac:dyDescent="0.2">
      <c r="DO35769" s="303" t="s">
        <v>232</v>
      </c>
    </row>
    <row r="35770" spans="119:119" x14ac:dyDescent="0.2">
      <c r="DO35770" s="303" t="s">
        <v>232</v>
      </c>
    </row>
    <row r="35771" spans="119:119" x14ac:dyDescent="0.2">
      <c r="DO35771" s="303" t="s">
        <v>232</v>
      </c>
    </row>
    <row r="35772" spans="119:119" x14ac:dyDescent="0.2">
      <c r="DO35772" s="303" t="s">
        <v>232</v>
      </c>
    </row>
    <row r="35773" spans="119:119" x14ac:dyDescent="0.2">
      <c r="DO35773" s="303" t="s">
        <v>232</v>
      </c>
    </row>
    <row r="35774" spans="119:119" x14ac:dyDescent="0.2">
      <c r="DO35774" s="303" t="s">
        <v>232</v>
      </c>
    </row>
    <row r="35775" spans="119:119" x14ac:dyDescent="0.2">
      <c r="DO35775" s="303" t="s">
        <v>232</v>
      </c>
    </row>
    <row r="35776" spans="119:119" x14ac:dyDescent="0.2">
      <c r="DO35776" s="303" t="s">
        <v>232</v>
      </c>
    </row>
    <row r="35777" spans="119:119" x14ac:dyDescent="0.2">
      <c r="DO35777" s="303" t="s">
        <v>232</v>
      </c>
    </row>
    <row r="35778" spans="119:119" x14ac:dyDescent="0.2">
      <c r="DO35778" s="303" t="s">
        <v>232</v>
      </c>
    </row>
    <row r="35779" spans="119:119" x14ac:dyDescent="0.2">
      <c r="DO35779" s="303" t="s">
        <v>232</v>
      </c>
    </row>
    <row r="35780" spans="119:119" x14ac:dyDescent="0.2">
      <c r="DO35780" s="303" t="s">
        <v>232</v>
      </c>
    </row>
    <row r="35781" spans="119:119" x14ac:dyDescent="0.2">
      <c r="DO35781" s="303" t="s">
        <v>232</v>
      </c>
    </row>
    <row r="35782" spans="119:119" x14ac:dyDescent="0.2">
      <c r="DO35782" s="303" t="s">
        <v>232</v>
      </c>
    </row>
    <row r="35783" spans="119:119" x14ac:dyDescent="0.2">
      <c r="DO35783" s="303" t="s">
        <v>232</v>
      </c>
    </row>
    <row r="35784" spans="119:119" x14ac:dyDescent="0.2">
      <c r="DO35784" s="303" t="s">
        <v>232</v>
      </c>
    </row>
    <row r="35785" spans="119:119" x14ac:dyDescent="0.2">
      <c r="DO35785" s="303" t="s">
        <v>232</v>
      </c>
    </row>
    <row r="35786" spans="119:119" x14ac:dyDescent="0.2">
      <c r="DO35786" s="303" t="s">
        <v>232</v>
      </c>
    </row>
    <row r="35787" spans="119:119" x14ac:dyDescent="0.2">
      <c r="DO35787" s="303" t="s">
        <v>232</v>
      </c>
    </row>
    <row r="35788" spans="119:119" x14ac:dyDescent="0.2">
      <c r="DO35788" s="303" t="s">
        <v>232</v>
      </c>
    </row>
    <row r="35789" spans="119:119" x14ac:dyDescent="0.2">
      <c r="DO35789" s="303" t="s">
        <v>232</v>
      </c>
    </row>
    <row r="35790" spans="119:119" x14ac:dyDescent="0.2">
      <c r="DO35790" s="303" t="s">
        <v>232</v>
      </c>
    </row>
    <row r="35791" spans="119:119" x14ac:dyDescent="0.2">
      <c r="DO35791" s="303" t="s">
        <v>232</v>
      </c>
    </row>
    <row r="35792" spans="119:119" x14ac:dyDescent="0.2">
      <c r="DO35792" s="303" t="s">
        <v>232</v>
      </c>
    </row>
    <row r="35793" spans="119:119" x14ac:dyDescent="0.2">
      <c r="DO35793" s="303" t="s">
        <v>232</v>
      </c>
    </row>
    <row r="35794" spans="119:119" x14ac:dyDescent="0.2">
      <c r="DO35794" s="303" t="s">
        <v>232</v>
      </c>
    </row>
    <row r="35795" spans="119:119" x14ac:dyDescent="0.2">
      <c r="DO35795" s="303" t="s">
        <v>232</v>
      </c>
    </row>
    <row r="35796" spans="119:119" x14ac:dyDescent="0.2">
      <c r="DO35796" s="303" t="s">
        <v>232</v>
      </c>
    </row>
    <row r="35797" spans="119:119" x14ac:dyDescent="0.2">
      <c r="DO35797" s="303" t="s">
        <v>232</v>
      </c>
    </row>
    <row r="35798" spans="119:119" x14ac:dyDescent="0.2">
      <c r="DO35798" s="303" t="s">
        <v>232</v>
      </c>
    </row>
    <row r="35799" spans="119:119" x14ac:dyDescent="0.2">
      <c r="DO35799" s="303" t="s">
        <v>232</v>
      </c>
    </row>
    <row r="35800" spans="119:119" x14ac:dyDescent="0.2">
      <c r="DO35800" s="303" t="s">
        <v>232</v>
      </c>
    </row>
    <row r="35801" spans="119:119" x14ac:dyDescent="0.2">
      <c r="DO35801" s="303" t="s">
        <v>232</v>
      </c>
    </row>
    <row r="35802" spans="119:119" x14ac:dyDescent="0.2">
      <c r="DO35802" s="303" t="s">
        <v>232</v>
      </c>
    </row>
    <row r="35803" spans="119:119" x14ac:dyDescent="0.2">
      <c r="DO35803" s="303" t="s">
        <v>232</v>
      </c>
    </row>
    <row r="35804" spans="119:119" x14ac:dyDescent="0.2">
      <c r="DO35804" s="303" t="s">
        <v>232</v>
      </c>
    </row>
    <row r="35805" spans="119:119" x14ac:dyDescent="0.2">
      <c r="DO35805" s="303" t="s">
        <v>232</v>
      </c>
    </row>
    <row r="35806" spans="119:119" x14ac:dyDescent="0.2">
      <c r="DO35806" s="303" t="s">
        <v>232</v>
      </c>
    </row>
    <row r="35807" spans="119:119" x14ac:dyDescent="0.2">
      <c r="DO35807" s="303" t="s">
        <v>232</v>
      </c>
    </row>
    <row r="35808" spans="119:119" x14ac:dyDescent="0.2">
      <c r="DO35808" s="303" t="s">
        <v>232</v>
      </c>
    </row>
    <row r="35809" spans="119:119" x14ac:dyDescent="0.2">
      <c r="DO35809" s="303" t="s">
        <v>232</v>
      </c>
    </row>
    <row r="35810" spans="119:119" x14ac:dyDescent="0.2">
      <c r="DO35810" s="303" t="s">
        <v>232</v>
      </c>
    </row>
    <row r="35811" spans="119:119" x14ac:dyDescent="0.2">
      <c r="DO35811" s="303" t="s">
        <v>232</v>
      </c>
    </row>
    <row r="35812" spans="119:119" x14ac:dyDescent="0.2">
      <c r="DO35812" s="303" t="s">
        <v>232</v>
      </c>
    </row>
    <row r="35813" spans="119:119" x14ac:dyDescent="0.2">
      <c r="DO35813" s="303" t="s">
        <v>232</v>
      </c>
    </row>
    <row r="35814" spans="119:119" x14ac:dyDescent="0.2">
      <c r="DO35814" s="303" t="s">
        <v>232</v>
      </c>
    </row>
    <row r="35815" spans="119:119" x14ac:dyDescent="0.2">
      <c r="DO35815" s="303" t="s">
        <v>232</v>
      </c>
    </row>
    <row r="35816" spans="119:119" x14ac:dyDescent="0.2">
      <c r="DO35816" s="303" t="s">
        <v>232</v>
      </c>
    </row>
    <row r="35817" spans="119:119" x14ac:dyDescent="0.2">
      <c r="DO35817" s="303" t="s">
        <v>232</v>
      </c>
    </row>
    <row r="35818" spans="119:119" x14ac:dyDescent="0.2">
      <c r="DO35818" s="303" t="s">
        <v>232</v>
      </c>
    </row>
    <row r="35819" spans="119:119" x14ac:dyDescent="0.2">
      <c r="DO35819" s="303" t="s">
        <v>232</v>
      </c>
    </row>
    <row r="35820" spans="119:119" x14ac:dyDescent="0.2">
      <c r="DO35820" s="303" t="s">
        <v>232</v>
      </c>
    </row>
    <row r="35821" spans="119:119" x14ac:dyDescent="0.2">
      <c r="DO35821" s="303" t="s">
        <v>232</v>
      </c>
    </row>
    <row r="35822" spans="119:119" x14ac:dyDescent="0.2">
      <c r="DO35822" s="303" t="s">
        <v>232</v>
      </c>
    </row>
    <row r="35823" spans="119:119" x14ac:dyDescent="0.2">
      <c r="DO35823" s="303" t="s">
        <v>232</v>
      </c>
    </row>
    <row r="35824" spans="119:119" x14ac:dyDescent="0.2">
      <c r="DO35824" s="303" t="s">
        <v>232</v>
      </c>
    </row>
    <row r="35825" spans="119:119" x14ac:dyDescent="0.2">
      <c r="DO35825" s="303" t="s">
        <v>232</v>
      </c>
    </row>
    <row r="35826" spans="119:119" x14ac:dyDescent="0.2">
      <c r="DO35826" s="303" t="s">
        <v>232</v>
      </c>
    </row>
    <row r="35827" spans="119:119" x14ac:dyDescent="0.2">
      <c r="DO35827" s="303" t="s">
        <v>232</v>
      </c>
    </row>
    <row r="35828" spans="119:119" x14ac:dyDescent="0.2">
      <c r="DO35828" s="303" t="s">
        <v>232</v>
      </c>
    </row>
    <row r="35829" spans="119:119" x14ac:dyDescent="0.2">
      <c r="DO35829" s="303" t="s">
        <v>232</v>
      </c>
    </row>
    <row r="35830" spans="119:119" x14ac:dyDescent="0.2">
      <c r="DO35830" s="303" t="s">
        <v>232</v>
      </c>
    </row>
    <row r="35831" spans="119:119" x14ac:dyDescent="0.2">
      <c r="DO35831" s="303" t="s">
        <v>232</v>
      </c>
    </row>
    <row r="35832" spans="119:119" x14ac:dyDescent="0.2">
      <c r="DO35832" s="303" t="s">
        <v>232</v>
      </c>
    </row>
    <row r="35833" spans="119:119" x14ac:dyDescent="0.2">
      <c r="DO35833" s="303" t="s">
        <v>232</v>
      </c>
    </row>
    <row r="35834" spans="119:119" x14ac:dyDescent="0.2">
      <c r="DO35834" s="303" t="s">
        <v>232</v>
      </c>
    </row>
    <row r="35835" spans="119:119" x14ac:dyDescent="0.2">
      <c r="DO35835" s="303" t="s">
        <v>232</v>
      </c>
    </row>
    <row r="35836" spans="119:119" x14ac:dyDescent="0.2">
      <c r="DO35836" s="303" t="s">
        <v>232</v>
      </c>
    </row>
    <row r="35837" spans="119:119" x14ac:dyDescent="0.2">
      <c r="DO35837" s="303" t="s">
        <v>232</v>
      </c>
    </row>
    <row r="35838" spans="119:119" x14ac:dyDescent="0.2">
      <c r="DO35838" s="303" t="s">
        <v>232</v>
      </c>
    </row>
    <row r="35839" spans="119:119" x14ac:dyDescent="0.2">
      <c r="DO35839" s="303" t="s">
        <v>232</v>
      </c>
    </row>
    <row r="35840" spans="119:119" x14ac:dyDescent="0.2">
      <c r="DO35840" s="303" t="s">
        <v>232</v>
      </c>
    </row>
    <row r="35841" spans="119:119" x14ac:dyDescent="0.2">
      <c r="DO35841" s="303" t="s">
        <v>232</v>
      </c>
    </row>
    <row r="35842" spans="119:119" x14ac:dyDescent="0.2">
      <c r="DO35842" s="303" t="s">
        <v>232</v>
      </c>
    </row>
    <row r="35843" spans="119:119" x14ac:dyDescent="0.2">
      <c r="DO35843" s="303" t="s">
        <v>232</v>
      </c>
    </row>
    <row r="35844" spans="119:119" x14ac:dyDescent="0.2">
      <c r="DO35844" s="303" t="s">
        <v>232</v>
      </c>
    </row>
    <row r="35845" spans="119:119" x14ac:dyDescent="0.2">
      <c r="DO35845" s="303" t="s">
        <v>232</v>
      </c>
    </row>
    <row r="35846" spans="119:119" x14ac:dyDescent="0.2">
      <c r="DO35846" s="303" t="s">
        <v>232</v>
      </c>
    </row>
    <row r="35847" spans="119:119" x14ac:dyDescent="0.2">
      <c r="DO35847" s="303" t="s">
        <v>232</v>
      </c>
    </row>
    <row r="35848" spans="119:119" x14ac:dyDescent="0.2">
      <c r="DO35848" s="303" t="s">
        <v>232</v>
      </c>
    </row>
    <row r="35849" spans="119:119" x14ac:dyDescent="0.2">
      <c r="DO35849" s="303" t="s">
        <v>232</v>
      </c>
    </row>
    <row r="35850" spans="119:119" x14ac:dyDescent="0.2">
      <c r="DO35850" s="303" t="s">
        <v>232</v>
      </c>
    </row>
    <row r="35851" spans="119:119" x14ac:dyDescent="0.2">
      <c r="DO35851" s="303" t="s">
        <v>232</v>
      </c>
    </row>
    <row r="35852" spans="119:119" x14ac:dyDescent="0.2">
      <c r="DO35852" s="303" t="s">
        <v>232</v>
      </c>
    </row>
    <row r="35853" spans="119:119" x14ac:dyDescent="0.2">
      <c r="DO35853" s="303" t="s">
        <v>232</v>
      </c>
    </row>
    <row r="35854" spans="119:119" x14ac:dyDescent="0.2">
      <c r="DO35854" s="303" t="s">
        <v>232</v>
      </c>
    </row>
    <row r="35855" spans="119:119" x14ac:dyDescent="0.2">
      <c r="DO35855" s="303" t="s">
        <v>232</v>
      </c>
    </row>
    <row r="35856" spans="119:119" x14ac:dyDescent="0.2">
      <c r="DO35856" s="303" t="s">
        <v>232</v>
      </c>
    </row>
    <row r="35857" spans="119:119" x14ac:dyDescent="0.2">
      <c r="DO35857" s="303" t="s">
        <v>232</v>
      </c>
    </row>
    <row r="35858" spans="119:119" x14ac:dyDescent="0.2">
      <c r="DO35858" s="303" t="s">
        <v>232</v>
      </c>
    </row>
    <row r="35859" spans="119:119" x14ac:dyDescent="0.2">
      <c r="DO35859" s="303" t="s">
        <v>232</v>
      </c>
    </row>
    <row r="35860" spans="119:119" x14ac:dyDescent="0.2">
      <c r="DO35860" s="303" t="s">
        <v>232</v>
      </c>
    </row>
    <row r="35861" spans="119:119" x14ac:dyDescent="0.2">
      <c r="DO35861" s="303" t="s">
        <v>232</v>
      </c>
    </row>
    <row r="35862" spans="119:119" x14ac:dyDescent="0.2">
      <c r="DO35862" s="303" t="s">
        <v>232</v>
      </c>
    </row>
    <row r="35863" spans="119:119" x14ac:dyDescent="0.2">
      <c r="DO35863" s="303" t="s">
        <v>232</v>
      </c>
    </row>
    <row r="35864" spans="119:119" x14ac:dyDescent="0.2">
      <c r="DO35864" s="303" t="s">
        <v>232</v>
      </c>
    </row>
    <row r="35865" spans="119:119" x14ac:dyDescent="0.2">
      <c r="DO35865" s="303" t="s">
        <v>232</v>
      </c>
    </row>
    <row r="35866" spans="119:119" x14ac:dyDescent="0.2">
      <c r="DO35866" s="303" t="s">
        <v>232</v>
      </c>
    </row>
    <row r="35867" spans="119:119" x14ac:dyDescent="0.2">
      <c r="DO35867" s="303" t="s">
        <v>232</v>
      </c>
    </row>
    <row r="35868" spans="119:119" x14ac:dyDescent="0.2">
      <c r="DO35868" s="303" t="s">
        <v>232</v>
      </c>
    </row>
    <row r="35869" spans="119:119" x14ac:dyDescent="0.2">
      <c r="DO35869" s="303" t="s">
        <v>232</v>
      </c>
    </row>
    <row r="35870" spans="119:119" x14ac:dyDescent="0.2">
      <c r="DO35870" s="303" t="s">
        <v>232</v>
      </c>
    </row>
    <row r="35871" spans="119:119" x14ac:dyDescent="0.2">
      <c r="DO35871" s="303" t="s">
        <v>232</v>
      </c>
    </row>
    <row r="35872" spans="119:119" x14ac:dyDescent="0.2">
      <c r="DO35872" s="303" t="s">
        <v>232</v>
      </c>
    </row>
    <row r="35873" spans="119:119" x14ac:dyDescent="0.2">
      <c r="DO35873" s="303" t="s">
        <v>232</v>
      </c>
    </row>
    <row r="35874" spans="119:119" x14ac:dyDescent="0.2">
      <c r="DO35874" s="303" t="s">
        <v>232</v>
      </c>
    </row>
    <row r="35875" spans="119:119" x14ac:dyDescent="0.2">
      <c r="DO35875" s="303" t="s">
        <v>232</v>
      </c>
    </row>
    <row r="35876" spans="119:119" x14ac:dyDescent="0.2">
      <c r="DO35876" s="303" t="s">
        <v>232</v>
      </c>
    </row>
    <row r="35877" spans="119:119" x14ac:dyDescent="0.2">
      <c r="DO35877" s="303" t="s">
        <v>232</v>
      </c>
    </row>
    <row r="35878" spans="119:119" x14ac:dyDescent="0.2">
      <c r="DO35878" s="303" t="s">
        <v>232</v>
      </c>
    </row>
    <row r="35879" spans="119:119" x14ac:dyDescent="0.2">
      <c r="DO35879" s="303" t="s">
        <v>232</v>
      </c>
    </row>
    <row r="35880" spans="119:119" x14ac:dyDescent="0.2">
      <c r="DO35880" s="303" t="s">
        <v>232</v>
      </c>
    </row>
    <row r="35881" spans="119:119" x14ac:dyDescent="0.2">
      <c r="DO35881" s="303" t="s">
        <v>232</v>
      </c>
    </row>
    <row r="35882" spans="119:119" x14ac:dyDescent="0.2">
      <c r="DO35882" s="303" t="s">
        <v>232</v>
      </c>
    </row>
    <row r="35883" spans="119:119" x14ac:dyDescent="0.2">
      <c r="DO35883" s="303" t="s">
        <v>232</v>
      </c>
    </row>
    <row r="35884" spans="119:119" x14ac:dyDescent="0.2">
      <c r="DO35884" s="303" t="s">
        <v>232</v>
      </c>
    </row>
    <row r="35885" spans="119:119" x14ac:dyDescent="0.2">
      <c r="DO35885" s="303" t="s">
        <v>232</v>
      </c>
    </row>
    <row r="35886" spans="119:119" x14ac:dyDescent="0.2">
      <c r="DO35886" s="303" t="s">
        <v>232</v>
      </c>
    </row>
    <row r="35887" spans="119:119" x14ac:dyDescent="0.2">
      <c r="DO35887" s="303" t="s">
        <v>232</v>
      </c>
    </row>
    <row r="35888" spans="119:119" x14ac:dyDescent="0.2">
      <c r="DO35888" s="303" t="s">
        <v>232</v>
      </c>
    </row>
    <row r="35889" spans="119:119" x14ac:dyDescent="0.2">
      <c r="DO35889" s="303" t="s">
        <v>232</v>
      </c>
    </row>
    <row r="35890" spans="119:119" x14ac:dyDescent="0.2">
      <c r="DO35890" s="303" t="s">
        <v>232</v>
      </c>
    </row>
    <row r="35891" spans="119:119" x14ac:dyDescent="0.2">
      <c r="DO35891" s="303" t="s">
        <v>232</v>
      </c>
    </row>
    <row r="35892" spans="119:119" x14ac:dyDescent="0.2">
      <c r="DO35892" s="303" t="s">
        <v>232</v>
      </c>
    </row>
    <row r="35893" spans="119:119" x14ac:dyDescent="0.2">
      <c r="DO35893" s="303" t="s">
        <v>232</v>
      </c>
    </row>
    <row r="35894" spans="119:119" x14ac:dyDescent="0.2">
      <c r="DO35894" s="303" t="s">
        <v>232</v>
      </c>
    </row>
    <row r="35895" spans="119:119" x14ac:dyDescent="0.2">
      <c r="DO35895" s="303" t="s">
        <v>232</v>
      </c>
    </row>
    <row r="35896" spans="119:119" x14ac:dyDescent="0.2">
      <c r="DO35896" s="303" t="s">
        <v>232</v>
      </c>
    </row>
    <row r="35897" spans="119:119" x14ac:dyDescent="0.2">
      <c r="DO35897" s="303" t="s">
        <v>232</v>
      </c>
    </row>
    <row r="35898" spans="119:119" x14ac:dyDescent="0.2">
      <c r="DO35898" s="303" t="s">
        <v>232</v>
      </c>
    </row>
    <row r="35899" spans="119:119" x14ac:dyDescent="0.2">
      <c r="DO35899" s="303" t="s">
        <v>232</v>
      </c>
    </row>
    <row r="35900" spans="119:119" x14ac:dyDescent="0.2">
      <c r="DO35900" s="303" t="s">
        <v>232</v>
      </c>
    </row>
    <row r="35901" spans="119:119" x14ac:dyDescent="0.2">
      <c r="DO35901" s="303" t="s">
        <v>232</v>
      </c>
    </row>
    <row r="35902" spans="119:119" x14ac:dyDescent="0.2">
      <c r="DO35902" s="303" t="s">
        <v>232</v>
      </c>
    </row>
    <row r="35903" spans="119:119" x14ac:dyDescent="0.2">
      <c r="DO35903" s="303" t="s">
        <v>232</v>
      </c>
    </row>
    <row r="35904" spans="119:119" x14ac:dyDescent="0.2">
      <c r="DO35904" s="303" t="s">
        <v>232</v>
      </c>
    </row>
    <row r="35905" spans="119:119" x14ac:dyDescent="0.2">
      <c r="DO35905" s="303" t="s">
        <v>232</v>
      </c>
    </row>
    <row r="35906" spans="119:119" x14ac:dyDescent="0.2">
      <c r="DO35906" s="303" t="s">
        <v>232</v>
      </c>
    </row>
    <row r="35907" spans="119:119" x14ac:dyDescent="0.2">
      <c r="DO35907" s="303" t="s">
        <v>232</v>
      </c>
    </row>
    <row r="35908" spans="119:119" x14ac:dyDescent="0.2">
      <c r="DO35908" s="303" t="s">
        <v>232</v>
      </c>
    </row>
    <row r="35909" spans="119:119" x14ac:dyDescent="0.2">
      <c r="DO35909" s="303" t="s">
        <v>232</v>
      </c>
    </row>
    <row r="35910" spans="119:119" x14ac:dyDescent="0.2">
      <c r="DO35910" s="303" t="s">
        <v>232</v>
      </c>
    </row>
    <row r="35911" spans="119:119" x14ac:dyDescent="0.2">
      <c r="DO35911" s="303" t="s">
        <v>232</v>
      </c>
    </row>
    <row r="35912" spans="119:119" x14ac:dyDescent="0.2">
      <c r="DO35912" s="303" t="s">
        <v>232</v>
      </c>
    </row>
    <row r="35913" spans="119:119" x14ac:dyDescent="0.2">
      <c r="DO35913" s="303" t="s">
        <v>232</v>
      </c>
    </row>
    <row r="35914" spans="119:119" x14ac:dyDescent="0.2">
      <c r="DO35914" s="303" t="s">
        <v>232</v>
      </c>
    </row>
    <row r="35915" spans="119:119" x14ac:dyDescent="0.2">
      <c r="DO35915" s="303" t="s">
        <v>232</v>
      </c>
    </row>
    <row r="35916" spans="119:119" x14ac:dyDescent="0.2">
      <c r="DO35916" s="303" t="s">
        <v>232</v>
      </c>
    </row>
    <row r="35917" spans="119:119" x14ac:dyDescent="0.2">
      <c r="DO35917" s="303" t="s">
        <v>232</v>
      </c>
    </row>
    <row r="35918" spans="119:119" x14ac:dyDescent="0.2">
      <c r="DO35918" s="303" t="s">
        <v>232</v>
      </c>
    </row>
    <row r="35919" spans="119:119" x14ac:dyDescent="0.2">
      <c r="DO35919" s="303" t="s">
        <v>232</v>
      </c>
    </row>
    <row r="35920" spans="119:119" x14ac:dyDescent="0.2">
      <c r="DO35920" s="303" t="s">
        <v>232</v>
      </c>
    </row>
    <row r="35921" spans="119:119" x14ac:dyDescent="0.2">
      <c r="DO35921" s="303" t="s">
        <v>232</v>
      </c>
    </row>
    <row r="35922" spans="119:119" x14ac:dyDescent="0.2">
      <c r="DO35922" s="303" t="s">
        <v>232</v>
      </c>
    </row>
    <row r="35923" spans="119:119" x14ac:dyDescent="0.2">
      <c r="DO35923" s="303" t="s">
        <v>232</v>
      </c>
    </row>
    <row r="35924" spans="119:119" x14ac:dyDescent="0.2">
      <c r="DO35924" s="303" t="s">
        <v>232</v>
      </c>
    </row>
    <row r="35925" spans="119:119" x14ac:dyDescent="0.2">
      <c r="DO35925" s="303" t="s">
        <v>232</v>
      </c>
    </row>
    <row r="35926" spans="119:119" x14ac:dyDescent="0.2">
      <c r="DO35926" s="303" t="s">
        <v>232</v>
      </c>
    </row>
    <row r="35927" spans="119:119" x14ac:dyDescent="0.2">
      <c r="DO35927" s="303" t="s">
        <v>232</v>
      </c>
    </row>
    <row r="35928" spans="119:119" x14ac:dyDescent="0.2">
      <c r="DO35928" s="303" t="s">
        <v>232</v>
      </c>
    </row>
    <row r="35929" spans="119:119" x14ac:dyDescent="0.2">
      <c r="DO35929" s="303" t="s">
        <v>232</v>
      </c>
    </row>
    <row r="35930" spans="119:119" x14ac:dyDescent="0.2">
      <c r="DO35930" s="303" t="s">
        <v>232</v>
      </c>
    </row>
    <row r="35931" spans="119:119" x14ac:dyDescent="0.2">
      <c r="DO35931" s="303" t="s">
        <v>232</v>
      </c>
    </row>
    <row r="35932" spans="119:119" x14ac:dyDescent="0.2">
      <c r="DO35932" s="303" t="s">
        <v>232</v>
      </c>
    </row>
    <row r="35933" spans="119:119" x14ac:dyDescent="0.2">
      <c r="DO35933" s="303" t="s">
        <v>232</v>
      </c>
    </row>
    <row r="35934" spans="119:119" x14ac:dyDescent="0.2">
      <c r="DO35934" s="303" t="s">
        <v>232</v>
      </c>
    </row>
    <row r="35935" spans="119:119" x14ac:dyDescent="0.2">
      <c r="DO35935" s="303" t="s">
        <v>232</v>
      </c>
    </row>
    <row r="35936" spans="119:119" x14ac:dyDescent="0.2">
      <c r="DO35936" s="303" t="s">
        <v>232</v>
      </c>
    </row>
    <row r="35937" spans="119:119" x14ac:dyDescent="0.2">
      <c r="DO35937" s="303" t="s">
        <v>232</v>
      </c>
    </row>
    <row r="35938" spans="119:119" x14ac:dyDescent="0.2">
      <c r="DO35938" s="303" t="s">
        <v>232</v>
      </c>
    </row>
    <row r="35939" spans="119:119" x14ac:dyDescent="0.2">
      <c r="DO35939" s="303" t="s">
        <v>232</v>
      </c>
    </row>
    <row r="35940" spans="119:119" x14ac:dyDescent="0.2">
      <c r="DO35940" s="303" t="s">
        <v>232</v>
      </c>
    </row>
    <row r="35941" spans="119:119" x14ac:dyDescent="0.2">
      <c r="DO35941" s="303" t="s">
        <v>232</v>
      </c>
    </row>
    <row r="35942" spans="119:119" x14ac:dyDescent="0.2">
      <c r="DO35942" s="303" t="s">
        <v>232</v>
      </c>
    </row>
    <row r="35943" spans="119:119" x14ac:dyDescent="0.2">
      <c r="DO35943" s="303" t="s">
        <v>232</v>
      </c>
    </row>
    <row r="35944" spans="119:119" x14ac:dyDescent="0.2">
      <c r="DO35944" s="303" t="s">
        <v>232</v>
      </c>
    </row>
    <row r="35945" spans="119:119" x14ac:dyDescent="0.2">
      <c r="DO35945" s="303" t="s">
        <v>232</v>
      </c>
    </row>
    <row r="35946" spans="119:119" x14ac:dyDescent="0.2">
      <c r="DO35946" s="303" t="s">
        <v>232</v>
      </c>
    </row>
    <row r="35947" spans="119:119" x14ac:dyDescent="0.2">
      <c r="DO35947" s="303" t="s">
        <v>232</v>
      </c>
    </row>
    <row r="35948" spans="119:119" x14ac:dyDescent="0.2">
      <c r="DO35948" s="303" t="s">
        <v>232</v>
      </c>
    </row>
    <row r="35949" spans="119:119" x14ac:dyDescent="0.2">
      <c r="DO35949" s="303" t="s">
        <v>232</v>
      </c>
    </row>
    <row r="35950" spans="119:119" x14ac:dyDescent="0.2">
      <c r="DO35950" s="303" t="s">
        <v>232</v>
      </c>
    </row>
    <row r="35951" spans="119:119" x14ac:dyDescent="0.2">
      <c r="DO35951" s="303" t="s">
        <v>232</v>
      </c>
    </row>
    <row r="35952" spans="119:119" x14ac:dyDescent="0.2">
      <c r="DO35952" s="303" t="s">
        <v>232</v>
      </c>
    </row>
    <row r="35953" spans="119:119" x14ac:dyDescent="0.2">
      <c r="DO35953" s="303" t="s">
        <v>232</v>
      </c>
    </row>
    <row r="35954" spans="119:119" x14ac:dyDescent="0.2">
      <c r="DO35954" s="303" t="s">
        <v>232</v>
      </c>
    </row>
    <row r="35955" spans="119:119" x14ac:dyDescent="0.2">
      <c r="DO35955" s="303" t="s">
        <v>232</v>
      </c>
    </row>
    <row r="35956" spans="119:119" x14ac:dyDescent="0.2">
      <c r="DO35956" s="303" t="s">
        <v>232</v>
      </c>
    </row>
    <row r="35957" spans="119:119" x14ac:dyDescent="0.2">
      <c r="DO35957" s="303" t="s">
        <v>232</v>
      </c>
    </row>
    <row r="35958" spans="119:119" x14ac:dyDescent="0.2">
      <c r="DO35958" s="303" t="s">
        <v>232</v>
      </c>
    </row>
    <row r="35959" spans="119:119" x14ac:dyDescent="0.2">
      <c r="DO35959" s="303" t="s">
        <v>232</v>
      </c>
    </row>
    <row r="35960" spans="119:119" x14ac:dyDescent="0.2">
      <c r="DO35960" s="303" t="s">
        <v>232</v>
      </c>
    </row>
    <row r="35961" spans="119:119" x14ac:dyDescent="0.2">
      <c r="DO35961" s="303" t="s">
        <v>232</v>
      </c>
    </row>
    <row r="35962" spans="119:119" x14ac:dyDescent="0.2">
      <c r="DO35962" s="303" t="s">
        <v>232</v>
      </c>
    </row>
    <row r="35963" spans="119:119" x14ac:dyDescent="0.2">
      <c r="DO35963" s="303" t="s">
        <v>232</v>
      </c>
    </row>
    <row r="35964" spans="119:119" x14ac:dyDescent="0.2">
      <c r="DO35964" s="303" t="s">
        <v>232</v>
      </c>
    </row>
    <row r="35965" spans="119:119" x14ac:dyDescent="0.2">
      <c r="DO35965" s="303" t="s">
        <v>232</v>
      </c>
    </row>
    <row r="35966" spans="119:119" x14ac:dyDescent="0.2">
      <c r="DO35966" s="303" t="s">
        <v>232</v>
      </c>
    </row>
    <row r="35967" spans="119:119" x14ac:dyDescent="0.2">
      <c r="DO35967" s="303" t="s">
        <v>232</v>
      </c>
    </row>
    <row r="35968" spans="119:119" x14ac:dyDescent="0.2">
      <c r="DO35968" s="303" t="s">
        <v>232</v>
      </c>
    </row>
    <row r="35969" spans="119:119" x14ac:dyDescent="0.2">
      <c r="DO35969" s="303" t="s">
        <v>232</v>
      </c>
    </row>
    <row r="35970" spans="119:119" x14ac:dyDescent="0.2">
      <c r="DO35970" s="303" t="s">
        <v>232</v>
      </c>
    </row>
    <row r="35971" spans="119:119" x14ac:dyDescent="0.2">
      <c r="DO35971" s="303" t="s">
        <v>232</v>
      </c>
    </row>
    <row r="35972" spans="119:119" x14ac:dyDescent="0.2">
      <c r="DO35972" s="303" t="s">
        <v>232</v>
      </c>
    </row>
    <row r="35973" spans="119:119" x14ac:dyDescent="0.2">
      <c r="DO35973" s="303" t="s">
        <v>232</v>
      </c>
    </row>
    <row r="35974" spans="119:119" x14ac:dyDescent="0.2">
      <c r="DO35974" s="303" t="s">
        <v>232</v>
      </c>
    </row>
    <row r="35975" spans="119:119" x14ac:dyDescent="0.2">
      <c r="DO35975" s="303" t="s">
        <v>232</v>
      </c>
    </row>
    <row r="35976" spans="119:119" x14ac:dyDescent="0.2">
      <c r="DO35976" s="303" t="s">
        <v>232</v>
      </c>
    </row>
    <row r="35977" spans="119:119" x14ac:dyDescent="0.2">
      <c r="DO35977" s="303" t="s">
        <v>232</v>
      </c>
    </row>
    <row r="35978" spans="119:119" x14ac:dyDescent="0.2">
      <c r="DO35978" s="303" t="s">
        <v>232</v>
      </c>
    </row>
    <row r="35979" spans="119:119" x14ac:dyDescent="0.2">
      <c r="DO35979" s="303" t="s">
        <v>232</v>
      </c>
    </row>
    <row r="35980" spans="119:119" x14ac:dyDescent="0.2">
      <c r="DO35980" s="303" t="s">
        <v>232</v>
      </c>
    </row>
    <row r="35981" spans="119:119" x14ac:dyDescent="0.2">
      <c r="DO35981" s="303" t="s">
        <v>232</v>
      </c>
    </row>
    <row r="35982" spans="119:119" x14ac:dyDescent="0.2">
      <c r="DO35982" s="303" t="s">
        <v>232</v>
      </c>
    </row>
    <row r="35983" spans="119:119" x14ac:dyDescent="0.2">
      <c r="DO35983" s="303" t="s">
        <v>232</v>
      </c>
    </row>
    <row r="35984" spans="119:119" x14ac:dyDescent="0.2">
      <c r="DO35984" s="303" t="s">
        <v>232</v>
      </c>
    </row>
    <row r="35985" spans="119:119" x14ac:dyDescent="0.2">
      <c r="DO35985" s="303" t="s">
        <v>232</v>
      </c>
    </row>
    <row r="35986" spans="119:119" x14ac:dyDescent="0.2">
      <c r="DO35986" s="303" t="s">
        <v>232</v>
      </c>
    </row>
    <row r="35987" spans="119:119" x14ac:dyDescent="0.2">
      <c r="DO35987" s="303" t="s">
        <v>232</v>
      </c>
    </row>
    <row r="35988" spans="119:119" x14ac:dyDescent="0.2">
      <c r="DO35988" s="303" t="s">
        <v>232</v>
      </c>
    </row>
    <row r="35989" spans="119:119" x14ac:dyDescent="0.2">
      <c r="DO35989" s="303" t="s">
        <v>232</v>
      </c>
    </row>
    <row r="35990" spans="119:119" x14ac:dyDescent="0.2">
      <c r="DO35990" s="303" t="s">
        <v>232</v>
      </c>
    </row>
    <row r="35991" spans="119:119" x14ac:dyDescent="0.2">
      <c r="DO35991" s="303" t="s">
        <v>232</v>
      </c>
    </row>
    <row r="35992" spans="119:119" x14ac:dyDescent="0.2">
      <c r="DO35992" s="303" t="s">
        <v>232</v>
      </c>
    </row>
    <row r="35993" spans="119:119" x14ac:dyDescent="0.2">
      <c r="DO35993" s="303" t="s">
        <v>232</v>
      </c>
    </row>
    <row r="35994" spans="119:119" x14ac:dyDescent="0.2">
      <c r="DO35994" s="303" t="s">
        <v>232</v>
      </c>
    </row>
    <row r="35995" spans="119:119" x14ac:dyDescent="0.2">
      <c r="DO35995" s="303" t="s">
        <v>232</v>
      </c>
    </row>
    <row r="35996" spans="119:119" x14ac:dyDescent="0.2">
      <c r="DO35996" s="303" t="s">
        <v>232</v>
      </c>
    </row>
    <row r="35997" spans="119:119" x14ac:dyDescent="0.2">
      <c r="DO35997" s="303" t="s">
        <v>232</v>
      </c>
    </row>
    <row r="35998" spans="119:119" x14ac:dyDescent="0.2">
      <c r="DO35998" s="303" t="s">
        <v>232</v>
      </c>
    </row>
    <row r="35999" spans="119:119" x14ac:dyDescent="0.2">
      <c r="DO35999" s="303" t="s">
        <v>232</v>
      </c>
    </row>
    <row r="36000" spans="119:119" x14ac:dyDescent="0.2">
      <c r="DO36000" s="303" t="s">
        <v>232</v>
      </c>
    </row>
    <row r="36001" spans="119:119" x14ac:dyDescent="0.2">
      <c r="DO36001" s="303" t="s">
        <v>232</v>
      </c>
    </row>
    <row r="36002" spans="119:119" x14ac:dyDescent="0.2">
      <c r="DO36002" s="303" t="s">
        <v>232</v>
      </c>
    </row>
    <row r="36003" spans="119:119" x14ac:dyDescent="0.2">
      <c r="DO36003" s="303" t="s">
        <v>232</v>
      </c>
    </row>
    <row r="36004" spans="119:119" x14ac:dyDescent="0.2">
      <c r="DO36004" s="303" t="s">
        <v>232</v>
      </c>
    </row>
    <row r="36005" spans="119:119" x14ac:dyDescent="0.2">
      <c r="DO36005" s="303" t="s">
        <v>232</v>
      </c>
    </row>
    <row r="36006" spans="119:119" x14ac:dyDescent="0.2">
      <c r="DO36006" s="303" t="s">
        <v>232</v>
      </c>
    </row>
    <row r="36007" spans="119:119" x14ac:dyDescent="0.2">
      <c r="DO36007" s="303" t="s">
        <v>232</v>
      </c>
    </row>
    <row r="36008" spans="119:119" x14ac:dyDescent="0.2">
      <c r="DO36008" s="303" t="s">
        <v>232</v>
      </c>
    </row>
    <row r="36009" spans="119:119" x14ac:dyDescent="0.2">
      <c r="DO36009" s="303" t="s">
        <v>232</v>
      </c>
    </row>
    <row r="36010" spans="119:119" x14ac:dyDescent="0.2">
      <c r="DO36010" s="303" t="s">
        <v>232</v>
      </c>
    </row>
    <row r="36011" spans="119:119" x14ac:dyDescent="0.2">
      <c r="DO36011" s="303" t="s">
        <v>232</v>
      </c>
    </row>
    <row r="36012" spans="119:119" x14ac:dyDescent="0.2">
      <c r="DO36012" s="303" t="s">
        <v>232</v>
      </c>
    </row>
    <row r="36013" spans="119:119" x14ac:dyDescent="0.2">
      <c r="DO36013" s="303" t="s">
        <v>232</v>
      </c>
    </row>
    <row r="36014" spans="119:119" x14ac:dyDescent="0.2">
      <c r="DO36014" s="303" t="s">
        <v>232</v>
      </c>
    </row>
    <row r="36015" spans="119:119" x14ac:dyDescent="0.2">
      <c r="DO36015" s="303" t="s">
        <v>232</v>
      </c>
    </row>
    <row r="36016" spans="119:119" x14ac:dyDescent="0.2">
      <c r="DO36016" s="303" t="s">
        <v>232</v>
      </c>
    </row>
    <row r="36017" spans="119:119" x14ac:dyDescent="0.2">
      <c r="DO36017" s="303" t="s">
        <v>232</v>
      </c>
    </row>
    <row r="36018" spans="119:119" x14ac:dyDescent="0.2">
      <c r="DO36018" s="303" t="s">
        <v>232</v>
      </c>
    </row>
    <row r="36019" spans="119:119" x14ac:dyDescent="0.2">
      <c r="DO36019" s="303" t="s">
        <v>232</v>
      </c>
    </row>
    <row r="36020" spans="119:119" x14ac:dyDescent="0.2">
      <c r="DO36020" s="303" t="s">
        <v>232</v>
      </c>
    </row>
    <row r="36021" spans="119:119" x14ac:dyDescent="0.2">
      <c r="DO36021" s="303" t="s">
        <v>232</v>
      </c>
    </row>
    <row r="36022" spans="119:119" x14ac:dyDescent="0.2">
      <c r="DO36022" s="303" t="s">
        <v>232</v>
      </c>
    </row>
    <row r="36023" spans="119:119" x14ac:dyDescent="0.2">
      <c r="DO36023" s="303" t="s">
        <v>232</v>
      </c>
    </row>
    <row r="36024" spans="119:119" x14ac:dyDescent="0.2">
      <c r="DO36024" s="303" t="s">
        <v>232</v>
      </c>
    </row>
    <row r="36025" spans="119:119" x14ac:dyDescent="0.2">
      <c r="DO36025" s="303" t="s">
        <v>232</v>
      </c>
    </row>
    <row r="36026" spans="119:119" x14ac:dyDescent="0.2">
      <c r="DO36026" s="303" t="s">
        <v>232</v>
      </c>
    </row>
    <row r="36027" spans="119:119" x14ac:dyDescent="0.2">
      <c r="DO36027" s="303" t="s">
        <v>232</v>
      </c>
    </row>
    <row r="36028" spans="119:119" x14ac:dyDescent="0.2">
      <c r="DO36028" s="303" t="s">
        <v>232</v>
      </c>
    </row>
    <row r="36029" spans="119:119" x14ac:dyDescent="0.2">
      <c r="DO36029" s="303" t="s">
        <v>232</v>
      </c>
    </row>
    <row r="36030" spans="119:119" x14ac:dyDescent="0.2">
      <c r="DO36030" s="303" t="s">
        <v>232</v>
      </c>
    </row>
    <row r="36031" spans="119:119" x14ac:dyDescent="0.2">
      <c r="DO36031" s="303" t="s">
        <v>232</v>
      </c>
    </row>
    <row r="36032" spans="119:119" x14ac:dyDescent="0.2">
      <c r="DO36032" s="303" t="s">
        <v>232</v>
      </c>
    </row>
    <row r="36033" spans="119:119" x14ac:dyDescent="0.2">
      <c r="DO36033" s="303" t="s">
        <v>232</v>
      </c>
    </row>
    <row r="36034" spans="119:119" x14ac:dyDescent="0.2">
      <c r="DO36034" s="303" t="s">
        <v>232</v>
      </c>
    </row>
    <row r="36035" spans="119:119" x14ac:dyDescent="0.2">
      <c r="DO36035" s="303" t="s">
        <v>232</v>
      </c>
    </row>
    <row r="36036" spans="119:119" x14ac:dyDescent="0.2">
      <c r="DO36036" s="303" t="s">
        <v>232</v>
      </c>
    </row>
    <row r="36037" spans="119:119" x14ac:dyDescent="0.2">
      <c r="DO36037" s="303" t="s">
        <v>232</v>
      </c>
    </row>
    <row r="36038" spans="119:119" x14ac:dyDescent="0.2">
      <c r="DO36038" s="303" t="s">
        <v>232</v>
      </c>
    </row>
    <row r="36039" spans="119:119" x14ac:dyDescent="0.2">
      <c r="DO36039" s="303" t="s">
        <v>232</v>
      </c>
    </row>
    <row r="36040" spans="119:119" x14ac:dyDescent="0.2">
      <c r="DO36040" s="303" t="s">
        <v>232</v>
      </c>
    </row>
    <row r="36041" spans="119:119" x14ac:dyDescent="0.2">
      <c r="DO36041" s="303" t="s">
        <v>232</v>
      </c>
    </row>
    <row r="36042" spans="119:119" x14ac:dyDescent="0.2">
      <c r="DO36042" s="303" t="s">
        <v>232</v>
      </c>
    </row>
    <row r="36043" spans="119:119" x14ac:dyDescent="0.2">
      <c r="DO36043" s="303" t="s">
        <v>232</v>
      </c>
    </row>
    <row r="36044" spans="119:119" x14ac:dyDescent="0.2">
      <c r="DO36044" s="303" t="s">
        <v>232</v>
      </c>
    </row>
    <row r="36045" spans="119:119" x14ac:dyDescent="0.2">
      <c r="DO36045" s="303" t="s">
        <v>232</v>
      </c>
    </row>
    <row r="36046" spans="119:119" x14ac:dyDescent="0.2">
      <c r="DO36046" s="303" t="s">
        <v>232</v>
      </c>
    </row>
    <row r="36047" spans="119:119" x14ac:dyDescent="0.2">
      <c r="DO36047" s="303" t="s">
        <v>232</v>
      </c>
    </row>
    <row r="36048" spans="119:119" x14ac:dyDescent="0.2">
      <c r="DO36048" s="303" t="s">
        <v>232</v>
      </c>
    </row>
    <row r="36049" spans="119:119" x14ac:dyDescent="0.2">
      <c r="DO36049" s="303" t="s">
        <v>232</v>
      </c>
    </row>
    <row r="36050" spans="119:119" x14ac:dyDescent="0.2">
      <c r="DO36050" s="303" t="s">
        <v>232</v>
      </c>
    </row>
    <row r="36051" spans="119:119" x14ac:dyDescent="0.2">
      <c r="DO36051" s="303" t="s">
        <v>232</v>
      </c>
    </row>
    <row r="36052" spans="119:119" x14ac:dyDescent="0.2">
      <c r="DO36052" s="303" t="s">
        <v>232</v>
      </c>
    </row>
    <row r="36053" spans="119:119" x14ac:dyDescent="0.2">
      <c r="DO36053" s="303" t="s">
        <v>232</v>
      </c>
    </row>
    <row r="36054" spans="119:119" x14ac:dyDescent="0.2">
      <c r="DO36054" s="303" t="s">
        <v>232</v>
      </c>
    </row>
    <row r="36055" spans="119:119" x14ac:dyDescent="0.2">
      <c r="DO36055" s="303" t="s">
        <v>232</v>
      </c>
    </row>
    <row r="36056" spans="119:119" x14ac:dyDescent="0.2">
      <c r="DO36056" s="303" t="s">
        <v>232</v>
      </c>
    </row>
    <row r="36057" spans="119:119" x14ac:dyDescent="0.2">
      <c r="DO36057" s="303" t="s">
        <v>232</v>
      </c>
    </row>
    <row r="36058" spans="119:119" x14ac:dyDescent="0.2">
      <c r="DO36058" s="303" t="s">
        <v>232</v>
      </c>
    </row>
    <row r="36059" spans="119:119" x14ac:dyDescent="0.2">
      <c r="DO36059" s="303" t="s">
        <v>232</v>
      </c>
    </row>
    <row r="36060" spans="119:119" x14ac:dyDescent="0.2">
      <c r="DO36060" s="303" t="s">
        <v>232</v>
      </c>
    </row>
    <row r="36061" spans="119:119" x14ac:dyDescent="0.2">
      <c r="DO36061" s="303" t="s">
        <v>232</v>
      </c>
    </row>
    <row r="36062" spans="119:119" x14ac:dyDescent="0.2">
      <c r="DO36062" s="303" t="s">
        <v>232</v>
      </c>
    </row>
    <row r="36063" spans="119:119" x14ac:dyDescent="0.2">
      <c r="DO36063" s="303" t="s">
        <v>232</v>
      </c>
    </row>
    <row r="36064" spans="119:119" x14ac:dyDescent="0.2">
      <c r="DO36064" s="303" t="s">
        <v>232</v>
      </c>
    </row>
    <row r="36065" spans="119:119" x14ac:dyDescent="0.2">
      <c r="DO36065" s="303" t="s">
        <v>232</v>
      </c>
    </row>
    <row r="36066" spans="119:119" x14ac:dyDescent="0.2">
      <c r="DO36066" s="303" t="s">
        <v>232</v>
      </c>
    </row>
    <row r="36067" spans="119:119" x14ac:dyDescent="0.2">
      <c r="DO36067" s="303" t="s">
        <v>232</v>
      </c>
    </row>
    <row r="36068" spans="119:119" x14ac:dyDescent="0.2">
      <c r="DO36068" s="303" t="s">
        <v>232</v>
      </c>
    </row>
    <row r="36069" spans="119:119" x14ac:dyDescent="0.2">
      <c r="DO36069" s="303" t="s">
        <v>232</v>
      </c>
    </row>
    <row r="36070" spans="119:119" x14ac:dyDescent="0.2">
      <c r="DO36070" s="303" t="s">
        <v>232</v>
      </c>
    </row>
    <row r="36071" spans="119:119" x14ac:dyDescent="0.2">
      <c r="DO36071" s="303" t="s">
        <v>232</v>
      </c>
    </row>
    <row r="36072" spans="119:119" x14ac:dyDescent="0.2">
      <c r="DO36072" s="303" t="s">
        <v>232</v>
      </c>
    </row>
    <row r="36073" spans="119:119" x14ac:dyDescent="0.2">
      <c r="DO36073" s="303" t="s">
        <v>232</v>
      </c>
    </row>
    <row r="36074" spans="119:119" x14ac:dyDescent="0.2">
      <c r="DO36074" s="303" t="s">
        <v>232</v>
      </c>
    </row>
    <row r="36075" spans="119:119" x14ac:dyDescent="0.2">
      <c r="DO36075" s="303" t="s">
        <v>232</v>
      </c>
    </row>
    <row r="36076" spans="119:119" x14ac:dyDescent="0.2">
      <c r="DO36076" s="303" t="s">
        <v>232</v>
      </c>
    </row>
    <row r="36077" spans="119:119" x14ac:dyDescent="0.2">
      <c r="DO36077" s="303" t="s">
        <v>232</v>
      </c>
    </row>
    <row r="36078" spans="119:119" x14ac:dyDescent="0.2">
      <c r="DO36078" s="303" t="s">
        <v>232</v>
      </c>
    </row>
    <row r="36079" spans="119:119" x14ac:dyDescent="0.2">
      <c r="DO36079" s="303" t="s">
        <v>232</v>
      </c>
    </row>
    <row r="36080" spans="119:119" x14ac:dyDescent="0.2">
      <c r="DO36080" s="303" t="s">
        <v>232</v>
      </c>
    </row>
    <row r="36081" spans="119:119" x14ac:dyDescent="0.2">
      <c r="DO36081" s="303" t="s">
        <v>232</v>
      </c>
    </row>
    <row r="36082" spans="119:119" x14ac:dyDescent="0.2">
      <c r="DO36082" s="303" t="s">
        <v>232</v>
      </c>
    </row>
    <row r="36083" spans="119:119" x14ac:dyDescent="0.2">
      <c r="DO36083" s="303" t="s">
        <v>232</v>
      </c>
    </row>
    <row r="36084" spans="119:119" x14ac:dyDescent="0.2">
      <c r="DO36084" s="303" t="s">
        <v>232</v>
      </c>
    </row>
    <row r="36085" spans="119:119" x14ac:dyDescent="0.2">
      <c r="DO36085" s="303" t="s">
        <v>232</v>
      </c>
    </row>
    <row r="36086" spans="119:119" x14ac:dyDescent="0.2">
      <c r="DO36086" s="303" t="s">
        <v>232</v>
      </c>
    </row>
    <row r="36087" spans="119:119" x14ac:dyDescent="0.2">
      <c r="DO36087" s="303" t="s">
        <v>232</v>
      </c>
    </row>
    <row r="36088" spans="119:119" x14ac:dyDescent="0.2">
      <c r="DO36088" s="303" t="s">
        <v>232</v>
      </c>
    </row>
    <row r="36089" spans="119:119" x14ac:dyDescent="0.2">
      <c r="DO36089" s="303" t="s">
        <v>232</v>
      </c>
    </row>
    <row r="36090" spans="119:119" x14ac:dyDescent="0.2">
      <c r="DO36090" s="303" t="s">
        <v>232</v>
      </c>
    </row>
    <row r="36091" spans="119:119" x14ac:dyDescent="0.2">
      <c r="DO36091" s="303" t="s">
        <v>232</v>
      </c>
    </row>
    <row r="36092" spans="119:119" x14ac:dyDescent="0.2">
      <c r="DO36092" s="303" t="s">
        <v>232</v>
      </c>
    </row>
    <row r="36093" spans="119:119" x14ac:dyDescent="0.2">
      <c r="DO36093" s="303" t="s">
        <v>232</v>
      </c>
    </row>
    <row r="36094" spans="119:119" x14ac:dyDescent="0.2">
      <c r="DO36094" s="303" t="s">
        <v>232</v>
      </c>
    </row>
    <row r="36095" spans="119:119" x14ac:dyDescent="0.2">
      <c r="DO36095" s="303" t="s">
        <v>232</v>
      </c>
    </row>
    <row r="36096" spans="119:119" x14ac:dyDescent="0.2">
      <c r="DO36096" s="303" t="s">
        <v>232</v>
      </c>
    </row>
    <row r="36097" spans="119:119" x14ac:dyDescent="0.2">
      <c r="DO36097" s="303" t="s">
        <v>232</v>
      </c>
    </row>
    <row r="36098" spans="119:119" x14ac:dyDescent="0.2">
      <c r="DO36098" s="303" t="s">
        <v>232</v>
      </c>
    </row>
    <row r="36099" spans="119:119" x14ac:dyDescent="0.2">
      <c r="DO36099" s="303" t="s">
        <v>232</v>
      </c>
    </row>
    <row r="36100" spans="119:119" x14ac:dyDescent="0.2">
      <c r="DO36100" s="303" t="s">
        <v>232</v>
      </c>
    </row>
    <row r="36101" spans="119:119" x14ac:dyDescent="0.2">
      <c r="DO36101" s="303" t="s">
        <v>232</v>
      </c>
    </row>
    <row r="36102" spans="119:119" x14ac:dyDescent="0.2">
      <c r="DO36102" s="303" t="s">
        <v>232</v>
      </c>
    </row>
    <row r="36103" spans="119:119" x14ac:dyDescent="0.2">
      <c r="DO36103" s="303" t="s">
        <v>232</v>
      </c>
    </row>
    <row r="36104" spans="119:119" x14ac:dyDescent="0.2">
      <c r="DO36104" s="303" t="s">
        <v>232</v>
      </c>
    </row>
    <row r="36105" spans="119:119" x14ac:dyDescent="0.2">
      <c r="DO36105" s="303" t="s">
        <v>232</v>
      </c>
    </row>
    <row r="36106" spans="119:119" x14ac:dyDescent="0.2">
      <c r="DO36106" s="303" t="s">
        <v>232</v>
      </c>
    </row>
    <row r="36107" spans="119:119" x14ac:dyDescent="0.2">
      <c r="DO36107" s="303" t="s">
        <v>232</v>
      </c>
    </row>
    <row r="36108" spans="119:119" x14ac:dyDescent="0.2">
      <c r="DO36108" s="303" t="s">
        <v>232</v>
      </c>
    </row>
    <row r="36109" spans="119:119" x14ac:dyDescent="0.2">
      <c r="DO36109" s="303" t="s">
        <v>232</v>
      </c>
    </row>
    <row r="36110" spans="119:119" x14ac:dyDescent="0.2">
      <c r="DO36110" s="303" t="s">
        <v>232</v>
      </c>
    </row>
    <row r="36111" spans="119:119" x14ac:dyDescent="0.2">
      <c r="DO36111" s="303" t="s">
        <v>232</v>
      </c>
    </row>
    <row r="36112" spans="119:119" x14ac:dyDescent="0.2">
      <c r="DO36112" s="303" t="s">
        <v>232</v>
      </c>
    </row>
    <row r="36113" spans="119:119" x14ac:dyDescent="0.2">
      <c r="DO36113" s="303" t="s">
        <v>232</v>
      </c>
    </row>
    <row r="36114" spans="119:119" x14ac:dyDescent="0.2">
      <c r="DO36114" s="303" t="s">
        <v>232</v>
      </c>
    </row>
    <row r="36115" spans="119:119" x14ac:dyDescent="0.2">
      <c r="DO36115" s="303" t="s">
        <v>232</v>
      </c>
    </row>
    <row r="36116" spans="119:119" x14ac:dyDescent="0.2">
      <c r="DO36116" s="303" t="s">
        <v>232</v>
      </c>
    </row>
    <row r="36117" spans="119:119" x14ac:dyDescent="0.2">
      <c r="DO36117" s="303" t="s">
        <v>232</v>
      </c>
    </row>
    <row r="36118" spans="119:119" x14ac:dyDescent="0.2">
      <c r="DO36118" s="303" t="s">
        <v>232</v>
      </c>
    </row>
    <row r="36119" spans="119:119" x14ac:dyDescent="0.2">
      <c r="DO36119" s="303" t="s">
        <v>232</v>
      </c>
    </row>
    <row r="36120" spans="119:119" x14ac:dyDescent="0.2">
      <c r="DO36120" s="303" t="s">
        <v>232</v>
      </c>
    </row>
    <row r="36121" spans="119:119" x14ac:dyDescent="0.2">
      <c r="DO36121" s="303" t="s">
        <v>232</v>
      </c>
    </row>
    <row r="36122" spans="119:119" x14ac:dyDescent="0.2">
      <c r="DO36122" s="303" t="s">
        <v>232</v>
      </c>
    </row>
    <row r="36123" spans="119:119" x14ac:dyDescent="0.2">
      <c r="DO36123" s="303" t="s">
        <v>232</v>
      </c>
    </row>
    <row r="36124" spans="119:119" x14ac:dyDescent="0.2">
      <c r="DO36124" s="303" t="s">
        <v>232</v>
      </c>
    </row>
    <row r="36125" spans="119:119" x14ac:dyDescent="0.2">
      <c r="DO36125" s="303" t="s">
        <v>232</v>
      </c>
    </row>
    <row r="36126" spans="119:119" x14ac:dyDescent="0.2">
      <c r="DO36126" s="303" t="s">
        <v>232</v>
      </c>
    </row>
    <row r="36127" spans="119:119" x14ac:dyDescent="0.2">
      <c r="DO36127" s="303" t="s">
        <v>232</v>
      </c>
    </row>
    <row r="36128" spans="119:119" x14ac:dyDescent="0.2">
      <c r="DO36128" s="303" t="s">
        <v>232</v>
      </c>
    </row>
    <row r="36129" spans="119:119" x14ac:dyDescent="0.2">
      <c r="DO36129" s="303" t="s">
        <v>232</v>
      </c>
    </row>
    <row r="36130" spans="119:119" x14ac:dyDescent="0.2">
      <c r="DO36130" s="303" t="s">
        <v>232</v>
      </c>
    </row>
    <row r="36131" spans="119:119" x14ac:dyDescent="0.2">
      <c r="DO36131" s="303" t="s">
        <v>232</v>
      </c>
    </row>
    <row r="36132" spans="119:119" x14ac:dyDescent="0.2">
      <c r="DO36132" s="303" t="s">
        <v>232</v>
      </c>
    </row>
    <row r="36133" spans="119:119" x14ac:dyDescent="0.2">
      <c r="DO36133" s="303" t="s">
        <v>232</v>
      </c>
    </row>
    <row r="36134" spans="119:119" x14ac:dyDescent="0.2">
      <c r="DO36134" s="303" t="s">
        <v>232</v>
      </c>
    </row>
    <row r="36135" spans="119:119" x14ac:dyDescent="0.2">
      <c r="DO36135" s="303" t="s">
        <v>232</v>
      </c>
    </row>
    <row r="36136" spans="119:119" x14ac:dyDescent="0.2">
      <c r="DO36136" s="303" t="s">
        <v>232</v>
      </c>
    </row>
    <row r="36137" spans="119:119" x14ac:dyDescent="0.2">
      <c r="DO36137" s="303" t="s">
        <v>232</v>
      </c>
    </row>
    <row r="36138" spans="119:119" x14ac:dyDescent="0.2">
      <c r="DO36138" s="303" t="s">
        <v>232</v>
      </c>
    </row>
    <row r="36139" spans="119:119" x14ac:dyDescent="0.2">
      <c r="DO36139" s="303" t="s">
        <v>232</v>
      </c>
    </row>
    <row r="36140" spans="119:119" x14ac:dyDescent="0.2">
      <c r="DO36140" s="303" t="s">
        <v>232</v>
      </c>
    </row>
    <row r="36141" spans="119:119" x14ac:dyDescent="0.2">
      <c r="DO36141" s="303" t="s">
        <v>232</v>
      </c>
    </row>
    <row r="36142" spans="119:119" x14ac:dyDescent="0.2">
      <c r="DO36142" s="303" t="s">
        <v>232</v>
      </c>
    </row>
    <row r="36143" spans="119:119" x14ac:dyDescent="0.2">
      <c r="DO36143" s="303" t="s">
        <v>232</v>
      </c>
    </row>
    <row r="36144" spans="119:119" x14ac:dyDescent="0.2">
      <c r="DO36144" s="303" t="s">
        <v>232</v>
      </c>
    </row>
    <row r="36145" spans="119:119" x14ac:dyDescent="0.2">
      <c r="DO36145" s="303" t="s">
        <v>232</v>
      </c>
    </row>
    <row r="36146" spans="119:119" x14ac:dyDescent="0.2">
      <c r="DO36146" s="303" t="s">
        <v>232</v>
      </c>
    </row>
    <row r="36147" spans="119:119" x14ac:dyDescent="0.2">
      <c r="DO36147" s="303" t="s">
        <v>232</v>
      </c>
    </row>
    <row r="36148" spans="119:119" x14ac:dyDescent="0.2">
      <c r="DO36148" s="303" t="s">
        <v>232</v>
      </c>
    </row>
    <row r="36149" spans="119:119" x14ac:dyDescent="0.2">
      <c r="DO36149" s="303" t="s">
        <v>232</v>
      </c>
    </row>
    <row r="36150" spans="119:119" x14ac:dyDescent="0.2">
      <c r="DO36150" s="303" t="s">
        <v>232</v>
      </c>
    </row>
    <row r="36151" spans="119:119" x14ac:dyDescent="0.2">
      <c r="DO36151" s="303" t="s">
        <v>232</v>
      </c>
    </row>
    <row r="36152" spans="119:119" x14ac:dyDescent="0.2">
      <c r="DO36152" s="303" t="s">
        <v>232</v>
      </c>
    </row>
    <row r="36153" spans="119:119" x14ac:dyDescent="0.2">
      <c r="DO36153" s="303" t="s">
        <v>232</v>
      </c>
    </row>
    <row r="36154" spans="119:119" x14ac:dyDescent="0.2">
      <c r="DO36154" s="303" t="s">
        <v>232</v>
      </c>
    </row>
    <row r="36155" spans="119:119" x14ac:dyDescent="0.2">
      <c r="DO36155" s="303" t="s">
        <v>232</v>
      </c>
    </row>
    <row r="36156" spans="119:119" x14ac:dyDescent="0.2">
      <c r="DO36156" s="303" t="s">
        <v>232</v>
      </c>
    </row>
    <row r="36157" spans="119:119" x14ac:dyDescent="0.2">
      <c r="DO36157" s="303" t="s">
        <v>232</v>
      </c>
    </row>
    <row r="36158" spans="119:119" x14ac:dyDescent="0.2">
      <c r="DO36158" s="303" t="s">
        <v>232</v>
      </c>
    </row>
    <row r="36159" spans="119:119" x14ac:dyDescent="0.2">
      <c r="DO36159" s="303" t="s">
        <v>232</v>
      </c>
    </row>
    <row r="36160" spans="119:119" x14ac:dyDescent="0.2">
      <c r="DO36160" s="303" t="s">
        <v>232</v>
      </c>
    </row>
    <row r="36161" spans="119:119" x14ac:dyDescent="0.2">
      <c r="DO36161" s="303" t="s">
        <v>232</v>
      </c>
    </row>
    <row r="36162" spans="119:119" x14ac:dyDescent="0.2">
      <c r="DO36162" s="303" t="s">
        <v>232</v>
      </c>
    </row>
    <row r="36163" spans="119:119" x14ac:dyDescent="0.2">
      <c r="DO36163" s="303" t="s">
        <v>232</v>
      </c>
    </row>
    <row r="36164" spans="119:119" x14ac:dyDescent="0.2">
      <c r="DO36164" s="303" t="s">
        <v>232</v>
      </c>
    </row>
    <row r="36165" spans="119:119" x14ac:dyDescent="0.2">
      <c r="DO36165" s="303" t="s">
        <v>232</v>
      </c>
    </row>
    <row r="36166" spans="119:119" x14ac:dyDescent="0.2">
      <c r="DO36166" s="303" t="s">
        <v>232</v>
      </c>
    </row>
    <row r="36167" spans="119:119" x14ac:dyDescent="0.2">
      <c r="DO36167" s="303" t="s">
        <v>232</v>
      </c>
    </row>
    <row r="36168" spans="119:119" x14ac:dyDescent="0.2">
      <c r="DO36168" s="303" t="s">
        <v>232</v>
      </c>
    </row>
    <row r="36169" spans="119:119" x14ac:dyDescent="0.2">
      <c r="DO36169" s="303" t="s">
        <v>232</v>
      </c>
    </row>
    <row r="36170" spans="119:119" x14ac:dyDescent="0.2">
      <c r="DO36170" s="303" t="s">
        <v>232</v>
      </c>
    </row>
    <row r="36171" spans="119:119" x14ac:dyDescent="0.2">
      <c r="DO36171" s="303" t="s">
        <v>232</v>
      </c>
    </row>
    <row r="36172" spans="119:119" x14ac:dyDescent="0.2">
      <c r="DO36172" s="303" t="s">
        <v>232</v>
      </c>
    </row>
    <row r="36173" spans="119:119" x14ac:dyDescent="0.2">
      <c r="DO36173" s="303" t="s">
        <v>232</v>
      </c>
    </row>
    <row r="36174" spans="119:119" x14ac:dyDescent="0.2">
      <c r="DO36174" s="303" t="s">
        <v>232</v>
      </c>
    </row>
    <row r="36175" spans="119:119" x14ac:dyDescent="0.2">
      <c r="DO36175" s="303" t="s">
        <v>232</v>
      </c>
    </row>
    <row r="36176" spans="119:119" x14ac:dyDescent="0.2">
      <c r="DO36176" s="303" t="s">
        <v>232</v>
      </c>
    </row>
    <row r="36177" spans="119:119" x14ac:dyDescent="0.2">
      <c r="DO36177" s="303" t="s">
        <v>232</v>
      </c>
    </row>
    <row r="36178" spans="119:119" x14ac:dyDescent="0.2">
      <c r="DO36178" s="303" t="s">
        <v>232</v>
      </c>
    </row>
    <row r="36179" spans="119:119" x14ac:dyDescent="0.2">
      <c r="DO36179" s="303" t="s">
        <v>232</v>
      </c>
    </row>
    <row r="36180" spans="119:119" x14ac:dyDescent="0.2">
      <c r="DO36180" s="303" t="s">
        <v>232</v>
      </c>
    </row>
    <row r="36181" spans="119:119" x14ac:dyDescent="0.2">
      <c r="DO36181" s="303" t="s">
        <v>232</v>
      </c>
    </row>
    <row r="36182" spans="119:119" x14ac:dyDescent="0.2">
      <c r="DO36182" s="303" t="s">
        <v>232</v>
      </c>
    </row>
    <row r="36183" spans="119:119" x14ac:dyDescent="0.2">
      <c r="DO36183" s="303" t="s">
        <v>232</v>
      </c>
    </row>
    <row r="36184" spans="119:119" x14ac:dyDescent="0.2">
      <c r="DO36184" s="303" t="s">
        <v>232</v>
      </c>
    </row>
    <row r="36185" spans="119:119" x14ac:dyDescent="0.2">
      <c r="DO36185" s="303" t="s">
        <v>232</v>
      </c>
    </row>
    <row r="36186" spans="119:119" x14ac:dyDescent="0.2">
      <c r="DO36186" s="303" t="s">
        <v>232</v>
      </c>
    </row>
    <row r="36187" spans="119:119" x14ac:dyDescent="0.2">
      <c r="DO36187" s="303" t="s">
        <v>232</v>
      </c>
    </row>
    <row r="36188" spans="119:119" x14ac:dyDescent="0.2">
      <c r="DO36188" s="303" t="s">
        <v>232</v>
      </c>
    </row>
    <row r="36189" spans="119:119" x14ac:dyDescent="0.2">
      <c r="DO36189" s="303" t="s">
        <v>232</v>
      </c>
    </row>
    <row r="36190" spans="119:119" x14ac:dyDescent="0.2">
      <c r="DO36190" s="303" t="s">
        <v>232</v>
      </c>
    </row>
    <row r="36191" spans="119:119" x14ac:dyDescent="0.2">
      <c r="DO36191" s="303" t="s">
        <v>232</v>
      </c>
    </row>
    <row r="36192" spans="119:119" x14ac:dyDescent="0.2">
      <c r="DO36192" s="303" t="s">
        <v>232</v>
      </c>
    </row>
    <row r="36193" spans="119:119" x14ac:dyDescent="0.2">
      <c r="DO36193" s="303" t="s">
        <v>232</v>
      </c>
    </row>
    <row r="36194" spans="119:119" x14ac:dyDescent="0.2">
      <c r="DO36194" s="303" t="s">
        <v>232</v>
      </c>
    </row>
    <row r="36195" spans="119:119" x14ac:dyDescent="0.2">
      <c r="DO36195" s="303" t="s">
        <v>232</v>
      </c>
    </row>
    <row r="36196" spans="119:119" x14ac:dyDescent="0.2">
      <c r="DO36196" s="303" t="s">
        <v>232</v>
      </c>
    </row>
    <row r="36197" spans="119:119" x14ac:dyDescent="0.2">
      <c r="DO36197" s="303" t="s">
        <v>232</v>
      </c>
    </row>
    <row r="36198" spans="119:119" x14ac:dyDescent="0.2">
      <c r="DO36198" s="303" t="s">
        <v>232</v>
      </c>
    </row>
    <row r="36199" spans="119:119" x14ac:dyDescent="0.2">
      <c r="DO36199" s="303" t="s">
        <v>232</v>
      </c>
    </row>
    <row r="36200" spans="119:119" x14ac:dyDescent="0.2">
      <c r="DO36200" s="303" t="s">
        <v>232</v>
      </c>
    </row>
    <row r="36201" spans="119:119" x14ac:dyDescent="0.2">
      <c r="DO36201" s="303" t="s">
        <v>232</v>
      </c>
    </row>
    <row r="36202" spans="119:119" x14ac:dyDescent="0.2">
      <c r="DO36202" s="303" t="s">
        <v>232</v>
      </c>
    </row>
    <row r="36203" spans="119:119" x14ac:dyDescent="0.2">
      <c r="DO36203" s="303" t="s">
        <v>232</v>
      </c>
    </row>
    <row r="36204" spans="119:119" x14ac:dyDescent="0.2">
      <c r="DO36204" s="303" t="s">
        <v>232</v>
      </c>
    </row>
    <row r="36205" spans="119:119" x14ac:dyDescent="0.2">
      <c r="DO36205" s="303" t="s">
        <v>232</v>
      </c>
    </row>
    <row r="36206" spans="119:119" x14ac:dyDescent="0.2">
      <c r="DO36206" s="303" t="s">
        <v>232</v>
      </c>
    </row>
    <row r="36207" spans="119:119" x14ac:dyDescent="0.2">
      <c r="DO36207" s="303" t="s">
        <v>232</v>
      </c>
    </row>
    <row r="36208" spans="119:119" x14ac:dyDescent="0.2">
      <c r="DO36208" s="303" t="s">
        <v>232</v>
      </c>
    </row>
    <row r="36209" spans="119:119" x14ac:dyDescent="0.2">
      <c r="DO36209" s="303" t="s">
        <v>232</v>
      </c>
    </row>
    <row r="36210" spans="119:119" x14ac:dyDescent="0.2">
      <c r="DO36210" s="303" t="s">
        <v>232</v>
      </c>
    </row>
    <row r="36211" spans="119:119" x14ac:dyDescent="0.2">
      <c r="DO36211" s="303" t="s">
        <v>232</v>
      </c>
    </row>
    <row r="36212" spans="119:119" x14ac:dyDescent="0.2">
      <c r="DO36212" s="303" t="s">
        <v>232</v>
      </c>
    </row>
    <row r="36213" spans="119:119" x14ac:dyDescent="0.2">
      <c r="DO36213" s="303" t="s">
        <v>232</v>
      </c>
    </row>
    <row r="36214" spans="119:119" x14ac:dyDescent="0.2">
      <c r="DO36214" s="303" t="s">
        <v>232</v>
      </c>
    </row>
    <row r="36215" spans="119:119" x14ac:dyDescent="0.2">
      <c r="DO36215" s="303" t="s">
        <v>232</v>
      </c>
    </row>
    <row r="36216" spans="119:119" x14ac:dyDescent="0.2">
      <c r="DO36216" s="303" t="s">
        <v>232</v>
      </c>
    </row>
    <row r="36217" spans="119:119" x14ac:dyDescent="0.2">
      <c r="DO36217" s="303" t="s">
        <v>232</v>
      </c>
    </row>
    <row r="36218" spans="119:119" x14ac:dyDescent="0.2">
      <c r="DO36218" s="303" t="s">
        <v>232</v>
      </c>
    </row>
    <row r="36219" spans="119:119" x14ac:dyDescent="0.2">
      <c r="DO36219" s="303" t="s">
        <v>232</v>
      </c>
    </row>
    <row r="36220" spans="119:119" x14ac:dyDescent="0.2">
      <c r="DO36220" s="303" t="s">
        <v>232</v>
      </c>
    </row>
    <row r="36221" spans="119:119" x14ac:dyDescent="0.2">
      <c r="DO36221" s="303" t="s">
        <v>232</v>
      </c>
    </row>
    <row r="36222" spans="119:119" x14ac:dyDescent="0.2">
      <c r="DO36222" s="303" t="s">
        <v>232</v>
      </c>
    </row>
    <row r="36223" spans="119:119" x14ac:dyDescent="0.2">
      <c r="DO36223" s="303" t="s">
        <v>232</v>
      </c>
    </row>
    <row r="36224" spans="119:119" x14ac:dyDescent="0.2">
      <c r="DO36224" s="303" t="s">
        <v>232</v>
      </c>
    </row>
    <row r="36225" spans="119:119" x14ac:dyDescent="0.2">
      <c r="DO36225" s="303" t="s">
        <v>232</v>
      </c>
    </row>
    <row r="36226" spans="119:119" x14ac:dyDescent="0.2">
      <c r="DO36226" s="303" t="s">
        <v>232</v>
      </c>
    </row>
    <row r="36227" spans="119:119" x14ac:dyDescent="0.2">
      <c r="DO36227" s="303" t="s">
        <v>232</v>
      </c>
    </row>
    <row r="36228" spans="119:119" x14ac:dyDescent="0.2">
      <c r="DO36228" s="303" t="s">
        <v>232</v>
      </c>
    </row>
    <row r="36229" spans="119:119" x14ac:dyDescent="0.2">
      <c r="DO36229" s="303" t="s">
        <v>232</v>
      </c>
    </row>
    <row r="36230" spans="119:119" x14ac:dyDescent="0.2">
      <c r="DO36230" s="303" t="s">
        <v>232</v>
      </c>
    </row>
    <row r="36231" spans="119:119" x14ac:dyDescent="0.2">
      <c r="DO36231" s="303" t="s">
        <v>232</v>
      </c>
    </row>
    <row r="36232" spans="119:119" x14ac:dyDescent="0.2">
      <c r="DO36232" s="303" t="s">
        <v>232</v>
      </c>
    </row>
    <row r="36233" spans="119:119" x14ac:dyDescent="0.2">
      <c r="DO36233" s="303" t="s">
        <v>232</v>
      </c>
    </row>
    <row r="36234" spans="119:119" x14ac:dyDescent="0.2">
      <c r="DO36234" s="303" t="s">
        <v>232</v>
      </c>
    </row>
    <row r="36235" spans="119:119" x14ac:dyDescent="0.2">
      <c r="DO36235" s="303" t="s">
        <v>232</v>
      </c>
    </row>
    <row r="36236" spans="119:119" x14ac:dyDescent="0.2">
      <c r="DO36236" s="303" t="s">
        <v>232</v>
      </c>
    </row>
    <row r="36237" spans="119:119" x14ac:dyDescent="0.2">
      <c r="DO36237" s="303" t="s">
        <v>232</v>
      </c>
    </row>
    <row r="36238" spans="119:119" x14ac:dyDescent="0.2">
      <c r="DO36238" s="303" t="s">
        <v>232</v>
      </c>
    </row>
    <row r="36239" spans="119:119" x14ac:dyDescent="0.2">
      <c r="DO36239" s="303" t="s">
        <v>232</v>
      </c>
    </row>
    <row r="36240" spans="119:119" x14ac:dyDescent="0.2">
      <c r="DO36240" s="303" t="s">
        <v>232</v>
      </c>
    </row>
    <row r="36241" spans="119:119" x14ac:dyDescent="0.2">
      <c r="DO36241" s="303" t="s">
        <v>232</v>
      </c>
    </row>
    <row r="36242" spans="119:119" x14ac:dyDescent="0.2">
      <c r="DO36242" s="303" t="s">
        <v>232</v>
      </c>
    </row>
    <row r="36243" spans="119:119" x14ac:dyDescent="0.2">
      <c r="DO36243" s="303" t="s">
        <v>232</v>
      </c>
    </row>
    <row r="36244" spans="119:119" x14ac:dyDescent="0.2">
      <c r="DO36244" s="303" t="s">
        <v>232</v>
      </c>
    </row>
    <row r="36245" spans="119:119" x14ac:dyDescent="0.2">
      <c r="DO36245" s="303" t="s">
        <v>232</v>
      </c>
    </row>
    <row r="36246" spans="119:119" x14ac:dyDescent="0.2">
      <c r="DO36246" s="303" t="s">
        <v>232</v>
      </c>
    </row>
    <row r="36247" spans="119:119" x14ac:dyDescent="0.2">
      <c r="DO36247" s="303" t="s">
        <v>232</v>
      </c>
    </row>
    <row r="36248" spans="119:119" x14ac:dyDescent="0.2">
      <c r="DO36248" s="303" t="s">
        <v>232</v>
      </c>
    </row>
    <row r="36249" spans="119:119" x14ac:dyDescent="0.2">
      <c r="DO36249" s="303" t="s">
        <v>232</v>
      </c>
    </row>
    <row r="36250" spans="119:119" x14ac:dyDescent="0.2">
      <c r="DO36250" s="303" t="s">
        <v>232</v>
      </c>
    </row>
    <row r="36251" spans="119:119" x14ac:dyDescent="0.2">
      <c r="DO36251" s="303" t="s">
        <v>232</v>
      </c>
    </row>
    <row r="36252" spans="119:119" x14ac:dyDescent="0.2">
      <c r="DO36252" s="303" t="s">
        <v>232</v>
      </c>
    </row>
    <row r="36253" spans="119:119" x14ac:dyDescent="0.2">
      <c r="DO36253" s="303" t="s">
        <v>232</v>
      </c>
    </row>
    <row r="36254" spans="119:119" x14ac:dyDescent="0.2">
      <c r="DO36254" s="303" t="s">
        <v>232</v>
      </c>
    </row>
    <row r="36255" spans="119:119" x14ac:dyDescent="0.2">
      <c r="DO36255" s="303" t="s">
        <v>232</v>
      </c>
    </row>
    <row r="36256" spans="119:119" x14ac:dyDescent="0.2">
      <c r="DO36256" s="303" t="s">
        <v>232</v>
      </c>
    </row>
    <row r="36257" spans="119:119" x14ac:dyDescent="0.2">
      <c r="DO36257" s="303" t="s">
        <v>232</v>
      </c>
    </row>
    <row r="36258" spans="119:119" x14ac:dyDescent="0.2">
      <c r="DO36258" s="303" t="s">
        <v>232</v>
      </c>
    </row>
    <row r="36259" spans="119:119" x14ac:dyDescent="0.2">
      <c r="DO36259" s="303" t="s">
        <v>232</v>
      </c>
    </row>
    <row r="36260" spans="119:119" x14ac:dyDescent="0.2">
      <c r="DO36260" s="303" t="s">
        <v>232</v>
      </c>
    </row>
    <row r="36261" spans="119:119" x14ac:dyDescent="0.2">
      <c r="DO36261" s="303" t="s">
        <v>232</v>
      </c>
    </row>
    <row r="36262" spans="119:119" x14ac:dyDescent="0.2">
      <c r="DO36262" s="303" t="s">
        <v>232</v>
      </c>
    </row>
    <row r="36263" spans="119:119" x14ac:dyDescent="0.2">
      <c r="DO36263" s="303" t="s">
        <v>232</v>
      </c>
    </row>
    <row r="36264" spans="119:119" x14ac:dyDescent="0.2">
      <c r="DO36264" s="303" t="s">
        <v>232</v>
      </c>
    </row>
    <row r="36265" spans="119:119" x14ac:dyDescent="0.2">
      <c r="DO36265" s="303" t="s">
        <v>232</v>
      </c>
    </row>
    <row r="36266" spans="119:119" x14ac:dyDescent="0.2">
      <c r="DO36266" s="303" t="s">
        <v>232</v>
      </c>
    </row>
    <row r="36267" spans="119:119" x14ac:dyDescent="0.2">
      <c r="DO36267" s="303" t="s">
        <v>232</v>
      </c>
    </row>
    <row r="36268" spans="119:119" x14ac:dyDescent="0.2">
      <c r="DO36268" s="303" t="s">
        <v>232</v>
      </c>
    </row>
    <row r="36269" spans="119:119" x14ac:dyDescent="0.2">
      <c r="DO36269" s="303" t="s">
        <v>232</v>
      </c>
    </row>
    <row r="36270" spans="119:119" x14ac:dyDescent="0.2">
      <c r="DO36270" s="303" t="s">
        <v>232</v>
      </c>
    </row>
    <row r="36271" spans="119:119" x14ac:dyDescent="0.2">
      <c r="DO36271" s="303" t="s">
        <v>232</v>
      </c>
    </row>
    <row r="36272" spans="119:119" x14ac:dyDescent="0.2">
      <c r="DO36272" s="303" t="s">
        <v>232</v>
      </c>
    </row>
    <row r="36273" spans="119:119" x14ac:dyDescent="0.2">
      <c r="DO36273" s="303" t="s">
        <v>232</v>
      </c>
    </row>
    <row r="36274" spans="119:119" x14ac:dyDescent="0.2">
      <c r="DO36274" s="303" t="s">
        <v>232</v>
      </c>
    </row>
    <row r="36275" spans="119:119" x14ac:dyDescent="0.2">
      <c r="DO36275" s="303" t="s">
        <v>232</v>
      </c>
    </row>
    <row r="36276" spans="119:119" x14ac:dyDescent="0.2">
      <c r="DO36276" s="303" t="s">
        <v>232</v>
      </c>
    </row>
    <row r="36277" spans="119:119" x14ac:dyDescent="0.2">
      <c r="DO36277" s="303" t="s">
        <v>232</v>
      </c>
    </row>
    <row r="36278" spans="119:119" x14ac:dyDescent="0.2">
      <c r="DO36278" s="303" t="s">
        <v>232</v>
      </c>
    </row>
    <row r="36279" spans="119:119" x14ac:dyDescent="0.2">
      <c r="DO36279" s="303" t="s">
        <v>232</v>
      </c>
    </row>
    <row r="36280" spans="119:119" x14ac:dyDescent="0.2">
      <c r="DO36280" s="303" t="s">
        <v>232</v>
      </c>
    </row>
    <row r="36281" spans="119:119" x14ac:dyDescent="0.2">
      <c r="DO36281" s="303" t="s">
        <v>232</v>
      </c>
    </row>
    <row r="36282" spans="119:119" x14ac:dyDescent="0.2">
      <c r="DO36282" s="303" t="s">
        <v>232</v>
      </c>
    </row>
    <row r="36283" spans="119:119" x14ac:dyDescent="0.2">
      <c r="DO36283" s="303" t="s">
        <v>232</v>
      </c>
    </row>
    <row r="36284" spans="119:119" x14ac:dyDescent="0.2">
      <c r="DO36284" s="303" t="s">
        <v>232</v>
      </c>
    </row>
    <row r="36285" spans="119:119" x14ac:dyDescent="0.2">
      <c r="DO36285" s="303" t="s">
        <v>232</v>
      </c>
    </row>
    <row r="36286" spans="119:119" x14ac:dyDescent="0.2">
      <c r="DO36286" s="303" t="s">
        <v>232</v>
      </c>
    </row>
    <row r="36287" spans="119:119" x14ac:dyDescent="0.2">
      <c r="DO36287" s="303" t="s">
        <v>232</v>
      </c>
    </row>
    <row r="36288" spans="119:119" x14ac:dyDescent="0.2">
      <c r="DO36288" s="303" t="s">
        <v>232</v>
      </c>
    </row>
    <row r="36289" spans="119:119" x14ac:dyDescent="0.2">
      <c r="DO36289" s="303" t="s">
        <v>232</v>
      </c>
    </row>
    <row r="36290" spans="119:119" x14ac:dyDescent="0.2">
      <c r="DO36290" s="303" t="s">
        <v>232</v>
      </c>
    </row>
    <row r="36291" spans="119:119" x14ac:dyDescent="0.2">
      <c r="DO36291" s="303" t="s">
        <v>232</v>
      </c>
    </row>
    <row r="36292" spans="119:119" x14ac:dyDescent="0.2">
      <c r="DO36292" s="303" t="s">
        <v>232</v>
      </c>
    </row>
    <row r="36293" spans="119:119" x14ac:dyDescent="0.2">
      <c r="DO36293" s="303" t="s">
        <v>232</v>
      </c>
    </row>
    <row r="36294" spans="119:119" x14ac:dyDescent="0.2">
      <c r="DO36294" s="303" t="s">
        <v>232</v>
      </c>
    </row>
    <row r="36295" spans="119:119" x14ac:dyDescent="0.2">
      <c r="DO36295" s="303" t="s">
        <v>232</v>
      </c>
    </row>
    <row r="36296" spans="119:119" x14ac:dyDescent="0.2">
      <c r="DO36296" s="303" t="s">
        <v>232</v>
      </c>
    </row>
    <row r="36297" spans="119:119" x14ac:dyDescent="0.2">
      <c r="DO36297" s="303" t="s">
        <v>232</v>
      </c>
    </row>
    <row r="36298" spans="119:119" x14ac:dyDescent="0.2">
      <c r="DO36298" s="303" t="s">
        <v>232</v>
      </c>
    </row>
    <row r="36299" spans="119:119" x14ac:dyDescent="0.2">
      <c r="DO36299" s="303" t="s">
        <v>232</v>
      </c>
    </row>
    <row r="36300" spans="119:119" x14ac:dyDescent="0.2">
      <c r="DO36300" s="303" t="s">
        <v>232</v>
      </c>
    </row>
    <row r="36301" spans="119:119" x14ac:dyDescent="0.2">
      <c r="DO36301" s="303" t="s">
        <v>232</v>
      </c>
    </row>
    <row r="36302" spans="119:119" x14ac:dyDescent="0.2">
      <c r="DO36302" s="303" t="s">
        <v>232</v>
      </c>
    </row>
    <row r="36303" spans="119:119" x14ac:dyDescent="0.2">
      <c r="DO36303" s="303" t="s">
        <v>232</v>
      </c>
    </row>
    <row r="36304" spans="119:119" x14ac:dyDescent="0.2">
      <c r="DO36304" s="303" t="s">
        <v>232</v>
      </c>
    </row>
    <row r="36305" spans="119:119" x14ac:dyDescent="0.2">
      <c r="DO36305" s="303" t="s">
        <v>232</v>
      </c>
    </row>
    <row r="36306" spans="119:119" x14ac:dyDescent="0.2">
      <c r="DO36306" s="303" t="s">
        <v>232</v>
      </c>
    </row>
    <row r="36307" spans="119:119" x14ac:dyDescent="0.2">
      <c r="DO36307" s="303" t="s">
        <v>232</v>
      </c>
    </row>
    <row r="36308" spans="119:119" x14ac:dyDescent="0.2">
      <c r="DO36308" s="303" t="s">
        <v>232</v>
      </c>
    </row>
    <row r="36309" spans="119:119" x14ac:dyDescent="0.2">
      <c r="DO36309" s="303" t="s">
        <v>232</v>
      </c>
    </row>
    <row r="36310" spans="119:119" x14ac:dyDescent="0.2">
      <c r="DO36310" s="303" t="s">
        <v>232</v>
      </c>
    </row>
    <row r="36311" spans="119:119" x14ac:dyDescent="0.2">
      <c r="DO36311" s="303" t="s">
        <v>232</v>
      </c>
    </row>
    <row r="36312" spans="119:119" x14ac:dyDescent="0.2">
      <c r="DO36312" s="303" t="s">
        <v>232</v>
      </c>
    </row>
    <row r="36313" spans="119:119" x14ac:dyDescent="0.2">
      <c r="DO36313" s="303" t="s">
        <v>232</v>
      </c>
    </row>
    <row r="36314" spans="119:119" x14ac:dyDescent="0.2">
      <c r="DO36314" s="303" t="s">
        <v>232</v>
      </c>
    </row>
    <row r="36315" spans="119:119" x14ac:dyDescent="0.2">
      <c r="DO36315" s="303" t="s">
        <v>232</v>
      </c>
    </row>
    <row r="36316" spans="119:119" x14ac:dyDescent="0.2">
      <c r="DO36316" s="303" t="s">
        <v>232</v>
      </c>
    </row>
    <row r="36317" spans="119:119" x14ac:dyDescent="0.2">
      <c r="DO36317" s="303" t="s">
        <v>232</v>
      </c>
    </row>
    <row r="36318" spans="119:119" x14ac:dyDescent="0.2">
      <c r="DO36318" s="303" t="s">
        <v>232</v>
      </c>
    </row>
    <row r="36319" spans="119:119" x14ac:dyDescent="0.2">
      <c r="DO36319" s="303" t="s">
        <v>232</v>
      </c>
    </row>
    <row r="36320" spans="119:119" x14ac:dyDescent="0.2">
      <c r="DO36320" s="303" t="s">
        <v>232</v>
      </c>
    </row>
    <row r="36321" spans="119:119" x14ac:dyDescent="0.2">
      <c r="DO36321" s="303" t="s">
        <v>232</v>
      </c>
    </row>
    <row r="36322" spans="119:119" x14ac:dyDescent="0.2">
      <c r="DO36322" s="303" t="s">
        <v>232</v>
      </c>
    </row>
    <row r="36323" spans="119:119" x14ac:dyDescent="0.2">
      <c r="DO36323" s="303" t="s">
        <v>232</v>
      </c>
    </row>
    <row r="36324" spans="119:119" x14ac:dyDescent="0.2">
      <c r="DO36324" s="303" t="s">
        <v>232</v>
      </c>
    </row>
    <row r="36325" spans="119:119" x14ac:dyDescent="0.2">
      <c r="DO36325" s="303" t="s">
        <v>232</v>
      </c>
    </row>
    <row r="36326" spans="119:119" x14ac:dyDescent="0.2">
      <c r="DO36326" s="303" t="s">
        <v>232</v>
      </c>
    </row>
    <row r="36327" spans="119:119" x14ac:dyDescent="0.2">
      <c r="DO36327" s="303" t="s">
        <v>232</v>
      </c>
    </row>
    <row r="36328" spans="119:119" x14ac:dyDescent="0.2">
      <c r="DO36328" s="303" t="s">
        <v>232</v>
      </c>
    </row>
    <row r="36329" spans="119:119" x14ac:dyDescent="0.2">
      <c r="DO36329" s="303" t="s">
        <v>232</v>
      </c>
    </row>
    <row r="36330" spans="119:119" x14ac:dyDescent="0.2">
      <c r="DO36330" s="303" t="s">
        <v>232</v>
      </c>
    </row>
    <row r="36331" spans="119:119" x14ac:dyDescent="0.2">
      <c r="DO36331" s="303" t="s">
        <v>232</v>
      </c>
    </row>
    <row r="36332" spans="119:119" x14ac:dyDescent="0.2">
      <c r="DO36332" s="303" t="s">
        <v>232</v>
      </c>
    </row>
    <row r="36333" spans="119:119" x14ac:dyDescent="0.2">
      <c r="DO36333" s="303" t="s">
        <v>232</v>
      </c>
    </row>
    <row r="36334" spans="119:119" x14ac:dyDescent="0.2">
      <c r="DO36334" s="303" t="s">
        <v>232</v>
      </c>
    </row>
    <row r="36335" spans="119:119" x14ac:dyDescent="0.2">
      <c r="DO36335" s="303" t="s">
        <v>232</v>
      </c>
    </row>
    <row r="36336" spans="119:119" x14ac:dyDescent="0.2">
      <c r="DO36336" s="303" t="s">
        <v>232</v>
      </c>
    </row>
    <row r="36337" spans="119:119" x14ac:dyDescent="0.2">
      <c r="DO36337" s="303" t="s">
        <v>232</v>
      </c>
    </row>
    <row r="36338" spans="119:119" x14ac:dyDescent="0.2">
      <c r="DO36338" s="303" t="s">
        <v>232</v>
      </c>
    </row>
    <row r="36339" spans="119:119" x14ac:dyDescent="0.2">
      <c r="DO36339" s="303" t="s">
        <v>232</v>
      </c>
    </row>
    <row r="36340" spans="119:119" x14ac:dyDescent="0.2">
      <c r="DO36340" s="303" t="s">
        <v>232</v>
      </c>
    </row>
    <row r="36341" spans="119:119" x14ac:dyDescent="0.2">
      <c r="DO36341" s="303" t="s">
        <v>232</v>
      </c>
    </row>
    <row r="36342" spans="119:119" x14ac:dyDescent="0.2">
      <c r="DO36342" s="303" t="s">
        <v>232</v>
      </c>
    </row>
    <row r="36343" spans="119:119" x14ac:dyDescent="0.2">
      <c r="DO36343" s="303" t="s">
        <v>232</v>
      </c>
    </row>
    <row r="36344" spans="119:119" x14ac:dyDescent="0.2">
      <c r="DO36344" s="303" t="s">
        <v>232</v>
      </c>
    </row>
    <row r="36345" spans="119:119" x14ac:dyDescent="0.2">
      <c r="DO36345" s="303" t="s">
        <v>232</v>
      </c>
    </row>
    <row r="36346" spans="119:119" x14ac:dyDescent="0.2">
      <c r="DO36346" s="303" t="s">
        <v>232</v>
      </c>
    </row>
    <row r="36347" spans="119:119" x14ac:dyDescent="0.2">
      <c r="DO36347" s="303" t="s">
        <v>232</v>
      </c>
    </row>
    <row r="36348" spans="119:119" x14ac:dyDescent="0.2">
      <c r="DO36348" s="303" t="s">
        <v>232</v>
      </c>
    </row>
    <row r="36349" spans="119:119" x14ac:dyDescent="0.2">
      <c r="DO36349" s="303" t="s">
        <v>232</v>
      </c>
    </row>
    <row r="36350" spans="119:119" x14ac:dyDescent="0.2">
      <c r="DO36350" s="303" t="s">
        <v>232</v>
      </c>
    </row>
    <row r="36351" spans="119:119" x14ac:dyDescent="0.2">
      <c r="DO36351" s="303" t="s">
        <v>232</v>
      </c>
    </row>
    <row r="36352" spans="119:119" x14ac:dyDescent="0.2">
      <c r="DO36352" s="303" t="s">
        <v>232</v>
      </c>
    </row>
    <row r="36353" spans="119:119" x14ac:dyDescent="0.2">
      <c r="DO36353" s="303" t="s">
        <v>232</v>
      </c>
    </row>
    <row r="36354" spans="119:119" x14ac:dyDescent="0.2">
      <c r="DO36354" s="303" t="s">
        <v>232</v>
      </c>
    </row>
    <row r="36355" spans="119:119" x14ac:dyDescent="0.2">
      <c r="DO36355" s="303" t="s">
        <v>232</v>
      </c>
    </row>
    <row r="36356" spans="119:119" x14ac:dyDescent="0.2">
      <c r="DO36356" s="303" t="s">
        <v>232</v>
      </c>
    </row>
    <row r="36357" spans="119:119" x14ac:dyDescent="0.2">
      <c r="DO36357" s="303" t="s">
        <v>232</v>
      </c>
    </row>
    <row r="36358" spans="119:119" x14ac:dyDescent="0.2">
      <c r="DO36358" s="303" t="s">
        <v>232</v>
      </c>
    </row>
    <row r="36359" spans="119:119" x14ac:dyDescent="0.2">
      <c r="DO36359" s="303" t="s">
        <v>232</v>
      </c>
    </row>
    <row r="36360" spans="119:119" x14ac:dyDescent="0.2">
      <c r="DO36360" s="303" t="s">
        <v>232</v>
      </c>
    </row>
    <row r="36361" spans="119:119" x14ac:dyDescent="0.2">
      <c r="DO36361" s="303" t="s">
        <v>232</v>
      </c>
    </row>
    <row r="36362" spans="119:119" x14ac:dyDescent="0.2">
      <c r="DO36362" s="303" t="s">
        <v>232</v>
      </c>
    </row>
    <row r="36363" spans="119:119" x14ac:dyDescent="0.2">
      <c r="DO36363" s="303" t="s">
        <v>232</v>
      </c>
    </row>
    <row r="36364" spans="119:119" x14ac:dyDescent="0.2">
      <c r="DO36364" s="303" t="s">
        <v>232</v>
      </c>
    </row>
    <row r="36365" spans="119:119" x14ac:dyDescent="0.2">
      <c r="DO36365" s="303" t="s">
        <v>232</v>
      </c>
    </row>
    <row r="36366" spans="119:119" x14ac:dyDescent="0.2">
      <c r="DO36366" s="303" t="s">
        <v>232</v>
      </c>
    </row>
    <row r="36367" spans="119:119" x14ac:dyDescent="0.2">
      <c r="DO36367" s="303" t="s">
        <v>232</v>
      </c>
    </row>
    <row r="36368" spans="119:119" x14ac:dyDescent="0.2">
      <c r="DO36368" s="303" t="s">
        <v>232</v>
      </c>
    </row>
    <row r="36369" spans="119:119" x14ac:dyDescent="0.2">
      <c r="DO36369" s="303" t="s">
        <v>232</v>
      </c>
    </row>
    <row r="36370" spans="119:119" x14ac:dyDescent="0.2">
      <c r="DO36370" s="303" t="s">
        <v>232</v>
      </c>
    </row>
    <row r="36371" spans="119:119" x14ac:dyDescent="0.2">
      <c r="DO36371" s="303" t="s">
        <v>232</v>
      </c>
    </row>
    <row r="36372" spans="119:119" x14ac:dyDescent="0.2">
      <c r="DO36372" s="303" t="s">
        <v>232</v>
      </c>
    </row>
    <row r="36373" spans="119:119" x14ac:dyDescent="0.2">
      <c r="DO36373" s="303" t="s">
        <v>232</v>
      </c>
    </row>
    <row r="36374" spans="119:119" x14ac:dyDescent="0.2">
      <c r="DO36374" s="303" t="s">
        <v>232</v>
      </c>
    </row>
    <row r="36375" spans="119:119" x14ac:dyDescent="0.2">
      <c r="DO36375" s="303" t="s">
        <v>232</v>
      </c>
    </row>
    <row r="36376" spans="119:119" x14ac:dyDescent="0.2">
      <c r="DO36376" s="303" t="s">
        <v>232</v>
      </c>
    </row>
    <row r="36377" spans="119:119" x14ac:dyDescent="0.2">
      <c r="DO36377" s="303" t="s">
        <v>232</v>
      </c>
    </row>
    <row r="36378" spans="119:119" x14ac:dyDescent="0.2">
      <c r="DO36378" s="303" t="s">
        <v>232</v>
      </c>
    </row>
    <row r="36379" spans="119:119" x14ac:dyDescent="0.2">
      <c r="DO36379" s="303" t="s">
        <v>232</v>
      </c>
    </row>
    <row r="36380" spans="119:119" x14ac:dyDescent="0.2">
      <c r="DO36380" s="303" t="s">
        <v>232</v>
      </c>
    </row>
    <row r="36381" spans="119:119" x14ac:dyDescent="0.2">
      <c r="DO36381" s="303" t="s">
        <v>232</v>
      </c>
    </row>
    <row r="36382" spans="119:119" x14ac:dyDescent="0.2">
      <c r="DO36382" s="303" t="s">
        <v>232</v>
      </c>
    </row>
    <row r="36383" spans="119:119" x14ac:dyDescent="0.2">
      <c r="DO36383" s="303" t="s">
        <v>232</v>
      </c>
    </row>
    <row r="36384" spans="119:119" x14ac:dyDescent="0.2">
      <c r="DO36384" s="303" t="s">
        <v>232</v>
      </c>
    </row>
    <row r="36385" spans="119:119" x14ac:dyDescent="0.2">
      <c r="DO36385" s="303" t="s">
        <v>232</v>
      </c>
    </row>
    <row r="36386" spans="119:119" x14ac:dyDescent="0.2">
      <c r="DO36386" s="303" t="s">
        <v>232</v>
      </c>
    </row>
    <row r="36387" spans="119:119" x14ac:dyDescent="0.2">
      <c r="DO36387" s="303" t="s">
        <v>232</v>
      </c>
    </row>
    <row r="36388" spans="119:119" x14ac:dyDescent="0.2">
      <c r="DO36388" s="303" t="s">
        <v>232</v>
      </c>
    </row>
    <row r="36389" spans="119:119" x14ac:dyDescent="0.2">
      <c r="DO36389" s="303" t="s">
        <v>232</v>
      </c>
    </row>
    <row r="36390" spans="119:119" x14ac:dyDescent="0.2">
      <c r="DO36390" s="303" t="s">
        <v>232</v>
      </c>
    </row>
    <row r="36391" spans="119:119" x14ac:dyDescent="0.2">
      <c r="DO36391" s="303" t="s">
        <v>232</v>
      </c>
    </row>
    <row r="36392" spans="119:119" x14ac:dyDescent="0.2">
      <c r="DO36392" s="303" t="s">
        <v>232</v>
      </c>
    </row>
    <row r="36393" spans="119:119" x14ac:dyDescent="0.2">
      <c r="DO36393" s="303" t="s">
        <v>232</v>
      </c>
    </row>
    <row r="36394" spans="119:119" x14ac:dyDescent="0.2">
      <c r="DO36394" s="303" t="s">
        <v>232</v>
      </c>
    </row>
    <row r="36395" spans="119:119" x14ac:dyDescent="0.2">
      <c r="DO36395" s="303" t="s">
        <v>232</v>
      </c>
    </row>
    <row r="36396" spans="119:119" x14ac:dyDescent="0.2">
      <c r="DO36396" s="303" t="s">
        <v>232</v>
      </c>
    </row>
    <row r="36397" spans="119:119" x14ac:dyDescent="0.2">
      <c r="DO36397" s="303" t="s">
        <v>232</v>
      </c>
    </row>
    <row r="36398" spans="119:119" x14ac:dyDescent="0.2">
      <c r="DO36398" s="303" t="s">
        <v>232</v>
      </c>
    </row>
    <row r="36399" spans="119:119" x14ac:dyDescent="0.2">
      <c r="DO36399" s="303" t="s">
        <v>232</v>
      </c>
    </row>
    <row r="36400" spans="119:119" x14ac:dyDescent="0.2">
      <c r="DO36400" s="303" t="s">
        <v>232</v>
      </c>
    </row>
    <row r="36401" spans="119:119" x14ac:dyDescent="0.2">
      <c r="DO36401" s="303" t="s">
        <v>232</v>
      </c>
    </row>
    <row r="36402" spans="119:119" x14ac:dyDescent="0.2">
      <c r="DO36402" s="303" t="s">
        <v>232</v>
      </c>
    </row>
    <row r="36403" spans="119:119" x14ac:dyDescent="0.2">
      <c r="DO36403" s="303" t="s">
        <v>232</v>
      </c>
    </row>
    <row r="36404" spans="119:119" x14ac:dyDescent="0.2">
      <c r="DO36404" s="303" t="s">
        <v>232</v>
      </c>
    </row>
    <row r="36405" spans="119:119" x14ac:dyDescent="0.2">
      <c r="DO36405" s="303" t="s">
        <v>232</v>
      </c>
    </row>
    <row r="36406" spans="119:119" x14ac:dyDescent="0.2">
      <c r="DO36406" s="303" t="s">
        <v>232</v>
      </c>
    </row>
    <row r="36407" spans="119:119" x14ac:dyDescent="0.2">
      <c r="DO36407" s="303" t="s">
        <v>232</v>
      </c>
    </row>
    <row r="36408" spans="119:119" x14ac:dyDescent="0.2">
      <c r="DO36408" s="303" t="s">
        <v>232</v>
      </c>
    </row>
    <row r="36409" spans="119:119" x14ac:dyDescent="0.2">
      <c r="DO36409" s="303" t="s">
        <v>232</v>
      </c>
    </row>
    <row r="36410" spans="119:119" x14ac:dyDescent="0.2">
      <c r="DO36410" s="303" t="s">
        <v>232</v>
      </c>
    </row>
    <row r="36411" spans="119:119" x14ac:dyDescent="0.2">
      <c r="DO36411" s="303" t="s">
        <v>232</v>
      </c>
    </row>
    <row r="36412" spans="119:119" x14ac:dyDescent="0.2">
      <c r="DO36412" s="303" t="s">
        <v>232</v>
      </c>
    </row>
    <row r="36413" spans="119:119" x14ac:dyDescent="0.2">
      <c r="DO36413" s="303" t="s">
        <v>232</v>
      </c>
    </row>
    <row r="36414" spans="119:119" x14ac:dyDescent="0.2">
      <c r="DO36414" s="303" t="s">
        <v>232</v>
      </c>
    </row>
    <row r="36415" spans="119:119" x14ac:dyDescent="0.2">
      <c r="DO36415" s="303" t="s">
        <v>232</v>
      </c>
    </row>
    <row r="36416" spans="119:119" x14ac:dyDescent="0.2">
      <c r="DO36416" s="303" t="s">
        <v>232</v>
      </c>
    </row>
    <row r="36417" spans="119:119" x14ac:dyDescent="0.2">
      <c r="DO36417" s="303" t="s">
        <v>232</v>
      </c>
    </row>
    <row r="36418" spans="119:119" x14ac:dyDescent="0.2">
      <c r="DO36418" s="303" t="s">
        <v>232</v>
      </c>
    </row>
    <row r="36419" spans="119:119" x14ac:dyDescent="0.2">
      <c r="DO36419" s="303" t="s">
        <v>232</v>
      </c>
    </row>
    <row r="36420" spans="119:119" x14ac:dyDescent="0.2">
      <c r="DO36420" s="303" t="s">
        <v>232</v>
      </c>
    </row>
    <row r="36421" spans="119:119" x14ac:dyDescent="0.2">
      <c r="DO36421" s="303" t="s">
        <v>232</v>
      </c>
    </row>
    <row r="36422" spans="119:119" x14ac:dyDescent="0.2">
      <c r="DO36422" s="303" t="s">
        <v>232</v>
      </c>
    </row>
    <row r="36423" spans="119:119" x14ac:dyDescent="0.2">
      <c r="DO36423" s="303" t="s">
        <v>232</v>
      </c>
    </row>
    <row r="36424" spans="119:119" x14ac:dyDescent="0.2">
      <c r="DO36424" s="303" t="s">
        <v>232</v>
      </c>
    </row>
    <row r="36425" spans="119:119" x14ac:dyDescent="0.2">
      <c r="DO36425" s="303" t="s">
        <v>232</v>
      </c>
    </row>
    <row r="36426" spans="119:119" x14ac:dyDescent="0.2">
      <c r="DO36426" s="303" t="s">
        <v>232</v>
      </c>
    </row>
    <row r="36427" spans="119:119" x14ac:dyDescent="0.2">
      <c r="DO36427" s="303" t="s">
        <v>232</v>
      </c>
    </row>
    <row r="36428" spans="119:119" x14ac:dyDescent="0.2">
      <c r="DO36428" s="303" t="s">
        <v>232</v>
      </c>
    </row>
    <row r="36429" spans="119:119" x14ac:dyDescent="0.2">
      <c r="DO36429" s="303" t="s">
        <v>232</v>
      </c>
    </row>
    <row r="36430" spans="119:119" x14ac:dyDescent="0.2">
      <c r="DO36430" s="303" t="s">
        <v>232</v>
      </c>
    </row>
    <row r="36431" spans="119:119" x14ac:dyDescent="0.2">
      <c r="DO36431" s="303" t="s">
        <v>232</v>
      </c>
    </row>
    <row r="36432" spans="119:119" x14ac:dyDescent="0.2">
      <c r="DO36432" s="303" t="s">
        <v>232</v>
      </c>
    </row>
    <row r="36433" spans="119:119" x14ac:dyDescent="0.2">
      <c r="DO36433" s="303" t="s">
        <v>232</v>
      </c>
    </row>
    <row r="36434" spans="119:119" x14ac:dyDescent="0.2">
      <c r="DO36434" s="303" t="s">
        <v>232</v>
      </c>
    </row>
    <row r="36435" spans="119:119" x14ac:dyDescent="0.2">
      <c r="DO36435" s="303" t="s">
        <v>232</v>
      </c>
    </row>
    <row r="36436" spans="119:119" x14ac:dyDescent="0.2">
      <c r="DO36436" s="303" t="s">
        <v>232</v>
      </c>
    </row>
    <row r="36437" spans="119:119" x14ac:dyDescent="0.2">
      <c r="DO36437" s="303" t="s">
        <v>232</v>
      </c>
    </row>
    <row r="36438" spans="119:119" x14ac:dyDescent="0.2">
      <c r="DO36438" s="303" t="s">
        <v>232</v>
      </c>
    </row>
    <row r="36439" spans="119:119" x14ac:dyDescent="0.2">
      <c r="DO36439" s="303" t="s">
        <v>232</v>
      </c>
    </row>
    <row r="36440" spans="119:119" x14ac:dyDescent="0.2">
      <c r="DO36440" s="303" t="s">
        <v>232</v>
      </c>
    </row>
    <row r="36441" spans="119:119" x14ac:dyDescent="0.2">
      <c r="DO36441" s="303" t="s">
        <v>232</v>
      </c>
    </row>
    <row r="36442" spans="119:119" x14ac:dyDescent="0.2">
      <c r="DO36442" s="303" t="s">
        <v>232</v>
      </c>
    </row>
    <row r="36443" spans="119:119" x14ac:dyDescent="0.2">
      <c r="DO36443" s="303" t="s">
        <v>232</v>
      </c>
    </row>
    <row r="36444" spans="119:119" x14ac:dyDescent="0.2">
      <c r="DO36444" s="303" t="s">
        <v>232</v>
      </c>
    </row>
    <row r="36445" spans="119:119" x14ac:dyDescent="0.2">
      <c r="DO36445" s="303" t="s">
        <v>232</v>
      </c>
    </row>
    <row r="36446" spans="119:119" x14ac:dyDescent="0.2">
      <c r="DO36446" s="303" t="s">
        <v>232</v>
      </c>
    </row>
    <row r="36447" spans="119:119" x14ac:dyDescent="0.2">
      <c r="DO36447" s="303" t="s">
        <v>232</v>
      </c>
    </row>
    <row r="36448" spans="119:119" x14ac:dyDescent="0.2">
      <c r="DO36448" s="303" t="s">
        <v>232</v>
      </c>
    </row>
    <row r="36449" spans="119:119" x14ac:dyDescent="0.2">
      <c r="DO36449" s="303" t="s">
        <v>232</v>
      </c>
    </row>
    <row r="36450" spans="119:119" x14ac:dyDescent="0.2">
      <c r="DO36450" s="303" t="s">
        <v>232</v>
      </c>
    </row>
    <row r="36451" spans="119:119" x14ac:dyDescent="0.2">
      <c r="DO36451" s="303" t="s">
        <v>232</v>
      </c>
    </row>
    <row r="36452" spans="119:119" x14ac:dyDescent="0.2">
      <c r="DO36452" s="303" t="s">
        <v>232</v>
      </c>
    </row>
    <row r="36453" spans="119:119" x14ac:dyDescent="0.2">
      <c r="DO36453" s="303" t="s">
        <v>232</v>
      </c>
    </row>
    <row r="36454" spans="119:119" x14ac:dyDescent="0.2">
      <c r="DO36454" s="303" t="s">
        <v>232</v>
      </c>
    </row>
    <row r="36455" spans="119:119" x14ac:dyDescent="0.2">
      <c r="DO36455" s="303" t="s">
        <v>232</v>
      </c>
    </row>
    <row r="36456" spans="119:119" x14ac:dyDescent="0.2">
      <c r="DO36456" s="303" t="s">
        <v>232</v>
      </c>
    </row>
    <row r="36457" spans="119:119" x14ac:dyDescent="0.2">
      <c r="DO36457" s="303" t="s">
        <v>232</v>
      </c>
    </row>
    <row r="36458" spans="119:119" x14ac:dyDescent="0.2">
      <c r="DO36458" s="303" t="s">
        <v>232</v>
      </c>
    </row>
    <row r="36459" spans="119:119" x14ac:dyDescent="0.2">
      <c r="DO36459" s="303" t="s">
        <v>232</v>
      </c>
    </row>
    <row r="36460" spans="119:119" x14ac:dyDescent="0.2">
      <c r="DO36460" s="303" t="s">
        <v>232</v>
      </c>
    </row>
    <row r="36461" spans="119:119" x14ac:dyDescent="0.2">
      <c r="DO36461" s="303" t="s">
        <v>232</v>
      </c>
    </row>
    <row r="36462" spans="119:119" x14ac:dyDescent="0.2">
      <c r="DO36462" s="303" t="s">
        <v>232</v>
      </c>
    </row>
    <row r="36463" spans="119:119" x14ac:dyDescent="0.2">
      <c r="DO36463" s="303" t="s">
        <v>232</v>
      </c>
    </row>
    <row r="36464" spans="119:119" x14ac:dyDescent="0.2">
      <c r="DO36464" s="303" t="s">
        <v>232</v>
      </c>
    </row>
    <row r="36465" spans="119:119" x14ac:dyDescent="0.2">
      <c r="DO36465" s="303" t="s">
        <v>232</v>
      </c>
    </row>
    <row r="36466" spans="119:119" x14ac:dyDescent="0.2">
      <c r="DO36466" s="303" t="s">
        <v>232</v>
      </c>
    </row>
    <row r="36467" spans="119:119" x14ac:dyDescent="0.2">
      <c r="DO36467" s="303" t="s">
        <v>232</v>
      </c>
    </row>
    <row r="36468" spans="119:119" x14ac:dyDescent="0.2">
      <c r="DO36468" s="303" t="s">
        <v>232</v>
      </c>
    </row>
    <row r="36469" spans="119:119" x14ac:dyDescent="0.2">
      <c r="DO36469" s="303" t="s">
        <v>232</v>
      </c>
    </row>
    <row r="36470" spans="119:119" x14ac:dyDescent="0.2">
      <c r="DO36470" s="303" t="s">
        <v>232</v>
      </c>
    </row>
    <row r="36471" spans="119:119" x14ac:dyDescent="0.2">
      <c r="DO36471" s="303" t="s">
        <v>232</v>
      </c>
    </row>
    <row r="36472" spans="119:119" x14ac:dyDescent="0.2">
      <c r="DO36472" s="303" t="s">
        <v>232</v>
      </c>
    </row>
    <row r="36473" spans="119:119" x14ac:dyDescent="0.2">
      <c r="DO36473" s="303" t="s">
        <v>232</v>
      </c>
    </row>
    <row r="36474" spans="119:119" x14ac:dyDescent="0.2">
      <c r="DO36474" s="303" t="s">
        <v>232</v>
      </c>
    </row>
    <row r="36475" spans="119:119" x14ac:dyDescent="0.2">
      <c r="DO36475" s="303" t="s">
        <v>232</v>
      </c>
    </row>
    <row r="36476" spans="119:119" x14ac:dyDescent="0.2">
      <c r="DO36476" s="303" t="s">
        <v>232</v>
      </c>
    </row>
    <row r="36477" spans="119:119" x14ac:dyDescent="0.2">
      <c r="DO36477" s="303" t="s">
        <v>232</v>
      </c>
    </row>
    <row r="36478" spans="119:119" x14ac:dyDescent="0.2">
      <c r="DO36478" s="303" t="s">
        <v>232</v>
      </c>
    </row>
    <row r="36479" spans="119:119" x14ac:dyDescent="0.2">
      <c r="DO36479" s="303" t="s">
        <v>232</v>
      </c>
    </row>
    <row r="36480" spans="119:119" x14ac:dyDescent="0.2">
      <c r="DO36480" s="303" t="s">
        <v>232</v>
      </c>
    </row>
    <row r="36481" spans="119:119" x14ac:dyDescent="0.2">
      <c r="DO36481" s="303" t="s">
        <v>232</v>
      </c>
    </row>
    <row r="36482" spans="119:119" x14ac:dyDescent="0.2">
      <c r="DO36482" s="303" t="s">
        <v>232</v>
      </c>
    </row>
    <row r="36483" spans="119:119" x14ac:dyDescent="0.2">
      <c r="DO36483" s="303" t="s">
        <v>232</v>
      </c>
    </row>
    <row r="36484" spans="119:119" x14ac:dyDescent="0.2">
      <c r="DO36484" s="303" t="s">
        <v>232</v>
      </c>
    </row>
    <row r="36485" spans="119:119" x14ac:dyDescent="0.2">
      <c r="DO36485" s="303" t="s">
        <v>232</v>
      </c>
    </row>
    <row r="36486" spans="119:119" x14ac:dyDescent="0.2">
      <c r="DO36486" s="303" t="s">
        <v>232</v>
      </c>
    </row>
    <row r="36487" spans="119:119" x14ac:dyDescent="0.2">
      <c r="DO36487" s="303" t="s">
        <v>232</v>
      </c>
    </row>
    <row r="36488" spans="119:119" x14ac:dyDescent="0.2">
      <c r="DO36488" s="303" t="s">
        <v>232</v>
      </c>
    </row>
    <row r="36489" spans="119:119" x14ac:dyDescent="0.2">
      <c r="DO36489" s="303" t="s">
        <v>232</v>
      </c>
    </row>
    <row r="36490" spans="119:119" x14ac:dyDescent="0.2">
      <c r="DO36490" s="303" t="s">
        <v>232</v>
      </c>
    </row>
    <row r="36491" spans="119:119" x14ac:dyDescent="0.2">
      <c r="DO36491" s="303" t="s">
        <v>232</v>
      </c>
    </row>
    <row r="36492" spans="119:119" x14ac:dyDescent="0.2">
      <c r="DO36492" s="303" t="s">
        <v>232</v>
      </c>
    </row>
    <row r="36493" spans="119:119" x14ac:dyDescent="0.2">
      <c r="DO36493" s="303" t="s">
        <v>232</v>
      </c>
    </row>
    <row r="36494" spans="119:119" x14ac:dyDescent="0.2">
      <c r="DO36494" s="303" t="s">
        <v>232</v>
      </c>
    </row>
    <row r="36495" spans="119:119" x14ac:dyDescent="0.2">
      <c r="DO36495" s="303" t="s">
        <v>232</v>
      </c>
    </row>
    <row r="36496" spans="119:119" x14ac:dyDescent="0.2">
      <c r="DO36496" s="303" t="s">
        <v>232</v>
      </c>
    </row>
    <row r="36497" spans="119:119" x14ac:dyDescent="0.2">
      <c r="DO36497" s="303" t="s">
        <v>232</v>
      </c>
    </row>
    <row r="36498" spans="119:119" x14ac:dyDescent="0.2">
      <c r="DO36498" s="303" t="s">
        <v>232</v>
      </c>
    </row>
    <row r="36499" spans="119:119" x14ac:dyDescent="0.2">
      <c r="DO36499" s="303" t="s">
        <v>232</v>
      </c>
    </row>
    <row r="36500" spans="119:119" x14ac:dyDescent="0.2">
      <c r="DO36500" s="303" t="s">
        <v>232</v>
      </c>
    </row>
    <row r="36501" spans="119:119" x14ac:dyDescent="0.2">
      <c r="DO36501" s="303" t="s">
        <v>232</v>
      </c>
    </row>
    <row r="36502" spans="119:119" x14ac:dyDescent="0.2">
      <c r="DO36502" s="303" t="s">
        <v>232</v>
      </c>
    </row>
    <row r="36503" spans="119:119" x14ac:dyDescent="0.2">
      <c r="DO36503" s="303" t="s">
        <v>232</v>
      </c>
    </row>
    <row r="36504" spans="119:119" x14ac:dyDescent="0.2">
      <c r="DO36504" s="303" t="s">
        <v>232</v>
      </c>
    </row>
    <row r="36505" spans="119:119" x14ac:dyDescent="0.2">
      <c r="DO36505" s="303" t="s">
        <v>232</v>
      </c>
    </row>
    <row r="36506" spans="119:119" x14ac:dyDescent="0.2">
      <c r="DO36506" s="303" t="s">
        <v>232</v>
      </c>
    </row>
    <row r="36507" spans="119:119" x14ac:dyDescent="0.2">
      <c r="DO36507" s="303" t="s">
        <v>232</v>
      </c>
    </row>
    <row r="36508" spans="119:119" x14ac:dyDescent="0.2">
      <c r="DO36508" s="303" t="s">
        <v>232</v>
      </c>
    </row>
    <row r="36509" spans="119:119" x14ac:dyDescent="0.2">
      <c r="DO36509" s="303" t="s">
        <v>232</v>
      </c>
    </row>
    <row r="36510" spans="119:119" x14ac:dyDescent="0.2">
      <c r="DO36510" s="303" t="s">
        <v>232</v>
      </c>
    </row>
    <row r="36511" spans="119:119" x14ac:dyDescent="0.2">
      <c r="DO36511" s="303" t="s">
        <v>232</v>
      </c>
    </row>
    <row r="36512" spans="119:119" x14ac:dyDescent="0.2">
      <c r="DO36512" s="303" t="s">
        <v>232</v>
      </c>
    </row>
    <row r="36513" spans="119:119" x14ac:dyDescent="0.2">
      <c r="DO36513" s="303" t="s">
        <v>232</v>
      </c>
    </row>
    <row r="36514" spans="119:119" x14ac:dyDescent="0.2">
      <c r="DO36514" s="303" t="s">
        <v>232</v>
      </c>
    </row>
    <row r="36515" spans="119:119" x14ac:dyDescent="0.2">
      <c r="DO36515" s="303" t="s">
        <v>232</v>
      </c>
    </row>
    <row r="36516" spans="119:119" x14ac:dyDescent="0.2">
      <c r="DO36516" s="303" t="s">
        <v>232</v>
      </c>
    </row>
    <row r="36517" spans="119:119" x14ac:dyDescent="0.2">
      <c r="DO36517" s="303" t="s">
        <v>232</v>
      </c>
    </row>
    <row r="36518" spans="119:119" x14ac:dyDescent="0.2">
      <c r="DO36518" s="303" t="s">
        <v>232</v>
      </c>
    </row>
    <row r="36519" spans="119:119" x14ac:dyDescent="0.2">
      <c r="DO36519" s="303" t="s">
        <v>232</v>
      </c>
    </row>
    <row r="36520" spans="119:119" x14ac:dyDescent="0.2">
      <c r="DO36520" s="303" t="s">
        <v>232</v>
      </c>
    </row>
    <row r="36521" spans="119:119" x14ac:dyDescent="0.2">
      <c r="DO36521" s="303" t="s">
        <v>232</v>
      </c>
    </row>
    <row r="36522" spans="119:119" x14ac:dyDescent="0.2">
      <c r="DO36522" s="303" t="s">
        <v>232</v>
      </c>
    </row>
    <row r="36523" spans="119:119" x14ac:dyDescent="0.2">
      <c r="DO36523" s="303" t="s">
        <v>232</v>
      </c>
    </row>
    <row r="36524" spans="119:119" x14ac:dyDescent="0.2">
      <c r="DO36524" s="303" t="s">
        <v>232</v>
      </c>
    </row>
    <row r="36525" spans="119:119" x14ac:dyDescent="0.2">
      <c r="DO36525" s="303" t="s">
        <v>232</v>
      </c>
    </row>
    <row r="36526" spans="119:119" x14ac:dyDescent="0.2">
      <c r="DO36526" s="303" t="s">
        <v>232</v>
      </c>
    </row>
    <row r="36527" spans="119:119" x14ac:dyDescent="0.2">
      <c r="DO36527" s="303" t="s">
        <v>232</v>
      </c>
    </row>
    <row r="36528" spans="119:119" x14ac:dyDescent="0.2">
      <c r="DO36528" s="303" t="s">
        <v>232</v>
      </c>
    </row>
    <row r="36529" spans="119:119" x14ac:dyDescent="0.2">
      <c r="DO36529" s="303" t="s">
        <v>232</v>
      </c>
    </row>
    <row r="36530" spans="119:119" x14ac:dyDescent="0.2">
      <c r="DO36530" s="303" t="s">
        <v>232</v>
      </c>
    </row>
    <row r="36531" spans="119:119" x14ac:dyDescent="0.2">
      <c r="DO36531" s="303" t="s">
        <v>232</v>
      </c>
    </row>
    <row r="36532" spans="119:119" x14ac:dyDescent="0.2">
      <c r="DO36532" s="303" t="s">
        <v>232</v>
      </c>
    </row>
    <row r="36533" spans="119:119" x14ac:dyDescent="0.2">
      <c r="DO36533" s="303" t="s">
        <v>232</v>
      </c>
    </row>
    <row r="36534" spans="119:119" x14ac:dyDescent="0.2">
      <c r="DO36534" s="303" t="s">
        <v>232</v>
      </c>
    </row>
    <row r="36535" spans="119:119" x14ac:dyDescent="0.2">
      <c r="DO36535" s="303" t="s">
        <v>232</v>
      </c>
    </row>
    <row r="36536" spans="119:119" x14ac:dyDescent="0.2">
      <c r="DO36536" s="303" t="s">
        <v>232</v>
      </c>
    </row>
    <row r="36537" spans="119:119" x14ac:dyDescent="0.2">
      <c r="DO36537" s="303" t="s">
        <v>232</v>
      </c>
    </row>
    <row r="36538" spans="119:119" x14ac:dyDescent="0.2">
      <c r="DO36538" s="303" t="s">
        <v>232</v>
      </c>
    </row>
    <row r="36539" spans="119:119" x14ac:dyDescent="0.2">
      <c r="DO36539" s="303" t="s">
        <v>232</v>
      </c>
    </row>
    <row r="36540" spans="119:119" x14ac:dyDescent="0.2">
      <c r="DO36540" s="303" t="s">
        <v>232</v>
      </c>
    </row>
    <row r="36541" spans="119:119" x14ac:dyDescent="0.2">
      <c r="DO36541" s="303" t="s">
        <v>232</v>
      </c>
    </row>
    <row r="36542" spans="119:119" x14ac:dyDescent="0.2">
      <c r="DO36542" s="303" t="s">
        <v>232</v>
      </c>
    </row>
    <row r="36543" spans="119:119" x14ac:dyDescent="0.2">
      <c r="DO36543" s="303" t="s">
        <v>232</v>
      </c>
    </row>
    <row r="36544" spans="119:119" x14ac:dyDescent="0.2">
      <c r="DO36544" s="303" t="s">
        <v>232</v>
      </c>
    </row>
    <row r="36545" spans="119:119" x14ac:dyDescent="0.2">
      <c r="DO36545" s="303" t="s">
        <v>232</v>
      </c>
    </row>
    <row r="36546" spans="119:119" x14ac:dyDescent="0.2">
      <c r="DO36546" s="303" t="s">
        <v>232</v>
      </c>
    </row>
    <row r="36547" spans="119:119" x14ac:dyDescent="0.2">
      <c r="DO36547" s="303" t="s">
        <v>232</v>
      </c>
    </row>
    <row r="36548" spans="119:119" x14ac:dyDescent="0.2">
      <c r="DO36548" s="303" t="s">
        <v>232</v>
      </c>
    </row>
    <row r="36549" spans="119:119" x14ac:dyDescent="0.2">
      <c r="DO36549" s="303" t="s">
        <v>232</v>
      </c>
    </row>
    <row r="36550" spans="119:119" x14ac:dyDescent="0.2">
      <c r="DO36550" s="303" t="s">
        <v>232</v>
      </c>
    </row>
    <row r="36551" spans="119:119" x14ac:dyDescent="0.2">
      <c r="DO36551" s="303" t="s">
        <v>232</v>
      </c>
    </row>
    <row r="36552" spans="119:119" x14ac:dyDescent="0.2">
      <c r="DO36552" s="303" t="s">
        <v>232</v>
      </c>
    </row>
    <row r="36553" spans="119:119" x14ac:dyDescent="0.2">
      <c r="DO36553" s="303" t="s">
        <v>232</v>
      </c>
    </row>
    <row r="36554" spans="119:119" x14ac:dyDescent="0.2">
      <c r="DO36554" s="303" t="s">
        <v>232</v>
      </c>
    </row>
    <row r="36555" spans="119:119" x14ac:dyDescent="0.2">
      <c r="DO36555" s="303" t="s">
        <v>232</v>
      </c>
    </row>
    <row r="36556" spans="119:119" x14ac:dyDescent="0.2">
      <c r="DO36556" s="303" t="s">
        <v>232</v>
      </c>
    </row>
    <row r="36557" spans="119:119" x14ac:dyDescent="0.2">
      <c r="DO36557" s="303" t="s">
        <v>232</v>
      </c>
    </row>
    <row r="36558" spans="119:119" x14ac:dyDescent="0.2">
      <c r="DO36558" s="303" t="s">
        <v>232</v>
      </c>
    </row>
    <row r="36559" spans="119:119" x14ac:dyDescent="0.2">
      <c r="DO36559" s="303" t="s">
        <v>232</v>
      </c>
    </row>
    <row r="36560" spans="119:119" x14ac:dyDescent="0.2">
      <c r="DO36560" s="303" t="s">
        <v>232</v>
      </c>
    </row>
    <row r="36561" spans="119:119" x14ac:dyDescent="0.2">
      <c r="DO36561" s="303" t="s">
        <v>232</v>
      </c>
    </row>
    <row r="36562" spans="119:119" x14ac:dyDescent="0.2">
      <c r="DO36562" s="303" t="s">
        <v>232</v>
      </c>
    </row>
    <row r="36563" spans="119:119" x14ac:dyDescent="0.2">
      <c r="DO36563" s="303" t="s">
        <v>232</v>
      </c>
    </row>
    <row r="36564" spans="119:119" x14ac:dyDescent="0.2">
      <c r="DO36564" s="303" t="s">
        <v>232</v>
      </c>
    </row>
    <row r="36565" spans="119:119" x14ac:dyDescent="0.2">
      <c r="DO36565" s="303" t="s">
        <v>232</v>
      </c>
    </row>
    <row r="36566" spans="119:119" x14ac:dyDescent="0.2">
      <c r="DO36566" s="303" t="s">
        <v>232</v>
      </c>
    </row>
    <row r="36567" spans="119:119" x14ac:dyDescent="0.2">
      <c r="DO36567" s="303" t="s">
        <v>232</v>
      </c>
    </row>
    <row r="36568" spans="119:119" x14ac:dyDescent="0.2">
      <c r="DO36568" s="303" t="s">
        <v>232</v>
      </c>
    </row>
    <row r="36569" spans="119:119" x14ac:dyDescent="0.2">
      <c r="DO36569" s="303" t="s">
        <v>232</v>
      </c>
    </row>
    <row r="36570" spans="119:119" x14ac:dyDescent="0.2">
      <c r="DO36570" s="303" t="s">
        <v>232</v>
      </c>
    </row>
    <row r="36571" spans="119:119" x14ac:dyDescent="0.2">
      <c r="DO36571" s="303" t="s">
        <v>232</v>
      </c>
    </row>
    <row r="36572" spans="119:119" x14ac:dyDescent="0.2">
      <c r="DO36572" s="303" t="s">
        <v>232</v>
      </c>
    </row>
    <row r="36573" spans="119:119" x14ac:dyDescent="0.2">
      <c r="DO36573" s="303" t="s">
        <v>232</v>
      </c>
    </row>
    <row r="36574" spans="119:119" x14ac:dyDescent="0.2">
      <c r="DO36574" s="303" t="s">
        <v>232</v>
      </c>
    </row>
    <row r="36575" spans="119:119" x14ac:dyDescent="0.2">
      <c r="DO36575" s="303" t="s">
        <v>232</v>
      </c>
    </row>
    <row r="36576" spans="119:119" x14ac:dyDescent="0.2">
      <c r="DO36576" s="303" t="s">
        <v>232</v>
      </c>
    </row>
    <row r="36577" spans="119:119" x14ac:dyDescent="0.2">
      <c r="DO36577" s="303" t="s">
        <v>232</v>
      </c>
    </row>
    <row r="36578" spans="119:119" x14ac:dyDescent="0.2">
      <c r="DO36578" s="303" t="s">
        <v>232</v>
      </c>
    </row>
    <row r="36579" spans="119:119" x14ac:dyDescent="0.2">
      <c r="DO36579" s="303" t="s">
        <v>232</v>
      </c>
    </row>
    <row r="36580" spans="119:119" x14ac:dyDescent="0.2">
      <c r="DO36580" s="303" t="s">
        <v>232</v>
      </c>
    </row>
    <row r="36581" spans="119:119" x14ac:dyDescent="0.2">
      <c r="DO36581" s="303" t="s">
        <v>232</v>
      </c>
    </row>
    <row r="36582" spans="119:119" x14ac:dyDescent="0.2">
      <c r="DO36582" s="303" t="s">
        <v>232</v>
      </c>
    </row>
    <row r="36583" spans="119:119" x14ac:dyDescent="0.2">
      <c r="DO36583" s="303" t="s">
        <v>232</v>
      </c>
    </row>
    <row r="36584" spans="119:119" x14ac:dyDescent="0.2">
      <c r="DO36584" s="303" t="s">
        <v>232</v>
      </c>
    </row>
    <row r="36585" spans="119:119" x14ac:dyDescent="0.2">
      <c r="DO36585" s="303" t="s">
        <v>232</v>
      </c>
    </row>
    <row r="36586" spans="119:119" x14ac:dyDescent="0.2">
      <c r="DO36586" s="303" t="s">
        <v>232</v>
      </c>
    </row>
    <row r="36587" spans="119:119" x14ac:dyDescent="0.2">
      <c r="DO36587" s="303" t="s">
        <v>232</v>
      </c>
    </row>
    <row r="36588" spans="119:119" x14ac:dyDescent="0.2">
      <c r="DO36588" s="303" t="s">
        <v>232</v>
      </c>
    </row>
    <row r="36589" spans="119:119" x14ac:dyDescent="0.2">
      <c r="DO36589" s="303" t="s">
        <v>232</v>
      </c>
    </row>
    <row r="36590" spans="119:119" x14ac:dyDescent="0.2">
      <c r="DO36590" s="303" t="s">
        <v>232</v>
      </c>
    </row>
    <row r="36591" spans="119:119" x14ac:dyDescent="0.2">
      <c r="DO36591" s="303" t="s">
        <v>232</v>
      </c>
    </row>
    <row r="36592" spans="119:119" x14ac:dyDescent="0.2">
      <c r="DO36592" s="303" t="s">
        <v>232</v>
      </c>
    </row>
    <row r="36593" spans="119:119" x14ac:dyDescent="0.2">
      <c r="DO36593" s="303" t="s">
        <v>232</v>
      </c>
    </row>
    <row r="36594" spans="119:119" x14ac:dyDescent="0.2">
      <c r="DO36594" s="303" t="s">
        <v>232</v>
      </c>
    </row>
    <row r="36595" spans="119:119" x14ac:dyDescent="0.2">
      <c r="DO36595" s="303" t="s">
        <v>232</v>
      </c>
    </row>
    <row r="36596" spans="119:119" x14ac:dyDescent="0.2">
      <c r="DO36596" s="303" t="s">
        <v>232</v>
      </c>
    </row>
    <row r="36597" spans="119:119" x14ac:dyDescent="0.2">
      <c r="DO36597" s="303" t="s">
        <v>232</v>
      </c>
    </row>
    <row r="36598" spans="119:119" x14ac:dyDescent="0.2">
      <c r="DO36598" s="303" t="s">
        <v>232</v>
      </c>
    </row>
    <row r="36599" spans="119:119" x14ac:dyDescent="0.2">
      <c r="DO36599" s="303" t="s">
        <v>232</v>
      </c>
    </row>
    <row r="36600" spans="119:119" x14ac:dyDescent="0.2">
      <c r="DO36600" s="303" t="s">
        <v>232</v>
      </c>
    </row>
    <row r="36601" spans="119:119" x14ac:dyDescent="0.2">
      <c r="DO36601" s="303" t="s">
        <v>232</v>
      </c>
    </row>
    <row r="36602" spans="119:119" x14ac:dyDescent="0.2">
      <c r="DO36602" s="303" t="s">
        <v>232</v>
      </c>
    </row>
    <row r="36603" spans="119:119" x14ac:dyDescent="0.2">
      <c r="DO36603" s="303" t="s">
        <v>232</v>
      </c>
    </row>
    <row r="36604" spans="119:119" x14ac:dyDescent="0.2">
      <c r="DO36604" s="303" t="s">
        <v>232</v>
      </c>
    </row>
    <row r="36605" spans="119:119" x14ac:dyDescent="0.2">
      <c r="DO36605" s="303" t="s">
        <v>232</v>
      </c>
    </row>
    <row r="36606" spans="119:119" x14ac:dyDescent="0.2">
      <c r="DO36606" s="303" t="s">
        <v>232</v>
      </c>
    </row>
    <row r="36607" spans="119:119" x14ac:dyDescent="0.2">
      <c r="DO36607" s="303" t="s">
        <v>232</v>
      </c>
    </row>
    <row r="36608" spans="119:119" x14ac:dyDescent="0.2">
      <c r="DO36608" s="303" t="s">
        <v>232</v>
      </c>
    </row>
    <row r="36609" spans="119:119" x14ac:dyDescent="0.2">
      <c r="DO36609" s="303" t="s">
        <v>232</v>
      </c>
    </row>
    <row r="36610" spans="119:119" x14ac:dyDescent="0.2">
      <c r="DO36610" s="303" t="s">
        <v>232</v>
      </c>
    </row>
    <row r="36611" spans="119:119" x14ac:dyDescent="0.2">
      <c r="DO36611" s="303" t="s">
        <v>232</v>
      </c>
    </row>
    <row r="36612" spans="119:119" x14ac:dyDescent="0.2">
      <c r="DO36612" s="303" t="s">
        <v>232</v>
      </c>
    </row>
    <row r="36613" spans="119:119" x14ac:dyDescent="0.2">
      <c r="DO36613" s="303" t="s">
        <v>232</v>
      </c>
    </row>
    <row r="36614" spans="119:119" x14ac:dyDescent="0.2">
      <c r="DO36614" s="303" t="s">
        <v>232</v>
      </c>
    </row>
    <row r="36615" spans="119:119" x14ac:dyDescent="0.2">
      <c r="DO36615" s="303" t="s">
        <v>232</v>
      </c>
    </row>
    <row r="36616" spans="119:119" x14ac:dyDescent="0.2">
      <c r="DO36616" s="303" t="s">
        <v>232</v>
      </c>
    </row>
    <row r="36617" spans="119:119" x14ac:dyDescent="0.2">
      <c r="DO36617" s="303" t="s">
        <v>232</v>
      </c>
    </row>
    <row r="36618" spans="119:119" x14ac:dyDescent="0.2">
      <c r="DO36618" s="303" t="s">
        <v>232</v>
      </c>
    </row>
    <row r="36619" spans="119:119" x14ac:dyDescent="0.2">
      <c r="DO36619" s="303" t="s">
        <v>232</v>
      </c>
    </row>
    <row r="36620" spans="119:119" x14ac:dyDescent="0.2">
      <c r="DO36620" s="303" t="s">
        <v>232</v>
      </c>
    </row>
    <row r="36621" spans="119:119" x14ac:dyDescent="0.2">
      <c r="DO36621" s="303" t="s">
        <v>232</v>
      </c>
    </row>
    <row r="36622" spans="119:119" x14ac:dyDescent="0.2">
      <c r="DO36622" s="303" t="s">
        <v>232</v>
      </c>
    </row>
    <row r="36623" spans="119:119" x14ac:dyDescent="0.2">
      <c r="DO36623" s="303" t="s">
        <v>232</v>
      </c>
    </row>
    <row r="36624" spans="119:119" x14ac:dyDescent="0.2">
      <c r="DO36624" s="303" t="s">
        <v>232</v>
      </c>
    </row>
    <row r="36625" spans="119:119" x14ac:dyDescent="0.2">
      <c r="DO36625" s="303" t="s">
        <v>232</v>
      </c>
    </row>
    <row r="36626" spans="119:119" x14ac:dyDescent="0.2">
      <c r="DO36626" s="303" t="s">
        <v>232</v>
      </c>
    </row>
    <row r="36627" spans="119:119" x14ac:dyDescent="0.2">
      <c r="DO36627" s="303" t="s">
        <v>232</v>
      </c>
    </row>
    <row r="36628" spans="119:119" x14ac:dyDescent="0.2">
      <c r="DO36628" s="303" t="s">
        <v>232</v>
      </c>
    </row>
    <row r="36629" spans="119:119" x14ac:dyDescent="0.2">
      <c r="DO36629" s="303" t="s">
        <v>232</v>
      </c>
    </row>
    <row r="36630" spans="119:119" x14ac:dyDescent="0.2">
      <c r="DO36630" s="303" t="s">
        <v>232</v>
      </c>
    </row>
    <row r="36631" spans="119:119" x14ac:dyDescent="0.2">
      <c r="DO36631" s="303" t="s">
        <v>232</v>
      </c>
    </row>
    <row r="36632" spans="119:119" x14ac:dyDescent="0.2">
      <c r="DO36632" s="303" t="s">
        <v>232</v>
      </c>
    </row>
    <row r="36633" spans="119:119" x14ac:dyDescent="0.2">
      <c r="DO36633" s="303" t="s">
        <v>232</v>
      </c>
    </row>
    <row r="36634" spans="119:119" x14ac:dyDescent="0.2">
      <c r="DO36634" s="303" t="s">
        <v>232</v>
      </c>
    </row>
    <row r="36635" spans="119:119" x14ac:dyDescent="0.2">
      <c r="DO36635" s="303" t="s">
        <v>232</v>
      </c>
    </row>
    <row r="36636" spans="119:119" x14ac:dyDescent="0.2">
      <c r="DO36636" s="303" t="s">
        <v>232</v>
      </c>
    </row>
    <row r="36637" spans="119:119" x14ac:dyDescent="0.2">
      <c r="DO36637" s="303" t="s">
        <v>232</v>
      </c>
    </row>
    <row r="36638" spans="119:119" x14ac:dyDescent="0.2">
      <c r="DO36638" s="303" t="s">
        <v>232</v>
      </c>
    </row>
    <row r="36639" spans="119:119" x14ac:dyDescent="0.2">
      <c r="DO36639" s="303" t="s">
        <v>232</v>
      </c>
    </row>
    <row r="36640" spans="119:119" x14ac:dyDescent="0.2">
      <c r="DO36640" s="303" t="s">
        <v>232</v>
      </c>
    </row>
    <row r="36641" spans="119:119" x14ac:dyDescent="0.2">
      <c r="DO36641" s="303" t="s">
        <v>232</v>
      </c>
    </row>
    <row r="36642" spans="119:119" x14ac:dyDescent="0.2">
      <c r="DO36642" s="303" t="s">
        <v>232</v>
      </c>
    </row>
    <row r="36643" spans="119:119" x14ac:dyDescent="0.2">
      <c r="DO36643" s="303" t="s">
        <v>232</v>
      </c>
    </row>
    <row r="36644" spans="119:119" x14ac:dyDescent="0.2">
      <c r="DO36644" s="303" t="s">
        <v>232</v>
      </c>
    </row>
    <row r="36645" spans="119:119" x14ac:dyDescent="0.2">
      <c r="DO36645" s="303" t="s">
        <v>232</v>
      </c>
    </row>
    <row r="36646" spans="119:119" x14ac:dyDescent="0.2">
      <c r="DO36646" s="303" t="s">
        <v>232</v>
      </c>
    </row>
    <row r="36647" spans="119:119" x14ac:dyDescent="0.2">
      <c r="DO36647" s="303" t="s">
        <v>232</v>
      </c>
    </row>
    <row r="36648" spans="119:119" x14ac:dyDescent="0.2">
      <c r="DO36648" s="303" t="s">
        <v>232</v>
      </c>
    </row>
    <row r="36649" spans="119:119" x14ac:dyDescent="0.2">
      <c r="DO36649" s="303" t="s">
        <v>232</v>
      </c>
    </row>
    <row r="36650" spans="119:119" x14ac:dyDescent="0.2">
      <c r="DO36650" s="303" t="s">
        <v>232</v>
      </c>
    </row>
    <row r="36651" spans="119:119" x14ac:dyDescent="0.2">
      <c r="DO36651" s="303" t="s">
        <v>232</v>
      </c>
    </row>
    <row r="36652" spans="119:119" x14ac:dyDescent="0.2">
      <c r="DO36652" s="303" t="s">
        <v>232</v>
      </c>
    </row>
    <row r="36653" spans="119:119" x14ac:dyDescent="0.2">
      <c r="DO36653" s="303" t="s">
        <v>232</v>
      </c>
    </row>
    <row r="36654" spans="119:119" x14ac:dyDescent="0.2">
      <c r="DO36654" s="303" t="s">
        <v>232</v>
      </c>
    </row>
    <row r="36655" spans="119:119" x14ac:dyDescent="0.2">
      <c r="DO36655" s="303" t="s">
        <v>232</v>
      </c>
    </row>
    <row r="36656" spans="119:119" x14ac:dyDescent="0.2">
      <c r="DO36656" s="303" t="s">
        <v>232</v>
      </c>
    </row>
    <row r="36657" spans="119:119" x14ac:dyDescent="0.2">
      <c r="DO36657" s="303" t="s">
        <v>232</v>
      </c>
    </row>
    <row r="36658" spans="119:119" x14ac:dyDescent="0.2">
      <c r="DO36658" s="303" t="s">
        <v>232</v>
      </c>
    </row>
    <row r="36659" spans="119:119" x14ac:dyDescent="0.2">
      <c r="DO36659" s="303" t="s">
        <v>232</v>
      </c>
    </row>
    <row r="36660" spans="119:119" x14ac:dyDescent="0.2">
      <c r="DO36660" s="303" t="s">
        <v>232</v>
      </c>
    </row>
    <row r="36661" spans="119:119" x14ac:dyDescent="0.2">
      <c r="DO36661" s="303" t="s">
        <v>232</v>
      </c>
    </row>
    <row r="36662" spans="119:119" x14ac:dyDescent="0.2">
      <c r="DO36662" s="303" t="s">
        <v>232</v>
      </c>
    </row>
    <row r="36663" spans="119:119" x14ac:dyDescent="0.2">
      <c r="DO36663" s="303" t="s">
        <v>232</v>
      </c>
    </row>
    <row r="36664" spans="119:119" x14ac:dyDescent="0.2">
      <c r="DO36664" s="303" t="s">
        <v>232</v>
      </c>
    </row>
    <row r="36665" spans="119:119" x14ac:dyDescent="0.2">
      <c r="DO36665" s="303" t="s">
        <v>232</v>
      </c>
    </row>
    <row r="36666" spans="119:119" x14ac:dyDescent="0.2">
      <c r="DO36666" s="303" t="s">
        <v>232</v>
      </c>
    </row>
    <row r="36667" spans="119:119" x14ac:dyDescent="0.2">
      <c r="DO36667" s="303" t="s">
        <v>232</v>
      </c>
    </row>
    <row r="36668" spans="119:119" x14ac:dyDescent="0.2">
      <c r="DO36668" s="303" t="s">
        <v>232</v>
      </c>
    </row>
    <row r="36669" spans="119:119" x14ac:dyDescent="0.2">
      <c r="DO36669" s="303" t="s">
        <v>232</v>
      </c>
    </row>
    <row r="36670" spans="119:119" x14ac:dyDescent="0.2">
      <c r="DO36670" s="303" t="s">
        <v>232</v>
      </c>
    </row>
    <row r="36671" spans="119:119" x14ac:dyDescent="0.2">
      <c r="DO36671" s="303" t="s">
        <v>232</v>
      </c>
    </row>
    <row r="36672" spans="119:119" x14ac:dyDescent="0.2">
      <c r="DO36672" s="303" t="s">
        <v>232</v>
      </c>
    </row>
    <row r="36673" spans="119:119" x14ac:dyDescent="0.2">
      <c r="DO36673" s="303" t="s">
        <v>232</v>
      </c>
    </row>
    <row r="36674" spans="119:119" x14ac:dyDescent="0.2">
      <c r="DO36674" s="303" t="s">
        <v>232</v>
      </c>
    </row>
    <row r="36675" spans="119:119" x14ac:dyDescent="0.2">
      <c r="DO36675" s="303" t="s">
        <v>232</v>
      </c>
    </row>
    <row r="36676" spans="119:119" x14ac:dyDescent="0.2">
      <c r="DO36676" s="303" t="s">
        <v>232</v>
      </c>
    </row>
    <row r="36677" spans="119:119" x14ac:dyDescent="0.2">
      <c r="DO36677" s="303" t="s">
        <v>232</v>
      </c>
    </row>
    <row r="36678" spans="119:119" x14ac:dyDescent="0.2">
      <c r="DO36678" s="303" t="s">
        <v>232</v>
      </c>
    </row>
    <row r="36679" spans="119:119" x14ac:dyDescent="0.2">
      <c r="DO36679" s="303" t="s">
        <v>232</v>
      </c>
    </row>
    <row r="36680" spans="119:119" x14ac:dyDescent="0.2">
      <c r="DO36680" s="303" t="s">
        <v>232</v>
      </c>
    </row>
    <row r="36681" spans="119:119" x14ac:dyDescent="0.2">
      <c r="DO36681" s="303" t="s">
        <v>232</v>
      </c>
    </row>
    <row r="36682" spans="119:119" x14ac:dyDescent="0.2">
      <c r="DO36682" s="303" t="s">
        <v>232</v>
      </c>
    </row>
    <row r="36683" spans="119:119" x14ac:dyDescent="0.2">
      <c r="DO36683" s="303" t="s">
        <v>232</v>
      </c>
    </row>
    <row r="36684" spans="119:119" x14ac:dyDescent="0.2">
      <c r="DO36684" s="303" t="s">
        <v>232</v>
      </c>
    </row>
    <row r="36685" spans="119:119" x14ac:dyDescent="0.2">
      <c r="DO36685" s="303" t="s">
        <v>232</v>
      </c>
    </row>
    <row r="36686" spans="119:119" x14ac:dyDescent="0.2">
      <c r="DO36686" s="303" t="s">
        <v>232</v>
      </c>
    </row>
    <row r="36687" spans="119:119" x14ac:dyDescent="0.2">
      <c r="DO36687" s="303" t="s">
        <v>232</v>
      </c>
    </row>
    <row r="36688" spans="119:119" x14ac:dyDescent="0.2">
      <c r="DO36688" s="303" t="s">
        <v>232</v>
      </c>
    </row>
    <row r="36689" spans="119:119" x14ac:dyDescent="0.2">
      <c r="DO36689" s="303" t="s">
        <v>232</v>
      </c>
    </row>
    <row r="36690" spans="119:119" x14ac:dyDescent="0.2">
      <c r="DO36690" s="303" t="s">
        <v>232</v>
      </c>
    </row>
    <row r="36691" spans="119:119" x14ac:dyDescent="0.2">
      <c r="DO36691" s="303" t="s">
        <v>232</v>
      </c>
    </row>
    <row r="36692" spans="119:119" x14ac:dyDescent="0.2">
      <c r="DO36692" s="303" t="s">
        <v>232</v>
      </c>
    </row>
    <row r="36693" spans="119:119" x14ac:dyDescent="0.2">
      <c r="DO36693" s="303" t="s">
        <v>232</v>
      </c>
    </row>
    <row r="36694" spans="119:119" x14ac:dyDescent="0.2">
      <c r="DO36694" s="303" t="s">
        <v>232</v>
      </c>
    </row>
    <row r="36695" spans="119:119" x14ac:dyDescent="0.2">
      <c r="DO36695" s="303" t="s">
        <v>232</v>
      </c>
    </row>
    <row r="36696" spans="119:119" x14ac:dyDescent="0.2">
      <c r="DO36696" s="303" t="s">
        <v>232</v>
      </c>
    </row>
    <row r="36697" spans="119:119" x14ac:dyDescent="0.2">
      <c r="DO36697" s="303" t="s">
        <v>232</v>
      </c>
    </row>
    <row r="36698" spans="119:119" x14ac:dyDescent="0.2">
      <c r="DO36698" s="303" t="s">
        <v>232</v>
      </c>
    </row>
    <row r="36699" spans="119:119" x14ac:dyDescent="0.2">
      <c r="DO36699" s="303" t="s">
        <v>232</v>
      </c>
    </row>
    <row r="36700" spans="119:119" x14ac:dyDescent="0.2">
      <c r="DO36700" s="303" t="s">
        <v>232</v>
      </c>
    </row>
    <row r="36701" spans="119:119" x14ac:dyDescent="0.2">
      <c r="DO36701" s="303" t="s">
        <v>232</v>
      </c>
    </row>
    <row r="36702" spans="119:119" x14ac:dyDescent="0.2">
      <c r="DO36702" s="303" t="s">
        <v>232</v>
      </c>
    </row>
    <row r="36703" spans="119:119" x14ac:dyDescent="0.2">
      <c r="DO36703" s="303" t="s">
        <v>232</v>
      </c>
    </row>
    <row r="36704" spans="119:119" x14ac:dyDescent="0.2">
      <c r="DO36704" s="303" t="s">
        <v>232</v>
      </c>
    </row>
    <row r="36705" spans="119:119" x14ac:dyDescent="0.2">
      <c r="DO36705" s="303" t="s">
        <v>232</v>
      </c>
    </row>
    <row r="36706" spans="119:119" x14ac:dyDescent="0.2">
      <c r="DO36706" s="303" t="s">
        <v>232</v>
      </c>
    </row>
    <row r="36707" spans="119:119" x14ac:dyDescent="0.2">
      <c r="DO36707" s="303" t="s">
        <v>232</v>
      </c>
    </row>
    <row r="36708" spans="119:119" x14ac:dyDescent="0.2">
      <c r="DO36708" s="303" t="s">
        <v>232</v>
      </c>
    </row>
    <row r="36709" spans="119:119" x14ac:dyDescent="0.2">
      <c r="DO36709" s="303" t="s">
        <v>232</v>
      </c>
    </row>
    <row r="36710" spans="119:119" x14ac:dyDescent="0.2">
      <c r="DO36710" s="303" t="s">
        <v>232</v>
      </c>
    </row>
    <row r="36711" spans="119:119" x14ac:dyDescent="0.2">
      <c r="DO36711" s="303" t="s">
        <v>232</v>
      </c>
    </row>
    <row r="36712" spans="119:119" x14ac:dyDescent="0.2">
      <c r="DO36712" s="303" t="s">
        <v>232</v>
      </c>
    </row>
    <row r="36713" spans="119:119" x14ac:dyDescent="0.2">
      <c r="DO36713" s="303" t="s">
        <v>232</v>
      </c>
    </row>
    <row r="36714" spans="119:119" x14ac:dyDescent="0.2">
      <c r="DO36714" s="303" t="s">
        <v>232</v>
      </c>
    </row>
    <row r="36715" spans="119:119" x14ac:dyDescent="0.2">
      <c r="DO36715" s="303" t="s">
        <v>232</v>
      </c>
    </row>
    <row r="36716" spans="119:119" x14ac:dyDescent="0.2">
      <c r="DO36716" s="303" t="s">
        <v>232</v>
      </c>
    </row>
    <row r="36717" spans="119:119" x14ac:dyDescent="0.2">
      <c r="DO36717" s="303" t="s">
        <v>232</v>
      </c>
    </row>
    <row r="36718" spans="119:119" x14ac:dyDescent="0.2">
      <c r="DO36718" s="303" t="s">
        <v>232</v>
      </c>
    </row>
    <row r="36719" spans="119:119" x14ac:dyDescent="0.2">
      <c r="DO36719" s="303" t="s">
        <v>232</v>
      </c>
    </row>
    <row r="36720" spans="119:119" x14ac:dyDescent="0.2">
      <c r="DO36720" s="303" t="s">
        <v>232</v>
      </c>
    </row>
    <row r="36721" spans="119:119" x14ac:dyDescent="0.2">
      <c r="DO36721" s="303" t="s">
        <v>232</v>
      </c>
    </row>
    <row r="36722" spans="119:119" x14ac:dyDescent="0.2">
      <c r="DO36722" s="303" t="s">
        <v>232</v>
      </c>
    </row>
    <row r="36723" spans="119:119" x14ac:dyDescent="0.2">
      <c r="DO36723" s="303" t="s">
        <v>232</v>
      </c>
    </row>
    <row r="36724" spans="119:119" x14ac:dyDescent="0.2">
      <c r="DO36724" s="303" t="s">
        <v>232</v>
      </c>
    </row>
    <row r="36725" spans="119:119" x14ac:dyDescent="0.2">
      <c r="DO36725" s="303" t="s">
        <v>232</v>
      </c>
    </row>
    <row r="36726" spans="119:119" x14ac:dyDescent="0.2">
      <c r="DO36726" s="303" t="s">
        <v>232</v>
      </c>
    </row>
    <row r="36727" spans="119:119" x14ac:dyDescent="0.2">
      <c r="DO36727" s="303" t="s">
        <v>232</v>
      </c>
    </row>
    <row r="36728" spans="119:119" x14ac:dyDescent="0.2">
      <c r="DO36728" s="303" t="s">
        <v>232</v>
      </c>
    </row>
    <row r="36729" spans="119:119" x14ac:dyDescent="0.2">
      <c r="DO36729" s="303" t="s">
        <v>232</v>
      </c>
    </row>
    <row r="36730" spans="119:119" x14ac:dyDescent="0.2">
      <c r="DO36730" s="303" t="s">
        <v>232</v>
      </c>
    </row>
    <row r="36731" spans="119:119" x14ac:dyDescent="0.2">
      <c r="DO36731" s="303" t="s">
        <v>232</v>
      </c>
    </row>
    <row r="36732" spans="119:119" x14ac:dyDescent="0.2">
      <c r="DO36732" s="303" t="s">
        <v>232</v>
      </c>
    </row>
    <row r="36733" spans="119:119" x14ac:dyDescent="0.2">
      <c r="DO36733" s="303" t="s">
        <v>232</v>
      </c>
    </row>
    <row r="36734" spans="119:119" x14ac:dyDescent="0.2">
      <c r="DO36734" s="303" t="s">
        <v>232</v>
      </c>
    </row>
    <row r="36735" spans="119:119" x14ac:dyDescent="0.2">
      <c r="DO36735" s="303" t="s">
        <v>232</v>
      </c>
    </row>
    <row r="36736" spans="119:119" x14ac:dyDescent="0.2">
      <c r="DO36736" s="303" t="s">
        <v>232</v>
      </c>
    </row>
    <row r="36737" spans="119:119" x14ac:dyDescent="0.2">
      <c r="DO36737" s="303" t="s">
        <v>232</v>
      </c>
    </row>
    <row r="36738" spans="119:119" x14ac:dyDescent="0.2">
      <c r="DO36738" s="303" t="s">
        <v>232</v>
      </c>
    </row>
    <row r="36739" spans="119:119" x14ac:dyDescent="0.2">
      <c r="DO36739" s="303" t="s">
        <v>232</v>
      </c>
    </row>
    <row r="36740" spans="119:119" x14ac:dyDescent="0.2">
      <c r="DO36740" s="303" t="s">
        <v>232</v>
      </c>
    </row>
    <row r="36741" spans="119:119" x14ac:dyDescent="0.2">
      <c r="DO36741" s="303" t="s">
        <v>232</v>
      </c>
    </row>
    <row r="36742" spans="119:119" x14ac:dyDescent="0.2">
      <c r="DO36742" s="303" t="s">
        <v>232</v>
      </c>
    </row>
    <row r="36743" spans="119:119" x14ac:dyDescent="0.2">
      <c r="DO36743" s="303" t="s">
        <v>232</v>
      </c>
    </row>
    <row r="36744" spans="119:119" x14ac:dyDescent="0.2">
      <c r="DO36744" s="303" t="s">
        <v>232</v>
      </c>
    </row>
    <row r="36745" spans="119:119" x14ac:dyDescent="0.2">
      <c r="DO36745" s="303" t="s">
        <v>232</v>
      </c>
    </row>
    <row r="36746" spans="119:119" x14ac:dyDescent="0.2">
      <c r="DO36746" s="303" t="s">
        <v>232</v>
      </c>
    </row>
    <row r="36747" spans="119:119" x14ac:dyDescent="0.2">
      <c r="DO36747" s="303" t="s">
        <v>232</v>
      </c>
    </row>
    <row r="36748" spans="119:119" x14ac:dyDescent="0.2">
      <c r="DO36748" s="303" t="s">
        <v>232</v>
      </c>
    </row>
    <row r="36749" spans="119:119" x14ac:dyDescent="0.2">
      <c r="DO36749" s="303" t="s">
        <v>232</v>
      </c>
    </row>
    <row r="36750" spans="119:119" x14ac:dyDescent="0.2">
      <c r="DO36750" s="303" t="s">
        <v>232</v>
      </c>
    </row>
    <row r="36751" spans="119:119" x14ac:dyDescent="0.2">
      <c r="DO36751" s="303" t="s">
        <v>232</v>
      </c>
    </row>
    <row r="36752" spans="119:119" x14ac:dyDescent="0.2">
      <c r="DO36752" s="303" t="s">
        <v>232</v>
      </c>
    </row>
    <row r="36753" spans="119:119" x14ac:dyDescent="0.2">
      <c r="DO36753" s="303" t="s">
        <v>232</v>
      </c>
    </row>
    <row r="36754" spans="119:119" x14ac:dyDescent="0.2">
      <c r="DO36754" s="303" t="s">
        <v>232</v>
      </c>
    </row>
    <row r="36755" spans="119:119" x14ac:dyDescent="0.2">
      <c r="DO36755" s="303" t="s">
        <v>232</v>
      </c>
    </row>
    <row r="36756" spans="119:119" x14ac:dyDescent="0.2">
      <c r="DO36756" s="303" t="s">
        <v>232</v>
      </c>
    </row>
    <row r="36757" spans="119:119" x14ac:dyDescent="0.2">
      <c r="DO36757" s="303" t="s">
        <v>232</v>
      </c>
    </row>
    <row r="36758" spans="119:119" x14ac:dyDescent="0.2">
      <c r="DO36758" s="303" t="s">
        <v>232</v>
      </c>
    </row>
    <row r="36759" spans="119:119" x14ac:dyDescent="0.2">
      <c r="DO36759" s="303" t="s">
        <v>232</v>
      </c>
    </row>
    <row r="36760" spans="119:119" x14ac:dyDescent="0.2">
      <c r="DO36760" s="303" t="s">
        <v>232</v>
      </c>
    </row>
    <row r="36761" spans="119:119" x14ac:dyDescent="0.2">
      <c r="DO36761" s="303" t="s">
        <v>232</v>
      </c>
    </row>
    <row r="36762" spans="119:119" x14ac:dyDescent="0.2">
      <c r="DO36762" s="303" t="s">
        <v>232</v>
      </c>
    </row>
    <row r="36763" spans="119:119" x14ac:dyDescent="0.2">
      <c r="DO36763" s="303" t="s">
        <v>232</v>
      </c>
    </row>
    <row r="36764" spans="119:119" x14ac:dyDescent="0.2">
      <c r="DO36764" s="303" t="s">
        <v>232</v>
      </c>
    </row>
    <row r="36765" spans="119:119" x14ac:dyDescent="0.2">
      <c r="DO36765" s="303" t="s">
        <v>232</v>
      </c>
    </row>
    <row r="36766" spans="119:119" x14ac:dyDescent="0.2">
      <c r="DO36766" s="303" t="s">
        <v>232</v>
      </c>
    </row>
    <row r="36767" spans="119:119" x14ac:dyDescent="0.2">
      <c r="DO36767" s="303" t="s">
        <v>232</v>
      </c>
    </row>
    <row r="36768" spans="119:119" x14ac:dyDescent="0.2">
      <c r="DO36768" s="303" t="s">
        <v>232</v>
      </c>
    </row>
    <row r="36769" spans="119:119" x14ac:dyDescent="0.2">
      <c r="DO36769" s="303" t="s">
        <v>232</v>
      </c>
    </row>
    <row r="36770" spans="119:119" x14ac:dyDescent="0.2">
      <c r="DO36770" s="303" t="s">
        <v>232</v>
      </c>
    </row>
    <row r="36771" spans="119:119" x14ac:dyDescent="0.2">
      <c r="DO36771" s="303" t="s">
        <v>232</v>
      </c>
    </row>
    <row r="36772" spans="119:119" x14ac:dyDescent="0.2">
      <c r="DO36772" s="303" t="s">
        <v>232</v>
      </c>
    </row>
    <row r="36773" spans="119:119" x14ac:dyDescent="0.2">
      <c r="DO36773" s="303" t="s">
        <v>232</v>
      </c>
    </row>
    <row r="36774" spans="119:119" x14ac:dyDescent="0.2">
      <c r="DO36774" s="303" t="s">
        <v>232</v>
      </c>
    </row>
    <row r="36775" spans="119:119" x14ac:dyDescent="0.2">
      <c r="DO36775" s="303" t="s">
        <v>232</v>
      </c>
    </row>
    <row r="36776" spans="119:119" x14ac:dyDescent="0.2">
      <c r="DO36776" s="303" t="s">
        <v>232</v>
      </c>
    </row>
    <row r="36777" spans="119:119" x14ac:dyDescent="0.2">
      <c r="DO36777" s="303" t="s">
        <v>232</v>
      </c>
    </row>
    <row r="36778" spans="119:119" x14ac:dyDescent="0.2">
      <c r="DO36778" s="303" t="s">
        <v>232</v>
      </c>
    </row>
    <row r="36779" spans="119:119" x14ac:dyDescent="0.2">
      <c r="DO36779" s="303" t="s">
        <v>232</v>
      </c>
    </row>
    <row r="36780" spans="119:119" x14ac:dyDescent="0.2">
      <c r="DO36780" s="303" t="s">
        <v>232</v>
      </c>
    </row>
    <row r="36781" spans="119:119" x14ac:dyDescent="0.2">
      <c r="DO36781" s="303" t="s">
        <v>232</v>
      </c>
    </row>
    <row r="36782" spans="119:119" x14ac:dyDescent="0.2">
      <c r="DO36782" s="303" t="s">
        <v>232</v>
      </c>
    </row>
    <row r="36783" spans="119:119" x14ac:dyDescent="0.2">
      <c r="DO36783" s="303" t="s">
        <v>232</v>
      </c>
    </row>
    <row r="36784" spans="119:119" x14ac:dyDescent="0.2">
      <c r="DO36784" s="303" t="s">
        <v>232</v>
      </c>
    </row>
    <row r="36785" spans="119:119" x14ac:dyDescent="0.2">
      <c r="DO36785" s="303" t="s">
        <v>232</v>
      </c>
    </row>
    <row r="36786" spans="119:119" x14ac:dyDescent="0.2">
      <c r="DO36786" s="303" t="s">
        <v>232</v>
      </c>
    </row>
    <row r="36787" spans="119:119" x14ac:dyDescent="0.2">
      <c r="DO36787" s="303" t="s">
        <v>232</v>
      </c>
    </row>
    <row r="36788" spans="119:119" x14ac:dyDescent="0.2">
      <c r="DO36788" s="303" t="s">
        <v>232</v>
      </c>
    </row>
    <row r="36789" spans="119:119" x14ac:dyDescent="0.2">
      <c r="DO36789" s="303" t="s">
        <v>232</v>
      </c>
    </row>
    <row r="36790" spans="119:119" x14ac:dyDescent="0.2">
      <c r="DO36790" s="303" t="s">
        <v>232</v>
      </c>
    </row>
    <row r="36791" spans="119:119" x14ac:dyDescent="0.2">
      <c r="DO36791" s="303" t="s">
        <v>232</v>
      </c>
    </row>
    <row r="36792" spans="119:119" x14ac:dyDescent="0.2">
      <c r="DO36792" s="303" t="s">
        <v>232</v>
      </c>
    </row>
    <row r="36793" spans="119:119" x14ac:dyDescent="0.2">
      <c r="DO36793" s="303" t="s">
        <v>232</v>
      </c>
    </row>
    <row r="36794" spans="119:119" x14ac:dyDescent="0.2">
      <c r="DO36794" s="303" t="s">
        <v>232</v>
      </c>
    </row>
    <row r="36795" spans="119:119" x14ac:dyDescent="0.2">
      <c r="DO36795" s="303" t="s">
        <v>232</v>
      </c>
    </row>
    <row r="36796" spans="119:119" x14ac:dyDescent="0.2">
      <c r="DO36796" s="303" t="s">
        <v>232</v>
      </c>
    </row>
    <row r="36797" spans="119:119" x14ac:dyDescent="0.2">
      <c r="DO36797" s="303" t="s">
        <v>232</v>
      </c>
    </row>
    <row r="36798" spans="119:119" x14ac:dyDescent="0.2">
      <c r="DO36798" s="303" t="s">
        <v>232</v>
      </c>
    </row>
    <row r="36799" spans="119:119" x14ac:dyDescent="0.2">
      <c r="DO36799" s="303" t="s">
        <v>232</v>
      </c>
    </row>
    <row r="36800" spans="119:119" x14ac:dyDescent="0.2">
      <c r="DO36800" s="303" t="s">
        <v>232</v>
      </c>
    </row>
    <row r="36801" spans="119:119" x14ac:dyDescent="0.2">
      <c r="DO36801" s="303" t="s">
        <v>232</v>
      </c>
    </row>
    <row r="36802" spans="119:119" x14ac:dyDescent="0.2">
      <c r="DO36802" s="303" t="s">
        <v>232</v>
      </c>
    </row>
    <row r="36803" spans="119:119" x14ac:dyDescent="0.2">
      <c r="DO36803" s="303" t="s">
        <v>232</v>
      </c>
    </row>
    <row r="36804" spans="119:119" x14ac:dyDescent="0.2">
      <c r="DO36804" s="303" t="s">
        <v>232</v>
      </c>
    </row>
    <row r="36805" spans="119:119" x14ac:dyDescent="0.2">
      <c r="DO36805" s="303" t="s">
        <v>232</v>
      </c>
    </row>
    <row r="36806" spans="119:119" x14ac:dyDescent="0.2">
      <c r="DO36806" s="303" t="s">
        <v>232</v>
      </c>
    </row>
    <row r="36807" spans="119:119" x14ac:dyDescent="0.2">
      <c r="DO36807" s="303" t="s">
        <v>232</v>
      </c>
    </row>
    <row r="36808" spans="119:119" x14ac:dyDescent="0.2">
      <c r="DO36808" s="303" t="s">
        <v>232</v>
      </c>
    </row>
    <row r="36809" spans="119:119" x14ac:dyDescent="0.2">
      <c r="DO36809" s="303" t="s">
        <v>232</v>
      </c>
    </row>
    <row r="36810" spans="119:119" x14ac:dyDescent="0.2">
      <c r="DO36810" s="303" t="s">
        <v>232</v>
      </c>
    </row>
    <row r="36811" spans="119:119" x14ac:dyDescent="0.2">
      <c r="DO36811" s="303" t="s">
        <v>232</v>
      </c>
    </row>
    <row r="36812" spans="119:119" x14ac:dyDescent="0.2">
      <c r="DO36812" s="303" t="s">
        <v>232</v>
      </c>
    </row>
    <row r="36813" spans="119:119" x14ac:dyDescent="0.2">
      <c r="DO36813" s="303" t="s">
        <v>232</v>
      </c>
    </row>
    <row r="36814" spans="119:119" x14ac:dyDescent="0.2">
      <c r="DO36814" s="303" t="s">
        <v>232</v>
      </c>
    </row>
    <row r="36815" spans="119:119" x14ac:dyDescent="0.2">
      <c r="DO36815" s="303" t="s">
        <v>232</v>
      </c>
    </row>
    <row r="36816" spans="119:119" x14ac:dyDescent="0.2">
      <c r="DO36816" s="303" t="s">
        <v>232</v>
      </c>
    </row>
    <row r="36817" spans="119:119" x14ac:dyDescent="0.2">
      <c r="DO36817" s="303" t="s">
        <v>232</v>
      </c>
    </row>
    <row r="36818" spans="119:119" x14ac:dyDescent="0.2">
      <c r="DO36818" s="303" t="s">
        <v>232</v>
      </c>
    </row>
    <row r="36819" spans="119:119" x14ac:dyDescent="0.2">
      <c r="DO36819" s="303" t="s">
        <v>232</v>
      </c>
    </row>
    <row r="36820" spans="119:119" x14ac:dyDescent="0.2">
      <c r="DO36820" s="303" t="s">
        <v>232</v>
      </c>
    </row>
    <row r="36821" spans="119:119" x14ac:dyDescent="0.2">
      <c r="DO36821" s="303" t="s">
        <v>232</v>
      </c>
    </row>
    <row r="36822" spans="119:119" x14ac:dyDescent="0.2">
      <c r="DO36822" s="303" t="s">
        <v>232</v>
      </c>
    </row>
    <row r="36823" spans="119:119" x14ac:dyDescent="0.2">
      <c r="DO36823" s="303" t="s">
        <v>232</v>
      </c>
    </row>
    <row r="36824" spans="119:119" x14ac:dyDescent="0.2">
      <c r="DO36824" s="303" t="s">
        <v>232</v>
      </c>
    </row>
    <row r="36825" spans="119:119" x14ac:dyDescent="0.2">
      <c r="DO36825" s="303" t="s">
        <v>232</v>
      </c>
    </row>
    <row r="36826" spans="119:119" x14ac:dyDescent="0.2">
      <c r="DO36826" s="303" t="s">
        <v>232</v>
      </c>
    </row>
    <row r="36827" spans="119:119" x14ac:dyDescent="0.2">
      <c r="DO36827" s="303" t="s">
        <v>232</v>
      </c>
    </row>
    <row r="36828" spans="119:119" x14ac:dyDescent="0.2">
      <c r="DO36828" s="303" t="s">
        <v>232</v>
      </c>
    </row>
    <row r="36829" spans="119:119" x14ac:dyDescent="0.2">
      <c r="DO36829" s="303" t="s">
        <v>232</v>
      </c>
    </row>
    <row r="36830" spans="119:119" x14ac:dyDescent="0.2">
      <c r="DO36830" s="303" t="s">
        <v>232</v>
      </c>
    </row>
    <row r="36831" spans="119:119" x14ac:dyDescent="0.2">
      <c r="DO36831" s="303" t="s">
        <v>232</v>
      </c>
    </row>
    <row r="36832" spans="119:119" x14ac:dyDescent="0.2">
      <c r="DO36832" s="303" t="s">
        <v>232</v>
      </c>
    </row>
    <row r="36833" spans="119:119" x14ac:dyDescent="0.2">
      <c r="DO36833" s="303" t="s">
        <v>232</v>
      </c>
    </row>
    <row r="36834" spans="119:119" x14ac:dyDescent="0.2">
      <c r="DO36834" s="303" t="s">
        <v>232</v>
      </c>
    </row>
    <row r="36835" spans="119:119" x14ac:dyDescent="0.2">
      <c r="DO36835" s="303" t="s">
        <v>232</v>
      </c>
    </row>
    <row r="36836" spans="119:119" x14ac:dyDescent="0.2">
      <c r="DO36836" s="303" t="s">
        <v>232</v>
      </c>
    </row>
    <row r="36837" spans="119:119" x14ac:dyDescent="0.2">
      <c r="DO36837" s="303" t="s">
        <v>232</v>
      </c>
    </row>
    <row r="36838" spans="119:119" x14ac:dyDescent="0.2">
      <c r="DO36838" s="303" t="s">
        <v>232</v>
      </c>
    </row>
    <row r="36839" spans="119:119" x14ac:dyDescent="0.2">
      <c r="DO36839" s="303" t="s">
        <v>232</v>
      </c>
    </row>
    <row r="36840" spans="119:119" x14ac:dyDescent="0.2">
      <c r="DO36840" s="303" t="s">
        <v>232</v>
      </c>
    </row>
    <row r="36841" spans="119:119" x14ac:dyDescent="0.2">
      <c r="DO36841" s="303" t="s">
        <v>232</v>
      </c>
    </row>
    <row r="36842" spans="119:119" x14ac:dyDescent="0.2">
      <c r="DO36842" s="303" t="s">
        <v>232</v>
      </c>
    </row>
    <row r="36843" spans="119:119" x14ac:dyDescent="0.2">
      <c r="DO36843" s="303" t="s">
        <v>232</v>
      </c>
    </row>
    <row r="36844" spans="119:119" x14ac:dyDescent="0.2">
      <c r="DO36844" s="303" t="s">
        <v>232</v>
      </c>
    </row>
    <row r="36845" spans="119:119" x14ac:dyDescent="0.2">
      <c r="DO36845" s="303" t="s">
        <v>232</v>
      </c>
    </row>
    <row r="36846" spans="119:119" x14ac:dyDescent="0.2">
      <c r="DO36846" s="303" t="s">
        <v>232</v>
      </c>
    </row>
    <row r="36847" spans="119:119" x14ac:dyDescent="0.2">
      <c r="DO36847" s="303" t="s">
        <v>232</v>
      </c>
    </row>
    <row r="36848" spans="119:119" x14ac:dyDescent="0.2">
      <c r="DO36848" s="303" t="s">
        <v>232</v>
      </c>
    </row>
    <row r="36849" spans="119:119" x14ac:dyDescent="0.2">
      <c r="DO36849" s="303" t="s">
        <v>232</v>
      </c>
    </row>
    <row r="36850" spans="119:119" x14ac:dyDescent="0.2">
      <c r="DO36850" s="303" t="s">
        <v>232</v>
      </c>
    </row>
    <row r="36851" spans="119:119" x14ac:dyDescent="0.2">
      <c r="DO36851" s="303" t="s">
        <v>232</v>
      </c>
    </row>
    <row r="36852" spans="119:119" x14ac:dyDescent="0.2">
      <c r="DO36852" s="303" t="s">
        <v>232</v>
      </c>
    </row>
    <row r="36853" spans="119:119" x14ac:dyDescent="0.2">
      <c r="DO36853" s="303" t="s">
        <v>232</v>
      </c>
    </row>
    <row r="36854" spans="119:119" x14ac:dyDescent="0.2">
      <c r="DO36854" s="303" t="s">
        <v>232</v>
      </c>
    </row>
    <row r="36855" spans="119:119" x14ac:dyDescent="0.2">
      <c r="DO36855" s="303" t="s">
        <v>232</v>
      </c>
    </row>
    <row r="36856" spans="119:119" x14ac:dyDescent="0.2">
      <c r="DO36856" s="303" t="s">
        <v>232</v>
      </c>
    </row>
    <row r="36857" spans="119:119" x14ac:dyDescent="0.2">
      <c r="DO36857" s="303" t="s">
        <v>232</v>
      </c>
    </row>
    <row r="36858" spans="119:119" x14ac:dyDescent="0.2">
      <c r="DO36858" s="303" t="s">
        <v>232</v>
      </c>
    </row>
    <row r="36859" spans="119:119" x14ac:dyDescent="0.2">
      <c r="DO36859" s="303" t="s">
        <v>232</v>
      </c>
    </row>
    <row r="36860" spans="119:119" x14ac:dyDescent="0.2">
      <c r="DO36860" s="303" t="s">
        <v>232</v>
      </c>
    </row>
    <row r="36861" spans="119:119" x14ac:dyDescent="0.2">
      <c r="DO36861" s="303" t="s">
        <v>232</v>
      </c>
    </row>
    <row r="36862" spans="119:119" x14ac:dyDescent="0.2">
      <c r="DO36862" s="303" t="s">
        <v>232</v>
      </c>
    </row>
    <row r="36863" spans="119:119" x14ac:dyDescent="0.2">
      <c r="DO36863" s="303" t="s">
        <v>232</v>
      </c>
    </row>
    <row r="36864" spans="119:119" x14ac:dyDescent="0.2">
      <c r="DO36864" s="303" t="s">
        <v>232</v>
      </c>
    </row>
    <row r="36865" spans="119:119" x14ac:dyDescent="0.2">
      <c r="DO36865" s="303" t="s">
        <v>232</v>
      </c>
    </row>
    <row r="36866" spans="119:119" x14ac:dyDescent="0.2">
      <c r="DO36866" s="303" t="s">
        <v>232</v>
      </c>
    </row>
    <row r="36867" spans="119:119" x14ac:dyDescent="0.2">
      <c r="DO36867" s="303" t="s">
        <v>232</v>
      </c>
    </row>
    <row r="36868" spans="119:119" x14ac:dyDescent="0.2">
      <c r="DO36868" s="303" t="s">
        <v>232</v>
      </c>
    </row>
    <row r="36869" spans="119:119" x14ac:dyDescent="0.2">
      <c r="DO36869" s="303" t="s">
        <v>232</v>
      </c>
    </row>
    <row r="36870" spans="119:119" x14ac:dyDescent="0.2">
      <c r="DO36870" s="303" t="s">
        <v>232</v>
      </c>
    </row>
    <row r="36871" spans="119:119" x14ac:dyDescent="0.2">
      <c r="DO36871" s="303" t="s">
        <v>232</v>
      </c>
    </row>
    <row r="36872" spans="119:119" x14ac:dyDescent="0.2">
      <c r="DO36872" s="303" t="s">
        <v>232</v>
      </c>
    </row>
    <row r="36873" spans="119:119" x14ac:dyDescent="0.2">
      <c r="DO36873" s="303" t="s">
        <v>232</v>
      </c>
    </row>
    <row r="36874" spans="119:119" x14ac:dyDescent="0.2">
      <c r="DO36874" s="303" t="s">
        <v>232</v>
      </c>
    </row>
    <row r="36875" spans="119:119" x14ac:dyDescent="0.2">
      <c r="DO36875" s="303" t="s">
        <v>232</v>
      </c>
    </row>
    <row r="36876" spans="119:119" x14ac:dyDescent="0.2">
      <c r="DO36876" s="303" t="s">
        <v>232</v>
      </c>
    </row>
    <row r="36877" spans="119:119" x14ac:dyDescent="0.2">
      <c r="DO36877" s="303" t="s">
        <v>232</v>
      </c>
    </row>
    <row r="36878" spans="119:119" x14ac:dyDescent="0.2">
      <c r="DO36878" s="303" t="s">
        <v>232</v>
      </c>
    </row>
    <row r="36879" spans="119:119" x14ac:dyDescent="0.2">
      <c r="DO36879" s="303" t="s">
        <v>232</v>
      </c>
    </row>
    <row r="36880" spans="119:119" x14ac:dyDescent="0.2">
      <c r="DO36880" s="303" t="s">
        <v>232</v>
      </c>
    </row>
    <row r="36881" spans="119:119" x14ac:dyDescent="0.2">
      <c r="DO36881" s="303" t="s">
        <v>232</v>
      </c>
    </row>
    <row r="36882" spans="119:119" x14ac:dyDescent="0.2">
      <c r="DO36882" s="303" t="s">
        <v>232</v>
      </c>
    </row>
    <row r="36883" spans="119:119" x14ac:dyDescent="0.2">
      <c r="DO36883" s="303" t="s">
        <v>232</v>
      </c>
    </row>
    <row r="36884" spans="119:119" x14ac:dyDescent="0.2">
      <c r="DO36884" s="303" t="s">
        <v>232</v>
      </c>
    </row>
    <row r="36885" spans="119:119" x14ac:dyDescent="0.2">
      <c r="DO36885" s="303" t="s">
        <v>232</v>
      </c>
    </row>
    <row r="36886" spans="119:119" x14ac:dyDescent="0.2">
      <c r="DO36886" s="303" t="s">
        <v>232</v>
      </c>
    </row>
    <row r="36887" spans="119:119" x14ac:dyDescent="0.2">
      <c r="DO36887" s="303" t="s">
        <v>232</v>
      </c>
    </row>
    <row r="36888" spans="119:119" x14ac:dyDescent="0.2">
      <c r="DO36888" s="303" t="s">
        <v>232</v>
      </c>
    </row>
    <row r="36889" spans="119:119" x14ac:dyDescent="0.2">
      <c r="DO36889" s="303" t="s">
        <v>232</v>
      </c>
    </row>
    <row r="36890" spans="119:119" x14ac:dyDescent="0.2">
      <c r="DO36890" s="303" t="s">
        <v>232</v>
      </c>
    </row>
    <row r="36891" spans="119:119" x14ac:dyDescent="0.2">
      <c r="DO36891" s="303" t="s">
        <v>232</v>
      </c>
    </row>
    <row r="36892" spans="119:119" x14ac:dyDescent="0.2">
      <c r="DO36892" s="303" t="s">
        <v>232</v>
      </c>
    </row>
    <row r="36893" spans="119:119" x14ac:dyDescent="0.2">
      <c r="DO36893" s="303" t="s">
        <v>232</v>
      </c>
    </row>
    <row r="36894" spans="119:119" x14ac:dyDescent="0.2">
      <c r="DO36894" s="303" t="s">
        <v>232</v>
      </c>
    </row>
    <row r="36895" spans="119:119" x14ac:dyDescent="0.2">
      <c r="DO36895" s="303" t="s">
        <v>232</v>
      </c>
    </row>
    <row r="36896" spans="119:119" x14ac:dyDescent="0.2">
      <c r="DO36896" s="303" t="s">
        <v>232</v>
      </c>
    </row>
    <row r="36897" spans="119:119" x14ac:dyDescent="0.2">
      <c r="DO36897" s="303" t="s">
        <v>232</v>
      </c>
    </row>
    <row r="36898" spans="119:119" x14ac:dyDescent="0.2">
      <c r="DO36898" s="303" t="s">
        <v>232</v>
      </c>
    </row>
    <row r="36899" spans="119:119" x14ac:dyDescent="0.2">
      <c r="DO36899" s="303" t="s">
        <v>232</v>
      </c>
    </row>
    <row r="36900" spans="119:119" x14ac:dyDescent="0.2">
      <c r="DO36900" s="303" t="s">
        <v>232</v>
      </c>
    </row>
    <row r="36901" spans="119:119" x14ac:dyDescent="0.2">
      <c r="DO36901" s="303" t="s">
        <v>232</v>
      </c>
    </row>
    <row r="36902" spans="119:119" x14ac:dyDescent="0.2">
      <c r="DO36902" s="303" t="s">
        <v>232</v>
      </c>
    </row>
    <row r="36903" spans="119:119" x14ac:dyDescent="0.2">
      <c r="DO36903" s="303" t="s">
        <v>232</v>
      </c>
    </row>
    <row r="36904" spans="119:119" x14ac:dyDescent="0.2">
      <c r="DO36904" s="303" t="s">
        <v>232</v>
      </c>
    </row>
    <row r="36905" spans="119:119" x14ac:dyDescent="0.2">
      <c r="DO36905" s="303" t="s">
        <v>232</v>
      </c>
    </row>
    <row r="36906" spans="119:119" x14ac:dyDescent="0.2">
      <c r="DO36906" s="303" t="s">
        <v>232</v>
      </c>
    </row>
    <row r="36907" spans="119:119" x14ac:dyDescent="0.2">
      <c r="DO36907" s="303" t="s">
        <v>232</v>
      </c>
    </row>
    <row r="36908" spans="119:119" x14ac:dyDescent="0.2">
      <c r="DO36908" s="303" t="s">
        <v>232</v>
      </c>
    </row>
    <row r="36909" spans="119:119" x14ac:dyDescent="0.2">
      <c r="DO36909" s="303" t="s">
        <v>232</v>
      </c>
    </row>
    <row r="36910" spans="119:119" x14ac:dyDescent="0.2">
      <c r="DO36910" s="303" t="s">
        <v>232</v>
      </c>
    </row>
    <row r="36911" spans="119:119" x14ac:dyDescent="0.2">
      <c r="DO36911" s="303" t="s">
        <v>232</v>
      </c>
    </row>
    <row r="36912" spans="119:119" x14ac:dyDescent="0.2">
      <c r="DO36912" s="303" t="s">
        <v>232</v>
      </c>
    </row>
    <row r="36913" spans="119:119" x14ac:dyDescent="0.2">
      <c r="DO36913" s="303" t="s">
        <v>232</v>
      </c>
    </row>
    <row r="36914" spans="119:119" x14ac:dyDescent="0.2">
      <c r="DO36914" s="303" t="s">
        <v>232</v>
      </c>
    </row>
    <row r="36915" spans="119:119" x14ac:dyDescent="0.2">
      <c r="DO36915" s="303" t="s">
        <v>232</v>
      </c>
    </row>
    <row r="36916" spans="119:119" x14ac:dyDescent="0.2">
      <c r="DO36916" s="303" t="s">
        <v>232</v>
      </c>
    </row>
    <row r="36917" spans="119:119" x14ac:dyDescent="0.2">
      <c r="DO36917" s="303" t="s">
        <v>232</v>
      </c>
    </row>
    <row r="36918" spans="119:119" x14ac:dyDescent="0.2">
      <c r="DO36918" s="303" t="s">
        <v>232</v>
      </c>
    </row>
    <row r="36919" spans="119:119" x14ac:dyDescent="0.2">
      <c r="DO36919" s="303" t="s">
        <v>232</v>
      </c>
    </row>
    <row r="36920" spans="119:119" x14ac:dyDescent="0.2">
      <c r="DO36920" s="303" t="s">
        <v>232</v>
      </c>
    </row>
    <row r="36921" spans="119:119" x14ac:dyDescent="0.2">
      <c r="DO36921" s="303" t="s">
        <v>232</v>
      </c>
    </row>
    <row r="36922" spans="119:119" x14ac:dyDescent="0.2">
      <c r="DO36922" s="303" t="s">
        <v>232</v>
      </c>
    </row>
    <row r="36923" spans="119:119" x14ac:dyDescent="0.2">
      <c r="DO36923" s="303" t="s">
        <v>232</v>
      </c>
    </row>
    <row r="36924" spans="119:119" x14ac:dyDescent="0.2">
      <c r="DO36924" s="303" t="s">
        <v>232</v>
      </c>
    </row>
    <row r="36925" spans="119:119" x14ac:dyDescent="0.2">
      <c r="DO36925" s="303" t="s">
        <v>232</v>
      </c>
    </row>
    <row r="36926" spans="119:119" x14ac:dyDescent="0.2">
      <c r="DO36926" s="303" t="s">
        <v>232</v>
      </c>
    </row>
    <row r="36927" spans="119:119" x14ac:dyDescent="0.2">
      <c r="DO36927" s="303" t="s">
        <v>232</v>
      </c>
    </row>
    <row r="36928" spans="119:119" x14ac:dyDescent="0.2">
      <c r="DO36928" s="303" t="s">
        <v>232</v>
      </c>
    </row>
    <row r="36929" spans="119:119" x14ac:dyDescent="0.2">
      <c r="DO36929" s="303" t="s">
        <v>232</v>
      </c>
    </row>
    <row r="36930" spans="119:119" x14ac:dyDescent="0.2">
      <c r="DO36930" s="303" t="s">
        <v>232</v>
      </c>
    </row>
    <row r="36931" spans="119:119" x14ac:dyDescent="0.2">
      <c r="DO36931" s="303" t="s">
        <v>232</v>
      </c>
    </row>
    <row r="36932" spans="119:119" x14ac:dyDescent="0.2">
      <c r="DO36932" s="303" t="s">
        <v>232</v>
      </c>
    </row>
    <row r="36933" spans="119:119" x14ac:dyDescent="0.2">
      <c r="DO36933" s="303" t="s">
        <v>232</v>
      </c>
    </row>
    <row r="36934" spans="119:119" x14ac:dyDescent="0.2">
      <c r="DO36934" s="303" t="s">
        <v>232</v>
      </c>
    </row>
    <row r="36935" spans="119:119" x14ac:dyDescent="0.2">
      <c r="DO36935" s="303" t="s">
        <v>232</v>
      </c>
    </row>
    <row r="36936" spans="119:119" x14ac:dyDescent="0.2">
      <c r="DO36936" s="303" t="s">
        <v>232</v>
      </c>
    </row>
    <row r="36937" spans="119:119" x14ac:dyDescent="0.2">
      <c r="DO36937" s="303" t="s">
        <v>232</v>
      </c>
    </row>
    <row r="36938" spans="119:119" x14ac:dyDescent="0.2">
      <c r="DO36938" s="303" t="s">
        <v>232</v>
      </c>
    </row>
    <row r="36939" spans="119:119" x14ac:dyDescent="0.2">
      <c r="DO36939" s="303" t="s">
        <v>232</v>
      </c>
    </row>
    <row r="36940" spans="119:119" x14ac:dyDescent="0.2">
      <c r="DO36940" s="303" t="s">
        <v>232</v>
      </c>
    </row>
    <row r="36941" spans="119:119" x14ac:dyDescent="0.2">
      <c r="DO36941" s="303" t="s">
        <v>232</v>
      </c>
    </row>
    <row r="36942" spans="119:119" x14ac:dyDescent="0.2">
      <c r="DO36942" s="303" t="s">
        <v>232</v>
      </c>
    </row>
    <row r="36943" spans="119:119" x14ac:dyDescent="0.2">
      <c r="DO36943" s="303" t="s">
        <v>232</v>
      </c>
    </row>
    <row r="36944" spans="119:119" x14ac:dyDescent="0.2">
      <c r="DO36944" s="303" t="s">
        <v>232</v>
      </c>
    </row>
    <row r="36945" spans="119:119" x14ac:dyDescent="0.2">
      <c r="DO36945" s="303" t="s">
        <v>232</v>
      </c>
    </row>
    <row r="36946" spans="119:119" x14ac:dyDescent="0.2">
      <c r="DO36946" s="303" t="s">
        <v>232</v>
      </c>
    </row>
    <row r="36947" spans="119:119" x14ac:dyDescent="0.2">
      <c r="DO36947" s="303" t="s">
        <v>232</v>
      </c>
    </row>
    <row r="36948" spans="119:119" x14ac:dyDescent="0.2">
      <c r="DO36948" s="303" t="s">
        <v>232</v>
      </c>
    </row>
    <row r="36949" spans="119:119" x14ac:dyDescent="0.2">
      <c r="DO36949" s="303" t="s">
        <v>232</v>
      </c>
    </row>
    <row r="36950" spans="119:119" x14ac:dyDescent="0.2">
      <c r="DO36950" s="303" t="s">
        <v>232</v>
      </c>
    </row>
    <row r="36951" spans="119:119" x14ac:dyDescent="0.2">
      <c r="DO36951" s="303" t="s">
        <v>232</v>
      </c>
    </row>
    <row r="36952" spans="119:119" x14ac:dyDescent="0.2">
      <c r="DO36952" s="303" t="s">
        <v>232</v>
      </c>
    </row>
    <row r="36953" spans="119:119" x14ac:dyDescent="0.2">
      <c r="DO36953" s="303" t="s">
        <v>232</v>
      </c>
    </row>
    <row r="36954" spans="119:119" x14ac:dyDescent="0.2">
      <c r="DO36954" s="303" t="s">
        <v>232</v>
      </c>
    </row>
    <row r="36955" spans="119:119" x14ac:dyDescent="0.2">
      <c r="DO36955" s="303" t="s">
        <v>232</v>
      </c>
    </row>
    <row r="36956" spans="119:119" x14ac:dyDescent="0.2">
      <c r="DO36956" s="303" t="s">
        <v>232</v>
      </c>
    </row>
    <row r="36957" spans="119:119" x14ac:dyDescent="0.2">
      <c r="DO36957" s="303" t="s">
        <v>232</v>
      </c>
    </row>
    <row r="36958" spans="119:119" x14ac:dyDescent="0.2">
      <c r="DO36958" s="303" t="s">
        <v>232</v>
      </c>
    </row>
    <row r="36959" spans="119:119" x14ac:dyDescent="0.2">
      <c r="DO36959" s="303" t="s">
        <v>232</v>
      </c>
    </row>
    <row r="36960" spans="119:119" x14ac:dyDescent="0.2">
      <c r="DO36960" s="303" t="s">
        <v>232</v>
      </c>
    </row>
    <row r="36961" spans="119:119" x14ac:dyDescent="0.2">
      <c r="DO36961" s="303" t="s">
        <v>232</v>
      </c>
    </row>
    <row r="36962" spans="119:119" x14ac:dyDescent="0.2">
      <c r="DO36962" s="303" t="s">
        <v>232</v>
      </c>
    </row>
    <row r="36963" spans="119:119" x14ac:dyDescent="0.2">
      <c r="DO36963" s="303" t="s">
        <v>232</v>
      </c>
    </row>
    <row r="36964" spans="119:119" x14ac:dyDescent="0.2">
      <c r="DO36964" s="303" t="s">
        <v>232</v>
      </c>
    </row>
    <row r="36965" spans="119:119" x14ac:dyDescent="0.2">
      <c r="DO36965" s="303" t="s">
        <v>232</v>
      </c>
    </row>
    <row r="36966" spans="119:119" x14ac:dyDescent="0.2">
      <c r="DO36966" s="303" t="s">
        <v>232</v>
      </c>
    </row>
    <row r="36967" spans="119:119" x14ac:dyDescent="0.2">
      <c r="DO36967" s="303" t="s">
        <v>232</v>
      </c>
    </row>
    <row r="36968" spans="119:119" x14ac:dyDescent="0.2">
      <c r="DO36968" s="303" t="s">
        <v>232</v>
      </c>
    </row>
    <row r="36969" spans="119:119" x14ac:dyDescent="0.2">
      <c r="DO36969" s="303" t="s">
        <v>232</v>
      </c>
    </row>
    <row r="36970" spans="119:119" x14ac:dyDescent="0.2">
      <c r="DO36970" s="303" t="s">
        <v>232</v>
      </c>
    </row>
    <row r="36971" spans="119:119" x14ac:dyDescent="0.2">
      <c r="DO36971" s="303" t="s">
        <v>232</v>
      </c>
    </row>
    <row r="36972" spans="119:119" x14ac:dyDescent="0.2">
      <c r="DO36972" s="303" t="s">
        <v>232</v>
      </c>
    </row>
    <row r="36973" spans="119:119" x14ac:dyDescent="0.2">
      <c r="DO36973" s="303" t="s">
        <v>232</v>
      </c>
    </row>
    <row r="36974" spans="119:119" x14ac:dyDescent="0.2">
      <c r="DO36974" s="303" t="s">
        <v>232</v>
      </c>
    </row>
    <row r="36975" spans="119:119" x14ac:dyDescent="0.2">
      <c r="DO36975" s="303" t="s">
        <v>232</v>
      </c>
    </row>
    <row r="36976" spans="119:119" x14ac:dyDescent="0.2">
      <c r="DO36976" s="303" t="s">
        <v>232</v>
      </c>
    </row>
    <row r="36977" spans="119:119" x14ac:dyDescent="0.2">
      <c r="DO36977" s="303" t="s">
        <v>232</v>
      </c>
    </row>
    <row r="36978" spans="119:119" x14ac:dyDescent="0.2">
      <c r="DO36978" s="303" t="s">
        <v>232</v>
      </c>
    </row>
    <row r="36979" spans="119:119" x14ac:dyDescent="0.2">
      <c r="DO36979" s="303" t="s">
        <v>232</v>
      </c>
    </row>
    <row r="36980" spans="119:119" x14ac:dyDescent="0.2">
      <c r="DO36980" s="303" t="s">
        <v>232</v>
      </c>
    </row>
    <row r="36981" spans="119:119" x14ac:dyDescent="0.2">
      <c r="DO36981" s="303" t="s">
        <v>232</v>
      </c>
    </row>
    <row r="36982" spans="119:119" x14ac:dyDescent="0.2">
      <c r="DO36982" s="303" t="s">
        <v>232</v>
      </c>
    </row>
    <row r="36983" spans="119:119" x14ac:dyDescent="0.2">
      <c r="DO36983" s="303" t="s">
        <v>232</v>
      </c>
    </row>
    <row r="36984" spans="119:119" x14ac:dyDescent="0.2">
      <c r="DO36984" s="303" t="s">
        <v>232</v>
      </c>
    </row>
    <row r="36985" spans="119:119" x14ac:dyDescent="0.2">
      <c r="DO36985" s="303" t="s">
        <v>232</v>
      </c>
    </row>
    <row r="36986" spans="119:119" x14ac:dyDescent="0.2">
      <c r="DO36986" s="303" t="s">
        <v>232</v>
      </c>
    </row>
    <row r="36987" spans="119:119" x14ac:dyDescent="0.2">
      <c r="DO36987" s="303" t="s">
        <v>232</v>
      </c>
    </row>
    <row r="36988" spans="119:119" x14ac:dyDescent="0.2">
      <c r="DO36988" s="303" t="s">
        <v>232</v>
      </c>
    </row>
    <row r="36989" spans="119:119" x14ac:dyDescent="0.2">
      <c r="DO36989" s="303" t="s">
        <v>232</v>
      </c>
    </row>
    <row r="36990" spans="119:119" x14ac:dyDescent="0.2">
      <c r="DO36990" s="303" t="s">
        <v>232</v>
      </c>
    </row>
    <row r="36991" spans="119:119" x14ac:dyDescent="0.2">
      <c r="DO36991" s="303" t="s">
        <v>232</v>
      </c>
    </row>
    <row r="36992" spans="119:119" x14ac:dyDescent="0.2">
      <c r="DO36992" s="303" t="s">
        <v>232</v>
      </c>
    </row>
    <row r="36993" spans="119:119" x14ac:dyDescent="0.2">
      <c r="DO36993" s="303" t="s">
        <v>232</v>
      </c>
    </row>
    <row r="36994" spans="119:119" x14ac:dyDescent="0.2">
      <c r="DO36994" s="303" t="s">
        <v>232</v>
      </c>
    </row>
    <row r="36995" spans="119:119" x14ac:dyDescent="0.2">
      <c r="DO36995" s="303" t="s">
        <v>232</v>
      </c>
    </row>
    <row r="36996" spans="119:119" x14ac:dyDescent="0.2">
      <c r="DO36996" s="303" t="s">
        <v>232</v>
      </c>
    </row>
    <row r="36997" spans="119:119" x14ac:dyDescent="0.2">
      <c r="DO36997" s="303" t="s">
        <v>232</v>
      </c>
    </row>
    <row r="36998" spans="119:119" x14ac:dyDescent="0.2">
      <c r="DO36998" s="303" t="s">
        <v>232</v>
      </c>
    </row>
    <row r="36999" spans="119:119" x14ac:dyDescent="0.2">
      <c r="DO36999" s="303" t="s">
        <v>232</v>
      </c>
    </row>
    <row r="37000" spans="119:119" x14ac:dyDescent="0.2">
      <c r="DO37000" s="303" t="s">
        <v>232</v>
      </c>
    </row>
    <row r="37001" spans="119:119" x14ac:dyDescent="0.2">
      <c r="DO37001" s="303" t="s">
        <v>232</v>
      </c>
    </row>
    <row r="37002" spans="119:119" x14ac:dyDescent="0.2">
      <c r="DO37002" s="303" t="s">
        <v>232</v>
      </c>
    </row>
    <row r="37003" spans="119:119" x14ac:dyDescent="0.2">
      <c r="DO37003" s="303" t="s">
        <v>232</v>
      </c>
    </row>
    <row r="37004" spans="119:119" x14ac:dyDescent="0.2">
      <c r="DO37004" s="303" t="s">
        <v>232</v>
      </c>
    </row>
    <row r="37005" spans="119:119" x14ac:dyDescent="0.2">
      <c r="DO37005" s="303" t="s">
        <v>232</v>
      </c>
    </row>
    <row r="37006" spans="119:119" x14ac:dyDescent="0.2">
      <c r="DO37006" s="303" t="s">
        <v>232</v>
      </c>
    </row>
    <row r="37007" spans="119:119" x14ac:dyDescent="0.2">
      <c r="DO37007" s="303" t="s">
        <v>232</v>
      </c>
    </row>
    <row r="37008" spans="119:119" x14ac:dyDescent="0.2">
      <c r="DO37008" s="303" t="s">
        <v>232</v>
      </c>
    </row>
    <row r="37009" spans="119:119" x14ac:dyDescent="0.2">
      <c r="DO37009" s="303" t="s">
        <v>232</v>
      </c>
    </row>
    <row r="37010" spans="119:119" x14ac:dyDescent="0.2">
      <c r="DO37010" s="303" t="s">
        <v>232</v>
      </c>
    </row>
    <row r="37011" spans="119:119" x14ac:dyDescent="0.2">
      <c r="DO37011" s="303" t="s">
        <v>232</v>
      </c>
    </row>
    <row r="37012" spans="119:119" x14ac:dyDescent="0.2">
      <c r="DO37012" s="303" t="s">
        <v>232</v>
      </c>
    </row>
    <row r="37013" spans="119:119" x14ac:dyDescent="0.2">
      <c r="DO37013" s="303" t="s">
        <v>232</v>
      </c>
    </row>
    <row r="37014" spans="119:119" x14ac:dyDescent="0.2">
      <c r="DO37014" s="303" t="s">
        <v>232</v>
      </c>
    </row>
    <row r="37015" spans="119:119" x14ac:dyDescent="0.2">
      <c r="DO37015" s="303" t="s">
        <v>232</v>
      </c>
    </row>
    <row r="37016" spans="119:119" x14ac:dyDescent="0.2">
      <c r="DO37016" s="303" t="s">
        <v>232</v>
      </c>
    </row>
    <row r="37017" spans="119:119" x14ac:dyDescent="0.2">
      <c r="DO37017" s="303" t="s">
        <v>232</v>
      </c>
    </row>
    <row r="37018" spans="119:119" x14ac:dyDescent="0.2">
      <c r="DO37018" s="303" t="s">
        <v>232</v>
      </c>
    </row>
    <row r="37019" spans="119:119" x14ac:dyDescent="0.2">
      <c r="DO37019" s="303" t="s">
        <v>232</v>
      </c>
    </row>
    <row r="37020" spans="119:119" x14ac:dyDescent="0.2">
      <c r="DO37020" s="303" t="s">
        <v>232</v>
      </c>
    </row>
    <row r="37021" spans="119:119" x14ac:dyDescent="0.2">
      <c r="DO37021" s="303" t="s">
        <v>232</v>
      </c>
    </row>
    <row r="37022" spans="119:119" x14ac:dyDescent="0.2">
      <c r="DO37022" s="303" t="s">
        <v>232</v>
      </c>
    </row>
    <row r="37023" spans="119:119" x14ac:dyDescent="0.2">
      <c r="DO37023" s="303" t="s">
        <v>232</v>
      </c>
    </row>
    <row r="37024" spans="119:119" x14ac:dyDescent="0.2">
      <c r="DO37024" s="303" t="s">
        <v>232</v>
      </c>
    </row>
    <row r="37025" spans="119:119" x14ac:dyDescent="0.2">
      <c r="DO37025" s="303" t="s">
        <v>232</v>
      </c>
    </row>
    <row r="37026" spans="119:119" x14ac:dyDescent="0.2">
      <c r="DO37026" s="303" t="s">
        <v>232</v>
      </c>
    </row>
    <row r="37027" spans="119:119" x14ac:dyDescent="0.2">
      <c r="DO37027" s="303" t="s">
        <v>232</v>
      </c>
    </row>
    <row r="37028" spans="119:119" x14ac:dyDescent="0.2">
      <c r="DO37028" s="303" t="s">
        <v>232</v>
      </c>
    </row>
    <row r="37029" spans="119:119" x14ac:dyDescent="0.2">
      <c r="DO37029" s="303" t="s">
        <v>232</v>
      </c>
    </row>
    <row r="37030" spans="119:119" x14ac:dyDescent="0.2">
      <c r="DO37030" s="303" t="s">
        <v>232</v>
      </c>
    </row>
    <row r="37031" spans="119:119" x14ac:dyDescent="0.2">
      <c r="DO37031" s="303" t="s">
        <v>232</v>
      </c>
    </row>
    <row r="37032" spans="119:119" x14ac:dyDescent="0.2">
      <c r="DO37032" s="303" t="s">
        <v>232</v>
      </c>
    </row>
    <row r="37033" spans="119:119" x14ac:dyDescent="0.2">
      <c r="DO37033" s="303" t="s">
        <v>232</v>
      </c>
    </row>
    <row r="37034" spans="119:119" x14ac:dyDescent="0.2">
      <c r="DO37034" s="303" t="s">
        <v>232</v>
      </c>
    </row>
    <row r="37035" spans="119:119" x14ac:dyDescent="0.2">
      <c r="DO37035" s="303" t="s">
        <v>232</v>
      </c>
    </row>
    <row r="37036" spans="119:119" x14ac:dyDescent="0.2">
      <c r="DO37036" s="303" t="s">
        <v>232</v>
      </c>
    </row>
    <row r="37037" spans="119:119" x14ac:dyDescent="0.2">
      <c r="DO37037" s="303" t="s">
        <v>232</v>
      </c>
    </row>
    <row r="37038" spans="119:119" x14ac:dyDescent="0.2">
      <c r="DO37038" s="303" t="s">
        <v>232</v>
      </c>
    </row>
    <row r="37039" spans="119:119" x14ac:dyDescent="0.2">
      <c r="DO37039" s="303" t="s">
        <v>232</v>
      </c>
    </row>
    <row r="37040" spans="119:119" x14ac:dyDescent="0.2">
      <c r="DO37040" s="303" t="s">
        <v>232</v>
      </c>
    </row>
    <row r="37041" spans="119:119" x14ac:dyDescent="0.2">
      <c r="DO37041" s="303" t="s">
        <v>232</v>
      </c>
    </row>
    <row r="37042" spans="119:119" x14ac:dyDescent="0.2">
      <c r="DO37042" s="303" t="s">
        <v>232</v>
      </c>
    </row>
    <row r="37043" spans="119:119" x14ac:dyDescent="0.2">
      <c r="DO37043" s="303" t="s">
        <v>232</v>
      </c>
    </row>
    <row r="37044" spans="119:119" x14ac:dyDescent="0.2">
      <c r="DO37044" s="303" t="s">
        <v>232</v>
      </c>
    </row>
    <row r="37045" spans="119:119" x14ac:dyDescent="0.2">
      <c r="DO37045" s="303" t="s">
        <v>232</v>
      </c>
    </row>
    <row r="37046" spans="119:119" x14ac:dyDescent="0.2">
      <c r="DO37046" s="303" t="s">
        <v>232</v>
      </c>
    </row>
    <row r="37047" spans="119:119" x14ac:dyDescent="0.2">
      <c r="DO37047" s="303" t="s">
        <v>232</v>
      </c>
    </row>
    <row r="37048" spans="119:119" x14ac:dyDescent="0.2">
      <c r="DO37048" s="303" t="s">
        <v>232</v>
      </c>
    </row>
    <row r="37049" spans="119:119" x14ac:dyDescent="0.2">
      <c r="DO37049" s="303" t="s">
        <v>232</v>
      </c>
    </row>
    <row r="37050" spans="119:119" x14ac:dyDescent="0.2">
      <c r="DO37050" s="303" t="s">
        <v>232</v>
      </c>
    </row>
    <row r="37051" spans="119:119" x14ac:dyDescent="0.2">
      <c r="DO37051" s="303" t="s">
        <v>232</v>
      </c>
    </row>
    <row r="37052" spans="119:119" x14ac:dyDescent="0.2">
      <c r="DO37052" s="303" t="s">
        <v>232</v>
      </c>
    </row>
    <row r="37053" spans="119:119" x14ac:dyDescent="0.2">
      <c r="DO37053" s="303" t="s">
        <v>232</v>
      </c>
    </row>
    <row r="37054" spans="119:119" x14ac:dyDescent="0.2">
      <c r="DO37054" s="303" t="s">
        <v>232</v>
      </c>
    </row>
    <row r="37055" spans="119:119" x14ac:dyDescent="0.2">
      <c r="DO37055" s="303" t="s">
        <v>232</v>
      </c>
    </row>
    <row r="37056" spans="119:119" x14ac:dyDescent="0.2">
      <c r="DO37056" s="303" t="s">
        <v>232</v>
      </c>
    </row>
    <row r="37057" spans="119:119" x14ac:dyDescent="0.2">
      <c r="DO37057" s="303" t="s">
        <v>232</v>
      </c>
    </row>
    <row r="37058" spans="119:119" x14ac:dyDescent="0.2">
      <c r="DO37058" s="303" t="s">
        <v>232</v>
      </c>
    </row>
    <row r="37059" spans="119:119" x14ac:dyDescent="0.2">
      <c r="DO37059" s="303" t="s">
        <v>232</v>
      </c>
    </row>
    <row r="37060" spans="119:119" x14ac:dyDescent="0.2">
      <c r="DO37060" s="303" t="s">
        <v>232</v>
      </c>
    </row>
    <row r="37061" spans="119:119" x14ac:dyDescent="0.2">
      <c r="DO37061" s="303" t="s">
        <v>232</v>
      </c>
    </row>
    <row r="37062" spans="119:119" x14ac:dyDescent="0.2">
      <c r="DO37062" s="303" t="s">
        <v>232</v>
      </c>
    </row>
    <row r="37063" spans="119:119" x14ac:dyDescent="0.2">
      <c r="DO37063" s="303" t="s">
        <v>232</v>
      </c>
    </row>
    <row r="37064" spans="119:119" x14ac:dyDescent="0.2">
      <c r="DO37064" s="303" t="s">
        <v>232</v>
      </c>
    </row>
    <row r="37065" spans="119:119" x14ac:dyDescent="0.2">
      <c r="DO37065" s="303" t="s">
        <v>232</v>
      </c>
    </row>
    <row r="37066" spans="119:119" x14ac:dyDescent="0.2">
      <c r="DO37066" s="303" t="s">
        <v>232</v>
      </c>
    </row>
    <row r="37067" spans="119:119" x14ac:dyDescent="0.2">
      <c r="DO37067" s="303" t="s">
        <v>232</v>
      </c>
    </row>
    <row r="37068" spans="119:119" x14ac:dyDescent="0.2">
      <c r="DO37068" s="303" t="s">
        <v>232</v>
      </c>
    </row>
    <row r="37069" spans="119:119" x14ac:dyDescent="0.2">
      <c r="DO37069" s="303" t="s">
        <v>232</v>
      </c>
    </row>
    <row r="37070" spans="119:119" x14ac:dyDescent="0.2">
      <c r="DO37070" s="303" t="s">
        <v>232</v>
      </c>
    </row>
    <row r="37071" spans="119:119" x14ac:dyDescent="0.2">
      <c r="DO37071" s="303" t="s">
        <v>232</v>
      </c>
    </row>
    <row r="37072" spans="119:119" x14ac:dyDescent="0.2">
      <c r="DO37072" s="303" t="s">
        <v>232</v>
      </c>
    </row>
    <row r="37073" spans="119:119" x14ac:dyDescent="0.2">
      <c r="DO37073" s="303" t="s">
        <v>232</v>
      </c>
    </row>
    <row r="37074" spans="119:119" x14ac:dyDescent="0.2">
      <c r="DO37074" s="303" t="s">
        <v>232</v>
      </c>
    </row>
    <row r="37075" spans="119:119" x14ac:dyDescent="0.2">
      <c r="DO37075" s="303" t="s">
        <v>232</v>
      </c>
    </row>
    <row r="37076" spans="119:119" x14ac:dyDescent="0.2">
      <c r="DO37076" s="303" t="s">
        <v>232</v>
      </c>
    </row>
    <row r="37077" spans="119:119" x14ac:dyDescent="0.2">
      <c r="DO37077" s="303" t="s">
        <v>232</v>
      </c>
    </row>
    <row r="37078" spans="119:119" x14ac:dyDescent="0.2">
      <c r="DO37078" s="303" t="s">
        <v>232</v>
      </c>
    </row>
    <row r="37079" spans="119:119" x14ac:dyDescent="0.2">
      <c r="DO37079" s="303" t="s">
        <v>232</v>
      </c>
    </row>
    <row r="37080" spans="119:119" x14ac:dyDescent="0.2">
      <c r="DO37080" s="303" t="s">
        <v>232</v>
      </c>
    </row>
    <row r="37081" spans="119:119" x14ac:dyDescent="0.2">
      <c r="DO37081" s="303" t="s">
        <v>232</v>
      </c>
    </row>
    <row r="37082" spans="119:119" x14ac:dyDescent="0.2">
      <c r="DO37082" s="303" t="s">
        <v>232</v>
      </c>
    </row>
    <row r="37083" spans="119:119" x14ac:dyDescent="0.2">
      <c r="DO37083" s="303" t="s">
        <v>232</v>
      </c>
    </row>
    <row r="37084" spans="119:119" x14ac:dyDescent="0.2">
      <c r="DO37084" s="303" t="s">
        <v>232</v>
      </c>
    </row>
    <row r="37085" spans="119:119" x14ac:dyDescent="0.2">
      <c r="DO37085" s="303" t="s">
        <v>232</v>
      </c>
    </row>
    <row r="37086" spans="119:119" x14ac:dyDescent="0.2">
      <c r="DO37086" s="303" t="s">
        <v>232</v>
      </c>
    </row>
    <row r="37087" spans="119:119" x14ac:dyDescent="0.2">
      <c r="DO37087" s="303" t="s">
        <v>232</v>
      </c>
    </row>
    <row r="37088" spans="119:119" x14ac:dyDescent="0.2">
      <c r="DO37088" s="303" t="s">
        <v>232</v>
      </c>
    </row>
    <row r="37089" spans="119:119" x14ac:dyDescent="0.2">
      <c r="DO37089" s="303" t="s">
        <v>232</v>
      </c>
    </row>
    <row r="37090" spans="119:119" x14ac:dyDescent="0.2">
      <c r="DO37090" s="303" t="s">
        <v>232</v>
      </c>
    </row>
    <row r="37091" spans="119:119" x14ac:dyDescent="0.2">
      <c r="DO37091" s="303" t="s">
        <v>232</v>
      </c>
    </row>
    <row r="37092" spans="119:119" x14ac:dyDescent="0.2">
      <c r="DO37092" s="303" t="s">
        <v>232</v>
      </c>
    </row>
    <row r="37093" spans="119:119" x14ac:dyDescent="0.2">
      <c r="DO37093" s="303" t="s">
        <v>232</v>
      </c>
    </row>
    <row r="37094" spans="119:119" x14ac:dyDescent="0.2">
      <c r="DO37094" s="303" t="s">
        <v>232</v>
      </c>
    </row>
    <row r="37095" spans="119:119" x14ac:dyDescent="0.2">
      <c r="DO37095" s="303" t="s">
        <v>232</v>
      </c>
    </row>
    <row r="37096" spans="119:119" x14ac:dyDescent="0.2">
      <c r="DO37096" s="303" t="s">
        <v>232</v>
      </c>
    </row>
    <row r="37097" spans="119:119" x14ac:dyDescent="0.2">
      <c r="DO37097" s="303" t="s">
        <v>232</v>
      </c>
    </row>
    <row r="37098" spans="119:119" x14ac:dyDescent="0.2">
      <c r="DO37098" s="303" t="s">
        <v>232</v>
      </c>
    </row>
    <row r="37099" spans="119:119" x14ac:dyDescent="0.2">
      <c r="DO37099" s="303" t="s">
        <v>232</v>
      </c>
    </row>
    <row r="37100" spans="119:119" x14ac:dyDescent="0.2">
      <c r="DO37100" s="303" t="s">
        <v>232</v>
      </c>
    </row>
    <row r="37101" spans="119:119" x14ac:dyDescent="0.2">
      <c r="DO37101" s="303" t="s">
        <v>232</v>
      </c>
    </row>
    <row r="37102" spans="119:119" x14ac:dyDescent="0.2">
      <c r="DO37102" s="303" t="s">
        <v>232</v>
      </c>
    </row>
    <row r="37103" spans="119:119" x14ac:dyDescent="0.2">
      <c r="DO37103" s="303" t="s">
        <v>232</v>
      </c>
    </row>
    <row r="37104" spans="119:119" x14ac:dyDescent="0.2">
      <c r="DO37104" s="303" t="s">
        <v>232</v>
      </c>
    </row>
    <row r="37105" spans="119:119" x14ac:dyDescent="0.2">
      <c r="DO37105" s="303" t="s">
        <v>232</v>
      </c>
    </row>
    <row r="37106" spans="119:119" x14ac:dyDescent="0.2">
      <c r="DO37106" s="303" t="s">
        <v>232</v>
      </c>
    </row>
    <row r="37107" spans="119:119" x14ac:dyDescent="0.2">
      <c r="DO37107" s="303" t="s">
        <v>232</v>
      </c>
    </row>
    <row r="37108" spans="119:119" x14ac:dyDescent="0.2">
      <c r="DO37108" s="303" t="s">
        <v>232</v>
      </c>
    </row>
    <row r="37109" spans="119:119" x14ac:dyDescent="0.2">
      <c r="DO37109" s="303" t="s">
        <v>232</v>
      </c>
    </row>
    <row r="37110" spans="119:119" x14ac:dyDescent="0.2">
      <c r="DO37110" s="303" t="s">
        <v>232</v>
      </c>
    </row>
    <row r="37111" spans="119:119" x14ac:dyDescent="0.2">
      <c r="DO37111" s="303" t="s">
        <v>232</v>
      </c>
    </row>
    <row r="37112" spans="119:119" x14ac:dyDescent="0.2">
      <c r="DO37112" s="303" t="s">
        <v>232</v>
      </c>
    </row>
    <row r="37113" spans="119:119" x14ac:dyDescent="0.2">
      <c r="DO37113" s="303" t="s">
        <v>232</v>
      </c>
    </row>
    <row r="37114" spans="119:119" x14ac:dyDescent="0.2">
      <c r="DO37114" s="303" t="s">
        <v>232</v>
      </c>
    </row>
    <row r="37115" spans="119:119" x14ac:dyDescent="0.2">
      <c r="DO37115" s="303" t="s">
        <v>232</v>
      </c>
    </row>
    <row r="37116" spans="119:119" x14ac:dyDescent="0.2">
      <c r="DO37116" s="303" t="s">
        <v>232</v>
      </c>
    </row>
    <row r="37117" spans="119:119" x14ac:dyDescent="0.2">
      <c r="DO37117" s="303" t="s">
        <v>232</v>
      </c>
    </row>
    <row r="37118" spans="119:119" x14ac:dyDescent="0.2">
      <c r="DO37118" s="303" t="s">
        <v>232</v>
      </c>
    </row>
    <row r="37119" spans="119:119" x14ac:dyDescent="0.2">
      <c r="DO37119" s="303" t="s">
        <v>232</v>
      </c>
    </row>
    <row r="37120" spans="119:119" x14ac:dyDescent="0.2">
      <c r="DO37120" s="303" t="s">
        <v>232</v>
      </c>
    </row>
    <row r="37121" spans="119:119" x14ac:dyDescent="0.2">
      <c r="DO37121" s="303" t="s">
        <v>232</v>
      </c>
    </row>
    <row r="37122" spans="119:119" x14ac:dyDescent="0.2">
      <c r="DO37122" s="303" t="s">
        <v>232</v>
      </c>
    </row>
    <row r="37123" spans="119:119" x14ac:dyDescent="0.2">
      <c r="DO37123" s="303" t="s">
        <v>232</v>
      </c>
    </row>
    <row r="37124" spans="119:119" x14ac:dyDescent="0.2">
      <c r="DO37124" s="303" t="s">
        <v>232</v>
      </c>
    </row>
    <row r="37125" spans="119:119" x14ac:dyDescent="0.2">
      <c r="DO37125" s="303" t="s">
        <v>232</v>
      </c>
    </row>
    <row r="37126" spans="119:119" x14ac:dyDescent="0.2">
      <c r="DO37126" s="303" t="s">
        <v>232</v>
      </c>
    </row>
    <row r="37127" spans="119:119" x14ac:dyDescent="0.2">
      <c r="DO37127" s="303" t="s">
        <v>232</v>
      </c>
    </row>
    <row r="37128" spans="119:119" x14ac:dyDescent="0.2">
      <c r="DO37128" s="303" t="s">
        <v>232</v>
      </c>
    </row>
    <row r="37129" spans="119:119" x14ac:dyDescent="0.2">
      <c r="DO37129" s="303" t="s">
        <v>232</v>
      </c>
    </row>
    <row r="37130" spans="119:119" x14ac:dyDescent="0.2">
      <c r="DO37130" s="303" t="s">
        <v>232</v>
      </c>
    </row>
    <row r="37131" spans="119:119" x14ac:dyDescent="0.2">
      <c r="DO37131" s="303" t="s">
        <v>232</v>
      </c>
    </row>
    <row r="37132" spans="119:119" x14ac:dyDescent="0.2">
      <c r="DO37132" s="303" t="s">
        <v>232</v>
      </c>
    </row>
    <row r="37133" spans="119:119" x14ac:dyDescent="0.2">
      <c r="DO37133" s="303" t="s">
        <v>232</v>
      </c>
    </row>
    <row r="37134" spans="119:119" x14ac:dyDescent="0.2">
      <c r="DO37134" s="303" t="s">
        <v>232</v>
      </c>
    </row>
    <row r="37135" spans="119:119" x14ac:dyDescent="0.2">
      <c r="DO37135" s="303" t="s">
        <v>232</v>
      </c>
    </row>
    <row r="37136" spans="119:119" x14ac:dyDescent="0.2">
      <c r="DO37136" s="303" t="s">
        <v>232</v>
      </c>
    </row>
    <row r="37137" spans="119:119" x14ac:dyDescent="0.2">
      <c r="DO37137" s="303" t="s">
        <v>232</v>
      </c>
    </row>
    <row r="37138" spans="119:119" x14ac:dyDescent="0.2">
      <c r="DO37138" s="303" t="s">
        <v>232</v>
      </c>
    </row>
    <row r="37139" spans="119:119" x14ac:dyDescent="0.2">
      <c r="DO37139" s="303" t="s">
        <v>232</v>
      </c>
    </row>
    <row r="37140" spans="119:119" x14ac:dyDescent="0.2">
      <c r="DO37140" s="303" t="s">
        <v>232</v>
      </c>
    </row>
    <row r="37141" spans="119:119" x14ac:dyDescent="0.2">
      <c r="DO37141" s="303" t="s">
        <v>232</v>
      </c>
    </row>
    <row r="37142" spans="119:119" x14ac:dyDescent="0.2">
      <c r="DO37142" s="303" t="s">
        <v>232</v>
      </c>
    </row>
    <row r="37143" spans="119:119" x14ac:dyDescent="0.2">
      <c r="DO37143" s="303" t="s">
        <v>232</v>
      </c>
    </row>
    <row r="37144" spans="119:119" x14ac:dyDescent="0.2">
      <c r="DO37144" s="303" t="s">
        <v>232</v>
      </c>
    </row>
    <row r="37145" spans="119:119" x14ac:dyDescent="0.2">
      <c r="DO37145" s="303" t="s">
        <v>232</v>
      </c>
    </row>
    <row r="37146" spans="119:119" x14ac:dyDescent="0.2">
      <c r="DO37146" s="303" t="s">
        <v>232</v>
      </c>
    </row>
    <row r="37147" spans="119:119" x14ac:dyDescent="0.2">
      <c r="DO37147" s="303" t="s">
        <v>232</v>
      </c>
    </row>
    <row r="37148" spans="119:119" x14ac:dyDescent="0.2">
      <c r="DO37148" s="303" t="s">
        <v>232</v>
      </c>
    </row>
    <row r="37149" spans="119:119" x14ac:dyDescent="0.2">
      <c r="DO37149" s="303" t="s">
        <v>232</v>
      </c>
    </row>
    <row r="37150" spans="119:119" x14ac:dyDescent="0.2">
      <c r="DO37150" s="303" t="s">
        <v>232</v>
      </c>
    </row>
    <row r="37151" spans="119:119" x14ac:dyDescent="0.2">
      <c r="DO37151" s="303" t="s">
        <v>232</v>
      </c>
    </row>
    <row r="37152" spans="119:119" x14ac:dyDescent="0.2">
      <c r="DO37152" s="303" t="s">
        <v>232</v>
      </c>
    </row>
    <row r="37153" spans="119:119" x14ac:dyDescent="0.2">
      <c r="DO37153" s="303" t="s">
        <v>232</v>
      </c>
    </row>
    <row r="37154" spans="119:119" x14ac:dyDescent="0.2">
      <c r="DO37154" s="303" t="s">
        <v>232</v>
      </c>
    </row>
    <row r="37155" spans="119:119" x14ac:dyDescent="0.2">
      <c r="DO37155" s="303" t="s">
        <v>232</v>
      </c>
    </row>
    <row r="37156" spans="119:119" x14ac:dyDescent="0.2">
      <c r="DO37156" s="303" t="s">
        <v>232</v>
      </c>
    </row>
    <row r="37157" spans="119:119" x14ac:dyDescent="0.2">
      <c r="DO37157" s="303" t="s">
        <v>232</v>
      </c>
    </row>
    <row r="37158" spans="119:119" x14ac:dyDescent="0.2">
      <c r="DO37158" s="303" t="s">
        <v>232</v>
      </c>
    </row>
    <row r="37159" spans="119:119" x14ac:dyDescent="0.2">
      <c r="DO37159" s="303" t="s">
        <v>232</v>
      </c>
    </row>
    <row r="37160" spans="119:119" x14ac:dyDescent="0.2">
      <c r="DO37160" s="303" t="s">
        <v>232</v>
      </c>
    </row>
    <row r="37161" spans="119:119" x14ac:dyDescent="0.2">
      <c r="DO37161" s="303" t="s">
        <v>232</v>
      </c>
    </row>
    <row r="37162" spans="119:119" x14ac:dyDescent="0.2">
      <c r="DO37162" s="303" t="s">
        <v>232</v>
      </c>
    </row>
    <row r="37163" spans="119:119" x14ac:dyDescent="0.2">
      <c r="DO37163" s="303" t="s">
        <v>232</v>
      </c>
    </row>
    <row r="37164" spans="119:119" x14ac:dyDescent="0.2">
      <c r="DO37164" s="303" t="s">
        <v>232</v>
      </c>
    </row>
    <row r="37165" spans="119:119" x14ac:dyDescent="0.2">
      <c r="DO37165" s="303" t="s">
        <v>232</v>
      </c>
    </row>
    <row r="37166" spans="119:119" x14ac:dyDescent="0.2">
      <c r="DO37166" s="303" t="s">
        <v>232</v>
      </c>
    </row>
    <row r="37167" spans="119:119" x14ac:dyDescent="0.2">
      <c r="DO37167" s="303" t="s">
        <v>232</v>
      </c>
    </row>
    <row r="37168" spans="119:119" x14ac:dyDescent="0.2">
      <c r="DO37168" s="303" t="s">
        <v>232</v>
      </c>
    </row>
    <row r="37169" spans="119:119" x14ac:dyDescent="0.2">
      <c r="DO37169" s="303" t="s">
        <v>232</v>
      </c>
    </row>
    <row r="37170" spans="119:119" x14ac:dyDescent="0.2">
      <c r="DO37170" s="303" t="s">
        <v>232</v>
      </c>
    </row>
    <row r="37171" spans="119:119" x14ac:dyDescent="0.2">
      <c r="DO37171" s="303" t="s">
        <v>232</v>
      </c>
    </row>
    <row r="37172" spans="119:119" x14ac:dyDescent="0.2">
      <c r="DO37172" s="303" t="s">
        <v>232</v>
      </c>
    </row>
    <row r="37173" spans="119:119" x14ac:dyDescent="0.2">
      <c r="DO37173" s="303" t="s">
        <v>232</v>
      </c>
    </row>
    <row r="37174" spans="119:119" x14ac:dyDescent="0.2">
      <c r="DO37174" s="303" t="s">
        <v>232</v>
      </c>
    </row>
    <row r="37175" spans="119:119" x14ac:dyDescent="0.2">
      <c r="DO37175" s="303" t="s">
        <v>232</v>
      </c>
    </row>
    <row r="37176" spans="119:119" x14ac:dyDescent="0.2">
      <c r="DO37176" s="303" t="s">
        <v>232</v>
      </c>
    </row>
    <row r="37177" spans="119:119" x14ac:dyDescent="0.2">
      <c r="DO37177" s="303" t="s">
        <v>232</v>
      </c>
    </row>
    <row r="37178" spans="119:119" x14ac:dyDescent="0.2">
      <c r="DO37178" s="303" t="s">
        <v>232</v>
      </c>
    </row>
    <row r="37179" spans="119:119" x14ac:dyDescent="0.2">
      <c r="DO37179" s="303" t="s">
        <v>232</v>
      </c>
    </row>
    <row r="37180" spans="119:119" x14ac:dyDescent="0.2">
      <c r="DO37180" s="303" t="s">
        <v>232</v>
      </c>
    </row>
    <row r="37181" spans="119:119" x14ac:dyDescent="0.2">
      <c r="DO37181" s="303" t="s">
        <v>232</v>
      </c>
    </row>
    <row r="37182" spans="119:119" x14ac:dyDescent="0.2">
      <c r="DO37182" s="303" t="s">
        <v>232</v>
      </c>
    </row>
    <row r="37183" spans="119:119" x14ac:dyDescent="0.2">
      <c r="DO37183" s="303" t="s">
        <v>232</v>
      </c>
    </row>
    <row r="37184" spans="119:119" x14ac:dyDescent="0.2">
      <c r="DO37184" s="303" t="s">
        <v>232</v>
      </c>
    </row>
    <row r="37185" spans="119:119" x14ac:dyDescent="0.2">
      <c r="DO37185" s="303" t="s">
        <v>232</v>
      </c>
    </row>
    <row r="37186" spans="119:119" x14ac:dyDescent="0.2">
      <c r="DO37186" s="303" t="s">
        <v>232</v>
      </c>
    </row>
    <row r="37187" spans="119:119" x14ac:dyDescent="0.2">
      <c r="DO37187" s="303" t="s">
        <v>232</v>
      </c>
    </row>
    <row r="37188" spans="119:119" x14ac:dyDescent="0.2">
      <c r="DO37188" s="303" t="s">
        <v>232</v>
      </c>
    </row>
    <row r="37189" spans="119:119" x14ac:dyDescent="0.2">
      <c r="DO37189" s="303" t="s">
        <v>232</v>
      </c>
    </row>
    <row r="37190" spans="119:119" x14ac:dyDescent="0.2">
      <c r="DO37190" s="303" t="s">
        <v>232</v>
      </c>
    </row>
    <row r="37191" spans="119:119" x14ac:dyDescent="0.2">
      <c r="DO37191" s="303" t="s">
        <v>232</v>
      </c>
    </row>
    <row r="37192" spans="119:119" x14ac:dyDescent="0.2">
      <c r="DO37192" s="303" t="s">
        <v>232</v>
      </c>
    </row>
    <row r="37193" spans="119:119" x14ac:dyDescent="0.2">
      <c r="DO37193" s="303" t="s">
        <v>232</v>
      </c>
    </row>
    <row r="37194" spans="119:119" x14ac:dyDescent="0.2">
      <c r="DO37194" s="303" t="s">
        <v>232</v>
      </c>
    </row>
    <row r="37195" spans="119:119" x14ac:dyDescent="0.2">
      <c r="DO37195" s="303" t="s">
        <v>232</v>
      </c>
    </row>
    <row r="37196" spans="119:119" x14ac:dyDescent="0.2">
      <c r="DO37196" s="303" t="s">
        <v>232</v>
      </c>
    </row>
    <row r="37197" spans="119:119" x14ac:dyDescent="0.2">
      <c r="DO37197" s="303" t="s">
        <v>232</v>
      </c>
    </row>
    <row r="37198" spans="119:119" x14ac:dyDescent="0.2">
      <c r="DO37198" s="303" t="s">
        <v>232</v>
      </c>
    </row>
    <row r="37199" spans="119:119" x14ac:dyDescent="0.2">
      <c r="DO37199" s="303" t="s">
        <v>232</v>
      </c>
    </row>
    <row r="37200" spans="119:119" x14ac:dyDescent="0.2">
      <c r="DO37200" s="303" t="s">
        <v>232</v>
      </c>
    </row>
    <row r="37201" spans="119:119" x14ac:dyDescent="0.2">
      <c r="DO37201" s="303" t="s">
        <v>232</v>
      </c>
    </row>
    <row r="37202" spans="119:119" x14ac:dyDescent="0.2">
      <c r="DO37202" s="303" t="s">
        <v>232</v>
      </c>
    </row>
    <row r="37203" spans="119:119" x14ac:dyDescent="0.2">
      <c r="DO37203" s="303" t="s">
        <v>232</v>
      </c>
    </row>
    <row r="37204" spans="119:119" x14ac:dyDescent="0.2">
      <c r="DO37204" s="303" t="s">
        <v>232</v>
      </c>
    </row>
    <row r="37205" spans="119:119" x14ac:dyDescent="0.2">
      <c r="DO37205" s="303" t="s">
        <v>232</v>
      </c>
    </row>
    <row r="37206" spans="119:119" x14ac:dyDescent="0.2">
      <c r="DO37206" s="303" t="s">
        <v>232</v>
      </c>
    </row>
    <row r="37207" spans="119:119" x14ac:dyDescent="0.2">
      <c r="DO37207" s="303" t="s">
        <v>232</v>
      </c>
    </row>
    <row r="37208" spans="119:119" x14ac:dyDescent="0.2">
      <c r="DO37208" s="303" t="s">
        <v>232</v>
      </c>
    </row>
    <row r="37209" spans="119:119" x14ac:dyDescent="0.2">
      <c r="DO37209" s="303" t="s">
        <v>232</v>
      </c>
    </row>
    <row r="37210" spans="119:119" x14ac:dyDescent="0.2">
      <c r="DO37210" s="303" t="s">
        <v>232</v>
      </c>
    </row>
    <row r="37211" spans="119:119" x14ac:dyDescent="0.2">
      <c r="DO37211" s="303" t="s">
        <v>232</v>
      </c>
    </row>
    <row r="37212" spans="119:119" x14ac:dyDescent="0.2">
      <c r="DO37212" s="303" t="s">
        <v>232</v>
      </c>
    </row>
    <row r="37213" spans="119:119" x14ac:dyDescent="0.2">
      <c r="DO37213" s="303" t="s">
        <v>232</v>
      </c>
    </row>
    <row r="37214" spans="119:119" x14ac:dyDescent="0.2">
      <c r="DO37214" s="303" t="s">
        <v>232</v>
      </c>
    </row>
    <row r="37215" spans="119:119" x14ac:dyDescent="0.2">
      <c r="DO37215" s="303" t="s">
        <v>232</v>
      </c>
    </row>
    <row r="37216" spans="119:119" x14ac:dyDescent="0.2">
      <c r="DO37216" s="303" t="s">
        <v>232</v>
      </c>
    </row>
    <row r="37217" spans="119:119" x14ac:dyDescent="0.2">
      <c r="DO37217" s="303" t="s">
        <v>232</v>
      </c>
    </row>
    <row r="37218" spans="119:119" x14ac:dyDescent="0.2">
      <c r="DO37218" s="303" t="s">
        <v>232</v>
      </c>
    </row>
    <row r="37219" spans="119:119" x14ac:dyDescent="0.2">
      <c r="DO37219" s="303" t="s">
        <v>232</v>
      </c>
    </row>
    <row r="37220" spans="119:119" x14ac:dyDescent="0.2">
      <c r="DO37220" s="303" t="s">
        <v>232</v>
      </c>
    </row>
    <row r="37221" spans="119:119" x14ac:dyDescent="0.2">
      <c r="DO37221" s="303" t="s">
        <v>232</v>
      </c>
    </row>
    <row r="37222" spans="119:119" x14ac:dyDescent="0.2">
      <c r="DO37222" s="303" t="s">
        <v>232</v>
      </c>
    </row>
    <row r="37223" spans="119:119" x14ac:dyDescent="0.2">
      <c r="DO37223" s="303" t="s">
        <v>232</v>
      </c>
    </row>
    <row r="37224" spans="119:119" x14ac:dyDescent="0.2">
      <c r="DO37224" s="303" t="s">
        <v>232</v>
      </c>
    </row>
    <row r="37225" spans="119:119" x14ac:dyDescent="0.2">
      <c r="DO37225" s="303" t="s">
        <v>232</v>
      </c>
    </row>
    <row r="37226" spans="119:119" x14ac:dyDescent="0.2">
      <c r="DO37226" s="303" t="s">
        <v>232</v>
      </c>
    </row>
    <row r="37227" spans="119:119" x14ac:dyDescent="0.2">
      <c r="DO37227" s="303" t="s">
        <v>232</v>
      </c>
    </row>
    <row r="37228" spans="119:119" x14ac:dyDescent="0.2">
      <c r="DO37228" s="303" t="s">
        <v>232</v>
      </c>
    </row>
    <row r="37229" spans="119:119" x14ac:dyDescent="0.2">
      <c r="DO37229" s="303" t="s">
        <v>232</v>
      </c>
    </row>
    <row r="37230" spans="119:119" x14ac:dyDescent="0.2">
      <c r="DO37230" s="303" t="s">
        <v>232</v>
      </c>
    </row>
    <row r="37231" spans="119:119" x14ac:dyDescent="0.2">
      <c r="DO37231" s="303" t="s">
        <v>232</v>
      </c>
    </row>
    <row r="37232" spans="119:119" x14ac:dyDescent="0.2">
      <c r="DO37232" s="303" t="s">
        <v>232</v>
      </c>
    </row>
    <row r="37233" spans="119:119" x14ac:dyDescent="0.2">
      <c r="DO37233" s="303" t="s">
        <v>232</v>
      </c>
    </row>
    <row r="37234" spans="119:119" x14ac:dyDescent="0.2">
      <c r="DO37234" s="303" t="s">
        <v>232</v>
      </c>
    </row>
    <row r="37235" spans="119:119" x14ac:dyDescent="0.2">
      <c r="DO37235" s="303" t="s">
        <v>232</v>
      </c>
    </row>
    <row r="37236" spans="119:119" x14ac:dyDescent="0.2">
      <c r="DO37236" s="303" t="s">
        <v>232</v>
      </c>
    </row>
    <row r="37237" spans="119:119" x14ac:dyDescent="0.2">
      <c r="DO37237" s="303" t="s">
        <v>232</v>
      </c>
    </row>
    <row r="37238" spans="119:119" x14ac:dyDescent="0.2">
      <c r="DO37238" s="303" t="s">
        <v>232</v>
      </c>
    </row>
    <row r="37239" spans="119:119" x14ac:dyDescent="0.2">
      <c r="DO37239" s="303" t="s">
        <v>232</v>
      </c>
    </row>
    <row r="37240" spans="119:119" x14ac:dyDescent="0.2">
      <c r="DO37240" s="303" t="s">
        <v>232</v>
      </c>
    </row>
    <row r="37241" spans="119:119" x14ac:dyDescent="0.2">
      <c r="DO37241" s="303" t="s">
        <v>232</v>
      </c>
    </row>
    <row r="37242" spans="119:119" x14ac:dyDescent="0.2">
      <c r="DO37242" s="303" t="s">
        <v>232</v>
      </c>
    </row>
    <row r="37243" spans="119:119" x14ac:dyDescent="0.2">
      <c r="DO37243" s="303" t="s">
        <v>232</v>
      </c>
    </row>
    <row r="37244" spans="119:119" x14ac:dyDescent="0.2">
      <c r="DO37244" s="303" t="s">
        <v>232</v>
      </c>
    </row>
    <row r="37245" spans="119:119" x14ac:dyDescent="0.2">
      <c r="DO37245" s="303" t="s">
        <v>232</v>
      </c>
    </row>
    <row r="37246" spans="119:119" x14ac:dyDescent="0.2">
      <c r="DO37246" s="303" t="s">
        <v>232</v>
      </c>
    </row>
    <row r="37247" spans="119:119" x14ac:dyDescent="0.2">
      <c r="DO37247" s="303" t="s">
        <v>232</v>
      </c>
    </row>
    <row r="37248" spans="119:119" x14ac:dyDescent="0.2">
      <c r="DO37248" s="303" t="s">
        <v>232</v>
      </c>
    </row>
    <row r="37249" spans="119:119" x14ac:dyDescent="0.2">
      <c r="DO37249" s="303" t="s">
        <v>232</v>
      </c>
    </row>
    <row r="37250" spans="119:119" x14ac:dyDescent="0.2">
      <c r="DO37250" s="303" t="s">
        <v>232</v>
      </c>
    </row>
    <row r="37251" spans="119:119" x14ac:dyDescent="0.2">
      <c r="DO37251" s="303" t="s">
        <v>232</v>
      </c>
    </row>
    <row r="37252" spans="119:119" x14ac:dyDescent="0.2">
      <c r="DO37252" s="303" t="s">
        <v>232</v>
      </c>
    </row>
    <row r="37253" spans="119:119" x14ac:dyDescent="0.2">
      <c r="DO37253" s="303" t="s">
        <v>232</v>
      </c>
    </row>
    <row r="37254" spans="119:119" x14ac:dyDescent="0.2">
      <c r="DO37254" s="303" t="s">
        <v>232</v>
      </c>
    </row>
    <row r="37255" spans="119:119" x14ac:dyDescent="0.2">
      <c r="DO37255" s="303" t="s">
        <v>232</v>
      </c>
    </row>
    <row r="37256" spans="119:119" x14ac:dyDescent="0.2">
      <c r="DO37256" s="303" t="s">
        <v>232</v>
      </c>
    </row>
    <row r="37257" spans="119:119" x14ac:dyDescent="0.2">
      <c r="DO37257" s="303" t="s">
        <v>232</v>
      </c>
    </row>
    <row r="37258" spans="119:119" x14ac:dyDescent="0.2">
      <c r="DO37258" s="303" t="s">
        <v>232</v>
      </c>
    </row>
    <row r="37259" spans="119:119" x14ac:dyDescent="0.2">
      <c r="DO37259" s="303" t="s">
        <v>232</v>
      </c>
    </row>
    <row r="37260" spans="119:119" x14ac:dyDescent="0.2">
      <c r="DO37260" s="303" t="s">
        <v>232</v>
      </c>
    </row>
    <row r="37261" spans="119:119" x14ac:dyDescent="0.2">
      <c r="DO37261" s="303" t="s">
        <v>232</v>
      </c>
    </row>
    <row r="37262" spans="119:119" x14ac:dyDescent="0.2">
      <c r="DO37262" s="303" t="s">
        <v>232</v>
      </c>
    </row>
    <row r="37263" spans="119:119" x14ac:dyDescent="0.2">
      <c r="DO37263" s="303" t="s">
        <v>232</v>
      </c>
    </row>
    <row r="37264" spans="119:119" x14ac:dyDescent="0.2">
      <c r="DO37264" s="303" t="s">
        <v>232</v>
      </c>
    </row>
    <row r="37265" spans="119:119" x14ac:dyDescent="0.2">
      <c r="DO37265" s="303" t="s">
        <v>232</v>
      </c>
    </row>
    <row r="37266" spans="119:119" x14ac:dyDescent="0.2">
      <c r="DO37266" s="303" t="s">
        <v>232</v>
      </c>
    </row>
    <row r="37267" spans="119:119" x14ac:dyDescent="0.2">
      <c r="DO37267" s="303" t="s">
        <v>232</v>
      </c>
    </row>
    <row r="37268" spans="119:119" x14ac:dyDescent="0.2">
      <c r="DO37268" s="303" t="s">
        <v>232</v>
      </c>
    </row>
    <row r="37269" spans="119:119" x14ac:dyDescent="0.2">
      <c r="DO37269" s="303" t="s">
        <v>232</v>
      </c>
    </row>
    <row r="37270" spans="119:119" x14ac:dyDescent="0.2">
      <c r="DO37270" s="303" t="s">
        <v>232</v>
      </c>
    </row>
    <row r="37271" spans="119:119" x14ac:dyDescent="0.2">
      <c r="DO37271" s="303" t="s">
        <v>232</v>
      </c>
    </row>
    <row r="37272" spans="119:119" x14ac:dyDescent="0.2">
      <c r="DO37272" s="303" t="s">
        <v>232</v>
      </c>
    </row>
    <row r="37273" spans="119:119" x14ac:dyDescent="0.2">
      <c r="DO37273" s="303" t="s">
        <v>232</v>
      </c>
    </row>
    <row r="37274" spans="119:119" x14ac:dyDescent="0.2">
      <c r="DO37274" s="303" t="s">
        <v>232</v>
      </c>
    </row>
    <row r="37275" spans="119:119" x14ac:dyDescent="0.2">
      <c r="DO37275" s="303" t="s">
        <v>232</v>
      </c>
    </row>
    <row r="37276" spans="119:119" x14ac:dyDescent="0.2">
      <c r="DO37276" s="303" t="s">
        <v>232</v>
      </c>
    </row>
    <row r="37277" spans="119:119" x14ac:dyDescent="0.2">
      <c r="DO37277" s="303" t="s">
        <v>232</v>
      </c>
    </row>
    <row r="37278" spans="119:119" x14ac:dyDescent="0.2">
      <c r="DO37278" s="303" t="s">
        <v>232</v>
      </c>
    </row>
    <row r="37279" spans="119:119" x14ac:dyDescent="0.2">
      <c r="DO37279" s="303" t="s">
        <v>232</v>
      </c>
    </row>
    <row r="37280" spans="119:119" x14ac:dyDescent="0.2">
      <c r="DO37280" s="303" t="s">
        <v>232</v>
      </c>
    </row>
    <row r="37281" spans="119:119" x14ac:dyDescent="0.2">
      <c r="DO37281" s="303" t="s">
        <v>232</v>
      </c>
    </row>
    <row r="37282" spans="119:119" x14ac:dyDescent="0.2">
      <c r="DO37282" s="303" t="s">
        <v>232</v>
      </c>
    </row>
    <row r="37283" spans="119:119" x14ac:dyDescent="0.2">
      <c r="DO37283" s="303" t="s">
        <v>232</v>
      </c>
    </row>
    <row r="37284" spans="119:119" x14ac:dyDescent="0.2">
      <c r="DO37284" s="303" t="s">
        <v>232</v>
      </c>
    </row>
    <row r="37285" spans="119:119" x14ac:dyDescent="0.2">
      <c r="DO37285" s="303" t="s">
        <v>232</v>
      </c>
    </row>
    <row r="37286" spans="119:119" x14ac:dyDescent="0.2">
      <c r="DO37286" s="303" t="s">
        <v>232</v>
      </c>
    </row>
    <row r="37287" spans="119:119" x14ac:dyDescent="0.2">
      <c r="DO37287" s="303" t="s">
        <v>232</v>
      </c>
    </row>
    <row r="37288" spans="119:119" x14ac:dyDescent="0.2">
      <c r="DO37288" s="303" t="s">
        <v>232</v>
      </c>
    </row>
    <row r="37289" spans="119:119" x14ac:dyDescent="0.2">
      <c r="DO37289" s="303" t="s">
        <v>232</v>
      </c>
    </row>
    <row r="37290" spans="119:119" x14ac:dyDescent="0.2">
      <c r="DO37290" s="303" t="s">
        <v>232</v>
      </c>
    </row>
    <row r="37291" spans="119:119" x14ac:dyDescent="0.2">
      <c r="DO37291" s="303" t="s">
        <v>232</v>
      </c>
    </row>
    <row r="37292" spans="119:119" x14ac:dyDescent="0.2">
      <c r="DO37292" s="303" t="s">
        <v>232</v>
      </c>
    </row>
    <row r="37293" spans="119:119" x14ac:dyDescent="0.2">
      <c r="DO37293" s="303" t="s">
        <v>232</v>
      </c>
    </row>
    <row r="37294" spans="119:119" x14ac:dyDescent="0.2">
      <c r="DO37294" s="303" t="s">
        <v>232</v>
      </c>
    </row>
    <row r="37295" spans="119:119" x14ac:dyDescent="0.2">
      <c r="DO37295" s="303" t="s">
        <v>232</v>
      </c>
    </row>
    <row r="37296" spans="119:119" x14ac:dyDescent="0.2">
      <c r="DO37296" s="303" t="s">
        <v>232</v>
      </c>
    </row>
    <row r="37297" spans="119:119" x14ac:dyDescent="0.2">
      <c r="DO37297" s="303" t="s">
        <v>232</v>
      </c>
    </row>
    <row r="37298" spans="119:119" x14ac:dyDescent="0.2">
      <c r="DO37298" s="303" t="s">
        <v>232</v>
      </c>
    </row>
    <row r="37299" spans="119:119" x14ac:dyDescent="0.2">
      <c r="DO37299" s="303" t="s">
        <v>232</v>
      </c>
    </row>
    <row r="37300" spans="119:119" x14ac:dyDescent="0.2">
      <c r="DO37300" s="303" t="s">
        <v>232</v>
      </c>
    </row>
    <row r="37301" spans="119:119" x14ac:dyDescent="0.2">
      <c r="DO37301" s="303" t="s">
        <v>232</v>
      </c>
    </row>
    <row r="37302" spans="119:119" x14ac:dyDescent="0.2">
      <c r="DO37302" s="303" t="s">
        <v>232</v>
      </c>
    </row>
    <row r="37303" spans="119:119" x14ac:dyDescent="0.2">
      <c r="DO37303" s="303" t="s">
        <v>232</v>
      </c>
    </row>
    <row r="37304" spans="119:119" x14ac:dyDescent="0.2">
      <c r="DO37304" s="303" t="s">
        <v>232</v>
      </c>
    </row>
    <row r="37305" spans="119:119" x14ac:dyDescent="0.2">
      <c r="DO37305" s="303" t="s">
        <v>232</v>
      </c>
    </row>
    <row r="37306" spans="119:119" x14ac:dyDescent="0.2">
      <c r="DO37306" s="303" t="s">
        <v>232</v>
      </c>
    </row>
    <row r="37307" spans="119:119" x14ac:dyDescent="0.2">
      <c r="DO37307" s="303" t="s">
        <v>232</v>
      </c>
    </row>
    <row r="37308" spans="119:119" x14ac:dyDescent="0.2">
      <c r="DO37308" s="303" t="s">
        <v>232</v>
      </c>
    </row>
    <row r="37309" spans="119:119" x14ac:dyDescent="0.2">
      <c r="DO37309" s="303" t="s">
        <v>232</v>
      </c>
    </row>
    <row r="37310" spans="119:119" x14ac:dyDescent="0.2">
      <c r="DO37310" s="303" t="s">
        <v>232</v>
      </c>
    </row>
    <row r="37311" spans="119:119" x14ac:dyDescent="0.2">
      <c r="DO37311" s="303" t="s">
        <v>232</v>
      </c>
    </row>
    <row r="37312" spans="119:119" x14ac:dyDescent="0.2">
      <c r="DO37312" s="303" t="s">
        <v>232</v>
      </c>
    </row>
    <row r="37313" spans="119:119" x14ac:dyDescent="0.2">
      <c r="DO37313" s="303" t="s">
        <v>232</v>
      </c>
    </row>
    <row r="37314" spans="119:119" x14ac:dyDescent="0.2">
      <c r="DO37314" s="303" t="s">
        <v>232</v>
      </c>
    </row>
    <row r="37315" spans="119:119" x14ac:dyDescent="0.2">
      <c r="DO37315" s="303" t="s">
        <v>232</v>
      </c>
    </row>
    <row r="37316" spans="119:119" x14ac:dyDescent="0.2">
      <c r="DO37316" s="303" t="s">
        <v>232</v>
      </c>
    </row>
    <row r="37317" spans="119:119" x14ac:dyDescent="0.2">
      <c r="DO37317" s="303" t="s">
        <v>232</v>
      </c>
    </row>
    <row r="37318" spans="119:119" x14ac:dyDescent="0.2">
      <c r="DO37318" s="303" t="s">
        <v>232</v>
      </c>
    </row>
    <row r="37319" spans="119:119" x14ac:dyDescent="0.2">
      <c r="DO37319" s="303" t="s">
        <v>232</v>
      </c>
    </row>
    <row r="37320" spans="119:119" x14ac:dyDescent="0.2">
      <c r="DO37320" s="303" t="s">
        <v>232</v>
      </c>
    </row>
    <row r="37321" spans="119:119" x14ac:dyDescent="0.2">
      <c r="DO37321" s="303" t="s">
        <v>232</v>
      </c>
    </row>
    <row r="37322" spans="119:119" x14ac:dyDescent="0.2">
      <c r="DO37322" s="303" t="s">
        <v>232</v>
      </c>
    </row>
    <row r="37323" spans="119:119" x14ac:dyDescent="0.2">
      <c r="DO37323" s="303" t="s">
        <v>232</v>
      </c>
    </row>
    <row r="37324" spans="119:119" x14ac:dyDescent="0.2">
      <c r="DO37324" s="303" t="s">
        <v>232</v>
      </c>
    </row>
    <row r="37325" spans="119:119" x14ac:dyDescent="0.2">
      <c r="DO37325" s="303" t="s">
        <v>232</v>
      </c>
    </row>
    <row r="37326" spans="119:119" x14ac:dyDescent="0.2">
      <c r="DO37326" s="303" t="s">
        <v>232</v>
      </c>
    </row>
    <row r="37327" spans="119:119" x14ac:dyDescent="0.2">
      <c r="DO37327" s="303" t="s">
        <v>232</v>
      </c>
    </row>
    <row r="37328" spans="119:119" x14ac:dyDescent="0.2">
      <c r="DO37328" s="303" t="s">
        <v>232</v>
      </c>
    </row>
    <row r="37329" spans="119:119" x14ac:dyDescent="0.2">
      <c r="DO37329" s="303" t="s">
        <v>232</v>
      </c>
    </row>
    <row r="37330" spans="119:119" x14ac:dyDescent="0.2">
      <c r="DO37330" s="303" t="s">
        <v>232</v>
      </c>
    </row>
    <row r="37331" spans="119:119" x14ac:dyDescent="0.2">
      <c r="DO37331" s="303" t="s">
        <v>232</v>
      </c>
    </row>
    <row r="37332" spans="119:119" x14ac:dyDescent="0.2">
      <c r="DO37332" s="303" t="s">
        <v>232</v>
      </c>
    </row>
    <row r="37333" spans="119:119" x14ac:dyDescent="0.2">
      <c r="DO37333" s="303" t="s">
        <v>232</v>
      </c>
    </row>
    <row r="37334" spans="119:119" x14ac:dyDescent="0.2">
      <c r="DO37334" s="303" t="s">
        <v>232</v>
      </c>
    </row>
    <row r="37335" spans="119:119" x14ac:dyDescent="0.2">
      <c r="DO37335" s="303" t="s">
        <v>232</v>
      </c>
    </row>
    <row r="37336" spans="119:119" x14ac:dyDescent="0.2">
      <c r="DO37336" s="303" t="s">
        <v>232</v>
      </c>
    </row>
    <row r="37337" spans="119:119" x14ac:dyDescent="0.2">
      <c r="DO37337" s="303" t="s">
        <v>232</v>
      </c>
    </row>
    <row r="37338" spans="119:119" x14ac:dyDescent="0.2">
      <c r="DO37338" s="303" t="s">
        <v>232</v>
      </c>
    </row>
    <row r="37339" spans="119:119" x14ac:dyDescent="0.2">
      <c r="DO37339" s="303" t="s">
        <v>232</v>
      </c>
    </row>
    <row r="37340" spans="119:119" x14ac:dyDescent="0.2">
      <c r="DO37340" s="303" t="s">
        <v>232</v>
      </c>
    </row>
    <row r="37341" spans="119:119" x14ac:dyDescent="0.2">
      <c r="DO37341" s="303" t="s">
        <v>232</v>
      </c>
    </row>
    <row r="37342" spans="119:119" x14ac:dyDescent="0.2">
      <c r="DO37342" s="303" t="s">
        <v>232</v>
      </c>
    </row>
    <row r="37343" spans="119:119" x14ac:dyDescent="0.2">
      <c r="DO37343" s="303" t="s">
        <v>232</v>
      </c>
    </row>
    <row r="37344" spans="119:119" x14ac:dyDescent="0.2">
      <c r="DO37344" s="303" t="s">
        <v>232</v>
      </c>
    </row>
    <row r="37345" spans="119:119" x14ac:dyDescent="0.2">
      <c r="DO37345" s="303" t="s">
        <v>232</v>
      </c>
    </row>
    <row r="37346" spans="119:119" x14ac:dyDescent="0.2">
      <c r="DO37346" s="303" t="s">
        <v>232</v>
      </c>
    </row>
    <row r="37347" spans="119:119" x14ac:dyDescent="0.2">
      <c r="DO37347" s="303" t="s">
        <v>232</v>
      </c>
    </row>
    <row r="37348" spans="119:119" x14ac:dyDescent="0.2">
      <c r="DO37348" s="303" t="s">
        <v>232</v>
      </c>
    </row>
    <row r="37349" spans="119:119" x14ac:dyDescent="0.2">
      <c r="DO37349" s="303" t="s">
        <v>232</v>
      </c>
    </row>
    <row r="37350" spans="119:119" x14ac:dyDescent="0.2">
      <c r="DO37350" s="303" t="s">
        <v>232</v>
      </c>
    </row>
    <row r="37351" spans="119:119" x14ac:dyDescent="0.2">
      <c r="DO37351" s="303" t="s">
        <v>232</v>
      </c>
    </row>
    <row r="37352" spans="119:119" x14ac:dyDescent="0.2">
      <c r="DO37352" s="303" t="s">
        <v>232</v>
      </c>
    </row>
    <row r="37353" spans="119:119" x14ac:dyDescent="0.2">
      <c r="DO37353" s="303" t="s">
        <v>232</v>
      </c>
    </row>
    <row r="37354" spans="119:119" x14ac:dyDescent="0.2">
      <c r="DO37354" s="303" t="s">
        <v>232</v>
      </c>
    </row>
    <row r="37355" spans="119:119" x14ac:dyDescent="0.2">
      <c r="DO37355" s="303" t="s">
        <v>232</v>
      </c>
    </row>
    <row r="37356" spans="119:119" x14ac:dyDescent="0.2">
      <c r="DO37356" s="303" t="s">
        <v>232</v>
      </c>
    </row>
    <row r="37357" spans="119:119" x14ac:dyDescent="0.2">
      <c r="DO37357" s="303" t="s">
        <v>232</v>
      </c>
    </row>
    <row r="37358" spans="119:119" x14ac:dyDescent="0.2">
      <c r="DO37358" s="303" t="s">
        <v>232</v>
      </c>
    </row>
    <row r="37359" spans="119:119" x14ac:dyDescent="0.2">
      <c r="DO37359" s="303" t="s">
        <v>232</v>
      </c>
    </row>
    <row r="37360" spans="119:119" x14ac:dyDescent="0.2">
      <c r="DO37360" s="303" t="s">
        <v>232</v>
      </c>
    </row>
    <row r="37361" spans="119:119" x14ac:dyDescent="0.2">
      <c r="DO37361" s="303" t="s">
        <v>232</v>
      </c>
    </row>
    <row r="37362" spans="119:119" x14ac:dyDescent="0.2">
      <c r="DO37362" s="303" t="s">
        <v>232</v>
      </c>
    </row>
    <row r="37363" spans="119:119" x14ac:dyDescent="0.2">
      <c r="DO37363" s="303" t="s">
        <v>232</v>
      </c>
    </row>
    <row r="37364" spans="119:119" x14ac:dyDescent="0.2">
      <c r="DO37364" s="303" t="s">
        <v>232</v>
      </c>
    </row>
    <row r="37365" spans="119:119" x14ac:dyDescent="0.2">
      <c r="DO37365" s="303" t="s">
        <v>232</v>
      </c>
    </row>
    <row r="37366" spans="119:119" x14ac:dyDescent="0.2">
      <c r="DO37366" s="303" t="s">
        <v>232</v>
      </c>
    </row>
    <row r="37367" spans="119:119" x14ac:dyDescent="0.2">
      <c r="DO37367" s="303" t="s">
        <v>232</v>
      </c>
    </row>
    <row r="37368" spans="119:119" x14ac:dyDescent="0.2">
      <c r="DO37368" s="303" t="s">
        <v>232</v>
      </c>
    </row>
    <row r="37369" spans="119:119" x14ac:dyDescent="0.2">
      <c r="DO37369" s="303" t="s">
        <v>232</v>
      </c>
    </row>
    <row r="37370" spans="119:119" x14ac:dyDescent="0.2">
      <c r="DO37370" s="303" t="s">
        <v>232</v>
      </c>
    </row>
    <row r="37371" spans="119:119" x14ac:dyDescent="0.2">
      <c r="DO37371" s="303" t="s">
        <v>232</v>
      </c>
    </row>
    <row r="37372" spans="119:119" x14ac:dyDescent="0.2">
      <c r="DO37372" s="303" t="s">
        <v>232</v>
      </c>
    </row>
    <row r="37373" spans="119:119" x14ac:dyDescent="0.2">
      <c r="DO37373" s="303" t="s">
        <v>232</v>
      </c>
    </row>
    <row r="37374" spans="119:119" x14ac:dyDescent="0.2">
      <c r="DO37374" s="303" t="s">
        <v>232</v>
      </c>
    </row>
    <row r="37375" spans="119:119" x14ac:dyDescent="0.2">
      <c r="DO37375" s="303" t="s">
        <v>232</v>
      </c>
    </row>
    <row r="37376" spans="119:119" x14ac:dyDescent="0.2">
      <c r="DO37376" s="303" t="s">
        <v>232</v>
      </c>
    </row>
    <row r="37377" spans="119:119" x14ac:dyDescent="0.2">
      <c r="DO37377" s="303" t="s">
        <v>232</v>
      </c>
    </row>
    <row r="37378" spans="119:119" x14ac:dyDescent="0.2">
      <c r="DO37378" s="303" t="s">
        <v>232</v>
      </c>
    </row>
    <row r="37379" spans="119:119" x14ac:dyDescent="0.2">
      <c r="DO37379" s="303" t="s">
        <v>232</v>
      </c>
    </row>
    <row r="37380" spans="119:119" x14ac:dyDescent="0.2">
      <c r="DO37380" s="303" t="s">
        <v>232</v>
      </c>
    </row>
    <row r="37381" spans="119:119" x14ac:dyDescent="0.2">
      <c r="DO37381" s="303" t="s">
        <v>232</v>
      </c>
    </row>
    <row r="37382" spans="119:119" x14ac:dyDescent="0.2">
      <c r="DO37382" s="303" t="s">
        <v>232</v>
      </c>
    </row>
    <row r="37383" spans="119:119" x14ac:dyDescent="0.2">
      <c r="DO37383" s="303" t="s">
        <v>232</v>
      </c>
    </row>
    <row r="37384" spans="119:119" x14ac:dyDescent="0.2">
      <c r="DO37384" s="303" t="s">
        <v>232</v>
      </c>
    </row>
    <row r="37385" spans="119:119" x14ac:dyDescent="0.2">
      <c r="DO37385" s="303" t="s">
        <v>232</v>
      </c>
    </row>
    <row r="37386" spans="119:119" x14ac:dyDescent="0.2">
      <c r="DO37386" s="303" t="s">
        <v>232</v>
      </c>
    </row>
    <row r="37387" spans="119:119" x14ac:dyDescent="0.2">
      <c r="DO37387" s="303" t="s">
        <v>232</v>
      </c>
    </row>
    <row r="37388" spans="119:119" x14ac:dyDescent="0.2">
      <c r="DO37388" s="303" t="s">
        <v>232</v>
      </c>
    </row>
    <row r="37389" spans="119:119" x14ac:dyDescent="0.2">
      <c r="DO37389" s="303" t="s">
        <v>232</v>
      </c>
    </row>
    <row r="37390" spans="119:119" x14ac:dyDescent="0.2">
      <c r="DO37390" s="303" t="s">
        <v>232</v>
      </c>
    </row>
    <row r="37391" spans="119:119" x14ac:dyDescent="0.2">
      <c r="DO37391" s="303" t="s">
        <v>232</v>
      </c>
    </row>
    <row r="37392" spans="119:119" x14ac:dyDescent="0.2">
      <c r="DO37392" s="303" t="s">
        <v>232</v>
      </c>
    </row>
    <row r="37393" spans="119:119" x14ac:dyDescent="0.2">
      <c r="DO37393" s="303" t="s">
        <v>232</v>
      </c>
    </row>
    <row r="37394" spans="119:119" x14ac:dyDescent="0.2">
      <c r="DO37394" s="303" t="s">
        <v>232</v>
      </c>
    </row>
    <row r="37395" spans="119:119" x14ac:dyDescent="0.2">
      <c r="DO37395" s="303" t="s">
        <v>232</v>
      </c>
    </row>
    <row r="37396" spans="119:119" x14ac:dyDescent="0.2">
      <c r="DO37396" s="303" t="s">
        <v>232</v>
      </c>
    </row>
    <row r="37397" spans="119:119" x14ac:dyDescent="0.2">
      <c r="DO37397" s="303" t="s">
        <v>232</v>
      </c>
    </row>
    <row r="37398" spans="119:119" x14ac:dyDescent="0.2">
      <c r="DO37398" s="303" t="s">
        <v>232</v>
      </c>
    </row>
    <row r="37399" spans="119:119" x14ac:dyDescent="0.2">
      <c r="DO37399" s="303" t="s">
        <v>232</v>
      </c>
    </row>
    <row r="37400" spans="119:119" x14ac:dyDescent="0.2">
      <c r="DO37400" s="303" t="s">
        <v>232</v>
      </c>
    </row>
    <row r="37401" spans="119:119" x14ac:dyDescent="0.2">
      <c r="DO37401" s="303" t="s">
        <v>232</v>
      </c>
    </row>
    <row r="37402" spans="119:119" x14ac:dyDescent="0.2">
      <c r="DO37402" s="303" t="s">
        <v>232</v>
      </c>
    </row>
    <row r="37403" spans="119:119" x14ac:dyDescent="0.2">
      <c r="DO37403" s="303" t="s">
        <v>232</v>
      </c>
    </row>
    <row r="37404" spans="119:119" x14ac:dyDescent="0.2">
      <c r="DO37404" s="303" t="s">
        <v>232</v>
      </c>
    </row>
    <row r="37405" spans="119:119" x14ac:dyDescent="0.2">
      <c r="DO37405" s="303" t="s">
        <v>232</v>
      </c>
    </row>
    <row r="37406" spans="119:119" x14ac:dyDescent="0.2">
      <c r="DO37406" s="303" t="s">
        <v>232</v>
      </c>
    </row>
    <row r="37407" spans="119:119" x14ac:dyDescent="0.2">
      <c r="DO37407" s="303" t="s">
        <v>232</v>
      </c>
    </row>
    <row r="37408" spans="119:119" x14ac:dyDescent="0.2">
      <c r="DO37408" s="303" t="s">
        <v>232</v>
      </c>
    </row>
    <row r="37409" spans="119:119" x14ac:dyDescent="0.2">
      <c r="DO37409" s="303" t="s">
        <v>232</v>
      </c>
    </row>
    <row r="37410" spans="119:119" x14ac:dyDescent="0.2">
      <c r="DO37410" s="303" t="s">
        <v>232</v>
      </c>
    </row>
    <row r="37411" spans="119:119" x14ac:dyDescent="0.2">
      <c r="DO37411" s="303" t="s">
        <v>232</v>
      </c>
    </row>
    <row r="37412" spans="119:119" x14ac:dyDescent="0.2">
      <c r="DO37412" s="303" t="s">
        <v>232</v>
      </c>
    </row>
    <row r="37413" spans="119:119" x14ac:dyDescent="0.2">
      <c r="DO37413" s="303" t="s">
        <v>232</v>
      </c>
    </row>
    <row r="37414" spans="119:119" x14ac:dyDescent="0.2">
      <c r="DO37414" s="303" t="s">
        <v>232</v>
      </c>
    </row>
    <row r="37415" spans="119:119" x14ac:dyDescent="0.2">
      <c r="DO37415" s="303" t="s">
        <v>232</v>
      </c>
    </row>
    <row r="37416" spans="119:119" x14ac:dyDescent="0.2">
      <c r="DO37416" s="303" t="s">
        <v>232</v>
      </c>
    </row>
    <row r="37417" spans="119:119" x14ac:dyDescent="0.2">
      <c r="DO37417" s="303" t="s">
        <v>232</v>
      </c>
    </row>
    <row r="37418" spans="119:119" x14ac:dyDescent="0.2">
      <c r="DO37418" s="303" t="s">
        <v>232</v>
      </c>
    </row>
    <row r="37419" spans="119:119" x14ac:dyDescent="0.2">
      <c r="DO37419" s="303" t="s">
        <v>232</v>
      </c>
    </row>
    <row r="37420" spans="119:119" x14ac:dyDescent="0.2">
      <c r="DO37420" s="303" t="s">
        <v>232</v>
      </c>
    </row>
    <row r="37421" spans="119:119" x14ac:dyDescent="0.2">
      <c r="DO37421" s="303" t="s">
        <v>232</v>
      </c>
    </row>
    <row r="37422" spans="119:119" x14ac:dyDescent="0.2">
      <c r="DO37422" s="303" t="s">
        <v>232</v>
      </c>
    </row>
    <row r="37423" spans="119:119" x14ac:dyDescent="0.2">
      <c r="DO37423" s="303" t="s">
        <v>232</v>
      </c>
    </row>
    <row r="37424" spans="119:119" x14ac:dyDescent="0.2">
      <c r="DO37424" s="303" t="s">
        <v>232</v>
      </c>
    </row>
    <row r="37425" spans="119:119" x14ac:dyDescent="0.2">
      <c r="DO37425" s="303" t="s">
        <v>232</v>
      </c>
    </row>
    <row r="37426" spans="119:119" x14ac:dyDescent="0.2">
      <c r="DO37426" s="303" t="s">
        <v>232</v>
      </c>
    </row>
    <row r="37427" spans="119:119" x14ac:dyDescent="0.2">
      <c r="DO37427" s="303" t="s">
        <v>232</v>
      </c>
    </row>
    <row r="37428" spans="119:119" x14ac:dyDescent="0.2">
      <c r="DO37428" s="303" t="s">
        <v>232</v>
      </c>
    </row>
    <row r="37429" spans="119:119" x14ac:dyDescent="0.2">
      <c r="DO37429" s="303" t="s">
        <v>232</v>
      </c>
    </row>
    <row r="37430" spans="119:119" x14ac:dyDescent="0.2">
      <c r="DO37430" s="303" t="s">
        <v>232</v>
      </c>
    </row>
    <row r="37431" spans="119:119" x14ac:dyDescent="0.2">
      <c r="DO37431" s="303" t="s">
        <v>232</v>
      </c>
    </row>
    <row r="37432" spans="119:119" x14ac:dyDescent="0.2">
      <c r="DO37432" s="303" t="s">
        <v>232</v>
      </c>
    </row>
    <row r="37433" spans="119:119" x14ac:dyDescent="0.2">
      <c r="DO37433" s="303" t="s">
        <v>232</v>
      </c>
    </row>
    <row r="37434" spans="119:119" x14ac:dyDescent="0.2">
      <c r="DO37434" s="303" t="s">
        <v>232</v>
      </c>
    </row>
    <row r="37435" spans="119:119" x14ac:dyDescent="0.2">
      <c r="DO37435" s="303" t="s">
        <v>232</v>
      </c>
    </row>
    <row r="37436" spans="119:119" x14ac:dyDescent="0.2">
      <c r="DO37436" s="303" t="s">
        <v>232</v>
      </c>
    </row>
    <row r="37437" spans="119:119" x14ac:dyDescent="0.2">
      <c r="DO37437" s="303" t="s">
        <v>232</v>
      </c>
    </row>
    <row r="37438" spans="119:119" x14ac:dyDescent="0.2">
      <c r="DO37438" s="303" t="s">
        <v>232</v>
      </c>
    </row>
    <row r="37439" spans="119:119" x14ac:dyDescent="0.2">
      <c r="DO37439" s="303" t="s">
        <v>232</v>
      </c>
    </row>
    <row r="37440" spans="119:119" x14ac:dyDescent="0.2">
      <c r="DO37440" s="303" t="s">
        <v>232</v>
      </c>
    </row>
    <row r="37441" spans="119:119" x14ac:dyDescent="0.2">
      <c r="DO37441" s="303" t="s">
        <v>232</v>
      </c>
    </row>
    <row r="37442" spans="119:119" x14ac:dyDescent="0.2">
      <c r="DO37442" s="303" t="s">
        <v>232</v>
      </c>
    </row>
    <row r="37443" spans="119:119" x14ac:dyDescent="0.2">
      <c r="DO37443" s="303" t="s">
        <v>232</v>
      </c>
    </row>
    <row r="37444" spans="119:119" x14ac:dyDescent="0.2">
      <c r="DO37444" s="303" t="s">
        <v>232</v>
      </c>
    </row>
    <row r="37445" spans="119:119" x14ac:dyDescent="0.2">
      <c r="DO37445" s="303" t="s">
        <v>232</v>
      </c>
    </row>
    <row r="37446" spans="119:119" x14ac:dyDescent="0.2">
      <c r="DO37446" s="303" t="s">
        <v>232</v>
      </c>
    </row>
    <row r="37447" spans="119:119" x14ac:dyDescent="0.2">
      <c r="DO37447" s="303" t="s">
        <v>232</v>
      </c>
    </row>
    <row r="37448" spans="119:119" x14ac:dyDescent="0.2">
      <c r="DO37448" s="303" t="s">
        <v>232</v>
      </c>
    </row>
    <row r="37449" spans="119:119" x14ac:dyDescent="0.2">
      <c r="DO37449" s="303" t="s">
        <v>232</v>
      </c>
    </row>
    <row r="37450" spans="119:119" x14ac:dyDescent="0.2">
      <c r="DO37450" s="303" t="s">
        <v>232</v>
      </c>
    </row>
    <row r="37451" spans="119:119" x14ac:dyDescent="0.2">
      <c r="DO37451" s="303" t="s">
        <v>232</v>
      </c>
    </row>
    <row r="37452" spans="119:119" x14ac:dyDescent="0.2">
      <c r="DO37452" s="303" t="s">
        <v>232</v>
      </c>
    </row>
    <row r="37453" spans="119:119" x14ac:dyDescent="0.2">
      <c r="DO37453" s="303" t="s">
        <v>232</v>
      </c>
    </row>
    <row r="37454" spans="119:119" x14ac:dyDescent="0.2">
      <c r="DO37454" s="303" t="s">
        <v>232</v>
      </c>
    </row>
    <row r="37455" spans="119:119" x14ac:dyDescent="0.2">
      <c r="DO37455" s="303" t="s">
        <v>232</v>
      </c>
    </row>
    <row r="37456" spans="119:119" x14ac:dyDescent="0.2">
      <c r="DO37456" s="303" t="s">
        <v>232</v>
      </c>
    </row>
    <row r="37457" spans="119:119" x14ac:dyDescent="0.2">
      <c r="DO37457" s="303" t="s">
        <v>232</v>
      </c>
    </row>
    <row r="37458" spans="119:119" x14ac:dyDescent="0.2">
      <c r="DO37458" s="303" t="s">
        <v>232</v>
      </c>
    </row>
    <row r="37459" spans="119:119" x14ac:dyDescent="0.2">
      <c r="DO37459" s="303" t="s">
        <v>232</v>
      </c>
    </row>
    <row r="37460" spans="119:119" x14ac:dyDescent="0.2">
      <c r="DO37460" s="303" t="s">
        <v>232</v>
      </c>
    </row>
    <row r="37461" spans="119:119" x14ac:dyDescent="0.2">
      <c r="DO37461" s="303" t="s">
        <v>232</v>
      </c>
    </row>
    <row r="37462" spans="119:119" x14ac:dyDescent="0.2">
      <c r="DO37462" s="303" t="s">
        <v>232</v>
      </c>
    </row>
    <row r="37463" spans="119:119" x14ac:dyDescent="0.2">
      <c r="DO37463" s="303" t="s">
        <v>232</v>
      </c>
    </row>
    <row r="37464" spans="119:119" x14ac:dyDescent="0.2">
      <c r="DO37464" s="303" t="s">
        <v>232</v>
      </c>
    </row>
    <row r="37465" spans="119:119" x14ac:dyDescent="0.2">
      <c r="DO37465" s="303" t="s">
        <v>232</v>
      </c>
    </row>
    <row r="37466" spans="119:119" x14ac:dyDescent="0.2">
      <c r="DO37466" s="303" t="s">
        <v>232</v>
      </c>
    </row>
    <row r="37467" spans="119:119" x14ac:dyDescent="0.2">
      <c r="DO37467" s="303" t="s">
        <v>232</v>
      </c>
    </row>
    <row r="37468" spans="119:119" x14ac:dyDescent="0.2">
      <c r="DO37468" s="303" t="s">
        <v>232</v>
      </c>
    </row>
    <row r="37469" spans="119:119" x14ac:dyDescent="0.2">
      <c r="DO37469" s="303" t="s">
        <v>232</v>
      </c>
    </row>
    <row r="37470" spans="119:119" x14ac:dyDescent="0.2">
      <c r="DO37470" s="303" t="s">
        <v>232</v>
      </c>
    </row>
    <row r="37471" spans="119:119" x14ac:dyDescent="0.2">
      <c r="DO37471" s="303" t="s">
        <v>232</v>
      </c>
    </row>
    <row r="37472" spans="119:119" x14ac:dyDescent="0.2">
      <c r="DO37472" s="303" t="s">
        <v>232</v>
      </c>
    </row>
    <row r="37473" spans="119:119" x14ac:dyDescent="0.2">
      <c r="DO37473" s="303" t="s">
        <v>232</v>
      </c>
    </row>
    <row r="37474" spans="119:119" x14ac:dyDescent="0.2">
      <c r="DO37474" s="303" t="s">
        <v>232</v>
      </c>
    </row>
    <row r="37475" spans="119:119" x14ac:dyDescent="0.2">
      <c r="DO37475" s="303" t="s">
        <v>232</v>
      </c>
    </row>
    <row r="37476" spans="119:119" x14ac:dyDescent="0.2">
      <c r="DO37476" s="303" t="s">
        <v>232</v>
      </c>
    </row>
    <row r="37477" spans="119:119" x14ac:dyDescent="0.2">
      <c r="DO37477" s="303" t="s">
        <v>232</v>
      </c>
    </row>
    <row r="37478" spans="119:119" x14ac:dyDescent="0.2">
      <c r="DO37478" s="303" t="s">
        <v>232</v>
      </c>
    </row>
    <row r="37479" spans="119:119" x14ac:dyDescent="0.2">
      <c r="DO37479" s="303" t="s">
        <v>232</v>
      </c>
    </row>
    <row r="37480" spans="119:119" x14ac:dyDescent="0.2">
      <c r="DO37480" s="303" t="s">
        <v>232</v>
      </c>
    </row>
    <row r="37481" spans="119:119" x14ac:dyDescent="0.2">
      <c r="DO37481" s="303" t="s">
        <v>232</v>
      </c>
    </row>
    <row r="37482" spans="119:119" x14ac:dyDescent="0.2">
      <c r="DO37482" s="303" t="s">
        <v>232</v>
      </c>
    </row>
    <row r="37483" spans="119:119" x14ac:dyDescent="0.2">
      <c r="DO37483" s="303" t="s">
        <v>232</v>
      </c>
    </row>
    <row r="37484" spans="119:119" x14ac:dyDescent="0.2">
      <c r="DO37484" s="303" t="s">
        <v>232</v>
      </c>
    </row>
    <row r="37485" spans="119:119" x14ac:dyDescent="0.2">
      <c r="DO37485" s="303" t="s">
        <v>232</v>
      </c>
    </row>
    <row r="37486" spans="119:119" x14ac:dyDescent="0.2">
      <c r="DO37486" s="303" t="s">
        <v>232</v>
      </c>
    </row>
    <row r="37487" spans="119:119" x14ac:dyDescent="0.2">
      <c r="DO37487" s="303" t="s">
        <v>232</v>
      </c>
    </row>
    <row r="37488" spans="119:119" x14ac:dyDescent="0.2">
      <c r="DO37488" s="303" t="s">
        <v>232</v>
      </c>
    </row>
    <row r="37489" spans="119:119" x14ac:dyDescent="0.2">
      <c r="DO37489" s="303" t="s">
        <v>232</v>
      </c>
    </row>
    <row r="37490" spans="119:119" x14ac:dyDescent="0.2">
      <c r="DO37490" s="303" t="s">
        <v>232</v>
      </c>
    </row>
    <row r="37491" spans="119:119" x14ac:dyDescent="0.2">
      <c r="DO37491" s="303" t="s">
        <v>232</v>
      </c>
    </row>
    <row r="37492" spans="119:119" x14ac:dyDescent="0.2">
      <c r="DO37492" s="303" t="s">
        <v>232</v>
      </c>
    </row>
    <row r="37493" spans="119:119" x14ac:dyDescent="0.2">
      <c r="DO37493" s="303" t="s">
        <v>232</v>
      </c>
    </row>
    <row r="37494" spans="119:119" x14ac:dyDescent="0.2">
      <c r="DO37494" s="303" t="s">
        <v>232</v>
      </c>
    </row>
    <row r="37495" spans="119:119" x14ac:dyDescent="0.2">
      <c r="DO37495" s="303" t="s">
        <v>232</v>
      </c>
    </row>
    <row r="37496" spans="119:119" x14ac:dyDescent="0.2">
      <c r="DO37496" s="303" t="s">
        <v>232</v>
      </c>
    </row>
    <row r="37497" spans="119:119" x14ac:dyDescent="0.2">
      <c r="DO37497" s="303" t="s">
        <v>232</v>
      </c>
    </row>
    <row r="37498" spans="119:119" x14ac:dyDescent="0.2">
      <c r="DO37498" s="303" t="s">
        <v>232</v>
      </c>
    </row>
    <row r="37499" spans="119:119" x14ac:dyDescent="0.2">
      <c r="DO37499" s="303" t="s">
        <v>232</v>
      </c>
    </row>
    <row r="37500" spans="119:119" x14ac:dyDescent="0.2">
      <c r="DO37500" s="303" t="s">
        <v>232</v>
      </c>
    </row>
    <row r="37501" spans="119:119" x14ac:dyDescent="0.2">
      <c r="DO37501" s="303" t="s">
        <v>232</v>
      </c>
    </row>
    <row r="37502" spans="119:119" x14ac:dyDescent="0.2">
      <c r="DO37502" s="303" t="s">
        <v>232</v>
      </c>
    </row>
    <row r="37503" spans="119:119" x14ac:dyDescent="0.2">
      <c r="DO37503" s="303" t="s">
        <v>232</v>
      </c>
    </row>
    <row r="37504" spans="119:119" x14ac:dyDescent="0.2">
      <c r="DO37504" s="303" t="s">
        <v>232</v>
      </c>
    </row>
    <row r="37505" spans="119:119" x14ac:dyDescent="0.2">
      <c r="DO37505" s="303" t="s">
        <v>232</v>
      </c>
    </row>
    <row r="37506" spans="119:119" x14ac:dyDescent="0.2">
      <c r="DO37506" s="303" t="s">
        <v>232</v>
      </c>
    </row>
    <row r="37507" spans="119:119" x14ac:dyDescent="0.2">
      <c r="DO37507" s="303" t="s">
        <v>232</v>
      </c>
    </row>
    <row r="37508" spans="119:119" x14ac:dyDescent="0.2">
      <c r="DO37508" s="303" t="s">
        <v>232</v>
      </c>
    </row>
    <row r="37509" spans="119:119" x14ac:dyDescent="0.2">
      <c r="DO37509" s="303" t="s">
        <v>232</v>
      </c>
    </row>
    <row r="37510" spans="119:119" x14ac:dyDescent="0.2">
      <c r="DO37510" s="303" t="s">
        <v>232</v>
      </c>
    </row>
    <row r="37511" spans="119:119" x14ac:dyDescent="0.2">
      <c r="DO37511" s="303" t="s">
        <v>232</v>
      </c>
    </row>
    <row r="37512" spans="119:119" x14ac:dyDescent="0.2">
      <c r="DO37512" s="303" t="s">
        <v>232</v>
      </c>
    </row>
    <row r="37513" spans="119:119" x14ac:dyDescent="0.2">
      <c r="DO37513" s="303" t="s">
        <v>232</v>
      </c>
    </row>
    <row r="37514" spans="119:119" x14ac:dyDescent="0.2">
      <c r="DO37514" s="303" t="s">
        <v>232</v>
      </c>
    </row>
    <row r="37515" spans="119:119" x14ac:dyDescent="0.2">
      <c r="DO37515" s="303" t="s">
        <v>232</v>
      </c>
    </row>
    <row r="37516" spans="119:119" x14ac:dyDescent="0.2">
      <c r="DO37516" s="303" t="s">
        <v>232</v>
      </c>
    </row>
    <row r="37517" spans="119:119" x14ac:dyDescent="0.2">
      <c r="DO37517" s="303" t="s">
        <v>232</v>
      </c>
    </row>
    <row r="37518" spans="119:119" x14ac:dyDescent="0.2">
      <c r="DO37518" s="303" t="s">
        <v>232</v>
      </c>
    </row>
    <row r="37519" spans="119:119" x14ac:dyDescent="0.2">
      <c r="DO37519" s="303" t="s">
        <v>232</v>
      </c>
    </row>
    <row r="37520" spans="119:119" x14ac:dyDescent="0.2">
      <c r="DO37520" s="303" t="s">
        <v>232</v>
      </c>
    </row>
    <row r="37521" spans="119:119" x14ac:dyDescent="0.2">
      <c r="DO37521" s="303" t="s">
        <v>232</v>
      </c>
    </row>
    <row r="37522" spans="119:119" x14ac:dyDescent="0.2">
      <c r="DO37522" s="303" t="s">
        <v>232</v>
      </c>
    </row>
    <row r="37523" spans="119:119" x14ac:dyDescent="0.2">
      <c r="DO37523" s="303" t="s">
        <v>232</v>
      </c>
    </row>
    <row r="37524" spans="119:119" x14ac:dyDescent="0.2">
      <c r="DO37524" s="303" t="s">
        <v>232</v>
      </c>
    </row>
    <row r="37525" spans="119:119" x14ac:dyDescent="0.2">
      <c r="DO37525" s="303" t="s">
        <v>232</v>
      </c>
    </row>
    <row r="37526" spans="119:119" x14ac:dyDescent="0.2">
      <c r="DO37526" s="303" t="s">
        <v>232</v>
      </c>
    </row>
    <row r="37527" spans="119:119" x14ac:dyDescent="0.2">
      <c r="DO37527" s="303" t="s">
        <v>232</v>
      </c>
    </row>
    <row r="37528" spans="119:119" x14ac:dyDescent="0.2">
      <c r="DO37528" s="303" t="s">
        <v>232</v>
      </c>
    </row>
    <row r="37529" spans="119:119" x14ac:dyDescent="0.2">
      <c r="DO37529" s="303" t="s">
        <v>232</v>
      </c>
    </row>
    <row r="37530" spans="119:119" x14ac:dyDescent="0.2">
      <c r="DO37530" s="303" t="s">
        <v>232</v>
      </c>
    </row>
    <row r="37531" spans="119:119" x14ac:dyDescent="0.2">
      <c r="DO37531" s="303" t="s">
        <v>232</v>
      </c>
    </row>
    <row r="37532" spans="119:119" x14ac:dyDescent="0.2">
      <c r="DO37532" s="303" t="s">
        <v>232</v>
      </c>
    </row>
    <row r="37533" spans="119:119" x14ac:dyDescent="0.2">
      <c r="DO37533" s="303" t="s">
        <v>232</v>
      </c>
    </row>
    <row r="37534" spans="119:119" x14ac:dyDescent="0.2">
      <c r="DO37534" s="303" t="s">
        <v>232</v>
      </c>
    </row>
    <row r="37535" spans="119:119" x14ac:dyDescent="0.2">
      <c r="DO37535" s="303" t="s">
        <v>232</v>
      </c>
    </row>
    <row r="37536" spans="119:119" x14ac:dyDescent="0.2">
      <c r="DO37536" s="303" t="s">
        <v>232</v>
      </c>
    </row>
    <row r="37537" spans="119:119" x14ac:dyDescent="0.2">
      <c r="DO37537" s="303" t="s">
        <v>232</v>
      </c>
    </row>
    <row r="37538" spans="119:119" x14ac:dyDescent="0.2">
      <c r="DO37538" s="303" t="s">
        <v>232</v>
      </c>
    </row>
    <row r="37539" spans="119:119" x14ac:dyDescent="0.2">
      <c r="DO37539" s="303" t="s">
        <v>232</v>
      </c>
    </row>
    <row r="37540" spans="119:119" x14ac:dyDescent="0.2">
      <c r="DO37540" s="303" t="s">
        <v>232</v>
      </c>
    </row>
    <row r="37541" spans="119:119" x14ac:dyDescent="0.2">
      <c r="DO37541" s="303" t="s">
        <v>232</v>
      </c>
    </row>
    <row r="37542" spans="119:119" x14ac:dyDescent="0.2">
      <c r="DO37542" s="303" t="s">
        <v>232</v>
      </c>
    </row>
    <row r="37543" spans="119:119" x14ac:dyDescent="0.2">
      <c r="DO37543" s="303" t="s">
        <v>232</v>
      </c>
    </row>
    <row r="37544" spans="119:119" x14ac:dyDescent="0.2">
      <c r="DO37544" s="303" t="s">
        <v>232</v>
      </c>
    </row>
    <row r="37545" spans="119:119" x14ac:dyDescent="0.2">
      <c r="DO37545" s="303" t="s">
        <v>232</v>
      </c>
    </row>
    <row r="37546" spans="119:119" x14ac:dyDescent="0.2">
      <c r="DO37546" s="303" t="s">
        <v>232</v>
      </c>
    </row>
    <row r="37547" spans="119:119" x14ac:dyDescent="0.2">
      <c r="DO37547" s="303" t="s">
        <v>232</v>
      </c>
    </row>
    <row r="37548" spans="119:119" x14ac:dyDescent="0.2">
      <c r="DO37548" s="303" t="s">
        <v>232</v>
      </c>
    </row>
    <row r="37549" spans="119:119" x14ac:dyDescent="0.2">
      <c r="DO37549" s="303" t="s">
        <v>232</v>
      </c>
    </row>
    <row r="37550" spans="119:119" x14ac:dyDescent="0.2">
      <c r="DO37550" s="303" t="s">
        <v>232</v>
      </c>
    </row>
    <row r="37551" spans="119:119" x14ac:dyDescent="0.2">
      <c r="DO37551" s="303" t="s">
        <v>232</v>
      </c>
    </row>
    <row r="37552" spans="119:119" x14ac:dyDescent="0.2">
      <c r="DO37552" s="303" t="s">
        <v>232</v>
      </c>
    </row>
    <row r="37553" spans="119:119" x14ac:dyDescent="0.2">
      <c r="DO37553" s="303" t="s">
        <v>232</v>
      </c>
    </row>
    <row r="37554" spans="119:119" x14ac:dyDescent="0.2">
      <c r="DO37554" s="303" t="s">
        <v>232</v>
      </c>
    </row>
    <row r="37555" spans="119:119" x14ac:dyDescent="0.2">
      <c r="DO37555" s="303" t="s">
        <v>232</v>
      </c>
    </row>
    <row r="37556" spans="119:119" x14ac:dyDescent="0.2">
      <c r="DO37556" s="303" t="s">
        <v>232</v>
      </c>
    </row>
    <row r="37557" spans="119:119" x14ac:dyDescent="0.2">
      <c r="DO37557" s="303" t="s">
        <v>232</v>
      </c>
    </row>
    <row r="37558" spans="119:119" x14ac:dyDescent="0.2">
      <c r="DO37558" s="303" t="s">
        <v>232</v>
      </c>
    </row>
    <row r="37559" spans="119:119" x14ac:dyDescent="0.2">
      <c r="DO37559" s="303" t="s">
        <v>232</v>
      </c>
    </row>
    <row r="37560" spans="119:119" x14ac:dyDescent="0.2">
      <c r="DO37560" s="303" t="s">
        <v>232</v>
      </c>
    </row>
    <row r="37561" spans="119:119" x14ac:dyDescent="0.2">
      <c r="DO37561" s="303" t="s">
        <v>232</v>
      </c>
    </row>
    <row r="37562" spans="119:119" x14ac:dyDescent="0.2">
      <c r="DO37562" s="303" t="s">
        <v>232</v>
      </c>
    </row>
    <row r="37563" spans="119:119" x14ac:dyDescent="0.2">
      <c r="DO37563" s="303" t="s">
        <v>232</v>
      </c>
    </row>
    <row r="37564" spans="119:119" x14ac:dyDescent="0.2">
      <c r="DO37564" s="303" t="s">
        <v>232</v>
      </c>
    </row>
    <row r="37565" spans="119:119" x14ac:dyDescent="0.2">
      <c r="DO37565" s="303" t="s">
        <v>232</v>
      </c>
    </row>
    <row r="37566" spans="119:119" x14ac:dyDescent="0.2">
      <c r="DO37566" s="303" t="s">
        <v>232</v>
      </c>
    </row>
    <row r="37567" spans="119:119" x14ac:dyDescent="0.2">
      <c r="DO37567" s="303" t="s">
        <v>232</v>
      </c>
    </row>
    <row r="37568" spans="119:119" x14ac:dyDescent="0.2">
      <c r="DO37568" s="303" t="s">
        <v>232</v>
      </c>
    </row>
    <row r="37569" spans="119:119" x14ac:dyDescent="0.2">
      <c r="DO37569" s="303" t="s">
        <v>232</v>
      </c>
    </row>
    <row r="37570" spans="119:119" x14ac:dyDescent="0.2">
      <c r="DO37570" s="303" t="s">
        <v>232</v>
      </c>
    </row>
    <row r="37571" spans="119:119" x14ac:dyDescent="0.2">
      <c r="DO37571" s="303" t="s">
        <v>232</v>
      </c>
    </row>
    <row r="37572" spans="119:119" x14ac:dyDescent="0.2">
      <c r="DO37572" s="303" t="s">
        <v>232</v>
      </c>
    </row>
    <row r="37573" spans="119:119" x14ac:dyDescent="0.2">
      <c r="DO37573" s="303" t="s">
        <v>232</v>
      </c>
    </row>
    <row r="37574" spans="119:119" x14ac:dyDescent="0.2">
      <c r="DO37574" s="303" t="s">
        <v>232</v>
      </c>
    </row>
    <row r="37575" spans="119:119" x14ac:dyDescent="0.2">
      <c r="DO37575" s="303" t="s">
        <v>232</v>
      </c>
    </row>
    <row r="37576" spans="119:119" x14ac:dyDescent="0.2">
      <c r="DO37576" s="303" t="s">
        <v>232</v>
      </c>
    </row>
    <row r="37577" spans="119:119" x14ac:dyDescent="0.2">
      <c r="DO37577" s="303" t="s">
        <v>232</v>
      </c>
    </row>
    <row r="37578" spans="119:119" x14ac:dyDescent="0.2">
      <c r="DO37578" s="303" t="s">
        <v>232</v>
      </c>
    </row>
    <row r="37579" spans="119:119" x14ac:dyDescent="0.2">
      <c r="DO37579" s="303" t="s">
        <v>232</v>
      </c>
    </row>
    <row r="37580" spans="119:119" x14ac:dyDescent="0.2">
      <c r="DO37580" s="303" t="s">
        <v>232</v>
      </c>
    </row>
    <row r="37581" spans="119:119" x14ac:dyDescent="0.2">
      <c r="DO37581" s="303" t="s">
        <v>232</v>
      </c>
    </row>
    <row r="37582" spans="119:119" x14ac:dyDescent="0.2">
      <c r="DO37582" s="303" t="s">
        <v>232</v>
      </c>
    </row>
    <row r="37583" spans="119:119" x14ac:dyDescent="0.2">
      <c r="DO37583" s="303" t="s">
        <v>232</v>
      </c>
    </row>
    <row r="37584" spans="119:119" x14ac:dyDescent="0.2">
      <c r="DO37584" s="303" t="s">
        <v>232</v>
      </c>
    </row>
    <row r="37585" spans="119:119" x14ac:dyDescent="0.2">
      <c r="DO37585" s="303" t="s">
        <v>232</v>
      </c>
    </row>
    <row r="37586" spans="119:119" x14ac:dyDescent="0.2">
      <c r="DO37586" s="303" t="s">
        <v>232</v>
      </c>
    </row>
    <row r="37587" spans="119:119" x14ac:dyDescent="0.2">
      <c r="DO37587" s="303" t="s">
        <v>232</v>
      </c>
    </row>
    <row r="37588" spans="119:119" x14ac:dyDescent="0.2">
      <c r="DO37588" s="303" t="s">
        <v>232</v>
      </c>
    </row>
    <row r="37589" spans="119:119" x14ac:dyDescent="0.2">
      <c r="DO37589" s="303" t="s">
        <v>232</v>
      </c>
    </row>
    <row r="37590" spans="119:119" x14ac:dyDescent="0.2">
      <c r="DO37590" s="303" t="s">
        <v>232</v>
      </c>
    </row>
    <row r="37591" spans="119:119" x14ac:dyDescent="0.2">
      <c r="DO37591" s="303" t="s">
        <v>232</v>
      </c>
    </row>
    <row r="37592" spans="119:119" x14ac:dyDescent="0.2">
      <c r="DO37592" s="303" t="s">
        <v>232</v>
      </c>
    </row>
    <row r="37593" spans="119:119" x14ac:dyDescent="0.2">
      <c r="DO37593" s="303" t="s">
        <v>232</v>
      </c>
    </row>
    <row r="37594" spans="119:119" x14ac:dyDescent="0.2">
      <c r="DO37594" s="303" t="s">
        <v>232</v>
      </c>
    </row>
    <row r="37595" spans="119:119" x14ac:dyDescent="0.2">
      <c r="DO37595" s="303" t="s">
        <v>232</v>
      </c>
    </row>
    <row r="37596" spans="119:119" x14ac:dyDescent="0.2">
      <c r="DO37596" s="303" t="s">
        <v>232</v>
      </c>
    </row>
    <row r="37597" spans="119:119" x14ac:dyDescent="0.2">
      <c r="DO37597" s="303" t="s">
        <v>232</v>
      </c>
    </row>
    <row r="37598" spans="119:119" x14ac:dyDescent="0.2">
      <c r="DO37598" s="303" t="s">
        <v>232</v>
      </c>
    </row>
    <row r="37599" spans="119:119" x14ac:dyDescent="0.2">
      <c r="DO37599" s="303" t="s">
        <v>232</v>
      </c>
    </row>
    <row r="37600" spans="119:119" x14ac:dyDescent="0.2">
      <c r="DO37600" s="303" t="s">
        <v>232</v>
      </c>
    </row>
    <row r="37601" spans="119:119" x14ac:dyDescent="0.2">
      <c r="DO37601" s="303" t="s">
        <v>232</v>
      </c>
    </row>
    <row r="37602" spans="119:119" x14ac:dyDescent="0.2">
      <c r="DO37602" s="303" t="s">
        <v>232</v>
      </c>
    </row>
    <row r="37603" spans="119:119" x14ac:dyDescent="0.2">
      <c r="DO37603" s="303" t="s">
        <v>232</v>
      </c>
    </row>
    <row r="37604" spans="119:119" x14ac:dyDescent="0.2">
      <c r="DO37604" s="303" t="s">
        <v>232</v>
      </c>
    </row>
    <row r="37605" spans="119:119" x14ac:dyDescent="0.2">
      <c r="DO37605" s="303" t="s">
        <v>232</v>
      </c>
    </row>
    <row r="37606" spans="119:119" x14ac:dyDescent="0.2">
      <c r="DO37606" s="303" t="s">
        <v>232</v>
      </c>
    </row>
    <row r="37607" spans="119:119" x14ac:dyDescent="0.2">
      <c r="DO37607" s="303" t="s">
        <v>232</v>
      </c>
    </row>
    <row r="37608" spans="119:119" x14ac:dyDescent="0.2">
      <c r="DO37608" s="303" t="s">
        <v>232</v>
      </c>
    </row>
    <row r="37609" spans="119:119" x14ac:dyDescent="0.2">
      <c r="DO37609" s="303" t="s">
        <v>232</v>
      </c>
    </row>
    <row r="37610" spans="119:119" x14ac:dyDescent="0.2">
      <c r="DO37610" s="303" t="s">
        <v>232</v>
      </c>
    </row>
    <row r="37611" spans="119:119" x14ac:dyDescent="0.2">
      <c r="DO37611" s="303" t="s">
        <v>232</v>
      </c>
    </row>
    <row r="37612" spans="119:119" x14ac:dyDescent="0.2">
      <c r="DO37612" s="303" t="s">
        <v>232</v>
      </c>
    </row>
    <row r="37613" spans="119:119" x14ac:dyDescent="0.2">
      <c r="DO37613" s="303" t="s">
        <v>232</v>
      </c>
    </row>
    <row r="37614" spans="119:119" x14ac:dyDescent="0.2">
      <c r="DO37614" s="303" t="s">
        <v>232</v>
      </c>
    </row>
    <row r="37615" spans="119:119" x14ac:dyDescent="0.2">
      <c r="DO37615" s="303" t="s">
        <v>232</v>
      </c>
    </row>
    <row r="37616" spans="119:119" x14ac:dyDescent="0.2">
      <c r="DO37616" s="303" t="s">
        <v>232</v>
      </c>
    </row>
    <row r="37617" spans="119:119" x14ac:dyDescent="0.2">
      <c r="DO37617" s="303" t="s">
        <v>232</v>
      </c>
    </row>
    <row r="37618" spans="119:119" x14ac:dyDescent="0.2">
      <c r="DO37618" s="303" t="s">
        <v>232</v>
      </c>
    </row>
    <row r="37619" spans="119:119" x14ac:dyDescent="0.2">
      <c r="DO37619" s="303" t="s">
        <v>232</v>
      </c>
    </row>
    <row r="37620" spans="119:119" x14ac:dyDescent="0.2">
      <c r="DO37620" s="303" t="s">
        <v>232</v>
      </c>
    </row>
    <row r="37621" spans="119:119" x14ac:dyDescent="0.2">
      <c r="DO37621" s="303" t="s">
        <v>232</v>
      </c>
    </row>
    <row r="37622" spans="119:119" x14ac:dyDescent="0.2">
      <c r="DO37622" s="303" t="s">
        <v>232</v>
      </c>
    </row>
    <row r="37623" spans="119:119" x14ac:dyDescent="0.2">
      <c r="DO37623" s="303" t="s">
        <v>232</v>
      </c>
    </row>
    <row r="37624" spans="119:119" x14ac:dyDescent="0.2">
      <c r="DO37624" s="303" t="s">
        <v>232</v>
      </c>
    </row>
    <row r="37625" spans="119:119" x14ac:dyDescent="0.2">
      <c r="DO37625" s="303" t="s">
        <v>232</v>
      </c>
    </row>
    <row r="37626" spans="119:119" x14ac:dyDescent="0.2">
      <c r="DO37626" s="303" t="s">
        <v>232</v>
      </c>
    </row>
    <row r="37627" spans="119:119" x14ac:dyDescent="0.2">
      <c r="DO37627" s="303" t="s">
        <v>232</v>
      </c>
    </row>
    <row r="37628" spans="119:119" x14ac:dyDescent="0.2">
      <c r="DO37628" s="303" t="s">
        <v>232</v>
      </c>
    </row>
    <row r="37629" spans="119:119" x14ac:dyDescent="0.2">
      <c r="DO37629" s="303" t="s">
        <v>232</v>
      </c>
    </row>
    <row r="37630" spans="119:119" x14ac:dyDescent="0.2">
      <c r="DO37630" s="303" t="s">
        <v>232</v>
      </c>
    </row>
    <row r="37631" spans="119:119" x14ac:dyDescent="0.2">
      <c r="DO37631" s="303" t="s">
        <v>232</v>
      </c>
    </row>
    <row r="37632" spans="119:119" x14ac:dyDescent="0.2">
      <c r="DO37632" s="303" t="s">
        <v>232</v>
      </c>
    </row>
    <row r="37633" spans="119:119" x14ac:dyDescent="0.2">
      <c r="DO37633" s="303" t="s">
        <v>232</v>
      </c>
    </row>
    <row r="37634" spans="119:119" x14ac:dyDescent="0.2">
      <c r="DO37634" s="303" t="s">
        <v>232</v>
      </c>
    </row>
    <row r="37635" spans="119:119" x14ac:dyDescent="0.2">
      <c r="DO37635" s="303" t="s">
        <v>232</v>
      </c>
    </row>
    <row r="37636" spans="119:119" x14ac:dyDescent="0.2">
      <c r="DO37636" s="303" t="s">
        <v>232</v>
      </c>
    </row>
    <row r="37637" spans="119:119" x14ac:dyDescent="0.2">
      <c r="DO37637" s="303" t="s">
        <v>232</v>
      </c>
    </row>
    <row r="37638" spans="119:119" x14ac:dyDescent="0.2">
      <c r="DO37638" s="303" t="s">
        <v>232</v>
      </c>
    </row>
    <row r="37639" spans="119:119" x14ac:dyDescent="0.2">
      <c r="DO37639" s="303" t="s">
        <v>232</v>
      </c>
    </row>
    <row r="37640" spans="119:119" x14ac:dyDescent="0.2">
      <c r="DO37640" s="303" t="s">
        <v>232</v>
      </c>
    </row>
    <row r="37641" spans="119:119" x14ac:dyDescent="0.2">
      <c r="DO37641" s="303" t="s">
        <v>232</v>
      </c>
    </row>
    <row r="37642" spans="119:119" x14ac:dyDescent="0.2">
      <c r="DO37642" s="303" t="s">
        <v>232</v>
      </c>
    </row>
    <row r="37643" spans="119:119" x14ac:dyDescent="0.2">
      <c r="DO37643" s="303" t="s">
        <v>232</v>
      </c>
    </row>
    <row r="37644" spans="119:119" x14ac:dyDescent="0.2">
      <c r="DO37644" s="303" t="s">
        <v>232</v>
      </c>
    </row>
    <row r="37645" spans="119:119" x14ac:dyDescent="0.2">
      <c r="DO37645" s="303" t="s">
        <v>232</v>
      </c>
    </row>
    <row r="37646" spans="119:119" x14ac:dyDescent="0.2">
      <c r="DO37646" s="303" t="s">
        <v>232</v>
      </c>
    </row>
    <row r="37647" spans="119:119" x14ac:dyDescent="0.2">
      <c r="DO37647" s="303" t="s">
        <v>232</v>
      </c>
    </row>
    <row r="37648" spans="119:119" x14ac:dyDescent="0.2">
      <c r="DO37648" s="303" t="s">
        <v>232</v>
      </c>
    </row>
    <row r="37649" spans="119:119" x14ac:dyDescent="0.2">
      <c r="DO37649" s="303" t="s">
        <v>232</v>
      </c>
    </row>
    <row r="37650" spans="119:119" x14ac:dyDescent="0.2">
      <c r="DO37650" s="303" t="s">
        <v>232</v>
      </c>
    </row>
    <row r="37651" spans="119:119" x14ac:dyDescent="0.2">
      <c r="DO37651" s="303" t="s">
        <v>232</v>
      </c>
    </row>
    <row r="37652" spans="119:119" x14ac:dyDescent="0.2">
      <c r="DO37652" s="303" t="s">
        <v>232</v>
      </c>
    </row>
    <row r="37653" spans="119:119" x14ac:dyDescent="0.2">
      <c r="DO37653" s="303" t="s">
        <v>232</v>
      </c>
    </row>
    <row r="37654" spans="119:119" x14ac:dyDescent="0.2">
      <c r="DO37654" s="303" t="s">
        <v>232</v>
      </c>
    </row>
    <row r="37655" spans="119:119" x14ac:dyDescent="0.2">
      <c r="DO37655" s="303" t="s">
        <v>232</v>
      </c>
    </row>
    <row r="37656" spans="119:119" x14ac:dyDescent="0.2">
      <c r="DO37656" s="303" t="s">
        <v>232</v>
      </c>
    </row>
    <row r="37657" spans="119:119" x14ac:dyDescent="0.2">
      <c r="DO37657" s="303" t="s">
        <v>232</v>
      </c>
    </row>
    <row r="37658" spans="119:119" x14ac:dyDescent="0.2">
      <c r="DO37658" s="303" t="s">
        <v>232</v>
      </c>
    </row>
    <row r="37659" spans="119:119" x14ac:dyDescent="0.2">
      <c r="DO37659" s="303" t="s">
        <v>232</v>
      </c>
    </row>
    <row r="37660" spans="119:119" x14ac:dyDescent="0.2">
      <c r="DO37660" s="303" t="s">
        <v>232</v>
      </c>
    </row>
    <row r="37661" spans="119:119" x14ac:dyDescent="0.2">
      <c r="DO37661" s="303" t="s">
        <v>232</v>
      </c>
    </row>
    <row r="37662" spans="119:119" x14ac:dyDescent="0.2">
      <c r="DO37662" s="303" t="s">
        <v>232</v>
      </c>
    </row>
    <row r="37663" spans="119:119" x14ac:dyDescent="0.2">
      <c r="DO37663" s="303" t="s">
        <v>232</v>
      </c>
    </row>
    <row r="37664" spans="119:119" x14ac:dyDescent="0.2">
      <c r="DO37664" s="303" t="s">
        <v>232</v>
      </c>
    </row>
    <row r="37665" spans="119:119" x14ac:dyDescent="0.2">
      <c r="DO37665" s="303" t="s">
        <v>232</v>
      </c>
    </row>
    <row r="37666" spans="119:119" x14ac:dyDescent="0.2">
      <c r="DO37666" s="303" t="s">
        <v>232</v>
      </c>
    </row>
    <row r="37667" spans="119:119" x14ac:dyDescent="0.2">
      <c r="DO37667" s="303" t="s">
        <v>232</v>
      </c>
    </row>
    <row r="37668" spans="119:119" x14ac:dyDescent="0.2">
      <c r="DO37668" s="303" t="s">
        <v>232</v>
      </c>
    </row>
    <row r="37669" spans="119:119" x14ac:dyDescent="0.2">
      <c r="DO37669" s="303" t="s">
        <v>232</v>
      </c>
    </row>
    <row r="37670" spans="119:119" x14ac:dyDescent="0.2">
      <c r="DO37670" s="303" t="s">
        <v>232</v>
      </c>
    </row>
    <row r="37671" spans="119:119" x14ac:dyDescent="0.2">
      <c r="DO37671" s="303" t="s">
        <v>232</v>
      </c>
    </row>
    <row r="37672" spans="119:119" x14ac:dyDescent="0.2">
      <c r="DO37672" s="303" t="s">
        <v>232</v>
      </c>
    </row>
    <row r="37673" spans="119:119" x14ac:dyDescent="0.2">
      <c r="DO37673" s="303" t="s">
        <v>232</v>
      </c>
    </row>
    <row r="37674" spans="119:119" x14ac:dyDescent="0.2">
      <c r="DO37674" s="303" t="s">
        <v>232</v>
      </c>
    </row>
    <row r="37675" spans="119:119" x14ac:dyDescent="0.2">
      <c r="DO37675" s="303" t="s">
        <v>232</v>
      </c>
    </row>
    <row r="37676" spans="119:119" x14ac:dyDescent="0.2">
      <c r="DO37676" s="303" t="s">
        <v>232</v>
      </c>
    </row>
    <row r="37677" spans="119:119" x14ac:dyDescent="0.2">
      <c r="DO37677" s="303" t="s">
        <v>232</v>
      </c>
    </row>
    <row r="37678" spans="119:119" x14ac:dyDescent="0.2">
      <c r="DO37678" s="303" t="s">
        <v>232</v>
      </c>
    </row>
    <row r="37679" spans="119:119" x14ac:dyDescent="0.2">
      <c r="DO37679" s="303" t="s">
        <v>232</v>
      </c>
    </row>
    <row r="37680" spans="119:119" x14ac:dyDescent="0.2">
      <c r="DO37680" s="303" t="s">
        <v>232</v>
      </c>
    </row>
    <row r="37681" spans="119:119" x14ac:dyDescent="0.2">
      <c r="DO37681" s="303" t="s">
        <v>232</v>
      </c>
    </row>
    <row r="37682" spans="119:119" x14ac:dyDescent="0.2">
      <c r="DO37682" s="303" t="s">
        <v>232</v>
      </c>
    </row>
    <row r="37683" spans="119:119" x14ac:dyDescent="0.2">
      <c r="DO37683" s="303" t="s">
        <v>232</v>
      </c>
    </row>
    <row r="37684" spans="119:119" x14ac:dyDescent="0.2">
      <c r="DO37684" s="303" t="s">
        <v>232</v>
      </c>
    </row>
    <row r="37685" spans="119:119" x14ac:dyDescent="0.2">
      <c r="DO37685" s="303" t="s">
        <v>232</v>
      </c>
    </row>
    <row r="37686" spans="119:119" x14ac:dyDescent="0.2">
      <c r="DO37686" s="303" t="s">
        <v>232</v>
      </c>
    </row>
    <row r="37687" spans="119:119" x14ac:dyDescent="0.2">
      <c r="DO37687" s="303" t="s">
        <v>232</v>
      </c>
    </row>
    <row r="37688" spans="119:119" x14ac:dyDescent="0.2">
      <c r="DO37688" s="303" t="s">
        <v>232</v>
      </c>
    </row>
    <row r="37689" spans="119:119" x14ac:dyDescent="0.2">
      <c r="DO37689" s="303" t="s">
        <v>232</v>
      </c>
    </row>
    <row r="37690" spans="119:119" x14ac:dyDescent="0.2">
      <c r="DO37690" s="303" t="s">
        <v>232</v>
      </c>
    </row>
    <row r="37691" spans="119:119" x14ac:dyDescent="0.2">
      <c r="DO37691" s="303" t="s">
        <v>232</v>
      </c>
    </row>
    <row r="37692" spans="119:119" x14ac:dyDescent="0.2">
      <c r="DO37692" s="303" t="s">
        <v>232</v>
      </c>
    </row>
    <row r="37693" spans="119:119" x14ac:dyDescent="0.2">
      <c r="DO37693" s="303" t="s">
        <v>232</v>
      </c>
    </row>
    <row r="37694" spans="119:119" x14ac:dyDescent="0.2">
      <c r="DO37694" s="303" t="s">
        <v>232</v>
      </c>
    </row>
    <row r="37695" spans="119:119" x14ac:dyDescent="0.2">
      <c r="DO37695" s="303" t="s">
        <v>232</v>
      </c>
    </row>
    <row r="37696" spans="119:119" x14ac:dyDescent="0.2">
      <c r="DO37696" s="303" t="s">
        <v>232</v>
      </c>
    </row>
    <row r="37697" spans="119:119" x14ac:dyDescent="0.2">
      <c r="DO37697" s="303" t="s">
        <v>232</v>
      </c>
    </row>
    <row r="37698" spans="119:119" x14ac:dyDescent="0.2">
      <c r="DO37698" s="303" t="s">
        <v>232</v>
      </c>
    </row>
    <row r="37699" spans="119:119" x14ac:dyDescent="0.2">
      <c r="DO37699" s="303" t="s">
        <v>232</v>
      </c>
    </row>
    <row r="37700" spans="119:119" x14ac:dyDescent="0.2">
      <c r="DO37700" s="303" t="s">
        <v>232</v>
      </c>
    </row>
    <row r="37701" spans="119:119" x14ac:dyDescent="0.2">
      <c r="DO37701" s="303" t="s">
        <v>232</v>
      </c>
    </row>
    <row r="37702" spans="119:119" x14ac:dyDescent="0.2">
      <c r="DO37702" s="303" t="s">
        <v>232</v>
      </c>
    </row>
    <row r="37703" spans="119:119" x14ac:dyDescent="0.2">
      <c r="DO37703" s="303" t="s">
        <v>232</v>
      </c>
    </row>
    <row r="37704" spans="119:119" x14ac:dyDescent="0.2">
      <c r="DO37704" s="303" t="s">
        <v>232</v>
      </c>
    </row>
    <row r="37705" spans="119:119" x14ac:dyDescent="0.2">
      <c r="DO37705" s="303" t="s">
        <v>232</v>
      </c>
    </row>
    <row r="37706" spans="119:119" x14ac:dyDescent="0.2">
      <c r="DO37706" s="303" t="s">
        <v>232</v>
      </c>
    </row>
    <row r="37707" spans="119:119" x14ac:dyDescent="0.2">
      <c r="DO37707" s="303" t="s">
        <v>232</v>
      </c>
    </row>
    <row r="37708" spans="119:119" x14ac:dyDescent="0.2">
      <c r="DO37708" s="303" t="s">
        <v>232</v>
      </c>
    </row>
    <row r="37709" spans="119:119" x14ac:dyDescent="0.2">
      <c r="DO37709" s="303" t="s">
        <v>232</v>
      </c>
    </row>
    <row r="37710" spans="119:119" x14ac:dyDescent="0.2">
      <c r="DO37710" s="303" t="s">
        <v>232</v>
      </c>
    </row>
    <row r="37711" spans="119:119" x14ac:dyDescent="0.2">
      <c r="DO37711" s="303" t="s">
        <v>232</v>
      </c>
    </row>
    <row r="37712" spans="119:119" x14ac:dyDescent="0.2">
      <c r="DO37712" s="303" t="s">
        <v>232</v>
      </c>
    </row>
    <row r="37713" spans="119:119" x14ac:dyDescent="0.2">
      <c r="DO37713" s="303" t="s">
        <v>232</v>
      </c>
    </row>
    <row r="37714" spans="119:119" x14ac:dyDescent="0.2">
      <c r="DO37714" s="303" t="s">
        <v>232</v>
      </c>
    </row>
    <row r="37715" spans="119:119" x14ac:dyDescent="0.2">
      <c r="DO37715" s="303" t="s">
        <v>232</v>
      </c>
    </row>
    <row r="37716" spans="119:119" x14ac:dyDescent="0.2">
      <c r="DO37716" s="303" t="s">
        <v>232</v>
      </c>
    </row>
    <row r="37717" spans="119:119" x14ac:dyDescent="0.2">
      <c r="DO37717" s="303" t="s">
        <v>232</v>
      </c>
    </row>
    <row r="37718" spans="119:119" x14ac:dyDescent="0.2">
      <c r="DO37718" s="303" t="s">
        <v>232</v>
      </c>
    </row>
    <row r="37719" spans="119:119" x14ac:dyDescent="0.2">
      <c r="DO37719" s="303" t="s">
        <v>232</v>
      </c>
    </row>
    <row r="37720" spans="119:119" x14ac:dyDescent="0.2">
      <c r="DO37720" s="303" t="s">
        <v>232</v>
      </c>
    </row>
    <row r="37721" spans="119:119" x14ac:dyDescent="0.2">
      <c r="DO37721" s="303" t="s">
        <v>232</v>
      </c>
    </row>
    <row r="37722" spans="119:119" x14ac:dyDescent="0.2">
      <c r="DO37722" s="303" t="s">
        <v>232</v>
      </c>
    </row>
    <row r="37723" spans="119:119" x14ac:dyDescent="0.2">
      <c r="DO37723" s="303" t="s">
        <v>232</v>
      </c>
    </row>
    <row r="37724" spans="119:119" x14ac:dyDescent="0.2">
      <c r="DO37724" s="303" t="s">
        <v>232</v>
      </c>
    </row>
    <row r="37725" spans="119:119" x14ac:dyDescent="0.2">
      <c r="DO37725" s="303" t="s">
        <v>232</v>
      </c>
    </row>
    <row r="37726" spans="119:119" x14ac:dyDescent="0.2">
      <c r="DO37726" s="303" t="s">
        <v>232</v>
      </c>
    </row>
    <row r="37727" spans="119:119" x14ac:dyDescent="0.2">
      <c r="DO37727" s="303" t="s">
        <v>232</v>
      </c>
    </row>
    <row r="37728" spans="119:119" x14ac:dyDescent="0.2">
      <c r="DO37728" s="303" t="s">
        <v>232</v>
      </c>
    </row>
    <row r="37729" spans="119:119" x14ac:dyDescent="0.2">
      <c r="DO37729" s="303" t="s">
        <v>232</v>
      </c>
    </row>
    <row r="37730" spans="119:119" x14ac:dyDescent="0.2">
      <c r="DO37730" s="303" t="s">
        <v>232</v>
      </c>
    </row>
    <row r="37731" spans="119:119" x14ac:dyDescent="0.2">
      <c r="DO37731" s="303" t="s">
        <v>232</v>
      </c>
    </row>
    <row r="37732" spans="119:119" x14ac:dyDescent="0.2">
      <c r="DO37732" s="303" t="s">
        <v>232</v>
      </c>
    </row>
    <row r="37733" spans="119:119" x14ac:dyDescent="0.2">
      <c r="DO37733" s="303" t="s">
        <v>232</v>
      </c>
    </row>
    <row r="37734" spans="119:119" x14ac:dyDescent="0.2">
      <c r="DO37734" s="303" t="s">
        <v>232</v>
      </c>
    </row>
    <row r="37735" spans="119:119" x14ac:dyDescent="0.2">
      <c r="DO37735" s="303" t="s">
        <v>232</v>
      </c>
    </row>
    <row r="37736" spans="119:119" x14ac:dyDescent="0.2">
      <c r="DO37736" s="303" t="s">
        <v>232</v>
      </c>
    </row>
    <row r="37737" spans="119:119" x14ac:dyDescent="0.2">
      <c r="DO37737" s="303" t="s">
        <v>232</v>
      </c>
    </row>
    <row r="37738" spans="119:119" x14ac:dyDescent="0.2">
      <c r="DO37738" s="303" t="s">
        <v>232</v>
      </c>
    </row>
    <row r="37739" spans="119:119" x14ac:dyDescent="0.2">
      <c r="DO37739" s="303" t="s">
        <v>232</v>
      </c>
    </row>
    <row r="37740" spans="119:119" x14ac:dyDescent="0.2">
      <c r="DO37740" s="303" t="s">
        <v>232</v>
      </c>
    </row>
    <row r="37741" spans="119:119" x14ac:dyDescent="0.2">
      <c r="DO37741" s="303" t="s">
        <v>232</v>
      </c>
    </row>
    <row r="37742" spans="119:119" x14ac:dyDescent="0.2">
      <c r="DO37742" s="303" t="s">
        <v>232</v>
      </c>
    </row>
    <row r="37743" spans="119:119" x14ac:dyDescent="0.2">
      <c r="DO37743" s="303" t="s">
        <v>232</v>
      </c>
    </row>
    <row r="37744" spans="119:119" x14ac:dyDescent="0.2">
      <c r="DO37744" s="303" t="s">
        <v>232</v>
      </c>
    </row>
    <row r="37745" spans="119:119" x14ac:dyDescent="0.2">
      <c r="DO37745" s="303" t="s">
        <v>232</v>
      </c>
    </row>
    <row r="37746" spans="119:119" x14ac:dyDescent="0.2">
      <c r="DO37746" s="303" t="s">
        <v>232</v>
      </c>
    </row>
    <row r="37747" spans="119:119" x14ac:dyDescent="0.2">
      <c r="DO37747" s="303" t="s">
        <v>232</v>
      </c>
    </row>
    <row r="37748" spans="119:119" x14ac:dyDescent="0.2">
      <c r="DO37748" s="303" t="s">
        <v>232</v>
      </c>
    </row>
    <row r="37749" spans="119:119" x14ac:dyDescent="0.2">
      <c r="DO37749" s="303" t="s">
        <v>232</v>
      </c>
    </row>
    <row r="37750" spans="119:119" x14ac:dyDescent="0.2">
      <c r="DO37750" s="303" t="s">
        <v>232</v>
      </c>
    </row>
    <row r="37751" spans="119:119" x14ac:dyDescent="0.2">
      <c r="DO37751" s="303" t="s">
        <v>232</v>
      </c>
    </row>
    <row r="37752" spans="119:119" x14ac:dyDescent="0.2">
      <c r="DO37752" s="303" t="s">
        <v>232</v>
      </c>
    </row>
    <row r="37753" spans="119:119" x14ac:dyDescent="0.2">
      <c r="DO37753" s="303" t="s">
        <v>232</v>
      </c>
    </row>
    <row r="37754" spans="119:119" x14ac:dyDescent="0.2">
      <c r="DO37754" s="303" t="s">
        <v>232</v>
      </c>
    </row>
    <row r="37755" spans="119:119" x14ac:dyDescent="0.2">
      <c r="DO37755" s="303" t="s">
        <v>232</v>
      </c>
    </row>
    <row r="37756" spans="119:119" x14ac:dyDescent="0.2">
      <c r="DO37756" s="303" t="s">
        <v>232</v>
      </c>
    </row>
    <row r="37757" spans="119:119" x14ac:dyDescent="0.2">
      <c r="DO37757" s="303" t="s">
        <v>232</v>
      </c>
    </row>
    <row r="37758" spans="119:119" x14ac:dyDescent="0.2">
      <c r="DO37758" s="303" t="s">
        <v>232</v>
      </c>
    </row>
    <row r="37759" spans="119:119" x14ac:dyDescent="0.2">
      <c r="DO37759" s="303" t="s">
        <v>232</v>
      </c>
    </row>
    <row r="37760" spans="119:119" x14ac:dyDescent="0.2">
      <c r="DO37760" s="303" t="s">
        <v>232</v>
      </c>
    </row>
    <row r="37761" spans="119:119" x14ac:dyDescent="0.2">
      <c r="DO37761" s="303" t="s">
        <v>232</v>
      </c>
    </row>
    <row r="37762" spans="119:119" x14ac:dyDescent="0.2">
      <c r="DO37762" s="303" t="s">
        <v>232</v>
      </c>
    </row>
    <row r="37763" spans="119:119" x14ac:dyDescent="0.2">
      <c r="DO37763" s="303" t="s">
        <v>232</v>
      </c>
    </row>
    <row r="37764" spans="119:119" x14ac:dyDescent="0.2">
      <c r="DO37764" s="303" t="s">
        <v>232</v>
      </c>
    </row>
    <row r="37765" spans="119:119" x14ac:dyDescent="0.2">
      <c r="DO37765" s="303" t="s">
        <v>232</v>
      </c>
    </row>
    <row r="37766" spans="119:119" x14ac:dyDescent="0.2">
      <c r="DO37766" s="303" t="s">
        <v>232</v>
      </c>
    </row>
    <row r="37767" spans="119:119" x14ac:dyDescent="0.2">
      <c r="DO37767" s="303" t="s">
        <v>232</v>
      </c>
    </row>
    <row r="37768" spans="119:119" x14ac:dyDescent="0.2">
      <c r="DO37768" s="303" t="s">
        <v>232</v>
      </c>
    </row>
    <row r="37769" spans="119:119" x14ac:dyDescent="0.2">
      <c r="DO37769" s="303" t="s">
        <v>232</v>
      </c>
    </row>
    <row r="37770" spans="119:119" x14ac:dyDescent="0.2">
      <c r="DO37770" s="303" t="s">
        <v>232</v>
      </c>
    </row>
    <row r="37771" spans="119:119" x14ac:dyDescent="0.2">
      <c r="DO37771" s="303" t="s">
        <v>232</v>
      </c>
    </row>
    <row r="37772" spans="119:119" x14ac:dyDescent="0.2">
      <c r="DO37772" s="303" t="s">
        <v>232</v>
      </c>
    </row>
    <row r="37773" spans="119:119" x14ac:dyDescent="0.2">
      <c r="DO37773" s="303" t="s">
        <v>232</v>
      </c>
    </row>
    <row r="37774" spans="119:119" x14ac:dyDescent="0.2">
      <c r="DO37774" s="303" t="s">
        <v>232</v>
      </c>
    </row>
    <row r="37775" spans="119:119" x14ac:dyDescent="0.2">
      <c r="DO37775" s="303" t="s">
        <v>232</v>
      </c>
    </row>
    <row r="37776" spans="119:119" x14ac:dyDescent="0.2">
      <c r="DO37776" s="303" t="s">
        <v>232</v>
      </c>
    </row>
    <row r="37777" spans="119:119" x14ac:dyDescent="0.2">
      <c r="DO37777" s="303" t="s">
        <v>232</v>
      </c>
    </row>
    <row r="37778" spans="119:119" x14ac:dyDescent="0.2">
      <c r="DO37778" s="303" t="s">
        <v>232</v>
      </c>
    </row>
    <row r="37779" spans="119:119" x14ac:dyDescent="0.2">
      <c r="DO37779" s="303" t="s">
        <v>232</v>
      </c>
    </row>
    <row r="37780" spans="119:119" x14ac:dyDescent="0.2">
      <c r="DO37780" s="303" t="s">
        <v>232</v>
      </c>
    </row>
    <row r="37781" spans="119:119" x14ac:dyDescent="0.2">
      <c r="DO37781" s="303" t="s">
        <v>232</v>
      </c>
    </row>
    <row r="37782" spans="119:119" x14ac:dyDescent="0.2">
      <c r="DO37782" s="303" t="s">
        <v>232</v>
      </c>
    </row>
    <row r="37783" spans="119:119" x14ac:dyDescent="0.2">
      <c r="DO37783" s="303" t="s">
        <v>232</v>
      </c>
    </row>
    <row r="37784" spans="119:119" x14ac:dyDescent="0.2">
      <c r="DO37784" s="303" t="s">
        <v>232</v>
      </c>
    </row>
    <row r="37785" spans="119:119" x14ac:dyDescent="0.2">
      <c r="DO37785" s="303" t="s">
        <v>232</v>
      </c>
    </row>
    <row r="37786" spans="119:119" x14ac:dyDescent="0.2">
      <c r="DO37786" s="303" t="s">
        <v>232</v>
      </c>
    </row>
    <row r="37787" spans="119:119" x14ac:dyDescent="0.2">
      <c r="DO37787" s="303" t="s">
        <v>232</v>
      </c>
    </row>
    <row r="37788" spans="119:119" x14ac:dyDescent="0.2">
      <c r="DO37788" s="303" t="s">
        <v>232</v>
      </c>
    </row>
    <row r="37789" spans="119:119" x14ac:dyDescent="0.2">
      <c r="DO37789" s="303" t="s">
        <v>232</v>
      </c>
    </row>
    <row r="37790" spans="119:119" x14ac:dyDescent="0.2">
      <c r="DO37790" s="303" t="s">
        <v>232</v>
      </c>
    </row>
    <row r="37791" spans="119:119" x14ac:dyDescent="0.2">
      <c r="DO37791" s="303" t="s">
        <v>232</v>
      </c>
    </row>
    <row r="37792" spans="119:119" x14ac:dyDescent="0.2">
      <c r="DO37792" s="303" t="s">
        <v>232</v>
      </c>
    </row>
    <row r="37793" spans="119:119" x14ac:dyDescent="0.2">
      <c r="DO37793" s="303" t="s">
        <v>232</v>
      </c>
    </row>
    <row r="37794" spans="119:119" x14ac:dyDescent="0.2">
      <c r="DO37794" s="303" t="s">
        <v>232</v>
      </c>
    </row>
    <row r="37795" spans="119:119" x14ac:dyDescent="0.2">
      <c r="DO37795" s="303" t="s">
        <v>232</v>
      </c>
    </row>
    <row r="37796" spans="119:119" x14ac:dyDescent="0.2">
      <c r="DO37796" s="303" t="s">
        <v>232</v>
      </c>
    </row>
    <row r="37797" spans="119:119" x14ac:dyDescent="0.2">
      <c r="DO37797" s="303" t="s">
        <v>232</v>
      </c>
    </row>
    <row r="37798" spans="119:119" x14ac:dyDescent="0.2">
      <c r="DO37798" s="303" t="s">
        <v>232</v>
      </c>
    </row>
    <row r="37799" spans="119:119" x14ac:dyDescent="0.2">
      <c r="DO37799" s="303" t="s">
        <v>232</v>
      </c>
    </row>
    <row r="37800" spans="119:119" x14ac:dyDescent="0.2">
      <c r="DO37800" s="303" t="s">
        <v>232</v>
      </c>
    </row>
    <row r="37801" spans="119:119" x14ac:dyDescent="0.2">
      <c r="DO37801" s="303" t="s">
        <v>232</v>
      </c>
    </row>
    <row r="37802" spans="119:119" x14ac:dyDescent="0.2">
      <c r="DO37802" s="303" t="s">
        <v>232</v>
      </c>
    </row>
    <row r="37803" spans="119:119" x14ac:dyDescent="0.2">
      <c r="DO37803" s="303" t="s">
        <v>232</v>
      </c>
    </row>
    <row r="37804" spans="119:119" x14ac:dyDescent="0.2">
      <c r="DO37804" s="303" t="s">
        <v>232</v>
      </c>
    </row>
    <row r="37805" spans="119:119" x14ac:dyDescent="0.2">
      <c r="DO37805" s="303" t="s">
        <v>232</v>
      </c>
    </row>
    <row r="37806" spans="119:119" x14ac:dyDescent="0.2">
      <c r="DO37806" s="303" t="s">
        <v>232</v>
      </c>
    </row>
    <row r="37807" spans="119:119" x14ac:dyDescent="0.2">
      <c r="DO37807" s="303" t="s">
        <v>232</v>
      </c>
    </row>
    <row r="37808" spans="119:119" x14ac:dyDescent="0.2">
      <c r="DO37808" s="303" t="s">
        <v>232</v>
      </c>
    </row>
    <row r="37809" spans="119:119" x14ac:dyDescent="0.2">
      <c r="DO37809" s="303" t="s">
        <v>232</v>
      </c>
    </row>
    <row r="37810" spans="119:119" x14ac:dyDescent="0.2">
      <c r="DO37810" s="303" t="s">
        <v>232</v>
      </c>
    </row>
    <row r="37811" spans="119:119" x14ac:dyDescent="0.2">
      <c r="DO37811" s="303" t="s">
        <v>232</v>
      </c>
    </row>
    <row r="37812" spans="119:119" x14ac:dyDescent="0.2">
      <c r="DO37812" s="303" t="s">
        <v>232</v>
      </c>
    </row>
    <row r="37813" spans="119:119" x14ac:dyDescent="0.2">
      <c r="DO37813" s="303" t="s">
        <v>232</v>
      </c>
    </row>
    <row r="37814" spans="119:119" x14ac:dyDescent="0.2">
      <c r="DO37814" s="303" t="s">
        <v>232</v>
      </c>
    </row>
    <row r="37815" spans="119:119" x14ac:dyDescent="0.2">
      <c r="DO37815" s="303" t="s">
        <v>232</v>
      </c>
    </row>
    <row r="37816" spans="119:119" x14ac:dyDescent="0.2">
      <c r="DO37816" s="303" t="s">
        <v>232</v>
      </c>
    </row>
    <row r="37817" spans="119:119" x14ac:dyDescent="0.2">
      <c r="DO37817" s="303" t="s">
        <v>232</v>
      </c>
    </row>
    <row r="37818" spans="119:119" x14ac:dyDescent="0.2">
      <c r="DO37818" s="303" t="s">
        <v>232</v>
      </c>
    </row>
    <row r="37819" spans="119:119" x14ac:dyDescent="0.2">
      <c r="DO37819" s="303" t="s">
        <v>232</v>
      </c>
    </row>
    <row r="37820" spans="119:119" x14ac:dyDescent="0.2">
      <c r="DO37820" s="303" t="s">
        <v>232</v>
      </c>
    </row>
    <row r="37821" spans="119:119" x14ac:dyDescent="0.2">
      <c r="DO37821" s="303" t="s">
        <v>232</v>
      </c>
    </row>
    <row r="37822" spans="119:119" x14ac:dyDescent="0.2">
      <c r="DO37822" s="303" t="s">
        <v>232</v>
      </c>
    </row>
    <row r="37823" spans="119:119" x14ac:dyDescent="0.2">
      <c r="DO37823" s="303" t="s">
        <v>232</v>
      </c>
    </row>
    <row r="37824" spans="119:119" x14ac:dyDescent="0.2">
      <c r="DO37824" s="303" t="s">
        <v>232</v>
      </c>
    </row>
    <row r="37825" spans="119:119" x14ac:dyDescent="0.2">
      <c r="DO37825" s="303" t="s">
        <v>232</v>
      </c>
    </row>
    <row r="37826" spans="119:119" x14ac:dyDescent="0.2">
      <c r="DO37826" s="303" t="s">
        <v>232</v>
      </c>
    </row>
    <row r="37827" spans="119:119" x14ac:dyDescent="0.2">
      <c r="DO37827" s="303" t="s">
        <v>232</v>
      </c>
    </row>
    <row r="37828" spans="119:119" x14ac:dyDescent="0.2">
      <c r="DO37828" s="303" t="s">
        <v>232</v>
      </c>
    </row>
    <row r="37829" spans="119:119" x14ac:dyDescent="0.2">
      <c r="DO37829" s="303" t="s">
        <v>232</v>
      </c>
    </row>
    <row r="37830" spans="119:119" x14ac:dyDescent="0.2">
      <c r="DO37830" s="303" t="s">
        <v>232</v>
      </c>
    </row>
    <row r="37831" spans="119:119" x14ac:dyDescent="0.2">
      <c r="DO37831" s="303" t="s">
        <v>232</v>
      </c>
    </row>
    <row r="37832" spans="119:119" x14ac:dyDescent="0.2">
      <c r="DO37832" s="303" t="s">
        <v>232</v>
      </c>
    </row>
    <row r="37833" spans="119:119" x14ac:dyDescent="0.2">
      <c r="DO37833" s="303" t="s">
        <v>232</v>
      </c>
    </row>
    <row r="37834" spans="119:119" x14ac:dyDescent="0.2">
      <c r="DO37834" s="303" t="s">
        <v>232</v>
      </c>
    </row>
    <row r="37835" spans="119:119" x14ac:dyDescent="0.2">
      <c r="DO37835" s="303" t="s">
        <v>232</v>
      </c>
    </row>
    <row r="37836" spans="119:119" x14ac:dyDescent="0.2">
      <c r="DO37836" s="303" t="s">
        <v>232</v>
      </c>
    </row>
    <row r="37837" spans="119:119" x14ac:dyDescent="0.2">
      <c r="DO37837" s="303" t="s">
        <v>232</v>
      </c>
    </row>
    <row r="37838" spans="119:119" x14ac:dyDescent="0.2">
      <c r="DO37838" s="303" t="s">
        <v>232</v>
      </c>
    </row>
    <row r="37839" spans="119:119" x14ac:dyDescent="0.2">
      <c r="DO37839" s="303" t="s">
        <v>232</v>
      </c>
    </row>
    <row r="37840" spans="119:119" x14ac:dyDescent="0.2">
      <c r="DO37840" s="303" t="s">
        <v>232</v>
      </c>
    </row>
    <row r="37841" spans="119:119" x14ac:dyDescent="0.2">
      <c r="DO37841" s="303" t="s">
        <v>232</v>
      </c>
    </row>
    <row r="37842" spans="119:119" x14ac:dyDescent="0.2">
      <c r="DO37842" s="303" t="s">
        <v>232</v>
      </c>
    </row>
    <row r="37843" spans="119:119" x14ac:dyDescent="0.2">
      <c r="DO37843" s="303" t="s">
        <v>232</v>
      </c>
    </row>
    <row r="37844" spans="119:119" x14ac:dyDescent="0.2">
      <c r="DO37844" s="303" t="s">
        <v>232</v>
      </c>
    </row>
    <row r="37845" spans="119:119" x14ac:dyDescent="0.2">
      <c r="DO37845" s="303" t="s">
        <v>232</v>
      </c>
    </row>
    <row r="37846" spans="119:119" x14ac:dyDescent="0.2">
      <c r="DO37846" s="303" t="s">
        <v>232</v>
      </c>
    </row>
    <row r="37847" spans="119:119" x14ac:dyDescent="0.2">
      <c r="DO37847" s="303" t="s">
        <v>232</v>
      </c>
    </row>
    <row r="37848" spans="119:119" x14ac:dyDescent="0.2">
      <c r="DO37848" s="303" t="s">
        <v>232</v>
      </c>
    </row>
    <row r="37849" spans="119:119" x14ac:dyDescent="0.2">
      <c r="DO37849" s="303" t="s">
        <v>232</v>
      </c>
    </row>
    <row r="37850" spans="119:119" x14ac:dyDescent="0.2">
      <c r="DO37850" s="303" t="s">
        <v>232</v>
      </c>
    </row>
    <row r="37851" spans="119:119" x14ac:dyDescent="0.2">
      <c r="DO37851" s="303" t="s">
        <v>232</v>
      </c>
    </row>
    <row r="37852" spans="119:119" x14ac:dyDescent="0.2">
      <c r="DO37852" s="303" t="s">
        <v>232</v>
      </c>
    </row>
    <row r="37853" spans="119:119" x14ac:dyDescent="0.2">
      <c r="DO37853" s="303" t="s">
        <v>232</v>
      </c>
    </row>
    <row r="37854" spans="119:119" x14ac:dyDescent="0.2">
      <c r="DO37854" s="303" t="s">
        <v>232</v>
      </c>
    </row>
    <row r="37855" spans="119:119" x14ac:dyDescent="0.2">
      <c r="DO37855" s="303" t="s">
        <v>232</v>
      </c>
    </row>
    <row r="37856" spans="119:119" x14ac:dyDescent="0.2">
      <c r="DO37856" s="303" t="s">
        <v>232</v>
      </c>
    </row>
    <row r="37857" spans="119:119" x14ac:dyDescent="0.2">
      <c r="DO37857" s="303" t="s">
        <v>232</v>
      </c>
    </row>
    <row r="37858" spans="119:119" x14ac:dyDescent="0.2">
      <c r="DO37858" s="303" t="s">
        <v>232</v>
      </c>
    </row>
    <row r="37859" spans="119:119" x14ac:dyDescent="0.2">
      <c r="DO37859" s="303" t="s">
        <v>232</v>
      </c>
    </row>
    <row r="37860" spans="119:119" x14ac:dyDescent="0.2">
      <c r="DO37860" s="303" t="s">
        <v>232</v>
      </c>
    </row>
    <row r="37861" spans="119:119" x14ac:dyDescent="0.2">
      <c r="DO37861" s="303" t="s">
        <v>232</v>
      </c>
    </row>
    <row r="37862" spans="119:119" x14ac:dyDescent="0.2">
      <c r="DO37862" s="303" t="s">
        <v>232</v>
      </c>
    </row>
    <row r="37863" spans="119:119" x14ac:dyDescent="0.2">
      <c r="DO37863" s="303" t="s">
        <v>232</v>
      </c>
    </row>
    <row r="37864" spans="119:119" x14ac:dyDescent="0.2">
      <c r="DO37864" s="303" t="s">
        <v>232</v>
      </c>
    </row>
    <row r="37865" spans="119:119" x14ac:dyDescent="0.2">
      <c r="DO37865" s="303" t="s">
        <v>232</v>
      </c>
    </row>
    <row r="37866" spans="119:119" x14ac:dyDescent="0.2">
      <c r="DO37866" s="303" t="s">
        <v>232</v>
      </c>
    </row>
    <row r="37867" spans="119:119" x14ac:dyDescent="0.2">
      <c r="DO37867" s="303" t="s">
        <v>232</v>
      </c>
    </row>
    <row r="37868" spans="119:119" x14ac:dyDescent="0.2">
      <c r="DO37868" s="303" t="s">
        <v>232</v>
      </c>
    </row>
    <row r="37869" spans="119:119" x14ac:dyDescent="0.2">
      <c r="DO37869" s="303" t="s">
        <v>232</v>
      </c>
    </row>
    <row r="37870" spans="119:119" x14ac:dyDescent="0.2">
      <c r="DO37870" s="303" t="s">
        <v>232</v>
      </c>
    </row>
    <row r="37871" spans="119:119" x14ac:dyDescent="0.2">
      <c r="DO37871" s="303" t="s">
        <v>232</v>
      </c>
    </row>
    <row r="37872" spans="119:119" x14ac:dyDescent="0.2">
      <c r="DO37872" s="303" t="s">
        <v>232</v>
      </c>
    </row>
    <row r="37873" spans="119:119" x14ac:dyDescent="0.2">
      <c r="DO37873" s="303" t="s">
        <v>232</v>
      </c>
    </row>
    <row r="37874" spans="119:119" x14ac:dyDescent="0.2">
      <c r="DO37874" s="303" t="s">
        <v>232</v>
      </c>
    </row>
    <row r="37875" spans="119:119" x14ac:dyDescent="0.2">
      <c r="DO37875" s="303" t="s">
        <v>232</v>
      </c>
    </row>
    <row r="37876" spans="119:119" x14ac:dyDescent="0.2">
      <c r="DO37876" s="303" t="s">
        <v>232</v>
      </c>
    </row>
    <row r="37877" spans="119:119" x14ac:dyDescent="0.2">
      <c r="DO37877" s="303" t="s">
        <v>232</v>
      </c>
    </row>
    <row r="37878" spans="119:119" x14ac:dyDescent="0.2">
      <c r="DO37878" s="303" t="s">
        <v>232</v>
      </c>
    </row>
    <row r="37879" spans="119:119" x14ac:dyDescent="0.2">
      <c r="DO37879" s="303" t="s">
        <v>232</v>
      </c>
    </row>
    <row r="37880" spans="119:119" x14ac:dyDescent="0.2">
      <c r="DO37880" s="303" t="s">
        <v>232</v>
      </c>
    </row>
    <row r="37881" spans="119:119" x14ac:dyDescent="0.2">
      <c r="DO37881" s="303" t="s">
        <v>232</v>
      </c>
    </row>
    <row r="37882" spans="119:119" x14ac:dyDescent="0.2">
      <c r="DO37882" s="303" t="s">
        <v>232</v>
      </c>
    </row>
    <row r="37883" spans="119:119" x14ac:dyDescent="0.2">
      <c r="DO37883" s="303" t="s">
        <v>232</v>
      </c>
    </row>
    <row r="37884" spans="119:119" x14ac:dyDescent="0.2">
      <c r="DO37884" s="303" t="s">
        <v>232</v>
      </c>
    </row>
    <row r="37885" spans="119:119" x14ac:dyDescent="0.2">
      <c r="DO37885" s="303" t="s">
        <v>232</v>
      </c>
    </row>
    <row r="37886" spans="119:119" x14ac:dyDescent="0.2">
      <c r="DO37886" s="303" t="s">
        <v>232</v>
      </c>
    </row>
    <row r="37887" spans="119:119" x14ac:dyDescent="0.2">
      <c r="DO37887" s="303" t="s">
        <v>232</v>
      </c>
    </row>
    <row r="37888" spans="119:119" x14ac:dyDescent="0.2">
      <c r="DO37888" s="303" t="s">
        <v>232</v>
      </c>
    </row>
    <row r="37889" spans="119:119" x14ac:dyDescent="0.2">
      <c r="DO37889" s="303" t="s">
        <v>232</v>
      </c>
    </row>
    <row r="37890" spans="119:119" x14ac:dyDescent="0.2">
      <c r="DO37890" s="303" t="s">
        <v>232</v>
      </c>
    </row>
    <row r="37891" spans="119:119" x14ac:dyDescent="0.2">
      <c r="DO37891" s="303" t="s">
        <v>232</v>
      </c>
    </row>
    <row r="37892" spans="119:119" x14ac:dyDescent="0.2">
      <c r="DO37892" s="303" t="s">
        <v>232</v>
      </c>
    </row>
    <row r="37893" spans="119:119" x14ac:dyDescent="0.2">
      <c r="DO37893" s="303" t="s">
        <v>232</v>
      </c>
    </row>
    <row r="37894" spans="119:119" x14ac:dyDescent="0.2">
      <c r="DO37894" s="303" t="s">
        <v>232</v>
      </c>
    </row>
    <row r="37895" spans="119:119" x14ac:dyDescent="0.2">
      <c r="DO37895" s="303" t="s">
        <v>232</v>
      </c>
    </row>
    <row r="37896" spans="119:119" x14ac:dyDescent="0.2">
      <c r="DO37896" s="303" t="s">
        <v>232</v>
      </c>
    </row>
    <row r="37897" spans="119:119" x14ac:dyDescent="0.2">
      <c r="DO37897" s="303" t="s">
        <v>232</v>
      </c>
    </row>
    <row r="37898" spans="119:119" x14ac:dyDescent="0.2">
      <c r="DO37898" s="303" t="s">
        <v>232</v>
      </c>
    </row>
    <row r="37899" spans="119:119" x14ac:dyDescent="0.2">
      <c r="DO37899" s="303" t="s">
        <v>232</v>
      </c>
    </row>
    <row r="37900" spans="119:119" x14ac:dyDescent="0.2">
      <c r="DO37900" s="303" t="s">
        <v>232</v>
      </c>
    </row>
    <row r="37901" spans="119:119" x14ac:dyDescent="0.2">
      <c r="DO37901" s="303" t="s">
        <v>232</v>
      </c>
    </row>
    <row r="37902" spans="119:119" x14ac:dyDescent="0.2">
      <c r="DO37902" s="303" t="s">
        <v>232</v>
      </c>
    </row>
    <row r="37903" spans="119:119" x14ac:dyDescent="0.2">
      <c r="DO37903" s="303" t="s">
        <v>232</v>
      </c>
    </row>
    <row r="37904" spans="119:119" x14ac:dyDescent="0.2">
      <c r="DO37904" s="303" t="s">
        <v>232</v>
      </c>
    </row>
    <row r="37905" spans="119:119" x14ac:dyDescent="0.2">
      <c r="DO37905" s="303" t="s">
        <v>232</v>
      </c>
    </row>
    <row r="37906" spans="119:119" x14ac:dyDescent="0.2">
      <c r="DO37906" s="303" t="s">
        <v>232</v>
      </c>
    </row>
    <row r="37907" spans="119:119" x14ac:dyDescent="0.2">
      <c r="DO37907" s="303" t="s">
        <v>232</v>
      </c>
    </row>
    <row r="37908" spans="119:119" x14ac:dyDescent="0.2">
      <c r="DO37908" s="303" t="s">
        <v>232</v>
      </c>
    </row>
    <row r="37909" spans="119:119" x14ac:dyDescent="0.2">
      <c r="DO37909" s="303" t="s">
        <v>232</v>
      </c>
    </row>
    <row r="37910" spans="119:119" x14ac:dyDescent="0.2">
      <c r="DO37910" s="303" t="s">
        <v>232</v>
      </c>
    </row>
    <row r="37911" spans="119:119" x14ac:dyDescent="0.2">
      <c r="DO37911" s="303" t="s">
        <v>232</v>
      </c>
    </row>
    <row r="37912" spans="119:119" x14ac:dyDescent="0.2">
      <c r="DO37912" s="303" t="s">
        <v>232</v>
      </c>
    </row>
    <row r="37913" spans="119:119" x14ac:dyDescent="0.2">
      <c r="DO37913" s="303" t="s">
        <v>232</v>
      </c>
    </row>
    <row r="37914" spans="119:119" x14ac:dyDescent="0.2">
      <c r="DO37914" s="303" t="s">
        <v>232</v>
      </c>
    </row>
    <row r="37915" spans="119:119" x14ac:dyDescent="0.2">
      <c r="DO37915" s="303" t="s">
        <v>232</v>
      </c>
    </row>
    <row r="37916" spans="119:119" x14ac:dyDescent="0.2">
      <c r="DO37916" s="303" t="s">
        <v>232</v>
      </c>
    </row>
    <row r="37917" spans="119:119" x14ac:dyDescent="0.2">
      <c r="DO37917" s="303" t="s">
        <v>232</v>
      </c>
    </row>
    <row r="37918" spans="119:119" x14ac:dyDescent="0.2">
      <c r="DO37918" s="303" t="s">
        <v>232</v>
      </c>
    </row>
    <row r="37919" spans="119:119" x14ac:dyDescent="0.2">
      <c r="DO37919" s="303" t="s">
        <v>232</v>
      </c>
    </row>
    <row r="37920" spans="119:119" x14ac:dyDescent="0.2">
      <c r="DO37920" s="303" t="s">
        <v>232</v>
      </c>
    </row>
    <row r="37921" spans="119:119" x14ac:dyDescent="0.2">
      <c r="DO37921" s="303" t="s">
        <v>232</v>
      </c>
    </row>
    <row r="37922" spans="119:119" x14ac:dyDescent="0.2">
      <c r="DO37922" s="303" t="s">
        <v>232</v>
      </c>
    </row>
    <row r="37923" spans="119:119" x14ac:dyDescent="0.2">
      <c r="DO37923" s="303" t="s">
        <v>232</v>
      </c>
    </row>
    <row r="37924" spans="119:119" x14ac:dyDescent="0.2">
      <c r="DO37924" s="303" t="s">
        <v>232</v>
      </c>
    </row>
    <row r="37925" spans="119:119" x14ac:dyDescent="0.2">
      <c r="DO37925" s="303" t="s">
        <v>232</v>
      </c>
    </row>
    <row r="37926" spans="119:119" x14ac:dyDescent="0.2">
      <c r="DO37926" s="303" t="s">
        <v>232</v>
      </c>
    </row>
    <row r="37927" spans="119:119" x14ac:dyDescent="0.2">
      <c r="DO37927" s="303" t="s">
        <v>232</v>
      </c>
    </row>
    <row r="37928" spans="119:119" x14ac:dyDescent="0.2">
      <c r="DO37928" s="303" t="s">
        <v>232</v>
      </c>
    </row>
    <row r="37929" spans="119:119" x14ac:dyDescent="0.2">
      <c r="DO37929" s="303" t="s">
        <v>232</v>
      </c>
    </row>
    <row r="37930" spans="119:119" x14ac:dyDescent="0.2">
      <c r="DO37930" s="303" t="s">
        <v>232</v>
      </c>
    </row>
    <row r="37931" spans="119:119" x14ac:dyDescent="0.2">
      <c r="DO37931" s="303" t="s">
        <v>232</v>
      </c>
    </row>
    <row r="37932" spans="119:119" x14ac:dyDescent="0.2">
      <c r="DO37932" s="303" t="s">
        <v>232</v>
      </c>
    </row>
    <row r="37933" spans="119:119" x14ac:dyDescent="0.2">
      <c r="DO37933" s="303" t="s">
        <v>232</v>
      </c>
    </row>
    <row r="37934" spans="119:119" x14ac:dyDescent="0.2">
      <c r="DO37934" s="303" t="s">
        <v>232</v>
      </c>
    </row>
    <row r="37935" spans="119:119" x14ac:dyDescent="0.2">
      <c r="DO37935" s="303" t="s">
        <v>232</v>
      </c>
    </row>
    <row r="37936" spans="119:119" x14ac:dyDescent="0.2">
      <c r="DO37936" s="303" t="s">
        <v>232</v>
      </c>
    </row>
    <row r="37937" spans="119:119" x14ac:dyDescent="0.2">
      <c r="DO37937" s="303" t="s">
        <v>232</v>
      </c>
    </row>
    <row r="37938" spans="119:119" x14ac:dyDescent="0.2">
      <c r="DO37938" s="303" t="s">
        <v>232</v>
      </c>
    </row>
    <row r="37939" spans="119:119" x14ac:dyDescent="0.2">
      <c r="DO37939" s="303" t="s">
        <v>232</v>
      </c>
    </row>
    <row r="37940" spans="119:119" x14ac:dyDescent="0.2">
      <c r="DO37940" s="303" t="s">
        <v>232</v>
      </c>
    </row>
    <row r="37941" spans="119:119" x14ac:dyDescent="0.2">
      <c r="DO37941" s="303" t="s">
        <v>232</v>
      </c>
    </row>
    <row r="37942" spans="119:119" x14ac:dyDescent="0.2">
      <c r="DO37942" s="303" t="s">
        <v>232</v>
      </c>
    </row>
    <row r="37943" spans="119:119" x14ac:dyDescent="0.2">
      <c r="DO37943" s="303" t="s">
        <v>232</v>
      </c>
    </row>
    <row r="37944" spans="119:119" x14ac:dyDescent="0.2">
      <c r="DO37944" s="303" t="s">
        <v>232</v>
      </c>
    </row>
    <row r="37945" spans="119:119" x14ac:dyDescent="0.2">
      <c r="DO37945" s="303" t="s">
        <v>232</v>
      </c>
    </row>
    <row r="37946" spans="119:119" x14ac:dyDescent="0.2">
      <c r="DO37946" s="303" t="s">
        <v>232</v>
      </c>
    </row>
    <row r="37947" spans="119:119" x14ac:dyDescent="0.2">
      <c r="DO37947" s="303" t="s">
        <v>232</v>
      </c>
    </row>
    <row r="37948" spans="119:119" x14ac:dyDescent="0.2">
      <c r="DO37948" s="303" t="s">
        <v>232</v>
      </c>
    </row>
    <row r="37949" spans="119:119" x14ac:dyDescent="0.2">
      <c r="DO37949" s="303" t="s">
        <v>232</v>
      </c>
    </row>
    <row r="37950" spans="119:119" x14ac:dyDescent="0.2">
      <c r="DO37950" s="303" t="s">
        <v>232</v>
      </c>
    </row>
    <row r="37951" spans="119:119" x14ac:dyDescent="0.2">
      <c r="DO37951" s="303" t="s">
        <v>232</v>
      </c>
    </row>
    <row r="37952" spans="119:119" x14ac:dyDescent="0.2">
      <c r="DO37952" s="303" t="s">
        <v>232</v>
      </c>
    </row>
    <row r="37953" spans="119:119" x14ac:dyDescent="0.2">
      <c r="DO37953" s="303" t="s">
        <v>232</v>
      </c>
    </row>
    <row r="37954" spans="119:119" x14ac:dyDescent="0.2">
      <c r="DO37954" s="303" t="s">
        <v>232</v>
      </c>
    </row>
    <row r="37955" spans="119:119" x14ac:dyDescent="0.2">
      <c r="DO37955" s="303" t="s">
        <v>232</v>
      </c>
    </row>
    <row r="37956" spans="119:119" x14ac:dyDescent="0.2">
      <c r="DO37956" s="303" t="s">
        <v>232</v>
      </c>
    </row>
    <row r="37957" spans="119:119" x14ac:dyDescent="0.2">
      <c r="DO37957" s="303" t="s">
        <v>232</v>
      </c>
    </row>
    <row r="37958" spans="119:119" x14ac:dyDescent="0.2">
      <c r="DO37958" s="303" t="s">
        <v>232</v>
      </c>
    </row>
    <row r="37959" spans="119:119" x14ac:dyDescent="0.2">
      <c r="DO37959" s="303" t="s">
        <v>232</v>
      </c>
    </row>
    <row r="37960" spans="119:119" x14ac:dyDescent="0.2">
      <c r="DO37960" s="303" t="s">
        <v>232</v>
      </c>
    </row>
    <row r="37961" spans="119:119" x14ac:dyDescent="0.2">
      <c r="DO37961" s="303" t="s">
        <v>232</v>
      </c>
    </row>
    <row r="37962" spans="119:119" x14ac:dyDescent="0.2">
      <c r="DO37962" s="303" t="s">
        <v>232</v>
      </c>
    </row>
    <row r="37963" spans="119:119" x14ac:dyDescent="0.2">
      <c r="DO37963" s="303" t="s">
        <v>232</v>
      </c>
    </row>
    <row r="37964" spans="119:119" x14ac:dyDescent="0.2">
      <c r="DO37964" s="303" t="s">
        <v>232</v>
      </c>
    </row>
    <row r="37965" spans="119:119" x14ac:dyDescent="0.2">
      <c r="DO37965" s="303" t="s">
        <v>232</v>
      </c>
    </row>
    <row r="37966" spans="119:119" x14ac:dyDescent="0.2">
      <c r="DO37966" s="303" t="s">
        <v>232</v>
      </c>
    </row>
    <row r="37967" spans="119:119" x14ac:dyDescent="0.2">
      <c r="DO37967" s="303" t="s">
        <v>232</v>
      </c>
    </row>
    <row r="37968" spans="119:119" x14ac:dyDescent="0.2">
      <c r="DO37968" s="303" t="s">
        <v>232</v>
      </c>
    </row>
    <row r="37969" spans="119:119" x14ac:dyDescent="0.2">
      <c r="DO37969" s="303" t="s">
        <v>232</v>
      </c>
    </row>
    <row r="37970" spans="119:119" x14ac:dyDescent="0.2">
      <c r="DO37970" s="303" t="s">
        <v>232</v>
      </c>
    </row>
    <row r="37971" spans="119:119" x14ac:dyDescent="0.2">
      <c r="DO37971" s="303" t="s">
        <v>232</v>
      </c>
    </row>
    <row r="37972" spans="119:119" x14ac:dyDescent="0.2">
      <c r="DO37972" s="303" t="s">
        <v>232</v>
      </c>
    </row>
    <row r="37973" spans="119:119" x14ac:dyDescent="0.2">
      <c r="DO37973" s="303" t="s">
        <v>232</v>
      </c>
    </row>
    <row r="37974" spans="119:119" x14ac:dyDescent="0.2">
      <c r="DO37974" s="303" t="s">
        <v>232</v>
      </c>
    </row>
    <row r="37975" spans="119:119" x14ac:dyDescent="0.2">
      <c r="DO37975" s="303" t="s">
        <v>232</v>
      </c>
    </row>
    <row r="37976" spans="119:119" x14ac:dyDescent="0.2">
      <c r="DO37976" s="303" t="s">
        <v>232</v>
      </c>
    </row>
    <row r="37977" spans="119:119" x14ac:dyDescent="0.2">
      <c r="DO37977" s="303" t="s">
        <v>232</v>
      </c>
    </row>
    <row r="37978" spans="119:119" x14ac:dyDescent="0.2">
      <c r="DO37978" s="303" t="s">
        <v>232</v>
      </c>
    </row>
    <row r="37979" spans="119:119" x14ac:dyDescent="0.2">
      <c r="DO37979" s="303" t="s">
        <v>232</v>
      </c>
    </row>
    <row r="37980" spans="119:119" x14ac:dyDescent="0.2">
      <c r="DO37980" s="303" t="s">
        <v>232</v>
      </c>
    </row>
    <row r="37981" spans="119:119" x14ac:dyDescent="0.2">
      <c r="DO37981" s="303" t="s">
        <v>232</v>
      </c>
    </row>
    <row r="37982" spans="119:119" x14ac:dyDescent="0.2">
      <c r="DO37982" s="303" t="s">
        <v>232</v>
      </c>
    </row>
    <row r="37983" spans="119:119" x14ac:dyDescent="0.2">
      <c r="DO37983" s="303" t="s">
        <v>232</v>
      </c>
    </row>
    <row r="37984" spans="119:119" x14ac:dyDescent="0.2">
      <c r="DO37984" s="303" t="s">
        <v>232</v>
      </c>
    </row>
    <row r="37985" spans="119:119" x14ac:dyDescent="0.2">
      <c r="DO37985" s="303" t="s">
        <v>232</v>
      </c>
    </row>
    <row r="37986" spans="119:119" x14ac:dyDescent="0.2">
      <c r="DO37986" s="303" t="s">
        <v>232</v>
      </c>
    </row>
    <row r="37987" spans="119:119" x14ac:dyDescent="0.2">
      <c r="DO37987" s="303" t="s">
        <v>232</v>
      </c>
    </row>
    <row r="37988" spans="119:119" x14ac:dyDescent="0.2">
      <c r="DO37988" s="303" t="s">
        <v>232</v>
      </c>
    </row>
    <row r="37989" spans="119:119" x14ac:dyDescent="0.2">
      <c r="DO37989" s="303" t="s">
        <v>232</v>
      </c>
    </row>
    <row r="37990" spans="119:119" x14ac:dyDescent="0.2">
      <c r="DO37990" s="303" t="s">
        <v>232</v>
      </c>
    </row>
    <row r="37991" spans="119:119" x14ac:dyDescent="0.2">
      <c r="DO37991" s="303" t="s">
        <v>232</v>
      </c>
    </row>
    <row r="37992" spans="119:119" x14ac:dyDescent="0.2">
      <c r="DO37992" s="303" t="s">
        <v>232</v>
      </c>
    </row>
    <row r="37993" spans="119:119" x14ac:dyDescent="0.2">
      <c r="DO37993" s="303" t="s">
        <v>232</v>
      </c>
    </row>
    <row r="37994" spans="119:119" x14ac:dyDescent="0.2">
      <c r="DO37994" s="303" t="s">
        <v>232</v>
      </c>
    </row>
    <row r="37995" spans="119:119" x14ac:dyDescent="0.2">
      <c r="DO37995" s="303" t="s">
        <v>232</v>
      </c>
    </row>
    <row r="37996" spans="119:119" x14ac:dyDescent="0.2">
      <c r="DO37996" s="303" t="s">
        <v>232</v>
      </c>
    </row>
    <row r="37997" spans="119:119" x14ac:dyDescent="0.2">
      <c r="DO37997" s="303" t="s">
        <v>232</v>
      </c>
    </row>
    <row r="37998" spans="119:119" x14ac:dyDescent="0.2">
      <c r="DO37998" s="303" t="s">
        <v>232</v>
      </c>
    </row>
    <row r="37999" spans="119:119" x14ac:dyDescent="0.2">
      <c r="DO37999" s="303" t="s">
        <v>232</v>
      </c>
    </row>
    <row r="38000" spans="119:119" x14ac:dyDescent="0.2">
      <c r="DO38000" s="303" t="s">
        <v>232</v>
      </c>
    </row>
    <row r="38001" spans="119:119" x14ac:dyDescent="0.2">
      <c r="DO38001" s="303" t="s">
        <v>232</v>
      </c>
    </row>
    <row r="38002" spans="119:119" x14ac:dyDescent="0.2">
      <c r="DO38002" s="303" t="s">
        <v>232</v>
      </c>
    </row>
    <row r="38003" spans="119:119" x14ac:dyDescent="0.2">
      <c r="DO38003" s="303" t="s">
        <v>232</v>
      </c>
    </row>
    <row r="38004" spans="119:119" x14ac:dyDescent="0.2">
      <c r="DO38004" s="303" t="s">
        <v>232</v>
      </c>
    </row>
    <row r="38005" spans="119:119" x14ac:dyDescent="0.2">
      <c r="DO38005" s="303" t="s">
        <v>232</v>
      </c>
    </row>
    <row r="38006" spans="119:119" x14ac:dyDescent="0.2">
      <c r="DO38006" s="303" t="s">
        <v>232</v>
      </c>
    </row>
    <row r="38007" spans="119:119" x14ac:dyDescent="0.2">
      <c r="DO38007" s="303" t="s">
        <v>232</v>
      </c>
    </row>
    <row r="38008" spans="119:119" x14ac:dyDescent="0.2">
      <c r="DO38008" s="303" t="s">
        <v>232</v>
      </c>
    </row>
    <row r="38009" spans="119:119" x14ac:dyDescent="0.2">
      <c r="DO38009" s="303" t="s">
        <v>232</v>
      </c>
    </row>
    <row r="38010" spans="119:119" x14ac:dyDescent="0.2">
      <c r="DO38010" s="303" t="s">
        <v>232</v>
      </c>
    </row>
    <row r="38011" spans="119:119" x14ac:dyDescent="0.2">
      <c r="DO38011" s="303" t="s">
        <v>232</v>
      </c>
    </row>
    <row r="38012" spans="119:119" x14ac:dyDescent="0.2">
      <c r="DO38012" s="303" t="s">
        <v>232</v>
      </c>
    </row>
    <row r="38013" spans="119:119" x14ac:dyDescent="0.2">
      <c r="DO38013" s="303" t="s">
        <v>232</v>
      </c>
    </row>
    <row r="38014" spans="119:119" x14ac:dyDescent="0.2">
      <c r="DO38014" s="303" t="s">
        <v>232</v>
      </c>
    </row>
    <row r="38015" spans="119:119" x14ac:dyDescent="0.2">
      <c r="DO38015" s="303" t="s">
        <v>232</v>
      </c>
    </row>
    <row r="38016" spans="119:119" x14ac:dyDescent="0.2">
      <c r="DO38016" s="303" t="s">
        <v>232</v>
      </c>
    </row>
    <row r="38017" spans="119:119" x14ac:dyDescent="0.2">
      <c r="DO38017" s="303" t="s">
        <v>232</v>
      </c>
    </row>
    <row r="38018" spans="119:119" x14ac:dyDescent="0.2">
      <c r="DO38018" s="303" t="s">
        <v>232</v>
      </c>
    </row>
    <row r="38019" spans="119:119" x14ac:dyDescent="0.2">
      <c r="DO38019" s="303" t="s">
        <v>232</v>
      </c>
    </row>
    <row r="38020" spans="119:119" x14ac:dyDescent="0.2">
      <c r="DO38020" s="303" t="s">
        <v>232</v>
      </c>
    </row>
    <row r="38021" spans="119:119" x14ac:dyDescent="0.2">
      <c r="DO38021" s="303" t="s">
        <v>232</v>
      </c>
    </row>
    <row r="38022" spans="119:119" x14ac:dyDescent="0.2">
      <c r="DO38022" s="303" t="s">
        <v>232</v>
      </c>
    </row>
    <row r="38023" spans="119:119" x14ac:dyDescent="0.2">
      <c r="DO38023" s="303" t="s">
        <v>232</v>
      </c>
    </row>
    <row r="38024" spans="119:119" x14ac:dyDescent="0.2">
      <c r="DO38024" s="303" t="s">
        <v>232</v>
      </c>
    </row>
    <row r="38025" spans="119:119" x14ac:dyDescent="0.2">
      <c r="DO38025" s="303" t="s">
        <v>232</v>
      </c>
    </row>
    <row r="38026" spans="119:119" x14ac:dyDescent="0.2">
      <c r="DO38026" s="303" t="s">
        <v>232</v>
      </c>
    </row>
    <row r="38027" spans="119:119" x14ac:dyDescent="0.2">
      <c r="DO38027" s="303" t="s">
        <v>232</v>
      </c>
    </row>
    <row r="38028" spans="119:119" x14ac:dyDescent="0.2">
      <c r="DO38028" s="303" t="s">
        <v>232</v>
      </c>
    </row>
    <row r="38029" spans="119:119" x14ac:dyDescent="0.2">
      <c r="DO38029" s="303" t="s">
        <v>232</v>
      </c>
    </row>
    <row r="38030" spans="119:119" x14ac:dyDescent="0.2">
      <c r="DO38030" s="303" t="s">
        <v>232</v>
      </c>
    </row>
    <row r="38031" spans="119:119" x14ac:dyDescent="0.2">
      <c r="DO38031" s="303" t="s">
        <v>232</v>
      </c>
    </row>
    <row r="38032" spans="119:119" x14ac:dyDescent="0.2">
      <c r="DO38032" s="303" t="s">
        <v>232</v>
      </c>
    </row>
    <row r="38033" spans="119:119" x14ac:dyDescent="0.2">
      <c r="DO38033" s="303" t="s">
        <v>232</v>
      </c>
    </row>
    <row r="38034" spans="119:119" x14ac:dyDescent="0.2">
      <c r="DO38034" s="303" t="s">
        <v>232</v>
      </c>
    </row>
    <row r="38035" spans="119:119" x14ac:dyDescent="0.2">
      <c r="DO38035" s="303" t="s">
        <v>232</v>
      </c>
    </row>
    <row r="38036" spans="119:119" x14ac:dyDescent="0.2">
      <c r="DO38036" s="303" t="s">
        <v>232</v>
      </c>
    </row>
    <row r="38037" spans="119:119" x14ac:dyDescent="0.2">
      <c r="DO38037" s="303" t="s">
        <v>232</v>
      </c>
    </row>
    <row r="38038" spans="119:119" x14ac:dyDescent="0.2">
      <c r="DO38038" s="303" t="s">
        <v>232</v>
      </c>
    </row>
    <row r="38039" spans="119:119" x14ac:dyDescent="0.2">
      <c r="DO38039" s="303" t="s">
        <v>232</v>
      </c>
    </row>
    <row r="38040" spans="119:119" x14ac:dyDescent="0.2">
      <c r="DO38040" s="303" t="s">
        <v>232</v>
      </c>
    </row>
    <row r="38041" spans="119:119" x14ac:dyDescent="0.2">
      <c r="DO38041" s="303" t="s">
        <v>232</v>
      </c>
    </row>
    <row r="38042" spans="119:119" x14ac:dyDescent="0.2">
      <c r="DO38042" s="303" t="s">
        <v>232</v>
      </c>
    </row>
    <row r="38043" spans="119:119" x14ac:dyDescent="0.2">
      <c r="DO38043" s="303" t="s">
        <v>232</v>
      </c>
    </row>
    <row r="38044" spans="119:119" x14ac:dyDescent="0.2">
      <c r="DO38044" s="303" t="s">
        <v>232</v>
      </c>
    </row>
    <row r="38045" spans="119:119" x14ac:dyDescent="0.2">
      <c r="DO38045" s="303" t="s">
        <v>232</v>
      </c>
    </row>
    <row r="38046" spans="119:119" x14ac:dyDescent="0.2">
      <c r="DO38046" s="303" t="s">
        <v>232</v>
      </c>
    </row>
    <row r="38047" spans="119:119" x14ac:dyDescent="0.2">
      <c r="DO38047" s="303" t="s">
        <v>232</v>
      </c>
    </row>
    <row r="38048" spans="119:119" x14ac:dyDescent="0.2">
      <c r="DO38048" s="303" t="s">
        <v>232</v>
      </c>
    </row>
    <row r="38049" spans="119:119" x14ac:dyDescent="0.2">
      <c r="DO38049" s="303" t="s">
        <v>232</v>
      </c>
    </row>
    <row r="38050" spans="119:119" x14ac:dyDescent="0.2">
      <c r="DO38050" s="303" t="s">
        <v>232</v>
      </c>
    </row>
    <row r="38051" spans="119:119" x14ac:dyDescent="0.2">
      <c r="DO38051" s="303" t="s">
        <v>232</v>
      </c>
    </row>
    <row r="38052" spans="119:119" x14ac:dyDescent="0.2">
      <c r="DO38052" s="303" t="s">
        <v>232</v>
      </c>
    </row>
    <row r="38053" spans="119:119" x14ac:dyDescent="0.2">
      <c r="DO38053" s="303" t="s">
        <v>232</v>
      </c>
    </row>
    <row r="38054" spans="119:119" x14ac:dyDescent="0.2">
      <c r="DO38054" s="303" t="s">
        <v>232</v>
      </c>
    </row>
    <row r="38055" spans="119:119" x14ac:dyDescent="0.2">
      <c r="DO38055" s="303" t="s">
        <v>232</v>
      </c>
    </row>
    <row r="38056" spans="119:119" x14ac:dyDescent="0.2">
      <c r="DO38056" s="303" t="s">
        <v>232</v>
      </c>
    </row>
    <row r="38057" spans="119:119" x14ac:dyDescent="0.2">
      <c r="DO38057" s="303" t="s">
        <v>232</v>
      </c>
    </row>
    <row r="38058" spans="119:119" x14ac:dyDescent="0.2">
      <c r="DO38058" s="303" t="s">
        <v>232</v>
      </c>
    </row>
    <row r="38059" spans="119:119" x14ac:dyDescent="0.2">
      <c r="DO38059" s="303" t="s">
        <v>232</v>
      </c>
    </row>
    <row r="38060" spans="119:119" x14ac:dyDescent="0.2">
      <c r="DO38060" s="303" t="s">
        <v>232</v>
      </c>
    </row>
    <row r="38061" spans="119:119" x14ac:dyDescent="0.2">
      <c r="DO38061" s="303" t="s">
        <v>232</v>
      </c>
    </row>
    <row r="38062" spans="119:119" x14ac:dyDescent="0.2">
      <c r="DO38062" s="303" t="s">
        <v>232</v>
      </c>
    </row>
    <row r="38063" spans="119:119" x14ac:dyDescent="0.2">
      <c r="DO38063" s="303" t="s">
        <v>232</v>
      </c>
    </row>
    <row r="38064" spans="119:119" x14ac:dyDescent="0.2">
      <c r="DO38064" s="303" t="s">
        <v>232</v>
      </c>
    </row>
    <row r="38065" spans="119:119" x14ac:dyDescent="0.2">
      <c r="DO38065" s="303" t="s">
        <v>232</v>
      </c>
    </row>
    <row r="38066" spans="119:119" x14ac:dyDescent="0.2">
      <c r="DO38066" s="303" t="s">
        <v>232</v>
      </c>
    </row>
    <row r="38067" spans="119:119" x14ac:dyDescent="0.2">
      <c r="DO38067" s="303" t="s">
        <v>232</v>
      </c>
    </row>
    <row r="38068" spans="119:119" x14ac:dyDescent="0.2">
      <c r="DO38068" s="303" t="s">
        <v>232</v>
      </c>
    </row>
    <row r="38069" spans="119:119" x14ac:dyDescent="0.2">
      <c r="DO38069" s="303" t="s">
        <v>232</v>
      </c>
    </row>
    <row r="38070" spans="119:119" x14ac:dyDescent="0.2">
      <c r="DO38070" s="303" t="s">
        <v>232</v>
      </c>
    </row>
    <row r="38071" spans="119:119" x14ac:dyDescent="0.2">
      <c r="DO38071" s="303" t="s">
        <v>232</v>
      </c>
    </row>
    <row r="38072" spans="119:119" x14ac:dyDescent="0.2">
      <c r="DO38072" s="303" t="s">
        <v>232</v>
      </c>
    </row>
    <row r="38073" spans="119:119" x14ac:dyDescent="0.2">
      <c r="DO38073" s="303" t="s">
        <v>232</v>
      </c>
    </row>
    <row r="38074" spans="119:119" x14ac:dyDescent="0.2">
      <c r="DO38074" s="303" t="s">
        <v>232</v>
      </c>
    </row>
    <row r="38075" spans="119:119" x14ac:dyDescent="0.2">
      <c r="DO38075" s="303" t="s">
        <v>232</v>
      </c>
    </row>
    <row r="38076" spans="119:119" x14ac:dyDescent="0.2">
      <c r="DO38076" s="303" t="s">
        <v>232</v>
      </c>
    </row>
    <row r="38077" spans="119:119" x14ac:dyDescent="0.2">
      <c r="DO38077" s="303" t="s">
        <v>232</v>
      </c>
    </row>
    <row r="38078" spans="119:119" x14ac:dyDescent="0.2">
      <c r="DO38078" s="303" t="s">
        <v>232</v>
      </c>
    </row>
    <row r="38079" spans="119:119" x14ac:dyDescent="0.2">
      <c r="DO38079" s="303" t="s">
        <v>232</v>
      </c>
    </row>
    <row r="38080" spans="119:119" x14ac:dyDescent="0.2">
      <c r="DO38080" s="303" t="s">
        <v>232</v>
      </c>
    </row>
    <row r="38081" spans="119:119" x14ac:dyDescent="0.2">
      <c r="DO38081" s="303" t="s">
        <v>232</v>
      </c>
    </row>
    <row r="38082" spans="119:119" x14ac:dyDescent="0.2">
      <c r="DO38082" s="303" t="s">
        <v>232</v>
      </c>
    </row>
    <row r="38083" spans="119:119" x14ac:dyDescent="0.2">
      <c r="DO38083" s="303" t="s">
        <v>232</v>
      </c>
    </row>
    <row r="38084" spans="119:119" x14ac:dyDescent="0.2">
      <c r="DO38084" s="303" t="s">
        <v>232</v>
      </c>
    </row>
    <row r="38085" spans="119:119" x14ac:dyDescent="0.2">
      <c r="DO38085" s="303" t="s">
        <v>232</v>
      </c>
    </row>
    <row r="38086" spans="119:119" x14ac:dyDescent="0.2">
      <c r="DO38086" s="303" t="s">
        <v>232</v>
      </c>
    </row>
    <row r="38087" spans="119:119" x14ac:dyDescent="0.2">
      <c r="DO38087" s="303" t="s">
        <v>232</v>
      </c>
    </row>
    <row r="38088" spans="119:119" x14ac:dyDescent="0.2">
      <c r="DO38088" s="303" t="s">
        <v>232</v>
      </c>
    </row>
    <row r="38089" spans="119:119" x14ac:dyDescent="0.2">
      <c r="DO38089" s="303" t="s">
        <v>232</v>
      </c>
    </row>
    <row r="38090" spans="119:119" x14ac:dyDescent="0.2">
      <c r="DO38090" s="303" t="s">
        <v>232</v>
      </c>
    </row>
    <row r="38091" spans="119:119" x14ac:dyDescent="0.2">
      <c r="DO38091" s="303" t="s">
        <v>232</v>
      </c>
    </row>
    <row r="38092" spans="119:119" x14ac:dyDescent="0.2">
      <c r="DO38092" s="303" t="s">
        <v>232</v>
      </c>
    </row>
    <row r="38093" spans="119:119" x14ac:dyDescent="0.2">
      <c r="DO38093" s="303" t="s">
        <v>232</v>
      </c>
    </row>
    <row r="38094" spans="119:119" x14ac:dyDescent="0.2">
      <c r="DO38094" s="303" t="s">
        <v>232</v>
      </c>
    </row>
    <row r="38095" spans="119:119" x14ac:dyDescent="0.2">
      <c r="DO38095" s="303" t="s">
        <v>232</v>
      </c>
    </row>
    <row r="38096" spans="119:119" x14ac:dyDescent="0.2">
      <c r="DO38096" s="303" t="s">
        <v>232</v>
      </c>
    </row>
    <row r="38097" spans="119:119" x14ac:dyDescent="0.2">
      <c r="DO38097" s="303" t="s">
        <v>232</v>
      </c>
    </row>
    <row r="38098" spans="119:119" x14ac:dyDescent="0.2">
      <c r="DO38098" s="303" t="s">
        <v>232</v>
      </c>
    </row>
    <row r="38099" spans="119:119" x14ac:dyDescent="0.2">
      <c r="DO38099" s="303" t="s">
        <v>232</v>
      </c>
    </row>
    <row r="38100" spans="119:119" x14ac:dyDescent="0.2">
      <c r="DO38100" s="303" t="s">
        <v>232</v>
      </c>
    </row>
    <row r="38101" spans="119:119" x14ac:dyDescent="0.2">
      <c r="DO38101" s="303" t="s">
        <v>232</v>
      </c>
    </row>
    <row r="38102" spans="119:119" x14ac:dyDescent="0.2">
      <c r="DO38102" s="303" t="s">
        <v>232</v>
      </c>
    </row>
    <row r="38103" spans="119:119" x14ac:dyDescent="0.2">
      <c r="DO38103" s="303" t="s">
        <v>232</v>
      </c>
    </row>
    <row r="38104" spans="119:119" x14ac:dyDescent="0.2">
      <c r="DO38104" s="303" t="s">
        <v>232</v>
      </c>
    </row>
    <row r="38105" spans="119:119" x14ac:dyDescent="0.2">
      <c r="DO38105" s="303" t="s">
        <v>232</v>
      </c>
    </row>
    <row r="38106" spans="119:119" x14ac:dyDescent="0.2">
      <c r="DO38106" s="303" t="s">
        <v>232</v>
      </c>
    </row>
    <row r="38107" spans="119:119" x14ac:dyDescent="0.2">
      <c r="DO38107" s="303" t="s">
        <v>232</v>
      </c>
    </row>
    <row r="38108" spans="119:119" x14ac:dyDescent="0.2">
      <c r="DO38108" s="303" t="s">
        <v>232</v>
      </c>
    </row>
    <row r="38109" spans="119:119" x14ac:dyDescent="0.2">
      <c r="DO38109" s="303" t="s">
        <v>232</v>
      </c>
    </row>
    <row r="38110" spans="119:119" x14ac:dyDescent="0.2">
      <c r="DO38110" s="303" t="s">
        <v>232</v>
      </c>
    </row>
    <row r="38111" spans="119:119" x14ac:dyDescent="0.2">
      <c r="DO38111" s="303" t="s">
        <v>232</v>
      </c>
    </row>
    <row r="38112" spans="119:119" x14ac:dyDescent="0.2">
      <c r="DO38112" s="303" t="s">
        <v>232</v>
      </c>
    </row>
    <row r="38113" spans="119:119" x14ac:dyDescent="0.2">
      <c r="DO38113" s="303" t="s">
        <v>232</v>
      </c>
    </row>
    <row r="38114" spans="119:119" x14ac:dyDescent="0.2">
      <c r="DO38114" s="303" t="s">
        <v>232</v>
      </c>
    </row>
    <row r="38115" spans="119:119" x14ac:dyDescent="0.2">
      <c r="DO38115" s="303" t="s">
        <v>232</v>
      </c>
    </row>
    <row r="38116" spans="119:119" x14ac:dyDescent="0.2">
      <c r="DO38116" s="303" t="s">
        <v>232</v>
      </c>
    </row>
    <row r="38117" spans="119:119" x14ac:dyDescent="0.2">
      <c r="DO38117" s="303" t="s">
        <v>232</v>
      </c>
    </row>
    <row r="38118" spans="119:119" x14ac:dyDescent="0.2">
      <c r="DO38118" s="303" t="s">
        <v>232</v>
      </c>
    </row>
    <row r="38119" spans="119:119" x14ac:dyDescent="0.2">
      <c r="DO38119" s="303" t="s">
        <v>232</v>
      </c>
    </row>
    <row r="38120" spans="119:119" x14ac:dyDescent="0.2">
      <c r="DO38120" s="303" t="s">
        <v>232</v>
      </c>
    </row>
    <row r="38121" spans="119:119" x14ac:dyDescent="0.2">
      <c r="DO38121" s="303" t="s">
        <v>232</v>
      </c>
    </row>
    <row r="38122" spans="119:119" x14ac:dyDescent="0.2">
      <c r="DO38122" s="303" t="s">
        <v>232</v>
      </c>
    </row>
    <row r="38123" spans="119:119" x14ac:dyDescent="0.2">
      <c r="DO38123" s="303" t="s">
        <v>232</v>
      </c>
    </row>
    <row r="38124" spans="119:119" x14ac:dyDescent="0.2">
      <c r="DO38124" s="303" t="s">
        <v>232</v>
      </c>
    </row>
    <row r="38125" spans="119:119" x14ac:dyDescent="0.2">
      <c r="DO38125" s="303" t="s">
        <v>232</v>
      </c>
    </row>
    <row r="38126" spans="119:119" x14ac:dyDescent="0.2">
      <c r="DO38126" s="303" t="s">
        <v>232</v>
      </c>
    </row>
    <row r="38127" spans="119:119" x14ac:dyDescent="0.2">
      <c r="DO38127" s="303" t="s">
        <v>232</v>
      </c>
    </row>
    <row r="38128" spans="119:119" x14ac:dyDescent="0.2">
      <c r="DO38128" s="303" t="s">
        <v>232</v>
      </c>
    </row>
    <row r="38129" spans="119:119" x14ac:dyDescent="0.2">
      <c r="DO38129" s="303" t="s">
        <v>232</v>
      </c>
    </row>
    <row r="38130" spans="119:119" x14ac:dyDescent="0.2">
      <c r="DO38130" s="303" t="s">
        <v>232</v>
      </c>
    </row>
    <row r="38131" spans="119:119" x14ac:dyDescent="0.2">
      <c r="DO38131" s="303" t="s">
        <v>232</v>
      </c>
    </row>
    <row r="38132" spans="119:119" x14ac:dyDescent="0.2">
      <c r="DO38132" s="303" t="s">
        <v>232</v>
      </c>
    </row>
    <row r="38133" spans="119:119" x14ac:dyDescent="0.2">
      <c r="DO38133" s="303" t="s">
        <v>232</v>
      </c>
    </row>
    <row r="38134" spans="119:119" x14ac:dyDescent="0.2">
      <c r="DO38134" s="303" t="s">
        <v>232</v>
      </c>
    </row>
    <row r="38135" spans="119:119" x14ac:dyDescent="0.2">
      <c r="DO38135" s="303" t="s">
        <v>232</v>
      </c>
    </row>
    <row r="38136" spans="119:119" x14ac:dyDescent="0.2">
      <c r="DO38136" s="303" t="s">
        <v>232</v>
      </c>
    </row>
    <row r="38137" spans="119:119" x14ac:dyDescent="0.2">
      <c r="DO38137" s="303" t="s">
        <v>232</v>
      </c>
    </row>
    <row r="38138" spans="119:119" x14ac:dyDescent="0.2">
      <c r="DO38138" s="303" t="s">
        <v>232</v>
      </c>
    </row>
    <row r="38139" spans="119:119" x14ac:dyDescent="0.2">
      <c r="DO38139" s="303" t="s">
        <v>232</v>
      </c>
    </row>
    <row r="38140" spans="119:119" x14ac:dyDescent="0.2">
      <c r="DO38140" s="303" t="s">
        <v>232</v>
      </c>
    </row>
    <row r="38141" spans="119:119" x14ac:dyDescent="0.2">
      <c r="DO38141" s="303" t="s">
        <v>232</v>
      </c>
    </row>
    <row r="38142" spans="119:119" x14ac:dyDescent="0.2">
      <c r="DO38142" s="303" t="s">
        <v>232</v>
      </c>
    </row>
    <row r="38143" spans="119:119" x14ac:dyDescent="0.2">
      <c r="DO38143" s="303" t="s">
        <v>232</v>
      </c>
    </row>
    <row r="38144" spans="119:119" x14ac:dyDescent="0.2">
      <c r="DO38144" s="303" t="s">
        <v>232</v>
      </c>
    </row>
    <row r="38145" spans="119:119" x14ac:dyDescent="0.2">
      <c r="DO38145" s="303" t="s">
        <v>232</v>
      </c>
    </row>
    <row r="38146" spans="119:119" x14ac:dyDescent="0.2">
      <c r="DO38146" s="303" t="s">
        <v>232</v>
      </c>
    </row>
    <row r="38147" spans="119:119" x14ac:dyDescent="0.2">
      <c r="DO38147" s="303" t="s">
        <v>232</v>
      </c>
    </row>
    <row r="38148" spans="119:119" x14ac:dyDescent="0.2">
      <c r="DO38148" s="303" t="s">
        <v>232</v>
      </c>
    </row>
    <row r="38149" spans="119:119" x14ac:dyDescent="0.2">
      <c r="DO38149" s="303" t="s">
        <v>232</v>
      </c>
    </row>
    <row r="38150" spans="119:119" x14ac:dyDescent="0.2">
      <c r="DO38150" s="303" t="s">
        <v>232</v>
      </c>
    </row>
    <row r="38151" spans="119:119" x14ac:dyDescent="0.2">
      <c r="DO38151" s="303" t="s">
        <v>232</v>
      </c>
    </row>
    <row r="38152" spans="119:119" x14ac:dyDescent="0.2">
      <c r="DO38152" s="303" t="s">
        <v>232</v>
      </c>
    </row>
    <row r="38153" spans="119:119" x14ac:dyDescent="0.2">
      <c r="DO38153" s="303" t="s">
        <v>232</v>
      </c>
    </row>
    <row r="38154" spans="119:119" x14ac:dyDescent="0.2">
      <c r="DO38154" s="303" t="s">
        <v>232</v>
      </c>
    </row>
    <row r="38155" spans="119:119" x14ac:dyDescent="0.2">
      <c r="DO38155" s="303" t="s">
        <v>232</v>
      </c>
    </row>
    <row r="38156" spans="119:119" x14ac:dyDescent="0.2">
      <c r="DO38156" s="303" t="s">
        <v>232</v>
      </c>
    </row>
    <row r="38157" spans="119:119" x14ac:dyDescent="0.2">
      <c r="DO38157" s="303" t="s">
        <v>232</v>
      </c>
    </row>
    <row r="38158" spans="119:119" x14ac:dyDescent="0.2">
      <c r="DO38158" s="303" t="s">
        <v>232</v>
      </c>
    </row>
    <row r="38159" spans="119:119" x14ac:dyDescent="0.2">
      <c r="DO38159" s="303" t="s">
        <v>232</v>
      </c>
    </row>
    <row r="38160" spans="119:119" x14ac:dyDescent="0.2">
      <c r="DO38160" s="303" t="s">
        <v>232</v>
      </c>
    </row>
    <row r="38161" spans="119:119" x14ac:dyDescent="0.2">
      <c r="DO38161" s="303" t="s">
        <v>232</v>
      </c>
    </row>
    <row r="38162" spans="119:119" x14ac:dyDescent="0.2">
      <c r="DO38162" s="303" t="s">
        <v>232</v>
      </c>
    </row>
    <row r="38163" spans="119:119" x14ac:dyDescent="0.2">
      <c r="DO38163" s="303" t="s">
        <v>232</v>
      </c>
    </row>
    <row r="38164" spans="119:119" x14ac:dyDescent="0.2">
      <c r="DO38164" s="303" t="s">
        <v>232</v>
      </c>
    </row>
    <row r="38165" spans="119:119" x14ac:dyDescent="0.2">
      <c r="DO38165" s="303" t="s">
        <v>232</v>
      </c>
    </row>
    <row r="38166" spans="119:119" x14ac:dyDescent="0.2">
      <c r="DO38166" s="303" t="s">
        <v>232</v>
      </c>
    </row>
    <row r="38167" spans="119:119" x14ac:dyDescent="0.2">
      <c r="DO38167" s="303" t="s">
        <v>232</v>
      </c>
    </row>
    <row r="38168" spans="119:119" x14ac:dyDescent="0.2">
      <c r="DO38168" s="303" t="s">
        <v>232</v>
      </c>
    </row>
    <row r="38169" spans="119:119" x14ac:dyDescent="0.2">
      <c r="DO38169" s="303" t="s">
        <v>232</v>
      </c>
    </row>
    <row r="38170" spans="119:119" x14ac:dyDescent="0.2">
      <c r="DO38170" s="303" t="s">
        <v>232</v>
      </c>
    </row>
    <row r="38171" spans="119:119" x14ac:dyDescent="0.2">
      <c r="DO38171" s="303" t="s">
        <v>232</v>
      </c>
    </row>
    <row r="38172" spans="119:119" x14ac:dyDescent="0.2">
      <c r="DO38172" s="303" t="s">
        <v>232</v>
      </c>
    </row>
    <row r="38173" spans="119:119" x14ac:dyDescent="0.2">
      <c r="DO38173" s="303" t="s">
        <v>232</v>
      </c>
    </row>
    <row r="38174" spans="119:119" x14ac:dyDescent="0.2">
      <c r="DO38174" s="303" t="s">
        <v>232</v>
      </c>
    </row>
    <row r="38175" spans="119:119" x14ac:dyDescent="0.2">
      <c r="DO38175" s="303" t="s">
        <v>232</v>
      </c>
    </row>
    <row r="38176" spans="119:119" x14ac:dyDescent="0.2">
      <c r="DO38176" s="303" t="s">
        <v>232</v>
      </c>
    </row>
    <row r="38177" spans="119:119" x14ac:dyDescent="0.2">
      <c r="DO38177" s="303" t="s">
        <v>232</v>
      </c>
    </row>
    <row r="38178" spans="119:119" x14ac:dyDescent="0.2">
      <c r="DO38178" s="303" t="s">
        <v>232</v>
      </c>
    </row>
    <row r="38179" spans="119:119" x14ac:dyDescent="0.2">
      <c r="DO38179" s="303" t="s">
        <v>232</v>
      </c>
    </row>
    <row r="38180" spans="119:119" x14ac:dyDescent="0.2">
      <c r="DO38180" s="303" t="s">
        <v>232</v>
      </c>
    </row>
    <row r="38181" spans="119:119" x14ac:dyDescent="0.2">
      <c r="DO38181" s="303" t="s">
        <v>232</v>
      </c>
    </row>
    <row r="38182" spans="119:119" x14ac:dyDescent="0.2">
      <c r="DO38182" s="303" t="s">
        <v>232</v>
      </c>
    </row>
    <row r="38183" spans="119:119" x14ac:dyDescent="0.2">
      <c r="DO38183" s="303" t="s">
        <v>232</v>
      </c>
    </row>
    <row r="38184" spans="119:119" x14ac:dyDescent="0.2">
      <c r="DO38184" s="303" t="s">
        <v>232</v>
      </c>
    </row>
    <row r="38185" spans="119:119" x14ac:dyDescent="0.2">
      <c r="DO38185" s="303" t="s">
        <v>232</v>
      </c>
    </row>
    <row r="38186" spans="119:119" x14ac:dyDescent="0.2">
      <c r="DO38186" s="303" t="s">
        <v>232</v>
      </c>
    </row>
    <row r="38187" spans="119:119" x14ac:dyDescent="0.2">
      <c r="DO38187" s="303" t="s">
        <v>232</v>
      </c>
    </row>
    <row r="38188" spans="119:119" x14ac:dyDescent="0.2">
      <c r="DO38188" s="303" t="s">
        <v>232</v>
      </c>
    </row>
    <row r="38189" spans="119:119" x14ac:dyDescent="0.2">
      <c r="DO38189" s="303" t="s">
        <v>232</v>
      </c>
    </row>
    <row r="38190" spans="119:119" x14ac:dyDescent="0.2">
      <c r="DO38190" s="303" t="s">
        <v>232</v>
      </c>
    </row>
    <row r="38191" spans="119:119" x14ac:dyDescent="0.2">
      <c r="DO38191" s="303" t="s">
        <v>232</v>
      </c>
    </row>
    <row r="38192" spans="119:119" x14ac:dyDescent="0.2">
      <c r="DO38192" s="303" t="s">
        <v>232</v>
      </c>
    </row>
    <row r="38193" spans="119:119" x14ac:dyDescent="0.2">
      <c r="DO38193" s="303" t="s">
        <v>232</v>
      </c>
    </row>
    <row r="38194" spans="119:119" x14ac:dyDescent="0.2">
      <c r="DO38194" s="303" t="s">
        <v>232</v>
      </c>
    </row>
    <row r="38195" spans="119:119" x14ac:dyDescent="0.2">
      <c r="DO38195" s="303" t="s">
        <v>232</v>
      </c>
    </row>
    <row r="38196" spans="119:119" x14ac:dyDescent="0.2">
      <c r="DO38196" s="303" t="s">
        <v>232</v>
      </c>
    </row>
    <row r="38197" spans="119:119" x14ac:dyDescent="0.2">
      <c r="DO38197" s="303" t="s">
        <v>232</v>
      </c>
    </row>
    <row r="38198" spans="119:119" x14ac:dyDescent="0.2">
      <c r="DO38198" s="303" t="s">
        <v>232</v>
      </c>
    </row>
    <row r="38199" spans="119:119" x14ac:dyDescent="0.2">
      <c r="DO38199" s="303" t="s">
        <v>232</v>
      </c>
    </row>
    <row r="38200" spans="119:119" x14ac:dyDescent="0.2">
      <c r="DO38200" s="303" t="s">
        <v>232</v>
      </c>
    </row>
    <row r="38201" spans="119:119" x14ac:dyDescent="0.2">
      <c r="DO38201" s="303" t="s">
        <v>232</v>
      </c>
    </row>
    <row r="38202" spans="119:119" x14ac:dyDescent="0.2">
      <c r="DO38202" s="303" t="s">
        <v>232</v>
      </c>
    </row>
    <row r="38203" spans="119:119" x14ac:dyDescent="0.2">
      <c r="DO38203" s="303" t="s">
        <v>232</v>
      </c>
    </row>
    <row r="38204" spans="119:119" x14ac:dyDescent="0.2">
      <c r="DO38204" s="303" t="s">
        <v>232</v>
      </c>
    </row>
    <row r="38205" spans="119:119" x14ac:dyDescent="0.2">
      <c r="DO38205" s="303" t="s">
        <v>232</v>
      </c>
    </row>
    <row r="38206" spans="119:119" x14ac:dyDescent="0.2">
      <c r="DO38206" s="303" t="s">
        <v>232</v>
      </c>
    </row>
    <row r="38207" spans="119:119" x14ac:dyDescent="0.2">
      <c r="DO38207" s="303" t="s">
        <v>232</v>
      </c>
    </row>
    <row r="38208" spans="119:119" x14ac:dyDescent="0.2">
      <c r="DO38208" s="303" t="s">
        <v>232</v>
      </c>
    </row>
    <row r="38209" spans="119:119" x14ac:dyDescent="0.2">
      <c r="DO38209" s="303" t="s">
        <v>232</v>
      </c>
    </row>
    <row r="38210" spans="119:119" x14ac:dyDescent="0.2">
      <c r="DO38210" s="303" t="s">
        <v>232</v>
      </c>
    </row>
    <row r="38211" spans="119:119" x14ac:dyDescent="0.2">
      <c r="DO38211" s="303" t="s">
        <v>232</v>
      </c>
    </row>
    <row r="38212" spans="119:119" x14ac:dyDescent="0.2">
      <c r="DO38212" s="303" t="s">
        <v>232</v>
      </c>
    </row>
    <row r="38213" spans="119:119" x14ac:dyDescent="0.2">
      <c r="DO38213" s="303" t="s">
        <v>232</v>
      </c>
    </row>
    <row r="38214" spans="119:119" x14ac:dyDescent="0.2">
      <c r="DO38214" s="303" t="s">
        <v>232</v>
      </c>
    </row>
    <row r="38215" spans="119:119" x14ac:dyDescent="0.2">
      <c r="DO38215" s="303" t="s">
        <v>232</v>
      </c>
    </row>
    <row r="38216" spans="119:119" x14ac:dyDescent="0.2">
      <c r="DO38216" s="303" t="s">
        <v>232</v>
      </c>
    </row>
    <row r="38217" spans="119:119" x14ac:dyDescent="0.2">
      <c r="DO38217" s="303" t="s">
        <v>232</v>
      </c>
    </row>
    <row r="38218" spans="119:119" x14ac:dyDescent="0.2">
      <c r="DO38218" s="303" t="s">
        <v>232</v>
      </c>
    </row>
    <row r="38219" spans="119:119" x14ac:dyDescent="0.2">
      <c r="DO38219" s="303" t="s">
        <v>232</v>
      </c>
    </row>
    <row r="38220" spans="119:119" x14ac:dyDescent="0.2">
      <c r="DO38220" s="303" t="s">
        <v>232</v>
      </c>
    </row>
    <row r="38221" spans="119:119" x14ac:dyDescent="0.2">
      <c r="DO38221" s="303" t="s">
        <v>232</v>
      </c>
    </row>
    <row r="38222" spans="119:119" x14ac:dyDescent="0.2">
      <c r="DO38222" s="303" t="s">
        <v>232</v>
      </c>
    </row>
    <row r="38223" spans="119:119" x14ac:dyDescent="0.2">
      <c r="DO38223" s="303" t="s">
        <v>232</v>
      </c>
    </row>
    <row r="38224" spans="119:119" x14ac:dyDescent="0.2">
      <c r="DO38224" s="303" t="s">
        <v>232</v>
      </c>
    </row>
    <row r="38225" spans="119:119" x14ac:dyDescent="0.2">
      <c r="DO38225" s="303" t="s">
        <v>232</v>
      </c>
    </row>
    <row r="38226" spans="119:119" x14ac:dyDescent="0.2">
      <c r="DO38226" s="303" t="s">
        <v>232</v>
      </c>
    </row>
    <row r="38227" spans="119:119" x14ac:dyDescent="0.2">
      <c r="DO38227" s="303" t="s">
        <v>232</v>
      </c>
    </row>
    <row r="38228" spans="119:119" x14ac:dyDescent="0.2">
      <c r="DO38228" s="303" t="s">
        <v>232</v>
      </c>
    </row>
    <row r="38229" spans="119:119" x14ac:dyDescent="0.2">
      <c r="DO38229" s="303" t="s">
        <v>232</v>
      </c>
    </row>
    <row r="38230" spans="119:119" x14ac:dyDescent="0.2">
      <c r="DO38230" s="303" t="s">
        <v>232</v>
      </c>
    </row>
    <row r="38231" spans="119:119" x14ac:dyDescent="0.2">
      <c r="DO38231" s="303" t="s">
        <v>232</v>
      </c>
    </row>
    <row r="38232" spans="119:119" x14ac:dyDescent="0.2">
      <c r="DO38232" s="303" t="s">
        <v>232</v>
      </c>
    </row>
    <row r="38233" spans="119:119" x14ac:dyDescent="0.2">
      <c r="DO38233" s="303" t="s">
        <v>232</v>
      </c>
    </row>
    <row r="38234" spans="119:119" x14ac:dyDescent="0.2">
      <c r="DO38234" s="303" t="s">
        <v>232</v>
      </c>
    </row>
    <row r="38235" spans="119:119" x14ac:dyDescent="0.2">
      <c r="DO38235" s="303" t="s">
        <v>232</v>
      </c>
    </row>
    <row r="38236" spans="119:119" x14ac:dyDescent="0.2">
      <c r="DO38236" s="303" t="s">
        <v>232</v>
      </c>
    </row>
    <row r="38237" spans="119:119" x14ac:dyDescent="0.2">
      <c r="DO38237" s="303" t="s">
        <v>232</v>
      </c>
    </row>
    <row r="38238" spans="119:119" x14ac:dyDescent="0.2">
      <c r="DO38238" s="303" t="s">
        <v>232</v>
      </c>
    </row>
    <row r="38239" spans="119:119" x14ac:dyDescent="0.2">
      <c r="DO38239" s="303" t="s">
        <v>232</v>
      </c>
    </row>
    <row r="38240" spans="119:119" x14ac:dyDescent="0.2">
      <c r="DO38240" s="303" t="s">
        <v>232</v>
      </c>
    </row>
    <row r="38241" spans="119:119" x14ac:dyDescent="0.2">
      <c r="DO38241" s="303" t="s">
        <v>232</v>
      </c>
    </row>
    <row r="38242" spans="119:119" x14ac:dyDescent="0.2">
      <c r="DO38242" s="303" t="s">
        <v>232</v>
      </c>
    </row>
    <row r="38243" spans="119:119" x14ac:dyDescent="0.2">
      <c r="DO38243" s="303" t="s">
        <v>232</v>
      </c>
    </row>
    <row r="38244" spans="119:119" x14ac:dyDescent="0.2">
      <c r="DO38244" s="303" t="s">
        <v>232</v>
      </c>
    </row>
    <row r="38245" spans="119:119" x14ac:dyDescent="0.2">
      <c r="DO38245" s="303" t="s">
        <v>232</v>
      </c>
    </row>
    <row r="38246" spans="119:119" x14ac:dyDescent="0.2">
      <c r="DO38246" s="303" t="s">
        <v>232</v>
      </c>
    </row>
    <row r="38247" spans="119:119" x14ac:dyDescent="0.2">
      <c r="DO38247" s="303" t="s">
        <v>232</v>
      </c>
    </row>
    <row r="38248" spans="119:119" x14ac:dyDescent="0.2">
      <c r="DO38248" s="303" t="s">
        <v>232</v>
      </c>
    </row>
    <row r="38249" spans="119:119" x14ac:dyDescent="0.2">
      <c r="DO38249" s="303" t="s">
        <v>232</v>
      </c>
    </row>
    <row r="38250" spans="119:119" x14ac:dyDescent="0.2">
      <c r="DO38250" s="303" t="s">
        <v>232</v>
      </c>
    </row>
    <row r="38251" spans="119:119" x14ac:dyDescent="0.2">
      <c r="DO38251" s="303" t="s">
        <v>232</v>
      </c>
    </row>
    <row r="38252" spans="119:119" x14ac:dyDescent="0.2">
      <c r="DO38252" s="303" t="s">
        <v>232</v>
      </c>
    </row>
    <row r="38253" spans="119:119" x14ac:dyDescent="0.2">
      <c r="DO38253" s="303" t="s">
        <v>232</v>
      </c>
    </row>
    <row r="38254" spans="119:119" x14ac:dyDescent="0.2">
      <c r="DO38254" s="303" t="s">
        <v>232</v>
      </c>
    </row>
    <row r="38255" spans="119:119" x14ac:dyDescent="0.2">
      <c r="DO38255" s="303" t="s">
        <v>232</v>
      </c>
    </row>
    <row r="38256" spans="119:119" x14ac:dyDescent="0.2">
      <c r="DO38256" s="303" t="s">
        <v>232</v>
      </c>
    </row>
    <row r="38257" spans="119:119" x14ac:dyDescent="0.2">
      <c r="DO38257" s="303" t="s">
        <v>232</v>
      </c>
    </row>
    <row r="38258" spans="119:119" x14ac:dyDescent="0.2">
      <c r="DO38258" s="303" t="s">
        <v>232</v>
      </c>
    </row>
    <row r="38259" spans="119:119" x14ac:dyDescent="0.2">
      <c r="DO38259" s="303" t="s">
        <v>232</v>
      </c>
    </row>
    <row r="38260" spans="119:119" x14ac:dyDescent="0.2">
      <c r="DO38260" s="303" t="s">
        <v>232</v>
      </c>
    </row>
    <row r="38261" spans="119:119" x14ac:dyDescent="0.2">
      <c r="DO38261" s="303" t="s">
        <v>232</v>
      </c>
    </row>
    <row r="38262" spans="119:119" x14ac:dyDescent="0.2">
      <c r="DO38262" s="303" t="s">
        <v>232</v>
      </c>
    </row>
    <row r="38263" spans="119:119" x14ac:dyDescent="0.2">
      <c r="DO38263" s="303" t="s">
        <v>232</v>
      </c>
    </row>
    <row r="38264" spans="119:119" x14ac:dyDescent="0.2">
      <c r="DO38264" s="303" t="s">
        <v>232</v>
      </c>
    </row>
    <row r="38265" spans="119:119" x14ac:dyDescent="0.2">
      <c r="DO38265" s="303" t="s">
        <v>232</v>
      </c>
    </row>
    <row r="38266" spans="119:119" x14ac:dyDescent="0.2">
      <c r="DO38266" s="303" t="s">
        <v>232</v>
      </c>
    </row>
    <row r="38267" spans="119:119" x14ac:dyDescent="0.2">
      <c r="DO38267" s="303" t="s">
        <v>232</v>
      </c>
    </row>
    <row r="38268" spans="119:119" x14ac:dyDescent="0.2">
      <c r="DO38268" s="303" t="s">
        <v>232</v>
      </c>
    </row>
    <row r="38269" spans="119:119" x14ac:dyDescent="0.2">
      <c r="DO38269" s="303" t="s">
        <v>232</v>
      </c>
    </row>
    <row r="38270" spans="119:119" x14ac:dyDescent="0.2">
      <c r="DO38270" s="303" t="s">
        <v>232</v>
      </c>
    </row>
    <row r="38271" spans="119:119" x14ac:dyDescent="0.2">
      <c r="DO38271" s="303" t="s">
        <v>232</v>
      </c>
    </row>
    <row r="38272" spans="119:119" x14ac:dyDescent="0.2">
      <c r="DO38272" s="303" t="s">
        <v>232</v>
      </c>
    </row>
    <row r="38273" spans="119:119" x14ac:dyDescent="0.2">
      <c r="DO38273" s="303" t="s">
        <v>232</v>
      </c>
    </row>
    <row r="38274" spans="119:119" x14ac:dyDescent="0.2">
      <c r="DO38274" s="303" t="s">
        <v>232</v>
      </c>
    </row>
    <row r="38275" spans="119:119" x14ac:dyDescent="0.2">
      <c r="DO38275" s="303" t="s">
        <v>232</v>
      </c>
    </row>
    <row r="38276" spans="119:119" x14ac:dyDescent="0.2">
      <c r="DO38276" s="303" t="s">
        <v>232</v>
      </c>
    </row>
    <row r="38277" spans="119:119" x14ac:dyDescent="0.2">
      <c r="DO38277" s="303" t="s">
        <v>232</v>
      </c>
    </row>
    <row r="38278" spans="119:119" x14ac:dyDescent="0.2">
      <c r="DO38278" s="303" t="s">
        <v>232</v>
      </c>
    </row>
    <row r="38279" spans="119:119" x14ac:dyDescent="0.2">
      <c r="DO38279" s="303" t="s">
        <v>232</v>
      </c>
    </row>
    <row r="38280" spans="119:119" x14ac:dyDescent="0.2">
      <c r="DO38280" s="303" t="s">
        <v>232</v>
      </c>
    </row>
    <row r="38281" spans="119:119" x14ac:dyDescent="0.2">
      <c r="DO38281" s="303" t="s">
        <v>232</v>
      </c>
    </row>
    <row r="38282" spans="119:119" x14ac:dyDescent="0.2">
      <c r="DO38282" s="303" t="s">
        <v>232</v>
      </c>
    </row>
    <row r="38283" spans="119:119" x14ac:dyDescent="0.2">
      <c r="DO38283" s="303" t="s">
        <v>232</v>
      </c>
    </row>
    <row r="38284" spans="119:119" x14ac:dyDescent="0.2">
      <c r="DO38284" s="303" t="s">
        <v>232</v>
      </c>
    </row>
    <row r="38285" spans="119:119" x14ac:dyDescent="0.2">
      <c r="DO38285" s="303" t="s">
        <v>232</v>
      </c>
    </row>
    <row r="38286" spans="119:119" x14ac:dyDescent="0.2">
      <c r="DO38286" s="303" t="s">
        <v>232</v>
      </c>
    </row>
    <row r="38287" spans="119:119" x14ac:dyDescent="0.2">
      <c r="DO38287" s="303" t="s">
        <v>232</v>
      </c>
    </row>
    <row r="38288" spans="119:119" x14ac:dyDescent="0.2">
      <c r="DO38288" s="303" t="s">
        <v>232</v>
      </c>
    </row>
    <row r="38289" spans="119:119" x14ac:dyDescent="0.2">
      <c r="DO38289" s="303" t="s">
        <v>232</v>
      </c>
    </row>
    <row r="38290" spans="119:119" x14ac:dyDescent="0.2">
      <c r="DO38290" s="303" t="s">
        <v>232</v>
      </c>
    </row>
    <row r="38291" spans="119:119" x14ac:dyDescent="0.2">
      <c r="DO38291" s="303" t="s">
        <v>232</v>
      </c>
    </row>
    <row r="38292" spans="119:119" x14ac:dyDescent="0.2">
      <c r="DO38292" s="303" t="s">
        <v>232</v>
      </c>
    </row>
    <row r="38293" spans="119:119" x14ac:dyDescent="0.2">
      <c r="DO38293" s="303" t="s">
        <v>232</v>
      </c>
    </row>
    <row r="38294" spans="119:119" x14ac:dyDescent="0.2">
      <c r="DO38294" s="303" t="s">
        <v>232</v>
      </c>
    </row>
    <row r="38295" spans="119:119" x14ac:dyDescent="0.2">
      <c r="DO38295" s="303" t="s">
        <v>232</v>
      </c>
    </row>
    <row r="38296" spans="119:119" x14ac:dyDescent="0.2">
      <c r="DO38296" s="303" t="s">
        <v>232</v>
      </c>
    </row>
    <row r="38297" spans="119:119" x14ac:dyDescent="0.2">
      <c r="DO38297" s="303" t="s">
        <v>232</v>
      </c>
    </row>
    <row r="38298" spans="119:119" x14ac:dyDescent="0.2">
      <c r="DO38298" s="303" t="s">
        <v>232</v>
      </c>
    </row>
    <row r="38299" spans="119:119" x14ac:dyDescent="0.2">
      <c r="DO38299" s="303" t="s">
        <v>232</v>
      </c>
    </row>
    <row r="38300" spans="119:119" x14ac:dyDescent="0.2">
      <c r="DO38300" s="303" t="s">
        <v>232</v>
      </c>
    </row>
    <row r="38301" spans="119:119" x14ac:dyDescent="0.2">
      <c r="DO38301" s="303" t="s">
        <v>232</v>
      </c>
    </row>
    <row r="38302" spans="119:119" x14ac:dyDescent="0.2">
      <c r="DO38302" s="303" t="s">
        <v>232</v>
      </c>
    </row>
    <row r="38303" spans="119:119" x14ac:dyDescent="0.2">
      <c r="DO38303" s="303" t="s">
        <v>232</v>
      </c>
    </row>
    <row r="38304" spans="119:119" x14ac:dyDescent="0.2">
      <c r="DO38304" s="303" t="s">
        <v>232</v>
      </c>
    </row>
    <row r="38305" spans="119:119" x14ac:dyDescent="0.2">
      <c r="DO38305" s="303" t="s">
        <v>232</v>
      </c>
    </row>
    <row r="38306" spans="119:119" x14ac:dyDescent="0.2">
      <c r="DO38306" s="303" t="s">
        <v>232</v>
      </c>
    </row>
    <row r="38307" spans="119:119" x14ac:dyDescent="0.2">
      <c r="DO38307" s="303" t="s">
        <v>232</v>
      </c>
    </row>
    <row r="38308" spans="119:119" x14ac:dyDescent="0.2">
      <c r="DO38308" s="303" t="s">
        <v>232</v>
      </c>
    </row>
    <row r="38309" spans="119:119" x14ac:dyDescent="0.2">
      <c r="DO38309" s="303" t="s">
        <v>232</v>
      </c>
    </row>
    <row r="38310" spans="119:119" x14ac:dyDescent="0.2">
      <c r="DO38310" s="303" t="s">
        <v>232</v>
      </c>
    </row>
    <row r="38311" spans="119:119" x14ac:dyDescent="0.2">
      <c r="DO38311" s="303" t="s">
        <v>232</v>
      </c>
    </row>
    <row r="38312" spans="119:119" x14ac:dyDescent="0.2">
      <c r="DO38312" s="303" t="s">
        <v>232</v>
      </c>
    </row>
    <row r="38313" spans="119:119" x14ac:dyDescent="0.2">
      <c r="DO38313" s="303" t="s">
        <v>232</v>
      </c>
    </row>
    <row r="38314" spans="119:119" x14ac:dyDescent="0.2">
      <c r="DO38314" s="303" t="s">
        <v>232</v>
      </c>
    </row>
    <row r="38315" spans="119:119" x14ac:dyDescent="0.2">
      <c r="DO38315" s="303" t="s">
        <v>232</v>
      </c>
    </row>
    <row r="38316" spans="119:119" x14ac:dyDescent="0.2">
      <c r="DO38316" s="303" t="s">
        <v>232</v>
      </c>
    </row>
    <row r="38317" spans="119:119" x14ac:dyDescent="0.2">
      <c r="DO38317" s="303" t="s">
        <v>232</v>
      </c>
    </row>
    <row r="38318" spans="119:119" x14ac:dyDescent="0.2">
      <c r="DO38318" s="303" t="s">
        <v>232</v>
      </c>
    </row>
    <row r="38319" spans="119:119" x14ac:dyDescent="0.2">
      <c r="DO38319" s="303" t="s">
        <v>232</v>
      </c>
    </row>
    <row r="38320" spans="119:119" x14ac:dyDescent="0.2">
      <c r="DO38320" s="303" t="s">
        <v>232</v>
      </c>
    </row>
    <row r="38321" spans="119:119" x14ac:dyDescent="0.2">
      <c r="DO38321" s="303" t="s">
        <v>232</v>
      </c>
    </row>
    <row r="38322" spans="119:119" x14ac:dyDescent="0.2">
      <c r="DO38322" s="303" t="s">
        <v>232</v>
      </c>
    </row>
    <row r="38323" spans="119:119" x14ac:dyDescent="0.2">
      <c r="DO38323" s="303" t="s">
        <v>232</v>
      </c>
    </row>
    <row r="38324" spans="119:119" x14ac:dyDescent="0.2">
      <c r="DO38324" s="303" t="s">
        <v>232</v>
      </c>
    </row>
    <row r="38325" spans="119:119" x14ac:dyDescent="0.2">
      <c r="DO38325" s="303" t="s">
        <v>232</v>
      </c>
    </row>
    <row r="38326" spans="119:119" x14ac:dyDescent="0.2">
      <c r="DO38326" s="303" t="s">
        <v>232</v>
      </c>
    </row>
    <row r="38327" spans="119:119" x14ac:dyDescent="0.2">
      <c r="DO38327" s="303" t="s">
        <v>232</v>
      </c>
    </row>
    <row r="38328" spans="119:119" x14ac:dyDescent="0.2">
      <c r="DO38328" s="303" t="s">
        <v>232</v>
      </c>
    </row>
    <row r="38329" spans="119:119" x14ac:dyDescent="0.2">
      <c r="DO38329" s="303" t="s">
        <v>232</v>
      </c>
    </row>
    <row r="38330" spans="119:119" x14ac:dyDescent="0.2">
      <c r="DO38330" s="303" t="s">
        <v>232</v>
      </c>
    </row>
    <row r="38331" spans="119:119" x14ac:dyDescent="0.2">
      <c r="DO38331" s="303" t="s">
        <v>232</v>
      </c>
    </row>
    <row r="38332" spans="119:119" x14ac:dyDescent="0.2">
      <c r="DO38332" s="303" t="s">
        <v>232</v>
      </c>
    </row>
    <row r="38333" spans="119:119" x14ac:dyDescent="0.2">
      <c r="DO38333" s="303" t="s">
        <v>232</v>
      </c>
    </row>
    <row r="38334" spans="119:119" x14ac:dyDescent="0.2">
      <c r="DO38334" s="303" t="s">
        <v>232</v>
      </c>
    </row>
    <row r="38335" spans="119:119" x14ac:dyDescent="0.2">
      <c r="DO38335" s="303" t="s">
        <v>232</v>
      </c>
    </row>
    <row r="38336" spans="119:119" x14ac:dyDescent="0.2">
      <c r="DO38336" s="303" t="s">
        <v>232</v>
      </c>
    </row>
    <row r="38337" spans="119:119" x14ac:dyDescent="0.2">
      <c r="DO38337" s="303" t="s">
        <v>232</v>
      </c>
    </row>
    <row r="38338" spans="119:119" x14ac:dyDescent="0.2">
      <c r="DO38338" s="303" t="s">
        <v>232</v>
      </c>
    </row>
    <row r="38339" spans="119:119" x14ac:dyDescent="0.2">
      <c r="DO38339" s="303" t="s">
        <v>232</v>
      </c>
    </row>
    <row r="38340" spans="119:119" x14ac:dyDescent="0.2">
      <c r="DO38340" s="303" t="s">
        <v>232</v>
      </c>
    </row>
    <row r="38341" spans="119:119" x14ac:dyDescent="0.2">
      <c r="DO38341" s="303" t="s">
        <v>232</v>
      </c>
    </row>
    <row r="38342" spans="119:119" x14ac:dyDescent="0.2">
      <c r="DO38342" s="303" t="s">
        <v>232</v>
      </c>
    </row>
    <row r="38343" spans="119:119" x14ac:dyDescent="0.2">
      <c r="DO38343" s="303" t="s">
        <v>232</v>
      </c>
    </row>
    <row r="38344" spans="119:119" x14ac:dyDescent="0.2">
      <c r="DO38344" s="303" t="s">
        <v>232</v>
      </c>
    </row>
    <row r="38345" spans="119:119" x14ac:dyDescent="0.2">
      <c r="DO38345" s="303" t="s">
        <v>232</v>
      </c>
    </row>
    <row r="38346" spans="119:119" x14ac:dyDescent="0.2">
      <c r="DO38346" s="303" t="s">
        <v>232</v>
      </c>
    </row>
    <row r="38347" spans="119:119" x14ac:dyDescent="0.2">
      <c r="DO38347" s="303" t="s">
        <v>232</v>
      </c>
    </row>
    <row r="38348" spans="119:119" x14ac:dyDescent="0.2">
      <c r="DO38348" s="303" t="s">
        <v>232</v>
      </c>
    </row>
    <row r="38349" spans="119:119" x14ac:dyDescent="0.2">
      <c r="DO38349" s="303" t="s">
        <v>232</v>
      </c>
    </row>
    <row r="38350" spans="119:119" x14ac:dyDescent="0.2">
      <c r="DO38350" s="303" t="s">
        <v>232</v>
      </c>
    </row>
    <row r="38351" spans="119:119" x14ac:dyDescent="0.2">
      <c r="DO38351" s="303" t="s">
        <v>232</v>
      </c>
    </row>
    <row r="38352" spans="119:119" x14ac:dyDescent="0.2">
      <c r="DO38352" s="303" t="s">
        <v>232</v>
      </c>
    </row>
    <row r="38353" spans="119:119" x14ac:dyDescent="0.2">
      <c r="DO38353" s="303" t="s">
        <v>232</v>
      </c>
    </row>
    <row r="38354" spans="119:119" x14ac:dyDescent="0.2">
      <c r="DO38354" s="303" t="s">
        <v>232</v>
      </c>
    </row>
    <row r="38355" spans="119:119" x14ac:dyDescent="0.2">
      <c r="DO38355" s="303" t="s">
        <v>232</v>
      </c>
    </row>
    <row r="38356" spans="119:119" x14ac:dyDescent="0.2">
      <c r="DO38356" s="303" t="s">
        <v>232</v>
      </c>
    </row>
    <row r="38357" spans="119:119" x14ac:dyDescent="0.2">
      <c r="DO38357" s="303" t="s">
        <v>232</v>
      </c>
    </row>
    <row r="38358" spans="119:119" x14ac:dyDescent="0.2">
      <c r="DO38358" s="303" t="s">
        <v>232</v>
      </c>
    </row>
    <row r="38359" spans="119:119" x14ac:dyDescent="0.2">
      <c r="DO38359" s="303" t="s">
        <v>232</v>
      </c>
    </row>
    <row r="38360" spans="119:119" x14ac:dyDescent="0.2">
      <c r="DO38360" s="303" t="s">
        <v>232</v>
      </c>
    </row>
    <row r="38361" spans="119:119" x14ac:dyDescent="0.2">
      <c r="DO38361" s="303" t="s">
        <v>232</v>
      </c>
    </row>
    <row r="38362" spans="119:119" x14ac:dyDescent="0.2">
      <c r="DO38362" s="303" t="s">
        <v>232</v>
      </c>
    </row>
    <row r="38363" spans="119:119" x14ac:dyDescent="0.2">
      <c r="DO38363" s="303" t="s">
        <v>232</v>
      </c>
    </row>
    <row r="38364" spans="119:119" x14ac:dyDescent="0.2">
      <c r="DO38364" s="303" t="s">
        <v>232</v>
      </c>
    </row>
    <row r="38365" spans="119:119" x14ac:dyDescent="0.2">
      <c r="DO38365" s="303" t="s">
        <v>232</v>
      </c>
    </row>
    <row r="38366" spans="119:119" x14ac:dyDescent="0.2">
      <c r="DO38366" s="303" t="s">
        <v>232</v>
      </c>
    </row>
    <row r="38367" spans="119:119" x14ac:dyDescent="0.2">
      <c r="DO38367" s="303" t="s">
        <v>232</v>
      </c>
    </row>
    <row r="38368" spans="119:119" x14ac:dyDescent="0.2">
      <c r="DO38368" s="303" t="s">
        <v>232</v>
      </c>
    </row>
    <row r="38369" spans="119:119" x14ac:dyDescent="0.2">
      <c r="DO38369" s="303" t="s">
        <v>232</v>
      </c>
    </row>
    <row r="38370" spans="119:119" x14ac:dyDescent="0.2">
      <c r="DO38370" s="303" t="s">
        <v>232</v>
      </c>
    </row>
    <row r="38371" spans="119:119" x14ac:dyDescent="0.2">
      <c r="DO38371" s="303" t="s">
        <v>232</v>
      </c>
    </row>
    <row r="38372" spans="119:119" x14ac:dyDescent="0.2">
      <c r="DO38372" s="303" t="s">
        <v>232</v>
      </c>
    </row>
    <row r="38373" spans="119:119" x14ac:dyDescent="0.2">
      <c r="DO38373" s="303" t="s">
        <v>232</v>
      </c>
    </row>
    <row r="38374" spans="119:119" x14ac:dyDescent="0.2">
      <c r="DO38374" s="303" t="s">
        <v>232</v>
      </c>
    </row>
    <row r="38375" spans="119:119" x14ac:dyDescent="0.2">
      <c r="DO38375" s="303" t="s">
        <v>232</v>
      </c>
    </row>
    <row r="38376" spans="119:119" x14ac:dyDescent="0.2">
      <c r="DO38376" s="303" t="s">
        <v>232</v>
      </c>
    </row>
    <row r="38377" spans="119:119" x14ac:dyDescent="0.2">
      <c r="DO38377" s="303" t="s">
        <v>232</v>
      </c>
    </row>
    <row r="38378" spans="119:119" x14ac:dyDescent="0.2">
      <c r="DO38378" s="303" t="s">
        <v>232</v>
      </c>
    </row>
    <row r="38379" spans="119:119" x14ac:dyDescent="0.2">
      <c r="DO38379" s="303" t="s">
        <v>232</v>
      </c>
    </row>
    <row r="38380" spans="119:119" x14ac:dyDescent="0.2">
      <c r="DO38380" s="303" t="s">
        <v>232</v>
      </c>
    </row>
    <row r="38381" spans="119:119" x14ac:dyDescent="0.2">
      <c r="DO38381" s="303" t="s">
        <v>232</v>
      </c>
    </row>
    <row r="38382" spans="119:119" x14ac:dyDescent="0.2">
      <c r="DO38382" s="303" t="s">
        <v>232</v>
      </c>
    </row>
    <row r="38383" spans="119:119" x14ac:dyDescent="0.2">
      <c r="DO38383" s="303" t="s">
        <v>232</v>
      </c>
    </row>
    <row r="38384" spans="119:119" x14ac:dyDescent="0.2">
      <c r="DO38384" s="303" t="s">
        <v>232</v>
      </c>
    </row>
    <row r="38385" spans="119:119" x14ac:dyDescent="0.2">
      <c r="DO38385" s="303" t="s">
        <v>232</v>
      </c>
    </row>
    <row r="38386" spans="119:119" x14ac:dyDescent="0.2">
      <c r="DO38386" s="303" t="s">
        <v>232</v>
      </c>
    </row>
    <row r="38387" spans="119:119" x14ac:dyDescent="0.2">
      <c r="DO38387" s="303" t="s">
        <v>232</v>
      </c>
    </row>
    <row r="38388" spans="119:119" x14ac:dyDescent="0.2">
      <c r="DO38388" s="303" t="s">
        <v>232</v>
      </c>
    </row>
    <row r="38389" spans="119:119" x14ac:dyDescent="0.2">
      <c r="DO38389" s="303" t="s">
        <v>232</v>
      </c>
    </row>
    <row r="38390" spans="119:119" x14ac:dyDescent="0.2">
      <c r="DO38390" s="303" t="s">
        <v>232</v>
      </c>
    </row>
    <row r="38391" spans="119:119" x14ac:dyDescent="0.2">
      <c r="DO38391" s="303" t="s">
        <v>232</v>
      </c>
    </row>
    <row r="38392" spans="119:119" x14ac:dyDescent="0.2">
      <c r="DO38392" s="303" t="s">
        <v>232</v>
      </c>
    </row>
    <row r="38393" spans="119:119" x14ac:dyDescent="0.2">
      <c r="DO38393" s="303" t="s">
        <v>232</v>
      </c>
    </row>
    <row r="38394" spans="119:119" x14ac:dyDescent="0.2">
      <c r="DO38394" s="303" t="s">
        <v>232</v>
      </c>
    </row>
    <row r="38395" spans="119:119" x14ac:dyDescent="0.2">
      <c r="DO38395" s="303" t="s">
        <v>232</v>
      </c>
    </row>
    <row r="38396" spans="119:119" x14ac:dyDescent="0.2">
      <c r="DO38396" s="303" t="s">
        <v>232</v>
      </c>
    </row>
    <row r="38397" spans="119:119" x14ac:dyDescent="0.2">
      <c r="DO38397" s="303" t="s">
        <v>232</v>
      </c>
    </row>
    <row r="38398" spans="119:119" x14ac:dyDescent="0.2">
      <c r="DO38398" s="303" t="s">
        <v>232</v>
      </c>
    </row>
    <row r="38399" spans="119:119" x14ac:dyDescent="0.2">
      <c r="DO38399" s="303" t="s">
        <v>232</v>
      </c>
    </row>
    <row r="38400" spans="119:119" x14ac:dyDescent="0.2">
      <c r="DO38400" s="303" t="s">
        <v>232</v>
      </c>
    </row>
    <row r="38401" spans="119:119" x14ac:dyDescent="0.2">
      <c r="DO38401" s="303" t="s">
        <v>232</v>
      </c>
    </row>
    <row r="38402" spans="119:119" x14ac:dyDescent="0.2">
      <c r="DO38402" s="303" t="s">
        <v>232</v>
      </c>
    </row>
    <row r="38403" spans="119:119" x14ac:dyDescent="0.2">
      <c r="DO38403" s="303" t="s">
        <v>232</v>
      </c>
    </row>
    <row r="38404" spans="119:119" x14ac:dyDescent="0.2">
      <c r="DO38404" s="303" t="s">
        <v>232</v>
      </c>
    </row>
    <row r="38405" spans="119:119" x14ac:dyDescent="0.2">
      <c r="DO38405" s="303" t="s">
        <v>232</v>
      </c>
    </row>
    <row r="38406" spans="119:119" x14ac:dyDescent="0.2">
      <c r="DO38406" s="303" t="s">
        <v>232</v>
      </c>
    </row>
    <row r="38407" spans="119:119" x14ac:dyDescent="0.2">
      <c r="DO38407" s="303" t="s">
        <v>232</v>
      </c>
    </row>
    <row r="38408" spans="119:119" x14ac:dyDescent="0.2">
      <c r="DO38408" s="303" t="s">
        <v>232</v>
      </c>
    </row>
    <row r="38409" spans="119:119" x14ac:dyDescent="0.2">
      <c r="DO38409" s="303" t="s">
        <v>232</v>
      </c>
    </row>
    <row r="38410" spans="119:119" x14ac:dyDescent="0.2">
      <c r="DO38410" s="303" t="s">
        <v>232</v>
      </c>
    </row>
    <row r="38411" spans="119:119" x14ac:dyDescent="0.2">
      <c r="DO38411" s="303" t="s">
        <v>232</v>
      </c>
    </row>
    <row r="38412" spans="119:119" x14ac:dyDescent="0.2">
      <c r="DO38412" s="303" t="s">
        <v>232</v>
      </c>
    </row>
    <row r="38413" spans="119:119" x14ac:dyDescent="0.2">
      <c r="DO38413" s="303" t="s">
        <v>232</v>
      </c>
    </row>
    <row r="38414" spans="119:119" x14ac:dyDescent="0.2">
      <c r="DO38414" s="303" t="s">
        <v>232</v>
      </c>
    </row>
    <row r="38415" spans="119:119" x14ac:dyDescent="0.2">
      <c r="DO38415" s="303" t="s">
        <v>232</v>
      </c>
    </row>
    <row r="38416" spans="119:119" x14ac:dyDescent="0.2">
      <c r="DO38416" s="303" t="s">
        <v>232</v>
      </c>
    </row>
    <row r="38417" spans="119:119" x14ac:dyDescent="0.2">
      <c r="DO38417" s="303" t="s">
        <v>232</v>
      </c>
    </row>
    <row r="38418" spans="119:119" x14ac:dyDescent="0.2">
      <c r="DO38418" s="303" t="s">
        <v>232</v>
      </c>
    </row>
    <row r="38419" spans="119:119" x14ac:dyDescent="0.2">
      <c r="DO38419" s="303" t="s">
        <v>232</v>
      </c>
    </row>
    <row r="38420" spans="119:119" x14ac:dyDescent="0.2">
      <c r="DO38420" s="303" t="s">
        <v>232</v>
      </c>
    </row>
    <row r="38421" spans="119:119" x14ac:dyDescent="0.2">
      <c r="DO38421" s="303" t="s">
        <v>232</v>
      </c>
    </row>
    <row r="38422" spans="119:119" x14ac:dyDescent="0.2">
      <c r="DO38422" s="303" t="s">
        <v>232</v>
      </c>
    </row>
    <row r="38423" spans="119:119" x14ac:dyDescent="0.2">
      <c r="DO38423" s="303" t="s">
        <v>232</v>
      </c>
    </row>
    <row r="38424" spans="119:119" x14ac:dyDescent="0.2">
      <c r="DO38424" s="303" t="s">
        <v>232</v>
      </c>
    </row>
    <row r="38425" spans="119:119" x14ac:dyDescent="0.2">
      <c r="DO38425" s="303" t="s">
        <v>232</v>
      </c>
    </row>
    <row r="38426" spans="119:119" x14ac:dyDescent="0.2">
      <c r="DO38426" s="303" t="s">
        <v>232</v>
      </c>
    </row>
    <row r="38427" spans="119:119" x14ac:dyDescent="0.2">
      <c r="DO38427" s="303" t="s">
        <v>232</v>
      </c>
    </row>
    <row r="38428" spans="119:119" x14ac:dyDescent="0.2">
      <c r="DO38428" s="303" t="s">
        <v>232</v>
      </c>
    </row>
    <row r="38429" spans="119:119" x14ac:dyDescent="0.2">
      <c r="DO38429" s="303" t="s">
        <v>232</v>
      </c>
    </row>
    <row r="38430" spans="119:119" x14ac:dyDescent="0.2">
      <c r="DO38430" s="303" t="s">
        <v>232</v>
      </c>
    </row>
    <row r="38431" spans="119:119" x14ac:dyDescent="0.2">
      <c r="DO38431" s="303" t="s">
        <v>232</v>
      </c>
    </row>
    <row r="38432" spans="119:119" x14ac:dyDescent="0.2">
      <c r="DO38432" s="303" t="s">
        <v>232</v>
      </c>
    </row>
    <row r="38433" spans="119:119" x14ac:dyDescent="0.2">
      <c r="DO38433" s="303" t="s">
        <v>232</v>
      </c>
    </row>
    <row r="38434" spans="119:119" x14ac:dyDescent="0.2">
      <c r="DO38434" s="303" t="s">
        <v>232</v>
      </c>
    </row>
    <row r="38435" spans="119:119" x14ac:dyDescent="0.2">
      <c r="DO38435" s="303" t="s">
        <v>232</v>
      </c>
    </row>
    <row r="38436" spans="119:119" x14ac:dyDescent="0.2">
      <c r="DO38436" s="303" t="s">
        <v>232</v>
      </c>
    </row>
    <row r="38437" spans="119:119" x14ac:dyDescent="0.2">
      <c r="DO38437" s="303" t="s">
        <v>232</v>
      </c>
    </row>
    <row r="38438" spans="119:119" x14ac:dyDescent="0.2">
      <c r="DO38438" s="303" t="s">
        <v>232</v>
      </c>
    </row>
    <row r="38439" spans="119:119" x14ac:dyDescent="0.2">
      <c r="DO38439" s="303" t="s">
        <v>232</v>
      </c>
    </row>
    <row r="38440" spans="119:119" x14ac:dyDescent="0.2">
      <c r="DO38440" s="303" t="s">
        <v>232</v>
      </c>
    </row>
    <row r="38441" spans="119:119" x14ac:dyDescent="0.2">
      <c r="DO38441" s="303" t="s">
        <v>232</v>
      </c>
    </row>
    <row r="38442" spans="119:119" x14ac:dyDescent="0.2">
      <c r="DO38442" s="303" t="s">
        <v>232</v>
      </c>
    </row>
    <row r="38443" spans="119:119" x14ac:dyDescent="0.2">
      <c r="DO38443" s="303" t="s">
        <v>232</v>
      </c>
    </row>
    <row r="38444" spans="119:119" x14ac:dyDescent="0.2">
      <c r="DO38444" s="303" t="s">
        <v>232</v>
      </c>
    </row>
    <row r="38445" spans="119:119" x14ac:dyDescent="0.2">
      <c r="DO38445" s="303" t="s">
        <v>232</v>
      </c>
    </row>
    <row r="38446" spans="119:119" x14ac:dyDescent="0.2">
      <c r="DO38446" s="303" t="s">
        <v>232</v>
      </c>
    </row>
    <row r="38447" spans="119:119" x14ac:dyDescent="0.2">
      <c r="DO38447" s="303" t="s">
        <v>232</v>
      </c>
    </row>
    <row r="38448" spans="119:119" x14ac:dyDescent="0.2">
      <c r="DO38448" s="303" t="s">
        <v>232</v>
      </c>
    </row>
    <row r="38449" spans="119:119" x14ac:dyDescent="0.2">
      <c r="DO38449" s="303" t="s">
        <v>232</v>
      </c>
    </row>
    <row r="38450" spans="119:119" x14ac:dyDescent="0.2">
      <c r="DO38450" s="303" t="s">
        <v>232</v>
      </c>
    </row>
    <row r="38451" spans="119:119" x14ac:dyDescent="0.2">
      <c r="DO38451" s="303" t="s">
        <v>232</v>
      </c>
    </row>
    <row r="38452" spans="119:119" x14ac:dyDescent="0.2">
      <c r="DO38452" s="303" t="s">
        <v>232</v>
      </c>
    </row>
    <row r="38453" spans="119:119" x14ac:dyDescent="0.2">
      <c r="DO38453" s="303" t="s">
        <v>232</v>
      </c>
    </row>
    <row r="38454" spans="119:119" x14ac:dyDescent="0.2">
      <c r="DO38454" s="303" t="s">
        <v>232</v>
      </c>
    </row>
    <row r="38455" spans="119:119" x14ac:dyDescent="0.2">
      <c r="DO38455" s="303" t="s">
        <v>232</v>
      </c>
    </row>
    <row r="38456" spans="119:119" x14ac:dyDescent="0.2">
      <c r="DO38456" s="303" t="s">
        <v>232</v>
      </c>
    </row>
    <row r="38457" spans="119:119" x14ac:dyDescent="0.2">
      <c r="DO38457" s="303" t="s">
        <v>232</v>
      </c>
    </row>
    <row r="38458" spans="119:119" x14ac:dyDescent="0.2">
      <c r="DO38458" s="303" t="s">
        <v>232</v>
      </c>
    </row>
    <row r="38459" spans="119:119" x14ac:dyDescent="0.2">
      <c r="DO38459" s="303" t="s">
        <v>232</v>
      </c>
    </row>
    <row r="38460" spans="119:119" x14ac:dyDescent="0.2">
      <c r="DO38460" s="303" t="s">
        <v>232</v>
      </c>
    </row>
    <row r="38461" spans="119:119" x14ac:dyDescent="0.2">
      <c r="DO38461" s="303" t="s">
        <v>232</v>
      </c>
    </row>
    <row r="38462" spans="119:119" x14ac:dyDescent="0.2">
      <c r="DO38462" s="303" t="s">
        <v>232</v>
      </c>
    </row>
    <row r="38463" spans="119:119" x14ac:dyDescent="0.2">
      <c r="DO38463" s="303" t="s">
        <v>232</v>
      </c>
    </row>
    <row r="38464" spans="119:119" x14ac:dyDescent="0.2">
      <c r="DO38464" s="303" t="s">
        <v>232</v>
      </c>
    </row>
    <row r="38465" spans="119:119" x14ac:dyDescent="0.2">
      <c r="DO38465" s="303" t="s">
        <v>232</v>
      </c>
    </row>
    <row r="38466" spans="119:119" x14ac:dyDescent="0.2">
      <c r="DO38466" s="303" t="s">
        <v>232</v>
      </c>
    </row>
    <row r="38467" spans="119:119" x14ac:dyDescent="0.2">
      <c r="DO38467" s="303" t="s">
        <v>232</v>
      </c>
    </row>
    <row r="38468" spans="119:119" x14ac:dyDescent="0.2">
      <c r="DO38468" s="303" t="s">
        <v>232</v>
      </c>
    </row>
    <row r="38469" spans="119:119" x14ac:dyDescent="0.2">
      <c r="DO38469" s="303" t="s">
        <v>232</v>
      </c>
    </row>
    <row r="38470" spans="119:119" x14ac:dyDescent="0.2">
      <c r="DO38470" s="303" t="s">
        <v>232</v>
      </c>
    </row>
    <row r="38471" spans="119:119" x14ac:dyDescent="0.2">
      <c r="DO38471" s="303" t="s">
        <v>232</v>
      </c>
    </row>
    <row r="38472" spans="119:119" x14ac:dyDescent="0.2">
      <c r="DO38472" s="303" t="s">
        <v>232</v>
      </c>
    </row>
    <row r="38473" spans="119:119" x14ac:dyDescent="0.2">
      <c r="DO38473" s="303" t="s">
        <v>232</v>
      </c>
    </row>
    <row r="38474" spans="119:119" x14ac:dyDescent="0.2">
      <c r="DO38474" s="303" t="s">
        <v>232</v>
      </c>
    </row>
    <row r="38475" spans="119:119" x14ac:dyDescent="0.2">
      <c r="DO38475" s="303" t="s">
        <v>232</v>
      </c>
    </row>
    <row r="38476" spans="119:119" x14ac:dyDescent="0.2">
      <c r="DO38476" s="303" t="s">
        <v>232</v>
      </c>
    </row>
    <row r="38477" spans="119:119" x14ac:dyDescent="0.2">
      <c r="DO38477" s="303" t="s">
        <v>232</v>
      </c>
    </row>
    <row r="38478" spans="119:119" x14ac:dyDescent="0.2">
      <c r="DO38478" s="303" t="s">
        <v>232</v>
      </c>
    </row>
    <row r="38479" spans="119:119" x14ac:dyDescent="0.2">
      <c r="DO38479" s="303" t="s">
        <v>232</v>
      </c>
    </row>
    <row r="38480" spans="119:119" x14ac:dyDescent="0.2">
      <c r="DO38480" s="303" t="s">
        <v>232</v>
      </c>
    </row>
    <row r="38481" spans="119:119" x14ac:dyDescent="0.2">
      <c r="DO38481" s="303" t="s">
        <v>232</v>
      </c>
    </row>
    <row r="38482" spans="119:119" x14ac:dyDescent="0.2">
      <c r="DO38482" s="303" t="s">
        <v>232</v>
      </c>
    </row>
    <row r="38483" spans="119:119" x14ac:dyDescent="0.2">
      <c r="DO38483" s="303" t="s">
        <v>232</v>
      </c>
    </row>
    <row r="38484" spans="119:119" x14ac:dyDescent="0.2">
      <c r="DO38484" s="303" t="s">
        <v>232</v>
      </c>
    </row>
    <row r="38485" spans="119:119" x14ac:dyDescent="0.2">
      <c r="DO38485" s="303" t="s">
        <v>232</v>
      </c>
    </row>
    <row r="38486" spans="119:119" x14ac:dyDescent="0.2">
      <c r="DO38486" s="303" t="s">
        <v>232</v>
      </c>
    </row>
    <row r="38487" spans="119:119" x14ac:dyDescent="0.2">
      <c r="DO38487" s="303" t="s">
        <v>232</v>
      </c>
    </row>
    <row r="38488" spans="119:119" x14ac:dyDescent="0.2">
      <c r="DO38488" s="303" t="s">
        <v>232</v>
      </c>
    </row>
    <row r="38489" spans="119:119" x14ac:dyDescent="0.2">
      <c r="DO38489" s="303" t="s">
        <v>232</v>
      </c>
    </row>
    <row r="38490" spans="119:119" x14ac:dyDescent="0.2">
      <c r="DO38490" s="303" t="s">
        <v>232</v>
      </c>
    </row>
    <row r="38491" spans="119:119" x14ac:dyDescent="0.2">
      <c r="DO38491" s="303" t="s">
        <v>232</v>
      </c>
    </row>
    <row r="38492" spans="119:119" x14ac:dyDescent="0.2">
      <c r="DO38492" s="303" t="s">
        <v>232</v>
      </c>
    </row>
    <row r="38493" spans="119:119" x14ac:dyDescent="0.2">
      <c r="DO38493" s="303" t="s">
        <v>232</v>
      </c>
    </row>
    <row r="38494" spans="119:119" x14ac:dyDescent="0.2">
      <c r="DO38494" s="303" t="s">
        <v>232</v>
      </c>
    </row>
    <row r="38495" spans="119:119" x14ac:dyDescent="0.2">
      <c r="DO38495" s="303" t="s">
        <v>232</v>
      </c>
    </row>
    <row r="38496" spans="119:119" x14ac:dyDescent="0.2">
      <c r="DO38496" s="303" t="s">
        <v>232</v>
      </c>
    </row>
    <row r="38497" spans="119:119" x14ac:dyDescent="0.2">
      <c r="DO38497" s="303" t="s">
        <v>232</v>
      </c>
    </row>
    <row r="38498" spans="119:119" x14ac:dyDescent="0.2">
      <c r="DO38498" s="303" t="s">
        <v>232</v>
      </c>
    </row>
    <row r="38499" spans="119:119" x14ac:dyDescent="0.2">
      <c r="DO38499" s="303" t="s">
        <v>232</v>
      </c>
    </row>
    <row r="38500" spans="119:119" x14ac:dyDescent="0.2">
      <c r="DO38500" s="303" t="s">
        <v>232</v>
      </c>
    </row>
    <row r="38501" spans="119:119" x14ac:dyDescent="0.2">
      <c r="DO38501" s="303" t="s">
        <v>232</v>
      </c>
    </row>
    <row r="38502" spans="119:119" x14ac:dyDescent="0.2">
      <c r="DO38502" s="303" t="s">
        <v>232</v>
      </c>
    </row>
    <row r="38503" spans="119:119" x14ac:dyDescent="0.2">
      <c r="DO38503" s="303" t="s">
        <v>232</v>
      </c>
    </row>
    <row r="38504" spans="119:119" x14ac:dyDescent="0.2">
      <c r="DO38504" s="303" t="s">
        <v>232</v>
      </c>
    </row>
    <row r="38505" spans="119:119" x14ac:dyDescent="0.2">
      <c r="DO38505" s="303" t="s">
        <v>232</v>
      </c>
    </row>
    <row r="38506" spans="119:119" x14ac:dyDescent="0.2">
      <c r="DO38506" s="303" t="s">
        <v>232</v>
      </c>
    </row>
    <row r="38507" spans="119:119" x14ac:dyDescent="0.2">
      <c r="DO38507" s="303" t="s">
        <v>232</v>
      </c>
    </row>
    <row r="38508" spans="119:119" x14ac:dyDescent="0.2">
      <c r="DO38508" s="303" t="s">
        <v>232</v>
      </c>
    </row>
    <row r="38509" spans="119:119" x14ac:dyDescent="0.2">
      <c r="DO38509" s="303" t="s">
        <v>232</v>
      </c>
    </row>
    <row r="38510" spans="119:119" x14ac:dyDescent="0.2">
      <c r="DO38510" s="303" t="s">
        <v>232</v>
      </c>
    </row>
    <row r="38511" spans="119:119" x14ac:dyDescent="0.2">
      <c r="DO38511" s="303" t="s">
        <v>232</v>
      </c>
    </row>
    <row r="38512" spans="119:119" x14ac:dyDescent="0.2">
      <c r="DO38512" s="303" t="s">
        <v>232</v>
      </c>
    </row>
    <row r="38513" spans="119:119" x14ac:dyDescent="0.2">
      <c r="DO38513" s="303" t="s">
        <v>232</v>
      </c>
    </row>
    <row r="38514" spans="119:119" x14ac:dyDescent="0.2">
      <c r="DO38514" s="303" t="s">
        <v>232</v>
      </c>
    </row>
    <row r="38515" spans="119:119" x14ac:dyDescent="0.2">
      <c r="DO38515" s="303" t="s">
        <v>232</v>
      </c>
    </row>
    <row r="38516" spans="119:119" x14ac:dyDescent="0.2">
      <c r="DO38516" s="303" t="s">
        <v>232</v>
      </c>
    </row>
    <row r="38517" spans="119:119" x14ac:dyDescent="0.2">
      <c r="DO38517" s="303" t="s">
        <v>232</v>
      </c>
    </row>
    <row r="38518" spans="119:119" x14ac:dyDescent="0.2">
      <c r="DO38518" s="303" t="s">
        <v>232</v>
      </c>
    </row>
    <row r="38519" spans="119:119" x14ac:dyDescent="0.2">
      <c r="DO38519" s="303" t="s">
        <v>232</v>
      </c>
    </row>
    <row r="38520" spans="119:119" x14ac:dyDescent="0.2">
      <c r="DO38520" s="303" t="s">
        <v>232</v>
      </c>
    </row>
    <row r="38521" spans="119:119" x14ac:dyDescent="0.2">
      <c r="DO38521" s="303" t="s">
        <v>232</v>
      </c>
    </row>
    <row r="38522" spans="119:119" x14ac:dyDescent="0.2">
      <c r="DO38522" s="303" t="s">
        <v>232</v>
      </c>
    </row>
    <row r="38523" spans="119:119" x14ac:dyDescent="0.2">
      <c r="DO38523" s="303" t="s">
        <v>232</v>
      </c>
    </row>
    <row r="38524" spans="119:119" x14ac:dyDescent="0.2">
      <c r="DO38524" s="303" t="s">
        <v>232</v>
      </c>
    </row>
    <row r="38525" spans="119:119" x14ac:dyDescent="0.2">
      <c r="DO38525" s="303" t="s">
        <v>232</v>
      </c>
    </row>
    <row r="38526" spans="119:119" x14ac:dyDescent="0.2">
      <c r="DO38526" s="303" t="s">
        <v>232</v>
      </c>
    </row>
    <row r="38527" spans="119:119" x14ac:dyDescent="0.2">
      <c r="DO38527" s="303" t="s">
        <v>232</v>
      </c>
    </row>
    <row r="38528" spans="119:119" x14ac:dyDescent="0.2">
      <c r="DO38528" s="303" t="s">
        <v>232</v>
      </c>
    </row>
    <row r="38529" spans="119:119" x14ac:dyDescent="0.2">
      <c r="DO38529" s="303" t="s">
        <v>232</v>
      </c>
    </row>
    <row r="38530" spans="119:119" x14ac:dyDescent="0.2">
      <c r="DO38530" s="303" t="s">
        <v>232</v>
      </c>
    </row>
    <row r="38531" spans="119:119" x14ac:dyDescent="0.2">
      <c r="DO38531" s="303" t="s">
        <v>232</v>
      </c>
    </row>
    <row r="38532" spans="119:119" x14ac:dyDescent="0.2">
      <c r="DO38532" s="303" t="s">
        <v>232</v>
      </c>
    </row>
    <row r="38533" spans="119:119" x14ac:dyDescent="0.2">
      <c r="DO38533" s="303" t="s">
        <v>232</v>
      </c>
    </row>
    <row r="38534" spans="119:119" x14ac:dyDescent="0.2">
      <c r="DO38534" s="303" t="s">
        <v>232</v>
      </c>
    </row>
    <row r="38535" spans="119:119" x14ac:dyDescent="0.2">
      <c r="DO38535" s="303" t="s">
        <v>232</v>
      </c>
    </row>
    <row r="38536" spans="119:119" x14ac:dyDescent="0.2">
      <c r="DO38536" s="303" t="s">
        <v>232</v>
      </c>
    </row>
    <row r="38537" spans="119:119" x14ac:dyDescent="0.2">
      <c r="DO38537" s="303" t="s">
        <v>232</v>
      </c>
    </row>
    <row r="38538" spans="119:119" x14ac:dyDescent="0.2">
      <c r="DO38538" s="303" t="s">
        <v>232</v>
      </c>
    </row>
    <row r="38539" spans="119:119" x14ac:dyDescent="0.2">
      <c r="DO38539" s="303" t="s">
        <v>232</v>
      </c>
    </row>
    <row r="38540" spans="119:119" x14ac:dyDescent="0.2">
      <c r="DO38540" s="303" t="s">
        <v>232</v>
      </c>
    </row>
    <row r="38541" spans="119:119" x14ac:dyDescent="0.2">
      <c r="DO38541" s="303" t="s">
        <v>232</v>
      </c>
    </row>
    <row r="38542" spans="119:119" x14ac:dyDescent="0.2">
      <c r="DO38542" s="303" t="s">
        <v>232</v>
      </c>
    </row>
    <row r="38543" spans="119:119" x14ac:dyDescent="0.2">
      <c r="DO38543" s="303" t="s">
        <v>232</v>
      </c>
    </row>
    <row r="38544" spans="119:119" x14ac:dyDescent="0.2">
      <c r="DO38544" s="303" t="s">
        <v>232</v>
      </c>
    </row>
    <row r="38545" spans="119:119" x14ac:dyDescent="0.2">
      <c r="DO38545" s="303" t="s">
        <v>232</v>
      </c>
    </row>
    <row r="38546" spans="119:119" x14ac:dyDescent="0.2">
      <c r="DO38546" s="303" t="s">
        <v>232</v>
      </c>
    </row>
    <row r="38547" spans="119:119" x14ac:dyDescent="0.2">
      <c r="DO38547" s="303" t="s">
        <v>232</v>
      </c>
    </row>
    <row r="38548" spans="119:119" x14ac:dyDescent="0.2">
      <c r="DO38548" s="303" t="s">
        <v>232</v>
      </c>
    </row>
    <row r="38549" spans="119:119" x14ac:dyDescent="0.2">
      <c r="DO38549" s="303" t="s">
        <v>232</v>
      </c>
    </row>
    <row r="38550" spans="119:119" x14ac:dyDescent="0.2">
      <c r="DO38550" s="303" t="s">
        <v>232</v>
      </c>
    </row>
    <row r="38551" spans="119:119" x14ac:dyDescent="0.2">
      <c r="DO38551" s="303" t="s">
        <v>232</v>
      </c>
    </row>
    <row r="38552" spans="119:119" x14ac:dyDescent="0.2">
      <c r="DO38552" s="303" t="s">
        <v>232</v>
      </c>
    </row>
    <row r="38553" spans="119:119" x14ac:dyDescent="0.2">
      <c r="DO38553" s="303" t="s">
        <v>232</v>
      </c>
    </row>
    <row r="38554" spans="119:119" x14ac:dyDescent="0.2">
      <c r="DO38554" s="303" t="s">
        <v>232</v>
      </c>
    </row>
    <row r="38555" spans="119:119" x14ac:dyDescent="0.2">
      <c r="DO38555" s="303" t="s">
        <v>232</v>
      </c>
    </row>
    <row r="38556" spans="119:119" x14ac:dyDescent="0.2">
      <c r="DO38556" s="303" t="s">
        <v>232</v>
      </c>
    </row>
    <row r="38557" spans="119:119" x14ac:dyDescent="0.2">
      <c r="DO38557" s="303" t="s">
        <v>232</v>
      </c>
    </row>
    <row r="38558" spans="119:119" x14ac:dyDescent="0.2">
      <c r="DO38558" s="303" t="s">
        <v>232</v>
      </c>
    </row>
    <row r="38559" spans="119:119" x14ac:dyDescent="0.2">
      <c r="DO38559" s="303" t="s">
        <v>232</v>
      </c>
    </row>
    <row r="38560" spans="119:119" x14ac:dyDescent="0.2">
      <c r="DO38560" s="303" t="s">
        <v>232</v>
      </c>
    </row>
    <row r="38561" spans="119:119" x14ac:dyDescent="0.2">
      <c r="DO38561" s="303" t="s">
        <v>232</v>
      </c>
    </row>
    <row r="38562" spans="119:119" x14ac:dyDescent="0.2">
      <c r="DO38562" s="303" t="s">
        <v>232</v>
      </c>
    </row>
    <row r="38563" spans="119:119" x14ac:dyDescent="0.2">
      <c r="DO38563" s="303" t="s">
        <v>232</v>
      </c>
    </row>
    <row r="38564" spans="119:119" x14ac:dyDescent="0.2">
      <c r="DO38564" s="303" t="s">
        <v>232</v>
      </c>
    </row>
    <row r="38565" spans="119:119" x14ac:dyDescent="0.2">
      <c r="DO38565" s="303" t="s">
        <v>232</v>
      </c>
    </row>
    <row r="38566" spans="119:119" x14ac:dyDescent="0.2">
      <c r="DO38566" s="303" t="s">
        <v>232</v>
      </c>
    </row>
    <row r="38567" spans="119:119" x14ac:dyDescent="0.2">
      <c r="DO38567" s="303" t="s">
        <v>232</v>
      </c>
    </row>
    <row r="38568" spans="119:119" x14ac:dyDescent="0.2">
      <c r="DO38568" s="303" t="s">
        <v>232</v>
      </c>
    </row>
    <row r="38569" spans="119:119" x14ac:dyDescent="0.2">
      <c r="DO38569" s="303" t="s">
        <v>232</v>
      </c>
    </row>
    <row r="38570" spans="119:119" x14ac:dyDescent="0.2">
      <c r="DO38570" s="303" t="s">
        <v>232</v>
      </c>
    </row>
    <row r="38571" spans="119:119" x14ac:dyDescent="0.2">
      <c r="DO38571" s="303" t="s">
        <v>232</v>
      </c>
    </row>
    <row r="38572" spans="119:119" x14ac:dyDescent="0.2">
      <c r="DO38572" s="303" t="s">
        <v>232</v>
      </c>
    </row>
    <row r="38573" spans="119:119" x14ac:dyDescent="0.2">
      <c r="DO38573" s="303" t="s">
        <v>232</v>
      </c>
    </row>
    <row r="38574" spans="119:119" x14ac:dyDescent="0.2">
      <c r="DO38574" s="303" t="s">
        <v>232</v>
      </c>
    </row>
    <row r="38575" spans="119:119" x14ac:dyDescent="0.2">
      <c r="DO38575" s="303" t="s">
        <v>232</v>
      </c>
    </row>
    <row r="38576" spans="119:119" x14ac:dyDescent="0.2">
      <c r="DO38576" s="303" t="s">
        <v>232</v>
      </c>
    </row>
    <row r="38577" spans="119:119" x14ac:dyDescent="0.2">
      <c r="DO38577" s="303" t="s">
        <v>232</v>
      </c>
    </row>
    <row r="38578" spans="119:119" x14ac:dyDescent="0.2">
      <c r="DO38578" s="303" t="s">
        <v>232</v>
      </c>
    </row>
    <row r="38579" spans="119:119" x14ac:dyDescent="0.2">
      <c r="DO38579" s="303" t="s">
        <v>232</v>
      </c>
    </row>
    <row r="38580" spans="119:119" x14ac:dyDescent="0.2">
      <c r="DO38580" s="303" t="s">
        <v>232</v>
      </c>
    </row>
    <row r="38581" spans="119:119" x14ac:dyDescent="0.2">
      <c r="DO38581" s="303" t="s">
        <v>232</v>
      </c>
    </row>
    <row r="38582" spans="119:119" x14ac:dyDescent="0.2">
      <c r="DO38582" s="303" t="s">
        <v>232</v>
      </c>
    </row>
    <row r="38583" spans="119:119" x14ac:dyDescent="0.2">
      <c r="DO38583" s="303" t="s">
        <v>232</v>
      </c>
    </row>
    <row r="38584" spans="119:119" x14ac:dyDescent="0.2">
      <c r="DO38584" s="303" t="s">
        <v>232</v>
      </c>
    </row>
    <row r="38585" spans="119:119" x14ac:dyDescent="0.2">
      <c r="DO38585" s="303" t="s">
        <v>232</v>
      </c>
    </row>
    <row r="38586" spans="119:119" x14ac:dyDescent="0.2">
      <c r="DO38586" s="303" t="s">
        <v>232</v>
      </c>
    </row>
    <row r="38587" spans="119:119" x14ac:dyDescent="0.2">
      <c r="DO38587" s="303" t="s">
        <v>232</v>
      </c>
    </row>
    <row r="38588" spans="119:119" x14ac:dyDescent="0.2">
      <c r="DO38588" s="303" t="s">
        <v>232</v>
      </c>
    </row>
    <row r="38589" spans="119:119" x14ac:dyDescent="0.2">
      <c r="DO38589" s="303" t="s">
        <v>232</v>
      </c>
    </row>
    <row r="38590" spans="119:119" x14ac:dyDescent="0.2">
      <c r="DO38590" s="303" t="s">
        <v>232</v>
      </c>
    </row>
    <row r="38591" spans="119:119" x14ac:dyDescent="0.2">
      <c r="DO38591" s="303" t="s">
        <v>232</v>
      </c>
    </row>
    <row r="38592" spans="119:119" x14ac:dyDescent="0.2">
      <c r="DO38592" s="303" t="s">
        <v>232</v>
      </c>
    </row>
    <row r="38593" spans="119:119" x14ac:dyDescent="0.2">
      <c r="DO38593" s="303" t="s">
        <v>232</v>
      </c>
    </row>
    <row r="38594" spans="119:119" x14ac:dyDescent="0.2">
      <c r="DO38594" s="303" t="s">
        <v>232</v>
      </c>
    </row>
    <row r="38595" spans="119:119" x14ac:dyDescent="0.2">
      <c r="DO38595" s="303" t="s">
        <v>232</v>
      </c>
    </row>
    <row r="38596" spans="119:119" x14ac:dyDescent="0.2">
      <c r="DO38596" s="303" t="s">
        <v>232</v>
      </c>
    </row>
    <row r="38597" spans="119:119" x14ac:dyDescent="0.2">
      <c r="DO38597" s="303" t="s">
        <v>232</v>
      </c>
    </row>
    <row r="38598" spans="119:119" x14ac:dyDescent="0.2">
      <c r="DO38598" s="303" t="s">
        <v>232</v>
      </c>
    </row>
    <row r="38599" spans="119:119" x14ac:dyDescent="0.2">
      <c r="DO38599" s="303" t="s">
        <v>232</v>
      </c>
    </row>
    <row r="38600" spans="119:119" x14ac:dyDescent="0.2">
      <c r="DO38600" s="303" t="s">
        <v>232</v>
      </c>
    </row>
    <row r="38601" spans="119:119" x14ac:dyDescent="0.2">
      <c r="DO38601" s="303" t="s">
        <v>232</v>
      </c>
    </row>
    <row r="38602" spans="119:119" x14ac:dyDescent="0.2">
      <c r="DO38602" s="303" t="s">
        <v>232</v>
      </c>
    </row>
    <row r="38603" spans="119:119" x14ac:dyDescent="0.2">
      <c r="DO38603" s="303" t="s">
        <v>232</v>
      </c>
    </row>
    <row r="38604" spans="119:119" x14ac:dyDescent="0.2">
      <c r="DO38604" s="303" t="s">
        <v>232</v>
      </c>
    </row>
    <row r="38605" spans="119:119" x14ac:dyDescent="0.2">
      <c r="DO38605" s="303" t="s">
        <v>232</v>
      </c>
    </row>
    <row r="38606" spans="119:119" x14ac:dyDescent="0.2">
      <c r="DO38606" s="303" t="s">
        <v>232</v>
      </c>
    </row>
    <row r="38607" spans="119:119" x14ac:dyDescent="0.2">
      <c r="DO38607" s="303" t="s">
        <v>232</v>
      </c>
    </row>
    <row r="38608" spans="119:119" x14ac:dyDescent="0.2">
      <c r="DO38608" s="303" t="s">
        <v>232</v>
      </c>
    </row>
    <row r="38609" spans="119:119" x14ac:dyDescent="0.2">
      <c r="DO38609" s="303" t="s">
        <v>232</v>
      </c>
    </row>
    <row r="38610" spans="119:119" x14ac:dyDescent="0.2">
      <c r="DO38610" s="303" t="s">
        <v>232</v>
      </c>
    </row>
    <row r="38611" spans="119:119" x14ac:dyDescent="0.2">
      <c r="DO38611" s="303" t="s">
        <v>232</v>
      </c>
    </row>
    <row r="38612" spans="119:119" x14ac:dyDescent="0.2">
      <c r="DO38612" s="303" t="s">
        <v>232</v>
      </c>
    </row>
    <row r="38613" spans="119:119" x14ac:dyDescent="0.2">
      <c r="DO38613" s="303" t="s">
        <v>232</v>
      </c>
    </row>
    <row r="38614" spans="119:119" x14ac:dyDescent="0.2">
      <c r="DO38614" s="303" t="s">
        <v>232</v>
      </c>
    </row>
    <row r="38615" spans="119:119" x14ac:dyDescent="0.2">
      <c r="DO38615" s="303" t="s">
        <v>232</v>
      </c>
    </row>
    <row r="38616" spans="119:119" x14ac:dyDescent="0.2">
      <c r="DO38616" s="303" t="s">
        <v>232</v>
      </c>
    </row>
    <row r="38617" spans="119:119" x14ac:dyDescent="0.2">
      <c r="DO38617" s="303" t="s">
        <v>232</v>
      </c>
    </row>
    <row r="38618" spans="119:119" x14ac:dyDescent="0.2">
      <c r="DO38618" s="303" t="s">
        <v>232</v>
      </c>
    </row>
    <row r="38619" spans="119:119" x14ac:dyDescent="0.2">
      <c r="DO38619" s="303" t="s">
        <v>232</v>
      </c>
    </row>
    <row r="38620" spans="119:119" x14ac:dyDescent="0.2">
      <c r="DO38620" s="303" t="s">
        <v>232</v>
      </c>
    </row>
    <row r="38621" spans="119:119" x14ac:dyDescent="0.2">
      <c r="DO38621" s="303" t="s">
        <v>232</v>
      </c>
    </row>
    <row r="38622" spans="119:119" x14ac:dyDescent="0.2">
      <c r="DO38622" s="303" t="s">
        <v>232</v>
      </c>
    </row>
    <row r="38623" spans="119:119" x14ac:dyDescent="0.2">
      <c r="DO38623" s="303" t="s">
        <v>232</v>
      </c>
    </row>
    <row r="38624" spans="119:119" x14ac:dyDescent="0.2">
      <c r="DO38624" s="303" t="s">
        <v>232</v>
      </c>
    </row>
    <row r="38625" spans="119:119" x14ac:dyDescent="0.2">
      <c r="DO38625" s="303" t="s">
        <v>232</v>
      </c>
    </row>
    <row r="38626" spans="119:119" x14ac:dyDescent="0.2">
      <c r="DO38626" s="303" t="s">
        <v>232</v>
      </c>
    </row>
    <row r="38627" spans="119:119" x14ac:dyDescent="0.2">
      <c r="DO38627" s="303" t="s">
        <v>232</v>
      </c>
    </row>
    <row r="38628" spans="119:119" x14ac:dyDescent="0.2">
      <c r="DO38628" s="303" t="s">
        <v>232</v>
      </c>
    </row>
    <row r="38629" spans="119:119" x14ac:dyDescent="0.2">
      <c r="DO38629" s="303" t="s">
        <v>232</v>
      </c>
    </row>
    <row r="38630" spans="119:119" x14ac:dyDescent="0.2">
      <c r="DO38630" s="303" t="s">
        <v>232</v>
      </c>
    </row>
    <row r="38631" spans="119:119" x14ac:dyDescent="0.2">
      <c r="DO38631" s="303" t="s">
        <v>232</v>
      </c>
    </row>
    <row r="38632" spans="119:119" x14ac:dyDescent="0.2">
      <c r="DO38632" s="303" t="s">
        <v>232</v>
      </c>
    </row>
    <row r="38633" spans="119:119" x14ac:dyDescent="0.2">
      <c r="DO38633" s="303" t="s">
        <v>232</v>
      </c>
    </row>
    <row r="38634" spans="119:119" x14ac:dyDescent="0.2">
      <c r="DO38634" s="303" t="s">
        <v>232</v>
      </c>
    </row>
    <row r="38635" spans="119:119" x14ac:dyDescent="0.2">
      <c r="DO38635" s="303" t="s">
        <v>232</v>
      </c>
    </row>
    <row r="38636" spans="119:119" x14ac:dyDescent="0.2">
      <c r="DO38636" s="303" t="s">
        <v>232</v>
      </c>
    </row>
    <row r="38637" spans="119:119" x14ac:dyDescent="0.2">
      <c r="DO38637" s="303" t="s">
        <v>232</v>
      </c>
    </row>
    <row r="38638" spans="119:119" x14ac:dyDescent="0.2">
      <c r="DO38638" s="303" t="s">
        <v>232</v>
      </c>
    </row>
    <row r="38639" spans="119:119" x14ac:dyDescent="0.2">
      <c r="DO38639" s="303" t="s">
        <v>232</v>
      </c>
    </row>
    <row r="38640" spans="119:119" x14ac:dyDescent="0.2">
      <c r="DO38640" s="303" t="s">
        <v>232</v>
      </c>
    </row>
    <row r="38641" spans="119:119" x14ac:dyDescent="0.2">
      <c r="DO38641" s="303" t="s">
        <v>232</v>
      </c>
    </row>
    <row r="38642" spans="119:119" x14ac:dyDescent="0.2">
      <c r="DO38642" s="303" t="s">
        <v>232</v>
      </c>
    </row>
    <row r="38643" spans="119:119" x14ac:dyDescent="0.2">
      <c r="DO38643" s="303" t="s">
        <v>232</v>
      </c>
    </row>
    <row r="38644" spans="119:119" x14ac:dyDescent="0.2">
      <c r="DO38644" s="303" t="s">
        <v>232</v>
      </c>
    </row>
    <row r="38645" spans="119:119" x14ac:dyDescent="0.2">
      <c r="DO38645" s="303" t="s">
        <v>232</v>
      </c>
    </row>
    <row r="38646" spans="119:119" x14ac:dyDescent="0.2">
      <c r="DO38646" s="303" t="s">
        <v>232</v>
      </c>
    </row>
    <row r="38647" spans="119:119" x14ac:dyDescent="0.2">
      <c r="DO38647" s="303" t="s">
        <v>232</v>
      </c>
    </row>
    <row r="38648" spans="119:119" x14ac:dyDescent="0.2">
      <c r="DO38648" s="303" t="s">
        <v>232</v>
      </c>
    </row>
    <row r="38649" spans="119:119" x14ac:dyDescent="0.2">
      <c r="DO38649" s="303" t="s">
        <v>232</v>
      </c>
    </row>
    <row r="38650" spans="119:119" x14ac:dyDescent="0.2">
      <c r="DO38650" s="303" t="s">
        <v>232</v>
      </c>
    </row>
    <row r="38651" spans="119:119" x14ac:dyDescent="0.2">
      <c r="DO38651" s="303" t="s">
        <v>232</v>
      </c>
    </row>
    <row r="38652" spans="119:119" x14ac:dyDescent="0.2">
      <c r="DO38652" s="303" t="s">
        <v>232</v>
      </c>
    </row>
    <row r="38653" spans="119:119" x14ac:dyDescent="0.2">
      <c r="DO38653" s="303" t="s">
        <v>232</v>
      </c>
    </row>
    <row r="38654" spans="119:119" x14ac:dyDescent="0.2">
      <c r="DO38654" s="303" t="s">
        <v>232</v>
      </c>
    </row>
    <row r="38655" spans="119:119" x14ac:dyDescent="0.2">
      <c r="DO38655" s="303" t="s">
        <v>232</v>
      </c>
    </row>
    <row r="38656" spans="119:119" x14ac:dyDescent="0.2">
      <c r="DO38656" s="303" t="s">
        <v>232</v>
      </c>
    </row>
    <row r="38657" spans="119:119" x14ac:dyDescent="0.2">
      <c r="DO38657" s="303" t="s">
        <v>232</v>
      </c>
    </row>
    <row r="38658" spans="119:119" x14ac:dyDescent="0.2">
      <c r="DO38658" s="303" t="s">
        <v>232</v>
      </c>
    </row>
    <row r="38659" spans="119:119" x14ac:dyDescent="0.2">
      <c r="DO38659" s="303" t="s">
        <v>232</v>
      </c>
    </row>
    <row r="38660" spans="119:119" x14ac:dyDescent="0.2">
      <c r="DO38660" s="303" t="s">
        <v>232</v>
      </c>
    </row>
    <row r="38661" spans="119:119" x14ac:dyDescent="0.2">
      <c r="DO38661" s="303" t="s">
        <v>232</v>
      </c>
    </row>
    <row r="38662" spans="119:119" x14ac:dyDescent="0.2">
      <c r="DO38662" s="303" t="s">
        <v>232</v>
      </c>
    </row>
    <row r="38663" spans="119:119" x14ac:dyDescent="0.2">
      <c r="DO38663" s="303" t="s">
        <v>232</v>
      </c>
    </row>
    <row r="38664" spans="119:119" x14ac:dyDescent="0.2">
      <c r="DO38664" s="303" t="s">
        <v>232</v>
      </c>
    </row>
    <row r="38665" spans="119:119" x14ac:dyDescent="0.2">
      <c r="DO38665" s="303" t="s">
        <v>232</v>
      </c>
    </row>
    <row r="38666" spans="119:119" x14ac:dyDescent="0.2">
      <c r="DO38666" s="303" t="s">
        <v>232</v>
      </c>
    </row>
    <row r="38667" spans="119:119" x14ac:dyDescent="0.2">
      <c r="DO38667" s="303" t="s">
        <v>232</v>
      </c>
    </row>
    <row r="38668" spans="119:119" x14ac:dyDescent="0.2">
      <c r="DO38668" s="303" t="s">
        <v>232</v>
      </c>
    </row>
    <row r="38669" spans="119:119" x14ac:dyDescent="0.2">
      <c r="DO38669" s="303" t="s">
        <v>232</v>
      </c>
    </row>
    <row r="38670" spans="119:119" x14ac:dyDescent="0.2">
      <c r="DO38670" s="303" t="s">
        <v>232</v>
      </c>
    </row>
    <row r="38671" spans="119:119" x14ac:dyDescent="0.2">
      <c r="DO38671" s="303" t="s">
        <v>232</v>
      </c>
    </row>
    <row r="38672" spans="119:119" x14ac:dyDescent="0.2">
      <c r="DO38672" s="303" t="s">
        <v>232</v>
      </c>
    </row>
    <row r="38673" spans="119:119" x14ac:dyDescent="0.2">
      <c r="DO38673" s="303" t="s">
        <v>232</v>
      </c>
    </row>
    <row r="38674" spans="119:119" x14ac:dyDescent="0.2">
      <c r="DO38674" s="303" t="s">
        <v>232</v>
      </c>
    </row>
    <row r="38675" spans="119:119" x14ac:dyDescent="0.2">
      <c r="DO38675" s="303" t="s">
        <v>232</v>
      </c>
    </row>
    <row r="38676" spans="119:119" x14ac:dyDescent="0.2">
      <c r="DO38676" s="303" t="s">
        <v>232</v>
      </c>
    </row>
    <row r="38677" spans="119:119" x14ac:dyDescent="0.2">
      <c r="DO38677" s="303" t="s">
        <v>232</v>
      </c>
    </row>
    <row r="38678" spans="119:119" x14ac:dyDescent="0.2">
      <c r="DO38678" s="303" t="s">
        <v>232</v>
      </c>
    </row>
    <row r="38679" spans="119:119" x14ac:dyDescent="0.2">
      <c r="DO38679" s="303" t="s">
        <v>232</v>
      </c>
    </row>
    <row r="38680" spans="119:119" x14ac:dyDescent="0.2">
      <c r="DO38680" s="303" t="s">
        <v>232</v>
      </c>
    </row>
    <row r="38681" spans="119:119" x14ac:dyDescent="0.2">
      <c r="DO38681" s="303" t="s">
        <v>232</v>
      </c>
    </row>
    <row r="38682" spans="119:119" x14ac:dyDescent="0.2">
      <c r="DO38682" s="303" t="s">
        <v>232</v>
      </c>
    </row>
    <row r="38683" spans="119:119" x14ac:dyDescent="0.2">
      <c r="DO38683" s="303" t="s">
        <v>232</v>
      </c>
    </row>
    <row r="38684" spans="119:119" x14ac:dyDescent="0.2">
      <c r="DO38684" s="303" t="s">
        <v>232</v>
      </c>
    </row>
    <row r="38685" spans="119:119" x14ac:dyDescent="0.2">
      <c r="DO38685" s="303" t="s">
        <v>232</v>
      </c>
    </row>
    <row r="38686" spans="119:119" x14ac:dyDescent="0.2">
      <c r="DO38686" s="303" t="s">
        <v>232</v>
      </c>
    </row>
    <row r="38687" spans="119:119" x14ac:dyDescent="0.2">
      <c r="DO38687" s="303" t="s">
        <v>232</v>
      </c>
    </row>
    <row r="38688" spans="119:119" x14ac:dyDescent="0.2">
      <c r="DO38688" s="303" t="s">
        <v>232</v>
      </c>
    </row>
    <row r="38689" spans="119:119" x14ac:dyDescent="0.2">
      <c r="DO38689" s="303" t="s">
        <v>232</v>
      </c>
    </row>
    <row r="38690" spans="119:119" x14ac:dyDescent="0.2">
      <c r="DO38690" s="303" t="s">
        <v>232</v>
      </c>
    </row>
    <row r="38691" spans="119:119" x14ac:dyDescent="0.2">
      <c r="DO38691" s="303" t="s">
        <v>232</v>
      </c>
    </row>
    <row r="38692" spans="119:119" x14ac:dyDescent="0.2">
      <c r="DO38692" s="303" t="s">
        <v>232</v>
      </c>
    </row>
    <row r="38693" spans="119:119" x14ac:dyDescent="0.2">
      <c r="DO38693" s="303" t="s">
        <v>232</v>
      </c>
    </row>
    <row r="38694" spans="119:119" x14ac:dyDescent="0.2">
      <c r="DO38694" s="303" t="s">
        <v>232</v>
      </c>
    </row>
    <row r="38695" spans="119:119" x14ac:dyDescent="0.2">
      <c r="DO38695" s="303" t="s">
        <v>232</v>
      </c>
    </row>
    <row r="38696" spans="119:119" x14ac:dyDescent="0.2">
      <c r="DO38696" s="303" t="s">
        <v>232</v>
      </c>
    </row>
    <row r="38697" spans="119:119" x14ac:dyDescent="0.2">
      <c r="DO38697" s="303" t="s">
        <v>232</v>
      </c>
    </row>
    <row r="38698" spans="119:119" x14ac:dyDescent="0.2">
      <c r="DO38698" s="303" t="s">
        <v>232</v>
      </c>
    </row>
    <row r="38699" spans="119:119" x14ac:dyDescent="0.2">
      <c r="DO38699" s="303" t="s">
        <v>232</v>
      </c>
    </row>
    <row r="38700" spans="119:119" x14ac:dyDescent="0.2">
      <c r="DO38700" s="303" t="s">
        <v>232</v>
      </c>
    </row>
    <row r="38701" spans="119:119" x14ac:dyDescent="0.2">
      <c r="DO38701" s="303" t="s">
        <v>232</v>
      </c>
    </row>
    <row r="38702" spans="119:119" x14ac:dyDescent="0.2">
      <c r="DO38702" s="303" t="s">
        <v>232</v>
      </c>
    </row>
    <row r="38703" spans="119:119" x14ac:dyDescent="0.2">
      <c r="DO38703" s="303" t="s">
        <v>232</v>
      </c>
    </row>
    <row r="38704" spans="119:119" x14ac:dyDescent="0.2">
      <c r="DO38704" s="303" t="s">
        <v>232</v>
      </c>
    </row>
    <row r="38705" spans="119:119" x14ac:dyDescent="0.2">
      <c r="DO38705" s="303" t="s">
        <v>232</v>
      </c>
    </row>
    <row r="38706" spans="119:119" x14ac:dyDescent="0.2">
      <c r="DO38706" s="303" t="s">
        <v>232</v>
      </c>
    </row>
    <row r="38707" spans="119:119" x14ac:dyDescent="0.2">
      <c r="DO38707" s="303" t="s">
        <v>232</v>
      </c>
    </row>
    <row r="38708" spans="119:119" x14ac:dyDescent="0.2">
      <c r="DO38708" s="303" t="s">
        <v>232</v>
      </c>
    </row>
    <row r="38709" spans="119:119" x14ac:dyDescent="0.2">
      <c r="DO38709" s="303" t="s">
        <v>232</v>
      </c>
    </row>
    <row r="38710" spans="119:119" x14ac:dyDescent="0.2">
      <c r="DO38710" s="303" t="s">
        <v>232</v>
      </c>
    </row>
    <row r="38711" spans="119:119" x14ac:dyDescent="0.2">
      <c r="DO38711" s="303" t="s">
        <v>232</v>
      </c>
    </row>
    <row r="38712" spans="119:119" x14ac:dyDescent="0.2">
      <c r="DO38712" s="303" t="s">
        <v>232</v>
      </c>
    </row>
    <row r="38713" spans="119:119" x14ac:dyDescent="0.2">
      <c r="DO38713" s="303" t="s">
        <v>232</v>
      </c>
    </row>
    <row r="38714" spans="119:119" x14ac:dyDescent="0.2">
      <c r="DO38714" s="303" t="s">
        <v>232</v>
      </c>
    </row>
    <row r="38715" spans="119:119" x14ac:dyDescent="0.2">
      <c r="DO38715" s="303" t="s">
        <v>232</v>
      </c>
    </row>
    <row r="38716" spans="119:119" x14ac:dyDescent="0.2">
      <c r="DO38716" s="303" t="s">
        <v>232</v>
      </c>
    </row>
    <row r="38717" spans="119:119" x14ac:dyDescent="0.2">
      <c r="DO38717" s="303" t="s">
        <v>232</v>
      </c>
    </row>
    <row r="38718" spans="119:119" x14ac:dyDescent="0.2">
      <c r="DO38718" s="303" t="s">
        <v>232</v>
      </c>
    </row>
    <row r="38719" spans="119:119" x14ac:dyDescent="0.2">
      <c r="DO38719" s="303" t="s">
        <v>232</v>
      </c>
    </row>
    <row r="38720" spans="119:119" x14ac:dyDescent="0.2">
      <c r="DO38720" s="303" t="s">
        <v>232</v>
      </c>
    </row>
    <row r="38721" spans="119:119" x14ac:dyDescent="0.2">
      <c r="DO38721" s="303" t="s">
        <v>232</v>
      </c>
    </row>
    <row r="38722" spans="119:119" x14ac:dyDescent="0.2">
      <c r="DO38722" s="303" t="s">
        <v>232</v>
      </c>
    </row>
    <row r="38723" spans="119:119" x14ac:dyDescent="0.2">
      <c r="DO38723" s="303" t="s">
        <v>232</v>
      </c>
    </row>
    <row r="38724" spans="119:119" x14ac:dyDescent="0.2">
      <c r="DO38724" s="303" t="s">
        <v>232</v>
      </c>
    </row>
    <row r="38725" spans="119:119" x14ac:dyDescent="0.2">
      <c r="DO38725" s="303" t="s">
        <v>232</v>
      </c>
    </row>
    <row r="38726" spans="119:119" x14ac:dyDescent="0.2">
      <c r="DO38726" s="303" t="s">
        <v>232</v>
      </c>
    </row>
    <row r="38727" spans="119:119" x14ac:dyDescent="0.2">
      <c r="DO38727" s="303" t="s">
        <v>232</v>
      </c>
    </row>
    <row r="38728" spans="119:119" x14ac:dyDescent="0.2">
      <c r="DO38728" s="303" t="s">
        <v>232</v>
      </c>
    </row>
    <row r="38729" spans="119:119" x14ac:dyDescent="0.2">
      <c r="DO38729" s="303" t="s">
        <v>232</v>
      </c>
    </row>
    <row r="38730" spans="119:119" x14ac:dyDescent="0.2">
      <c r="DO38730" s="303" t="s">
        <v>232</v>
      </c>
    </row>
    <row r="38731" spans="119:119" x14ac:dyDescent="0.2">
      <c r="DO38731" s="303" t="s">
        <v>232</v>
      </c>
    </row>
    <row r="38732" spans="119:119" x14ac:dyDescent="0.2">
      <c r="DO38732" s="303" t="s">
        <v>232</v>
      </c>
    </row>
    <row r="38733" spans="119:119" x14ac:dyDescent="0.2">
      <c r="DO38733" s="303" t="s">
        <v>232</v>
      </c>
    </row>
    <row r="38734" spans="119:119" x14ac:dyDescent="0.2">
      <c r="DO38734" s="303" t="s">
        <v>232</v>
      </c>
    </row>
    <row r="38735" spans="119:119" x14ac:dyDescent="0.2">
      <c r="DO38735" s="303" t="s">
        <v>232</v>
      </c>
    </row>
    <row r="38736" spans="119:119" x14ac:dyDescent="0.2">
      <c r="DO38736" s="303" t="s">
        <v>232</v>
      </c>
    </row>
    <row r="38737" spans="119:119" x14ac:dyDescent="0.2">
      <c r="DO38737" s="303" t="s">
        <v>232</v>
      </c>
    </row>
    <row r="38738" spans="119:119" x14ac:dyDescent="0.2">
      <c r="DO38738" s="303" t="s">
        <v>232</v>
      </c>
    </row>
    <row r="38739" spans="119:119" x14ac:dyDescent="0.2">
      <c r="DO38739" s="303" t="s">
        <v>232</v>
      </c>
    </row>
    <row r="38740" spans="119:119" x14ac:dyDescent="0.2">
      <c r="DO38740" s="303" t="s">
        <v>232</v>
      </c>
    </row>
    <row r="38741" spans="119:119" x14ac:dyDescent="0.2">
      <c r="DO38741" s="303" t="s">
        <v>232</v>
      </c>
    </row>
    <row r="38742" spans="119:119" x14ac:dyDescent="0.2">
      <c r="DO38742" s="303" t="s">
        <v>232</v>
      </c>
    </row>
    <row r="38743" spans="119:119" x14ac:dyDescent="0.2">
      <c r="DO38743" s="303" t="s">
        <v>232</v>
      </c>
    </row>
    <row r="38744" spans="119:119" x14ac:dyDescent="0.2">
      <c r="DO38744" s="303" t="s">
        <v>232</v>
      </c>
    </row>
    <row r="38745" spans="119:119" x14ac:dyDescent="0.2">
      <c r="DO38745" s="303" t="s">
        <v>232</v>
      </c>
    </row>
    <row r="38746" spans="119:119" x14ac:dyDescent="0.2">
      <c r="DO38746" s="303" t="s">
        <v>232</v>
      </c>
    </row>
    <row r="38747" spans="119:119" x14ac:dyDescent="0.2">
      <c r="DO38747" s="303" t="s">
        <v>232</v>
      </c>
    </row>
    <row r="38748" spans="119:119" x14ac:dyDescent="0.2">
      <c r="DO38748" s="303" t="s">
        <v>232</v>
      </c>
    </row>
    <row r="38749" spans="119:119" x14ac:dyDescent="0.2">
      <c r="DO38749" s="303" t="s">
        <v>232</v>
      </c>
    </row>
    <row r="38750" spans="119:119" x14ac:dyDescent="0.2">
      <c r="DO38750" s="303" t="s">
        <v>232</v>
      </c>
    </row>
    <row r="38751" spans="119:119" x14ac:dyDescent="0.2">
      <c r="DO38751" s="303" t="s">
        <v>232</v>
      </c>
    </row>
    <row r="38752" spans="119:119" x14ac:dyDescent="0.2">
      <c r="DO38752" s="303" t="s">
        <v>232</v>
      </c>
    </row>
    <row r="38753" spans="119:119" x14ac:dyDescent="0.2">
      <c r="DO38753" s="303" t="s">
        <v>232</v>
      </c>
    </row>
    <row r="38754" spans="119:119" x14ac:dyDescent="0.2">
      <c r="DO38754" s="303" t="s">
        <v>232</v>
      </c>
    </row>
    <row r="38755" spans="119:119" x14ac:dyDescent="0.2">
      <c r="DO38755" s="303" t="s">
        <v>232</v>
      </c>
    </row>
    <row r="38756" spans="119:119" x14ac:dyDescent="0.2">
      <c r="DO38756" s="303" t="s">
        <v>232</v>
      </c>
    </row>
    <row r="38757" spans="119:119" x14ac:dyDescent="0.2">
      <c r="DO38757" s="303" t="s">
        <v>232</v>
      </c>
    </row>
    <row r="38758" spans="119:119" x14ac:dyDescent="0.2">
      <c r="DO38758" s="303" t="s">
        <v>232</v>
      </c>
    </row>
    <row r="38759" spans="119:119" x14ac:dyDescent="0.2">
      <c r="DO38759" s="303" t="s">
        <v>232</v>
      </c>
    </row>
    <row r="38760" spans="119:119" x14ac:dyDescent="0.2">
      <c r="DO38760" s="303" t="s">
        <v>232</v>
      </c>
    </row>
    <row r="38761" spans="119:119" x14ac:dyDescent="0.2">
      <c r="DO38761" s="303" t="s">
        <v>232</v>
      </c>
    </row>
    <row r="38762" spans="119:119" x14ac:dyDescent="0.2">
      <c r="DO38762" s="303" t="s">
        <v>232</v>
      </c>
    </row>
    <row r="38763" spans="119:119" x14ac:dyDescent="0.2">
      <c r="DO38763" s="303" t="s">
        <v>232</v>
      </c>
    </row>
    <row r="38764" spans="119:119" x14ac:dyDescent="0.2">
      <c r="DO38764" s="303" t="s">
        <v>232</v>
      </c>
    </row>
    <row r="38765" spans="119:119" x14ac:dyDescent="0.2">
      <c r="DO38765" s="303" t="s">
        <v>232</v>
      </c>
    </row>
    <row r="38766" spans="119:119" x14ac:dyDescent="0.2">
      <c r="DO38766" s="303" t="s">
        <v>232</v>
      </c>
    </row>
    <row r="38767" spans="119:119" x14ac:dyDescent="0.2">
      <c r="DO38767" s="303" t="s">
        <v>232</v>
      </c>
    </row>
    <row r="38768" spans="119:119" x14ac:dyDescent="0.2">
      <c r="DO38768" s="303" t="s">
        <v>232</v>
      </c>
    </row>
    <row r="38769" spans="119:119" x14ac:dyDescent="0.2">
      <c r="DO38769" s="303" t="s">
        <v>232</v>
      </c>
    </row>
    <row r="38770" spans="119:119" x14ac:dyDescent="0.2">
      <c r="DO38770" s="303" t="s">
        <v>232</v>
      </c>
    </row>
    <row r="38771" spans="119:119" x14ac:dyDescent="0.2">
      <c r="DO38771" s="303" t="s">
        <v>232</v>
      </c>
    </row>
    <row r="38772" spans="119:119" x14ac:dyDescent="0.2">
      <c r="DO38772" s="303" t="s">
        <v>232</v>
      </c>
    </row>
    <row r="38773" spans="119:119" x14ac:dyDescent="0.2">
      <c r="DO38773" s="303" t="s">
        <v>232</v>
      </c>
    </row>
    <row r="38774" spans="119:119" x14ac:dyDescent="0.2">
      <c r="DO38774" s="303" t="s">
        <v>232</v>
      </c>
    </row>
    <row r="38775" spans="119:119" x14ac:dyDescent="0.2">
      <c r="DO38775" s="303" t="s">
        <v>232</v>
      </c>
    </row>
    <row r="38776" spans="119:119" x14ac:dyDescent="0.2">
      <c r="DO38776" s="303" t="s">
        <v>232</v>
      </c>
    </row>
    <row r="38777" spans="119:119" x14ac:dyDescent="0.2">
      <c r="DO38777" s="303" t="s">
        <v>232</v>
      </c>
    </row>
    <row r="38778" spans="119:119" x14ac:dyDescent="0.2">
      <c r="DO38778" s="303" t="s">
        <v>232</v>
      </c>
    </row>
    <row r="38779" spans="119:119" x14ac:dyDescent="0.2">
      <c r="DO38779" s="303" t="s">
        <v>232</v>
      </c>
    </row>
    <row r="38780" spans="119:119" x14ac:dyDescent="0.2">
      <c r="DO38780" s="303" t="s">
        <v>232</v>
      </c>
    </row>
    <row r="38781" spans="119:119" x14ac:dyDescent="0.2">
      <c r="DO38781" s="303" t="s">
        <v>232</v>
      </c>
    </row>
    <row r="38782" spans="119:119" x14ac:dyDescent="0.2">
      <c r="DO38782" s="303" t="s">
        <v>232</v>
      </c>
    </row>
    <row r="38783" spans="119:119" x14ac:dyDescent="0.2">
      <c r="DO38783" s="303" t="s">
        <v>232</v>
      </c>
    </row>
    <row r="38784" spans="119:119" x14ac:dyDescent="0.2">
      <c r="DO38784" s="303" t="s">
        <v>232</v>
      </c>
    </row>
    <row r="38785" spans="119:119" x14ac:dyDescent="0.2">
      <c r="DO38785" s="303" t="s">
        <v>232</v>
      </c>
    </row>
    <row r="38786" spans="119:119" x14ac:dyDescent="0.2">
      <c r="DO38786" s="303" t="s">
        <v>232</v>
      </c>
    </row>
    <row r="38787" spans="119:119" x14ac:dyDescent="0.2">
      <c r="DO38787" s="303" t="s">
        <v>232</v>
      </c>
    </row>
    <row r="38788" spans="119:119" x14ac:dyDescent="0.2">
      <c r="DO38788" s="303" t="s">
        <v>232</v>
      </c>
    </row>
    <row r="38789" spans="119:119" x14ac:dyDescent="0.2">
      <c r="DO38789" s="303" t="s">
        <v>232</v>
      </c>
    </row>
    <row r="38790" spans="119:119" x14ac:dyDescent="0.2">
      <c r="DO38790" s="303" t="s">
        <v>232</v>
      </c>
    </row>
    <row r="38791" spans="119:119" x14ac:dyDescent="0.2">
      <c r="DO38791" s="303" t="s">
        <v>232</v>
      </c>
    </row>
    <row r="38792" spans="119:119" x14ac:dyDescent="0.2">
      <c r="DO38792" s="303" t="s">
        <v>232</v>
      </c>
    </row>
    <row r="38793" spans="119:119" x14ac:dyDescent="0.2">
      <c r="DO38793" s="303" t="s">
        <v>232</v>
      </c>
    </row>
    <row r="38794" spans="119:119" x14ac:dyDescent="0.2">
      <c r="DO38794" s="303" t="s">
        <v>232</v>
      </c>
    </row>
    <row r="38795" spans="119:119" x14ac:dyDescent="0.2">
      <c r="DO38795" s="303" t="s">
        <v>232</v>
      </c>
    </row>
    <row r="38796" spans="119:119" x14ac:dyDescent="0.2">
      <c r="DO38796" s="303" t="s">
        <v>232</v>
      </c>
    </row>
    <row r="38797" spans="119:119" x14ac:dyDescent="0.2">
      <c r="DO38797" s="303" t="s">
        <v>232</v>
      </c>
    </row>
    <row r="38798" spans="119:119" x14ac:dyDescent="0.2">
      <c r="DO38798" s="303" t="s">
        <v>232</v>
      </c>
    </row>
    <row r="38799" spans="119:119" x14ac:dyDescent="0.2">
      <c r="DO38799" s="303" t="s">
        <v>232</v>
      </c>
    </row>
    <row r="38800" spans="119:119" x14ac:dyDescent="0.2">
      <c r="DO38800" s="303" t="s">
        <v>232</v>
      </c>
    </row>
    <row r="38801" spans="119:119" x14ac:dyDescent="0.2">
      <c r="DO38801" s="303" t="s">
        <v>232</v>
      </c>
    </row>
    <row r="38802" spans="119:119" x14ac:dyDescent="0.2">
      <c r="DO38802" s="303" t="s">
        <v>232</v>
      </c>
    </row>
    <row r="38803" spans="119:119" x14ac:dyDescent="0.2">
      <c r="DO38803" s="303" t="s">
        <v>232</v>
      </c>
    </row>
    <row r="38804" spans="119:119" x14ac:dyDescent="0.2">
      <c r="DO38804" s="303" t="s">
        <v>232</v>
      </c>
    </row>
    <row r="38805" spans="119:119" x14ac:dyDescent="0.2">
      <c r="DO38805" s="303" t="s">
        <v>232</v>
      </c>
    </row>
    <row r="38806" spans="119:119" x14ac:dyDescent="0.2">
      <c r="DO38806" s="303" t="s">
        <v>232</v>
      </c>
    </row>
    <row r="38807" spans="119:119" x14ac:dyDescent="0.2">
      <c r="DO38807" s="303" t="s">
        <v>232</v>
      </c>
    </row>
    <row r="38808" spans="119:119" x14ac:dyDescent="0.2">
      <c r="DO38808" s="303" t="s">
        <v>232</v>
      </c>
    </row>
    <row r="38809" spans="119:119" x14ac:dyDescent="0.2">
      <c r="DO38809" s="303" t="s">
        <v>232</v>
      </c>
    </row>
    <row r="38810" spans="119:119" x14ac:dyDescent="0.2">
      <c r="DO38810" s="303" t="s">
        <v>232</v>
      </c>
    </row>
    <row r="38811" spans="119:119" x14ac:dyDescent="0.2">
      <c r="DO38811" s="303" t="s">
        <v>232</v>
      </c>
    </row>
    <row r="38812" spans="119:119" x14ac:dyDescent="0.2">
      <c r="DO38812" s="303" t="s">
        <v>232</v>
      </c>
    </row>
    <row r="38813" spans="119:119" x14ac:dyDescent="0.2">
      <c r="DO38813" s="303" t="s">
        <v>232</v>
      </c>
    </row>
    <row r="38814" spans="119:119" x14ac:dyDescent="0.2">
      <c r="DO38814" s="303" t="s">
        <v>232</v>
      </c>
    </row>
    <row r="38815" spans="119:119" x14ac:dyDescent="0.2">
      <c r="DO38815" s="303" t="s">
        <v>232</v>
      </c>
    </row>
    <row r="38816" spans="119:119" x14ac:dyDescent="0.2">
      <c r="DO38816" s="303" t="s">
        <v>232</v>
      </c>
    </row>
    <row r="38817" spans="119:119" x14ac:dyDescent="0.2">
      <c r="DO38817" s="303" t="s">
        <v>232</v>
      </c>
    </row>
    <row r="38818" spans="119:119" x14ac:dyDescent="0.2">
      <c r="DO38818" s="303" t="s">
        <v>232</v>
      </c>
    </row>
    <row r="38819" spans="119:119" x14ac:dyDescent="0.2">
      <c r="DO38819" s="303" t="s">
        <v>232</v>
      </c>
    </row>
    <row r="38820" spans="119:119" x14ac:dyDescent="0.2">
      <c r="DO38820" s="303" t="s">
        <v>232</v>
      </c>
    </row>
    <row r="38821" spans="119:119" x14ac:dyDescent="0.2">
      <c r="DO38821" s="303" t="s">
        <v>232</v>
      </c>
    </row>
    <row r="38822" spans="119:119" x14ac:dyDescent="0.2">
      <c r="DO38822" s="303" t="s">
        <v>232</v>
      </c>
    </row>
    <row r="38823" spans="119:119" x14ac:dyDescent="0.2">
      <c r="DO38823" s="303" t="s">
        <v>232</v>
      </c>
    </row>
    <row r="38824" spans="119:119" x14ac:dyDescent="0.2">
      <c r="DO38824" s="303" t="s">
        <v>232</v>
      </c>
    </row>
    <row r="38825" spans="119:119" x14ac:dyDescent="0.2">
      <c r="DO38825" s="303" t="s">
        <v>232</v>
      </c>
    </row>
    <row r="38826" spans="119:119" x14ac:dyDescent="0.2">
      <c r="DO38826" s="303" t="s">
        <v>232</v>
      </c>
    </row>
    <row r="38827" spans="119:119" x14ac:dyDescent="0.2">
      <c r="DO38827" s="303" t="s">
        <v>232</v>
      </c>
    </row>
    <row r="38828" spans="119:119" x14ac:dyDescent="0.2">
      <c r="DO38828" s="303" t="s">
        <v>232</v>
      </c>
    </row>
    <row r="38829" spans="119:119" x14ac:dyDescent="0.2">
      <c r="DO38829" s="303" t="s">
        <v>232</v>
      </c>
    </row>
    <row r="38830" spans="119:119" x14ac:dyDescent="0.2">
      <c r="DO38830" s="303" t="s">
        <v>232</v>
      </c>
    </row>
    <row r="38831" spans="119:119" x14ac:dyDescent="0.2">
      <c r="DO38831" s="303" t="s">
        <v>232</v>
      </c>
    </row>
    <row r="38832" spans="119:119" x14ac:dyDescent="0.2">
      <c r="DO38832" s="303" t="s">
        <v>232</v>
      </c>
    </row>
    <row r="38833" spans="119:119" x14ac:dyDescent="0.2">
      <c r="DO38833" s="303" t="s">
        <v>232</v>
      </c>
    </row>
    <row r="38834" spans="119:119" x14ac:dyDescent="0.2">
      <c r="DO38834" s="303" t="s">
        <v>232</v>
      </c>
    </row>
    <row r="38835" spans="119:119" x14ac:dyDescent="0.2">
      <c r="DO38835" s="303" t="s">
        <v>232</v>
      </c>
    </row>
    <row r="38836" spans="119:119" x14ac:dyDescent="0.2">
      <c r="DO38836" s="303" t="s">
        <v>232</v>
      </c>
    </row>
    <row r="38837" spans="119:119" x14ac:dyDescent="0.2">
      <c r="DO38837" s="303" t="s">
        <v>232</v>
      </c>
    </row>
    <row r="38838" spans="119:119" x14ac:dyDescent="0.2">
      <c r="DO38838" s="303" t="s">
        <v>232</v>
      </c>
    </row>
    <row r="38839" spans="119:119" x14ac:dyDescent="0.2">
      <c r="DO38839" s="303" t="s">
        <v>232</v>
      </c>
    </row>
    <row r="38840" spans="119:119" x14ac:dyDescent="0.2">
      <c r="DO38840" s="303" t="s">
        <v>232</v>
      </c>
    </row>
    <row r="38841" spans="119:119" x14ac:dyDescent="0.2">
      <c r="DO38841" s="303" t="s">
        <v>232</v>
      </c>
    </row>
    <row r="38842" spans="119:119" x14ac:dyDescent="0.2">
      <c r="DO38842" s="303" t="s">
        <v>232</v>
      </c>
    </row>
    <row r="38843" spans="119:119" x14ac:dyDescent="0.2">
      <c r="DO38843" s="303" t="s">
        <v>232</v>
      </c>
    </row>
    <row r="38844" spans="119:119" x14ac:dyDescent="0.2">
      <c r="DO38844" s="303" t="s">
        <v>232</v>
      </c>
    </row>
    <row r="38845" spans="119:119" x14ac:dyDescent="0.2">
      <c r="DO38845" s="303" t="s">
        <v>232</v>
      </c>
    </row>
    <row r="38846" spans="119:119" x14ac:dyDescent="0.2">
      <c r="DO38846" s="303" t="s">
        <v>232</v>
      </c>
    </row>
    <row r="38847" spans="119:119" x14ac:dyDescent="0.2">
      <c r="DO38847" s="303" t="s">
        <v>232</v>
      </c>
    </row>
    <row r="38848" spans="119:119" x14ac:dyDescent="0.2">
      <c r="DO38848" s="303" t="s">
        <v>232</v>
      </c>
    </row>
    <row r="38849" spans="119:119" x14ac:dyDescent="0.2">
      <c r="DO38849" s="303" t="s">
        <v>232</v>
      </c>
    </row>
    <row r="38850" spans="119:119" x14ac:dyDescent="0.2">
      <c r="DO38850" s="303" t="s">
        <v>232</v>
      </c>
    </row>
    <row r="38851" spans="119:119" x14ac:dyDescent="0.2">
      <c r="DO38851" s="303" t="s">
        <v>232</v>
      </c>
    </row>
    <row r="38852" spans="119:119" x14ac:dyDescent="0.2">
      <c r="DO38852" s="303" t="s">
        <v>232</v>
      </c>
    </row>
    <row r="38853" spans="119:119" x14ac:dyDescent="0.2">
      <c r="DO38853" s="303" t="s">
        <v>232</v>
      </c>
    </row>
    <row r="38854" spans="119:119" x14ac:dyDescent="0.2">
      <c r="DO38854" s="303" t="s">
        <v>232</v>
      </c>
    </row>
    <row r="38855" spans="119:119" x14ac:dyDescent="0.2">
      <c r="DO38855" s="303" t="s">
        <v>232</v>
      </c>
    </row>
    <row r="38856" spans="119:119" x14ac:dyDescent="0.2">
      <c r="DO38856" s="303" t="s">
        <v>232</v>
      </c>
    </row>
    <row r="38857" spans="119:119" x14ac:dyDescent="0.2">
      <c r="DO38857" s="303" t="s">
        <v>232</v>
      </c>
    </row>
    <row r="38858" spans="119:119" x14ac:dyDescent="0.2">
      <c r="DO38858" s="303" t="s">
        <v>232</v>
      </c>
    </row>
    <row r="38859" spans="119:119" x14ac:dyDescent="0.2">
      <c r="DO38859" s="303" t="s">
        <v>232</v>
      </c>
    </row>
    <row r="38860" spans="119:119" x14ac:dyDescent="0.2">
      <c r="DO38860" s="303" t="s">
        <v>232</v>
      </c>
    </row>
    <row r="38861" spans="119:119" x14ac:dyDescent="0.2">
      <c r="DO38861" s="303" t="s">
        <v>232</v>
      </c>
    </row>
    <row r="38862" spans="119:119" x14ac:dyDescent="0.2">
      <c r="DO38862" s="303" t="s">
        <v>232</v>
      </c>
    </row>
    <row r="38863" spans="119:119" x14ac:dyDescent="0.2">
      <c r="DO38863" s="303" t="s">
        <v>232</v>
      </c>
    </row>
    <row r="38864" spans="119:119" x14ac:dyDescent="0.2">
      <c r="DO38864" s="303" t="s">
        <v>232</v>
      </c>
    </row>
    <row r="38865" spans="119:119" x14ac:dyDescent="0.2">
      <c r="DO38865" s="303" t="s">
        <v>232</v>
      </c>
    </row>
    <row r="38866" spans="119:119" x14ac:dyDescent="0.2">
      <c r="DO38866" s="303" t="s">
        <v>232</v>
      </c>
    </row>
    <row r="38867" spans="119:119" x14ac:dyDescent="0.2">
      <c r="DO38867" s="303" t="s">
        <v>232</v>
      </c>
    </row>
    <row r="38868" spans="119:119" x14ac:dyDescent="0.2">
      <c r="DO38868" s="303" t="s">
        <v>232</v>
      </c>
    </row>
    <row r="38869" spans="119:119" x14ac:dyDescent="0.2">
      <c r="DO38869" s="303" t="s">
        <v>232</v>
      </c>
    </row>
    <row r="38870" spans="119:119" x14ac:dyDescent="0.2">
      <c r="DO38870" s="303" t="s">
        <v>232</v>
      </c>
    </row>
    <row r="38871" spans="119:119" x14ac:dyDescent="0.2">
      <c r="DO38871" s="303" t="s">
        <v>232</v>
      </c>
    </row>
    <row r="38872" spans="119:119" x14ac:dyDescent="0.2">
      <c r="DO38872" s="303" t="s">
        <v>232</v>
      </c>
    </row>
    <row r="38873" spans="119:119" x14ac:dyDescent="0.2">
      <c r="DO38873" s="303" t="s">
        <v>232</v>
      </c>
    </row>
    <row r="38874" spans="119:119" x14ac:dyDescent="0.2">
      <c r="DO38874" s="303" t="s">
        <v>232</v>
      </c>
    </row>
    <row r="38875" spans="119:119" x14ac:dyDescent="0.2">
      <c r="DO38875" s="303" t="s">
        <v>232</v>
      </c>
    </row>
    <row r="38876" spans="119:119" x14ac:dyDescent="0.2">
      <c r="DO38876" s="303" t="s">
        <v>232</v>
      </c>
    </row>
    <row r="38877" spans="119:119" x14ac:dyDescent="0.2">
      <c r="DO38877" s="303" t="s">
        <v>232</v>
      </c>
    </row>
    <row r="38878" spans="119:119" x14ac:dyDescent="0.2">
      <c r="DO38878" s="303" t="s">
        <v>232</v>
      </c>
    </row>
    <row r="38879" spans="119:119" x14ac:dyDescent="0.2">
      <c r="DO38879" s="303" t="s">
        <v>232</v>
      </c>
    </row>
    <row r="38880" spans="119:119" x14ac:dyDescent="0.2">
      <c r="DO38880" s="303" t="s">
        <v>232</v>
      </c>
    </row>
    <row r="38881" spans="119:119" x14ac:dyDescent="0.2">
      <c r="DO38881" s="303" t="s">
        <v>232</v>
      </c>
    </row>
    <row r="38882" spans="119:119" x14ac:dyDescent="0.2">
      <c r="DO38882" s="303" t="s">
        <v>232</v>
      </c>
    </row>
    <row r="38883" spans="119:119" x14ac:dyDescent="0.2">
      <c r="DO38883" s="303" t="s">
        <v>232</v>
      </c>
    </row>
    <row r="38884" spans="119:119" x14ac:dyDescent="0.2">
      <c r="DO38884" s="303" t="s">
        <v>232</v>
      </c>
    </row>
    <row r="38885" spans="119:119" x14ac:dyDescent="0.2">
      <c r="DO38885" s="303" t="s">
        <v>232</v>
      </c>
    </row>
    <row r="38886" spans="119:119" x14ac:dyDescent="0.2">
      <c r="DO38886" s="303" t="s">
        <v>232</v>
      </c>
    </row>
    <row r="38887" spans="119:119" x14ac:dyDescent="0.2">
      <c r="DO38887" s="303" t="s">
        <v>232</v>
      </c>
    </row>
    <row r="38888" spans="119:119" x14ac:dyDescent="0.2">
      <c r="DO38888" s="303" t="s">
        <v>232</v>
      </c>
    </row>
    <row r="38889" spans="119:119" x14ac:dyDescent="0.2">
      <c r="DO38889" s="303" t="s">
        <v>232</v>
      </c>
    </row>
    <row r="38890" spans="119:119" x14ac:dyDescent="0.2">
      <c r="DO38890" s="303" t="s">
        <v>232</v>
      </c>
    </row>
    <row r="38891" spans="119:119" x14ac:dyDescent="0.2">
      <c r="DO38891" s="303" t="s">
        <v>232</v>
      </c>
    </row>
    <row r="38892" spans="119:119" x14ac:dyDescent="0.2">
      <c r="DO38892" s="303" t="s">
        <v>232</v>
      </c>
    </row>
    <row r="38893" spans="119:119" x14ac:dyDescent="0.2">
      <c r="DO38893" s="303" t="s">
        <v>232</v>
      </c>
    </row>
    <row r="38894" spans="119:119" x14ac:dyDescent="0.2">
      <c r="DO38894" s="303" t="s">
        <v>232</v>
      </c>
    </row>
    <row r="38895" spans="119:119" x14ac:dyDescent="0.2">
      <c r="DO38895" s="303" t="s">
        <v>232</v>
      </c>
    </row>
    <row r="38896" spans="119:119" x14ac:dyDescent="0.2">
      <c r="DO38896" s="303" t="s">
        <v>232</v>
      </c>
    </row>
    <row r="38897" spans="119:119" x14ac:dyDescent="0.2">
      <c r="DO38897" s="303" t="s">
        <v>232</v>
      </c>
    </row>
    <row r="38898" spans="119:119" x14ac:dyDescent="0.2">
      <c r="DO38898" s="303" t="s">
        <v>232</v>
      </c>
    </row>
    <row r="38899" spans="119:119" x14ac:dyDescent="0.2">
      <c r="DO38899" s="303" t="s">
        <v>232</v>
      </c>
    </row>
    <row r="38900" spans="119:119" x14ac:dyDescent="0.2">
      <c r="DO38900" s="303" t="s">
        <v>232</v>
      </c>
    </row>
    <row r="38901" spans="119:119" x14ac:dyDescent="0.2">
      <c r="DO38901" s="303" t="s">
        <v>232</v>
      </c>
    </row>
    <row r="38902" spans="119:119" x14ac:dyDescent="0.2">
      <c r="DO38902" s="303" t="s">
        <v>232</v>
      </c>
    </row>
    <row r="38903" spans="119:119" x14ac:dyDescent="0.2">
      <c r="DO38903" s="303" t="s">
        <v>232</v>
      </c>
    </row>
    <row r="38904" spans="119:119" x14ac:dyDescent="0.2">
      <c r="DO38904" s="303" t="s">
        <v>232</v>
      </c>
    </row>
    <row r="38905" spans="119:119" x14ac:dyDescent="0.2">
      <c r="DO38905" s="303" t="s">
        <v>232</v>
      </c>
    </row>
    <row r="38906" spans="119:119" x14ac:dyDescent="0.2">
      <c r="DO38906" s="303" t="s">
        <v>232</v>
      </c>
    </row>
    <row r="38907" spans="119:119" x14ac:dyDescent="0.2">
      <c r="DO38907" s="303" t="s">
        <v>232</v>
      </c>
    </row>
    <row r="38908" spans="119:119" x14ac:dyDescent="0.2">
      <c r="DO38908" s="303" t="s">
        <v>232</v>
      </c>
    </row>
    <row r="38909" spans="119:119" x14ac:dyDescent="0.2">
      <c r="DO38909" s="303" t="s">
        <v>232</v>
      </c>
    </row>
    <row r="38910" spans="119:119" x14ac:dyDescent="0.2">
      <c r="DO38910" s="303" t="s">
        <v>232</v>
      </c>
    </row>
    <row r="38911" spans="119:119" x14ac:dyDescent="0.2">
      <c r="DO38911" s="303" t="s">
        <v>232</v>
      </c>
    </row>
    <row r="38912" spans="119:119" x14ac:dyDescent="0.2">
      <c r="DO38912" s="303" t="s">
        <v>232</v>
      </c>
    </row>
    <row r="38913" spans="119:119" x14ac:dyDescent="0.2">
      <c r="DO38913" s="303" t="s">
        <v>232</v>
      </c>
    </row>
    <row r="38914" spans="119:119" x14ac:dyDescent="0.2">
      <c r="DO38914" s="303" t="s">
        <v>232</v>
      </c>
    </row>
    <row r="38915" spans="119:119" x14ac:dyDescent="0.2">
      <c r="DO38915" s="303" t="s">
        <v>232</v>
      </c>
    </row>
    <row r="38916" spans="119:119" x14ac:dyDescent="0.2">
      <c r="DO38916" s="303" t="s">
        <v>232</v>
      </c>
    </row>
    <row r="38917" spans="119:119" x14ac:dyDescent="0.2">
      <c r="DO38917" s="303" t="s">
        <v>232</v>
      </c>
    </row>
    <row r="38918" spans="119:119" x14ac:dyDescent="0.2">
      <c r="DO38918" s="303" t="s">
        <v>232</v>
      </c>
    </row>
    <row r="38919" spans="119:119" x14ac:dyDescent="0.2">
      <c r="DO38919" s="303" t="s">
        <v>232</v>
      </c>
    </row>
    <row r="38920" spans="119:119" x14ac:dyDescent="0.2">
      <c r="DO38920" s="303" t="s">
        <v>232</v>
      </c>
    </row>
    <row r="38921" spans="119:119" x14ac:dyDescent="0.2">
      <c r="DO38921" s="303" t="s">
        <v>232</v>
      </c>
    </row>
    <row r="38922" spans="119:119" x14ac:dyDescent="0.2">
      <c r="DO38922" s="303" t="s">
        <v>232</v>
      </c>
    </row>
    <row r="38923" spans="119:119" x14ac:dyDescent="0.2">
      <c r="DO38923" s="303" t="s">
        <v>232</v>
      </c>
    </row>
    <row r="38924" spans="119:119" x14ac:dyDescent="0.2">
      <c r="DO38924" s="303" t="s">
        <v>232</v>
      </c>
    </row>
    <row r="38925" spans="119:119" x14ac:dyDescent="0.2">
      <c r="DO38925" s="303" t="s">
        <v>232</v>
      </c>
    </row>
    <row r="38926" spans="119:119" x14ac:dyDescent="0.2">
      <c r="DO38926" s="303" t="s">
        <v>232</v>
      </c>
    </row>
    <row r="38927" spans="119:119" x14ac:dyDescent="0.2">
      <c r="DO38927" s="303" t="s">
        <v>232</v>
      </c>
    </row>
    <row r="38928" spans="119:119" x14ac:dyDescent="0.2">
      <c r="DO38928" s="303" t="s">
        <v>232</v>
      </c>
    </row>
    <row r="38929" spans="119:119" x14ac:dyDescent="0.2">
      <c r="DO38929" s="303" t="s">
        <v>232</v>
      </c>
    </row>
    <row r="38930" spans="119:119" x14ac:dyDescent="0.2">
      <c r="DO38930" s="303" t="s">
        <v>232</v>
      </c>
    </row>
    <row r="38931" spans="119:119" x14ac:dyDescent="0.2">
      <c r="DO38931" s="303" t="s">
        <v>232</v>
      </c>
    </row>
    <row r="38932" spans="119:119" x14ac:dyDescent="0.2">
      <c r="DO38932" s="303" t="s">
        <v>232</v>
      </c>
    </row>
    <row r="38933" spans="119:119" x14ac:dyDescent="0.2">
      <c r="DO38933" s="303" t="s">
        <v>232</v>
      </c>
    </row>
    <row r="38934" spans="119:119" x14ac:dyDescent="0.2">
      <c r="DO38934" s="303" t="s">
        <v>232</v>
      </c>
    </row>
    <row r="38935" spans="119:119" x14ac:dyDescent="0.2">
      <c r="DO38935" s="303" t="s">
        <v>232</v>
      </c>
    </row>
    <row r="38936" spans="119:119" x14ac:dyDescent="0.2">
      <c r="DO38936" s="303" t="s">
        <v>232</v>
      </c>
    </row>
    <row r="38937" spans="119:119" x14ac:dyDescent="0.2">
      <c r="DO38937" s="303" t="s">
        <v>232</v>
      </c>
    </row>
    <row r="38938" spans="119:119" x14ac:dyDescent="0.2">
      <c r="DO38938" s="303" t="s">
        <v>232</v>
      </c>
    </row>
    <row r="38939" spans="119:119" x14ac:dyDescent="0.2">
      <c r="DO38939" s="303" t="s">
        <v>232</v>
      </c>
    </row>
    <row r="38940" spans="119:119" x14ac:dyDescent="0.2">
      <c r="DO38940" s="303" t="s">
        <v>232</v>
      </c>
    </row>
    <row r="38941" spans="119:119" x14ac:dyDescent="0.2">
      <c r="DO38941" s="303" t="s">
        <v>232</v>
      </c>
    </row>
    <row r="38942" spans="119:119" x14ac:dyDescent="0.2">
      <c r="DO38942" s="303" t="s">
        <v>232</v>
      </c>
    </row>
    <row r="38943" spans="119:119" x14ac:dyDescent="0.2">
      <c r="DO38943" s="303" t="s">
        <v>232</v>
      </c>
    </row>
    <row r="38944" spans="119:119" x14ac:dyDescent="0.2">
      <c r="DO38944" s="303" t="s">
        <v>232</v>
      </c>
    </row>
    <row r="38945" spans="119:119" x14ac:dyDescent="0.2">
      <c r="DO38945" s="303" t="s">
        <v>232</v>
      </c>
    </row>
    <row r="38946" spans="119:119" x14ac:dyDescent="0.2">
      <c r="DO38946" s="303" t="s">
        <v>232</v>
      </c>
    </row>
    <row r="38947" spans="119:119" x14ac:dyDescent="0.2">
      <c r="DO38947" s="303" t="s">
        <v>232</v>
      </c>
    </row>
    <row r="38948" spans="119:119" x14ac:dyDescent="0.2">
      <c r="DO38948" s="303" t="s">
        <v>232</v>
      </c>
    </row>
    <row r="38949" spans="119:119" x14ac:dyDescent="0.2">
      <c r="DO38949" s="303" t="s">
        <v>232</v>
      </c>
    </row>
    <row r="38950" spans="119:119" x14ac:dyDescent="0.2">
      <c r="DO38950" s="303" t="s">
        <v>232</v>
      </c>
    </row>
    <row r="38951" spans="119:119" x14ac:dyDescent="0.2">
      <c r="DO38951" s="303" t="s">
        <v>232</v>
      </c>
    </row>
    <row r="38952" spans="119:119" x14ac:dyDescent="0.2">
      <c r="DO38952" s="303" t="s">
        <v>232</v>
      </c>
    </row>
    <row r="38953" spans="119:119" x14ac:dyDescent="0.2">
      <c r="DO38953" s="303" t="s">
        <v>232</v>
      </c>
    </row>
    <row r="38954" spans="119:119" x14ac:dyDescent="0.2">
      <c r="DO38954" s="303" t="s">
        <v>232</v>
      </c>
    </row>
    <row r="38955" spans="119:119" x14ac:dyDescent="0.2">
      <c r="DO38955" s="303" t="s">
        <v>232</v>
      </c>
    </row>
    <row r="38956" spans="119:119" x14ac:dyDescent="0.2">
      <c r="DO38956" s="303" t="s">
        <v>232</v>
      </c>
    </row>
    <row r="38957" spans="119:119" x14ac:dyDescent="0.2">
      <c r="DO38957" s="303" t="s">
        <v>232</v>
      </c>
    </row>
    <row r="38958" spans="119:119" x14ac:dyDescent="0.2">
      <c r="DO38958" s="303" t="s">
        <v>232</v>
      </c>
    </row>
    <row r="38959" spans="119:119" x14ac:dyDescent="0.2">
      <c r="DO38959" s="303" t="s">
        <v>232</v>
      </c>
    </row>
    <row r="38960" spans="119:119" x14ac:dyDescent="0.2">
      <c r="DO38960" s="303" t="s">
        <v>232</v>
      </c>
    </row>
    <row r="38961" spans="119:119" x14ac:dyDescent="0.2">
      <c r="DO38961" s="303" t="s">
        <v>232</v>
      </c>
    </row>
    <row r="38962" spans="119:119" x14ac:dyDescent="0.2">
      <c r="DO38962" s="303" t="s">
        <v>232</v>
      </c>
    </row>
    <row r="38963" spans="119:119" x14ac:dyDescent="0.2">
      <c r="DO38963" s="303" t="s">
        <v>232</v>
      </c>
    </row>
    <row r="38964" spans="119:119" x14ac:dyDescent="0.2">
      <c r="DO38964" s="303" t="s">
        <v>232</v>
      </c>
    </row>
    <row r="38965" spans="119:119" x14ac:dyDescent="0.2">
      <c r="DO38965" s="303" t="s">
        <v>232</v>
      </c>
    </row>
    <row r="38966" spans="119:119" x14ac:dyDescent="0.2">
      <c r="DO38966" s="303" t="s">
        <v>232</v>
      </c>
    </row>
    <row r="38967" spans="119:119" x14ac:dyDescent="0.2">
      <c r="DO38967" s="303" t="s">
        <v>232</v>
      </c>
    </row>
    <row r="38968" spans="119:119" x14ac:dyDescent="0.2">
      <c r="DO38968" s="303" t="s">
        <v>232</v>
      </c>
    </row>
    <row r="38969" spans="119:119" x14ac:dyDescent="0.2">
      <c r="DO38969" s="303" t="s">
        <v>232</v>
      </c>
    </row>
    <row r="38970" spans="119:119" x14ac:dyDescent="0.2">
      <c r="DO38970" s="303" t="s">
        <v>232</v>
      </c>
    </row>
    <row r="38971" spans="119:119" x14ac:dyDescent="0.2">
      <c r="DO38971" s="303" t="s">
        <v>232</v>
      </c>
    </row>
    <row r="38972" spans="119:119" x14ac:dyDescent="0.2">
      <c r="DO38972" s="303" t="s">
        <v>232</v>
      </c>
    </row>
    <row r="38973" spans="119:119" x14ac:dyDescent="0.2">
      <c r="DO38973" s="303" t="s">
        <v>232</v>
      </c>
    </row>
    <row r="38974" spans="119:119" x14ac:dyDescent="0.2">
      <c r="DO38974" s="303" t="s">
        <v>232</v>
      </c>
    </row>
    <row r="38975" spans="119:119" x14ac:dyDescent="0.2">
      <c r="DO38975" s="303" t="s">
        <v>232</v>
      </c>
    </row>
    <row r="38976" spans="119:119" x14ac:dyDescent="0.2">
      <c r="DO38976" s="303" t="s">
        <v>232</v>
      </c>
    </row>
    <row r="38977" spans="119:119" x14ac:dyDescent="0.2">
      <c r="DO38977" s="303" t="s">
        <v>232</v>
      </c>
    </row>
    <row r="38978" spans="119:119" x14ac:dyDescent="0.2">
      <c r="DO38978" s="303" t="s">
        <v>232</v>
      </c>
    </row>
    <row r="38979" spans="119:119" x14ac:dyDescent="0.2">
      <c r="DO38979" s="303" t="s">
        <v>232</v>
      </c>
    </row>
    <row r="38980" spans="119:119" x14ac:dyDescent="0.2">
      <c r="DO38980" s="303" t="s">
        <v>232</v>
      </c>
    </row>
    <row r="38981" spans="119:119" x14ac:dyDescent="0.2">
      <c r="DO38981" s="303" t="s">
        <v>232</v>
      </c>
    </row>
    <row r="38982" spans="119:119" x14ac:dyDescent="0.2">
      <c r="DO38982" s="303" t="s">
        <v>232</v>
      </c>
    </row>
    <row r="38983" spans="119:119" x14ac:dyDescent="0.2">
      <c r="DO38983" s="303" t="s">
        <v>232</v>
      </c>
    </row>
    <row r="38984" spans="119:119" x14ac:dyDescent="0.2">
      <c r="DO38984" s="303" t="s">
        <v>232</v>
      </c>
    </row>
    <row r="38985" spans="119:119" x14ac:dyDescent="0.2">
      <c r="DO38985" s="303" t="s">
        <v>232</v>
      </c>
    </row>
    <row r="38986" spans="119:119" x14ac:dyDescent="0.2">
      <c r="DO38986" s="303" t="s">
        <v>232</v>
      </c>
    </row>
    <row r="38987" spans="119:119" x14ac:dyDescent="0.2">
      <c r="DO38987" s="303" t="s">
        <v>232</v>
      </c>
    </row>
    <row r="38988" spans="119:119" x14ac:dyDescent="0.2">
      <c r="DO38988" s="303" t="s">
        <v>232</v>
      </c>
    </row>
    <row r="38989" spans="119:119" x14ac:dyDescent="0.2">
      <c r="DO38989" s="303" t="s">
        <v>232</v>
      </c>
    </row>
    <row r="38990" spans="119:119" x14ac:dyDescent="0.2">
      <c r="DO38990" s="303" t="s">
        <v>232</v>
      </c>
    </row>
    <row r="38991" spans="119:119" x14ac:dyDescent="0.2">
      <c r="DO38991" s="303" t="s">
        <v>232</v>
      </c>
    </row>
    <row r="38992" spans="119:119" x14ac:dyDescent="0.2">
      <c r="DO38992" s="303" t="s">
        <v>232</v>
      </c>
    </row>
    <row r="38993" spans="119:119" x14ac:dyDescent="0.2">
      <c r="DO38993" s="303" t="s">
        <v>232</v>
      </c>
    </row>
    <row r="38994" spans="119:119" x14ac:dyDescent="0.2">
      <c r="DO38994" s="303" t="s">
        <v>232</v>
      </c>
    </row>
    <row r="38995" spans="119:119" x14ac:dyDescent="0.2">
      <c r="DO38995" s="303" t="s">
        <v>232</v>
      </c>
    </row>
    <row r="38996" spans="119:119" x14ac:dyDescent="0.2">
      <c r="DO38996" s="303" t="s">
        <v>232</v>
      </c>
    </row>
    <row r="38997" spans="119:119" x14ac:dyDescent="0.2">
      <c r="DO38997" s="303" t="s">
        <v>232</v>
      </c>
    </row>
    <row r="38998" spans="119:119" x14ac:dyDescent="0.2">
      <c r="DO38998" s="303" t="s">
        <v>232</v>
      </c>
    </row>
    <row r="38999" spans="119:119" x14ac:dyDescent="0.2">
      <c r="DO38999" s="303" t="s">
        <v>232</v>
      </c>
    </row>
    <row r="39000" spans="119:119" x14ac:dyDescent="0.2">
      <c r="DO39000" s="303" t="s">
        <v>232</v>
      </c>
    </row>
    <row r="39001" spans="119:119" x14ac:dyDescent="0.2">
      <c r="DO39001" s="303" t="s">
        <v>232</v>
      </c>
    </row>
    <row r="39002" spans="119:119" x14ac:dyDescent="0.2">
      <c r="DO39002" s="303" t="s">
        <v>232</v>
      </c>
    </row>
    <row r="39003" spans="119:119" x14ac:dyDescent="0.2">
      <c r="DO39003" s="303" t="s">
        <v>232</v>
      </c>
    </row>
    <row r="39004" spans="119:119" x14ac:dyDescent="0.2">
      <c r="DO39004" s="303" t="s">
        <v>232</v>
      </c>
    </row>
    <row r="39005" spans="119:119" x14ac:dyDescent="0.2">
      <c r="DO39005" s="303" t="s">
        <v>232</v>
      </c>
    </row>
    <row r="39006" spans="119:119" x14ac:dyDescent="0.2">
      <c r="DO39006" s="303" t="s">
        <v>232</v>
      </c>
    </row>
    <row r="39007" spans="119:119" x14ac:dyDescent="0.2">
      <c r="DO39007" s="303" t="s">
        <v>232</v>
      </c>
    </row>
    <row r="39008" spans="119:119" x14ac:dyDescent="0.2">
      <c r="DO39008" s="303" t="s">
        <v>232</v>
      </c>
    </row>
    <row r="39009" spans="119:119" x14ac:dyDescent="0.2">
      <c r="DO39009" s="303" t="s">
        <v>232</v>
      </c>
    </row>
    <row r="39010" spans="119:119" x14ac:dyDescent="0.2">
      <c r="DO39010" s="303" t="s">
        <v>232</v>
      </c>
    </row>
    <row r="39011" spans="119:119" x14ac:dyDescent="0.2">
      <c r="DO39011" s="303" t="s">
        <v>232</v>
      </c>
    </row>
    <row r="39012" spans="119:119" x14ac:dyDescent="0.2">
      <c r="DO39012" s="303" t="s">
        <v>232</v>
      </c>
    </row>
    <row r="39013" spans="119:119" x14ac:dyDescent="0.2">
      <c r="DO39013" s="303" t="s">
        <v>232</v>
      </c>
    </row>
    <row r="39014" spans="119:119" x14ac:dyDescent="0.2">
      <c r="DO39014" s="303" t="s">
        <v>232</v>
      </c>
    </row>
    <row r="39015" spans="119:119" x14ac:dyDescent="0.2">
      <c r="DO39015" s="303" t="s">
        <v>232</v>
      </c>
    </row>
    <row r="39016" spans="119:119" x14ac:dyDescent="0.2">
      <c r="DO39016" s="303" t="s">
        <v>232</v>
      </c>
    </row>
    <row r="39017" spans="119:119" x14ac:dyDescent="0.2">
      <c r="DO39017" s="303" t="s">
        <v>232</v>
      </c>
    </row>
    <row r="39018" spans="119:119" x14ac:dyDescent="0.2">
      <c r="DO39018" s="303" t="s">
        <v>232</v>
      </c>
    </row>
    <row r="39019" spans="119:119" x14ac:dyDescent="0.2">
      <c r="DO39019" s="303" t="s">
        <v>232</v>
      </c>
    </row>
    <row r="39020" spans="119:119" x14ac:dyDescent="0.2">
      <c r="DO39020" s="303" t="s">
        <v>232</v>
      </c>
    </row>
    <row r="39021" spans="119:119" x14ac:dyDescent="0.2">
      <c r="DO39021" s="303" t="s">
        <v>232</v>
      </c>
    </row>
    <row r="39022" spans="119:119" x14ac:dyDescent="0.2">
      <c r="DO39022" s="303" t="s">
        <v>232</v>
      </c>
    </row>
    <row r="39023" spans="119:119" x14ac:dyDescent="0.2">
      <c r="DO39023" s="303" t="s">
        <v>232</v>
      </c>
    </row>
    <row r="39024" spans="119:119" x14ac:dyDescent="0.2">
      <c r="DO39024" s="303" t="s">
        <v>232</v>
      </c>
    </row>
    <row r="39025" spans="119:119" x14ac:dyDescent="0.2">
      <c r="DO39025" s="303" t="s">
        <v>232</v>
      </c>
    </row>
    <row r="39026" spans="119:119" x14ac:dyDescent="0.2">
      <c r="DO39026" s="303" t="s">
        <v>232</v>
      </c>
    </row>
    <row r="39027" spans="119:119" x14ac:dyDescent="0.2">
      <c r="DO39027" s="303" t="s">
        <v>232</v>
      </c>
    </row>
    <row r="39028" spans="119:119" x14ac:dyDescent="0.2">
      <c r="DO39028" s="303" t="s">
        <v>232</v>
      </c>
    </row>
    <row r="39029" spans="119:119" x14ac:dyDescent="0.2">
      <c r="DO39029" s="303" t="s">
        <v>232</v>
      </c>
    </row>
    <row r="39030" spans="119:119" x14ac:dyDescent="0.2">
      <c r="DO39030" s="303" t="s">
        <v>232</v>
      </c>
    </row>
    <row r="39031" spans="119:119" x14ac:dyDescent="0.2">
      <c r="DO39031" s="303" t="s">
        <v>232</v>
      </c>
    </row>
    <row r="39032" spans="119:119" x14ac:dyDescent="0.2">
      <c r="DO39032" s="303" t="s">
        <v>232</v>
      </c>
    </row>
    <row r="39033" spans="119:119" x14ac:dyDescent="0.2">
      <c r="DO39033" s="303" t="s">
        <v>232</v>
      </c>
    </row>
    <row r="39034" spans="119:119" x14ac:dyDescent="0.2">
      <c r="DO39034" s="303" t="s">
        <v>232</v>
      </c>
    </row>
    <row r="39035" spans="119:119" x14ac:dyDescent="0.2">
      <c r="DO39035" s="303" t="s">
        <v>232</v>
      </c>
    </row>
    <row r="39036" spans="119:119" x14ac:dyDescent="0.2">
      <c r="DO39036" s="303" t="s">
        <v>232</v>
      </c>
    </row>
    <row r="39037" spans="119:119" x14ac:dyDescent="0.2">
      <c r="DO39037" s="303" t="s">
        <v>232</v>
      </c>
    </row>
    <row r="39038" spans="119:119" x14ac:dyDescent="0.2">
      <c r="DO39038" s="303" t="s">
        <v>232</v>
      </c>
    </row>
    <row r="39039" spans="119:119" x14ac:dyDescent="0.2">
      <c r="DO39039" s="303" t="s">
        <v>232</v>
      </c>
    </row>
    <row r="39040" spans="119:119" x14ac:dyDescent="0.2">
      <c r="DO39040" s="303" t="s">
        <v>232</v>
      </c>
    </row>
    <row r="39041" spans="119:119" x14ac:dyDescent="0.2">
      <c r="DO39041" s="303" t="s">
        <v>232</v>
      </c>
    </row>
    <row r="39042" spans="119:119" x14ac:dyDescent="0.2">
      <c r="DO39042" s="303" t="s">
        <v>232</v>
      </c>
    </row>
    <row r="39043" spans="119:119" x14ac:dyDescent="0.2">
      <c r="DO39043" s="303" t="s">
        <v>232</v>
      </c>
    </row>
    <row r="39044" spans="119:119" x14ac:dyDescent="0.2">
      <c r="DO39044" s="303" t="s">
        <v>232</v>
      </c>
    </row>
    <row r="39045" spans="119:119" x14ac:dyDescent="0.2">
      <c r="DO39045" s="303" t="s">
        <v>232</v>
      </c>
    </row>
    <row r="39046" spans="119:119" x14ac:dyDescent="0.2">
      <c r="DO39046" s="303" t="s">
        <v>232</v>
      </c>
    </row>
    <row r="39047" spans="119:119" x14ac:dyDescent="0.2">
      <c r="DO39047" s="303" t="s">
        <v>232</v>
      </c>
    </row>
    <row r="39048" spans="119:119" x14ac:dyDescent="0.2">
      <c r="DO39048" s="303" t="s">
        <v>232</v>
      </c>
    </row>
    <row r="39049" spans="119:119" x14ac:dyDescent="0.2">
      <c r="DO39049" s="303" t="s">
        <v>232</v>
      </c>
    </row>
    <row r="39050" spans="119:119" x14ac:dyDescent="0.2">
      <c r="DO39050" s="303" t="s">
        <v>232</v>
      </c>
    </row>
    <row r="39051" spans="119:119" x14ac:dyDescent="0.2">
      <c r="DO39051" s="303" t="s">
        <v>232</v>
      </c>
    </row>
    <row r="39052" spans="119:119" x14ac:dyDescent="0.2">
      <c r="DO39052" s="303" t="s">
        <v>232</v>
      </c>
    </row>
    <row r="39053" spans="119:119" x14ac:dyDescent="0.2">
      <c r="DO39053" s="303" t="s">
        <v>232</v>
      </c>
    </row>
    <row r="39054" spans="119:119" x14ac:dyDescent="0.2">
      <c r="DO39054" s="303" t="s">
        <v>232</v>
      </c>
    </row>
    <row r="39055" spans="119:119" x14ac:dyDescent="0.2">
      <c r="DO39055" s="303" t="s">
        <v>232</v>
      </c>
    </row>
    <row r="39056" spans="119:119" x14ac:dyDescent="0.2">
      <c r="DO39056" s="303" t="s">
        <v>232</v>
      </c>
    </row>
    <row r="39057" spans="119:119" x14ac:dyDescent="0.2">
      <c r="DO39057" s="303" t="s">
        <v>232</v>
      </c>
    </row>
    <row r="39058" spans="119:119" x14ac:dyDescent="0.2">
      <c r="DO39058" s="303" t="s">
        <v>232</v>
      </c>
    </row>
    <row r="39059" spans="119:119" x14ac:dyDescent="0.2">
      <c r="DO39059" s="303" t="s">
        <v>232</v>
      </c>
    </row>
    <row r="39060" spans="119:119" x14ac:dyDescent="0.2">
      <c r="DO39060" s="303" t="s">
        <v>232</v>
      </c>
    </row>
    <row r="39061" spans="119:119" x14ac:dyDescent="0.2">
      <c r="DO39061" s="303" t="s">
        <v>232</v>
      </c>
    </row>
    <row r="39062" spans="119:119" x14ac:dyDescent="0.2">
      <c r="DO39062" s="303" t="s">
        <v>232</v>
      </c>
    </row>
    <row r="39063" spans="119:119" x14ac:dyDescent="0.2">
      <c r="DO39063" s="303" t="s">
        <v>232</v>
      </c>
    </row>
    <row r="39064" spans="119:119" x14ac:dyDescent="0.2">
      <c r="DO39064" s="303" t="s">
        <v>232</v>
      </c>
    </row>
    <row r="39065" spans="119:119" x14ac:dyDescent="0.2">
      <c r="DO39065" s="303" t="s">
        <v>232</v>
      </c>
    </row>
    <row r="39066" spans="119:119" x14ac:dyDescent="0.2">
      <c r="DO39066" s="303" t="s">
        <v>232</v>
      </c>
    </row>
    <row r="39067" spans="119:119" x14ac:dyDescent="0.2">
      <c r="DO39067" s="303" t="s">
        <v>232</v>
      </c>
    </row>
    <row r="39068" spans="119:119" x14ac:dyDescent="0.2">
      <c r="DO39068" s="303" t="s">
        <v>232</v>
      </c>
    </row>
    <row r="39069" spans="119:119" x14ac:dyDescent="0.2">
      <c r="DO39069" s="303" t="s">
        <v>232</v>
      </c>
    </row>
    <row r="39070" spans="119:119" x14ac:dyDescent="0.2">
      <c r="DO39070" s="303" t="s">
        <v>232</v>
      </c>
    </row>
    <row r="39071" spans="119:119" x14ac:dyDescent="0.2">
      <c r="DO39071" s="303" t="s">
        <v>232</v>
      </c>
    </row>
    <row r="39072" spans="119:119" x14ac:dyDescent="0.2">
      <c r="DO39072" s="303" t="s">
        <v>232</v>
      </c>
    </row>
    <row r="39073" spans="119:119" x14ac:dyDescent="0.2">
      <c r="DO39073" s="303" t="s">
        <v>232</v>
      </c>
    </row>
    <row r="39074" spans="119:119" x14ac:dyDescent="0.2">
      <c r="DO39074" s="303" t="s">
        <v>232</v>
      </c>
    </row>
    <row r="39075" spans="119:119" x14ac:dyDescent="0.2">
      <c r="DO39075" s="303" t="s">
        <v>232</v>
      </c>
    </row>
    <row r="39076" spans="119:119" x14ac:dyDescent="0.2">
      <c r="DO39076" s="303" t="s">
        <v>232</v>
      </c>
    </row>
    <row r="39077" spans="119:119" x14ac:dyDescent="0.2">
      <c r="DO39077" s="303" t="s">
        <v>232</v>
      </c>
    </row>
    <row r="39078" spans="119:119" x14ac:dyDescent="0.2">
      <c r="DO39078" s="303" t="s">
        <v>232</v>
      </c>
    </row>
    <row r="39079" spans="119:119" x14ac:dyDescent="0.2">
      <c r="DO39079" s="303" t="s">
        <v>232</v>
      </c>
    </row>
    <row r="39080" spans="119:119" x14ac:dyDescent="0.2">
      <c r="DO39080" s="303" t="s">
        <v>232</v>
      </c>
    </row>
    <row r="39081" spans="119:119" x14ac:dyDescent="0.2">
      <c r="DO39081" s="303" t="s">
        <v>232</v>
      </c>
    </row>
    <row r="39082" spans="119:119" x14ac:dyDescent="0.2">
      <c r="DO39082" s="303" t="s">
        <v>232</v>
      </c>
    </row>
    <row r="39083" spans="119:119" x14ac:dyDescent="0.2">
      <c r="DO39083" s="303" t="s">
        <v>232</v>
      </c>
    </row>
    <row r="39084" spans="119:119" x14ac:dyDescent="0.2">
      <c r="DO39084" s="303" t="s">
        <v>232</v>
      </c>
    </row>
    <row r="39085" spans="119:119" x14ac:dyDescent="0.2">
      <c r="DO39085" s="303" t="s">
        <v>232</v>
      </c>
    </row>
    <row r="39086" spans="119:119" x14ac:dyDescent="0.2">
      <c r="DO39086" s="303" t="s">
        <v>232</v>
      </c>
    </row>
    <row r="39087" spans="119:119" x14ac:dyDescent="0.2">
      <c r="DO39087" s="303" t="s">
        <v>232</v>
      </c>
    </row>
    <row r="39088" spans="119:119" x14ac:dyDescent="0.2">
      <c r="DO39088" s="303" t="s">
        <v>232</v>
      </c>
    </row>
    <row r="39089" spans="119:119" x14ac:dyDescent="0.2">
      <c r="DO39089" s="303" t="s">
        <v>232</v>
      </c>
    </row>
    <row r="39090" spans="119:119" x14ac:dyDescent="0.2">
      <c r="DO39090" s="303" t="s">
        <v>232</v>
      </c>
    </row>
    <row r="39091" spans="119:119" x14ac:dyDescent="0.2">
      <c r="DO39091" s="303" t="s">
        <v>232</v>
      </c>
    </row>
    <row r="39092" spans="119:119" x14ac:dyDescent="0.2">
      <c r="DO39092" s="303" t="s">
        <v>232</v>
      </c>
    </row>
    <row r="39093" spans="119:119" x14ac:dyDescent="0.2">
      <c r="DO39093" s="303" t="s">
        <v>232</v>
      </c>
    </row>
    <row r="39094" spans="119:119" x14ac:dyDescent="0.2">
      <c r="DO39094" s="303" t="s">
        <v>232</v>
      </c>
    </row>
    <row r="39095" spans="119:119" x14ac:dyDescent="0.2">
      <c r="DO39095" s="303" t="s">
        <v>232</v>
      </c>
    </row>
    <row r="39096" spans="119:119" x14ac:dyDescent="0.2">
      <c r="DO39096" s="303" t="s">
        <v>232</v>
      </c>
    </row>
    <row r="39097" spans="119:119" x14ac:dyDescent="0.2">
      <c r="DO39097" s="303" t="s">
        <v>232</v>
      </c>
    </row>
    <row r="39098" spans="119:119" x14ac:dyDescent="0.2">
      <c r="DO39098" s="303" t="s">
        <v>232</v>
      </c>
    </row>
    <row r="39099" spans="119:119" x14ac:dyDescent="0.2">
      <c r="DO39099" s="303" t="s">
        <v>232</v>
      </c>
    </row>
    <row r="39100" spans="119:119" x14ac:dyDescent="0.2">
      <c r="DO39100" s="303" t="s">
        <v>232</v>
      </c>
    </row>
    <row r="39101" spans="119:119" x14ac:dyDescent="0.2">
      <c r="DO39101" s="303" t="s">
        <v>232</v>
      </c>
    </row>
    <row r="39102" spans="119:119" x14ac:dyDescent="0.2">
      <c r="DO39102" s="303" t="s">
        <v>232</v>
      </c>
    </row>
    <row r="39103" spans="119:119" x14ac:dyDescent="0.2">
      <c r="DO39103" s="303" t="s">
        <v>232</v>
      </c>
    </row>
    <row r="39104" spans="119:119" x14ac:dyDescent="0.2">
      <c r="DO39104" s="303" t="s">
        <v>232</v>
      </c>
    </row>
    <row r="39105" spans="119:119" x14ac:dyDescent="0.2">
      <c r="DO39105" s="303" t="s">
        <v>232</v>
      </c>
    </row>
    <row r="39106" spans="119:119" x14ac:dyDescent="0.2">
      <c r="DO39106" s="303" t="s">
        <v>232</v>
      </c>
    </row>
    <row r="39107" spans="119:119" x14ac:dyDescent="0.2">
      <c r="DO39107" s="303" t="s">
        <v>232</v>
      </c>
    </row>
    <row r="39108" spans="119:119" x14ac:dyDescent="0.2">
      <c r="DO39108" s="303" t="s">
        <v>232</v>
      </c>
    </row>
    <row r="39109" spans="119:119" x14ac:dyDescent="0.2">
      <c r="DO39109" s="303" t="s">
        <v>232</v>
      </c>
    </row>
    <row r="39110" spans="119:119" x14ac:dyDescent="0.2">
      <c r="DO39110" s="303" t="s">
        <v>232</v>
      </c>
    </row>
    <row r="39111" spans="119:119" x14ac:dyDescent="0.2">
      <c r="DO39111" s="303" t="s">
        <v>232</v>
      </c>
    </row>
    <row r="39112" spans="119:119" x14ac:dyDescent="0.2">
      <c r="DO39112" s="303" t="s">
        <v>232</v>
      </c>
    </row>
    <row r="39113" spans="119:119" x14ac:dyDescent="0.2">
      <c r="DO39113" s="303" t="s">
        <v>232</v>
      </c>
    </row>
    <row r="39114" spans="119:119" x14ac:dyDescent="0.2">
      <c r="DO39114" s="303" t="s">
        <v>232</v>
      </c>
    </row>
    <row r="39115" spans="119:119" x14ac:dyDescent="0.2">
      <c r="DO39115" s="303" t="s">
        <v>232</v>
      </c>
    </row>
    <row r="39116" spans="119:119" x14ac:dyDescent="0.2">
      <c r="DO39116" s="303" t="s">
        <v>232</v>
      </c>
    </row>
    <row r="39117" spans="119:119" x14ac:dyDescent="0.2">
      <c r="DO39117" s="303" t="s">
        <v>232</v>
      </c>
    </row>
    <row r="39118" spans="119:119" x14ac:dyDescent="0.2">
      <c r="DO39118" s="303" t="s">
        <v>232</v>
      </c>
    </row>
    <row r="39119" spans="119:119" x14ac:dyDescent="0.2">
      <c r="DO39119" s="303" t="s">
        <v>232</v>
      </c>
    </row>
    <row r="39120" spans="119:119" x14ac:dyDescent="0.2">
      <c r="DO39120" s="303" t="s">
        <v>232</v>
      </c>
    </row>
    <row r="39121" spans="119:119" x14ac:dyDescent="0.2">
      <c r="DO39121" s="303" t="s">
        <v>232</v>
      </c>
    </row>
    <row r="39122" spans="119:119" x14ac:dyDescent="0.2">
      <c r="DO39122" s="303" t="s">
        <v>232</v>
      </c>
    </row>
    <row r="39123" spans="119:119" x14ac:dyDescent="0.2">
      <c r="DO39123" s="303" t="s">
        <v>232</v>
      </c>
    </row>
    <row r="39124" spans="119:119" x14ac:dyDescent="0.2">
      <c r="DO39124" s="303" t="s">
        <v>232</v>
      </c>
    </row>
    <row r="39125" spans="119:119" x14ac:dyDescent="0.2">
      <c r="DO39125" s="303" t="s">
        <v>232</v>
      </c>
    </row>
    <row r="39126" spans="119:119" x14ac:dyDescent="0.2">
      <c r="DO39126" s="303" t="s">
        <v>232</v>
      </c>
    </row>
    <row r="39127" spans="119:119" x14ac:dyDescent="0.2">
      <c r="DO39127" s="303" t="s">
        <v>232</v>
      </c>
    </row>
    <row r="39128" spans="119:119" x14ac:dyDescent="0.2">
      <c r="DO39128" s="303" t="s">
        <v>232</v>
      </c>
    </row>
    <row r="39129" spans="119:119" x14ac:dyDescent="0.2">
      <c r="DO39129" s="303" t="s">
        <v>232</v>
      </c>
    </row>
    <row r="39130" spans="119:119" x14ac:dyDescent="0.2">
      <c r="DO39130" s="303" t="s">
        <v>232</v>
      </c>
    </row>
    <row r="39131" spans="119:119" x14ac:dyDescent="0.2">
      <c r="DO39131" s="303" t="s">
        <v>232</v>
      </c>
    </row>
    <row r="39132" spans="119:119" x14ac:dyDescent="0.2">
      <c r="DO39132" s="303" t="s">
        <v>232</v>
      </c>
    </row>
    <row r="39133" spans="119:119" x14ac:dyDescent="0.2">
      <c r="DO39133" s="303" t="s">
        <v>232</v>
      </c>
    </row>
    <row r="39134" spans="119:119" x14ac:dyDescent="0.2">
      <c r="DO39134" s="303" t="s">
        <v>232</v>
      </c>
    </row>
    <row r="39135" spans="119:119" x14ac:dyDescent="0.2">
      <c r="DO39135" s="303" t="s">
        <v>232</v>
      </c>
    </row>
    <row r="39136" spans="119:119" x14ac:dyDescent="0.2">
      <c r="DO39136" s="303" t="s">
        <v>232</v>
      </c>
    </row>
    <row r="39137" spans="119:119" x14ac:dyDescent="0.2">
      <c r="DO39137" s="303" t="s">
        <v>232</v>
      </c>
    </row>
    <row r="39138" spans="119:119" x14ac:dyDescent="0.2">
      <c r="DO39138" s="303" t="s">
        <v>232</v>
      </c>
    </row>
    <row r="39139" spans="119:119" x14ac:dyDescent="0.2">
      <c r="DO39139" s="303" t="s">
        <v>232</v>
      </c>
    </row>
    <row r="39140" spans="119:119" x14ac:dyDescent="0.2">
      <c r="DO39140" s="303" t="s">
        <v>232</v>
      </c>
    </row>
    <row r="39141" spans="119:119" x14ac:dyDescent="0.2">
      <c r="DO39141" s="303" t="s">
        <v>232</v>
      </c>
    </row>
    <row r="39142" spans="119:119" x14ac:dyDescent="0.2">
      <c r="DO39142" s="303" t="s">
        <v>232</v>
      </c>
    </row>
    <row r="39143" spans="119:119" x14ac:dyDescent="0.2">
      <c r="DO39143" s="303" t="s">
        <v>232</v>
      </c>
    </row>
    <row r="39144" spans="119:119" x14ac:dyDescent="0.2">
      <c r="DO39144" s="303" t="s">
        <v>232</v>
      </c>
    </row>
    <row r="39145" spans="119:119" x14ac:dyDescent="0.2">
      <c r="DO39145" s="303" t="s">
        <v>232</v>
      </c>
    </row>
    <row r="39146" spans="119:119" x14ac:dyDescent="0.2">
      <c r="DO39146" s="303" t="s">
        <v>232</v>
      </c>
    </row>
    <row r="39147" spans="119:119" x14ac:dyDescent="0.2">
      <c r="DO39147" s="303" t="s">
        <v>232</v>
      </c>
    </row>
    <row r="39148" spans="119:119" x14ac:dyDescent="0.2">
      <c r="DO39148" s="303" t="s">
        <v>232</v>
      </c>
    </row>
    <row r="39149" spans="119:119" x14ac:dyDescent="0.2">
      <c r="DO39149" s="303" t="s">
        <v>232</v>
      </c>
    </row>
    <row r="39150" spans="119:119" x14ac:dyDescent="0.2">
      <c r="DO39150" s="303" t="s">
        <v>232</v>
      </c>
    </row>
    <row r="39151" spans="119:119" x14ac:dyDescent="0.2">
      <c r="DO39151" s="303" t="s">
        <v>232</v>
      </c>
    </row>
    <row r="39152" spans="119:119" x14ac:dyDescent="0.2">
      <c r="DO39152" s="303" t="s">
        <v>232</v>
      </c>
    </row>
    <row r="39153" spans="119:119" x14ac:dyDescent="0.2">
      <c r="DO39153" s="303" t="s">
        <v>232</v>
      </c>
    </row>
    <row r="39154" spans="119:119" x14ac:dyDescent="0.2">
      <c r="DO39154" s="303" t="s">
        <v>232</v>
      </c>
    </row>
    <row r="39155" spans="119:119" x14ac:dyDescent="0.2">
      <c r="DO39155" s="303" t="s">
        <v>232</v>
      </c>
    </row>
    <row r="39156" spans="119:119" x14ac:dyDescent="0.2">
      <c r="DO39156" s="303" t="s">
        <v>232</v>
      </c>
    </row>
    <row r="39157" spans="119:119" x14ac:dyDescent="0.2">
      <c r="DO39157" s="303" t="s">
        <v>232</v>
      </c>
    </row>
    <row r="39158" spans="119:119" x14ac:dyDescent="0.2">
      <c r="DO39158" s="303" t="s">
        <v>232</v>
      </c>
    </row>
    <row r="39159" spans="119:119" x14ac:dyDescent="0.2">
      <c r="DO39159" s="303" t="s">
        <v>232</v>
      </c>
    </row>
    <row r="39160" spans="119:119" x14ac:dyDescent="0.2">
      <c r="DO39160" s="303" t="s">
        <v>232</v>
      </c>
    </row>
    <row r="39161" spans="119:119" x14ac:dyDescent="0.2">
      <c r="DO39161" s="303" t="s">
        <v>232</v>
      </c>
    </row>
    <row r="39162" spans="119:119" x14ac:dyDescent="0.2">
      <c r="DO39162" s="303" t="s">
        <v>232</v>
      </c>
    </row>
    <row r="39163" spans="119:119" x14ac:dyDescent="0.2">
      <c r="DO39163" s="303" t="s">
        <v>232</v>
      </c>
    </row>
    <row r="39164" spans="119:119" x14ac:dyDescent="0.2">
      <c r="DO39164" s="303" t="s">
        <v>232</v>
      </c>
    </row>
    <row r="39165" spans="119:119" x14ac:dyDescent="0.2">
      <c r="DO39165" s="303" t="s">
        <v>232</v>
      </c>
    </row>
    <row r="39166" spans="119:119" x14ac:dyDescent="0.2">
      <c r="DO39166" s="303" t="s">
        <v>232</v>
      </c>
    </row>
    <row r="39167" spans="119:119" x14ac:dyDescent="0.2">
      <c r="DO39167" s="303" t="s">
        <v>232</v>
      </c>
    </row>
    <row r="39168" spans="119:119" x14ac:dyDescent="0.2">
      <c r="DO39168" s="303" t="s">
        <v>232</v>
      </c>
    </row>
    <row r="39169" spans="119:119" x14ac:dyDescent="0.2">
      <c r="DO39169" s="303" t="s">
        <v>232</v>
      </c>
    </row>
    <row r="39170" spans="119:119" x14ac:dyDescent="0.2">
      <c r="DO39170" s="303" t="s">
        <v>232</v>
      </c>
    </row>
    <row r="39171" spans="119:119" x14ac:dyDescent="0.2">
      <c r="DO39171" s="303" t="s">
        <v>232</v>
      </c>
    </row>
    <row r="39172" spans="119:119" x14ac:dyDescent="0.2">
      <c r="DO39172" s="303" t="s">
        <v>232</v>
      </c>
    </row>
    <row r="39173" spans="119:119" x14ac:dyDescent="0.2">
      <c r="DO39173" s="303" t="s">
        <v>232</v>
      </c>
    </row>
    <row r="39174" spans="119:119" x14ac:dyDescent="0.2">
      <c r="DO39174" s="303" t="s">
        <v>232</v>
      </c>
    </row>
    <row r="39175" spans="119:119" x14ac:dyDescent="0.2">
      <c r="DO39175" s="303" t="s">
        <v>232</v>
      </c>
    </row>
    <row r="39176" spans="119:119" x14ac:dyDescent="0.2">
      <c r="DO39176" s="303" t="s">
        <v>232</v>
      </c>
    </row>
    <row r="39177" spans="119:119" x14ac:dyDescent="0.2">
      <c r="DO39177" s="303" t="s">
        <v>232</v>
      </c>
    </row>
    <row r="39178" spans="119:119" x14ac:dyDescent="0.2">
      <c r="DO39178" s="303" t="s">
        <v>232</v>
      </c>
    </row>
    <row r="39179" spans="119:119" x14ac:dyDescent="0.2">
      <c r="DO39179" s="303" t="s">
        <v>232</v>
      </c>
    </row>
    <row r="39180" spans="119:119" x14ac:dyDescent="0.2">
      <c r="DO39180" s="303" t="s">
        <v>232</v>
      </c>
    </row>
    <row r="39181" spans="119:119" x14ac:dyDescent="0.2">
      <c r="DO39181" s="303" t="s">
        <v>232</v>
      </c>
    </row>
    <row r="39182" spans="119:119" x14ac:dyDescent="0.2">
      <c r="DO39182" s="303" t="s">
        <v>232</v>
      </c>
    </row>
    <row r="39183" spans="119:119" x14ac:dyDescent="0.2">
      <c r="DO39183" s="303" t="s">
        <v>232</v>
      </c>
    </row>
    <row r="39184" spans="119:119" x14ac:dyDescent="0.2">
      <c r="DO39184" s="303" t="s">
        <v>232</v>
      </c>
    </row>
    <row r="39185" spans="119:119" x14ac:dyDescent="0.2">
      <c r="DO39185" s="303" t="s">
        <v>232</v>
      </c>
    </row>
    <row r="39186" spans="119:119" x14ac:dyDescent="0.2">
      <c r="DO39186" s="303" t="s">
        <v>232</v>
      </c>
    </row>
    <row r="39187" spans="119:119" x14ac:dyDescent="0.2">
      <c r="DO39187" s="303" t="s">
        <v>232</v>
      </c>
    </row>
    <row r="39188" spans="119:119" x14ac:dyDescent="0.2">
      <c r="DO39188" s="303" t="s">
        <v>232</v>
      </c>
    </row>
    <row r="39189" spans="119:119" x14ac:dyDescent="0.2">
      <c r="DO39189" s="303" t="s">
        <v>232</v>
      </c>
    </row>
    <row r="39190" spans="119:119" x14ac:dyDescent="0.2">
      <c r="DO39190" s="303" t="s">
        <v>232</v>
      </c>
    </row>
    <row r="39191" spans="119:119" x14ac:dyDescent="0.2">
      <c r="DO39191" s="303" t="s">
        <v>232</v>
      </c>
    </row>
    <row r="39192" spans="119:119" x14ac:dyDescent="0.2">
      <c r="DO39192" s="303" t="s">
        <v>232</v>
      </c>
    </row>
    <row r="39193" spans="119:119" x14ac:dyDescent="0.2">
      <c r="DO39193" s="303" t="s">
        <v>232</v>
      </c>
    </row>
    <row r="39194" spans="119:119" x14ac:dyDescent="0.2">
      <c r="DO39194" s="303" t="s">
        <v>232</v>
      </c>
    </row>
    <row r="39195" spans="119:119" x14ac:dyDescent="0.2">
      <c r="DO39195" s="303" t="s">
        <v>232</v>
      </c>
    </row>
    <row r="39196" spans="119:119" x14ac:dyDescent="0.2">
      <c r="DO39196" s="303" t="s">
        <v>232</v>
      </c>
    </row>
    <row r="39197" spans="119:119" x14ac:dyDescent="0.2">
      <c r="DO39197" s="303" t="s">
        <v>232</v>
      </c>
    </row>
    <row r="39198" spans="119:119" x14ac:dyDescent="0.2">
      <c r="DO39198" s="303" t="s">
        <v>232</v>
      </c>
    </row>
    <row r="39199" spans="119:119" x14ac:dyDescent="0.2">
      <c r="DO39199" s="303" t="s">
        <v>232</v>
      </c>
    </row>
    <row r="39200" spans="119:119" x14ac:dyDescent="0.2">
      <c r="DO39200" s="303" t="s">
        <v>232</v>
      </c>
    </row>
    <row r="39201" spans="119:119" x14ac:dyDescent="0.2">
      <c r="DO39201" s="303" t="s">
        <v>232</v>
      </c>
    </row>
    <row r="39202" spans="119:119" x14ac:dyDescent="0.2">
      <c r="DO39202" s="303" t="s">
        <v>232</v>
      </c>
    </row>
    <row r="39203" spans="119:119" x14ac:dyDescent="0.2">
      <c r="DO39203" s="303" t="s">
        <v>232</v>
      </c>
    </row>
    <row r="39204" spans="119:119" x14ac:dyDescent="0.2">
      <c r="DO39204" s="303" t="s">
        <v>232</v>
      </c>
    </row>
    <row r="39205" spans="119:119" x14ac:dyDescent="0.2">
      <c r="DO39205" s="303" t="s">
        <v>232</v>
      </c>
    </row>
    <row r="39206" spans="119:119" x14ac:dyDescent="0.2">
      <c r="DO39206" s="303" t="s">
        <v>232</v>
      </c>
    </row>
    <row r="39207" spans="119:119" x14ac:dyDescent="0.2">
      <c r="DO39207" s="303" t="s">
        <v>232</v>
      </c>
    </row>
    <row r="39208" spans="119:119" x14ac:dyDescent="0.2">
      <c r="DO39208" s="303" t="s">
        <v>232</v>
      </c>
    </row>
    <row r="39209" spans="119:119" x14ac:dyDescent="0.2">
      <c r="DO39209" s="303" t="s">
        <v>232</v>
      </c>
    </row>
    <row r="39210" spans="119:119" x14ac:dyDescent="0.2">
      <c r="DO39210" s="303" t="s">
        <v>232</v>
      </c>
    </row>
    <row r="39211" spans="119:119" x14ac:dyDescent="0.2">
      <c r="DO39211" s="303" t="s">
        <v>232</v>
      </c>
    </row>
    <row r="39212" spans="119:119" x14ac:dyDescent="0.2">
      <c r="DO39212" s="303" t="s">
        <v>232</v>
      </c>
    </row>
    <row r="39213" spans="119:119" x14ac:dyDescent="0.2">
      <c r="DO39213" s="303" t="s">
        <v>232</v>
      </c>
    </row>
    <row r="39214" spans="119:119" x14ac:dyDescent="0.2">
      <c r="DO39214" s="303" t="s">
        <v>232</v>
      </c>
    </row>
    <row r="39215" spans="119:119" x14ac:dyDescent="0.2">
      <c r="DO39215" s="303" t="s">
        <v>232</v>
      </c>
    </row>
    <row r="39216" spans="119:119" x14ac:dyDescent="0.2">
      <c r="DO39216" s="303" t="s">
        <v>232</v>
      </c>
    </row>
    <row r="39217" spans="119:119" x14ac:dyDescent="0.2">
      <c r="DO39217" s="303" t="s">
        <v>232</v>
      </c>
    </row>
    <row r="39218" spans="119:119" x14ac:dyDescent="0.2">
      <c r="DO39218" s="303" t="s">
        <v>232</v>
      </c>
    </row>
    <row r="39219" spans="119:119" x14ac:dyDescent="0.2">
      <c r="DO39219" s="303" t="s">
        <v>232</v>
      </c>
    </row>
    <row r="39220" spans="119:119" x14ac:dyDescent="0.2">
      <c r="DO39220" s="303" t="s">
        <v>232</v>
      </c>
    </row>
    <row r="39221" spans="119:119" x14ac:dyDescent="0.2">
      <c r="DO39221" s="303" t="s">
        <v>232</v>
      </c>
    </row>
    <row r="39222" spans="119:119" x14ac:dyDescent="0.2">
      <c r="DO39222" s="303" t="s">
        <v>232</v>
      </c>
    </row>
    <row r="39223" spans="119:119" x14ac:dyDescent="0.2">
      <c r="DO39223" s="303" t="s">
        <v>232</v>
      </c>
    </row>
    <row r="39224" spans="119:119" x14ac:dyDescent="0.2">
      <c r="DO39224" s="303" t="s">
        <v>232</v>
      </c>
    </row>
    <row r="39225" spans="119:119" x14ac:dyDescent="0.2">
      <c r="DO39225" s="303" t="s">
        <v>232</v>
      </c>
    </row>
    <row r="39226" spans="119:119" x14ac:dyDescent="0.2">
      <c r="DO39226" s="303" t="s">
        <v>232</v>
      </c>
    </row>
    <row r="39227" spans="119:119" x14ac:dyDescent="0.2">
      <c r="DO39227" s="303" t="s">
        <v>232</v>
      </c>
    </row>
    <row r="39228" spans="119:119" x14ac:dyDescent="0.2">
      <c r="DO39228" s="303" t="s">
        <v>232</v>
      </c>
    </row>
    <row r="39229" spans="119:119" x14ac:dyDescent="0.2">
      <c r="DO39229" s="303" t="s">
        <v>232</v>
      </c>
    </row>
    <row r="39230" spans="119:119" x14ac:dyDescent="0.2">
      <c r="DO39230" s="303" t="s">
        <v>232</v>
      </c>
    </row>
    <row r="39231" spans="119:119" x14ac:dyDescent="0.2">
      <c r="DO39231" s="303" t="s">
        <v>232</v>
      </c>
    </row>
    <row r="39232" spans="119:119" x14ac:dyDescent="0.2">
      <c r="DO39232" s="303" t="s">
        <v>232</v>
      </c>
    </row>
    <row r="39233" spans="119:119" x14ac:dyDescent="0.2">
      <c r="DO39233" s="303" t="s">
        <v>232</v>
      </c>
    </row>
    <row r="39234" spans="119:119" x14ac:dyDescent="0.2">
      <c r="DO39234" s="303" t="s">
        <v>232</v>
      </c>
    </row>
    <row r="39235" spans="119:119" x14ac:dyDescent="0.2">
      <c r="DO39235" s="303" t="s">
        <v>232</v>
      </c>
    </row>
    <row r="39236" spans="119:119" x14ac:dyDescent="0.2">
      <c r="DO39236" s="303" t="s">
        <v>232</v>
      </c>
    </row>
    <row r="39237" spans="119:119" x14ac:dyDescent="0.2">
      <c r="DO39237" s="303" t="s">
        <v>232</v>
      </c>
    </row>
    <row r="39238" spans="119:119" x14ac:dyDescent="0.2">
      <c r="DO39238" s="303" t="s">
        <v>232</v>
      </c>
    </row>
    <row r="39239" spans="119:119" x14ac:dyDescent="0.2">
      <c r="DO39239" s="303" t="s">
        <v>232</v>
      </c>
    </row>
    <row r="39240" spans="119:119" x14ac:dyDescent="0.2">
      <c r="DO39240" s="303" t="s">
        <v>232</v>
      </c>
    </row>
    <row r="39241" spans="119:119" x14ac:dyDescent="0.2">
      <c r="DO39241" s="303" t="s">
        <v>232</v>
      </c>
    </row>
    <row r="39242" spans="119:119" x14ac:dyDescent="0.2">
      <c r="DO39242" s="303" t="s">
        <v>232</v>
      </c>
    </row>
    <row r="39243" spans="119:119" x14ac:dyDescent="0.2">
      <c r="DO39243" s="303" t="s">
        <v>232</v>
      </c>
    </row>
    <row r="39244" spans="119:119" x14ac:dyDescent="0.2">
      <c r="DO39244" s="303" t="s">
        <v>232</v>
      </c>
    </row>
    <row r="39245" spans="119:119" x14ac:dyDescent="0.2">
      <c r="DO39245" s="303" t="s">
        <v>232</v>
      </c>
    </row>
    <row r="39246" spans="119:119" x14ac:dyDescent="0.2">
      <c r="DO39246" s="303" t="s">
        <v>232</v>
      </c>
    </row>
    <row r="39247" spans="119:119" x14ac:dyDescent="0.2">
      <c r="DO39247" s="303" t="s">
        <v>232</v>
      </c>
    </row>
    <row r="39248" spans="119:119" x14ac:dyDescent="0.2">
      <c r="DO39248" s="303" t="s">
        <v>232</v>
      </c>
    </row>
    <row r="39249" spans="119:119" x14ac:dyDescent="0.2">
      <c r="DO39249" s="303" t="s">
        <v>232</v>
      </c>
    </row>
    <row r="39250" spans="119:119" x14ac:dyDescent="0.2">
      <c r="DO39250" s="303" t="s">
        <v>232</v>
      </c>
    </row>
    <row r="39251" spans="119:119" x14ac:dyDescent="0.2">
      <c r="DO39251" s="303" t="s">
        <v>232</v>
      </c>
    </row>
    <row r="39252" spans="119:119" x14ac:dyDescent="0.2">
      <c r="DO39252" s="303" t="s">
        <v>232</v>
      </c>
    </row>
    <row r="39253" spans="119:119" x14ac:dyDescent="0.2">
      <c r="DO39253" s="303" t="s">
        <v>232</v>
      </c>
    </row>
    <row r="39254" spans="119:119" x14ac:dyDescent="0.2">
      <c r="DO39254" s="303" t="s">
        <v>232</v>
      </c>
    </row>
    <row r="39255" spans="119:119" x14ac:dyDescent="0.2">
      <c r="DO39255" s="303" t="s">
        <v>232</v>
      </c>
    </row>
    <row r="39256" spans="119:119" x14ac:dyDescent="0.2">
      <c r="DO39256" s="303" t="s">
        <v>232</v>
      </c>
    </row>
    <row r="39257" spans="119:119" x14ac:dyDescent="0.2">
      <c r="DO39257" s="303" t="s">
        <v>232</v>
      </c>
    </row>
    <row r="39258" spans="119:119" x14ac:dyDescent="0.2">
      <c r="DO39258" s="303" t="s">
        <v>232</v>
      </c>
    </row>
    <row r="39259" spans="119:119" x14ac:dyDescent="0.2">
      <c r="DO39259" s="303" t="s">
        <v>232</v>
      </c>
    </row>
    <row r="39260" spans="119:119" x14ac:dyDescent="0.2">
      <c r="DO39260" s="303" t="s">
        <v>232</v>
      </c>
    </row>
    <row r="39261" spans="119:119" x14ac:dyDescent="0.2">
      <c r="DO39261" s="303" t="s">
        <v>232</v>
      </c>
    </row>
    <row r="39262" spans="119:119" x14ac:dyDescent="0.2">
      <c r="DO39262" s="303" t="s">
        <v>232</v>
      </c>
    </row>
    <row r="39263" spans="119:119" x14ac:dyDescent="0.2">
      <c r="DO39263" s="303" t="s">
        <v>232</v>
      </c>
    </row>
    <row r="39264" spans="119:119" x14ac:dyDescent="0.2">
      <c r="DO39264" s="303" t="s">
        <v>232</v>
      </c>
    </row>
    <row r="39265" spans="119:119" x14ac:dyDescent="0.2">
      <c r="DO39265" s="303" t="s">
        <v>232</v>
      </c>
    </row>
    <row r="39266" spans="119:119" x14ac:dyDescent="0.2">
      <c r="DO39266" s="303" t="s">
        <v>232</v>
      </c>
    </row>
    <row r="39267" spans="119:119" x14ac:dyDescent="0.2">
      <c r="DO39267" s="303" t="s">
        <v>232</v>
      </c>
    </row>
    <row r="39268" spans="119:119" x14ac:dyDescent="0.2">
      <c r="DO39268" s="303" t="s">
        <v>232</v>
      </c>
    </row>
    <row r="39269" spans="119:119" x14ac:dyDescent="0.2">
      <c r="DO39269" s="303" t="s">
        <v>232</v>
      </c>
    </row>
    <row r="39270" spans="119:119" x14ac:dyDescent="0.2">
      <c r="DO39270" s="303" t="s">
        <v>232</v>
      </c>
    </row>
    <row r="39271" spans="119:119" x14ac:dyDescent="0.2">
      <c r="DO39271" s="303" t="s">
        <v>232</v>
      </c>
    </row>
    <row r="39272" spans="119:119" x14ac:dyDescent="0.2">
      <c r="DO39272" s="303" t="s">
        <v>232</v>
      </c>
    </row>
    <row r="39273" spans="119:119" x14ac:dyDescent="0.2">
      <c r="DO39273" s="303" t="s">
        <v>232</v>
      </c>
    </row>
    <row r="39274" spans="119:119" x14ac:dyDescent="0.2">
      <c r="DO39274" s="303" t="s">
        <v>232</v>
      </c>
    </row>
    <row r="39275" spans="119:119" x14ac:dyDescent="0.2">
      <c r="DO39275" s="303" t="s">
        <v>232</v>
      </c>
    </row>
    <row r="39276" spans="119:119" x14ac:dyDescent="0.2">
      <c r="DO39276" s="303" t="s">
        <v>232</v>
      </c>
    </row>
    <row r="39277" spans="119:119" x14ac:dyDescent="0.2">
      <c r="DO39277" s="303" t="s">
        <v>232</v>
      </c>
    </row>
    <row r="39278" spans="119:119" x14ac:dyDescent="0.2">
      <c r="DO39278" s="303" t="s">
        <v>232</v>
      </c>
    </row>
    <row r="39279" spans="119:119" x14ac:dyDescent="0.2">
      <c r="DO39279" s="303" t="s">
        <v>232</v>
      </c>
    </row>
    <row r="39280" spans="119:119" x14ac:dyDescent="0.2">
      <c r="DO39280" s="303" t="s">
        <v>232</v>
      </c>
    </row>
    <row r="39281" spans="119:119" x14ac:dyDescent="0.2">
      <c r="DO39281" s="303" t="s">
        <v>232</v>
      </c>
    </row>
    <row r="39282" spans="119:119" x14ac:dyDescent="0.2">
      <c r="DO39282" s="303" t="s">
        <v>232</v>
      </c>
    </row>
    <row r="39283" spans="119:119" x14ac:dyDescent="0.2">
      <c r="DO39283" s="303" t="s">
        <v>232</v>
      </c>
    </row>
    <row r="39284" spans="119:119" x14ac:dyDescent="0.2">
      <c r="DO39284" s="303" t="s">
        <v>232</v>
      </c>
    </row>
    <row r="39285" spans="119:119" x14ac:dyDescent="0.2">
      <c r="DO39285" s="303" t="s">
        <v>232</v>
      </c>
    </row>
    <row r="39286" spans="119:119" x14ac:dyDescent="0.2">
      <c r="DO39286" s="303" t="s">
        <v>232</v>
      </c>
    </row>
    <row r="39287" spans="119:119" x14ac:dyDescent="0.2">
      <c r="DO39287" s="303" t="s">
        <v>232</v>
      </c>
    </row>
    <row r="39288" spans="119:119" x14ac:dyDescent="0.2">
      <c r="DO39288" s="303" t="s">
        <v>232</v>
      </c>
    </row>
    <row r="39289" spans="119:119" x14ac:dyDescent="0.2">
      <c r="DO39289" s="303" t="s">
        <v>232</v>
      </c>
    </row>
    <row r="39290" spans="119:119" x14ac:dyDescent="0.2">
      <c r="DO39290" s="303" t="s">
        <v>232</v>
      </c>
    </row>
    <row r="39291" spans="119:119" x14ac:dyDescent="0.2">
      <c r="DO39291" s="303" t="s">
        <v>232</v>
      </c>
    </row>
    <row r="39292" spans="119:119" x14ac:dyDescent="0.2">
      <c r="DO39292" s="303" t="s">
        <v>232</v>
      </c>
    </row>
    <row r="39293" spans="119:119" x14ac:dyDescent="0.2">
      <c r="DO39293" s="303" t="s">
        <v>232</v>
      </c>
    </row>
    <row r="39294" spans="119:119" x14ac:dyDescent="0.2">
      <c r="DO39294" s="303" t="s">
        <v>232</v>
      </c>
    </row>
    <row r="39295" spans="119:119" x14ac:dyDescent="0.2">
      <c r="DO39295" s="303" t="s">
        <v>232</v>
      </c>
    </row>
    <row r="39296" spans="119:119" x14ac:dyDescent="0.2">
      <c r="DO39296" s="303" t="s">
        <v>232</v>
      </c>
    </row>
    <row r="39297" spans="119:119" x14ac:dyDescent="0.2">
      <c r="DO39297" s="303" t="s">
        <v>232</v>
      </c>
    </row>
    <row r="39298" spans="119:119" x14ac:dyDescent="0.2">
      <c r="DO39298" s="303" t="s">
        <v>232</v>
      </c>
    </row>
    <row r="39299" spans="119:119" x14ac:dyDescent="0.2">
      <c r="DO39299" s="303" t="s">
        <v>232</v>
      </c>
    </row>
    <row r="39300" spans="119:119" x14ac:dyDescent="0.2">
      <c r="DO39300" s="303" t="s">
        <v>232</v>
      </c>
    </row>
    <row r="39301" spans="119:119" x14ac:dyDescent="0.2">
      <c r="DO39301" s="303" t="s">
        <v>232</v>
      </c>
    </row>
    <row r="39302" spans="119:119" x14ac:dyDescent="0.2">
      <c r="DO39302" s="303" t="s">
        <v>232</v>
      </c>
    </row>
    <row r="39303" spans="119:119" x14ac:dyDescent="0.2">
      <c r="DO39303" s="303" t="s">
        <v>232</v>
      </c>
    </row>
    <row r="39304" spans="119:119" x14ac:dyDescent="0.2">
      <c r="DO39304" s="303" t="s">
        <v>232</v>
      </c>
    </row>
    <row r="39305" spans="119:119" x14ac:dyDescent="0.2">
      <c r="DO39305" s="303" t="s">
        <v>232</v>
      </c>
    </row>
    <row r="39306" spans="119:119" x14ac:dyDescent="0.2">
      <c r="DO39306" s="303" t="s">
        <v>232</v>
      </c>
    </row>
    <row r="39307" spans="119:119" x14ac:dyDescent="0.2">
      <c r="DO39307" s="303" t="s">
        <v>232</v>
      </c>
    </row>
    <row r="39308" spans="119:119" x14ac:dyDescent="0.2">
      <c r="DO39308" s="303" t="s">
        <v>232</v>
      </c>
    </row>
    <row r="39309" spans="119:119" x14ac:dyDescent="0.2">
      <c r="DO39309" s="303" t="s">
        <v>232</v>
      </c>
    </row>
    <row r="39310" spans="119:119" x14ac:dyDescent="0.2">
      <c r="DO39310" s="303" t="s">
        <v>232</v>
      </c>
    </row>
    <row r="39311" spans="119:119" x14ac:dyDescent="0.2">
      <c r="DO39311" s="303" t="s">
        <v>232</v>
      </c>
    </row>
    <row r="39312" spans="119:119" x14ac:dyDescent="0.2">
      <c r="DO39312" s="303" t="s">
        <v>232</v>
      </c>
    </row>
    <row r="39313" spans="119:119" x14ac:dyDescent="0.2">
      <c r="DO39313" s="303" t="s">
        <v>232</v>
      </c>
    </row>
    <row r="39314" spans="119:119" x14ac:dyDescent="0.2">
      <c r="DO39314" s="303" t="s">
        <v>232</v>
      </c>
    </row>
    <row r="39315" spans="119:119" x14ac:dyDescent="0.2">
      <c r="DO39315" s="303" t="s">
        <v>232</v>
      </c>
    </row>
    <row r="39316" spans="119:119" x14ac:dyDescent="0.2">
      <c r="DO39316" s="303" t="s">
        <v>232</v>
      </c>
    </row>
    <row r="39317" spans="119:119" x14ac:dyDescent="0.2">
      <c r="DO39317" s="303" t="s">
        <v>232</v>
      </c>
    </row>
    <row r="39318" spans="119:119" x14ac:dyDescent="0.2">
      <c r="DO39318" s="303" t="s">
        <v>232</v>
      </c>
    </row>
    <row r="39319" spans="119:119" x14ac:dyDescent="0.2">
      <c r="DO39319" s="303" t="s">
        <v>232</v>
      </c>
    </row>
    <row r="39320" spans="119:119" x14ac:dyDescent="0.2">
      <c r="DO39320" s="303" t="s">
        <v>232</v>
      </c>
    </row>
    <row r="39321" spans="119:119" x14ac:dyDescent="0.2">
      <c r="DO39321" s="303" t="s">
        <v>232</v>
      </c>
    </row>
    <row r="39322" spans="119:119" x14ac:dyDescent="0.2">
      <c r="DO39322" s="303" t="s">
        <v>232</v>
      </c>
    </row>
    <row r="39323" spans="119:119" x14ac:dyDescent="0.2">
      <c r="DO39323" s="303" t="s">
        <v>232</v>
      </c>
    </row>
    <row r="39324" spans="119:119" x14ac:dyDescent="0.2">
      <c r="DO39324" s="303" t="s">
        <v>232</v>
      </c>
    </row>
    <row r="39325" spans="119:119" x14ac:dyDescent="0.2">
      <c r="DO39325" s="303" t="s">
        <v>232</v>
      </c>
    </row>
    <row r="39326" spans="119:119" x14ac:dyDescent="0.2">
      <c r="DO39326" s="303" t="s">
        <v>232</v>
      </c>
    </row>
    <row r="39327" spans="119:119" x14ac:dyDescent="0.2">
      <c r="DO39327" s="303" t="s">
        <v>232</v>
      </c>
    </row>
    <row r="39328" spans="119:119" x14ac:dyDescent="0.2">
      <c r="DO39328" s="303" t="s">
        <v>232</v>
      </c>
    </row>
    <row r="39329" spans="119:119" x14ac:dyDescent="0.2">
      <c r="DO39329" s="303" t="s">
        <v>232</v>
      </c>
    </row>
    <row r="39330" spans="119:119" x14ac:dyDescent="0.2">
      <c r="DO39330" s="303" t="s">
        <v>232</v>
      </c>
    </row>
    <row r="39331" spans="119:119" x14ac:dyDescent="0.2">
      <c r="DO39331" s="303" t="s">
        <v>232</v>
      </c>
    </row>
    <row r="39332" spans="119:119" x14ac:dyDescent="0.2">
      <c r="DO39332" s="303" t="s">
        <v>232</v>
      </c>
    </row>
    <row r="39333" spans="119:119" x14ac:dyDescent="0.2">
      <c r="DO39333" s="303" t="s">
        <v>232</v>
      </c>
    </row>
    <row r="39334" spans="119:119" x14ac:dyDescent="0.2">
      <c r="DO39334" s="303" t="s">
        <v>232</v>
      </c>
    </row>
    <row r="39335" spans="119:119" x14ac:dyDescent="0.2">
      <c r="DO39335" s="303" t="s">
        <v>232</v>
      </c>
    </row>
    <row r="39336" spans="119:119" x14ac:dyDescent="0.2">
      <c r="DO39336" s="303" t="s">
        <v>232</v>
      </c>
    </row>
    <row r="39337" spans="119:119" x14ac:dyDescent="0.2">
      <c r="DO39337" s="303" t="s">
        <v>232</v>
      </c>
    </row>
    <row r="39338" spans="119:119" x14ac:dyDescent="0.2">
      <c r="DO39338" s="303" t="s">
        <v>232</v>
      </c>
    </row>
    <row r="39339" spans="119:119" x14ac:dyDescent="0.2">
      <c r="DO39339" s="303" t="s">
        <v>232</v>
      </c>
    </row>
    <row r="39340" spans="119:119" x14ac:dyDescent="0.2">
      <c r="DO39340" s="303" t="s">
        <v>232</v>
      </c>
    </row>
    <row r="39341" spans="119:119" x14ac:dyDescent="0.2">
      <c r="DO39341" s="303" t="s">
        <v>232</v>
      </c>
    </row>
    <row r="39342" spans="119:119" x14ac:dyDescent="0.2">
      <c r="DO39342" s="303" t="s">
        <v>232</v>
      </c>
    </row>
    <row r="39343" spans="119:119" x14ac:dyDescent="0.2">
      <c r="DO39343" s="303" t="s">
        <v>232</v>
      </c>
    </row>
    <row r="39344" spans="119:119" x14ac:dyDescent="0.2">
      <c r="DO39344" s="303" t="s">
        <v>232</v>
      </c>
    </row>
    <row r="39345" spans="119:119" x14ac:dyDescent="0.2">
      <c r="DO39345" s="303" t="s">
        <v>232</v>
      </c>
    </row>
    <row r="39346" spans="119:119" x14ac:dyDescent="0.2">
      <c r="DO39346" s="303" t="s">
        <v>232</v>
      </c>
    </row>
    <row r="39347" spans="119:119" x14ac:dyDescent="0.2">
      <c r="DO39347" s="303" t="s">
        <v>232</v>
      </c>
    </row>
    <row r="39348" spans="119:119" x14ac:dyDescent="0.2">
      <c r="DO39348" s="303" t="s">
        <v>232</v>
      </c>
    </row>
    <row r="39349" spans="119:119" x14ac:dyDescent="0.2">
      <c r="DO39349" s="303" t="s">
        <v>232</v>
      </c>
    </row>
    <row r="39350" spans="119:119" x14ac:dyDescent="0.2">
      <c r="DO39350" s="303" t="s">
        <v>232</v>
      </c>
    </row>
    <row r="39351" spans="119:119" x14ac:dyDescent="0.2">
      <c r="DO39351" s="303" t="s">
        <v>232</v>
      </c>
    </row>
    <row r="39352" spans="119:119" x14ac:dyDescent="0.2">
      <c r="DO39352" s="303" t="s">
        <v>232</v>
      </c>
    </row>
    <row r="39353" spans="119:119" x14ac:dyDescent="0.2">
      <c r="DO39353" s="303" t="s">
        <v>232</v>
      </c>
    </row>
    <row r="39354" spans="119:119" x14ac:dyDescent="0.2">
      <c r="DO39354" s="303" t="s">
        <v>232</v>
      </c>
    </row>
    <row r="39355" spans="119:119" x14ac:dyDescent="0.2">
      <c r="DO39355" s="303" t="s">
        <v>232</v>
      </c>
    </row>
    <row r="39356" spans="119:119" x14ac:dyDescent="0.2">
      <c r="DO39356" s="303" t="s">
        <v>232</v>
      </c>
    </row>
    <row r="39357" spans="119:119" x14ac:dyDescent="0.2">
      <c r="DO39357" s="303" t="s">
        <v>232</v>
      </c>
    </row>
    <row r="39358" spans="119:119" x14ac:dyDescent="0.2">
      <c r="DO39358" s="303" t="s">
        <v>232</v>
      </c>
    </row>
    <row r="39359" spans="119:119" x14ac:dyDescent="0.2">
      <c r="DO39359" s="303" t="s">
        <v>232</v>
      </c>
    </row>
    <row r="39360" spans="119:119" x14ac:dyDescent="0.2">
      <c r="DO39360" s="303" t="s">
        <v>232</v>
      </c>
    </row>
    <row r="39361" spans="119:119" x14ac:dyDescent="0.2">
      <c r="DO39361" s="303" t="s">
        <v>232</v>
      </c>
    </row>
    <row r="39362" spans="119:119" x14ac:dyDescent="0.2">
      <c r="DO39362" s="303" t="s">
        <v>232</v>
      </c>
    </row>
    <row r="39363" spans="119:119" x14ac:dyDescent="0.2">
      <c r="DO39363" s="303" t="s">
        <v>232</v>
      </c>
    </row>
    <row r="39364" spans="119:119" x14ac:dyDescent="0.2">
      <c r="DO39364" s="303" t="s">
        <v>232</v>
      </c>
    </row>
    <row r="39365" spans="119:119" x14ac:dyDescent="0.2">
      <c r="DO39365" s="303" t="s">
        <v>232</v>
      </c>
    </row>
    <row r="39366" spans="119:119" x14ac:dyDescent="0.2">
      <c r="DO39366" s="303" t="s">
        <v>232</v>
      </c>
    </row>
    <row r="39367" spans="119:119" x14ac:dyDescent="0.2">
      <c r="DO39367" s="303" t="s">
        <v>232</v>
      </c>
    </row>
    <row r="39368" spans="119:119" x14ac:dyDescent="0.2">
      <c r="DO39368" s="303" t="s">
        <v>232</v>
      </c>
    </row>
    <row r="39369" spans="119:119" x14ac:dyDescent="0.2">
      <c r="DO39369" s="303" t="s">
        <v>232</v>
      </c>
    </row>
    <row r="39370" spans="119:119" x14ac:dyDescent="0.2">
      <c r="DO39370" s="303" t="s">
        <v>232</v>
      </c>
    </row>
    <row r="39371" spans="119:119" x14ac:dyDescent="0.2">
      <c r="DO39371" s="303" t="s">
        <v>232</v>
      </c>
    </row>
    <row r="39372" spans="119:119" x14ac:dyDescent="0.2">
      <c r="DO39372" s="303" t="s">
        <v>232</v>
      </c>
    </row>
    <row r="39373" spans="119:119" x14ac:dyDescent="0.2">
      <c r="DO39373" s="303" t="s">
        <v>232</v>
      </c>
    </row>
    <row r="39374" spans="119:119" x14ac:dyDescent="0.2">
      <c r="DO39374" s="303" t="s">
        <v>232</v>
      </c>
    </row>
    <row r="39375" spans="119:119" x14ac:dyDescent="0.2">
      <c r="DO39375" s="303" t="s">
        <v>232</v>
      </c>
    </row>
    <row r="39376" spans="119:119" x14ac:dyDescent="0.2">
      <c r="DO39376" s="303" t="s">
        <v>232</v>
      </c>
    </row>
    <row r="39377" spans="119:119" x14ac:dyDescent="0.2">
      <c r="DO39377" s="303" t="s">
        <v>232</v>
      </c>
    </row>
    <row r="39378" spans="119:119" x14ac:dyDescent="0.2">
      <c r="DO39378" s="303" t="s">
        <v>232</v>
      </c>
    </row>
    <row r="39379" spans="119:119" x14ac:dyDescent="0.2">
      <c r="DO39379" s="303" t="s">
        <v>232</v>
      </c>
    </row>
    <row r="39380" spans="119:119" x14ac:dyDescent="0.2">
      <c r="DO39380" s="303" t="s">
        <v>232</v>
      </c>
    </row>
    <row r="39381" spans="119:119" x14ac:dyDescent="0.2">
      <c r="DO39381" s="303" t="s">
        <v>232</v>
      </c>
    </row>
    <row r="39382" spans="119:119" x14ac:dyDescent="0.2">
      <c r="DO39382" s="303" t="s">
        <v>232</v>
      </c>
    </row>
    <row r="39383" spans="119:119" x14ac:dyDescent="0.2">
      <c r="DO39383" s="303" t="s">
        <v>232</v>
      </c>
    </row>
    <row r="39384" spans="119:119" x14ac:dyDescent="0.2">
      <c r="DO39384" s="303" t="s">
        <v>232</v>
      </c>
    </row>
    <row r="39385" spans="119:119" x14ac:dyDescent="0.2">
      <c r="DO39385" s="303" t="s">
        <v>232</v>
      </c>
    </row>
    <row r="39386" spans="119:119" x14ac:dyDescent="0.2">
      <c r="DO39386" s="303" t="s">
        <v>232</v>
      </c>
    </row>
    <row r="39387" spans="119:119" x14ac:dyDescent="0.2">
      <c r="DO39387" s="303" t="s">
        <v>232</v>
      </c>
    </row>
    <row r="39388" spans="119:119" x14ac:dyDescent="0.2">
      <c r="DO39388" s="303" t="s">
        <v>232</v>
      </c>
    </row>
    <row r="39389" spans="119:119" x14ac:dyDescent="0.2">
      <c r="DO39389" s="303" t="s">
        <v>232</v>
      </c>
    </row>
    <row r="39390" spans="119:119" x14ac:dyDescent="0.2">
      <c r="DO39390" s="303" t="s">
        <v>232</v>
      </c>
    </row>
    <row r="39391" spans="119:119" x14ac:dyDescent="0.2">
      <c r="DO39391" s="303" t="s">
        <v>232</v>
      </c>
    </row>
    <row r="39392" spans="119:119" x14ac:dyDescent="0.2">
      <c r="DO39392" s="303" t="s">
        <v>232</v>
      </c>
    </row>
    <row r="39393" spans="119:119" x14ac:dyDescent="0.2">
      <c r="DO39393" s="303" t="s">
        <v>232</v>
      </c>
    </row>
    <row r="39394" spans="119:119" x14ac:dyDescent="0.2">
      <c r="DO39394" s="303" t="s">
        <v>232</v>
      </c>
    </row>
    <row r="39395" spans="119:119" x14ac:dyDescent="0.2">
      <c r="DO39395" s="303" t="s">
        <v>232</v>
      </c>
    </row>
    <row r="39396" spans="119:119" x14ac:dyDescent="0.2">
      <c r="DO39396" s="303" t="s">
        <v>232</v>
      </c>
    </row>
    <row r="39397" spans="119:119" x14ac:dyDescent="0.2">
      <c r="DO39397" s="303" t="s">
        <v>232</v>
      </c>
    </row>
    <row r="39398" spans="119:119" x14ac:dyDescent="0.2">
      <c r="DO39398" s="303" t="s">
        <v>232</v>
      </c>
    </row>
    <row r="39399" spans="119:119" x14ac:dyDescent="0.2">
      <c r="DO39399" s="303" t="s">
        <v>232</v>
      </c>
    </row>
    <row r="39400" spans="119:119" x14ac:dyDescent="0.2">
      <c r="DO39400" s="303" t="s">
        <v>232</v>
      </c>
    </row>
    <row r="39401" spans="119:119" x14ac:dyDescent="0.2">
      <c r="DO39401" s="303" t="s">
        <v>232</v>
      </c>
    </row>
    <row r="39402" spans="119:119" x14ac:dyDescent="0.2">
      <c r="DO39402" s="303" t="s">
        <v>232</v>
      </c>
    </row>
    <row r="39403" spans="119:119" x14ac:dyDescent="0.2">
      <c r="DO39403" s="303" t="s">
        <v>232</v>
      </c>
    </row>
    <row r="39404" spans="119:119" x14ac:dyDescent="0.2">
      <c r="DO39404" s="303" t="s">
        <v>232</v>
      </c>
    </row>
    <row r="39405" spans="119:119" x14ac:dyDescent="0.2">
      <c r="DO39405" s="303" t="s">
        <v>232</v>
      </c>
    </row>
    <row r="39406" spans="119:119" x14ac:dyDescent="0.2">
      <c r="DO39406" s="303" t="s">
        <v>232</v>
      </c>
    </row>
    <row r="39407" spans="119:119" x14ac:dyDescent="0.2">
      <c r="DO39407" s="303" t="s">
        <v>232</v>
      </c>
    </row>
    <row r="39408" spans="119:119" x14ac:dyDescent="0.2">
      <c r="DO39408" s="303" t="s">
        <v>232</v>
      </c>
    </row>
    <row r="39409" spans="119:119" x14ac:dyDescent="0.2">
      <c r="DO39409" s="303" t="s">
        <v>232</v>
      </c>
    </row>
    <row r="39410" spans="119:119" x14ac:dyDescent="0.2">
      <c r="DO39410" s="303" t="s">
        <v>232</v>
      </c>
    </row>
    <row r="39411" spans="119:119" x14ac:dyDescent="0.2">
      <c r="DO39411" s="303" t="s">
        <v>232</v>
      </c>
    </row>
    <row r="39412" spans="119:119" x14ac:dyDescent="0.2">
      <c r="DO39412" s="303" t="s">
        <v>232</v>
      </c>
    </row>
    <row r="39413" spans="119:119" x14ac:dyDescent="0.2">
      <c r="DO39413" s="303" t="s">
        <v>232</v>
      </c>
    </row>
    <row r="39414" spans="119:119" x14ac:dyDescent="0.2">
      <c r="DO39414" s="303" t="s">
        <v>232</v>
      </c>
    </row>
    <row r="39415" spans="119:119" x14ac:dyDescent="0.2">
      <c r="DO39415" s="303" t="s">
        <v>232</v>
      </c>
    </row>
    <row r="39416" spans="119:119" x14ac:dyDescent="0.2">
      <c r="DO39416" s="303" t="s">
        <v>232</v>
      </c>
    </row>
    <row r="39417" spans="119:119" x14ac:dyDescent="0.2">
      <c r="DO39417" s="303" t="s">
        <v>232</v>
      </c>
    </row>
    <row r="39418" spans="119:119" x14ac:dyDescent="0.2">
      <c r="DO39418" s="303" t="s">
        <v>232</v>
      </c>
    </row>
    <row r="39419" spans="119:119" x14ac:dyDescent="0.2">
      <c r="DO39419" s="303" t="s">
        <v>232</v>
      </c>
    </row>
    <row r="39420" spans="119:119" x14ac:dyDescent="0.2">
      <c r="DO39420" s="303" t="s">
        <v>232</v>
      </c>
    </row>
    <row r="39421" spans="119:119" x14ac:dyDescent="0.2">
      <c r="DO39421" s="303" t="s">
        <v>232</v>
      </c>
    </row>
    <row r="39422" spans="119:119" x14ac:dyDescent="0.2">
      <c r="DO39422" s="303" t="s">
        <v>232</v>
      </c>
    </row>
    <row r="39423" spans="119:119" x14ac:dyDescent="0.2">
      <c r="DO39423" s="303" t="s">
        <v>232</v>
      </c>
    </row>
    <row r="39424" spans="119:119" x14ac:dyDescent="0.2">
      <c r="DO39424" s="303" t="s">
        <v>232</v>
      </c>
    </row>
    <row r="39425" spans="119:119" x14ac:dyDescent="0.2">
      <c r="DO39425" s="303" t="s">
        <v>232</v>
      </c>
    </row>
    <row r="39426" spans="119:119" x14ac:dyDescent="0.2">
      <c r="DO39426" s="303" t="s">
        <v>232</v>
      </c>
    </row>
    <row r="39427" spans="119:119" x14ac:dyDescent="0.2">
      <c r="DO39427" s="303" t="s">
        <v>232</v>
      </c>
    </row>
    <row r="39428" spans="119:119" x14ac:dyDescent="0.2">
      <c r="DO39428" s="303" t="s">
        <v>232</v>
      </c>
    </row>
    <row r="39429" spans="119:119" x14ac:dyDescent="0.2">
      <c r="DO39429" s="303" t="s">
        <v>232</v>
      </c>
    </row>
    <row r="39430" spans="119:119" x14ac:dyDescent="0.2">
      <c r="DO39430" s="303" t="s">
        <v>232</v>
      </c>
    </row>
    <row r="39431" spans="119:119" x14ac:dyDescent="0.2">
      <c r="DO39431" s="303" t="s">
        <v>232</v>
      </c>
    </row>
    <row r="39432" spans="119:119" x14ac:dyDescent="0.2">
      <c r="DO39432" s="303" t="s">
        <v>232</v>
      </c>
    </row>
    <row r="39433" spans="119:119" x14ac:dyDescent="0.2">
      <c r="DO39433" s="303" t="s">
        <v>232</v>
      </c>
    </row>
    <row r="39434" spans="119:119" x14ac:dyDescent="0.2">
      <c r="DO39434" s="303" t="s">
        <v>232</v>
      </c>
    </row>
    <row r="39435" spans="119:119" x14ac:dyDescent="0.2">
      <c r="DO39435" s="303" t="s">
        <v>232</v>
      </c>
    </row>
    <row r="39436" spans="119:119" x14ac:dyDescent="0.2">
      <c r="DO39436" s="303" t="s">
        <v>232</v>
      </c>
    </row>
    <row r="39437" spans="119:119" x14ac:dyDescent="0.2">
      <c r="DO39437" s="303" t="s">
        <v>232</v>
      </c>
    </row>
    <row r="39438" spans="119:119" x14ac:dyDescent="0.2">
      <c r="DO39438" s="303" t="s">
        <v>232</v>
      </c>
    </row>
    <row r="39439" spans="119:119" x14ac:dyDescent="0.2">
      <c r="DO39439" s="303" t="s">
        <v>232</v>
      </c>
    </row>
    <row r="39440" spans="119:119" x14ac:dyDescent="0.2">
      <c r="DO39440" s="303" t="s">
        <v>232</v>
      </c>
    </row>
    <row r="39441" spans="119:119" x14ac:dyDescent="0.2">
      <c r="DO39441" s="303" t="s">
        <v>232</v>
      </c>
    </row>
    <row r="39442" spans="119:119" x14ac:dyDescent="0.2">
      <c r="DO39442" s="303" t="s">
        <v>232</v>
      </c>
    </row>
    <row r="39443" spans="119:119" x14ac:dyDescent="0.2">
      <c r="DO39443" s="303" t="s">
        <v>232</v>
      </c>
    </row>
    <row r="39444" spans="119:119" x14ac:dyDescent="0.2">
      <c r="DO39444" s="303" t="s">
        <v>232</v>
      </c>
    </row>
    <row r="39445" spans="119:119" x14ac:dyDescent="0.2">
      <c r="DO39445" s="303" t="s">
        <v>232</v>
      </c>
    </row>
    <row r="39446" spans="119:119" x14ac:dyDescent="0.2">
      <c r="DO39446" s="303" t="s">
        <v>232</v>
      </c>
    </row>
    <row r="39447" spans="119:119" x14ac:dyDescent="0.2">
      <c r="DO39447" s="303" t="s">
        <v>232</v>
      </c>
    </row>
    <row r="39448" spans="119:119" x14ac:dyDescent="0.2">
      <c r="DO39448" s="303" t="s">
        <v>232</v>
      </c>
    </row>
    <row r="39449" spans="119:119" x14ac:dyDescent="0.2">
      <c r="DO39449" s="303" t="s">
        <v>232</v>
      </c>
    </row>
    <row r="39450" spans="119:119" x14ac:dyDescent="0.2">
      <c r="DO39450" s="303" t="s">
        <v>232</v>
      </c>
    </row>
    <row r="39451" spans="119:119" x14ac:dyDescent="0.2">
      <c r="DO39451" s="303" t="s">
        <v>232</v>
      </c>
    </row>
    <row r="39452" spans="119:119" x14ac:dyDescent="0.2">
      <c r="DO39452" s="303" t="s">
        <v>232</v>
      </c>
    </row>
    <row r="39453" spans="119:119" x14ac:dyDescent="0.2">
      <c r="DO39453" s="303" t="s">
        <v>232</v>
      </c>
    </row>
    <row r="39454" spans="119:119" x14ac:dyDescent="0.2">
      <c r="DO39454" s="303" t="s">
        <v>232</v>
      </c>
    </row>
    <row r="39455" spans="119:119" x14ac:dyDescent="0.2">
      <c r="DO39455" s="303" t="s">
        <v>232</v>
      </c>
    </row>
    <row r="39456" spans="119:119" x14ac:dyDescent="0.2">
      <c r="DO39456" s="303" t="s">
        <v>232</v>
      </c>
    </row>
    <row r="39457" spans="119:119" x14ac:dyDescent="0.2">
      <c r="DO39457" s="303" t="s">
        <v>232</v>
      </c>
    </row>
    <row r="39458" spans="119:119" x14ac:dyDescent="0.2">
      <c r="DO39458" s="303" t="s">
        <v>232</v>
      </c>
    </row>
    <row r="39459" spans="119:119" x14ac:dyDescent="0.2">
      <c r="DO39459" s="303" t="s">
        <v>232</v>
      </c>
    </row>
    <row r="39460" spans="119:119" x14ac:dyDescent="0.2">
      <c r="DO39460" s="303" t="s">
        <v>232</v>
      </c>
    </row>
    <row r="39461" spans="119:119" x14ac:dyDescent="0.2">
      <c r="DO39461" s="303" t="s">
        <v>232</v>
      </c>
    </row>
    <row r="39462" spans="119:119" x14ac:dyDescent="0.2">
      <c r="DO39462" s="303" t="s">
        <v>232</v>
      </c>
    </row>
    <row r="39463" spans="119:119" x14ac:dyDescent="0.2">
      <c r="DO39463" s="303" t="s">
        <v>232</v>
      </c>
    </row>
    <row r="39464" spans="119:119" x14ac:dyDescent="0.2">
      <c r="DO39464" s="303" t="s">
        <v>232</v>
      </c>
    </row>
    <row r="39465" spans="119:119" x14ac:dyDescent="0.2">
      <c r="DO39465" s="303" t="s">
        <v>232</v>
      </c>
    </row>
    <row r="39466" spans="119:119" x14ac:dyDescent="0.2">
      <c r="DO39466" s="303" t="s">
        <v>232</v>
      </c>
    </row>
    <row r="39467" spans="119:119" x14ac:dyDescent="0.2">
      <c r="DO39467" s="303" t="s">
        <v>232</v>
      </c>
    </row>
    <row r="39468" spans="119:119" x14ac:dyDescent="0.2">
      <c r="DO39468" s="303" t="s">
        <v>232</v>
      </c>
    </row>
    <row r="39469" spans="119:119" x14ac:dyDescent="0.2">
      <c r="DO39469" s="303" t="s">
        <v>232</v>
      </c>
    </row>
    <row r="39470" spans="119:119" x14ac:dyDescent="0.2">
      <c r="DO39470" s="303" t="s">
        <v>232</v>
      </c>
    </row>
    <row r="39471" spans="119:119" x14ac:dyDescent="0.2">
      <c r="DO39471" s="303" t="s">
        <v>232</v>
      </c>
    </row>
    <row r="39472" spans="119:119" x14ac:dyDescent="0.2">
      <c r="DO39472" s="303" t="s">
        <v>232</v>
      </c>
    </row>
    <row r="39473" spans="119:119" x14ac:dyDescent="0.2">
      <c r="DO39473" s="303" t="s">
        <v>232</v>
      </c>
    </row>
    <row r="39474" spans="119:119" x14ac:dyDescent="0.2">
      <c r="DO39474" s="303" t="s">
        <v>232</v>
      </c>
    </row>
    <row r="39475" spans="119:119" x14ac:dyDescent="0.2">
      <c r="DO39475" s="303" t="s">
        <v>232</v>
      </c>
    </row>
    <row r="39476" spans="119:119" x14ac:dyDescent="0.2">
      <c r="DO39476" s="303" t="s">
        <v>232</v>
      </c>
    </row>
    <row r="39477" spans="119:119" x14ac:dyDescent="0.2">
      <c r="DO39477" s="303" t="s">
        <v>232</v>
      </c>
    </row>
    <row r="39478" spans="119:119" x14ac:dyDescent="0.2">
      <c r="DO39478" s="303" t="s">
        <v>232</v>
      </c>
    </row>
    <row r="39479" spans="119:119" x14ac:dyDescent="0.2">
      <c r="DO39479" s="303" t="s">
        <v>232</v>
      </c>
    </row>
    <row r="39480" spans="119:119" x14ac:dyDescent="0.2">
      <c r="DO39480" s="303" t="s">
        <v>232</v>
      </c>
    </row>
    <row r="39481" spans="119:119" x14ac:dyDescent="0.2">
      <c r="DO39481" s="303" t="s">
        <v>232</v>
      </c>
    </row>
    <row r="39482" spans="119:119" x14ac:dyDescent="0.2">
      <c r="DO39482" s="303" t="s">
        <v>232</v>
      </c>
    </row>
    <row r="39483" spans="119:119" x14ac:dyDescent="0.2">
      <c r="DO39483" s="303" t="s">
        <v>232</v>
      </c>
    </row>
    <row r="39484" spans="119:119" x14ac:dyDescent="0.2">
      <c r="DO39484" s="303" t="s">
        <v>232</v>
      </c>
    </row>
    <row r="39485" spans="119:119" x14ac:dyDescent="0.2">
      <c r="DO39485" s="303" t="s">
        <v>232</v>
      </c>
    </row>
    <row r="39486" spans="119:119" x14ac:dyDescent="0.2">
      <c r="DO39486" s="303" t="s">
        <v>232</v>
      </c>
    </row>
    <row r="39487" spans="119:119" x14ac:dyDescent="0.2">
      <c r="DO39487" s="303" t="s">
        <v>232</v>
      </c>
    </row>
    <row r="39488" spans="119:119" x14ac:dyDescent="0.2">
      <c r="DO39488" s="303" t="s">
        <v>232</v>
      </c>
    </row>
    <row r="39489" spans="119:119" x14ac:dyDescent="0.2">
      <c r="DO39489" s="303" t="s">
        <v>232</v>
      </c>
    </row>
    <row r="39490" spans="119:119" x14ac:dyDescent="0.2">
      <c r="DO39490" s="303" t="s">
        <v>232</v>
      </c>
    </row>
    <row r="39491" spans="119:119" x14ac:dyDescent="0.2">
      <c r="DO39491" s="303" t="s">
        <v>232</v>
      </c>
    </row>
    <row r="39492" spans="119:119" x14ac:dyDescent="0.2">
      <c r="DO39492" s="303" t="s">
        <v>232</v>
      </c>
    </row>
    <row r="39493" spans="119:119" x14ac:dyDescent="0.2">
      <c r="DO39493" s="303" t="s">
        <v>232</v>
      </c>
    </row>
    <row r="39494" spans="119:119" x14ac:dyDescent="0.2">
      <c r="DO39494" s="303" t="s">
        <v>232</v>
      </c>
    </row>
    <row r="39495" spans="119:119" x14ac:dyDescent="0.2">
      <c r="DO39495" s="303" t="s">
        <v>232</v>
      </c>
    </row>
    <row r="39496" spans="119:119" x14ac:dyDescent="0.2">
      <c r="DO39496" s="303" t="s">
        <v>232</v>
      </c>
    </row>
    <row r="39497" spans="119:119" x14ac:dyDescent="0.2">
      <c r="DO39497" s="303" t="s">
        <v>232</v>
      </c>
    </row>
    <row r="39498" spans="119:119" x14ac:dyDescent="0.2">
      <c r="DO39498" s="303" t="s">
        <v>232</v>
      </c>
    </row>
    <row r="39499" spans="119:119" x14ac:dyDescent="0.2">
      <c r="DO39499" s="303" t="s">
        <v>232</v>
      </c>
    </row>
    <row r="39500" spans="119:119" x14ac:dyDescent="0.2">
      <c r="DO39500" s="303" t="s">
        <v>232</v>
      </c>
    </row>
    <row r="39501" spans="119:119" x14ac:dyDescent="0.2">
      <c r="DO39501" s="303" t="s">
        <v>232</v>
      </c>
    </row>
    <row r="39502" spans="119:119" x14ac:dyDescent="0.2">
      <c r="DO39502" s="303" t="s">
        <v>232</v>
      </c>
    </row>
    <row r="39503" spans="119:119" x14ac:dyDescent="0.2">
      <c r="DO39503" s="303" t="s">
        <v>232</v>
      </c>
    </row>
    <row r="39504" spans="119:119" x14ac:dyDescent="0.2">
      <c r="DO39504" s="303" t="s">
        <v>232</v>
      </c>
    </row>
    <row r="39505" spans="119:119" x14ac:dyDescent="0.2">
      <c r="DO39505" s="303" t="s">
        <v>232</v>
      </c>
    </row>
    <row r="39506" spans="119:119" x14ac:dyDescent="0.2">
      <c r="DO39506" s="303" t="s">
        <v>232</v>
      </c>
    </row>
    <row r="39507" spans="119:119" x14ac:dyDescent="0.2">
      <c r="DO39507" s="303" t="s">
        <v>232</v>
      </c>
    </row>
    <row r="39508" spans="119:119" x14ac:dyDescent="0.2">
      <c r="DO39508" s="303" t="s">
        <v>232</v>
      </c>
    </row>
    <row r="39509" spans="119:119" x14ac:dyDescent="0.2">
      <c r="DO39509" s="303" t="s">
        <v>232</v>
      </c>
    </row>
    <row r="39510" spans="119:119" x14ac:dyDescent="0.2">
      <c r="DO39510" s="303" t="s">
        <v>232</v>
      </c>
    </row>
    <row r="39511" spans="119:119" x14ac:dyDescent="0.2">
      <c r="DO39511" s="303" t="s">
        <v>232</v>
      </c>
    </row>
    <row r="39512" spans="119:119" x14ac:dyDescent="0.2">
      <c r="DO39512" s="303" t="s">
        <v>232</v>
      </c>
    </row>
    <row r="39513" spans="119:119" x14ac:dyDescent="0.2">
      <c r="DO39513" s="303" t="s">
        <v>232</v>
      </c>
    </row>
    <row r="39514" spans="119:119" x14ac:dyDescent="0.2">
      <c r="DO39514" s="303" t="s">
        <v>232</v>
      </c>
    </row>
    <row r="39515" spans="119:119" x14ac:dyDescent="0.2">
      <c r="DO39515" s="303" t="s">
        <v>232</v>
      </c>
    </row>
    <row r="39516" spans="119:119" x14ac:dyDescent="0.2">
      <c r="DO39516" s="303" t="s">
        <v>232</v>
      </c>
    </row>
    <row r="39517" spans="119:119" x14ac:dyDescent="0.2">
      <c r="DO39517" s="303" t="s">
        <v>232</v>
      </c>
    </row>
    <row r="39518" spans="119:119" x14ac:dyDescent="0.2">
      <c r="DO39518" s="303" t="s">
        <v>232</v>
      </c>
    </row>
    <row r="39519" spans="119:119" x14ac:dyDescent="0.2">
      <c r="DO39519" s="303" t="s">
        <v>232</v>
      </c>
    </row>
    <row r="39520" spans="119:119" x14ac:dyDescent="0.2">
      <c r="DO39520" s="303" t="s">
        <v>232</v>
      </c>
    </row>
    <row r="39521" spans="119:119" x14ac:dyDescent="0.2">
      <c r="DO39521" s="303" t="s">
        <v>232</v>
      </c>
    </row>
    <row r="39522" spans="119:119" x14ac:dyDescent="0.2">
      <c r="DO39522" s="303" t="s">
        <v>232</v>
      </c>
    </row>
    <row r="39523" spans="119:119" x14ac:dyDescent="0.2">
      <c r="DO39523" s="303" t="s">
        <v>232</v>
      </c>
    </row>
    <row r="39524" spans="119:119" x14ac:dyDescent="0.2">
      <c r="DO39524" s="303" t="s">
        <v>232</v>
      </c>
    </row>
    <row r="39525" spans="119:119" x14ac:dyDescent="0.2">
      <c r="DO39525" s="303" t="s">
        <v>232</v>
      </c>
    </row>
    <row r="39526" spans="119:119" x14ac:dyDescent="0.2">
      <c r="DO39526" s="303" t="s">
        <v>232</v>
      </c>
    </row>
    <row r="39527" spans="119:119" x14ac:dyDescent="0.2">
      <c r="DO39527" s="303" t="s">
        <v>232</v>
      </c>
    </row>
    <row r="39528" spans="119:119" x14ac:dyDescent="0.2">
      <c r="DO39528" s="303" t="s">
        <v>232</v>
      </c>
    </row>
    <row r="39529" spans="119:119" x14ac:dyDescent="0.2">
      <c r="DO39529" s="303" t="s">
        <v>232</v>
      </c>
    </row>
    <row r="39530" spans="119:119" x14ac:dyDescent="0.2">
      <c r="DO39530" s="303" t="s">
        <v>232</v>
      </c>
    </row>
    <row r="39531" spans="119:119" x14ac:dyDescent="0.2">
      <c r="DO39531" s="303" t="s">
        <v>232</v>
      </c>
    </row>
    <row r="39532" spans="119:119" x14ac:dyDescent="0.2">
      <c r="DO39532" s="303" t="s">
        <v>232</v>
      </c>
    </row>
    <row r="39533" spans="119:119" x14ac:dyDescent="0.2">
      <c r="DO39533" s="303" t="s">
        <v>232</v>
      </c>
    </row>
    <row r="39534" spans="119:119" x14ac:dyDescent="0.2">
      <c r="DO39534" s="303" t="s">
        <v>232</v>
      </c>
    </row>
    <row r="39535" spans="119:119" x14ac:dyDescent="0.2">
      <c r="DO39535" s="303" t="s">
        <v>232</v>
      </c>
    </row>
    <row r="39536" spans="119:119" x14ac:dyDescent="0.2">
      <c r="DO39536" s="303" t="s">
        <v>232</v>
      </c>
    </row>
    <row r="39537" spans="119:119" x14ac:dyDescent="0.2">
      <c r="DO39537" s="303" t="s">
        <v>232</v>
      </c>
    </row>
    <row r="39538" spans="119:119" x14ac:dyDescent="0.2">
      <c r="DO39538" s="303" t="s">
        <v>232</v>
      </c>
    </row>
    <row r="39539" spans="119:119" x14ac:dyDescent="0.2">
      <c r="DO39539" s="303" t="s">
        <v>232</v>
      </c>
    </row>
    <row r="39540" spans="119:119" x14ac:dyDescent="0.2">
      <c r="DO39540" s="303" t="s">
        <v>232</v>
      </c>
    </row>
    <row r="39541" spans="119:119" x14ac:dyDescent="0.2">
      <c r="DO39541" s="303" t="s">
        <v>232</v>
      </c>
    </row>
    <row r="39542" spans="119:119" x14ac:dyDescent="0.2">
      <c r="DO39542" s="303" t="s">
        <v>232</v>
      </c>
    </row>
    <row r="39543" spans="119:119" x14ac:dyDescent="0.2">
      <c r="DO39543" s="303" t="s">
        <v>232</v>
      </c>
    </row>
    <row r="39544" spans="119:119" x14ac:dyDescent="0.2">
      <c r="DO39544" s="303" t="s">
        <v>232</v>
      </c>
    </row>
    <row r="39545" spans="119:119" x14ac:dyDescent="0.2">
      <c r="DO39545" s="303" t="s">
        <v>232</v>
      </c>
    </row>
    <row r="39546" spans="119:119" x14ac:dyDescent="0.2">
      <c r="DO39546" s="303" t="s">
        <v>232</v>
      </c>
    </row>
    <row r="39547" spans="119:119" x14ac:dyDescent="0.2">
      <c r="DO39547" s="303" t="s">
        <v>232</v>
      </c>
    </row>
    <row r="39548" spans="119:119" x14ac:dyDescent="0.2">
      <c r="DO39548" s="303" t="s">
        <v>232</v>
      </c>
    </row>
    <row r="39549" spans="119:119" x14ac:dyDescent="0.2">
      <c r="DO39549" s="303" t="s">
        <v>232</v>
      </c>
    </row>
    <row r="39550" spans="119:119" x14ac:dyDescent="0.2">
      <c r="DO39550" s="303" t="s">
        <v>232</v>
      </c>
    </row>
    <row r="39551" spans="119:119" x14ac:dyDescent="0.2">
      <c r="DO39551" s="303" t="s">
        <v>232</v>
      </c>
    </row>
    <row r="39552" spans="119:119" x14ac:dyDescent="0.2">
      <c r="DO39552" s="303" t="s">
        <v>232</v>
      </c>
    </row>
    <row r="39553" spans="119:119" x14ac:dyDescent="0.2">
      <c r="DO39553" s="303" t="s">
        <v>232</v>
      </c>
    </row>
    <row r="39554" spans="119:119" x14ac:dyDescent="0.2">
      <c r="DO39554" s="303" t="s">
        <v>232</v>
      </c>
    </row>
    <row r="39555" spans="119:119" x14ac:dyDescent="0.2">
      <c r="DO39555" s="303" t="s">
        <v>232</v>
      </c>
    </row>
    <row r="39556" spans="119:119" x14ac:dyDescent="0.2">
      <c r="DO39556" s="303" t="s">
        <v>232</v>
      </c>
    </row>
    <row r="39557" spans="119:119" x14ac:dyDescent="0.2">
      <c r="DO39557" s="303" t="s">
        <v>232</v>
      </c>
    </row>
    <row r="39558" spans="119:119" x14ac:dyDescent="0.2">
      <c r="DO39558" s="303" t="s">
        <v>232</v>
      </c>
    </row>
    <row r="39559" spans="119:119" x14ac:dyDescent="0.2">
      <c r="DO39559" s="303" t="s">
        <v>232</v>
      </c>
    </row>
    <row r="39560" spans="119:119" x14ac:dyDescent="0.2">
      <c r="DO39560" s="303" t="s">
        <v>232</v>
      </c>
    </row>
    <row r="39561" spans="119:119" x14ac:dyDescent="0.2">
      <c r="DO39561" s="303" t="s">
        <v>232</v>
      </c>
    </row>
    <row r="39562" spans="119:119" x14ac:dyDescent="0.2">
      <c r="DO39562" s="303" t="s">
        <v>232</v>
      </c>
    </row>
    <row r="39563" spans="119:119" x14ac:dyDescent="0.2">
      <c r="DO39563" s="303" t="s">
        <v>232</v>
      </c>
    </row>
    <row r="39564" spans="119:119" x14ac:dyDescent="0.2">
      <c r="DO39564" s="303" t="s">
        <v>232</v>
      </c>
    </row>
    <row r="39565" spans="119:119" x14ac:dyDescent="0.2">
      <c r="DO39565" s="303" t="s">
        <v>232</v>
      </c>
    </row>
    <row r="39566" spans="119:119" x14ac:dyDescent="0.2">
      <c r="DO39566" s="303" t="s">
        <v>232</v>
      </c>
    </row>
    <row r="39567" spans="119:119" x14ac:dyDescent="0.2">
      <c r="DO39567" s="303" t="s">
        <v>232</v>
      </c>
    </row>
    <row r="39568" spans="119:119" x14ac:dyDescent="0.2">
      <c r="DO39568" s="303" t="s">
        <v>232</v>
      </c>
    </row>
    <row r="39569" spans="119:119" x14ac:dyDescent="0.2">
      <c r="DO39569" s="303" t="s">
        <v>232</v>
      </c>
    </row>
    <row r="39570" spans="119:119" x14ac:dyDescent="0.2">
      <c r="DO39570" s="303" t="s">
        <v>232</v>
      </c>
    </row>
    <row r="39571" spans="119:119" x14ac:dyDescent="0.2">
      <c r="DO39571" s="303" t="s">
        <v>232</v>
      </c>
    </row>
    <row r="39572" spans="119:119" x14ac:dyDescent="0.2">
      <c r="DO39572" s="303" t="s">
        <v>232</v>
      </c>
    </row>
    <row r="39573" spans="119:119" x14ac:dyDescent="0.2">
      <c r="DO39573" s="303" t="s">
        <v>232</v>
      </c>
    </row>
    <row r="39574" spans="119:119" x14ac:dyDescent="0.2">
      <c r="DO39574" s="303" t="s">
        <v>232</v>
      </c>
    </row>
    <row r="39575" spans="119:119" x14ac:dyDescent="0.2">
      <c r="DO39575" s="303" t="s">
        <v>232</v>
      </c>
    </row>
    <row r="39576" spans="119:119" x14ac:dyDescent="0.2">
      <c r="DO39576" s="303" t="s">
        <v>232</v>
      </c>
    </row>
    <row r="39577" spans="119:119" x14ac:dyDescent="0.2">
      <c r="DO39577" s="303" t="s">
        <v>232</v>
      </c>
    </row>
    <row r="39578" spans="119:119" x14ac:dyDescent="0.2">
      <c r="DO39578" s="303" t="s">
        <v>232</v>
      </c>
    </row>
    <row r="39579" spans="119:119" x14ac:dyDescent="0.2">
      <c r="DO39579" s="303" t="s">
        <v>232</v>
      </c>
    </row>
    <row r="39580" spans="119:119" x14ac:dyDescent="0.2">
      <c r="DO39580" s="303" t="s">
        <v>232</v>
      </c>
    </row>
    <row r="39581" spans="119:119" x14ac:dyDescent="0.2">
      <c r="DO39581" s="303" t="s">
        <v>232</v>
      </c>
    </row>
    <row r="39582" spans="119:119" x14ac:dyDescent="0.2">
      <c r="DO39582" s="303" t="s">
        <v>232</v>
      </c>
    </row>
    <row r="39583" spans="119:119" x14ac:dyDescent="0.2">
      <c r="DO39583" s="303" t="s">
        <v>232</v>
      </c>
    </row>
    <row r="39584" spans="119:119" x14ac:dyDescent="0.2">
      <c r="DO39584" s="303" t="s">
        <v>232</v>
      </c>
    </row>
    <row r="39585" spans="119:119" x14ac:dyDescent="0.2">
      <c r="DO39585" s="303" t="s">
        <v>232</v>
      </c>
    </row>
    <row r="39586" spans="119:119" x14ac:dyDescent="0.2">
      <c r="DO39586" s="303" t="s">
        <v>232</v>
      </c>
    </row>
    <row r="39587" spans="119:119" x14ac:dyDescent="0.2">
      <c r="DO39587" s="303" t="s">
        <v>232</v>
      </c>
    </row>
    <row r="39588" spans="119:119" x14ac:dyDescent="0.2">
      <c r="DO39588" s="303" t="s">
        <v>232</v>
      </c>
    </row>
    <row r="39589" spans="119:119" x14ac:dyDescent="0.2">
      <c r="DO39589" s="303" t="s">
        <v>232</v>
      </c>
    </row>
    <row r="39590" spans="119:119" x14ac:dyDescent="0.2">
      <c r="DO39590" s="303" t="s">
        <v>232</v>
      </c>
    </row>
    <row r="39591" spans="119:119" x14ac:dyDescent="0.2">
      <c r="DO39591" s="303" t="s">
        <v>232</v>
      </c>
    </row>
    <row r="39592" spans="119:119" x14ac:dyDescent="0.2">
      <c r="DO39592" s="303" t="s">
        <v>232</v>
      </c>
    </row>
    <row r="39593" spans="119:119" x14ac:dyDescent="0.2">
      <c r="DO39593" s="303" t="s">
        <v>232</v>
      </c>
    </row>
    <row r="39594" spans="119:119" x14ac:dyDescent="0.2">
      <c r="DO39594" s="303" t="s">
        <v>232</v>
      </c>
    </row>
    <row r="39595" spans="119:119" x14ac:dyDescent="0.2">
      <c r="DO39595" s="303" t="s">
        <v>232</v>
      </c>
    </row>
    <row r="39596" spans="119:119" x14ac:dyDescent="0.2">
      <c r="DO39596" s="303" t="s">
        <v>232</v>
      </c>
    </row>
    <row r="39597" spans="119:119" x14ac:dyDescent="0.2">
      <c r="DO39597" s="303" t="s">
        <v>232</v>
      </c>
    </row>
    <row r="39598" spans="119:119" x14ac:dyDescent="0.2">
      <c r="DO39598" s="303" t="s">
        <v>232</v>
      </c>
    </row>
    <row r="39599" spans="119:119" x14ac:dyDescent="0.2">
      <c r="DO39599" s="303" t="s">
        <v>232</v>
      </c>
    </row>
    <row r="39600" spans="119:119" x14ac:dyDescent="0.2">
      <c r="DO39600" s="303" t="s">
        <v>232</v>
      </c>
    </row>
    <row r="39601" spans="119:119" x14ac:dyDescent="0.2">
      <c r="DO39601" s="303" t="s">
        <v>232</v>
      </c>
    </row>
    <row r="39602" spans="119:119" x14ac:dyDescent="0.2">
      <c r="DO39602" s="303" t="s">
        <v>232</v>
      </c>
    </row>
    <row r="39603" spans="119:119" x14ac:dyDescent="0.2">
      <c r="DO39603" s="303" t="s">
        <v>232</v>
      </c>
    </row>
    <row r="39604" spans="119:119" x14ac:dyDescent="0.2">
      <c r="DO39604" s="303" t="s">
        <v>232</v>
      </c>
    </row>
    <row r="39605" spans="119:119" x14ac:dyDescent="0.2">
      <c r="DO39605" s="303" t="s">
        <v>232</v>
      </c>
    </row>
    <row r="39606" spans="119:119" x14ac:dyDescent="0.2">
      <c r="DO39606" s="303" t="s">
        <v>232</v>
      </c>
    </row>
    <row r="39607" spans="119:119" x14ac:dyDescent="0.2">
      <c r="DO39607" s="303" t="s">
        <v>232</v>
      </c>
    </row>
    <row r="39608" spans="119:119" x14ac:dyDescent="0.2">
      <c r="DO39608" s="303" t="s">
        <v>232</v>
      </c>
    </row>
    <row r="39609" spans="119:119" x14ac:dyDescent="0.2">
      <c r="DO39609" s="303" t="s">
        <v>232</v>
      </c>
    </row>
    <row r="39610" spans="119:119" x14ac:dyDescent="0.2">
      <c r="DO39610" s="303" t="s">
        <v>232</v>
      </c>
    </row>
    <row r="39611" spans="119:119" x14ac:dyDescent="0.2">
      <c r="DO39611" s="303" t="s">
        <v>232</v>
      </c>
    </row>
    <row r="39612" spans="119:119" x14ac:dyDescent="0.2">
      <c r="DO39612" s="303" t="s">
        <v>232</v>
      </c>
    </row>
    <row r="39613" spans="119:119" x14ac:dyDescent="0.2">
      <c r="DO39613" s="303" t="s">
        <v>232</v>
      </c>
    </row>
    <row r="39614" spans="119:119" x14ac:dyDescent="0.2">
      <c r="DO39614" s="303" t="s">
        <v>232</v>
      </c>
    </row>
    <row r="39615" spans="119:119" x14ac:dyDescent="0.2">
      <c r="DO39615" s="303" t="s">
        <v>232</v>
      </c>
    </row>
    <row r="39616" spans="119:119" x14ac:dyDescent="0.2">
      <c r="DO39616" s="303" t="s">
        <v>232</v>
      </c>
    </row>
    <row r="39617" spans="119:119" x14ac:dyDescent="0.2">
      <c r="DO39617" s="303" t="s">
        <v>232</v>
      </c>
    </row>
    <row r="39618" spans="119:119" x14ac:dyDescent="0.2">
      <c r="DO39618" s="303" t="s">
        <v>232</v>
      </c>
    </row>
    <row r="39619" spans="119:119" x14ac:dyDescent="0.2">
      <c r="DO39619" s="303" t="s">
        <v>232</v>
      </c>
    </row>
    <row r="39620" spans="119:119" x14ac:dyDescent="0.2">
      <c r="DO39620" s="303" t="s">
        <v>232</v>
      </c>
    </row>
    <row r="39621" spans="119:119" x14ac:dyDescent="0.2">
      <c r="DO39621" s="303" t="s">
        <v>232</v>
      </c>
    </row>
    <row r="39622" spans="119:119" x14ac:dyDescent="0.2">
      <c r="DO39622" s="303" t="s">
        <v>232</v>
      </c>
    </row>
    <row r="39623" spans="119:119" x14ac:dyDescent="0.2">
      <c r="DO39623" s="303" t="s">
        <v>232</v>
      </c>
    </row>
    <row r="39624" spans="119:119" x14ac:dyDescent="0.2">
      <c r="DO39624" s="303" t="s">
        <v>232</v>
      </c>
    </row>
    <row r="39625" spans="119:119" x14ac:dyDescent="0.2">
      <c r="DO39625" s="303" t="s">
        <v>232</v>
      </c>
    </row>
    <row r="39626" spans="119:119" x14ac:dyDescent="0.2">
      <c r="DO39626" s="303" t="s">
        <v>232</v>
      </c>
    </row>
    <row r="39627" spans="119:119" x14ac:dyDescent="0.2">
      <c r="DO39627" s="303" t="s">
        <v>232</v>
      </c>
    </row>
    <row r="39628" spans="119:119" x14ac:dyDescent="0.2">
      <c r="DO39628" s="303" t="s">
        <v>232</v>
      </c>
    </row>
    <row r="39629" spans="119:119" x14ac:dyDescent="0.2">
      <c r="DO39629" s="303" t="s">
        <v>232</v>
      </c>
    </row>
    <row r="39630" spans="119:119" x14ac:dyDescent="0.2">
      <c r="DO39630" s="303" t="s">
        <v>232</v>
      </c>
    </row>
    <row r="39631" spans="119:119" x14ac:dyDescent="0.2">
      <c r="DO39631" s="303" t="s">
        <v>232</v>
      </c>
    </row>
    <row r="39632" spans="119:119" x14ac:dyDescent="0.2">
      <c r="DO39632" s="303" t="s">
        <v>232</v>
      </c>
    </row>
    <row r="39633" spans="119:119" x14ac:dyDescent="0.2">
      <c r="DO39633" s="303" t="s">
        <v>232</v>
      </c>
    </row>
    <row r="39634" spans="119:119" x14ac:dyDescent="0.2">
      <c r="DO39634" s="303" t="s">
        <v>232</v>
      </c>
    </row>
    <row r="39635" spans="119:119" x14ac:dyDescent="0.2">
      <c r="DO39635" s="303" t="s">
        <v>232</v>
      </c>
    </row>
    <row r="39636" spans="119:119" x14ac:dyDescent="0.2">
      <c r="DO39636" s="303" t="s">
        <v>232</v>
      </c>
    </row>
    <row r="39637" spans="119:119" x14ac:dyDescent="0.2">
      <c r="DO39637" s="303" t="s">
        <v>232</v>
      </c>
    </row>
    <row r="39638" spans="119:119" x14ac:dyDescent="0.2">
      <c r="DO39638" s="303" t="s">
        <v>232</v>
      </c>
    </row>
    <row r="39639" spans="119:119" x14ac:dyDescent="0.2">
      <c r="DO39639" s="303" t="s">
        <v>232</v>
      </c>
    </row>
    <row r="39640" spans="119:119" x14ac:dyDescent="0.2">
      <c r="DO39640" s="303" t="s">
        <v>232</v>
      </c>
    </row>
    <row r="39641" spans="119:119" x14ac:dyDescent="0.2">
      <c r="DO39641" s="303" t="s">
        <v>232</v>
      </c>
    </row>
    <row r="39642" spans="119:119" x14ac:dyDescent="0.2">
      <c r="DO39642" s="303" t="s">
        <v>232</v>
      </c>
    </row>
    <row r="39643" spans="119:119" x14ac:dyDescent="0.2">
      <c r="DO39643" s="303" t="s">
        <v>232</v>
      </c>
    </row>
    <row r="39644" spans="119:119" x14ac:dyDescent="0.2">
      <c r="DO39644" s="303" t="s">
        <v>232</v>
      </c>
    </row>
    <row r="39645" spans="119:119" x14ac:dyDescent="0.2">
      <c r="DO39645" s="303" t="s">
        <v>232</v>
      </c>
    </row>
    <row r="39646" spans="119:119" x14ac:dyDescent="0.2">
      <c r="DO39646" s="303" t="s">
        <v>232</v>
      </c>
    </row>
    <row r="39647" spans="119:119" x14ac:dyDescent="0.2">
      <c r="DO39647" s="303" t="s">
        <v>232</v>
      </c>
    </row>
    <row r="39648" spans="119:119" x14ac:dyDescent="0.2">
      <c r="DO39648" s="303" t="s">
        <v>232</v>
      </c>
    </row>
    <row r="39649" spans="119:119" x14ac:dyDescent="0.2">
      <c r="DO39649" s="303" t="s">
        <v>232</v>
      </c>
    </row>
    <row r="39650" spans="119:119" x14ac:dyDescent="0.2">
      <c r="DO39650" s="303" t="s">
        <v>232</v>
      </c>
    </row>
    <row r="39651" spans="119:119" x14ac:dyDescent="0.2">
      <c r="DO39651" s="303" t="s">
        <v>232</v>
      </c>
    </row>
    <row r="39652" spans="119:119" x14ac:dyDescent="0.2">
      <c r="DO39652" s="303" t="s">
        <v>232</v>
      </c>
    </row>
    <row r="39653" spans="119:119" x14ac:dyDescent="0.2">
      <c r="DO39653" s="303" t="s">
        <v>232</v>
      </c>
    </row>
    <row r="39654" spans="119:119" x14ac:dyDescent="0.2">
      <c r="DO39654" s="303" t="s">
        <v>232</v>
      </c>
    </row>
    <row r="39655" spans="119:119" x14ac:dyDescent="0.2">
      <c r="DO39655" s="303" t="s">
        <v>232</v>
      </c>
    </row>
    <row r="39656" spans="119:119" x14ac:dyDescent="0.2">
      <c r="DO39656" s="303" t="s">
        <v>232</v>
      </c>
    </row>
    <row r="39657" spans="119:119" x14ac:dyDescent="0.2">
      <c r="DO39657" s="303" t="s">
        <v>232</v>
      </c>
    </row>
    <row r="39658" spans="119:119" x14ac:dyDescent="0.2">
      <c r="DO39658" s="303" t="s">
        <v>232</v>
      </c>
    </row>
    <row r="39659" spans="119:119" x14ac:dyDescent="0.2">
      <c r="DO39659" s="303" t="s">
        <v>232</v>
      </c>
    </row>
    <row r="39660" spans="119:119" x14ac:dyDescent="0.2">
      <c r="DO39660" s="303" t="s">
        <v>232</v>
      </c>
    </row>
    <row r="39661" spans="119:119" x14ac:dyDescent="0.2">
      <c r="DO39661" s="303" t="s">
        <v>232</v>
      </c>
    </row>
    <row r="39662" spans="119:119" x14ac:dyDescent="0.2">
      <c r="DO39662" s="303" t="s">
        <v>232</v>
      </c>
    </row>
    <row r="39663" spans="119:119" x14ac:dyDescent="0.2">
      <c r="DO39663" s="303" t="s">
        <v>232</v>
      </c>
    </row>
    <row r="39664" spans="119:119" x14ac:dyDescent="0.2">
      <c r="DO39664" s="303" t="s">
        <v>232</v>
      </c>
    </row>
    <row r="39665" spans="119:119" x14ac:dyDescent="0.2">
      <c r="DO39665" s="303" t="s">
        <v>232</v>
      </c>
    </row>
    <row r="39666" spans="119:119" x14ac:dyDescent="0.2">
      <c r="DO39666" s="303" t="s">
        <v>232</v>
      </c>
    </row>
    <row r="39667" spans="119:119" x14ac:dyDescent="0.2">
      <c r="DO39667" s="303" t="s">
        <v>232</v>
      </c>
    </row>
    <row r="39668" spans="119:119" x14ac:dyDescent="0.2">
      <c r="DO39668" s="303" t="s">
        <v>232</v>
      </c>
    </row>
    <row r="39669" spans="119:119" x14ac:dyDescent="0.2">
      <c r="DO39669" s="303" t="s">
        <v>232</v>
      </c>
    </row>
    <row r="39670" spans="119:119" x14ac:dyDescent="0.2">
      <c r="DO39670" s="303" t="s">
        <v>232</v>
      </c>
    </row>
    <row r="39671" spans="119:119" x14ac:dyDescent="0.2">
      <c r="DO39671" s="303" t="s">
        <v>232</v>
      </c>
    </row>
    <row r="39672" spans="119:119" x14ac:dyDescent="0.2">
      <c r="DO39672" s="303" t="s">
        <v>232</v>
      </c>
    </row>
    <row r="39673" spans="119:119" x14ac:dyDescent="0.2">
      <c r="DO39673" s="303" t="s">
        <v>232</v>
      </c>
    </row>
    <row r="39674" spans="119:119" x14ac:dyDescent="0.2">
      <c r="DO39674" s="303" t="s">
        <v>232</v>
      </c>
    </row>
    <row r="39675" spans="119:119" x14ac:dyDescent="0.2">
      <c r="DO39675" s="303" t="s">
        <v>232</v>
      </c>
    </row>
    <row r="39676" spans="119:119" x14ac:dyDescent="0.2">
      <c r="DO39676" s="303" t="s">
        <v>232</v>
      </c>
    </row>
    <row r="39677" spans="119:119" x14ac:dyDescent="0.2">
      <c r="DO39677" s="303" t="s">
        <v>232</v>
      </c>
    </row>
    <row r="39678" spans="119:119" x14ac:dyDescent="0.2">
      <c r="DO39678" s="303" t="s">
        <v>232</v>
      </c>
    </row>
    <row r="39679" spans="119:119" x14ac:dyDescent="0.2">
      <c r="DO39679" s="303" t="s">
        <v>232</v>
      </c>
    </row>
    <row r="39680" spans="119:119" x14ac:dyDescent="0.2">
      <c r="DO39680" s="303" t="s">
        <v>232</v>
      </c>
    </row>
    <row r="39681" spans="119:119" x14ac:dyDescent="0.2">
      <c r="DO39681" s="303" t="s">
        <v>232</v>
      </c>
    </row>
    <row r="39682" spans="119:119" x14ac:dyDescent="0.2">
      <c r="DO39682" s="303" t="s">
        <v>232</v>
      </c>
    </row>
    <row r="39683" spans="119:119" x14ac:dyDescent="0.2">
      <c r="DO39683" s="303" t="s">
        <v>232</v>
      </c>
    </row>
    <row r="39684" spans="119:119" x14ac:dyDescent="0.2">
      <c r="DO39684" s="303" t="s">
        <v>232</v>
      </c>
    </row>
    <row r="39685" spans="119:119" x14ac:dyDescent="0.2">
      <c r="DO39685" s="303" t="s">
        <v>232</v>
      </c>
    </row>
    <row r="39686" spans="119:119" x14ac:dyDescent="0.2">
      <c r="DO39686" s="303" t="s">
        <v>232</v>
      </c>
    </row>
    <row r="39687" spans="119:119" x14ac:dyDescent="0.2">
      <c r="DO39687" s="303" t="s">
        <v>232</v>
      </c>
    </row>
    <row r="39688" spans="119:119" x14ac:dyDescent="0.2">
      <c r="DO39688" s="303" t="s">
        <v>232</v>
      </c>
    </row>
    <row r="39689" spans="119:119" x14ac:dyDescent="0.2">
      <c r="DO39689" s="303" t="s">
        <v>232</v>
      </c>
    </row>
    <row r="39690" spans="119:119" x14ac:dyDescent="0.2">
      <c r="DO39690" s="303" t="s">
        <v>232</v>
      </c>
    </row>
    <row r="39691" spans="119:119" x14ac:dyDescent="0.2">
      <c r="DO39691" s="303" t="s">
        <v>232</v>
      </c>
    </row>
    <row r="39692" spans="119:119" x14ac:dyDescent="0.2">
      <c r="DO39692" s="303" t="s">
        <v>232</v>
      </c>
    </row>
    <row r="39693" spans="119:119" x14ac:dyDescent="0.2">
      <c r="DO39693" s="303" t="s">
        <v>232</v>
      </c>
    </row>
    <row r="39694" spans="119:119" x14ac:dyDescent="0.2">
      <c r="DO39694" s="303" t="s">
        <v>232</v>
      </c>
    </row>
    <row r="39695" spans="119:119" x14ac:dyDescent="0.2">
      <c r="DO39695" s="303" t="s">
        <v>232</v>
      </c>
    </row>
    <row r="39696" spans="119:119" x14ac:dyDescent="0.2">
      <c r="DO39696" s="303" t="s">
        <v>232</v>
      </c>
    </row>
    <row r="39697" spans="119:119" x14ac:dyDescent="0.2">
      <c r="DO39697" s="303" t="s">
        <v>232</v>
      </c>
    </row>
    <row r="39698" spans="119:119" x14ac:dyDescent="0.2">
      <c r="DO39698" s="303" t="s">
        <v>232</v>
      </c>
    </row>
    <row r="39699" spans="119:119" x14ac:dyDescent="0.2">
      <c r="DO39699" s="303" t="s">
        <v>232</v>
      </c>
    </row>
    <row r="39700" spans="119:119" x14ac:dyDescent="0.2">
      <c r="DO39700" s="303" t="s">
        <v>232</v>
      </c>
    </row>
    <row r="39701" spans="119:119" x14ac:dyDescent="0.2">
      <c r="DO39701" s="303" t="s">
        <v>232</v>
      </c>
    </row>
    <row r="39702" spans="119:119" x14ac:dyDescent="0.2">
      <c r="DO39702" s="303" t="s">
        <v>232</v>
      </c>
    </row>
    <row r="39703" spans="119:119" x14ac:dyDescent="0.2">
      <c r="DO39703" s="303" t="s">
        <v>232</v>
      </c>
    </row>
    <row r="39704" spans="119:119" x14ac:dyDescent="0.2">
      <c r="DO39704" s="303" t="s">
        <v>232</v>
      </c>
    </row>
    <row r="39705" spans="119:119" x14ac:dyDescent="0.2">
      <c r="DO39705" s="303" t="s">
        <v>232</v>
      </c>
    </row>
    <row r="39706" spans="119:119" x14ac:dyDescent="0.2">
      <c r="DO39706" s="303" t="s">
        <v>232</v>
      </c>
    </row>
    <row r="39707" spans="119:119" x14ac:dyDescent="0.2">
      <c r="DO39707" s="303" t="s">
        <v>232</v>
      </c>
    </row>
    <row r="39708" spans="119:119" x14ac:dyDescent="0.2">
      <c r="DO39708" s="303" t="s">
        <v>232</v>
      </c>
    </row>
    <row r="39709" spans="119:119" x14ac:dyDescent="0.2">
      <c r="DO39709" s="303" t="s">
        <v>232</v>
      </c>
    </row>
    <row r="39710" spans="119:119" x14ac:dyDescent="0.2">
      <c r="DO39710" s="303" t="s">
        <v>232</v>
      </c>
    </row>
    <row r="39711" spans="119:119" x14ac:dyDescent="0.2">
      <c r="DO39711" s="303" t="s">
        <v>232</v>
      </c>
    </row>
    <row r="39712" spans="119:119" x14ac:dyDescent="0.2">
      <c r="DO39712" s="303" t="s">
        <v>232</v>
      </c>
    </row>
    <row r="39713" spans="119:119" x14ac:dyDescent="0.2">
      <c r="DO39713" s="303" t="s">
        <v>232</v>
      </c>
    </row>
    <row r="39714" spans="119:119" x14ac:dyDescent="0.2">
      <c r="DO39714" s="303" t="s">
        <v>232</v>
      </c>
    </row>
    <row r="39715" spans="119:119" x14ac:dyDescent="0.2">
      <c r="DO39715" s="303" t="s">
        <v>232</v>
      </c>
    </row>
    <row r="39716" spans="119:119" x14ac:dyDescent="0.2">
      <c r="DO39716" s="303" t="s">
        <v>232</v>
      </c>
    </row>
    <row r="39717" spans="119:119" x14ac:dyDescent="0.2">
      <c r="DO39717" s="303" t="s">
        <v>232</v>
      </c>
    </row>
    <row r="39718" spans="119:119" x14ac:dyDescent="0.2">
      <c r="DO39718" s="303" t="s">
        <v>232</v>
      </c>
    </row>
    <row r="39719" spans="119:119" x14ac:dyDescent="0.2">
      <c r="DO39719" s="303" t="s">
        <v>232</v>
      </c>
    </row>
    <row r="39720" spans="119:119" x14ac:dyDescent="0.2">
      <c r="DO39720" s="303" t="s">
        <v>232</v>
      </c>
    </row>
    <row r="39721" spans="119:119" x14ac:dyDescent="0.2">
      <c r="DO39721" s="303" t="s">
        <v>232</v>
      </c>
    </row>
    <row r="39722" spans="119:119" x14ac:dyDescent="0.2">
      <c r="DO39722" s="303" t="s">
        <v>232</v>
      </c>
    </row>
    <row r="39723" spans="119:119" x14ac:dyDescent="0.2">
      <c r="DO39723" s="303" t="s">
        <v>232</v>
      </c>
    </row>
    <row r="39724" spans="119:119" x14ac:dyDescent="0.2">
      <c r="DO39724" s="303" t="s">
        <v>232</v>
      </c>
    </row>
    <row r="39725" spans="119:119" x14ac:dyDescent="0.2">
      <c r="DO39725" s="303" t="s">
        <v>232</v>
      </c>
    </row>
    <row r="39726" spans="119:119" x14ac:dyDescent="0.2">
      <c r="DO39726" s="303" t="s">
        <v>232</v>
      </c>
    </row>
    <row r="39727" spans="119:119" x14ac:dyDescent="0.2">
      <c r="DO39727" s="303" t="s">
        <v>232</v>
      </c>
    </row>
    <row r="39728" spans="119:119" x14ac:dyDescent="0.2">
      <c r="DO39728" s="303" t="s">
        <v>232</v>
      </c>
    </row>
    <row r="39729" spans="119:119" x14ac:dyDescent="0.2">
      <c r="DO39729" s="303" t="s">
        <v>232</v>
      </c>
    </row>
    <row r="39730" spans="119:119" x14ac:dyDescent="0.2">
      <c r="DO39730" s="303" t="s">
        <v>232</v>
      </c>
    </row>
    <row r="39731" spans="119:119" x14ac:dyDescent="0.2">
      <c r="DO39731" s="303" t="s">
        <v>232</v>
      </c>
    </row>
    <row r="39732" spans="119:119" x14ac:dyDescent="0.2">
      <c r="DO39732" s="303" t="s">
        <v>232</v>
      </c>
    </row>
    <row r="39733" spans="119:119" x14ac:dyDescent="0.2">
      <c r="DO39733" s="303" t="s">
        <v>232</v>
      </c>
    </row>
    <row r="39734" spans="119:119" x14ac:dyDescent="0.2">
      <c r="DO39734" s="303" t="s">
        <v>232</v>
      </c>
    </row>
    <row r="39735" spans="119:119" x14ac:dyDescent="0.2">
      <c r="DO39735" s="303" t="s">
        <v>232</v>
      </c>
    </row>
    <row r="39736" spans="119:119" x14ac:dyDescent="0.2">
      <c r="DO39736" s="303" t="s">
        <v>232</v>
      </c>
    </row>
    <row r="39737" spans="119:119" x14ac:dyDescent="0.2">
      <c r="DO39737" s="303" t="s">
        <v>232</v>
      </c>
    </row>
    <row r="39738" spans="119:119" x14ac:dyDescent="0.2">
      <c r="DO39738" s="303" t="s">
        <v>232</v>
      </c>
    </row>
    <row r="39739" spans="119:119" x14ac:dyDescent="0.2">
      <c r="DO39739" s="303" t="s">
        <v>232</v>
      </c>
    </row>
    <row r="39740" spans="119:119" x14ac:dyDescent="0.2">
      <c r="DO39740" s="303" t="s">
        <v>232</v>
      </c>
    </row>
    <row r="39741" spans="119:119" x14ac:dyDescent="0.2">
      <c r="DO39741" s="303" t="s">
        <v>232</v>
      </c>
    </row>
    <row r="39742" spans="119:119" x14ac:dyDescent="0.2">
      <c r="DO39742" s="303" t="s">
        <v>232</v>
      </c>
    </row>
    <row r="39743" spans="119:119" x14ac:dyDescent="0.2">
      <c r="DO39743" s="303" t="s">
        <v>232</v>
      </c>
    </row>
    <row r="39744" spans="119:119" x14ac:dyDescent="0.2">
      <c r="DO39744" s="303" t="s">
        <v>232</v>
      </c>
    </row>
    <row r="39745" spans="119:119" x14ac:dyDescent="0.2">
      <c r="DO39745" s="303" t="s">
        <v>232</v>
      </c>
    </row>
    <row r="39746" spans="119:119" x14ac:dyDescent="0.2">
      <c r="DO39746" s="303" t="s">
        <v>232</v>
      </c>
    </row>
    <row r="39747" spans="119:119" x14ac:dyDescent="0.2">
      <c r="DO39747" s="303" t="s">
        <v>232</v>
      </c>
    </row>
    <row r="39748" spans="119:119" x14ac:dyDescent="0.2">
      <c r="DO39748" s="303" t="s">
        <v>232</v>
      </c>
    </row>
    <row r="39749" spans="119:119" x14ac:dyDescent="0.2">
      <c r="DO39749" s="303" t="s">
        <v>232</v>
      </c>
    </row>
    <row r="39750" spans="119:119" x14ac:dyDescent="0.2">
      <c r="DO39750" s="303" t="s">
        <v>232</v>
      </c>
    </row>
    <row r="39751" spans="119:119" x14ac:dyDescent="0.2">
      <c r="DO39751" s="303" t="s">
        <v>232</v>
      </c>
    </row>
    <row r="39752" spans="119:119" x14ac:dyDescent="0.2">
      <c r="DO39752" s="303" t="s">
        <v>232</v>
      </c>
    </row>
    <row r="39753" spans="119:119" x14ac:dyDescent="0.2">
      <c r="DO39753" s="303" t="s">
        <v>232</v>
      </c>
    </row>
    <row r="39754" spans="119:119" x14ac:dyDescent="0.2">
      <c r="DO39754" s="303" t="s">
        <v>232</v>
      </c>
    </row>
    <row r="39755" spans="119:119" x14ac:dyDescent="0.2">
      <c r="DO39755" s="303" t="s">
        <v>232</v>
      </c>
    </row>
    <row r="39756" spans="119:119" x14ac:dyDescent="0.2">
      <c r="DO39756" s="303" t="s">
        <v>232</v>
      </c>
    </row>
    <row r="39757" spans="119:119" x14ac:dyDescent="0.2">
      <c r="DO39757" s="303" t="s">
        <v>232</v>
      </c>
    </row>
    <row r="39758" spans="119:119" x14ac:dyDescent="0.2">
      <c r="DO39758" s="303" t="s">
        <v>232</v>
      </c>
    </row>
    <row r="39759" spans="119:119" x14ac:dyDescent="0.2">
      <c r="DO39759" s="303" t="s">
        <v>232</v>
      </c>
    </row>
    <row r="39760" spans="119:119" x14ac:dyDescent="0.2">
      <c r="DO39760" s="303" t="s">
        <v>232</v>
      </c>
    </row>
    <row r="39761" spans="119:119" x14ac:dyDescent="0.2">
      <c r="DO39761" s="303" t="s">
        <v>232</v>
      </c>
    </row>
    <row r="39762" spans="119:119" x14ac:dyDescent="0.2">
      <c r="DO39762" s="303" t="s">
        <v>232</v>
      </c>
    </row>
    <row r="39763" spans="119:119" x14ac:dyDescent="0.2">
      <c r="DO39763" s="303" t="s">
        <v>232</v>
      </c>
    </row>
    <row r="39764" spans="119:119" x14ac:dyDescent="0.2">
      <c r="DO39764" s="303" t="s">
        <v>232</v>
      </c>
    </row>
    <row r="39765" spans="119:119" x14ac:dyDescent="0.2">
      <c r="DO39765" s="303" t="s">
        <v>232</v>
      </c>
    </row>
    <row r="39766" spans="119:119" x14ac:dyDescent="0.2">
      <c r="DO39766" s="303" t="s">
        <v>232</v>
      </c>
    </row>
    <row r="39767" spans="119:119" x14ac:dyDescent="0.2">
      <c r="DO39767" s="303" t="s">
        <v>232</v>
      </c>
    </row>
    <row r="39768" spans="119:119" x14ac:dyDescent="0.2">
      <c r="DO39768" s="303" t="s">
        <v>232</v>
      </c>
    </row>
    <row r="39769" spans="119:119" x14ac:dyDescent="0.2">
      <c r="DO39769" s="303" t="s">
        <v>232</v>
      </c>
    </row>
    <row r="39770" spans="119:119" x14ac:dyDescent="0.2">
      <c r="DO39770" s="303" t="s">
        <v>232</v>
      </c>
    </row>
    <row r="39771" spans="119:119" x14ac:dyDescent="0.2">
      <c r="DO39771" s="303" t="s">
        <v>232</v>
      </c>
    </row>
    <row r="39772" spans="119:119" x14ac:dyDescent="0.2">
      <c r="DO39772" s="303" t="s">
        <v>232</v>
      </c>
    </row>
    <row r="39773" spans="119:119" x14ac:dyDescent="0.2">
      <c r="DO39773" s="303" t="s">
        <v>232</v>
      </c>
    </row>
    <row r="39774" spans="119:119" x14ac:dyDescent="0.2">
      <c r="DO39774" s="303" t="s">
        <v>232</v>
      </c>
    </row>
    <row r="39775" spans="119:119" x14ac:dyDescent="0.2">
      <c r="DO39775" s="303" t="s">
        <v>232</v>
      </c>
    </row>
    <row r="39776" spans="119:119" x14ac:dyDescent="0.2">
      <c r="DO39776" s="303" t="s">
        <v>232</v>
      </c>
    </row>
    <row r="39777" spans="119:119" x14ac:dyDescent="0.2">
      <c r="DO39777" s="303" t="s">
        <v>232</v>
      </c>
    </row>
    <row r="39778" spans="119:119" x14ac:dyDescent="0.2">
      <c r="DO39778" s="303" t="s">
        <v>232</v>
      </c>
    </row>
    <row r="39779" spans="119:119" x14ac:dyDescent="0.2">
      <c r="DO39779" s="303" t="s">
        <v>232</v>
      </c>
    </row>
    <row r="39780" spans="119:119" x14ac:dyDescent="0.2">
      <c r="DO39780" s="303" t="s">
        <v>232</v>
      </c>
    </row>
    <row r="39781" spans="119:119" x14ac:dyDescent="0.2">
      <c r="DO39781" s="303" t="s">
        <v>232</v>
      </c>
    </row>
    <row r="39782" spans="119:119" x14ac:dyDescent="0.2">
      <c r="DO39782" s="303" t="s">
        <v>232</v>
      </c>
    </row>
    <row r="39783" spans="119:119" x14ac:dyDescent="0.2">
      <c r="DO39783" s="303" t="s">
        <v>232</v>
      </c>
    </row>
    <row r="39784" spans="119:119" x14ac:dyDescent="0.2">
      <c r="DO39784" s="303" t="s">
        <v>232</v>
      </c>
    </row>
    <row r="39785" spans="119:119" x14ac:dyDescent="0.2">
      <c r="DO39785" s="303" t="s">
        <v>232</v>
      </c>
    </row>
    <row r="39786" spans="119:119" x14ac:dyDescent="0.2">
      <c r="DO39786" s="303" t="s">
        <v>232</v>
      </c>
    </row>
    <row r="39787" spans="119:119" x14ac:dyDescent="0.2">
      <c r="DO39787" s="303" t="s">
        <v>232</v>
      </c>
    </row>
    <row r="39788" spans="119:119" x14ac:dyDescent="0.2">
      <c r="DO39788" s="303" t="s">
        <v>232</v>
      </c>
    </row>
    <row r="39789" spans="119:119" x14ac:dyDescent="0.2">
      <c r="DO39789" s="303" t="s">
        <v>232</v>
      </c>
    </row>
    <row r="39790" spans="119:119" x14ac:dyDescent="0.2">
      <c r="DO39790" s="303" t="s">
        <v>232</v>
      </c>
    </row>
    <row r="39791" spans="119:119" x14ac:dyDescent="0.2">
      <c r="DO39791" s="303" t="s">
        <v>232</v>
      </c>
    </row>
    <row r="39792" spans="119:119" x14ac:dyDescent="0.2">
      <c r="DO39792" s="303" t="s">
        <v>232</v>
      </c>
    </row>
    <row r="39793" spans="119:119" x14ac:dyDescent="0.2">
      <c r="DO39793" s="303" t="s">
        <v>232</v>
      </c>
    </row>
    <row r="39794" spans="119:119" x14ac:dyDescent="0.2">
      <c r="DO39794" s="303" t="s">
        <v>232</v>
      </c>
    </row>
    <row r="39795" spans="119:119" x14ac:dyDescent="0.2">
      <c r="DO39795" s="303" t="s">
        <v>232</v>
      </c>
    </row>
    <row r="39796" spans="119:119" x14ac:dyDescent="0.2">
      <c r="DO39796" s="303" t="s">
        <v>232</v>
      </c>
    </row>
    <row r="39797" spans="119:119" x14ac:dyDescent="0.2">
      <c r="DO39797" s="303" t="s">
        <v>232</v>
      </c>
    </row>
    <row r="39798" spans="119:119" x14ac:dyDescent="0.2">
      <c r="DO39798" s="303" t="s">
        <v>232</v>
      </c>
    </row>
    <row r="39799" spans="119:119" x14ac:dyDescent="0.2">
      <c r="DO39799" s="303" t="s">
        <v>232</v>
      </c>
    </row>
    <row r="39800" spans="119:119" x14ac:dyDescent="0.2">
      <c r="DO39800" s="303" t="s">
        <v>232</v>
      </c>
    </row>
    <row r="39801" spans="119:119" x14ac:dyDescent="0.2">
      <c r="DO39801" s="303" t="s">
        <v>232</v>
      </c>
    </row>
    <row r="39802" spans="119:119" x14ac:dyDescent="0.2">
      <c r="DO39802" s="303" t="s">
        <v>232</v>
      </c>
    </row>
    <row r="39803" spans="119:119" x14ac:dyDescent="0.2">
      <c r="DO39803" s="303" t="s">
        <v>232</v>
      </c>
    </row>
    <row r="39804" spans="119:119" x14ac:dyDescent="0.2">
      <c r="DO39804" s="303" t="s">
        <v>232</v>
      </c>
    </row>
    <row r="39805" spans="119:119" x14ac:dyDescent="0.2">
      <c r="DO39805" s="303" t="s">
        <v>232</v>
      </c>
    </row>
    <row r="39806" spans="119:119" x14ac:dyDescent="0.2">
      <c r="DO39806" s="303" t="s">
        <v>232</v>
      </c>
    </row>
    <row r="39807" spans="119:119" x14ac:dyDescent="0.2">
      <c r="DO39807" s="303" t="s">
        <v>232</v>
      </c>
    </row>
    <row r="39808" spans="119:119" x14ac:dyDescent="0.2">
      <c r="DO39808" s="303" t="s">
        <v>232</v>
      </c>
    </row>
    <row r="39809" spans="119:119" x14ac:dyDescent="0.2">
      <c r="DO39809" s="303" t="s">
        <v>232</v>
      </c>
    </row>
    <row r="39810" spans="119:119" x14ac:dyDescent="0.2">
      <c r="DO39810" s="303" t="s">
        <v>232</v>
      </c>
    </row>
    <row r="39811" spans="119:119" x14ac:dyDescent="0.2">
      <c r="DO39811" s="303" t="s">
        <v>232</v>
      </c>
    </row>
    <row r="39812" spans="119:119" x14ac:dyDescent="0.2">
      <c r="DO39812" s="303" t="s">
        <v>232</v>
      </c>
    </row>
    <row r="39813" spans="119:119" x14ac:dyDescent="0.2">
      <c r="DO39813" s="303" t="s">
        <v>232</v>
      </c>
    </row>
    <row r="39814" spans="119:119" x14ac:dyDescent="0.2">
      <c r="DO39814" s="303" t="s">
        <v>232</v>
      </c>
    </row>
    <row r="39815" spans="119:119" x14ac:dyDescent="0.2">
      <c r="DO39815" s="303" t="s">
        <v>232</v>
      </c>
    </row>
    <row r="39816" spans="119:119" x14ac:dyDescent="0.2">
      <c r="DO39816" s="303" t="s">
        <v>232</v>
      </c>
    </row>
    <row r="39817" spans="119:119" x14ac:dyDescent="0.2">
      <c r="DO39817" s="303" t="s">
        <v>232</v>
      </c>
    </row>
    <row r="39818" spans="119:119" x14ac:dyDescent="0.2">
      <c r="DO39818" s="303" t="s">
        <v>232</v>
      </c>
    </row>
    <row r="39819" spans="119:119" x14ac:dyDescent="0.2">
      <c r="DO39819" s="303" t="s">
        <v>232</v>
      </c>
    </row>
    <row r="39820" spans="119:119" x14ac:dyDescent="0.2">
      <c r="DO39820" s="303" t="s">
        <v>232</v>
      </c>
    </row>
    <row r="39821" spans="119:119" x14ac:dyDescent="0.2">
      <c r="DO39821" s="303" t="s">
        <v>232</v>
      </c>
    </row>
    <row r="39822" spans="119:119" x14ac:dyDescent="0.2">
      <c r="DO39822" s="303" t="s">
        <v>232</v>
      </c>
    </row>
    <row r="39823" spans="119:119" x14ac:dyDescent="0.2">
      <c r="DO39823" s="303" t="s">
        <v>232</v>
      </c>
    </row>
    <row r="39824" spans="119:119" x14ac:dyDescent="0.2">
      <c r="DO39824" s="303" t="s">
        <v>232</v>
      </c>
    </row>
    <row r="39825" spans="119:119" x14ac:dyDescent="0.2">
      <c r="DO39825" s="303" t="s">
        <v>232</v>
      </c>
    </row>
    <row r="39826" spans="119:119" x14ac:dyDescent="0.2">
      <c r="DO39826" s="303" t="s">
        <v>232</v>
      </c>
    </row>
    <row r="39827" spans="119:119" x14ac:dyDescent="0.2">
      <c r="DO39827" s="303" t="s">
        <v>232</v>
      </c>
    </row>
    <row r="39828" spans="119:119" x14ac:dyDescent="0.2">
      <c r="DO39828" s="303" t="s">
        <v>232</v>
      </c>
    </row>
    <row r="39829" spans="119:119" x14ac:dyDescent="0.2">
      <c r="DO39829" s="303" t="s">
        <v>232</v>
      </c>
    </row>
    <row r="39830" spans="119:119" x14ac:dyDescent="0.2">
      <c r="DO39830" s="303" t="s">
        <v>232</v>
      </c>
    </row>
    <row r="39831" spans="119:119" x14ac:dyDescent="0.2">
      <c r="DO39831" s="303" t="s">
        <v>232</v>
      </c>
    </row>
    <row r="39832" spans="119:119" x14ac:dyDescent="0.2">
      <c r="DO39832" s="303" t="s">
        <v>232</v>
      </c>
    </row>
    <row r="39833" spans="119:119" x14ac:dyDescent="0.2">
      <c r="DO39833" s="303" t="s">
        <v>232</v>
      </c>
    </row>
    <row r="39834" spans="119:119" x14ac:dyDescent="0.2">
      <c r="DO39834" s="303" t="s">
        <v>232</v>
      </c>
    </row>
    <row r="39835" spans="119:119" x14ac:dyDescent="0.2">
      <c r="DO39835" s="303" t="s">
        <v>232</v>
      </c>
    </row>
    <row r="39836" spans="119:119" x14ac:dyDescent="0.2">
      <c r="DO39836" s="303" t="s">
        <v>232</v>
      </c>
    </row>
    <row r="39837" spans="119:119" x14ac:dyDescent="0.2">
      <c r="DO39837" s="303" t="s">
        <v>232</v>
      </c>
    </row>
    <row r="39838" spans="119:119" x14ac:dyDescent="0.2">
      <c r="DO39838" s="303" t="s">
        <v>232</v>
      </c>
    </row>
    <row r="39839" spans="119:119" x14ac:dyDescent="0.2">
      <c r="DO39839" s="303" t="s">
        <v>232</v>
      </c>
    </row>
    <row r="39840" spans="119:119" x14ac:dyDescent="0.2">
      <c r="DO39840" s="303" t="s">
        <v>232</v>
      </c>
    </row>
    <row r="39841" spans="119:119" x14ac:dyDescent="0.2">
      <c r="DO39841" s="303" t="s">
        <v>232</v>
      </c>
    </row>
    <row r="39842" spans="119:119" x14ac:dyDescent="0.2">
      <c r="DO39842" s="303" t="s">
        <v>232</v>
      </c>
    </row>
    <row r="39843" spans="119:119" x14ac:dyDescent="0.2">
      <c r="DO39843" s="303" t="s">
        <v>232</v>
      </c>
    </row>
    <row r="39844" spans="119:119" x14ac:dyDescent="0.2">
      <c r="DO39844" s="303" t="s">
        <v>232</v>
      </c>
    </row>
    <row r="39845" spans="119:119" x14ac:dyDescent="0.2">
      <c r="DO39845" s="303" t="s">
        <v>232</v>
      </c>
    </row>
    <row r="39846" spans="119:119" x14ac:dyDescent="0.2">
      <c r="DO39846" s="303" t="s">
        <v>232</v>
      </c>
    </row>
    <row r="39847" spans="119:119" x14ac:dyDescent="0.2">
      <c r="DO39847" s="303" t="s">
        <v>232</v>
      </c>
    </row>
    <row r="39848" spans="119:119" x14ac:dyDescent="0.2">
      <c r="DO39848" s="303" t="s">
        <v>232</v>
      </c>
    </row>
    <row r="39849" spans="119:119" x14ac:dyDescent="0.2">
      <c r="DO39849" s="303" t="s">
        <v>232</v>
      </c>
    </row>
    <row r="39850" spans="119:119" x14ac:dyDescent="0.2">
      <c r="DO39850" s="303" t="s">
        <v>232</v>
      </c>
    </row>
    <row r="39851" spans="119:119" x14ac:dyDescent="0.2">
      <c r="DO39851" s="303" t="s">
        <v>232</v>
      </c>
    </row>
    <row r="39852" spans="119:119" x14ac:dyDescent="0.2">
      <c r="DO39852" s="303" t="s">
        <v>232</v>
      </c>
    </row>
    <row r="39853" spans="119:119" x14ac:dyDescent="0.2">
      <c r="DO39853" s="303" t="s">
        <v>232</v>
      </c>
    </row>
    <row r="39854" spans="119:119" x14ac:dyDescent="0.2">
      <c r="DO39854" s="303" t="s">
        <v>232</v>
      </c>
    </row>
    <row r="39855" spans="119:119" x14ac:dyDescent="0.2">
      <c r="DO39855" s="303" t="s">
        <v>232</v>
      </c>
    </row>
    <row r="39856" spans="119:119" x14ac:dyDescent="0.2">
      <c r="DO39856" s="303" t="s">
        <v>232</v>
      </c>
    </row>
    <row r="39857" spans="119:119" x14ac:dyDescent="0.2">
      <c r="DO39857" s="303" t="s">
        <v>232</v>
      </c>
    </row>
    <row r="39858" spans="119:119" x14ac:dyDescent="0.2">
      <c r="DO39858" s="303" t="s">
        <v>232</v>
      </c>
    </row>
    <row r="39859" spans="119:119" x14ac:dyDescent="0.2">
      <c r="DO39859" s="303" t="s">
        <v>232</v>
      </c>
    </row>
    <row r="39860" spans="119:119" x14ac:dyDescent="0.2">
      <c r="DO39860" s="303" t="s">
        <v>232</v>
      </c>
    </row>
    <row r="39861" spans="119:119" x14ac:dyDescent="0.2">
      <c r="DO39861" s="303" t="s">
        <v>232</v>
      </c>
    </row>
    <row r="39862" spans="119:119" x14ac:dyDescent="0.2">
      <c r="DO39862" s="303" t="s">
        <v>232</v>
      </c>
    </row>
    <row r="39863" spans="119:119" x14ac:dyDescent="0.2">
      <c r="DO39863" s="303" t="s">
        <v>232</v>
      </c>
    </row>
    <row r="39864" spans="119:119" x14ac:dyDescent="0.2">
      <c r="DO39864" s="303" t="s">
        <v>232</v>
      </c>
    </row>
    <row r="39865" spans="119:119" x14ac:dyDescent="0.2">
      <c r="DO39865" s="303" t="s">
        <v>232</v>
      </c>
    </row>
    <row r="39866" spans="119:119" x14ac:dyDescent="0.2">
      <c r="DO39866" s="303" t="s">
        <v>232</v>
      </c>
    </row>
    <row r="39867" spans="119:119" x14ac:dyDescent="0.2">
      <c r="DO39867" s="303" t="s">
        <v>232</v>
      </c>
    </row>
    <row r="39868" spans="119:119" x14ac:dyDescent="0.2">
      <c r="DO39868" s="303" t="s">
        <v>232</v>
      </c>
    </row>
    <row r="39869" spans="119:119" x14ac:dyDescent="0.2">
      <c r="DO39869" s="303" t="s">
        <v>232</v>
      </c>
    </row>
    <row r="39870" spans="119:119" x14ac:dyDescent="0.2">
      <c r="DO39870" s="303" t="s">
        <v>232</v>
      </c>
    </row>
    <row r="39871" spans="119:119" x14ac:dyDescent="0.2">
      <c r="DO39871" s="303" t="s">
        <v>232</v>
      </c>
    </row>
    <row r="39872" spans="119:119" x14ac:dyDescent="0.2">
      <c r="DO39872" s="303" t="s">
        <v>232</v>
      </c>
    </row>
    <row r="39873" spans="119:119" x14ac:dyDescent="0.2">
      <c r="DO39873" s="303" t="s">
        <v>232</v>
      </c>
    </row>
    <row r="39874" spans="119:119" x14ac:dyDescent="0.2">
      <c r="DO39874" s="303" t="s">
        <v>232</v>
      </c>
    </row>
    <row r="39875" spans="119:119" x14ac:dyDescent="0.2">
      <c r="DO39875" s="303" t="s">
        <v>232</v>
      </c>
    </row>
    <row r="39876" spans="119:119" x14ac:dyDescent="0.2">
      <c r="DO39876" s="303" t="s">
        <v>232</v>
      </c>
    </row>
    <row r="39877" spans="119:119" x14ac:dyDescent="0.2">
      <c r="DO39877" s="303" t="s">
        <v>232</v>
      </c>
    </row>
    <row r="39878" spans="119:119" x14ac:dyDescent="0.2">
      <c r="DO39878" s="303" t="s">
        <v>232</v>
      </c>
    </row>
    <row r="39879" spans="119:119" x14ac:dyDescent="0.2">
      <c r="DO39879" s="303" t="s">
        <v>232</v>
      </c>
    </row>
    <row r="39880" spans="119:119" x14ac:dyDescent="0.2">
      <c r="DO39880" s="303" t="s">
        <v>232</v>
      </c>
    </row>
    <row r="39881" spans="119:119" x14ac:dyDescent="0.2">
      <c r="DO39881" s="303" t="s">
        <v>232</v>
      </c>
    </row>
    <row r="39882" spans="119:119" x14ac:dyDescent="0.2">
      <c r="DO39882" s="303" t="s">
        <v>232</v>
      </c>
    </row>
    <row r="39883" spans="119:119" x14ac:dyDescent="0.2">
      <c r="DO39883" s="303" t="s">
        <v>232</v>
      </c>
    </row>
    <row r="39884" spans="119:119" x14ac:dyDescent="0.2">
      <c r="DO39884" s="303" t="s">
        <v>232</v>
      </c>
    </row>
    <row r="39885" spans="119:119" x14ac:dyDescent="0.2">
      <c r="DO39885" s="303" t="s">
        <v>232</v>
      </c>
    </row>
    <row r="39886" spans="119:119" x14ac:dyDescent="0.2">
      <c r="DO39886" s="303" t="s">
        <v>232</v>
      </c>
    </row>
    <row r="39887" spans="119:119" x14ac:dyDescent="0.2">
      <c r="DO39887" s="303" t="s">
        <v>232</v>
      </c>
    </row>
    <row r="39888" spans="119:119" x14ac:dyDescent="0.2">
      <c r="DO39888" s="303" t="s">
        <v>232</v>
      </c>
    </row>
    <row r="39889" spans="119:119" x14ac:dyDescent="0.2">
      <c r="DO39889" s="303" t="s">
        <v>232</v>
      </c>
    </row>
    <row r="39890" spans="119:119" x14ac:dyDescent="0.2">
      <c r="DO39890" s="303" t="s">
        <v>232</v>
      </c>
    </row>
    <row r="39891" spans="119:119" x14ac:dyDescent="0.2">
      <c r="DO39891" s="303" t="s">
        <v>232</v>
      </c>
    </row>
    <row r="39892" spans="119:119" x14ac:dyDescent="0.2">
      <c r="DO39892" s="303" t="s">
        <v>232</v>
      </c>
    </row>
    <row r="39893" spans="119:119" x14ac:dyDescent="0.2">
      <c r="DO39893" s="303" t="s">
        <v>232</v>
      </c>
    </row>
    <row r="39894" spans="119:119" x14ac:dyDescent="0.2">
      <c r="DO39894" s="303" t="s">
        <v>232</v>
      </c>
    </row>
    <row r="39895" spans="119:119" x14ac:dyDescent="0.2">
      <c r="DO39895" s="303" t="s">
        <v>232</v>
      </c>
    </row>
    <row r="39896" spans="119:119" x14ac:dyDescent="0.2">
      <c r="DO39896" s="303" t="s">
        <v>232</v>
      </c>
    </row>
    <row r="39897" spans="119:119" x14ac:dyDescent="0.2">
      <c r="DO39897" s="303" t="s">
        <v>232</v>
      </c>
    </row>
    <row r="39898" spans="119:119" x14ac:dyDescent="0.2">
      <c r="DO39898" s="303" t="s">
        <v>232</v>
      </c>
    </row>
    <row r="39899" spans="119:119" x14ac:dyDescent="0.2">
      <c r="DO39899" s="303" t="s">
        <v>232</v>
      </c>
    </row>
    <row r="39900" spans="119:119" x14ac:dyDescent="0.2">
      <c r="DO39900" s="303" t="s">
        <v>232</v>
      </c>
    </row>
    <row r="39901" spans="119:119" x14ac:dyDescent="0.2">
      <c r="DO39901" s="303" t="s">
        <v>232</v>
      </c>
    </row>
    <row r="39902" spans="119:119" x14ac:dyDescent="0.2">
      <c r="DO39902" s="303" t="s">
        <v>232</v>
      </c>
    </row>
    <row r="39903" spans="119:119" x14ac:dyDescent="0.2">
      <c r="DO39903" s="303" t="s">
        <v>232</v>
      </c>
    </row>
    <row r="39904" spans="119:119" x14ac:dyDescent="0.2">
      <c r="DO39904" s="303" t="s">
        <v>232</v>
      </c>
    </row>
    <row r="39905" spans="119:119" x14ac:dyDescent="0.2">
      <c r="DO39905" s="303" t="s">
        <v>232</v>
      </c>
    </row>
    <row r="39906" spans="119:119" x14ac:dyDescent="0.2">
      <c r="DO39906" s="303" t="s">
        <v>232</v>
      </c>
    </row>
    <row r="39907" spans="119:119" x14ac:dyDescent="0.2">
      <c r="DO39907" s="303" t="s">
        <v>232</v>
      </c>
    </row>
    <row r="39908" spans="119:119" x14ac:dyDescent="0.2">
      <c r="DO39908" s="303" t="s">
        <v>232</v>
      </c>
    </row>
    <row r="39909" spans="119:119" x14ac:dyDescent="0.2">
      <c r="DO39909" s="303" t="s">
        <v>232</v>
      </c>
    </row>
    <row r="39910" spans="119:119" x14ac:dyDescent="0.2">
      <c r="DO39910" s="303" t="s">
        <v>232</v>
      </c>
    </row>
    <row r="39911" spans="119:119" x14ac:dyDescent="0.2">
      <c r="DO39911" s="303" t="s">
        <v>232</v>
      </c>
    </row>
    <row r="39912" spans="119:119" x14ac:dyDescent="0.2">
      <c r="DO39912" s="303" t="s">
        <v>232</v>
      </c>
    </row>
    <row r="39913" spans="119:119" x14ac:dyDescent="0.2">
      <c r="DO39913" s="303" t="s">
        <v>232</v>
      </c>
    </row>
    <row r="39914" spans="119:119" x14ac:dyDescent="0.2">
      <c r="DO39914" s="303" t="s">
        <v>232</v>
      </c>
    </row>
    <row r="39915" spans="119:119" x14ac:dyDescent="0.2">
      <c r="DO39915" s="303" t="s">
        <v>232</v>
      </c>
    </row>
    <row r="39916" spans="119:119" x14ac:dyDescent="0.2">
      <c r="DO39916" s="303" t="s">
        <v>232</v>
      </c>
    </row>
    <row r="39917" spans="119:119" x14ac:dyDescent="0.2">
      <c r="DO39917" s="303" t="s">
        <v>232</v>
      </c>
    </row>
    <row r="39918" spans="119:119" x14ac:dyDescent="0.2">
      <c r="DO39918" s="303" t="s">
        <v>232</v>
      </c>
    </row>
    <row r="39919" spans="119:119" x14ac:dyDescent="0.2">
      <c r="DO39919" s="303" t="s">
        <v>232</v>
      </c>
    </row>
    <row r="39920" spans="119:119" x14ac:dyDescent="0.2">
      <c r="DO39920" s="303" t="s">
        <v>232</v>
      </c>
    </row>
    <row r="39921" spans="119:119" x14ac:dyDescent="0.2">
      <c r="DO39921" s="303" t="s">
        <v>232</v>
      </c>
    </row>
    <row r="39922" spans="119:119" x14ac:dyDescent="0.2">
      <c r="DO39922" s="303" t="s">
        <v>232</v>
      </c>
    </row>
    <row r="39923" spans="119:119" x14ac:dyDescent="0.2">
      <c r="DO39923" s="303" t="s">
        <v>232</v>
      </c>
    </row>
    <row r="39924" spans="119:119" x14ac:dyDescent="0.2">
      <c r="DO39924" s="303" t="s">
        <v>232</v>
      </c>
    </row>
    <row r="39925" spans="119:119" x14ac:dyDescent="0.2">
      <c r="DO39925" s="303" t="s">
        <v>232</v>
      </c>
    </row>
    <row r="39926" spans="119:119" x14ac:dyDescent="0.2">
      <c r="DO39926" s="303" t="s">
        <v>232</v>
      </c>
    </row>
    <row r="39927" spans="119:119" x14ac:dyDescent="0.2">
      <c r="DO39927" s="303" t="s">
        <v>232</v>
      </c>
    </row>
    <row r="39928" spans="119:119" x14ac:dyDescent="0.2">
      <c r="DO39928" s="303" t="s">
        <v>232</v>
      </c>
    </row>
    <row r="39929" spans="119:119" x14ac:dyDescent="0.2">
      <c r="DO39929" s="303" t="s">
        <v>232</v>
      </c>
    </row>
    <row r="39930" spans="119:119" x14ac:dyDescent="0.2">
      <c r="DO39930" s="303" t="s">
        <v>232</v>
      </c>
    </row>
    <row r="39931" spans="119:119" x14ac:dyDescent="0.2">
      <c r="DO39931" s="303" t="s">
        <v>232</v>
      </c>
    </row>
    <row r="39932" spans="119:119" x14ac:dyDescent="0.2">
      <c r="DO39932" s="303" t="s">
        <v>232</v>
      </c>
    </row>
    <row r="39933" spans="119:119" x14ac:dyDescent="0.2">
      <c r="DO39933" s="303" t="s">
        <v>232</v>
      </c>
    </row>
    <row r="39934" spans="119:119" x14ac:dyDescent="0.2">
      <c r="DO39934" s="303" t="s">
        <v>232</v>
      </c>
    </row>
    <row r="39935" spans="119:119" x14ac:dyDescent="0.2">
      <c r="DO39935" s="303" t="s">
        <v>232</v>
      </c>
    </row>
    <row r="39936" spans="119:119" x14ac:dyDescent="0.2">
      <c r="DO39936" s="303" t="s">
        <v>232</v>
      </c>
    </row>
    <row r="39937" spans="119:119" x14ac:dyDescent="0.2">
      <c r="DO39937" s="303" t="s">
        <v>232</v>
      </c>
    </row>
    <row r="39938" spans="119:119" x14ac:dyDescent="0.2">
      <c r="DO39938" s="303" t="s">
        <v>232</v>
      </c>
    </row>
    <row r="39939" spans="119:119" x14ac:dyDescent="0.2">
      <c r="DO39939" s="303" t="s">
        <v>232</v>
      </c>
    </row>
    <row r="39940" spans="119:119" x14ac:dyDescent="0.2">
      <c r="DO39940" s="303" t="s">
        <v>232</v>
      </c>
    </row>
    <row r="39941" spans="119:119" x14ac:dyDescent="0.2">
      <c r="DO39941" s="303" t="s">
        <v>232</v>
      </c>
    </row>
    <row r="39942" spans="119:119" x14ac:dyDescent="0.2">
      <c r="DO39942" s="303" t="s">
        <v>232</v>
      </c>
    </row>
    <row r="39943" spans="119:119" x14ac:dyDescent="0.2">
      <c r="DO39943" s="303" t="s">
        <v>232</v>
      </c>
    </row>
    <row r="39944" spans="119:119" x14ac:dyDescent="0.2">
      <c r="DO39944" s="303" t="s">
        <v>232</v>
      </c>
    </row>
    <row r="39945" spans="119:119" x14ac:dyDescent="0.2">
      <c r="DO39945" s="303" t="s">
        <v>232</v>
      </c>
    </row>
    <row r="39946" spans="119:119" x14ac:dyDescent="0.2">
      <c r="DO39946" s="303" t="s">
        <v>232</v>
      </c>
    </row>
    <row r="39947" spans="119:119" x14ac:dyDescent="0.2">
      <c r="DO39947" s="303" t="s">
        <v>232</v>
      </c>
    </row>
    <row r="39948" spans="119:119" x14ac:dyDescent="0.2">
      <c r="DO39948" s="303" t="s">
        <v>232</v>
      </c>
    </row>
    <row r="39949" spans="119:119" x14ac:dyDescent="0.2">
      <c r="DO39949" s="303" t="s">
        <v>232</v>
      </c>
    </row>
    <row r="39950" spans="119:119" x14ac:dyDescent="0.2">
      <c r="DO39950" s="303" t="s">
        <v>232</v>
      </c>
    </row>
    <row r="39951" spans="119:119" x14ac:dyDescent="0.2">
      <c r="DO39951" s="303" t="s">
        <v>232</v>
      </c>
    </row>
    <row r="39952" spans="119:119" x14ac:dyDescent="0.2">
      <c r="DO39952" s="303" t="s">
        <v>232</v>
      </c>
    </row>
    <row r="39953" spans="119:119" x14ac:dyDescent="0.2">
      <c r="DO39953" s="303" t="s">
        <v>232</v>
      </c>
    </row>
    <row r="39954" spans="119:119" x14ac:dyDescent="0.2">
      <c r="DO39954" s="303" t="s">
        <v>232</v>
      </c>
    </row>
    <row r="39955" spans="119:119" x14ac:dyDescent="0.2">
      <c r="DO39955" s="303" t="s">
        <v>232</v>
      </c>
    </row>
    <row r="39956" spans="119:119" x14ac:dyDescent="0.2">
      <c r="DO39956" s="303" t="s">
        <v>232</v>
      </c>
    </row>
    <row r="39957" spans="119:119" x14ac:dyDescent="0.2">
      <c r="DO39957" s="303" t="s">
        <v>232</v>
      </c>
    </row>
    <row r="39958" spans="119:119" x14ac:dyDescent="0.2">
      <c r="DO39958" s="303" t="s">
        <v>232</v>
      </c>
    </row>
    <row r="39959" spans="119:119" x14ac:dyDescent="0.2">
      <c r="DO39959" s="303" t="s">
        <v>232</v>
      </c>
    </row>
    <row r="39960" spans="119:119" x14ac:dyDescent="0.2">
      <c r="DO39960" s="303" t="s">
        <v>232</v>
      </c>
    </row>
    <row r="39961" spans="119:119" x14ac:dyDescent="0.2">
      <c r="DO39961" s="303" t="s">
        <v>232</v>
      </c>
    </row>
    <row r="39962" spans="119:119" x14ac:dyDescent="0.2">
      <c r="DO39962" s="303" t="s">
        <v>232</v>
      </c>
    </row>
    <row r="39963" spans="119:119" x14ac:dyDescent="0.2">
      <c r="DO39963" s="303" t="s">
        <v>232</v>
      </c>
    </row>
    <row r="39964" spans="119:119" x14ac:dyDescent="0.2">
      <c r="DO39964" s="303" t="s">
        <v>232</v>
      </c>
    </row>
    <row r="39965" spans="119:119" x14ac:dyDescent="0.2">
      <c r="DO39965" s="303" t="s">
        <v>232</v>
      </c>
    </row>
    <row r="39966" spans="119:119" x14ac:dyDescent="0.2">
      <c r="DO39966" s="303" t="s">
        <v>232</v>
      </c>
    </row>
    <row r="39967" spans="119:119" x14ac:dyDescent="0.2">
      <c r="DO39967" s="303" t="s">
        <v>232</v>
      </c>
    </row>
    <row r="39968" spans="119:119" x14ac:dyDescent="0.2">
      <c r="DO39968" s="303" t="s">
        <v>232</v>
      </c>
    </row>
    <row r="39969" spans="119:119" x14ac:dyDescent="0.2">
      <c r="DO39969" s="303" t="s">
        <v>232</v>
      </c>
    </row>
    <row r="39970" spans="119:119" x14ac:dyDescent="0.2">
      <c r="DO39970" s="303" t="s">
        <v>232</v>
      </c>
    </row>
    <row r="39971" spans="119:119" x14ac:dyDescent="0.2">
      <c r="DO39971" s="303" t="s">
        <v>232</v>
      </c>
    </row>
    <row r="39972" spans="119:119" x14ac:dyDescent="0.2">
      <c r="DO39972" s="303" t="s">
        <v>232</v>
      </c>
    </row>
    <row r="39973" spans="119:119" x14ac:dyDescent="0.2">
      <c r="DO39973" s="303" t="s">
        <v>232</v>
      </c>
    </row>
    <row r="39974" spans="119:119" x14ac:dyDescent="0.2">
      <c r="DO39974" s="303" t="s">
        <v>232</v>
      </c>
    </row>
    <row r="39975" spans="119:119" x14ac:dyDescent="0.2">
      <c r="DO39975" s="303" t="s">
        <v>232</v>
      </c>
    </row>
    <row r="39976" spans="119:119" x14ac:dyDescent="0.2">
      <c r="DO39976" s="303" t="s">
        <v>232</v>
      </c>
    </row>
    <row r="39977" spans="119:119" x14ac:dyDescent="0.2">
      <c r="DO39977" s="303" t="s">
        <v>232</v>
      </c>
    </row>
    <row r="39978" spans="119:119" x14ac:dyDescent="0.2">
      <c r="DO39978" s="303" t="s">
        <v>232</v>
      </c>
    </row>
    <row r="39979" spans="119:119" x14ac:dyDescent="0.2">
      <c r="DO39979" s="303" t="s">
        <v>232</v>
      </c>
    </row>
    <row r="39980" spans="119:119" x14ac:dyDescent="0.2">
      <c r="DO39980" s="303" t="s">
        <v>232</v>
      </c>
    </row>
    <row r="39981" spans="119:119" x14ac:dyDescent="0.2">
      <c r="DO39981" s="303" t="s">
        <v>232</v>
      </c>
    </row>
    <row r="39982" spans="119:119" x14ac:dyDescent="0.2">
      <c r="DO39982" s="303" t="s">
        <v>232</v>
      </c>
    </row>
    <row r="39983" spans="119:119" x14ac:dyDescent="0.2">
      <c r="DO39983" s="303" t="s">
        <v>232</v>
      </c>
    </row>
    <row r="39984" spans="119:119" x14ac:dyDescent="0.2">
      <c r="DO39984" s="303" t="s">
        <v>232</v>
      </c>
    </row>
    <row r="39985" spans="119:119" x14ac:dyDescent="0.2">
      <c r="DO39985" s="303" t="s">
        <v>232</v>
      </c>
    </row>
    <row r="39986" spans="119:119" x14ac:dyDescent="0.2">
      <c r="DO39986" s="303" t="s">
        <v>232</v>
      </c>
    </row>
    <row r="39987" spans="119:119" x14ac:dyDescent="0.2">
      <c r="DO39987" s="303" t="s">
        <v>232</v>
      </c>
    </row>
    <row r="39988" spans="119:119" x14ac:dyDescent="0.2">
      <c r="DO39988" s="303" t="s">
        <v>232</v>
      </c>
    </row>
    <row r="39989" spans="119:119" x14ac:dyDescent="0.2">
      <c r="DO39989" s="303" t="s">
        <v>232</v>
      </c>
    </row>
    <row r="39990" spans="119:119" x14ac:dyDescent="0.2">
      <c r="DO39990" s="303" t="s">
        <v>232</v>
      </c>
    </row>
    <row r="39991" spans="119:119" x14ac:dyDescent="0.2">
      <c r="DO39991" s="303" t="s">
        <v>232</v>
      </c>
    </row>
    <row r="39992" spans="119:119" x14ac:dyDescent="0.2">
      <c r="DO39992" s="303" t="s">
        <v>232</v>
      </c>
    </row>
    <row r="39993" spans="119:119" x14ac:dyDescent="0.2">
      <c r="DO39993" s="303" t="s">
        <v>232</v>
      </c>
    </row>
    <row r="39994" spans="119:119" x14ac:dyDescent="0.2">
      <c r="DO39994" s="303" t="s">
        <v>232</v>
      </c>
    </row>
    <row r="39995" spans="119:119" x14ac:dyDescent="0.2">
      <c r="DO39995" s="303" t="s">
        <v>232</v>
      </c>
    </row>
    <row r="39996" spans="119:119" x14ac:dyDescent="0.2">
      <c r="DO39996" s="303" t="s">
        <v>232</v>
      </c>
    </row>
    <row r="39997" spans="119:119" x14ac:dyDescent="0.2">
      <c r="DO39997" s="303" t="s">
        <v>232</v>
      </c>
    </row>
    <row r="39998" spans="119:119" x14ac:dyDescent="0.2">
      <c r="DO39998" s="303" t="s">
        <v>232</v>
      </c>
    </row>
    <row r="39999" spans="119:119" x14ac:dyDescent="0.2">
      <c r="DO39999" s="303" t="s">
        <v>232</v>
      </c>
    </row>
    <row r="40000" spans="119:119" x14ac:dyDescent="0.2">
      <c r="DO40000" s="303" t="s">
        <v>232</v>
      </c>
    </row>
    <row r="40001" spans="119:119" x14ac:dyDescent="0.2">
      <c r="DO40001" s="303" t="s">
        <v>232</v>
      </c>
    </row>
    <row r="40002" spans="119:119" x14ac:dyDescent="0.2">
      <c r="DO40002" s="303" t="s">
        <v>232</v>
      </c>
    </row>
    <row r="40003" spans="119:119" x14ac:dyDescent="0.2">
      <c r="DO40003" s="303" t="s">
        <v>232</v>
      </c>
    </row>
    <row r="40004" spans="119:119" x14ac:dyDescent="0.2">
      <c r="DO40004" s="303" t="s">
        <v>232</v>
      </c>
    </row>
    <row r="40005" spans="119:119" x14ac:dyDescent="0.2">
      <c r="DO40005" s="303" t="s">
        <v>232</v>
      </c>
    </row>
    <row r="40006" spans="119:119" x14ac:dyDescent="0.2">
      <c r="DO40006" s="303" t="s">
        <v>232</v>
      </c>
    </row>
    <row r="40007" spans="119:119" x14ac:dyDescent="0.2">
      <c r="DO40007" s="303" t="s">
        <v>232</v>
      </c>
    </row>
    <row r="40008" spans="119:119" x14ac:dyDescent="0.2">
      <c r="DO40008" s="303" t="s">
        <v>232</v>
      </c>
    </row>
    <row r="40009" spans="119:119" x14ac:dyDescent="0.2">
      <c r="DO40009" s="303" t="s">
        <v>232</v>
      </c>
    </row>
    <row r="40010" spans="119:119" x14ac:dyDescent="0.2">
      <c r="DO40010" s="303" t="s">
        <v>232</v>
      </c>
    </row>
    <row r="40011" spans="119:119" x14ac:dyDescent="0.2">
      <c r="DO40011" s="303" t="s">
        <v>232</v>
      </c>
    </row>
    <row r="40012" spans="119:119" x14ac:dyDescent="0.2">
      <c r="DO40012" s="303" t="s">
        <v>232</v>
      </c>
    </row>
    <row r="40013" spans="119:119" x14ac:dyDescent="0.2">
      <c r="DO40013" s="303" t="s">
        <v>232</v>
      </c>
    </row>
    <row r="40014" spans="119:119" x14ac:dyDescent="0.2">
      <c r="DO40014" s="303" t="s">
        <v>232</v>
      </c>
    </row>
    <row r="40015" spans="119:119" x14ac:dyDescent="0.2">
      <c r="DO40015" s="303" t="s">
        <v>232</v>
      </c>
    </row>
    <row r="40016" spans="119:119" x14ac:dyDescent="0.2">
      <c r="DO40016" s="303" t="s">
        <v>232</v>
      </c>
    </row>
    <row r="40017" spans="119:119" x14ac:dyDescent="0.2">
      <c r="DO40017" s="303" t="s">
        <v>232</v>
      </c>
    </row>
    <row r="40018" spans="119:119" x14ac:dyDescent="0.2">
      <c r="DO40018" s="303" t="s">
        <v>232</v>
      </c>
    </row>
    <row r="40019" spans="119:119" x14ac:dyDescent="0.2">
      <c r="DO40019" s="303" t="s">
        <v>232</v>
      </c>
    </row>
    <row r="40020" spans="119:119" x14ac:dyDescent="0.2">
      <c r="DO40020" s="303" t="s">
        <v>232</v>
      </c>
    </row>
    <row r="40021" spans="119:119" x14ac:dyDescent="0.2">
      <c r="DO40021" s="303" t="s">
        <v>232</v>
      </c>
    </row>
    <row r="40022" spans="119:119" x14ac:dyDescent="0.2">
      <c r="DO40022" s="303" t="s">
        <v>232</v>
      </c>
    </row>
    <row r="40023" spans="119:119" x14ac:dyDescent="0.2">
      <c r="DO40023" s="303" t="s">
        <v>232</v>
      </c>
    </row>
    <row r="40024" spans="119:119" x14ac:dyDescent="0.2">
      <c r="DO40024" s="303" t="s">
        <v>232</v>
      </c>
    </row>
    <row r="40025" spans="119:119" x14ac:dyDescent="0.2">
      <c r="DO40025" s="303" t="s">
        <v>232</v>
      </c>
    </row>
    <row r="40026" spans="119:119" x14ac:dyDescent="0.2">
      <c r="DO40026" s="303" t="s">
        <v>232</v>
      </c>
    </row>
    <row r="40027" spans="119:119" x14ac:dyDescent="0.2">
      <c r="DO40027" s="303" t="s">
        <v>232</v>
      </c>
    </row>
    <row r="40028" spans="119:119" x14ac:dyDescent="0.2">
      <c r="DO40028" s="303" t="s">
        <v>232</v>
      </c>
    </row>
    <row r="40029" spans="119:119" x14ac:dyDescent="0.2">
      <c r="DO40029" s="303" t="s">
        <v>232</v>
      </c>
    </row>
    <row r="40030" spans="119:119" x14ac:dyDescent="0.2">
      <c r="DO40030" s="303" t="s">
        <v>232</v>
      </c>
    </row>
    <row r="40031" spans="119:119" x14ac:dyDescent="0.2">
      <c r="DO40031" s="303" t="s">
        <v>232</v>
      </c>
    </row>
    <row r="40032" spans="119:119" x14ac:dyDescent="0.2">
      <c r="DO40032" s="303" t="s">
        <v>232</v>
      </c>
    </row>
    <row r="40033" spans="119:119" x14ac:dyDescent="0.2">
      <c r="DO40033" s="303" t="s">
        <v>232</v>
      </c>
    </row>
    <row r="40034" spans="119:119" x14ac:dyDescent="0.2">
      <c r="DO40034" s="303" t="s">
        <v>232</v>
      </c>
    </row>
    <row r="40035" spans="119:119" x14ac:dyDescent="0.2">
      <c r="DO40035" s="303" t="s">
        <v>232</v>
      </c>
    </row>
    <row r="40036" spans="119:119" x14ac:dyDescent="0.2">
      <c r="DO40036" s="303" t="s">
        <v>232</v>
      </c>
    </row>
    <row r="40037" spans="119:119" x14ac:dyDescent="0.2">
      <c r="DO40037" s="303" t="s">
        <v>232</v>
      </c>
    </row>
    <row r="40038" spans="119:119" x14ac:dyDescent="0.2">
      <c r="DO40038" s="303" t="s">
        <v>232</v>
      </c>
    </row>
    <row r="40039" spans="119:119" x14ac:dyDescent="0.2">
      <c r="DO40039" s="303" t="s">
        <v>232</v>
      </c>
    </row>
    <row r="40040" spans="119:119" x14ac:dyDescent="0.2">
      <c r="DO40040" s="303" t="s">
        <v>232</v>
      </c>
    </row>
    <row r="40041" spans="119:119" x14ac:dyDescent="0.2">
      <c r="DO40041" s="303" t="s">
        <v>232</v>
      </c>
    </row>
    <row r="40042" spans="119:119" x14ac:dyDescent="0.2">
      <c r="DO40042" s="303" t="s">
        <v>232</v>
      </c>
    </row>
    <row r="40043" spans="119:119" x14ac:dyDescent="0.2">
      <c r="DO40043" s="303" t="s">
        <v>232</v>
      </c>
    </row>
    <row r="40044" spans="119:119" x14ac:dyDescent="0.2">
      <c r="DO40044" s="303" t="s">
        <v>232</v>
      </c>
    </row>
    <row r="40045" spans="119:119" x14ac:dyDescent="0.2">
      <c r="DO40045" s="303" t="s">
        <v>232</v>
      </c>
    </row>
    <row r="40046" spans="119:119" x14ac:dyDescent="0.2">
      <c r="DO40046" s="303" t="s">
        <v>232</v>
      </c>
    </row>
    <row r="40047" spans="119:119" x14ac:dyDescent="0.2">
      <c r="DO40047" s="303" t="s">
        <v>232</v>
      </c>
    </row>
    <row r="40048" spans="119:119" x14ac:dyDescent="0.2">
      <c r="DO40048" s="303" t="s">
        <v>232</v>
      </c>
    </row>
    <row r="40049" spans="119:119" x14ac:dyDescent="0.2">
      <c r="DO40049" s="303" t="s">
        <v>232</v>
      </c>
    </row>
    <row r="40050" spans="119:119" x14ac:dyDescent="0.2">
      <c r="DO40050" s="303" t="s">
        <v>232</v>
      </c>
    </row>
    <row r="40051" spans="119:119" x14ac:dyDescent="0.2">
      <c r="DO40051" s="303" t="s">
        <v>232</v>
      </c>
    </row>
    <row r="40052" spans="119:119" x14ac:dyDescent="0.2">
      <c r="DO40052" s="303" t="s">
        <v>232</v>
      </c>
    </row>
    <row r="40053" spans="119:119" x14ac:dyDescent="0.2">
      <c r="DO40053" s="303" t="s">
        <v>232</v>
      </c>
    </row>
    <row r="40054" spans="119:119" x14ac:dyDescent="0.2">
      <c r="DO40054" s="303" t="s">
        <v>232</v>
      </c>
    </row>
    <row r="40055" spans="119:119" x14ac:dyDescent="0.2">
      <c r="DO40055" s="303" t="s">
        <v>232</v>
      </c>
    </row>
    <row r="40056" spans="119:119" x14ac:dyDescent="0.2">
      <c r="DO40056" s="303" t="s">
        <v>232</v>
      </c>
    </row>
    <row r="40057" spans="119:119" x14ac:dyDescent="0.2">
      <c r="DO40057" s="303" t="s">
        <v>232</v>
      </c>
    </row>
    <row r="40058" spans="119:119" x14ac:dyDescent="0.2">
      <c r="DO40058" s="303" t="s">
        <v>232</v>
      </c>
    </row>
    <row r="40059" spans="119:119" x14ac:dyDescent="0.2">
      <c r="DO40059" s="303" t="s">
        <v>232</v>
      </c>
    </row>
    <row r="40060" spans="119:119" x14ac:dyDescent="0.2">
      <c r="DO40060" s="303" t="s">
        <v>232</v>
      </c>
    </row>
    <row r="40061" spans="119:119" x14ac:dyDescent="0.2">
      <c r="DO40061" s="303" t="s">
        <v>232</v>
      </c>
    </row>
    <row r="40062" spans="119:119" x14ac:dyDescent="0.2">
      <c r="DO40062" s="303" t="s">
        <v>232</v>
      </c>
    </row>
    <row r="40063" spans="119:119" x14ac:dyDescent="0.2">
      <c r="DO40063" s="303" t="s">
        <v>232</v>
      </c>
    </row>
    <row r="40064" spans="119:119" x14ac:dyDescent="0.2">
      <c r="DO40064" s="303" t="s">
        <v>232</v>
      </c>
    </row>
    <row r="40065" spans="119:119" x14ac:dyDescent="0.2">
      <c r="DO40065" s="303" t="s">
        <v>232</v>
      </c>
    </row>
    <row r="40066" spans="119:119" x14ac:dyDescent="0.2">
      <c r="DO40066" s="303" t="s">
        <v>232</v>
      </c>
    </row>
    <row r="40067" spans="119:119" x14ac:dyDescent="0.2">
      <c r="DO40067" s="303" t="s">
        <v>232</v>
      </c>
    </row>
    <row r="40068" spans="119:119" x14ac:dyDescent="0.2">
      <c r="DO40068" s="303" t="s">
        <v>232</v>
      </c>
    </row>
    <row r="40069" spans="119:119" x14ac:dyDescent="0.2">
      <c r="DO40069" s="303" t="s">
        <v>232</v>
      </c>
    </row>
    <row r="40070" spans="119:119" x14ac:dyDescent="0.2">
      <c r="DO40070" s="303" t="s">
        <v>232</v>
      </c>
    </row>
    <row r="40071" spans="119:119" x14ac:dyDescent="0.2">
      <c r="DO40071" s="303" t="s">
        <v>232</v>
      </c>
    </row>
    <row r="40072" spans="119:119" x14ac:dyDescent="0.2">
      <c r="DO40072" s="303" t="s">
        <v>232</v>
      </c>
    </row>
    <row r="40073" spans="119:119" x14ac:dyDescent="0.2">
      <c r="DO40073" s="303" t="s">
        <v>232</v>
      </c>
    </row>
    <row r="40074" spans="119:119" x14ac:dyDescent="0.2">
      <c r="DO40074" s="303" t="s">
        <v>232</v>
      </c>
    </row>
    <row r="40075" spans="119:119" x14ac:dyDescent="0.2">
      <c r="DO40075" s="303" t="s">
        <v>232</v>
      </c>
    </row>
    <row r="40076" spans="119:119" x14ac:dyDescent="0.2">
      <c r="DO40076" s="303" t="s">
        <v>232</v>
      </c>
    </row>
    <row r="40077" spans="119:119" x14ac:dyDescent="0.2">
      <c r="DO40077" s="303" t="s">
        <v>232</v>
      </c>
    </row>
    <row r="40078" spans="119:119" x14ac:dyDescent="0.2">
      <c r="DO40078" s="303" t="s">
        <v>232</v>
      </c>
    </row>
    <row r="40079" spans="119:119" x14ac:dyDescent="0.2">
      <c r="DO40079" s="303" t="s">
        <v>232</v>
      </c>
    </row>
    <row r="40080" spans="119:119" x14ac:dyDescent="0.2">
      <c r="DO40080" s="303" t="s">
        <v>232</v>
      </c>
    </row>
    <row r="40081" spans="119:119" x14ac:dyDescent="0.2">
      <c r="DO40081" s="303" t="s">
        <v>232</v>
      </c>
    </row>
    <row r="40082" spans="119:119" x14ac:dyDescent="0.2">
      <c r="DO40082" s="303" t="s">
        <v>232</v>
      </c>
    </row>
    <row r="40083" spans="119:119" x14ac:dyDescent="0.2">
      <c r="DO40083" s="303" t="s">
        <v>232</v>
      </c>
    </row>
    <row r="40084" spans="119:119" x14ac:dyDescent="0.2">
      <c r="DO40084" s="303" t="s">
        <v>232</v>
      </c>
    </row>
    <row r="40085" spans="119:119" x14ac:dyDescent="0.2">
      <c r="DO40085" s="303" t="s">
        <v>232</v>
      </c>
    </row>
    <row r="40086" spans="119:119" x14ac:dyDescent="0.2">
      <c r="DO40086" s="303" t="s">
        <v>232</v>
      </c>
    </row>
    <row r="40087" spans="119:119" x14ac:dyDescent="0.2">
      <c r="DO40087" s="303" t="s">
        <v>232</v>
      </c>
    </row>
    <row r="40088" spans="119:119" x14ac:dyDescent="0.2">
      <c r="DO40088" s="303" t="s">
        <v>232</v>
      </c>
    </row>
    <row r="40089" spans="119:119" x14ac:dyDescent="0.2">
      <c r="DO40089" s="303" t="s">
        <v>232</v>
      </c>
    </row>
    <row r="40090" spans="119:119" x14ac:dyDescent="0.2">
      <c r="DO40090" s="303" t="s">
        <v>232</v>
      </c>
    </row>
    <row r="40091" spans="119:119" x14ac:dyDescent="0.2">
      <c r="DO40091" s="303" t="s">
        <v>232</v>
      </c>
    </row>
    <row r="40092" spans="119:119" x14ac:dyDescent="0.2">
      <c r="DO40092" s="303" t="s">
        <v>232</v>
      </c>
    </row>
    <row r="40093" spans="119:119" x14ac:dyDescent="0.2">
      <c r="DO40093" s="303" t="s">
        <v>232</v>
      </c>
    </row>
    <row r="40094" spans="119:119" x14ac:dyDescent="0.2">
      <c r="DO40094" s="303" t="s">
        <v>232</v>
      </c>
    </row>
    <row r="40095" spans="119:119" x14ac:dyDescent="0.2">
      <c r="DO40095" s="303" t="s">
        <v>232</v>
      </c>
    </row>
    <row r="40096" spans="119:119" x14ac:dyDescent="0.2">
      <c r="DO40096" s="303" t="s">
        <v>232</v>
      </c>
    </row>
    <row r="40097" spans="119:119" x14ac:dyDescent="0.2">
      <c r="DO40097" s="303" t="s">
        <v>232</v>
      </c>
    </row>
    <row r="40098" spans="119:119" x14ac:dyDescent="0.2">
      <c r="DO40098" s="303" t="s">
        <v>232</v>
      </c>
    </row>
    <row r="40099" spans="119:119" x14ac:dyDescent="0.2">
      <c r="DO40099" s="303" t="s">
        <v>232</v>
      </c>
    </row>
    <row r="40100" spans="119:119" x14ac:dyDescent="0.2">
      <c r="DO40100" s="303" t="s">
        <v>232</v>
      </c>
    </row>
    <row r="40101" spans="119:119" x14ac:dyDescent="0.2">
      <c r="DO40101" s="303" t="s">
        <v>232</v>
      </c>
    </row>
    <row r="40102" spans="119:119" x14ac:dyDescent="0.2">
      <c r="DO40102" s="303" t="s">
        <v>232</v>
      </c>
    </row>
    <row r="40103" spans="119:119" x14ac:dyDescent="0.2">
      <c r="DO40103" s="303" t="s">
        <v>232</v>
      </c>
    </row>
    <row r="40104" spans="119:119" x14ac:dyDescent="0.2">
      <c r="DO40104" s="303" t="s">
        <v>232</v>
      </c>
    </row>
    <row r="40105" spans="119:119" x14ac:dyDescent="0.2">
      <c r="DO40105" s="303" t="s">
        <v>232</v>
      </c>
    </row>
    <row r="40106" spans="119:119" x14ac:dyDescent="0.2">
      <c r="DO40106" s="303" t="s">
        <v>232</v>
      </c>
    </row>
    <row r="40107" spans="119:119" x14ac:dyDescent="0.2">
      <c r="DO40107" s="303" t="s">
        <v>232</v>
      </c>
    </row>
    <row r="40108" spans="119:119" x14ac:dyDescent="0.2">
      <c r="DO40108" s="303" t="s">
        <v>232</v>
      </c>
    </row>
    <row r="40109" spans="119:119" x14ac:dyDescent="0.2">
      <c r="DO40109" s="303" t="s">
        <v>232</v>
      </c>
    </row>
    <row r="40110" spans="119:119" x14ac:dyDescent="0.2">
      <c r="DO40110" s="303" t="s">
        <v>232</v>
      </c>
    </row>
    <row r="40111" spans="119:119" x14ac:dyDescent="0.2">
      <c r="DO40111" s="303" t="s">
        <v>232</v>
      </c>
    </row>
    <row r="40112" spans="119:119" x14ac:dyDescent="0.2">
      <c r="DO40112" s="303" t="s">
        <v>232</v>
      </c>
    </row>
    <row r="40113" spans="119:119" x14ac:dyDescent="0.2">
      <c r="DO40113" s="303" t="s">
        <v>232</v>
      </c>
    </row>
    <row r="40114" spans="119:119" x14ac:dyDescent="0.2">
      <c r="DO40114" s="303" t="s">
        <v>232</v>
      </c>
    </row>
    <row r="40115" spans="119:119" x14ac:dyDescent="0.2">
      <c r="DO40115" s="303" t="s">
        <v>232</v>
      </c>
    </row>
    <row r="40116" spans="119:119" x14ac:dyDescent="0.2">
      <c r="DO40116" s="303" t="s">
        <v>232</v>
      </c>
    </row>
    <row r="40117" spans="119:119" x14ac:dyDescent="0.2">
      <c r="DO40117" s="303" t="s">
        <v>232</v>
      </c>
    </row>
    <row r="40118" spans="119:119" x14ac:dyDescent="0.2">
      <c r="DO40118" s="303" t="s">
        <v>232</v>
      </c>
    </row>
    <row r="40119" spans="119:119" x14ac:dyDescent="0.2">
      <c r="DO40119" s="303" t="s">
        <v>232</v>
      </c>
    </row>
    <row r="40120" spans="119:119" x14ac:dyDescent="0.2">
      <c r="DO40120" s="303" t="s">
        <v>232</v>
      </c>
    </row>
    <row r="40121" spans="119:119" x14ac:dyDescent="0.2">
      <c r="DO40121" s="303" t="s">
        <v>232</v>
      </c>
    </row>
    <row r="40122" spans="119:119" x14ac:dyDescent="0.2">
      <c r="DO40122" s="303" t="s">
        <v>232</v>
      </c>
    </row>
    <row r="40123" spans="119:119" x14ac:dyDescent="0.2">
      <c r="DO40123" s="303" t="s">
        <v>232</v>
      </c>
    </row>
    <row r="40124" spans="119:119" x14ac:dyDescent="0.2">
      <c r="DO40124" s="303" t="s">
        <v>232</v>
      </c>
    </row>
    <row r="40125" spans="119:119" x14ac:dyDescent="0.2">
      <c r="DO40125" s="303" t="s">
        <v>232</v>
      </c>
    </row>
    <row r="40126" spans="119:119" x14ac:dyDescent="0.2">
      <c r="DO40126" s="303" t="s">
        <v>232</v>
      </c>
    </row>
    <row r="40127" spans="119:119" x14ac:dyDescent="0.2">
      <c r="DO40127" s="303" t="s">
        <v>232</v>
      </c>
    </row>
    <row r="40128" spans="119:119" x14ac:dyDescent="0.2">
      <c r="DO40128" s="303" t="s">
        <v>232</v>
      </c>
    </row>
    <row r="40129" spans="119:119" x14ac:dyDescent="0.2">
      <c r="DO40129" s="303" t="s">
        <v>232</v>
      </c>
    </row>
    <row r="40130" spans="119:119" x14ac:dyDescent="0.2">
      <c r="DO40130" s="303" t="s">
        <v>232</v>
      </c>
    </row>
    <row r="40131" spans="119:119" x14ac:dyDescent="0.2">
      <c r="DO40131" s="303" t="s">
        <v>232</v>
      </c>
    </row>
    <row r="40132" spans="119:119" x14ac:dyDescent="0.2">
      <c r="DO40132" s="303" t="s">
        <v>232</v>
      </c>
    </row>
    <row r="40133" spans="119:119" x14ac:dyDescent="0.2">
      <c r="DO40133" s="303" t="s">
        <v>232</v>
      </c>
    </row>
    <row r="40134" spans="119:119" x14ac:dyDescent="0.2">
      <c r="DO40134" s="303" t="s">
        <v>232</v>
      </c>
    </row>
    <row r="40135" spans="119:119" x14ac:dyDescent="0.2">
      <c r="DO40135" s="303" t="s">
        <v>232</v>
      </c>
    </row>
    <row r="40136" spans="119:119" x14ac:dyDescent="0.2">
      <c r="DO40136" s="303" t="s">
        <v>232</v>
      </c>
    </row>
    <row r="40137" spans="119:119" x14ac:dyDescent="0.2">
      <c r="DO40137" s="303" t="s">
        <v>232</v>
      </c>
    </row>
    <row r="40138" spans="119:119" x14ac:dyDescent="0.2">
      <c r="DO40138" s="303" t="s">
        <v>232</v>
      </c>
    </row>
    <row r="40139" spans="119:119" x14ac:dyDescent="0.2">
      <c r="DO40139" s="303" t="s">
        <v>232</v>
      </c>
    </row>
    <row r="40140" spans="119:119" x14ac:dyDescent="0.2">
      <c r="DO40140" s="303" t="s">
        <v>232</v>
      </c>
    </row>
    <row r="40141" spans="119:119" x14ac:dyDescent="0.2">
      <c r="DO40141" s="303" t="s">
        <v>232</v>
      </c>
    </row>
    <row r="40142" spans="119:119" x14ac:dyDescent="0.2">
      <c r="DO40142" s="303" t="s">
        <v>232</v>
      </c>
    </row>
    <row r="40143" spans="119:119" x14ac:dyDescent="0.2">
      <c r="DO40143" s="303" t="s">
        <v>232</v>
      </c>
    </row>
    <row r="40144" spans="119:119" x14ac:dyDescent="0.2">
      <c r="DO40144" s="303" t="s">
        <v>232</v>
      </c>
    </row>
    <row r="40145" spans="119:119" x14ac:dyDescent="0.2">
      <c r="DO40145" s="303" t="s">
        <v>232</v>
      </c>
    </row>
    <row r="40146" spans="119:119" x14ac:dyDescent="0.2">
      <c r="DO40146" s="303" t="s">
        <v>232</v>
      </c>
    </row>
    <row r="40147" spans="119:119" x14ac:dyDescent="0.2">
      <c r="DO40147" s="303" t="s">
        <v>232</v>
      </c>
    </row>
    <row r="40148" spans="119:119" x14ac:dyDescent="0.2">
      <c r="DO40148" s="303" t="s">
        <v>232</v>
      </c>
    </row>
    <row r="40149" spans="119:119" x14ac:dyDescent="0.2">
      <c r="DO40149" s="303" t="s">
        <v>232</v>
      </c>
    </row>
    <row r="40150" spans="119:119" x14ac:dyDescent="0.2">
      <c r="DO40150" s="303" t="s">
        <v>232</v>
      </c>
    </row>
    <row r="40151" spans="119:119" x14ac:dyDescent="0.2">
      <c r="DO40151" s="303" t="s">
        <v>232</v>
      </c>
    </row>
    <row r="40152" spans="119:119" x14ac:dyDescent="0.2">
      <c r="DO40152" s="303" t="s">
        <v>232</v>
      </c>
    </row>
    <row r="40153" spans="119:119" x14ac:dyDescent="0.2">
      <c r="DO40153" s="303" t="s">
        <v>232</v>
      </c>
    </row>
    <row r="40154" spans="119:119" x14ac:dyDescent="0.2">
      <c r="DO40154" s="303" t="s">
        <v>232</v>
      </c>
    </row>
    <row r="40155" spans="119:119" x14ac:dyDescent="0.2">
      <c r="DO40155" s="303" t="s">
        <v>232</v>
      </c>
    </row>
    <row r="40156" spans="119:119" x14ac:dyDescent="0.2">
      <c r="DO40156" s="303" t="s">
        <v>232</v>
      </c>
    </row>
    <row r="40157" spans="119:119" x14ac:dyDescent="0.2">
      <c r="DO40157" s="303" t="s">
        <v>232</v>
      </c>
    </row>
    <row r="40158" spans="119:119" x14ac:dyDescent="0.2">
      <c r="DO40158" s="303" t="s">
        <v>232</v>
      </c>
    </row>
    <row r="40159" spans="119:119" x14ac:dyDescent="0.2">
      <c r="DO40159" s="303" t="s">
        <v>232</v>
      </c>
    </row>
    <row r="40160" spans="119:119" x14ac:dyDescent="0.2">
      <c r="DO40160" s="303" t="s">
        <v>232</v>
      </c>
    </row>
    <row r="40161" spans="119:119" x14ac:dyDescent="0.2">
      <c r="DO40161" s="303" t="s">
        <v>232</v>
      </c>
    </row>
    <row r="40162" spans="119:119" x14ac:dyDescent="0.2">
      <c r="DO40162" s="303" t="s">
        <v>232</v>
      </c>
    </row>
    <row r="40163" spans="119:119" x14ac:dyDescent="0.2">
      <c r="DO40163" s="303" t="s">
        <v>232</v>
      </c>
    </row>
    <row r="40164" spans="119:119" x14ac:dyDescent="0.2">
      <c r="DO40164" s="303" t="s">
        <v>232</v>
      </c>
    </row>
    <row r="40165" spans="119:119" x14ac:dyDescent="0.2">
      <c r="DO40165" s="303" t="s">
        <v>232</v>
      </c>
    </row>
    <row r="40166" spans="119:119" x14ac:dyDescent="0.2">
      <c r="DO40166" s="303" t="s">
        <v>232</v>
      </c>
    </row>
    <row r="40167" spans="119:119" x14ac:dyDescent="0.2">
      <c r="DO40167" s="303" t="s">
        <v>232</v>
      </c>
    </row>
    <row r="40168" spans="119:119" x14ac:dyDescent="0.2">
      <c r="DO40168" s="303" t="s">
        <v>232</v>
      </c>
    </row>
    <row r="40169" spans="119:119" x14ac:dyDescent="0.2">
      <c r="DO40169" s="303" t="s">
        <v>232</v>
      </c>
    </row>
    <row r="40170" spans="119:119" x14ac:dyDescent="0.2">
      <c r="DO40170" s="303" t="s">
        <v>232</v>
      </c>
    </row>
    <row r="40171" spans="119:119" x14ac:dyDescent="0.2">
      <c r="DO40171" s="303" t="s">
        <v>232</v>
      </c>
    </row>
    <row r="40172" spans="119:119" x14ac:dyDescent="0.2">
      <c r="DO40172" s="303" t="s">
        <v>232</v>
      </c>
    </row>
    <row r="40173" spans="119:119" x14ac:dyDescent="0.2">
      <c r="DO40173" s="303" t="s">
        <v>232</v>
      </c>
    </row>
    <row r="40174" spans="119:119" x14ac:dyDescent="0.2">
      <c r="DO40174" s="303" t="s">
        <v>232</v>
      </c>
    </row>
    <row r="40175" spans="119:119" x14ac:dyDescent="0.2">
      <c r="DO40175" s="303" t="s">
        <v>232</v>
      </c>
    </row>
    <row r="40176" spans="119:119" x14ac:dyDescent="0.2">
      <c r="DO40176" s="303" t="s">
        <v>232</v>
      </c>
    </row>
    <row r="40177" spans="119:119" x14ac:dyDescent="0.2">
      <c r="DO40177" s="303" t="s">
        <v>232</v>
      </c>
    </row>
    <row r="40178" spans="119:119" x14ac:dyDescent="0.2">
      <c r="DO40178" s="303" t="s">
        <v>232</v>
      </c>
    </row>
    <row r="40179" spans="119:119" x14ac:dyDescent="0.2">
      <c r="DO40179" s="303" t="s">
        <v>232</v>
      </c>
    </row>
    <row r="40180" spans="119:119" x14ac:dyDescent="0.2">
      <c r="DO40180" s="303" t="s">
        <v>232</v>
      </c>
    </row>
    <row r="40181" spans="119:119" x14ac:dyDescent="0.2">
      <c r="DO40181" s="303" t="s">
        <v>232</v>
      </c>
    </row>
    <row r="40182" spans="119:119" x14ac:dyDescent="0.2">
      <c r="DO40182" s="303" t="s">
        <v>232</v>
      </c>
    </row>
    <row r="40183" spans="119:119" x14ac:dyDescent="0.2">
      <c r="DO40183" s="303" t="s">
        <v>232</v>
      </c>
    </row>
    <row r="40184" spans="119:119" x14ac:dyDescent="0.2">
      <c r="DO40184" s="303" t="s">
        <v>232</v>
      </c>
    </row>
    <row r="40185" spans="119:119" x14ac:dyDescent="0.2">
      <c r="DO40185" s="303" t="s">
        <v>232</v>
      </c>
    </row>
    <row r="40186" spans="119:119" x14ac:dyDescent="0.2">
      <c r="DO40186" s="303" t="s">
        <v>232</v>
      </c>
    </row>
    <row r="40187" spans="119:119" x14ac:dyDescent="0.2">
      <c r="DO40187" s="303" t="s">
        <v>232</v>
      </c>
    </row>
    <row r="40188" spans="119:119" x14ac:dyDescent="0.2">
      <c r="DO40188" s="303" t="s">
        <v>232</v>
      </c>
    </row>
    <row r="40189" spans="119:119" x14ac:dyDescent="0.2">
      <c r="DO40189" s="303" t="s">
        <v>232</v>
      </c>
    </row>
    <row r="40190" spans="119:119" x14ac:dyDescent="0.2">
      <c r="DO40190" s="303" t="s">
        <v>232</v>
      </c>
    </row>
    <row r="40191" spans="119:119" x14ac:dyDescent="0.2">
      <c r="DO40191" s="303" t="s">
        <v>232</v>
      </c>
    </row>
    <row r="40192" spans="119:119" x14ac:dyDescent="0.2">
      <c r="DO40192" s="303" t="s">
        <v>232</v>
      </c>
    </row>
    <row r="40193" spans="119:119" x14ac:dyDescent="0.2">
      <c r="DO40193" s="303" t="s">
        <v>232</v>
      </c>
    </row>
    <row r="40194" spans="119:119" x14ac:dyDescent="0.2">
      <c r="DO40194" s="303" t="s">
        <v>232</v>
      </c>
    </row>
    <row r="40195" spans="119:119" x14ac:dyDescent="0.2">
      <c r="DO40195" s="303" t="s">
        <v>232</v>
      </c>
    </row>
    <row r="40196" spans="119:119" x14ac:dyDescent="0.2">
      <c r="DO40196" s="303" t="s">
        <v>232</v>
      </c>
    </row>
    <row r="40197" spans="119:119" x14ac:dyDescent="0.2">
      <c r="DO40197" s="303" t="s">
        <v>232</v>
      </c>
    </row>
    <row r="40198" spans="119:119" x14ac:dyDescent="0.2">
      <c r="DO40198" s="303" t="s">
        <v>232</v>
      </c>
    </row>
    <row r="40199" spans="119:119" x14ac:dyDescent="0.2">
      <c r="DO40199" s="303" t="s">
        <v>232</v>
      </c>
    </row>
    <row r="40200" spans="119:119" x14ac:dyDescent="0.2">
      <c r="DO40200" s="303" t="s">
        <v>232</v>
      </c>
    </row>
    <row r="40201" spans="119:119" x14ac:dyDescent="0.2">
      <c r="DO40201" s="303" t="s">
        <v>232</v>
      </c>
    </row>
    <row r="40202" spans="119:119" x14ac:dyDescent="0.2">
      <c r="DO40202" s="303" t="s">
        <v>232</v>
      </c>
    </row>
    <row r="40203" spans="119:119" x14ac:dyDescent="0.2">
      <c r="DO40203" s="303" t="s">
        <v>232</v>
      </c>
    </row>
    <row r="40204" spans="119:119" x14ac:dyDescent="0.2">
      <c r="DO40204" s="303" t="s">
        <v>232</v>
      </c>
    </row>
    <row r="40205" spans="119:119" x14ac:dyDescent="0.2">
      <c r="DO40205" s="303" t="s">
        <v>232</v>
      </c>
    </row>
    <row r="40206" spans="119:119" x14ac:dyDescent="0.2">
      <c r="DO40206" s="303" t="s">
        <v>232</v>
      </c>
    </row>
    <row r="40207" spans="119:119" x14ac:dyDescent="0.2">
      <c r="DO40207" s="303" t="s">
        <v>232</v>
      </c>
    </row>
    <row r="40208" spans="119:119" x14ac:dyDescent="0.2">
      <c r="DO40208" s="303" t="s">
        <v>232</v>
      </c>
    </row>
    <row r="40209" spans="119:119" x14ac:dyDescent="0.2">
      <c r="DO40209" s="303" t="s">
        <v>232</v>
      </c>
    </row>
    <row r="40210" spans="119:119" x14ac:dyDescent="0.2">
      <c r="DO40210" s="303" t="s">
        <v>232</v>
      </c>
    </row>
    <row r="40211" spans="119:119" x14ac:dyDescent="0.2">
      <c r="DO40211" s="303" t="s">
        <v>232</v>
      </c>
    </row>
    <row r="40212" spans="119:119" x14ac:dyDescent="0.2">
      <c r="DO40212" s="303" t="s">
        <v>232</v>
      </c>
    </row>
    <row r="40213" spans="119:119" x14ac:dyDescent="0.2">
      <c r="DO40213" s="303" t="s">
        <v>232</v>
      </c>
    </row>
    <row r="40214" spans="119:119" x14ac:dyDescent="0.2">
      <c r="DO40214" s="303" t="s">
        <v>232</v>
      </c>
    </row>
    <row r="40215" spans="119:119" x14ac:dyDescent="0.2">
      <c r="DO40215" s="303" t="s">
        <v>232</v>
      </c>
    </row>
    <row r="40216" spans="119:119" x14ac:dyDescent="0.2">
      <c r="DO40216" s="303" t="s">
        <v>232</v>
      </c>
    </row>
    <row r="40217" spans="119:119" x14ac:dyDescent="0.2">
      <c r="DO40217" s="303" t="s">
        <v>232</v>
      </c>
    </row>
    <row r="40218" spans="119:119" x14ac:dyDescent="0.2">
      <c r="DO40218" s="303" t="s">
        <v>232</v>
      </c>
    </row>
    <row r="40219" spans="119:119" x14ac:dyDescent="0.2">
      <c r="DO40219" s="303" t="s">
        <v>232</v>
      </c>
    </row>
    <row r="40220" spans="119:119" x14ac:dyDescent="0.2">
      <c r="DO40220" s="303" t="s">
        <v>232</v>
      </c>
    </row>
    <row r="40221" spans="119:119" x14ac:dyDescent="0.2">
      <c r="DO40221" s="303" t="s">
        <v>232</v>
      </c>
    </row>
    <row r="40222" spans="119:119" x14ac:dyDescent="0.2">
      <c r="DO40222" s="303" t="s">
        <v>232</v>
      </c>
    </row>
    <row r="40223" spans="119:119" x14ac:dyDescent="0.2">
      <c r="DO40223" s="303" t="s">
        <v>232</v>
      </c>
    </row>
    <row r="40224" spans="119:119" x14ac:dyDescent="0.2">
      <c r="DO40224" s="303" t="s">
        <v>232</v>
      </c>
    </row>
    <row r="40225" spans="119:119" x14ac:dyDescent="0.2">
      <c r="DO40225" s="303" t="s">
        <v>232</v>
      </c>
    </row>
    <row r="40226" spans="119:119" x14ac:dyDescent="0.2">
      <c r="DO40226" s="303" t="s">
        <v>232</v>
      </c>
    </row>
    <row r="40227" spans="119:119" x14ac:dyDescent="0.2">
      <c r="DO40227" s="303" t="s">
        <v>232</v>
      </c>
    </row>
    <row r="40228" spans="119:119" x14ac:dyDescent="0.2">
      <c r="DO40228" s="303" t="s">
        <v>232</v>
      </c>
    </row>
    <row r="40229" spans="119:119" x14ac:dyDescent="0.2">
      <c r="DO40229" s="303" t="s">
        <v>232</v>
      </c>
    </row>
    <row r="40230" spans="119:119" x14ac:dyDescent="0.2">
      <c r="DO40230" s="303" t="s">
        <v>232</v>
      </c>
    </row>
    <row r="40231" spans="119:119" x14ac:dyDescent="0.2">
      <c r="DO40231" s="303" t="s">
        <v>232</v>
      </c>
    </row>
    <row r="40232" spans="119:119" x14ac:dyDescent="0.2">
      <c r="DO40232" s="303" t="s">
        <v>232</v>
      </c>
    </row>
    <row r="40233" spans="119:119" x14ac:dyDescent="0.2">
      <c r="DO40233" s="303" t="s">
        <v>232</v>
      </c>
    </row>
    <row r="40234" spans="119:119" x14ac:dyDescent="0.2">
      <c r="DO40234" s="303" t="s">
        <v>232</v>
      </c>
    </row>
    <row r="40235" spans="119:119" x14ac:dyDescent="0.2">
      <c r="DO40235" s="303" t="s">
        <v>232</v>
      </c>
    </row>
    <row r="40236" spans="119:119" x14ac:dyDescent="0.2">
      <c r="DO40236" s="303" t="s">
        <v>232</v>
      </c>
    </row>
    <row r="40237" spans="119:119" x14ac:dyDescent="0.2">
      <c r="DO40237" s="303" t="s">
        <v>232</v>
      </c>
    </row>
    <row r="40238" spans="119:119" x14ac:dyDescent="0.2">
      <c r="DO40238" s="303" t="s">
        <v>232</v>
      </c>
    </row>
    <row r="40239" spans="119:119" x14ac:dyDescent="0.2">
      <c r="DO40239" s="303" t="s">
        <v>232</v>
      </c>
    </row>
    <row r="40240" spans="119:119" x14ac:dyDescent="0.2">
      <c r="DO40240" s="303" t="s">
        <v>232</v>
      </c>
    </row>
    <row r="40241" spans="119:119" x14ac:dyDescent="0.2">
      <c r="DO40241" s="303" t="s">
        <v>232</v>
      </c>
    </row>
    <row r="40242" spans="119:119" x14ac:dyDescent="0.2">
      <c r="DO40242" s="303" t="s">
        <v>232</v>
      </c>
    </row>
    <row r="40243" spans="119:119" x14ac:dyDescent="0.2">
      <c r="DO40243" s="303" t="s">
        <v>232</v>
      </c>
    </row>
    <row r="40244" spans="119:119" x14ac:dyDescent="0.2">
      <c r="DO40244" s="303" t="s">
        <v>232</v>
      </c>
    </row>
    <row r="40245" spans="119:119" x14ac:dyDescent="0.2">
      <c r="DO40245" s="303" t="s">
        <v>232</v>
      </c>
    </row>
    <row r="40246" spans="119:119" x14ac:dyDescent="0.2">
      <c r="DO40246" s="303" t="s">
        <v>232</v>
      </c>
    </row>
    <row r="40247" spans="119:119" x14ac:dyDescent="0.2">
      <c r="DO40247" s="303" t="s">
        <v>232</v>
      </c>
    </row>
    <row r="40248" spans="119:119" x14ac:dyDescent="0.2">
      <c r="DO40248" s="303" t="s">
        <v>232</v>
      </c>
    </row>
    <row r="40249" spans="119:119" x14ac:dyDescent="0.2">
      <c r="DO40249" s="303" t="s">
        <v>232</v>
      </c>
    </row>
    <row r="40250" spans="119:119" x14ac:dyDescent="0.2">
      <c r="DO40250" s="303" t="s">
        <v>232</v>
      </c>
    </row>
    <row r="40251" spans="119:119" x14ac:dyDescent="0.2">
      <c r="DO40251" s="303" t="s">
        <v>232</v>
      </c>
    </row>
    <row r="40252" spans="119:119" x14ac:dyDescent="0.2">
      <c r="DO40252" s="303" t="s">
        <v>232</v>
      </c>
    </row>
    <row r="40253" spans="119:119" x14ac:dyDescent="0.2">
      <c r="DO40253" s="303" t="s">
        <v>232</v>
      </c>
    </row>
    <row r="40254" spans="119:119" x14ac:dyDescent="0.2">
      <c r="DO40254" s="303" t="s">
        <v>232</v>
      </c>
    </row>
    <row r="40255" spans="119:119" x14ac:dyDescent="0.2">
      <c r="DO40255" s="303" t="s">
        <v>232</v>
      </c>
    </row>
    <row r="40256" spans="119:119" x14ac:dyDescent="0.2">
      <c r="DO40256" s="303" t="s">
        <v>232</v>
      </c>
    </row>
    <row r="40257" spans="119:119" x14ac:dyDescent="0.2">
      <c r="DO40257" s="303" t="s">
        <v>232</v>
      </c>
    </row>
    <row r="40258" spans="119:119" x14ac:dyDescent="0.2">
      <c r="DO40258" s="303" t="s">
        <v>232</v>
      </c>
    </row>
    <row r="40259" spans="119:119" x14ac:dyDescent="0.2">
      <c r="DO40259" s="303" t="s">
        <v>232</v>
      </c>
    </row>
    <row r="40260" spans="119:119" x14ac:dyDescent="0.2">
      <c r="DO40260" s="303" t="s">
        <v>232</v>
      </c>
    </row>
    <row r="40261" spans="119:119" x14ac:dyDescent="0.2">
      <c r="DO40261" s="303" t="s">
        <v>232</v>
      </c>
    </row>
    <row r="40262" spans="119:119" x14ac:dyDescent="0.2">
      <c r="DO40262" s="303" t="s">
        <v>232</v>
      </c>
    </row>
    <row r="40263" spans="119:119" x14ac:dyDescent="0.2">
      <c r="DO40263" s="303" t="s">
        <v>232</v>
      </c>
    </row>
    <row r="40264" spans="119:119" x14ac:dyDescent="0.2">
      <c r="DO40264" s="303" t="s">
        <v>232</v>
      </c>
    </row>
    <row r="40265" spans="119:119" x14ac:dyDescent="0.2">
      <c r="DO40265" s="303" t="s">
        <v>232</v>
      </c>
    </row>
    <row r="40266" spans="119:119" x14ac:dyDescent="0.2">
      <c r="DO40266" s="303" t="s">
        <v>232</v>
      </c>
    </row>
    <row r="40267" spans="119:119" x14ac:dyDescent="0.2">
      <c r="DO40267" s="303" t="s">
        <v>232</v>
      </c>
    </row>
    <row r="40268" spans="119:119" x14ac:dyDescent="0.2">
      <c r="DO40268" s="303" t="s">
        <v>232</v>
      </c>
    </row>
    <row r="40269" spans="119:119" x14ac:dyDescent="0.2">
      <c r="DO40269" s="303" t="s">
        <v>232</v>
      </c>
    </row>
    <row r="40270" spans="119:119" x14ac:dyDescent="0.2">
      <c r="DO40270" s="303" t="s">
        <v>232</v>
      </c>
    </row>
    <row r="40271" spans="119:119" x14ac:dyDescent="0.2">
      <c r="DO40271" s="303" t="s">
        <v>232</v>
      </c>
    </row>
    <row r="40272" spans="119:119" x14ac:dyDescent="0.2">
      <c r="DO40272" s="303" t="s">
        <v>232</v>
      </c>
    </row>
    <row r="40273" spans="119:119" x14ac:dyDescent="0.2">
      <c r="DO40273" s="303" t="s">
        <v>232</v>
      </c>
    </row>
    <row r="40274" spans="119:119" x14ac:dyDescent="0.2">
      <c r="DO40274" s="303" t="s">
        <v>232</v>
      </c>
    </row>
    <row r="40275" spans="119:119" x14ac:dyDescent="0.2">
      <c r="DO40275" s="303" t="s">
        <v>232</v>
      </c>
    </row>
    <row r="40276" spans="119:119" x14ac:dyDescent="0.2">
      <c r="DO40276" s="303" t="s">
        <v>232</v>
      </c>
    </row>
    <row r="40277" spans="119:119" x14ac:dyDescent="0.2">
      <c r="DO40277" s="303" t="s">
        <v>232</v>
      </c>
    </row>
    <row r="40278" spans="119:119" x14ac:dyDescent="0.2">
      <c r="DO40278" s="303" t="s">
        <v>232</v>
      </c>
    </row>
    <row r="40279" spans="119:119" x14ac:dyDescent="0.2">
      <c r="DO40279" s="303" t="s">
        <v>232</v>
      </c>
    </row>
    <row r="40280" spans="119:119" x14ac:dyDescent="0.2">
      <c r="DO40280" s="303" t="s">
        <v>232</v>
      </c>
    </row>
    <row r="40281" spans="119:119" x14ac:dyDescent="0.2">
      <c r="DO40281" s="303" t="s">
        <v>232</v>
      </c>
    </row>
    <row r="40282" spans="119:119" x14ac:dyDescent="0.2">
      <c r="DO40282" s="303" t="s">
        <v>232</v>
      </c>
    </row>
    <row r="40283" spans="119:119" x14ac:dyDescent="0.2">
      <c r="DO40283" s="303" t="s">
        <v>232</v>
      </c>
    </row>
    <row r="40284" spans="119:119" x14ac:dyDescent="0.2">
      <c r="DO40284" s="303" t="s">
        <v>232</v>
      </c>
    </row>
    <row r="40285" spans="119:119" x14ac:dyDescent="0.2">
      <c r="DO40285" s="303" t="s">
        <v>232</v>
      </c>
    </row>
    <row r="40286" spans="119:119" x14ac:dyDescent="0.2">
      <c r="DO40286" s="303" t="s">
        <v>232</v>
      </c>
    </row>
    <row r="40287" spans="119:119" x14ac:dyDescent="0.2">
      <c r="DO40287" s="303" t="s">
        <v>232</v>
      </c>
    </row>
    <row r="40288" spans="119:119" x14ac:dyDescent="0.2">
      <c r="DO40288" s="303" t="s">
        <v>232</v>
      </c>
    </row>
    <row r="40289" spans="119:119" x14ac:dyDescent="0.2">
      <c r="DO40289" s="303" t="s">
        <v>232</v>
      </c>
    </row>
    <row r="40290" spans="119:119" x14ac:dyDescent="0.2">
      <c r="DO40290" s="303" t="s">
        <v>232</v>
      </c>
    </row>
    <row r="40291" spans="119:119" x14ac:dyDescent="0.2">
      <c r="DO40291" s="303" t="s">
        <v>232</v>
      </c>
    </row>
    <row r="40292" spans="119:119" x14ac:dyDescent="0.2">
      <c r="DO40292" s="303" t="s">
        <v>232</v>
      </c>
    </row>
    <row r="40293" spans="119:119" x14ac:dyDescent="0.2">
      <c r="DO40293" s="303" t="s">
        <v>232</v>
      </c>
    </row>
    <row r="40294" spans="119:119" x14ac:dyDescent="0.2">
      <c r="DO40294" s="303" t="s">
        <v>232</v>
      </c>
    </row>
    <row r="40295" spans="119:119" x14ac:dyDescent="0.2">
      <c r="DO40295" s="303" t="s">
        <v>232</v>
      </c>
    </row>
    <row r="40296" spans="119:119" x14ac:dyDescent="0.2">
      <c r="DO40296" s="303" t="s">
        <v>232</v>
      </c>
    </row>
    <row r="40297" spans="119:119" x14ac:dyDescent="0.2">
      <c r="DO40297" s="303" t="s">
        <v>232</v>
      </c>
    </row>
    <row r="40298" spans="119:119" x14ac:dyDescent="0.2">
      <c r="DO40298" s="303" t="s">
        <v>232</v>
      </c>
    </row>
    <row r="40299" spans="119:119" x14ac:dyDescent="0.2">
      <c r="DO40299" s="303" t="s">
        <v>232</v>
      </c>
    </row>
    <row r="40300" spans="119:119" x14ac:dyDescent="0.2">
      <c r="DO40300" s="303" t="s">
        <v>232</v>
      </c>
    </row>
    <row r="40301" spans="119:119" x14ac:dyDescent="0.2">
      <c r="DO40301" s="303" t="s">
        <v>232</v>
      </c>
    </row>
    <row r="40302" spans="119:119" x14ac:dyDescent="0.2">
      <c r="DO40302" s="303" t="s">
        <v>232</v>
      </c>
    </row>
    <row r="40303" spans="119:119" x14ac:dyDescent="0.2">
      <c r="DO40303" s="303" t="s">
        <v>232</v>
      </c>
    </row>
    <row r="40304" spans="119:119" x14ac:dyDescent="0.2">
      <c r="DO40304" s="303" t="s">
        <v>232</v>
      </c>
    </row>
    <row r="40305" spans="119:119" x14ac:dyDescent="0.2">
      <c r="DO40305" s="303" t="s">
        <v>232</v>
      </c>
    </row>
    <row r="40306" spans="119:119" x14ac:dyDescent="0.2">
      <c r="DO40306" s="303" t="s">
        <v>232</v>
      </c>
    </row>
    <row r="40307" spans="119:119" x14ac:dyDescent="0.2">
      <c r="DO40307" s="303" t="s">
        <v>232</v>
      </c>
    </row>
    <row r="40308" spans="119:119" x14ac:dyDescent="0.2">
      <c r="DO40308" s="303" t="s">
        <v>232</v>
      </c>
    </row>
    <row r="40309" spans="119:119" x14ac:dyDescent="0.2">
      <c r="DO40309" s="303" t="s">
        <v>232</v>
      </c>
    </row>
    <row r="40310" spans="119:119" x14ac:dyDescent="0.2">
      <c r="DO40310" s="303" t="s">
        <v>232</v>
      </c>
    </row>
    <row r="40311" spans="119:119" x14ac:dyDescent="0.2">
      <c r="DO40311" s="303" t="s">
        <v>232</v>
      </c>
    </row>
    <row r="40312" spans="119:119" x14ac:dyDescent="0.2">
      <c r="DO40312" s="303" t="s">
        <v>232</v>
      </c>
    </row>
    <row r="40313" spans="119:119" x14ac:dyDescent="0.2">
      <c r="DO40313" s="303" t="s">
        <v>232</v>
      </c>
    </row>
    <row r="40314" spans="119:119" x14ac:dyDescent="0.2">
      <c r="DO40314" s="303" t="s">
        <v>232</v>
      </c>
    </row>
    <row r="40315" spans="119:119" x14ac:dyDescent="0.2">
      <c r="DO40315" s="303" t="s">
        <v>232</v>
      </c>
    </row>
    <row r="40316" spans="119:119" x14ac:dyDescent="0.2">
      <c r="DO40316" s="303" t="s">
        <v>232</v>
      </c>
    </row>
    <row r="40317" spans="119:119" x14ac:dyDescent="0.2">
      <c r="DO40317" s="303" t="s">
        <v>232</v>
      </c>
    </row>
    <row r="40318" spans="119:119" x14ac:dyDescent="0.2">
      <c r="DO40318" s="303" t="s">
        <v>232</v>
      </c>
    </row>
    <row r="40319" spans="119:119" x14ac:dyDescent="0.2">
      <c r="DO40319" s="303" t="s">
        <v>232</v>
      </c>
    </row>
    <row r="40320" spans="119:119" x14ac:dyDescent="0.2">
      <c r="DO40320" s="303" t="s">
        <v>232</v>
      </c>
    </row>
    <row r="40321" spans="119:119" x14ac:dyDescent="0.2">
      <c r="DO40321" s="303" t="s">
        <v>232</v>
      </c>
    </row>
    <row r="40322" spans="119:119" x14ac:dyDescent="0.2">
      <c r="DO40322" s="303" t="s">
        <v>232</v>
      </c>
    </row>
    <row r="40323" spans="119:119" x14ac:dyDescent="0.2">
      <c r="DO40323" s="303" t="s">
        <v>232</v>
      </c>
    </row>
    <row r="40324" spans="119:119" x14ac:dyDescent="0.2">
      <c r="DO40324" s="303" t="s">
        <v>232</v>
      </c>
    </row>
    <row r="40325" spans="119:119" x14ac:dyDescent="0.2">
      <c r="DO40325" s="303" t="s">
        <v>232</v>
      </c>
    </row>
    <row r="40326" spans="119:119" x14ac:dyDescent="0.2">
      <c r="DO40326" s="303" t="s">
        <v>232</v>
      </c>
    </row>
    <row r="40327" spans="119:119" x14ac:dyDescent="0.2">
      <c r="DO40327" s="303" t="s">
        <v>232</v>
      </c>
    </row>
    <row r="40328" spans="119:119" x14ac:dyDescent="0.2">
      <c r="DO40328" s="303" t="s">
        <v>232</v>
      </c>
    </row>
    <row r="40329" spans="119:119" x14ac:dyDescent="0.2">
      <c r="DO40329" s="303" t="s">
        <v>232</v>
      </c>
    </row>
    <row r="40330" spans="119:119" x14ac:dyDescent="0.2">
      <c r="DO40330" s="303" t="s">
        <v>232</v>
      </c>
    </row>
    <row r="40331" spans="119:119" x14ac:dyDescent="0.2">
      <c r="DO40331" s="303" t="s">
        <v>232</v>
      </c>
    </row>
    <row r="40332" spans="119:119" x14ac:dyDescent="0.2">
      <c r="DO40332" s="303" t="s">
        <v>232</v>
      </c>
    </row>
    <row r="40333" spans="119:119" x14ac:dyDescent="0.2">
      <c r="DO40333" s="303" t="s">
        <v>232</v>
      </c>
    </row>
    <row r="40334" spans="119:119" x14ac:dyDescent="0.2">
      <c r="DO40334" s="303" t="s">
        <v>232</v>
      </c>
    </row>
    <row r="40335" spans="119:119" x14ac:dyDescent="0.2">
      <c r="DO40335" s="303" t="s">
        <v>232</v>
      </c>
    </row>
    <row r="40336" spans="119:119" x14ac:dyDescent="0.2">
      <c r="DO40336" s="303" t="s">
        <v>232</v>
      </c>
    </row>
    <row r="40337" spans="119:119" x14ac:dyDescent="0.2">
      <c r="DO40337" s="303" t="s">
        <v>232</v>
      </c>
    </row>
    <row r="40338" spans="119:119" x14ac:dyDescent="0.2">
      <c r="DO40338" s="303" t="s">
        <v>232</v>
      </c>
    </row>
    <row r="40339" spans="119:119" x14ac:dyDescent="0.2">
      <c r="DO40339" s="303" t="s">
        <v>232</v>
      </c>
    </row>
    <row r="40340" spans="119:119" x14ac:dyDescent="0.2">
      <c r="DO40340" s="303" t="s">
        <v>232</v>
      </c>
    </row>
    <row r="40341" spans="119:119" x14ac:dyDescent="0.2">
      <c r="DO40341" s="303" t="s">
        <v>232</v>
      </c>
    </row>
    <row r="40342" spans="119:119" x14ac:dyDescent="0.2">
      <c r="DO40342" s="303" t="s">
        <v>232</v>
      </c>
    </row>
    <row r="40343" spans="119:119" x14ac:dyDescent="0.2">
      <c r="DO40343" s="303" t="s">
        <v>232</v>
      </c>
    </row>
    <row r="40344" spans="119:119" x14ac:dyDescent="0.2">
      <c r="DO40344" s="303" t="s">
        <v>232</v>
      </c>
    </row>
    <row r="40345" spans="119:119" x14ac:dyDescent="0.2">
      <c r="DO40345" s="303" t="s">
        <v>232</v>
      </c>
    </row>
    <row r="40346" spans="119:119" x14ac:dyDescent="0.2">
      <c r="DO40346" s="303" t="s">
        <v>232</v>
      </c>
    </row>
    <row r="40347" spans="119:119" x14ac:dyDescent="0.2">
      <c r="DO40347" s="303" t="s">
        <v>232</v>
      </c>
    </row>
    <row r="40348" spans="119:119" x14ac:dyDescent="0.2">
      <c r="DO40348" s="303" t="s">
        <v>232</v>
      </c>
    </row>
    <row r="40349" spans="119:119" x14ac:dyDescent="0.2">
      <c r="DO40349" s="303" t="s">
        <v>232</v>
      </c>
    </row>
    <row r="40350" spans="119:119" x14ac:dyDescent="0.2">
      <c r="DO40350" s="303" t="s">
        <v>232</v>
      </c>
    </row>
    <row r="40351" spans="119:119" x14ac:dyDescent="0.2">
      <c r="DO40351" s="303" t="s">
        <v>232</v>
      </c>
    </row>
    <row r="40352" spans="119:119" x14ac:dyDescent="0.2">
      <c r="DO40352" s="303" t="s">
        <v>232</v>
      </c>
    </row>
    <row r="40353" spans="119:119" x14ac:dyDescent="0.2">
      <c r="DO40353" s="303" t="s">
        <v>232</v>
      </c>
    </row>
    <row r="40354" spans="119:119" x14ac:dyDescent="0.2">
      <c r="DO40354" s="303" t="s">
        <v>232</v>
      </c>
    </row>
    <row r="40355" spans="119:119" x14ac:dyDescent="0.2">
      <c r="DO40355" s="303" t="s">
        <v>232</v>
      </c>
    </row>
    <row r="40356" spans="119:119" x14ac:dyDescent="0.2">
      <c r="DO40356" s="303" t="s">
        <v>232</v>
      </c>
    </row>
    <row r="40357" spans="119:119" x14ac:dyDescent="0.2">
      <c r="DO40357" s="303" t="s">
        <v>232</v>
      </c>
    </row>
    <row r="40358" spans="119:119" x14ac:dyDescent="0.2">
      <c r="DO40358" s="303" t="s">
        <v>232</v>
      </c>
    </row>
    <row r="40359" spans="119:119" x14ac:dyDescent="0.2">
      <c r="DO40359" s="303" t="s">
        <v>232</v>
      </c>
    </row>
    <row r="40360" spans="119:119" x14ac:dyDescent="0.2">
      <c r="DO40360" s="303" t="s">
        <v>232</v>
      </c>
    </row>
    <row r="40361" spans="119:119" x14ac:dyDescent="0.2">
      <c r="DO40361" s="303" t="s">
        <v>232</v>
      </c>
    </row>
    <row r="40362" spans="119:119" x14ac:dyDescent="0.2">
      <c r="DO40362" s="303" t="s">
        <v>232</v>
      </c>
    </row>
    <row r="40363" spans="119:119" x14ac:dyDescent="0.2">
      <c r="DO40363" s="303" t="s">
        <v>232</v>
      </c>
    </row>
    <row r="40364" spans="119:119" x14ac:dyDescent="0.2">
      <c r="DO40364" s="303" t="s">
        <v>232</v>
      </c>
    </row>
    <row r="40365" spans="119:119" x14ac:dyDescent="0.2">
      <c r="DO40365" s="303" t="s">
        <v>232</v>
      </c>
    </row>
    <row r="40366" spans="119:119" x14ac:dyDescent="0.2">
      <c r="DO40366" s="303" t="s">
        <v>232</v>
      </c>
    </row>
    <row r="40367" spans="119:119" x14ac:dyDescent="0.2">
      <c r="DO40367" s="303" t="s">
        <v>232</v>
      </c>
    </row>
    <row r="40368" spans="119:119" x14ac:dyDescent="0.2">
      <c r="DO40368" s="303" t="s">
        <v>232</v>
      </c>
    </row>
    <row r="40369" spans="119:119" x14ac:dyDescent="0.2">
      <c r="DO40369" s="303" t="s">
        <v>232</v>
      </c>
    </row>
    <row r="40370" spans="119:119" x14ac:dyDescent="0.2">
      <c r="DO40370" s="303" t="s">
        <v>232</v>
      </c>
    </row>
    <row r="40371" spans="119:119" x14ac:dyDescent="0.2">
      <c r="DO40371" s="303" t="s">
        <v>232</v>
      </c>
    </row>
    <row r="40372" spans="119:119" x14ac:dyDescent="0.2">
      <c r="DO40372" s="303" t="s">
        <v>232</v>
      </c>
    </row>
    <row r="40373" spans="119:119" x14ac:dyDescent="0.2">
      <c r="DO40373" s="303" t="s">
        <v>232</v>
      </c>
    </row>
    <row r="40374" spans="119:119" x14ac:dyDescent="0.2">
      <c r="DO40374" s="303" t="s">
        <v>232</v>
      </c>
    </row>
    <row r="40375" spans="119:119" x14ac:dyDescent="0.2">
      <c r="DO40375" s="303" t="s">
        <v>232</v>
      </c>
    </row>
    <row r="40376" spans="119:119" x14ac:dyDescent="0.2">
      <c r="DO40376" s="303" t="s">
        <v>232</v>
      </c>
    </row>
    <row r="40377" spans="119:119" x14ac:dyDescent="0.2">
      <c r="DO40377" s="303" t="s">
        <v>232</v>
      </c>
    </row>
    <row r="40378" spans="119:119" x14ac:dyDescent="0.2">
      <c r="DO40378" s="303" t="s">
        <v>232</v>
      </c>
    </row>
    <row r="40379" spans="119:119" x14ac:dyDescent="0.2">
      <c r="DO40379" s="303" t="s">
        <v>232</v>
      </c>
    </row>
    <row r="40380" spans="119:119" x14ac:dyDescent="0.2">
      <c r="DO40380" s="303" t="s">
        <v>232</v>
      </c>
    </row>
    <row r="40381" spans="119:119" x14ac:dyDescent="0.2">
      <c r="DO40381" s="303" t="s">
        <v>232</v>
      </c>
    </row>
    <row r="40382" spans="119:119" x14ac:dyDescent="0.2">
      <c r="DO40382" s="303" t="s">
        <v>232</v>
      </c>
    </row>
    <row r="40383" spans="119:119" x14ac:dyDescent="0.2">
      <c r="DO40383" s="303" t="s">
        <v>232</v>
      </c>
    </row>
    <row r="40384" spans="119:119" x14ac:dyDescent="0.2">
      <c r="DO40384" s="303" t="s">
        <v>232</v>
      </c>
    </row>
    <row r="40385" spans="119:119" x14ac:dyDescent="0.2">
      <c r="DO40385" s="303" t="s">
        <v>232</v>
      </c>
    </row>
    <row r="40386" spans="119:119" x14ac:dyDescent="0.2">
      <c r="DO40386" s="303" t="s">
        <v>232</v>
      </c>
    </row>
    <row r="40387" spans="119:119" x14ac:dyDescent="0.2">
      <c r="DO40387" s="303" t="s">
        <v>232</v>
      </c>
    </row>
    <row r="40388" spans="119:119" x14ac:dyDescent="0.2">
      <c r="DO40388" s="303" t="s">
        <v>232</v>
      </c>
    </row>
    <row r="40389" spans="119:119" x14ac:dyDescent="0.2">
      <c r="DO40389" s="303" t="s">
        <v>232</v>
      </c>
    </row>
    <row r="40390" spans="119:119" x14ac:dyDescent="0.2">
      <c r="DO40390" s="303" t="s">
        <v>232</v>
      </c>
    </row>
    <row r="40391" spans="119:119" x14ac:dyDescent="0.2">
      <c r="DO40391" s="303" t="s">
        <v>232</v>
      </c>
    </row>
    <row r="40392" spans="119:119" x14ac:dyDescent="0.2">
      <c r="DO40392" s="303" t="s">
        <v>232</v>
      </c>
    </row>
    <row r="40393" spans="119:119" x14ac:dyDescent="0.2">
      <c r="DO40393" s="303" t="s">
        <v>232</v>
      </c>
    </row>
    <row r="40394" spans="119:119" x14ac:dyDescent="0.2">
      <c r="DO40394" s="303" t="s">
        <v>232</v>
      </c>
    </row>
    <row r="40395" spans="119:119" x14ac:dyDescent="0.2">
      <c r="DO40395" s="303" t="s">
        <v>232</v>
      </c>
    </row>
    <row r="40396" spans="119:119" x14ac:dyDescent="0.2">
      <c r="DO40396" s="303" t="s">
        <v>232</v>
      </c>
    </row>
    <row r="40397" spans="119:119" x14ac:dyDescent="0.2">
      <c r="DO40397" s="303" t="s">
        <v>232</v>
      </c>
    </row>
    <row r="40398" spans="119:119" x14ac:dyDescent="0.2">
      <c r="DO40398" s="303" t="s">
        <v>232</v>
      </c>
    </row>
    <row r="40399" spans="119:119" x14ac:dyDescent="0.2">
      <c r="DO40399" s="303" t="s">
        <v>232</v>
      </c>
    </row>
    <row r="40400" spans="119:119" x14ac:dyDescent="0.2">
      <c r="DO40400" s="303" t="s">
        <v>232</v>
      </c>
    </row>
    <row r="40401" spans="119:119" x14ac:dyDescent="0.2">
      <c r="DO40401" s="303" t="s">
        <v>232</v>
      </c>
    </row>
    <row r="40402" spans="119:119" x14ac:dyDescent="0.2">
      <c r="DO40402" s="303" t="s">
        <v>232</v>
      </c>
    </row>
    <row r="40403" spans="119:119" x14ac:dyDescent="0.2">
      <c r="DO40403" s="303" t="s">
        <v>232</v>
      </c>
    </row>
    <row r="40404" spans="119:119" x14ac:dyDescent="0.2">
      <c r="DO40404" s="303" t="s">
        <v>232</v>
      </c>
    </row>
    <row r="40405" spans="119:119" x14ac:dyDescent="0.2">
      <c r="DO40405" s="303" t="s">
        <v>232</v>
      </c>
    </row>
    <row r="40406" spans="119:119" x14ac:dyDescent="0.2">
      <c r="DO40406" s="303" t="s">
        <v>232</v>
      </c>
    </row>
    <row r="40407" spans="119:119" x14ac:dyDescent="0.2">
      <c r="DO40407" s="303" t="s">
        <v>232</v>
      </c>
    </row>
    <row r="40408" spans="119:119" x14ac:dyDescent="0.2">
      <c r="DO40408" s="303" t="s">
        <v>232</v>
      </c>
    </row>
    <row r="40409" spans="119:119" x14ac:dyDescent="0.2">
      <c r="DO40409" s="303" t="s">
        <v>232</v>
      </c>
    </row>
    <row r="40410" spans="119:119" x14ac:dyDescent="0.2">
      <c r="DO40410" s="303" t="s">
        <v>232</v>
      </c>
    </row>
    <row r="40411" spans="119:119" x14ac:dyDescent="0.2">
      <c r="DO40411" s="303" t="s">
        <v>232</v>
      </c>
    </row>
    <row r="40412" spans="119:119" x14ac:dyDescent="0.2">
      <c r="DO40412" s="303" t="s">
        <v>232</v>
      </c>
    </row>
    <row r="40413" spans="119:119" x14ac:dyDescent="0.2">
      <c r="DO40413" s="303" t="s">
        <v>232</v>
      </c>
    </row>
    <row r="40414" spans="119:119" x14ac:dyDescent="0.2">
      <c r="DO40414" s="303" t="s">
        <v>232</v>
      </c>
    </row>
    <row r="40415" spans="119:119" x14ac:dyDescent="0.2">
      <c r="DO40415" s="303" t="s">
        <v>232</v>
      </c>
    </row>
    <row r="40416" spans="119:119" x14ac:dyDescent="0.2">
      <c r="DO40416" s="303" t="s">
        <v>232</v>
      </c>
    </row>
    <row r="40417" spans="119:119" x14ac:dyDescent="0.2">
      <c r="DO40417" s="303" t="s">
        <v>232</v>
      </c>
    </row>
    <row r="40418" spans="119:119" x14ac:dyDescent="0.2">
      <c r="DO40418" s="303" t="s">
        <v>232</v>
      </c>
    </row>
    <row r="40419" spans="119:119" x14ac:dyDescent="0.2">
      <c r="DO40419" s="303" t="s">
        <v>232</v>
      </c>
    </row>
    <row r="40420" spans="119:119" x14ac:dyDescent="0.2">
      <c r="DO40420" s="303" t="s">
        <v>232</v>
      </c>
    </row>
    <row r="40421" spans="119:119" x14ac:dyDescent="0.2">
      <c r="DO40421" s="303" t="s">
        <v>232</v>
      </c>
    </row>
    <row r="40422" spans="119:119" x14ac:dyDescent="0.2">
      <c r="DO40422" s="303" t="s">
        <v>232</v>
      </c>
    </row>
    <row r="40423" spans="119:119" x14ac:dyDescent="0.2">
      <c r="DO40423" s="303" t="s">
        <v>232</v>
      </c>
    </row>
    <row r="40424" spans="119:119" x14ac:dyDescent="0.2">
      <c r="DO40424" s="303" t="s">
        <v>232</v>
      </c>
    </row>
    <row r="40425" spans="119:119" x14ac:dyDescent="0.2">
      <c r="DO40425" s="303" t="s">
        <v>232</v>
      </c>
    </row>
    <row r="40426" spans="119:119" x14ac:dyDescent="0.2">
      <c r="DO40426" s="303" t="s">
        <v>232</v>
      </c>
    </row>
    <row r="40427" spans="119:119" x14ac:dyDescent="0.2">
      <c r="DO40427" s="303" t="s">
        <v>232</v>
      </c>
    </row>
    <row r="40428" spans="119:119" x14ac:dyDescent="0.2">
      <c r="DO40428" s="303" t="s">
        <v>232</v>
      </c>
    </row>
    <row r="40429" spans="119:119" x14ac:dyDescent="0.2">
      <c r="DO40429" s="303" t="s">
        <v>232</v>
      </c>
    </row>
    <row r="40430" spans="119:119" x14ac:dyDescent="0.2">
      <c r="DO40430" s="303" t="s">
        <v>232</v>
      </c>
    </row>
    <row r="40431" spans="119:119" x14ac:dyDescent="0.2">
      <c r="DO40431" s="303" t="s">
        <v>232</v>
      </c>
    </row>
    <row r="40432" spans="119:119" x14ac:dyDescent="0.2">
      <c r="DO40432" s="303" t="s">
        <v>232</v>
      </c>
    </row>
    <row r="40433" spans="119:119" x14ac:dyDescent="0.2">
      <c r="DO40433" s="303" t="s">
        <v>232</v>
      </c>
    </row>
    <row r="40434" spans="119:119" x14ac:dyDescent="0.2">
      <c r="DO40434" s="303" t="s">
        <v>232</v>
      </c>
    </row>
    <row r="40435" spans="119:119" x14ac:dyDescent="0.2">
      <c r="DO40435" s="303" t="s">
        <v>232</v>
      </c>
    </row>
    <row r="40436" spans="119:119" x14ac:dyDescent="0.2">
      <c r="DO40436" s="303" t="s">
        <v>232</v>
      </c>
    </row>
    <row r="40437" spans="119:119" x14ac:dyDescent="0.2">
      <c r="DO40437" s="303" t="s">
        <v>232</v>
      </c>
    </row>
    <row r="40438" spans="119:119" x14ac:dyDescent="0.2">
      <c r="DO40438" s="303" t="s">
        <v>232</v>
      </c>
    </row>
    <row r="40439" spans="119:119" x14ac:dyDescent="0.2">
      <c r="DO40439" s="303" t="s">
        <v>232</v>
      </c>
    </row>
    <row r="40440" spans="119:119" x14ac:dyDescent="0.2">
      <c r="DO40440" s="303" t="s">
        <v>232</v>
      </c>
    </row>
    <row r="40441" spans="119:119" x14ac:dyDescent="0.2">
      <c r="DO40441" s="303" t="s">
        <v>232</v>
      </c>
    </row>
    <row r="40442" spans="119:119" x14ac:dyDescent="0.2">
      <c r="DO40442" s="303" t="s">
        <v>232</v>
      </c>
    </row>
    <row r="40443" spans="119:119" x14ac:dyDescent="0.2">
      <c r="DO40443" s="303" t="s">
        <v>232</v>
      </c>
    </row>
    <row r="40444" spans="119:119" x14ac:dyDescent="0.2">
      <c r="DO40444" s="303" t="s">
        <v>232</v>
      </c>
    </row>
    <row r="40445" spans="119:119" x14ac:dyDescent="0.2">
      <c r="DO40445" s="303" t="s">
        <v>232</v>
      </c>
    </row>
    <row r="40446" spans="119:119" x14ac:dyDescent="0.2">
      <c r="DO40446" s="303" t="s">
        <v>232</v>
      </c>
    </row>
    <row r="40447" spans="119:119" x14ac:dyDescent="0.2">
      <c r="DO40447" s="303" t="s">
        <v>232</v>
      </c>
    </row>
    <row r="40448" spans="119:119" x14ac:dyDescent="0.2">
      <c r="DO40448" s="303" t="s">
        <v>232</v>
      </c>
    </row>
    <row r="40449" spans="119:119" x14ac:dyDescent="0.2">
      <c r="DO40449" s="303" t="s">
        <v>232</v>
      </c>
    </row>
    <row r="40450" spans="119:119" x14ac:dyDescent="0.2">
      <c r="DO40450" s="303" t="s">
        <v>232</v>
      </c>
    </row>
    <row r="40451" spans="119:119" x14ac:dyDescent="0.2">
      <c r="DO40451" s="303" t="s">
        <v>232</v>
      </c>
    </row>
    <row r="40452" spans="119:119" x14ac:dyDescent="0.2">
      <c r="DO40452" s="303" t="s">
        <v>232</v>
      </c>
    </row>
    <row r="40453" spans="119:119" x14ac:dyDescent="0.2">
      <c r="DO40453" s="303" t="s">
        <v>232</v>
      </c>
    </row>
    <row r="40454" spans="119:119" x14ac:dyDescent="0.2">
      <c r="DO40454" s="303" t="s">
        <v>232</v>
      </c>
    </row>
    <row r="40455" spans="119:119" x14ac:dyDescent="0.2">
      <c r="DO40455" s="303" t="s">
        <v>232</v>
      </c>
    </row>
    <row r="40456" spans="119:119" x14ac:dyDescent="0.2">
      <c r="DO40456" s="303" t="s">
        <v>232</v>
      </c>
    </row>
    <row r="40457" spans="119:119" x14ac:dyDescent="0.2">
      <c r="DO40457" s="303" t="s">
        <v>232</v>
      </c>
    </row>
    <row r="40458" spans="119:119" x14ac:dyDescent="0.2">
      <c r="DO40458" s="303" t="s">
        <v>232</v>
      </c>
    </row>
    <row r="40459" spans="119:119" x14ac:dyDescent="0.2">
      <c r="DO40459" s="303" t="s">
        <v>232</v>
      </c>
    </row>
    <row r="40460" spans="119:119" x14ac:dyDescent="0.2">
      <c r="DO40460" s="303" t="s">
        <v>232</v>
      </c>
    </row>
    <row r="40461" spans="119:119" x14ac:dyDescent="0.2">
      <c r="DO40461" s="303" t="s">
        <v>232</v>
      </c>
    </row>
    <row r="40462" spans="119:119" x14ac:dyDescent="0.2">
      <c r="DO40462" s="303" t="s">
        <v>232</v>
      </c>
    </row>
    <row r="40463" spans="119:119" x14ac:dyDescent="0.2">
      <c r="DO40463" s="303" t="s">
        <v>232</v>
      </c>
    </row>
    <row r="40464" spans="119:119" x14ac:dyDescent="0.2">
      <c r="DO40464" s="303" t="s">
        <v>232</v>
      </c>
    </row>
    <row r="40465" spans="119:119" x14ac:dyDescent="0.2">
      <c r="DO40465" s="303" t="s">
        <v>232</v>
      </c>
    </row>
    <row r="40466" spans="119:119" x14ac:dyDescent="0.2">
      <c r="DO40466" s="303" t="s">
        <v>232</v>
      </c>
    </row>
    <row r="40467" spans="119:119" x14ac:dyDescent="0.2">
      <c r="DO40467" s="303" t="s">
        <v>232</v>
      </c>
    </row>
    <row r="40468" spans="119:119" x14ac:dyDescent="0.2">
      <c r="DO40468" s="303" t="s">
        <v>232</v>
      </c>
    </row>
    <row r="40469" spans="119:119" x14ac:dyDescent="0.2">
      <c r="DO40469" s="303" t="s">
        <v>232</v>
      </c>
    </row>
    <row r="40470" spans="119:119" x14ac:dyDescent="0.2">
      <c r="DO40470" s="303" t="s">
        <v>232</v>
      </c>
    </row>
    <row r="40471" spans="119:119" x14ac:dyDescent="0.2">
      <c r="DO40471" s="303" t="s">
        <v>232</v>
      </c>
    </row>
    <row r="40472" spans="119:119" x14ac:dyDescent="0.2">
      <c r="DO40472" s="303" t="s">
        <v>232</v>
      </c>
    </row>
    <row r="40473" spans="119:119" x14ac:dyDescent="0.2">
      <c r="DO40473" s="303" t="s">
        <v>232</v>
      </c>
    </row>
    <row r="40474" spans="119:119" x14ac:dyDescent="0.2">
      <c r="DO40474" s="303" t="s">
        <v>232</v>
      </c>
    </row>
    <row r="40475" spans="119:119" x14ac:dyDescent="0.2">
      <c r="DO40475" s="303" t="s">
        <v>232</v>
      </c>
    </row>
    <row r="40476" spans="119:119" x14ac:dyDescent="0.2">
      <c r="DO40476" s="303" t="s">
        <v>232</v>
      </c>
    </row>
    <row r="40477" spans="119:119" x14ac:dyDescent="0.2">
      <c r="DO40477" s="303" t="s">
        <v>232</v>
      </c>
    </row>
    <row r="40478" spans="119:119" x14ac:dyDescent="0.2">
      <c r="DO40478" s="303" t="s">
        <v>232</v>
      </c>
    </row>
    <row r="40479" spans="119:119" x14ac:dyDescent="0.2">
      <c r="DO40479" s="303" t="s">
        <v>232</v>
      </c>
    </row>
    <row r="40480" spans="119:119" x14ac:dyDescent="0.2">
      <c r="DO40480" s="303" t="s">
        <v>232</v>
      </c>
    </row>
    <row r="40481" spans="119:119" x14ac:dyDescent="0.2">
      <c r="DO40481" s="303" t="s">
        <v>232</v>
      </c>
    </row>
    <row r="40482" spans="119:119" x14ac:dyDescent="0.2">
      <c r="DO40482" s="303" t="s">
        <v>232</v>
      </c>
    </row>
    <row r="40483" spans="119:119" x14ac:dyDescent="0.2">
      <c r="DO40483" s="303" t="s">
        <v>232</v>
      </c>
    </row>
    <row r="40484" spans="119:119" x14ac:dyDescent="0.2">
      <c r="DO40484" s="303" t="s">
        <v>232</v>
      </c>
    </row>
    <row r="40485" spans="119:119" x14ac:dyDescent="0.2">
      <c r="DO40485" s="303" t="s">
        <v>232</v>
      </c>
    </row>
    <row r="40486" spans="119:119" x14ac:dyDescent="0.2">
      <c r="DO40486" s="303" t="s">
        <v>232</v>
      </c>
    </row>
    <row r="40487" spans="119:119" x14ac:dyDescent="0.2">
      <c r="DO40487" s="303" t="s">
        <v>232</v>
      </c>
    </row>
    <row r="40488" spans="119:119" x14ac:dyDescent="0.2">
      <c r="DO40488" s="303" t="s">
        <v>232</v>
      </c>
    </row>
    <row r="40489" spans="119:119" x14ac:dyDescent="0.2">
      <c r="DO40489" s="303" t="s">
        <v>232</v>
      </c>
    </row>
    <row r="40490" spans="119:119" x14ac:dyDescent="0.2">
      <c r="DO40490" s="303" t="s">
        <v>232</v>
      </c>
    </row>
    <row r="40491" spans="119:119" x14ac:dyDescent="0.2">
      <c r="DO40491" s="303" t="s">
        <v>232</v>
      </c>
    </row>
    <row r="40492" spans="119:119" x14ac:dyDescent="0.2">
      <c r="DO40492" s="303" t="s">
        <v>232</v>
      </c>
    </row>
    <row r="40493" spans="119:119" x14ac:dyDescent="0.2">
      <c r="DO40493" s="303" t="s">
        <v>232</v>
      </c>
    </row>
    <row r="40494" spans="119:119" x14ac:dyDescent="0.2">
      <c r="DO40494" s="303" t="s">
        <v>232</v>
      </c>
    </row>
    <row r="40495" spans="119:119" x14ac:dyDescent="0.2">
      <c r="DO40495" s="303" t="s">
        <v>232</v>
      </c>
    </row>
    <row r="40496" spans="119:119" x14ac:dyDescent="0.2">
      <c r="DO40496" s="303" t="s">
        <v>232</v>
      </c>
    </row>
    <row r="40497" spans="119:119" x14ac:dyDescent="0.2">
      <c r="DO40497" s="303" t="s">
        <v>232</v>
      </c>
    </row>
    <row r="40498" spans="119:119" x14ac:dyDescent="0.2">
      <c r="DO40498" s="303" t="s">
        <v>232</v>
      </c>
    </row>
    <row r="40499" spans="119:119" x14ac:dyDescent="0.2">
      <c r="DO40499" s="303" t="s">
        <v>232</v>
      </c>
    </row>
    <row r="40500" spans="119:119" x14ac:dyDescent="0.2">
      <c r="DO40500" s="303" t="s">
        <v>232</v>
      </c>
    </row>
    <row r="40501" spans="119:119" x14ac:dyDescent="0.2">
      <c r="DO40501" s="303" t="s">
        <v>232</v>
      </c>
    </row>
    <row r="40502" spans="119:119" x14ac:dyDescent="0.2">
      <c r="DO40502" s="303" t="s">
        <v>232</v>
      </c>
    </row>
    <row r="40503" spans="119:119" x14ac:dyDescent="0.2">
      <c r="DO40503" s="303" t="s">
        <v>232</v>
      </c>
    </row>
    <row r="40504" spans="119:119" x14ac:dyDescent="0.2">
      <c r="DO40504" s="303" t="s">
        <v>232</v>
      </c>
    </row>
    <row r="40505" spans="119:119" x14ac:dyDescent="0.2">
      <c r="DO40505" s="303" t="s">
        <v>232</v>
      </c>
    </row>
    <row r="40506" spans="119:119" x14ac:dyDescent="0.2">
      <c r="DO40506" s="303" t="s">
        <v>232</v>
      </c>
    </row>
    <row r="40507" spans="119:119" x14ac:dyDescent="0.2">
      <c r="DO40507" s="303" t="s">
        <v>232</v>
      </c>
    </row>
    <row r="40508" spans="119:119" x14ac:dyDescent="0.2">
      <c r="DO40508" s="303" t="s">
        <v>232</v>
      </c>
    </row>
    <row r="40509" spans="119:119" x14ac:dyDescent="0.2">
      <c r="DO40509" s="303" t="s">
        <v>232</v>
      </c>
    </row>
    <row r="40510" spans="119:119" x14ac:dyDescent="0.2">
      <c r="DO40510" s="303" t="s">
        <v>232</v>
      </c>
    </row>
    <row r="40511" spans="119:119" x14ac:dyDescent="0.2">
      <c r="DO40511" s="303" t="s">
        <v>232</v>
      </c>
    </row>
    <row r="40512" spans="119:119" x14ac:dyDescent="0.2">
      <c r="DO40512" s="303" t="s">
        <v>232</v>
      </c>
    </row>
    <row r="40513" spans="119:119" x14ac:dyDescent="0.2">
      <c r="DO40513" s="303" t="s">
        <v>232</v>
      </c>
    </row>
    <row r="40514" spans="119:119" x14ac:dyDescent="0.2">
      <c r="DO40514" s="303" t="s">
        <v>232</v>
      </c>
    </row>
    <row r="40515" spans="119:119" x14ac:dyDescent="0.2">
      <c r="DO40515" s="303" t="s">
        <v>232</v>
      </c>
    </row>
    <row r="40516" spans="119:119" x14ac:dyDescent="0.2">
      <c r="DO40516" s="303" t="s">
        <v>232</v>
      </c>
    </row>
    <row r="40517" spans="119:119" x14ac:dyDescent="0.2">
      <c r="DO40517" s="303" t="s">
        <v>232</v>
      </c>
    </row>
    <row r="40518" spans="119:119" x14ac:dyDescent="0.2">
      <c r="DO40518" s="303" t="s">
        <v>232</v>
      </c>
    </row>
    <row r="40519" spans="119:119" x14ac:dyDescent="0.2">
      <c r="DO40519" s="303" t="s">
        <v>232</v>
      </c>
    </row>
    <row r="40520" spans="119:119" x14ac:dyDescent="0.2">
      <c r="DO40520" s="303" t="s">
        <v>232</v>
      </c>
    </row>
    <row r="40521" spans="119:119" x14ac:dyDescent="0.2">
      <c r="DO40521" s="303" t="s">
        <v>232</v>
      </c>
    </row>
    <row r="40522" spans="119:119" x14ac:dyDescent="0.2">
      <c r="DO40522" s="303" t="s">
        <v>232</v>
      </c>
    </row>
    <row r="40523" spans="119:119" x14ac:dyDescent="0.2">
      <c r="DO40523" s="303" t="s">
        <v>232</v>
      </c>
    </row>
    <row r="40524" spans="119:119" x14ac:dyDescent="0.2">
      <c r="DO40524" s="303" t="s">
        <v>232</v>
      </c>
    </row>
    <row r="40525" spans="119:119" x14ac:dyDescent="0.2">
      <c r="DO40525" s="303" t="s">
        <v>232</v>
      </c>
    </row>
    <row r="40526" spans="119:119" x14ac:dyDescent="0.2">
      <c r="DO40526" s="303" t="s">
        <v>232</v>
      </c>
    </row>
    <row r="40527" spans="119:119" x14ac:dyDescent="0.2">
      <c r="DO40527" s="303" t="s">
        <v>232</v>
      </c>
    </row>
    <row r="40528" spans="119:119" x14ac:dyDescent="0.2">
      <c r="DO40528" s="303" t="s">
        <v>232</v>
      </c>
    </row>
    <row r="40529" spans="119:119" x14ac:dyDescent="0.2">
      <c r="DO40529" s="303" t="s">
        <v>232</v>
      </c>
    </row>
    <row r="40530" spans="119:119" x14ac:dyDescent="0.2">
      <c r="DO40530" s="303" t="s">
        <v>232</v>
      </c>
    </row>
    <row r="40531" spans="119:119" x14ac:dyDescent="0.2">
      <c r="DO40531" s="303" t="s">
        <v>232</v>
      </c>
    </row>
    <row r="40532" spans="119:119" x14ac:dyDescent="0.2">
      <c r="DO40532" s="303" t="s">
        <v>232</v>
      </c>
    </row>
    <row r="40533" spans="119:119" x14ac:dyDescent="0.2">
      <c r="DO40533" s="303" t="s">
        <v>232</v>
      </c>
    </row>
    <row r="40534" spans="119:119" x14ac:dyDescent="0.2">
      <c r="DO40534" s="303" t="s">
        <v>232</v>
      </c>
    </row>
    <row r="40535" spans="119:119" x14ac:dyDescent="0.2">
      <c r="DO40535" s="303" t="s">
        <v>232</v>
      </c>
    </row>
    <row r="40536" spans="119:119" x14ac:dyDescent="0.2">
      <c r="DO40536" s="303" t="s">
        <v>232</v>
      </c>
    </row>
    <row r="40537" spans="119:119" x14ac:dyDescent="0.2">
      <c r="DO40537" s="303" t="s">
        <v>232</v>
      </c>
    </row>
    <row r="40538" spans="119:119" x14ac:dyDescent="0.2">
      <c r="DO40538" s="303" t="s">
        <v>232</v>
      </c>
    </row>
    <row r="40539" spans="119:119" x14ac:dyDescent="0.2">
      <c r="DO40539" s="303" t="s">
        <v>232</v>
      </c>
    </row>
    <row r="40540" spans="119:119" x14ac:dyDescent="0.2">
      <c r="DO40540" s="303" t="s">
        <v>232</v>
      </c>
    </row>
    <row r="40541" spans="119:119" x14ac:dyDescent="0.2">
      <c r="DO40541" s="303" t="s">
        <v>232</v>
      </c>
    </row>
    <row r="40542" spans="119:119" x14ac:dyDescent="0.2">
      <c r="DO40542" s="303" t="s">
        <v>232</v>
      </c>
    </row>
    <row r="40543" spans="119:119" x14ac:dyDescent="0.2">
      <c r="DO40543" s="303" t="s">
        <v>232</v>
      </c>
    </row>
    <row r="40544" spans="119:119" x14ac:dyDescent="0.2">
      <c r="DO40544" s="303" t="s">
        <v>232</v>
      </c>
    </row>
    <row r="40545" spans="119:119" x14ac:dyDescent="0.2">
      <c r="DO40545" s="303" t="s">
        <v>232</v>
      </c>
    </row>
    <row r="40546" spans="119:119" x14ac:dyDescent="0.2">
      <c r="DO40546" s="303" t="s">
        <v>232</v>
      </c>
    </row>
    <row r="40547" spans="119:119" x14ac:dyDescent="0.2">
      <c r="DO40547" s="303" t="s">
        <v>232</v>
      </c>
    </row>
    <row r="40548" spans="119:119" x14ac:dyDescent="0.2">
      <c r="DO40548" s="303" t="s">
        <v>232</v>
      </c>
    </row>
    <row r="40549" spans="119:119" x14ac:dyDescent="0.2">
      <c r="DO40549" s="303" t="s">
        <v>232</v>
      </c>
    </row>
    <row r="40550" spans="119:119" x14ac:dyDescent="0.2">
      <c r="DO40550" s="303" t="s">
        <v>232</v>
      </c>
    </row>
    <row r="40551" spans="119:119" x14ac:dyDescent="0.2">
      <c r="DO40551" s="303" t="s">
        <v>232</v>
      </c>
    </row>
    <row r="40552" spans="119:119" x14ac:dyDescent="0.2">
      <c r="DO40552" s="303" t="s">
        <v>232</v>
      </c>
    </row>
    <row r="40553" spans="119:119" x14ac:dyDescent="0.2">
      <c r="DO40553" s="303" t="s">
        <v>232</v>
      </c>
    </row>
    <row r="40554" spans="119:119" x14ac:dyDescent="0.2">
      <c r="DO40554" s="303" t="s">
        <v>232</v>
      </c>
    </row>
    <row r="40555" spans="119:119" x14ac:dyDescent="0.2">
      <c r="DO40555" s="303" t="s">
        <v>232</v>
      </c>
    </row>
    <row r="40556" spans="119:119" x14ac:dyDescent="0.2">
      <c r="DO40556" s="303" t="s">
        <v>232</v>
      </c>
    </row>
    <row r="40557" spans="119:119" x14ac:dyDescent="0.2">
      <c r="DO40557" s="303" t="s">
        <v>232</v>
      </c>
    </row>
    <row r="40558" spans="119:119" x14ac:dyDescent="0.2">
      <c r="DO40558" s="303" t="s">
        <v>232</v>
      </c>
    </row>
    <row r="40559" spans="119:119" x14ac:dyDescent="0.2">
      <c r="DO40559" s="303" t="s">
        <v>232</v>
      </c>
    </row>
    <row r="40560" spans="119:119" x14ac:dyDescent="0.2">
      <c r="DO40560" s="303" t="s">
        <v>232</v>
      </c>
    </row>
    <row r="40561" spans="119:119" x14ac:dyDescent="0.2">
      <c r="DO40561" s="303" t="s">
        <v>232</v>
      </c>
    </row>
    <row r="40562" spans="119:119" x14ac:dyDescent="0.2">
      <c r="DO40562" s="303" t="s">
        <v>232</v>
      </c>
    </row>
    <row r="40563" spans="119:119" x14ac:dyDescent="0.2">
      <c r="DO40563" s="303" t="s">
        <v>232</v>
      </c>
    </row>
    <row r="40564" spans="119:119" x14ac:dyDescent="0.2">
      <c r="DO40564" s="303" t="s">
        <v>232</v>
      </c>
    </row>
    <row r="40565" spans="119:119" x14ac:dyDescent="0.2">
      <c r="DO40565" s="303" t="s">
        <v>232</v>
      </c>
    </row>
    <row r="40566" spans="119:119" x14ac:dyDescent="0.2">
      <c r="DO40566" s="303" t="s">
        <v>232</v>
      </c>
    </row>
    <row r="40567" spans="119:119" x14ac:dyDescent="0.2">
      <c r="DO40567" s="303" t="s">
        <v>232</v>
      </c>
    </row>
    <row r="40568" spans="119:119" x14ac:dyDescent="0.2">
      <c r="DO40568" s="303" t="s">
        <v>232</v>
      </c>
    </row>
    <row r="40569" spans="119:119" x14ac:dyDescent="0.2">
      <c r="DO40569" s="303" t="s">
        <v>232</v>
      </c>
    </row>
    <row r="40570" spans="119:119" x14ac:dyDescent="0.2">
      <c r="DO40570" s="303" t="s">
        <v>232</v>
      </c>
    </row>
    <row r="40571" spans="119:119" x14ac:dyDescent="0.2">
      <c r="DO40571" s="303" t="s">
        <v>232</v>
      </c>
    </row>
    <row r="40572" spans="119:119" x14ac:dyDescent="0.2">
      <c r="DO40572" s="303" t="s">
        <v>232</v>
      </c>
    </row>
    <row r="40573" spans="119:119" x14ac:dyDescent="0.2">
      <c r="DO40573" s="303" t="s">
        <v>232</v>
      </c>
    </row>
    <row r="40574" spans="119:119" x14ac:dyDescent="0.2">
      <c r="DO40574" s="303" t="s">
        <v>232</v>
      </c>
    </row>
    <row r="40575" spans="119:119" x14ac:dyDescent="0.2">
      <c r="DO40575" s="303" t="s">
        <v>232</v>
      </c>
    </row>
    <row r="40576" spans="119:119" x14ac:dyDescent="0.2">
      <c r="DO40576" s="303" t="s">
        <v>232</v>
      </c>
    </row>
    <row r="40577" spans="119:119" x14ac:dyDescent="0.2">
      <c r="DO40577" s="303" t="s">
        <v>232</v>
      </c>
    </row>
    <row r="40578" spans="119:119" x14ac:dyDescent="0.2">
      <c r="DO40578" s="303" t="s">
        <v>232</v>
      </c>
    </row>
    <row r="40579" spans="119:119" x14ac:dyDescent="0.2">
      <c r="DO40579" s="303" t="s">
        <v>232</v>
      </c>
    </row>
    <row r="40580" spans="119:119" x14ac:dyDescent="0.2">
      <c r="DO40580" s="303" t="s">
        <v>232</v>
      </c>
    </row>
    <row r="40581" spans="119:119" x14ac:dyDescent="0.2">
      <c r="DO40581" s="303" t="s">
        <v>232</v>
      </c>
    </row>
    <row r="40582" spans="119:119" x14ac:dyDescent="0.2">
      <c r="DO40582" s="303" t="s">
        <v>232</v>
      </c>
    </row>
    <row r="40583" spans="119:119" x14ac:dyDescent="0.2">
      <c r="DO40583" s="303" t="s">
        <v>232</v>
      </c>
    </row>
    <row r="40584" spans="119:119" x14ac:dyDescent="0.2">
      <c r="DO40584" s="303" t="s">
        <v>232</v>
      </c>
    </row>
    <row r="40585" spans="119:119" x14ac:dyDescent="0.2">
      <c r="DO40585" s="303" t="s">
        <v>232</v>
      </c>
    </row>
    <row r="40586" spans="119:119" x14ac:dyDescent="0.2">
      <c r="DO40586" s="303" t="s">
        <v>232</v>
      </c>
    </row>
    <row r="40587" spans="119:119" x14ac:dyDescent="0.2">
      <c r="DO40587" s="303" t="s">
        <v>232</v>
      </c>
    </row>
    <row r="40588" spans="119:119" x14ac:dyDescent="0.2">
      <c r="DO40588" s="303" t="s">
        <v>232</v>
      </c>
    </row>
    <row r="40589" spans="119:119" x14ac:dyDescent="0.2">
      <c r="DO40589" s="303" t="s">
        <v>232</v>
      </c>
    </row>
    <row r="40590" spans="119:119" x14ac:dyDescent="0.2">
      <c r="DO40590" s="303" t="s">
        <v>232</v>
      </c>
    </row>
    <row r="40591" spans="119:119" x14ac:dyDescent="0.2">
      <c r="DO40591" s="303" t="s">
        <v>232</v>
      </c>
    </row>
    <row r="40592" spans="119:119" x14ac:dyDescent="0.2">
      <c r="DO40592" s="303" t="s">
        <v>232</v>
      </c>
    </row>
    <row r="40593" spans="119:119" x14ac:dyDescent="0.2">
      <c r="DO40593" s="303" t="s">
        <v>232</v>
      </c>
    </row>
    <row r="40594" spans="119:119" x14ac:dyDescent="0.2">
      <c r="DO40594" s="303" t="s">
        <v>232</v>
      </c>
    </row>
    <row r="40595" spans="119:119" x14ac:dyDescent="0.2">
      <c r="DO40595" s="303" t="s">
        <v>232</v>
      </c>
    </row>
    <row r="40596" spans="119:119" x14ac:dyDescent="0.2">
      <c r="DO40596" s="303" t="s">
        <v>232</v>
      </c>
    </row>
    <row r="40597" spans="119:119" x14ac:dyDescent="0.2">
      <c r="DO40597" s="303" t="s">
        <v>232</v>
      </c>
    </row>
    <row r="40598" spans="119:119" x14ac:dyDescent="0.2">
      <c r="DO40598" s="303" t="s">
        <v>232</v>
      </c>
    </row>
    <row r="40599" spans="119:119" x14ac:dyDescent="0.2">
      <c r="DO40599" s="303" t="s">
        <v>232</v>
      </c>
    </row>
    <row r="40600" spans="119:119" x14ac:dyDescent="0.2">
      <c r="DO40600" s="303" t="s">
        <v>232</v>
      </c>
    </row>
    <row r="40601" spans="119:119" x14ac:dyDescent="0.2">
      <c r="DO40601" s="303" t="s">
        <v>232</v>
      </c>
    </row>
    <row r="40602" spans="119:119" x14ac:dyDescent="0.2">
      <c r="DO40602" s="303" t="s">
        <v>232</v>
      </c>
    </row>
    <row r="40603" spans="119:119" x14ac:dyDescent="0.2">
      <c r="DO40603" s="303" t="s">
        <v>232</v>
      </c>
    </row>
    <row r="40604" spans="119:119" x14ac:dyDescent="0.2">
      <c r="DO40604" s="303" t="s">
        <v>232</v>
      </c>
    </row>
    <row r="40605" spans="119:119" x14ac:dyDescent="0.2">
      <c r="DO40605" s="303" t="s">
        <v>232</v>
      </c>
    </row>
    <row r="40606" spans="119:119" x14ac:dyDescent="0.2">
      <c r="DO40606" s="303" t="s">
        <v>232</v>
      </c>
    </row>
    <row r="40607" spans="119:119" x14ac:dyDescent="0.2">
      <c r="DO40607" s="303" t="s">
        <v>232</v>
      </c>
    </row>
    <row r="40608" spans="119:119" x14ac:dyDescent="0.2">
      <c r="DO40608" s="303" t="s">
        <v>232</v>
      </c>
    </row>
    <row r="40609" spans="119:119" x14ac:dyDescent="0.2">
      <c r="DO40609" s="303" t="s">
        <v>232</v>
      </c>
    </row>
    <row r="40610" spans="119:119" x14ac:dyDescent="0.2">
      <c r="DO40610" s="303" t="s">
        <v>232</v>
      </c>
    </row>
    <row r="40611" spans="119:119" x14ac:dyDescent="0.2">
      <c r="DO40611" s="303" t="s">
        <v>232</v>
      </c>
    </row>
    <row r="40612" spans="119:119" x14ac:dyDescent="0.2">
      <c r="DO40612" s="303" t="s">
        <v>232</v>
      </c>
    </row>
    <row r="40613" spans="119:119" x14ac:dyDescent="0.2">
      <c r="DO40613" s="303" t="s">
        <v>232</v>
      </c>
    </row>
    <row r="40614" spans="119:119" x14ac:dyDescent="0.2">
      <c r="DO40614" s="303" t="s">
        <v>232</v>
      </c>
    </row>
    <row r="40615" spans="119:119" x14ac:dyDescent="0.2">
      <c r="DO40615" s="303" t="s">
        <v>232</v>
      </c>
    </row>
    <row r="40616" spans="119:119" x14ac:dyDescent="0.2">
      <c r="DO40616" s="303" t="s">
        <v>232</v>
      </c>
    </row>
    <row r="40617" spans="119:119" x14ac:dyDescent="0.2">
      <c r="DO40617" s="303" t="s">
        <v>232</v>
      </c>
    </row>
    <row r="40618" spans="119:119" x14ac:dyDescent="0.2">
      <c r="DO40618" s="303" t="s">
        <v>232</v>
      </c>
    </row>
    <row r="40619" spans="119:119" x14ac:dyDescent="0.2">
      <c r="DO40619" s="303" t="s">
        <v>232</v>
      </c>
    </row>
    <row r="40620" spans="119:119" x14ac:dyDescent="0.2">
      <c r="DO40620" s="303" t="s">
        <v>232</v>
      </c>
    </row>
    <row r="40621" spans="119:119" x14ac:dyDescent="0.2">
      <c r="DO40621" s="303" t="s">
        <v>232</v>
      </c>
    </row>
    <row r="40622" spans="119:119" x14ac:dyDescent="0.2">
      <c r="DO40622" s="303" t="s">
        <v>232</v>
      </c>
    </row>
    <row r="40623" spans="119:119" x14ac:dyDescent="0.2">
      <c r="DO40623" s="303" t="s">
        <v>232</v>
      </c>
    </row>
    <row r="40624" spans="119:119" x14ac:dyDescent="0.2">
      <c r="DO40624" s="303" t="s">
        <v>232</v>
      </c>
    </row>
    <row r="40625" spans="119:119" x14ac:dyDescent="0.2">
      <c r="DO40625" s="303" t="s">
        <v>232</v>
      </c>
    </row>
    <row r="40626" spans="119:119" x14ac:dyDescent="0.2">
      <c r="DO40626" s="303" t="s">
        <v>232</v>
      </c>
    </row>
    <row r="40627" spans="119:119" x14ac:dyDescent="0.2">
      <c r="DO40627" s="303" t="s">
        <v>232</v>
      </c>
    </row>
    <row r="40628" spans="119:119" x14ac:dyDescent="0.2">
      <c r="DO40628" s="303" t="s">
        <v>232</v>
      </c>
    </row>
    <row r="40629" spans="119:119" x14ac:dyDescent="0.2">
      <c r="DO40629" s="303" t="s">
        <v>232</v>
      </c>
    </row>
    <row r="40630" spans="119:119" x14ac:dyDescent="0.2">
      <c r="DO40630" s="303" t="s">
        <v>232</v>
      </c>
    </row>
    <row r="40631" spans="119:119" x14ac:dyDescent="0.2">
      <c r="DO40631" s="303" t="s">
        <v>232</v>
      </c>
    </row>
    <row r="40632" spans="119:119" x14ac:dyDescent="0.2">
      <c r="DO40632" s="303" t="s">
        <v>232</v>
      </c>
    </row>
    <row r="40633" spans="119:119" x14ac:dyDescent="0.2">
      <c r="DO40633" s="303" t="s">
        <v>232</v>
      </c>
    </row>
    <row r="40634" spans="119:119" x14ac:dyDescent="0.2">
      <c r="DO40634" s="303" t="s">
        <v>232</v>
      </c>
    </row>
    <row r="40635" spans="119:119" x14ac:dyDescent="0.2">
      <c r="DO40635" s="303" t="s">
        <v>232</v>
      </c>
    </row>
    <row r="40636" spans="119:119" x14ac:dyDescent="0.2">
      <c r="DO40636" s="303" t="s">
        <v>232</v>
      </c>
    </row>
    <row r="40637" spans="119:119" x14ac:dyDescent="0.2">
      <c r="DO40637" s="303" t="s">
        <v>232</v>
      </c>
    </row>
    <row r="40638" spans="119:119" x14ac:dyDescent="0.2">
      <c r="DO40638" s="303" t="s">
        <v>232</v>
      </c>
    </row>
    <row r="40639" spans="119:119" x14ac:dyDescent="0.2">
      <c r="DO40639" s="303" t="s">
        <v>232</v>
      </c>
    </row>
    <row r="40640" spans="119:119" x14ac:dyDescent="0.2">
      <c r="DO40640" s="303" t="s">
        <v>232</v>
      </c>
    </row>
    <row r="40641" spans="119:119" x14ac:dyDescent="0.2">
      <c r="DO40641" s="303" t="s">
        <v>232</v>
      </c>
    </row>
    <row r="40642" spans="119:119" x14ac:dyDescent="0.2">
      <c r="DO40642" s="303" t="s">
        <v>232</v>
      </c>
    </row>
    <row r="40643" spans="119:119" x14ac:dyDescent="0.2">
      <c r="DO40643" s="303" t="s">
        <v>232</v>
      </c>
    </row>
    <row r="40644" spans="119:119" x14ac:dyDescent="0.2">
      <c r="DO40644" s="303" t="s">
        <v>232</v>
      </c>
    </row>
    <row r="40645" spans="119:119" x14ac:dyDescent="0.2">
      <c r="DO40645" s="303" t="s">
        <v>232</v>
      </c>
    </row>
    <row r="40646" spans="119:119" x14ac:dyDescent="0.2">
      <c r="DO40646" s="303" t="s">
        <v>232</v>
      </c>
    </row>
    <row r="40647" spans="119:119" x14ac:dyDescent="0.2">
      <c r="DO40647" s="303" t="s">
        <v>232</v>
      </c>
    </row>
    <row r="40648" spans="119:119" x14ac:dyDescent="0.2">
      <c r="DO40648" s="303" t="s">
        <v>232</v>
      </c>
    </row>
    <row r="40649" spans="119:119" x14ac:dyDescent="0.2">
      <c r="DO40649" s="303" t="s">
        <v>232</v>
      </c>
    </row>
    <row r="40650" spans="119:119" x14ac:dyDescent="0.2">
      <c r="DO40650" s="303" t="s">
        <v>232</v>
      </c>
    </row>
    <row r="40651" spans="119:119" x14ac:dyDescent="0.2">
      <c r="DO40651" s="303" t="s">
        <v>232</v>
      </c>
    </row>
    <row r="40652" spans="119:119" x14ac:dyDescent="0.2">
      <c r="DO40652" s="303" t="s">
        <v>232</v>
      </c>
    </row>
    <row r="40653" spans="119:119" x14ac:dyDescent="0.2">
      <c r="DO40653" s="303" t="s">
        <v>232</v>
      </c>
    </row>
    <row r="40654" spans="119:119" x14ac:dyDescent="0.2">
      <c r="DO40654" s="303" t="s">
        <v>232</v>
      </c>
    </row>
    <row r="40655" spans="119:119" x14ac:dyDescent="0.2">
      <c r="DO40655" s="303" t="s">
        <v>232</v>
      </c>
    </row>
    <row r="40656" spans="119:119" x14ac:dyDescent="0.2">
      <c r="DO40656" s="303" t="s">
        <v>232</v>
      </c>
    </row>
    <row r="40657" spans="119:119" x14ac:dyDescent="0.2">
      <c r="DO40657" s="303" t="s">
        <v>232</v>
      </c>
    </row>
    <row r="40658" spans="119:119" x14ac:dyDescent="0.2">
      <c r="DO40658" s="303" t="s">
        <v>232</v>
      </c>
    </row>
    <row r="40659" spans="119:119" x14ac:dyDescent="0.2">
      <c r="DO40659" s="303" t="s">
        <v>232</v>
      </c>
    </row>
    <row r="40660" spans="119:119" x14ac:dyDescent="0.2">
      <c r="DO40660" s="303" t="s">
        <v>232</v>
      </c>
    </row>
    <row r="40661" spans="119:119" x14ac:dyDescent="0.2">
      <c r="DO40661" s="303" t="s">
        <v>232</v>
      </c>
    </row>
    <row r="40662" spans="119:119" x14ac:dyDescent="0.2">
      <c r="DO40662" s="303" t="s">
        <v>232</v>
      </c>
    </row>
    <row r="40663" spans="119:119" x14ac:dyDescent="0.2">
      <c r="DO40663" s="303" t="s">
        <v>232</v>
      </c>
    </row>
    <row r="40664" spans="119:119" x14ac:dyDescent="0.2">
      <c r="DO40664" s="303" t="s">
        <v>232</v>
      </c>
    </row>
    <row r="40665" spans="119:119" x14ac:dyDescent="0.2">
      <c r="DO40665" s="303" t="s">
        <v>232</v>
      </c>
    </row>
    <row r="40666" spans="119:119" x14ac:dyDescent="0.2">
      <c r="DO40666" s="303" t="s">
        <v>232</v>
      </c>
    </row>
    <row r="40667" spans="119:119" x14ac:dyDescent="0.2">
      <c r="DO40667" s="303" t="s">
        <v>232</v>
      </c>
    </row>
    <row r="40668" spans="119:119" x14ac:dyDescent="0.2">
      <c r="DO40668" s="303" t="s">
        <v>232</v>
      </c>
    </row>
    <row r="40669" spans="119:119" x14ac:dyDescent="0.2">
      <c r="DO40669" s="303" t="s">
        <v>232</v>
      </c>
    </row>
    <row r="40670" spans="119:119" x14ac:dyDescent="0.2">
      <c r="DO40670" s="303" t="s">
        <v>232</v>
      </c>
    </row>
    <row r="40671" spans="119:119" x14ac:dyDescent="0.2">
      <c r="DO40671" s="303" t="s">
        <v>232</v>
      </c>
    </row>
    <row r="40672" spans="119:119" x14ac:dyDescent="0.2">
      <c r="DO40672" s="303" t="s">
        <v>232</v>
      </c>
    </row>
    <row r="40673" spans="119:119" x14ac:dyDescent="0.2">
      <c r="DO40673" s="303" t="s">
        <v>232</v>
      </c>
    </row>
    <row r="40674" spans="119:119" x14ac:dyDescent="0.2">
      <c r="DO40674" s="303" t="s">
        <v>232</v>
      </c>
    </row>
    <row r="40675" spans="119:119" x14ac:dyDescent="0.2">
      <c r="DO40675" s="303" t="s">
        <v>232</v>
      </c>
    </row>
    <row r="40676" spans="119:119" x14ac:dyDescent="0.2">
      <c r="DO40676" s="303" t="s">
        <v>232</v>
      </c>
    </row>
    <row r="40677" spans="119:119" x14ac:dyDescent="0.2">
      <c r="DO40677" s="303" t="s">
        <v>232</v>
      </c>
    </row>
    <row r="40678" spans="119:119" x14ac:dyDescent="0.2">
      <c r="DO40678" s="303" t="s">
        <v>232</v>
      </c>
    </row>
    <row r="40679" spans="119:119" x14ac:dyDescent="0.2">
      <c r="DO40679" s="303" t="s">
        <v>232</v>
      </c>
    </row>
    <row r="40680" spans="119:119" x14ac:dyDescent="0.2">
      <c r="DO40680" s="303" t="s">
        <v>232</v>
      </c>
    </row>
    <row r="40681" spans="119:119" x14ac:dyDescent="0.2">
      <c r="DO40681" s="303" t="s">
        <v>232</v>
      </c>
    </row>
    <row r="40682" spans="119:119" x14ac:dyDescent="0.2">
      <c r="DO40682" s="303" t="s">
        <v>232</v>
      </c>
    </row>
    <row r="40683" spans="119:119" x14ac:dyDescent="0.2">
      <c r="DO40683" s="303" t="s">
        <v>232</v>
      </c>
    </row>
    <row r="40684" spans="119:119" x14ac:dyDescent="0.2">
      <c r="DO40684" s="303" t="s">
        <v>232</v>
      </c>
    </row>
    <row r="40685" spans="119:119" x14ac:dyDescent="0.2">
      <c r="DO40685" s="303" t="s">
        <v>232</v>
      </c>
    </row>
    <row r="40686" spans="119:119" x14ac:dyDescent="0.2">
      <c r="DO40686" s="303" t="s">
        <v>232</v>
      </c>
    </row>
    <row r="40687" spans="119:119" x14ac:dyDescent="0.2">
      <c r="DO40687" s="303" t="s">
        <v>232</v>
      </c>
    </row>
    <row r="40688" spans="119:119" x14ac:dyDescent="0.2">
      <c r="DO40688" s="303" t="s">
        <v>232</v>
      </c>
    </row>
    <row r="40689" spans="119:119" x14ac:dyDescent="0.2">
      <c r="DO40689" s="303" t="s">
        <v>232</v>
      </c>
    </row>
    <row r="40690" spans="119:119" x14ac:dyDescent="0.2">
      <c r="DO40690" s="303" t="s">
        <v>232</v>
      </c>
    </row>
    <row r="40691" spans="119:119" x14ac:dyDescent="0.2">
      <c r="DO40691" s="303" t="s">
        <v>232</v>
      </c>
    </row>
    <row r="40692" spans="119:119" x14ac:dyDescent="0.2">
      <c r="DO40692" s="303" t="s">
        <v>232</v>
      </c>
    </row>
    <row r="40693" spans="119:119" x14ac:dyDescent="0.2">
      <c r="DO40693" s="303" t="s">
        <v>232</v>
      </c>
    </row>
    <row r="40694" spans="119:119" x14ac:dyDescent="0.2">
      <c r="DO40694" s="303" t="s">
        <v>232</v>
      </c>
    </row>
    <row r="40695" spans="119:119" x14ac:dyDescent="0.2">
      <c r="DO40695" s="303" t="s">
        <v>232</v>
      </c>
    </row>
    <row r="40696" spans="119:119" x14ac:dyDescent="0.2">
      <c r="DO40696" s="303" t="s">
        <v>232</v>
      </c>
    </row>
    <row r="40697" spans="119:119" x14ac:dyDescent="0.2">
      <c r="DO40697" s="303" t="s">
        <v>232</v>
      </c>
    </row>
    <row r="40698" spans="119:119" x14ac:dyDescent="0.2">
      <c r="DO40698" s="303" t="s">
        <v>232</v>
      </c>
    </row>
    <row r="40699" spans="119:119" x14ac:dyDescent="0.2">
      <c r="DO40699" s="303" t="s">
        <v>232</v>
      </c>
    </row>
    <row r="40700" spans="119:119" x14ac:dyDescent="0.2">
      <c r="DO40700" s="303" t="s">
        <v>232</v>
      </c>
    </row>
    <row r="40701" spans="119:119" x14ac:dyDescent="0.2">
      <c r="DO40701" s="303" t="s">
        <v>232</v>
      </c>
    </row>
    <row r="40702" spans="119:119" x14ac:dyDescent="0.2">
      <c r="DO40702" s="303" t="s">
        <v>232</v>
      </c>
    </row>
    <row r="40703" spans="119:119" x14ac:dyDescent="0.2">
      <c r="DO40703" s="303" t="s">
        <v>232</v>
      </c>
    </row>
    <row r="40704" spans="119:119" x14ac:dyDescent="0.2">
      <c r="DO40704" s="303" t="s">
        <v>232</v>
      </c>
    </row>
    <row r="40705" spans="119:119" x14ac:dyDescent="0.2">
      <c r="DO40705" s="303" t="s">
        <v>232</v>
      </c>
    </row>
    <row r="40706" spans="119:119" x14ac:dyDescent="0.2">
      <c r="DO40706" s="303" t="s">
        <v>232</v>
      </c>
    </row>
    <row r="40707" spans="119:119" x14ac:dyDescent="0.2">
      <c r="DO40707" s="303" t="s">
        <v>232</v>
      </c>
    </row>
    <row r="40708" spans="119:119" x14ac:dyDescent="0.2">
      <c r="DO40708" s="303" t="s">
        <v>232</v>
      </c>
    </row>
    <row r="40709" spans="119:119" x14ac:dyDescent="0.2">
      <c r="DO40709" s="303" t="s">
        <v>232</v>
      </c>
    </row>
    <row r="40710" spans="119:119" x14ac:dyDescent="0.2">
      <c r="DO40710" s="303" t="s">
        <v>232</v>
      </c>
    </row>
    <row r="40711" spans="119:119" x14ac:dyDescent="0.2">
      <c r="DO40711" s="303" t="s">
        <v>232</v>
      </c>
    </row>
    <row r="40712" spans="119:119" x14ac:dyDescent="0.2">
      <c r="DO40712" s="303" t="s">
        <v>232</v>
      </c>
    </row>
    <row r="40713" spans="119:119" x14ac:dyDescent="0.2">
      <c r="DO40713" s="303" t="s">
        <v>232</v>
      </c>
    </row>
    <row r="40714" spans="119:119" x14ac:dyDescent="0.2">
      <c r="DO40714" s="303" t="s">
        <v>232</v>
      </c>
    </row>
    <row r="40715" spans="119:119" x14ac:dyDescent="0.2">
      <c r="DO40715" s="303" t="s">
        <v>232</v>
      </c>
    </row>
    <row r="40716" spans="119:119" x14ac:dyDescent="0.2">
      <c r="DO40716" s="303" t="s">
        <v>232</v>
      </c>
    </row>
    <row r="40717" spans="119:119" x14ac:dyDescent="0.2">
      <c r="DO40717" s="303" t="s">
        <v>232</v>
      </c>
    </row>
    <row r="40718" spans="119:119" x14ac:dyDescent="0.2">
      <c r="DO40718" s="303" t="s">
        <v>232</v>
      </c>
    </row>
    <row r="40719" spans="119:119" x14ac:dyDescent="0.2">
      <c r="DO40719" s="303" t="s">
        <v>232</v>
      </c>
    </row>
    <row r="40720" spans="119:119" x14ac:dyDescent="0.2">
      <c r="DO40720" s="303" t="s">
        <v>232</v>
      </c>
    </row>
    <row r="40721" spans="119:119" x14ac:dyDescent="0.2">
      <c r="DO40721" s="303" t="s">
        <v>232</v>
      </c>
    </row>
    <row r="40722" spans="119:119" x14ac:dyDescent="0.2">
      <c r="DO40722" s="303" t="s">
        <v>232</v>
      </c>
    </row>
    <row r="40723" spans="119:119" x14ac:dyDescent="0.2">
      <c r="DO40723" s="303" t="s">
        <v>232</v>
      </c>
    </row>
    <row r="40724" spans="119:119" x14ac:dyDescent="0.2">
      <c r="DO40724" s="303" t="s">
        <v>232</v>
      </c>
    </row>
    <row r="40725" spans="119:119" x14ac:dyDescent="0.2">
      <c r="DO40725" s="303" t="s">
        <v>232</v>
      </c>
    </row>
    <row r="40726" spans="119:119" x14ac:dyDescent="0.2">
      <c r="DO40726" s="303" t="s">
        <v>232</v>
      </c>
    </row>
    <row r="40727" spans="119:119" x14ac:dyDescent="0.2">
      <c r="DO40727" s="303" t="s">
        <v>232</v>
      </c>
    </row>
    <row r="40728" spans="119:119" x14ac:dyDescent="0.2">
      <c r="DO40728" s="303" t="s">
        <v>232</v>
      </c>
    </row>
    <row r="40729" spans="119:119" x14ac:dyDescent="0.2">
      <c r="DO40729" s="303" t="s">
        <v>232</v>
      </c>
    </row>
    <row r="40730" spans="119:119" x14ac:dyDescent="0.2">
      <c r="DO40730" s="303" t="s">
        <v>232</v>
      </c>
    </row>
    <row r="40731" spans="119:119" x14ac:dyDescent="0.2">
      <c r="DO40731" s="303" t="s">
        <v>232</v>
      </c>
    </row>
    <row r="40732" spans="119:119" x14ac:dyDescent="0.2">
      <c r="DO40732" s="303" t="s">
        <v>232</v>
      </c>
    </row>
    <row r="40733" spans="119:119" x14ac:dyDescent="0.2">
      <c r="DO40733" s="303" t="s">
        <v>232</v>
      </c>
    </row>
    <row r="40734" spans="119:119" x14ac:dyDescent="0.2">
      <c r="DO40734" s="303" t="s">
        <v>232</v>
      </c>
    </row>
    <row r="40735" spans="119:119" x14ac:dyDescent="0.2">
      <c r="DO40735" s="303" t="s">
        <v>232</v>
      </c>
    </row>
    <row r="40736" spans="119:119" x14ac:dyDescent="0.2">
      <c r="DO40736" s="303" t="s">
        <v>232</v>
      </c>
    </row>
    <row r="40737" spans="119:119" x14ac:dyDescent="0.2">
      <c r="DO40737" s="303" t="s">
        <v>232</v>
      </c>
    </row>
    <row r="40738" spans="119:119" x14ac:dyDescent="0.2">
      <c r="DO40738" s="303" t="s">
        <v>232</v>
      </c>
    </row>
    <row r="40739" spans="119:119" x14ac:dyDescent="0.2">
      <c r="DO40739" s="303" t="s">
        <v>232</v>
      </c>
    </row>
    <row r="40740" spans="119:119" x14ac:dyDescent="0.2">
      <c r="DO40740" s="303" t="s">
        <v>232</v>
      </c>
    </row>
    <row r="40741" spans="119:119" x14ac:dyDescent="0.2">
      <c r="DO40741" s="303" t="s">
        <v>232</v>
      </c>
    </row>
    <row r="40742" spans="119:119" x14ac:dyDescent="0.2">
      <c r="DO40742" s="303" t="s">
        <v>232</v>
      </c>
    </row>
    <row r="40743" spans="119:119" x14ac:dyDescent="0.2">
      <c r="DO40743" s="303" t="s">
        <v>232</v>
      </c>
    </row>
    <row r="40744" spans="119:119" x14ac:dyDescent="0.2">
      <c r="DO40744" s="303" t="s">
        <v>232</v>
      </c>
    </row>
    <row r="40745" spans="119:119" x14ac:dyDescent="0.2">
      <c r="DO40745" s="303" t="s">
        <v>232</v>
      </c>
    </row>
    <row r="40746" spans="119:119" x14ac:dyDescent="0.2">
      <c r="DO40746" s="303" t="s">
        <v>232</v>
      </c>
    </row>
    <row r="40747" spans="119:119" x14ac:dyDescent="0.2">
      <c r="DO40747" s="303" t="s">
        <v>232</v>
      </c>
    </row>
    <row r="40748" spans="119:119" x14ac:dyDescent="0.2">
      <c r="DO40748" s="303" t="s">
        <v>232</v>
      </c>
    </row>
    <row r="40749" spans="119:119" x14ac:dyDescent="0.2">
      <c r="DO40749" s="303" t="s">
        <v>232</v>
      </c>
    </row>
    <row r="40750" spans="119:119" x14ac:dyDescent="0.2">
      <c r="DO40750" s="303" t="s">
        <v>232</v>
      </c>
    </row>
    <row r="40751" spans="119:119" x14ac:dyDescent="0.2">
      <c r="DO40751" s="303" t="s">
        <v>232</v>
      </c>
    </row>
    <row r="40752" spans="119:119" x14ac:dyDescent="0.2">
      <c r="DO40752" s="303" t="s">
        <v>232</v>
      </c>
    </row>
    <row r="40753" spans="119:119" x14ac:dyDescent="0.2">
      <c r="DO40753" s="303" t="s">
        <v>232</v>
      </c>
    </row>
    <row r="40754" spans="119:119" x14ac:dyDescent="0.2">
      <c r="DO40754" s="303" t="s">
        <v>232</v>
      </c>
    </row>
    <row r="40755" spans="119:119" x14ac:dyDescent="0.2">
      <c r="DO40755" s="303" t="s">
        <v>232</v>
      </c>
    </row>
    <row r="40756" spans="119:119" x14ac:dyDescent="0.2">
      <c r="DO40756" s="303" t="s">
        <v>232</v>
      </c>
    </row>
    <row r="40757" spans="119:119" x14ac:dyDescent="0.2">
      <c r="DO40757" s="303" t="s">
        <v>232</v>
      </c>
    </row>
    <row r="40758" spans="119:119" x14ac:dyDescent="0.2">
      <c r="DO40758" s="303" t="s">
        <v>232</v>
      </c>
    </row>
    <row r="40759" spans="119:119" x14ac:dyDescent="0.2">
      <c r="DO40759" s="303" t="s">
        <v>232</v>
      </c>
    </row>
    <row r="40760" spans="119:119" x14ac:dyDescent="0.2">
      <c r="DO40760" s="303" t="s">
        <v>232</v>
      </c>
    </row>
    <row r="40761" spans="119:119" x14ac:dyDescent="0.2">
      <c r="DO40761" s="303" t="s">
        <v>232</v>
      </c>
    </row>
    <row r="40762" spans="119:119" x14ac:dyDescent="0.2">
      <c r="DO40762" s="303" t="s">
        <v>232</v>
      </c>
    </row>
    <row r="40763" spans="119:119" x14ac:dyDescent="0.2">
      <c r="DO40763" s="303" t="s">
        <v>232</v>
      </c>
    </row>
    <row r="40764" spans="119:119" x14ac:dyDescent="0.2">
      <c r="DO40764" s="303" t="s">
        <v>232</v>
      </c>
    </row>
    <row r="40765" spans="119:119" x14ac:dyDescent="0.2">
      <c r="DO40765" s="303" t="s">
        <v>232</v>
      </c>
    </row>
    <row r="40766" spans="119:119" x14ac:dyDescent="0.2">
      <c r="DO40766" s="303" t="s">
        <v>232</v>
      </c>
    </row>
    <row r="40767" spans="119:119" x14ac:dyDescent="0.2">
      <c r="DO40767" s="303" t="s">
        <v>232</v>
      </c>
    </row>
    <row r="40768" spans="119:119" x14ac:dyDescent="0.2">
      <c r="DO40768" s="303" t="s">
        <v>232</v>
      </c>
    </row>
    <row r="40769" spans="119:119" x14ac:dyDescent="0.2">
      <c r="DO40769" s="303" t="s">
        <v>232</v>
      </c>
    </row>
    <row r="40770" spans="119:119" x14ac:dyDescent="0.2">
      <c r="DO40770" s="303" t="s">
        <v>232</v>
      </c>
    </row>
    <row r="40771" spans="119:119" x14ac:dyDescent="0.2">
      <c r="DO40771" s="303" t="s">
        <v>232</v>
      </c>
    </row>
    <row r="40772" spans="119:119" x14ac:dyDescent="0.2">
      <c r="DO40772" s="303" t="s">
        <v>232</v>
      </c>
    </row>
    <row r="40773" spans="119:119" x14ac:dyDescent="0.2">
      <c r="DO40773" s="303" t="s">
        <v>232</v>
      </c>
    </row>
    <row r="40774" spans="119:119" x14ac:dyDescent="0.2">
      <c r="DO40774" s="303" t="s">
        <v>232</v>
      </c>
    </row>
    <row r="40775" spans="119:119" x14ac:dyDescent="0.2">
      <c r="DO40775" s="303" t="s">
        <v>232</v>
      </c>
    </row>
    <row r="40776" spans="119:119" x14ac:dyDescent="0.2">
      <c r="DO40776" s="303" t="s">
        <v>232</v>
      </c>
    </row>
    <row r="40777" spans="119:119" x14ac:dyDescent="0.2">
      <c r="DO40777" s="303" t="s">
        <v>232</v>
      </c>
    </row>
    <row r="40778" spans="119:119" x14ac:dyDescent="0.2">
      <c r="DO40778" s="303" t="s">
        <v>232</v>
      </c>
    </row>
    <row r="40779" spans="119:119" x14ac:dyDescent="0.2">
      <c r="DO40779" s="303" t="s">
        <v>232</v>
      </c>
    </row>
    <row r="40780" spans="119:119" x14ac:dyDescent="0.2">
      <c r="DO40780" s="303" t="s">
        <v>232</v>
      </c>
    </row>
    <row r="40781" spans="119:119" x14ac:dyDescent="0.2">
      <c r="DO40781" s="303" t="s">
        <v>232</v>
      </c>
    </row>
    <row r="40782" spans="119:119" x14ac:dyDescent="0.2">
      <c r="DO40782" s="303" t="s">
        <v>232</v>
      </c>
    </row>
    <row r="40783" spans="119:119" x14ac:dyDescent="0.2">
      <c r="DO40783" s="303" t="s">
        <v>232</v>
      </c>
    </row>
    <row r="40784" spans="119:119" x14ac:dyDescent="0.2">
      <c r="DO40784" s="303" t="s">
        <v>232</v>
      </c>
    </row>
    <row r="40785" spans="119:119" x14ac:dyDescent="0.2">
      <c r="DO40785" s="303" t="s">
        <v>232</v>
      </c>
    </row>
    <row r="40786" spans="119:119" x14ac:dyDescent="0.2">
      <c r="DO40786" s="303" t="s">
        <v>232</v>
      </c>
    </row>
    <row r="40787" spans="119:119" x14ac:dyDescent="0.2">
      <c r="DO40787" s="303" t="s">
        <v>232</v>
      </c>
    </row>
    <row r="40788" spans="119:119" x14ac:dyDescent="0.2">
      <c r="DO40788" s="303" t="s">
        <v>232</v>
      </c>
    </row>
    <row r="40789" spans="119:119" x14ac:dyDescent="0.2">
      <c r="DO40789" s="303" t="s">
        <v>232</v>
      </c>
    </row>
    <row r="40790" spans="119:119" x14ac:dyDescent="0.2">
      <c r="DO40790" s="303" t="s">
        <v>232</v>
      </c>
    </row>
    <row r="40791" spans="119:119" x14ac:dyDescent="0.2">
      <c r="DO40791" s="303" t="s">
        <v>232</v>
      </c>
    </row>
    <row r="40792" spans="119:119" x14ac:dyDescent="0.2">
      <c r="DO40792" s="303" t="s">
        <v>232</v>
      </c>
    </row>
    <row r="40793" spans="119:119" x14ac:dyDescent="0.2">
      <c r="DO40793" s="303" t="s">
        <v>232</v>
      </c>
    </row>
    <row r="40794" spans="119:119" x14ac:dyDescent="0.2">
      <c r="DO40794" s="303" t="s">
        <v>232</v>
      </c>
    </row>
    <row r="40795" spans="119:119" x14ac:dyDescent="0.2">
      <c r="DO40795" s="303" t="s">
        <v>232</v>
      </c>
    </row>
    <row r="40796" spans="119:119" x14ac:dyDescent="0.2">
      <c r="DO40796" s="303" t="s">
        <v>232</v>
      </c>
    </row>
    <row r="40797" spans="119:119" x14ac:dyDescent="0.2">
      <c r="DO40797" s="303" t="s">
        <v>232</v>
      </c>
    </row>
    <row r="40798" spans="119:119" x14ac:dyDescent="0.2">
      <c r="DO40798" s="303" t="s">
        <v>232</v>
      </c>
    </row>
    <row r="40799" spans="119:119" x14ac:dyDescent="0.2">
      <c r="DO40799" s="303" t="s">
        <v>232</v>
      </c>
    </row>
    <row r="40800" spans="119:119" x14ac:dyDescent="0.2">
      <c r="DO40800" s="303" t="s">
        <v>232</v>
      </c>
    </row>
    <row r="40801" spans="119:119" x14ac:dyDescent="0.2">
      <c r="DO40801" s="303" t="s">
        <v>232</v>
      </c>
    </row>
    <row r="40802" spans="119:119" x14ac:dyDescent="0.2">
      <c r="DO40802" s="303" t="s">
        <v>232</v>
      </c>
    </row>
    <row r="40803" spans="119:119" x14ac:dyDescent="0.2">
      <c r="DO40803" s="303" t="s">
        <v>232</v>
      </c>
    </row>
    <row r="40804" spans="119:119" x14ac:dyDescent="0.2">
      <c r="DO40804" s="303" t="s">
        <v>232</v>
      </c>
    </row>
    <row r="40805" spans="119:119" x14ac:dyDescent="0.2">
      <c r="DO40805" s="303" t="s">
        <v>232</v>
      </c>
    </row>
    <row r="40806" spans="119:119" x14ac:dyDescent="0.2">
      <c r="DO40806" s="303" t="s">
        <v>232</v>
      </c>
    </row>
    <row r="40807" spans="119:119" x14ac:dyDescent="0.2">
      <c r="DO40807" s="303" t="s">
        <v>232</v>
      </c>
    </row>
    <row r="40808" spans="119:119" x14ac:dyDescent="0.2">
      <c r="DO40808" s="303" t="s">
        <v>232</v>
      </c>
    </row>
    <row r="40809" spans="119:119" x14ac:dyDescent="0.2">
      <c r="DO40809" s="303" t="s">
        <v>232</v>
      </c>
    </row>
    <row r="40810" spans="119:119" x14ac:dyDescent="0.2">
      <c r="DO40810" s="303" t="s">
        <v>232</v>
      </c>
    </row>
    <row r="40811" spans="119:119" x14ac:dyDescent="0.2">
      <c r="DO40811" s="303" t="s">
        <v>232</v>
      </c>
    </row>
    <row r="40812" spans="119:119" x14ac:dyDescent="0.2">
      <c r="DO40812" s="303" t="s">
        <v>232</v>
      </c>
    </row>
    <row r="40813" spans="119:119" x14ac:dyDescent="0.2">
      <c r="DO40813" s="303" t="s">
        <v>232</v>
      </c>
    </row>
    <row r="40814" spans="119:119" x14ac:dyDescent="0.2">
      <c r="DO40814" s="303" t="s">
        <v>232</v>
      </c>
    </row>
    <row r="40815" spans="119:119" x14ac:dyDescent="0.2">
      <c r="DO40815" s="303" t="s">
        <v>232</v>
      </c>
    </row>
    <row r="40816" spans="119:119" x14ac:dyDescent="0.2">
      <c r="DO40816" s="303" t="s">
        <v>232</v>
      </c>
    </row>
    <row r="40817" spans="119:119" x14ac:dyDescent="0.2">
      <c r="DO40817" s="303" t="s">
        <v>232</v>
      </c>
    </row>
    <row r="40818" spans="119:119" x14ac:dyDescent="0.2">
      <c r="DO40818" s="303" t="s">
        <v>232</v>
      </c>
    </row>
    <row r="40819" spans="119:119" x14ac:dyDescent="0.2">
      <c r="DO40819" s="303" t="s">
        <v>232</v>
      </c>
    </row>
    <row r="40820" spans="119:119" x14ac:dyDescent="0.2">
      <c r="DO40820" s="303" t="s">
        <v>232</v>
      </c>
    </row>
    <row r="40821" spans="119:119" x14ac:dyDescent="0.2">
      <c r="DO40821" s="303" t="s">
        <v>232</v>
      </c>
    </row>
    <row r="40822" spans="119:119" x14ac:dyDescent="0.2">
      <c r="DO40822" s="303" t="s">
        <v>232</v>
      </c>
    </row>
    <row r="40823" spans="119:119" x14ac:dyDescent="0.2">
      <c r="DO40823" s="303" t="s">
        <v>232</v>
      </c>
    </row>
    <row r="40824" spans="119:119" x14ac:dyDescent="0.2">
      <c r="DO40824" s="303" t="s">
        <v>232</v>
      </c>
    </row>
    <row r="40825" spans="119:119" x14ac:dyDescent="0.2">
      <c r="DO40825" s="303" t="s">
        <v>232</v>
      </c>
    </row>
    <row r="40826" spans="119:119" x14ac:dyDescent="0.2">
      <c r="DO40826" s="303" t="s">
        <v>232</v>
      </c>
    </row>
    <row r="40827" spans="119:119" x14ac:dyDescent="0.2">
      <c r="DO40827" s="303" t="s">
        <v>232</v>
      </c>
    </row>
    <row r="40828" spans="119:119" x14ac:dyDescent="0.2">
      <c r="DO40828" s="303" t="s">
        <v>232</v>
      </c>
    </row>
    <row r="40829" spans="119:119" x14ac:dyDescent="0.2">
      <c r="DO40829" s="303" t="s">
        <v>232</v>
      </c>
    </row>
    <row r="40830" spans="119:119" x14ac:dyDescent="0.2">
      <c r="DO40830" s="303" t="s">
        <v>232</v>
      </c>
    </row>
    <row r="40831" spans="119:119" x14ac:dyDescent="0.2">
      <c r="DO40831" s="303" t="s">
        <v>232</v>
      </c>
    </row>
    <row r="40832" spans="119:119" x14ac:dyDescent="0.2">
      <c r="DO40832" s="303" t="s">
        <v>232</v>
      </c>
    </row>
    <row r="40833" spans="119:119" x14ac:dyDescent="0.2">
      <c r="DO40833" s="303" t="s">
        <v>232</v>
      </c>
    </row>
    <row r="40834" spans="119:119" x14ac:dyDescent="0.2">
      <c r="DO40834" s="303" t="s">
        <v>232</v>
      </c>
    </row>
    <row r="40835" spans="119:119" x14ac:dyDescent="0.2">
      <c r="DO40835" s="303" t="s">
        <v>232</v>
      </c>
    </row>
    <row r="40836" spans="119:119" x14ac:dyDescent="0.2">
      <c r="DO40836" s="303" t="s">
        <v>232</v>
      </c>
    </row>
    <row r="40837" spans="119:119" x14ac:dyDescent="0.2">
      <c r="DO40837" s="303" t="s">
        <v>232</v>
      </c>
    </row>
    <row r="40838" spans="119:119" x14ac:dyDescent="0.2">
      <c r="DO40838" s="303" t="s">
        <v>232</v>
      </c>
    </row>
    <row r="40839" spans="119:119" x14ac:dyDescent="0.2">
      <c r="DO40839" s="303" t="s">
        <v>232</v>
      </c>
    </row>
    <row r="40840" spans="119:119" x14ac:dyDescent="0.2">
      <c r="DO40840" s="303" t="s">
        <v>232</v>
      </c>
    </row>
    <row r="40841" spans="119:119" x14ac:dyDescent="0.2">
      <c r="DO40841" s="303" t="s">
        <v>232</v>
      </c>
    </row>
    <row r="40842" spans="119:119" x14ac:dyDescent="0.2">
      <c r="DO40842" s="303" t="s">
        <v>232</v>
      </c>
    </row>
    <row r="40843" spans="119:119" x14ac:dyDescent="0.2">
      <c r="DO40843" s="303" t="s">
        <v>232</v>
      </c>
    </row>
    <row r="40844" spans="119:119" x14ac:dyDescent="0.2">
      <c r="DO40844" s="303" t="s">
        <v>232</v>
      </c>
    </row>
    <row r="40845" spans="119:119" x14ac:dyDescent="0.2">
      <c r="DO40845" s="303" t="s">
        <v>232</v>
      </c>
    </row>
    <row r="40846" spans="119:119" x14ac:dyDescent="0.2">
      <c r="DO40846" s="303" t="s">
        <v>232</v>
      </c>
    </row>
    <row r="40847" spans="119:119" x14ac:dyDescent="0.2">
      <c r="DO40847" s="303" t="s">
        <v>232</v>
      </c>
    </row>
    <row r="40848" spans="119:119" x14ac:dyDescent="0.2">
      <c r="DO40848" s="303" t="s">
        <v>232</v>
      </c>
    </row>
    <row r="40849" spans="119:119" x14ac:dyDescent="0.2">
      <c r="DO40849" s="303" t="s">
        <v>232</v>
      </c>
    </row>
    <row r="40850" spans="119:119" x14ac:dyDescent="0.2">
      <c r="DO40850" s="303" t="s">
        <v>232</v>
      </c>
    </row>
    <row r="40851" spans="119:119" x14ac:dyDescent="0.2">
      <c r="DO40851" s="303" t="s">
        <v>232</v>
      </c>
    </row>
    <row r="40852" spans="119:119" x14ac:dyDescent="0.2">
      <c r="DO40852" s="303" t="s">
        <v>232</v>
      </c>
    </row>
    <row r="40853" spans="119:119" x14ac:dyDescent="0.2">
      <c r="DO40853" s="303" t="s">
        <v>232</v>
      </c>
    </row>
    <row r="40854" spans="119:119" x14ac:dyDescent="0.2">
      <c r="DO40854" s="303" t="s">
        <v>232</v>
      </c>
    </row>
    <row r="40855" spans="119:119" x14ac:dyDescent="0.2">
      <c r="DO40855" s="303" t="s">
        <v>232</v>
      </c>
    </row>
    <row r="40856" spans="119:119" x14ac:dyDescent="0.2">
      <c r="DO40856" s="303" t="s">
        <v>232</v>
      </c>
    </row>
    <row r="40857" spans="119:119" x14ac:dyDescent="0.2">
      <c r="DO40857" s="303" t="s">
        <v>232</v>
      </c>
    </row>
    <row r="40858" spans="119:119" x14ac:dyDescent="0.2">
      <c r="DO40858" s="303" t="s">
        <v>232</v>
      </c>
    </row>
    <row r="40859" spans="119:119" x14ac:dyDescent="0.2">
      <c r="DO40859" s="303" t="s">
        <v>232</v>
      </c>
    </row>
    <row r="40860" spans="119:119" x14ac:dyDescent="0.2">
      <c r="DO40860" s="303" t="s">
        <v>232</v>
      </c>
    </row>
    <row r="40861" spans="119:119" x14ac:dyDescent="0.2">
      <c r="DO40861" s="303" t="s">
        <v>232</v>
      </c>
    </row>
    <row r="40862" spans="119:119" x14ac:dyDescent="0.2">
      <c r="DO40862" s="303" t="s">
        <v>232</v>
      </c>
    </row>
    <row r="40863" spans="119:119" x14ac:dyDescent="0.2">
      <c r="DO40863" s="303" t="s">
        <v>232</v>
      </c>
    </row>
    <row r="40864" spans="119:119" x14ac:dyDescent="0.2">
      <c r="DO40864" s="303" t="s">
        <v>232</v>
      </c>
    </row>
    <row r="40865" spans="119:119" x14ac:dyDescent="0.2">
      <c r="DO40865" s="303" t="s">
        <v>232</v>
      </c>
    </row>
    <row r="40866" spans="119:119" x14ac:dyDescent="0.2">
      <c r="DO40866" s="303" t="s">
        <v>232</v>
      </c>
    </row>
    <row r="40867" spans="119:119" x14ac:dyDescent="0.2">
      <c r="DO40867" s="303" t="s">
        <v>232</v>
      </c>
    </row>
    <row r="40868" spans="119:119" x14ac:dyDescent="0.2">
      <c r="DO40868" s="303" t="s">
        <v>232</v>
      </c>
    </row>
    <row r="40869" spans="119:119" x14ac:dyDescent="0.2">
      <c r="DO40869" s="303" t="s">
        <v>232</v>
      </c>
    </row>
    <row r="40870" spans="119:119" x14ac:dyDescent="0.2">
      <c r="DO40870" s="303" t="s">
        <v>232</v>
      </c>
    </row>
    <row r="40871" spans="119:119" x14ac:dyDescent="0.2">
      <c r="DO40871" s="303" t="s">
        <v>232</v>
      </c>
    </row>
    <row r="40872" spans="119:119" x14ac:dyDescent="0.2">
      <c r="DO40872" s="303" t="s">
        <v>232</v>
      </c>
    </row>
    <row r="40873" spans="119:119" x14ac:dyDescent="0.2">
      <c r="DO40873" s="303" t="s">
        <v>232</v>
      </c>
    </row>
    <row r="40874" spans="119:119" x14ac:dyDescent="0.2">
      <c r="DO40874" s="303" t="s">
        <v>232</v>
      </c>
    </row>
    <row r="40875" spans="119:119" x14ac:dyDescent="0.2">
      <c r="DO40875" s="303" t="s">
        <v>232</v>
      </c>
    </row>
    <row r="40876" spans="119:119" x14ac:dyDescent="0.2">
      <c r="DO40876" s="303" t="s">
        <v>232</v>
      </c>
    </row>
    <row r="40877" spans="119:119" x14ac:dyDescent="0.2">
      <c r="DO40877" s="303" t="s">
        <v>232</v>
      </c>
    </row>
    <row r="40878" spans="119:119" x14ac:dyDescent="0.2">
      <c r="DO40878" s="303" t="s">
        <v>232</v>
      </c>
    </row>
    <row r="40879" spans="119:119" x14ac:dyDescent="0.2">
      <c r="DO40879" s="303" t="s">
        <v>232</v>
      </c>
    </row>
    <row r="40880" spans="119:119" x14ac:dyDescent="0.2">
      <c r="DO40880" s="303" t="s">
        <v>232</v>
      </c>
    </row>
    <row r="40881" spans="119:119" x14ac:dyDescent="0.2">
      <c r="DO40881" s="303" t="s">
        <v>232</v>
      </c>
    </row>
    <row r="40882" spans="119:119" x14ac:dyDescent="0.2">
      <c r="DO40882" s="303" t="s">
        <v>232</v>
      </c>
    </row>
    <row r="40883" spans="119:119" x14ac:dyDescent="0.2">
      <c r="DO40883" s="303" t="s">
        <v>232</v>
      </c>
    </row>
    <row r="40884" spans="119:119" x14ac:dyDescent="0.2">
      <c r="DO40884" s="303" t="s">
        <v>232</v>
      </c>
    </row>
    <row r="40885" spans="119:119" x14ac:dyDescent="0.2">
      <c r="DO40885" s="303" t="s">
        <v>232</v>
      </c>
    </row>
    <row r="40886" spans="119:119" x14ac:dyDescent="0.2">
      <c r="DO40886" s="303" t="s">
        <v>232</v>
      </c>
    </row>
    <row r="40887" spans="119:119" x14ac:dyDescent="0.2">
      <c r="DO40887" s="303" t="s">
        <v>232</v>
      </c>
    </row>
    <row r="40888" spans="119:119" x14ac:dyDescent="0.2">
      <c r="DO40888" s="303" t="s">
        <v>232</v>
      </c>
    </row>
    <row r="40889" spans="119:119" x14ac:dyDescent="0.2">
      <c r="DO40889" s="303" t="s">
        <v>232</v>
      </c>
    </row>
    <row r="40890" spans="119:119" x14ac:dyDescent="0.2">
      <c r="DO40890" s="303" t="s">
        <v>232</v>
      </c>
    </row>
    <row r="40891" spans="119:119" x14ac:dyDescent="0.2">
      <c r="DO40891" s="303" t="s">
        <v>232</v>
      </c>
    </row>
    <row r="40892" spans="119:119" x14ac:dyDescent="0.2">
      <c r="DO40892" s="303" t="s">
        <v>232</v>
      </c>
    </row>
    <row r="40893" spans="119:119" x14ac:dyDescent="0.2">
      <c r="DO40893" s="303" t="s">
        <v>232</v>
      </c>
    </row>
    <row r="40894" spans="119:119" x14ac:dyDescent="0.2">
      <c r="DO40894" s="303" t="s">
        <v>232</v>
      </c>
    </row>
    <row r="40895" spans="119:119" x14ac:dyDescent="0.2">
      <c r="DO40895" s="303" t="s">
        <v>232</v>
      </c>
    </row>
    <row r="40896" spans="119:119" x14ac:dyDescent="0.2">
      <c r="DO40896" s="303" t="s">
        <v>232</v>
      </c>
    </row>
    <row r="40897" spans="119:119" x14ac:dyDescent="0.2">
      <c r="DO40897" s="303" t="s">
        <v>232</v>
      </c>
    </row>
    <row r="40898" spans="119:119" x14ac:dyDescent="0.2">
      <c r="DO40898" s="303" t="s">
        <v>232</v>
      </c>
    </row>
    <row r="40899" spans="119:119" x14ac:dyDescent="0.2">
      <c r="DO40899" s="303" t="s">
        <v>232</v>
      </c>
    </row>
    <row r="40900" spans="119:119" x14ac:dyDescent="0.2">
      <c r="DO40900" s="303" t="s">
        <v>232</v>
      </c>
    </row>
    <row r="40901" spans="119:119" x14ac:dyDescent="0.2">
      <c r="DO40901" s="303" t="s">
        <v>232</v>
      </c>
    </row>
    <row r="40902" spans="119:119" x14ac:dyDescent="0.2">
      <c r="DO40902" s="303" t="s">
        <v>232</v>
      </c>
    </row>
    <row r="40903" spans="119:119" x14ac:dyDescent="0.2">
      <c r="DO40903" s="303" t="s">
        <v>232</v>
      </c>
    </row>
    <row r="40904" spans="119:119" x14ac:dyDescent="0.2">
      <c r="DO40904" s="303" t="s">
        <v>232</v>
      </c>
    </row>
    <row r="40905" spans="119:119" x14ac:dyDescent="0.2">
      <c r="DO40905" s="303" t="s">
        <v>232</v>
      </c>
    </row>
    <row r="40906" spans="119:119" x14ac:dyDescent="0.2">
      <c r="DO40906" s="303" t="s">
        <v>232</v>
      </c>
    </row>
    <row r="40907" spans="119:119" x14ac:dyDescent="0.2">
      <c r="DO40907" s="303" t="s">
        <v>232</v>
      </c>
    </row>
    <row r="40908" spans="119:119" x14ac:dyDescent="0.2">
      <c r="DO40908" s="303" t="s">
        <v>232</v>
      </c>
    </row>
    <row r="40909" spans="119:119" x14ac:dyDescent="0.2">
      <c r="DO40909" s="303" t="s">
        <v>232</v>
      </c>
    </row>
    <row r="40910" spans="119:119" x14ac:dyDescent="0.2">
      <c r="DO40910" s="303" t="s">
        <v>232</v>
      </c>
    </row>
    <row r="40911" spans="119:119" x14ac:dyDescent="0.2">
      <c r="DO40911" s="303" t="s">
        <v>232</v>
      </c>
    </row>
    <row r="40912" spans="119:119" x14ac:dyDescent="0.2">
      <c r="DO40912" s="303" t="s">
        <v>232</v>
      </c>
    </row>
    <row r="40913" spans="119:119" x14ac:dyDescent="0.2">
      <c r="DO40913" s="303" t="s">
        <v>232</v>
      </c>
    </row>
    <row r="40914" spans="119:119" x14ac:dyDescent="0.2">
      <c r="DO40914" s="303" t="s">
        <v>232</v>
      </c>
    </row>
    <row r="40915" spans="119:119" x14ac:dyDescent="0.2">
      <c r="DO40915" s="303" t="s">
        <v>232</v>
      </c>
    </row>
    <row r="40916" spans="119:119" x14ac:dyDescent="0.2">
      <c r="DO40916" s="303" t="s">
        <v>232</v>
      </c>
    </row>
    <row r="40917" spans="119:119" x14ac:dyDescent="0.2">
      <c r="DO40917" s="303" t="s">
        <v>232</v>
      </c>
    </row>
    <row r="40918" spans="119:119" x14ac:dyDescent="0.2">
      <c r="DO40918" s="303" t="s">
        <v>232</v>
      </c>
    </row>
    <row r="40919" spans="119:119" x14ac:dyDescent="0.2">
      <c r="DO40919" s="303" t="s">
        <v>232</v>
      </c>
    </row>
    <row r="40920" spans="119:119" x14ac:dyDescent="0.2">
      <c r="DO40920" s="303" t="s">
        <v>232</v>
      </c>
    </row>
    <row r="40921" spans="119:119" x14ac:dyDescent="0.2">
      <c r="DO40921" s="303" t="s">
        <v>232</v>
      </c>
    </row>
    <row r="40922" spans="119:119" x14ac:dyDescent="0.2">
      <c r="DO40922" s="303" t="s">
        <v>232</v>
      </c>
    </row>
    <row r="40923" spans="119:119" x14ac:dyDescent="0.2">
      <c r="DO40923" s="303" t="s">
        <v>232</v>
      </c>
    </row>
    <row r="40924" spans="119:119" x14ac:dyDescent="0.2">
      <c r="DO40924" s="303" t="s">
        <v>232</v>
      </c>
    </row>
    <row r="40925" spans="119:119" x14ac:dyDescent="0.2">
      <c r="DO40925" s="303" t="s">
        <v>232</v>
      </c>
    </row>
    <row r="40926" spans="119:119" x14ac:dyDescent="0.2">
      <c r="DO40926" s="303" t="s">
        <v>232</v>
      </c>
    </row>
    <row r="40927" spans="119:119" x14ac:dyDescent="0.2">
      <c r="DO40927" s="303" t="s">
        <v>232</v>
      </c>
    </row>
    <row r="40928" spans="119:119" x14ac:dyDescent="0.2">
      <c r="DO40928" s="303" t="s">
        <v>232</v>
      </c>
    </row>
    <row r="40929" spans="119:119" x14ac:dyDescent="0.2">
      <c r="DO40929" s="303" t="s">
        <v>232</v>
      </c>
    </row>
    <row r="40930" spans="119:119" x14ac:dyDescent="0.2">
      <c r="DO40930" s="303" t="s">
        <v>232</v>
      </c>
    </row>
    <row r="40931" spans="119:119" x14ac:dyDescent="0.2">
      <c r="DO40931" s="303" t="s">
        <v>232</v>
      </c>
    </row>
    <row r="40932" spans="119:119" x14ac:dyDescent="0.2">
      <c r="DO40932" s="303" t="s">
        <v>232</v>
      </c>
    </row>
    <row r="40933" spans="119:119" x14ac:dyDescent="0.2">
      <c r="DO40933" s="303" t="s">
        <v>232</v>
      </c>
    </row>
    <row r="40934" spans="119:119" x14ac:dyDescent="0.2">
      <c r="DO40934" s="303" t="s">
        <v>232</v>
      </c>
    </row>
    <row r="40935" spans="119:119" x14ac:dyDescent="0.2">
      <c r="DO40935" s="303" t="s">
        <v>232</v>
      </c>
    </row>
    <row r="40936" spans="119:119" x14ac:dyDescent="0.2">
      <c r="DO40936" s="303" t="s">
        <v>232</v>
      </c>
    </row>
    <row r="40937" spans="119:119" x14ac:dyDescent="0.2">
      <c r="DO40937" s="303" t="s">
        <v>232</v>
      </c>
    </row>
    <row r="40938" spans="119:119" x14ac:dyDescent="0.2">
      <c r="DO40938" s="303" t="s">
        <v>232</v>
      </c>
    </row>
    <row r="40939" spans="119:119" x14ac:dyDescent="0.2">
      <c r="DO40939" s="303" t="s">
        <v>232</v>
      </c>
    </row>
    <row r="40940" spans="119:119" x14ac:dyDescent="0.2">
      <c r="DO40940" s="303" t="s">
        <v>232</v>
      </c>
    </row>
    <row r="40941" spans="119:119" x14ac:dyDescent="0.2">
      <c r="DO40941" s="303" t="s">
        <v>232</v>
      </c>
    </row>
    <row r="40942" spans="119:119" x14ac:dyDescent="0.2">
      <c r="DO40942" s="303" t="s">
        <v>232</v>
      </c>
    </row>
    <row r="40943" spans="119:119" x14ac:dyDescent="0.2">
      <c r="DO40943" s="303" t="s">
        <v>232</v>
      </c>
    </row>
    <row r="40944" spans="119:119" x14ac:dyDescent="0.2">
      <c r="DO40944" s="303" t="s">
        <v>232</v>
      </c>
    </row>
    <row r="40945" spans="119:119" x14ac:dyDescent="0.2">
      <c r="DO40945" s="303" t="s">
        <v>232</v>
      </c>
    </row>
    <row r="40946" spans="119:119" x14ac:dyDescent="0.2">
      <c r="DO40946" s="303" t="s">
        <v>232</v>
      </c>
    </row>
    <row r="40947" spans="119:119" x14ac:dyDescent="0.2">
      <c r="DO40947" s="303" t="s">
        <v>232</v>
      </c>
    </row>
    <row r="40948" spans="119:119" x14ac:dyDescent="0.2">
      <c r="DO40948" s="303" t="s">
        <v>232</v>
      </c>
    </row>
    <row r="40949" spans="119:119" x14ac:dyDescent="0.2">
      <c r="DO40949" s="303" t="s">
        <v>232</v>
      </c>
    </row>
    <row r="40950" spans="119:119" x14ac:dyDescent="0.2">
      <c r="DO40950" s="303" t="s">
        <v>232</v>
      </c>
    </row>
    <row r="40951" spans="119:119" x14ac:dyDescent="0.2">
      <c r="DO40951" s="303" t="s">
        <v>232</v>
      </c>
    </row>
    <row r="40952" spans="119:119" x14ac:dyDescent="0.2">
      <c r="DO40952" s="303" t="s">
        <v>232</v>
      </c>
    </row>
    <row r="40953" spans="119:119" x14ac:dyDescent="0.2">
      <c r="DO40953" s="303" t="s">
        <v>232</v>
      </c>
    </row>
    <row r="40954" spans="119:119" x14ac:dyDescent="0.2">
      <c r="DO40954" s="303" t="s">
        <v>232</v>
      </c>
    </row>
    <row r="40955" spans="119:119" x14ac:dyDescent="0.2">
      <c r="DO40955" s="303" t="s">
        <v>232</v>
      </c>
    </row>
    <row r="40956" spans="119:119" x14ac:dyDescent="0.2">
      <c r="DO40956" s="303" t="s">
        <v>232</v>
      </c>
    </row>
    <row r="40957" spans="119:119" x14ac:dyDescent="0.2">
      <c r="DO40957" s="303" t="s">
        <v>232</v>
      </c>
    </row>
    <row r="40958" spans="119:119" x14ac:dyDescent="0.2">
      <c r="DO40958" s="303" t="s">
        <v>232</v>
      </c>
    </row>
    <row r="40959" spans="119:119" x14ac:dyDescent="0.2">
      <c r="DO40959" s="303" t="s">
        <v>232</v>
      </c>
    </row>
    <row r="40960" spans="119:119" x14ac:dyDescent="0.2">
      <c r="DO40960" s="303" t="s">
        <v>232</v>
      </c>
    </row>
    <row r="40961" spans="119:119" x14ac:dyDescent="0.2">
      <c r="DO40961" s="303" t="s">
        <v>232</v>
      </c>
    </row>
    <row r="40962" spans="119:119" x14ac:dyDescent="0.2">
      <c r="DO40962" s="303" t="s">
        <v>232</v>
      </c>
    </row>
    <row r="40963" spans="119:119" x14ac:dyDescent="0.2">
      <c r="DO40963" s="303" t="s">
        <v>232</v>
      </c>
    </row>
    <row r="40964" spans="119:119" x14ac:dyDescent="0.2">
      <c r="DO40964" s="303" t="s">
        <v>232</v>
      </c>
    </row>
    <row r="40965" spans="119:119" x14ac:dyDescent="0.2">
      <c r="DO40965" s="303" t="s">
        <v>232</v>
      </c>
    </row>
    <row r="40966" spans="119:119" x14ac:dyDescent="0.2">
      <c r="DO40966" s="303" t="s">
        <v>232</v>
      </c>
    </row>
    <row r="40967" spans="119:119" x14ac:dyDescent="0.2">
      <c r="DO40967" s="303" t="s">
        <v>232</v>
      </c>
    </row>
    <row r="40968" spans="119:119" x14ac:dyDescent="0.2">
      <c r="DO40968" s="303" t="s">
        <v>232</v>
      </c>
    </row>
    <row r="40969" spans="119:119" x14ac:dyDescent="0.2">
      <c r="DO40969" s="303" t="s">
        <v>232</v>
      </c>
    </row>
    <row r="40970" spans="119:119" x14ac:dyDescent="0.2">
      <c r="DO40970" s="303" t="s">
        <v>232</v>
      </c>
    </row>
    <row r="40971" spans="119:119" x14ac:dyDescent="0.2">
      <c r="DO40971" s="303" t="s">
        <v>232</v>
      </c>
    </row>
    <row r="40972" spans="119:119" x14ac:dyDescent="0.2">
      <c r="DO40972" s="303" t="s">
        <v>232</v>
      </c>
    </row>
    <row r="40973" spans="119:119" x14ac:dyDescent="0.2">
      <c r="DO40973" s="303" t="s">
        <v>232</v>
      </c>
    </row>
    <row r="40974" spans="119:119" x14ac:dyDescent="0.2">
      <c r="DO40974" s="303" t="s">
        <v>232</v>
      </c>
    </row>
    <row r="40975" spans="119:119" x14ac:dyDescent="0.2">
      <c r="DO40975" s="303" t="s">
        <v>232</v>
      </c>
    </row>
    <row r="40976" spans="119:119" x14ac:dyDescent="0.2">
      <c r="DO40976" s="303" t="s">
        <v>232</v>
      </c>
    </row>
    <row r="40977" spans="119:119" x14ac:dyDescent="0.2">
      <c r="DO40977" s="303" t="s">
        <v>232</v>
      </c>
    </row>
    <row r="40978" spans="119:119" x14ac:dyDescent="0.2">
      <c r="DO40978" s="303" t="s">
        <v>232</v>
      </c>
    </row>
    <row r="40979" spans="119:119" x14ac:dyDescent="0.2">
      <c r="DO40979" s="303" t="s">
        <v>232</v>
      </c>
    </row>
    <row r="40980" spans="119:119" x14ac:dyDescent="0.2">
      <c r="DO40980" s="303" t="s">
        <v>232</v>
      </c>
    </row>
    <row r="40981" spans="119:119" x14ac:dyDescent="0.2">
      <c r="DO40981" s="303" t="s">
        <v>232</v>
      </c>
    </row>
    <row r="40982" spans="119:119" x14ac:dyDescent="0.2">
      <c r="DO40982" s="303" t="s">
        <v>232</v>
      </c>
    </row>
    <row r="40983" spans="119:119" x14ac:dyDescent="0.2">
      <c r="DO40983" s="303" t="s">
        <v>232</v>
      </c>
    </row>
    <row r="40984" spans="119:119" x14ac:dyDescent="0.2">
      <c r="DO40984" s="303" t="s">
        <v>232</v>
      </c>
    </row>
    <row r="40985" spans="119:119" x14ac:dyDescent="0.2">
      <c r="DO40985" s="303" t="s">
        <v>232</v>
      </c>
    </row>
    <row r="40986" spans="119:119" x14ac:dyDescent="0.2">
      <c r="DO40986" s="303" t="s">
        <v>232</v>
      </c>
    </row>
    <row r="40987" spans="119:119" x14ac:dyDescent="0.2">
      <c r="DO40987" s="303" t="s">
        <v>232</v>
      </c>
    </row>
    <row r="40988" spans="119:119" x14ac:dyDescent="0.2">
      <c r="DO40988" s="303" t="s">
        <v>232</v>
      </c>
    </row>
    <row r="40989" spans="119:119" x14ac:dyDescent="0.2">
      <c r="DO40989" s="303" t="s">
        <v>232</v>
      </c>
    </row>
    <row r="40990" spans="119:119" x14ac:dyDescent="0.2">
      <c r="DO40990" s="303" t="s">
        <v>232</v>
      </c>
    </row>
    <row r="40991" spans="119:119" x14ac:dyDescent="0.2">
      <c r="DO40991" s="303" t="s">
        <v>232</v>
      </c>
    </row>
    <row r="40992" spans="119:119" x14ac:dyDescent="0.2">
      <c r="DO40992" s="303" t="s">
        <v>232</v>
      </c>
    </row>
    <row r="40993" spans="119:119" x14ac:dyDescent="0.2">
      <c r="DO40993" s="303" t="s">
        <v>232</v>
      </c>
    </row>
    <row r="40994" spans="119:119" x14ac:dyDescent="0.2">
      <c r="DO40994" s="303" t="s">
        <v>232</v>
      </c>
    </row>
    <row r="40995" spans="119:119" x14ac:dyDescent="0.2">
      <c r="DO40995" s="303" t="s">
        <v>232</v>
      </c>
    </row>
    <row r="40996" spans="119:119" x14ac:dyDescent="0.2">
      <c r="DO40996" s="303" t="s">
        <v>232</v>
      </c>
    </row>
    <row r="40997" spans="119:119" x14ac:dyDescent="0.2">
      <c r="DO40997" s="303" t="s">
        <v>232</v>
      </c>
    </row>
    <row r="40998" spans="119:119" x14ac:dyDescent="0.2">
      <c r="DO40998" s="303" t="s">
        <v>232</v>
      </c>
    </row>
    <row r="40999" spans="119:119" x14ac:dyDescent="0.2">
      <c r="DO40999" s="303" t="s">
        <v>232</v>
      </c>
    </row>
    <row r="41000" spans="119:119" x14ac:dyDescent="0.2">
      <c r="DO41000" s="303" t="s">
        <v>232</v>
      </c>
    </row>
    <row r="41001" spans="119:119" x14ac:dyDescent="0.2">
      <c r="DO41001" s="303" t="s">
        <v>232</v>
      </c>
    </row>
    <row r="41002" spans="119:119" x14ac:dyDescent="0.2">
      <c r="DO41002" s="303" t="s">
        <v>232</v>
      </c>
    </row>
    <row r="41003" spans="119:119" x14ac:dyDescent="0.2">
      <c r="DO41003" s="303" t="s">
        <v>232</v>
      </c>
    </row>
    <row r="41004" spans="119:119" x14ac:dyDescent="0.2">
      <c r="DO41004" s="303" t="s">
        <v>232</v>
      </c>
    </row>
    <row r="41005" spans="119:119" x14ac:dyDescent="0.2">
      <c r="DO41005" s="303" t="s">
        <v>232</v>
      </c>
    </row>
    <row r="41006" spans="119:119" x14ac:dyDescent="0.2">
      <c r="DO41006" s="303" t="s">
        <v>232</v>
      </c>
    </row>
    <row r="41007" spans="119:119" x14ac:dyDescent="0.2">
      <c r="DO41007" s="303" t="s">
        <v>232</v>
      </c>
    </row>
    <row r="41008" spans="119:119" x14ac:dyDescent="0.2">
      <c r="DO41008" s="303" t="s">
        <v>232</v>
      </c>
    </row>
    <row r="41009" spans="119:119" x14ac:dyDescent="0.2">
      <c r="DO41009" s="303" t="s">
        <v>232</v>
      </c>
    </row>
    <row r="41010" spans="119:119" x14ac:dyDescent="0.2">
      <c r="DO41010" s="303" t="s">
        <v>232</v>
      </c>
    </row>
    <row r="41011" spans="119:119" x14ac:dyDescent="0.2">
      <c r="DO41011" s="303" t="s">
        <v>232</v>
      </c>
    </row>
    <row r="41012" spans="119:119" x14ac:dyDescent="0.2">
      <c r="DO41012" s="303" t="s">
        <v>232</v>
      </c>
    </row>
    <row r="41013" spans="119:119" x14ac:dyDescent="0.2">
      <c r="DO41013" s="303" t="s">
        <v>232</v>
      </c>
    </row>
    <row r="41014" spans="119:119" x14ac:dyDescent="0.2">
      <c r="DO41014" s="303" t="s">
        <v>232</v>
      </c>
    </row>
    <row r="41015" spans="119:119" x14ac:dyDescent="0.2">
      <c r="DO41015" s="303" t="s">
        <v>232</v>
      </c>
    </row>
    <row r="41016" spans="119:119" x14ac:dyDescent="0.2">
      <c r="DO41016" s="303" t="s">
        <v>232</v>
      </c>
    </row>
    <row r="41017" spans="119:119" x14ac:dyDescent="0.2">
      <c r="DO41017" s="303" t="s">
        <v>232</v>
      </c>
    </row>
    <row r="41018" spans="119:119" x14ac:dyDescent="0.2">
      <c r="DO41018" s="303" t="s">
        <v>232</v>
      </c>
    </row>
    <row r="41019" spans="119:119" x14ac:dyDescent="0.2">
      <c r="DO41019" s="303" t="s">
        <v>232</v>
      </c>
    </row>
    <row r="41020" spans="119:119" x14ac:dyDescent="0.2">
      <c r="DO41020" s="303" t="s">
        <v>232</v>
      </c>
    </row>
    <row r="41021" spans="119:119" x14ac:dyDescent="0.2">
      <c r="DO41021" s="303" t="s">
        <v>232</v>
      </c>
    </row>
    <row r="41022" spans="119:119" x14ac:dyDescent="0.2">
      <c r="DO41022" s="303" t="s">
        <v>232</v>
      </c>
    </row>
    <row r="41023" spans="119:119" x14ac:dyDescent="0.2">
      <c r="DO41023" s="303" t="s">
        <v>232</v>
      </c>
    </row>
    <row r="41024" spans="119:119" x14ac:dyDescent="0.2">
      <c r="DO41024" s="303" t="s">
        <v>232</v>
      </c>
    </row>
    <row r="41025" spans="119:119" x14ac:dyDescent="0.2">
      <c r="DO41025" s="303" t="s">
        <v>232</v>
      </c>
    </row>
    <row r="41026" spans="119:119" x14ac:dyDescent="0.2">
      <c r="DO41026" s="303" t="s">
        <v>232</v>
      </c>
    </row>
    <row r="41027" spans="119:119" x14ac:dyDescent="0.2">
      <c r="DO41027" s="303" t="s">
        <v>232</v>
      </c>
    </row>
    <row r="41028" spans="119:119" x14ac:dyDescent="0.2">
      <c r="DO41028" s="303" t="s">
        <v>232</v>
      </c>
    </row>
    <row r="41029" spans="119:119" x14ac:dyDescent="0.2">
      <c r="DO41029" s="303" t="s">
        <v>232</v>
      </c>
    </row>
    <row r="41030" spans="119:119" x14ac:dyDescent="0.2">
      <c r="DO41030" s="303" t="s">
        <v>232</v>
      </c>
    </row>
    <row r="41031" spans="119:119" x14ac:dyDescent="0.2">
      <c r="DO41031" s="303" t="s">
        <v>232</v>
      </c>
    </row>
    <row r="41032" spans="119:119" x14ac:dyDescent="0.2">
      <c r="DO41032" s="303" t="s">
        <v>232</v>
      </c>
    </row>
    <row r="41033" spans="119:119" x14ac:dyDescent="0.2">
      <c r="DO41033" s="303" t="s">
        <v>232</v>
      </c>
    </row>
    <row r="41034" spans="119:119" x14ac:dyDescent="0.2">
      <c r="DO41034" s="303" t="s">
        <v>232</v>
      </c>
    </row>
    <row r="41035" spans="119:119" x14ac:dyDescent="0.2">
      <c r="DO41035" s="303" t="s">
        <v>232</v>
      </c>
    </row>
    <row r="41036" spans="119:119" x14ac:dyDescent="0.2">
      <c r="DO41036" s="303" t="s">
        <v>232</v>
      </c>
    </row>
    <row r="41037" spans="119:119" x14ac:dyDescent="0.2">
      <c r="DO41037" s="303" t="s">
        <v>232</v>
      </c>
    </row>
    <row r="41038" spans="119:119" x14ac:dyDescent="0.2">
      <c r="DO41038" s="303" t="s">
        <v>232</v>
      </c>
    </row>
    <row r="41039" spans="119:119" x14ac:dyDescent="0.2">
      <c r="DO41039" s="303" t="s">
        <v>232</v>
      </c>
    </row>
    <row r="41040" spans="119:119" x14ac:dyDescent="0.2">
      <c r="DO41040" s="303" t="s">
        <v>232</v>
      </c>
    </row>
    <row r="41041" spans="119:119" x14ac:dyDescent="0.2">
      <c r="DO41041" s="303" t="s">
        <v>232</v>
      </c>
    </row>
    <row r="41042" spans="119:119" x14ac:dyDescent="0.2">
      <c r="DO41042" s="303" t="s">
        <v>232</v>
      </c>
    </row>
    <row r="41043" spans="119:119" x14ac:dyDescent="0.2">
      <c r="DO41043" s="303" t="s">
        <v>232</v>
      </c>
    </row>
    <row r="41044" spans="119:119" x14ac:dyDescent="0.2">
      <c r="DO41044" s="303" t="s">
        <v>232</v>
      </c>
    </row>
    <row r="41045" spans="119:119" x14ac:dyDescent="0.2">
      <c r="DO41045" s="303" t="s">
        <v>232</v>
      </c>
    </row>
    <row r="41046" spans="119:119" x14ac:dyDescent="0.2">
      <c r="DO41046" s="303" t="s">
        <v>232</v>
      </c>
    </row>
    <row r="41047" spans="119:119" x14ac:dyDescent="0.2">
      <c r="DO41047" s="303" t="s">
        <v>232</v>
      </c>
    </row>
    <row r="41048" spans="119:119" x14ac:dyDescent="0.2">
      <c r="DO41048" s="303" t="s">
        <v>232</v>
      </c>
    </row>
    <row r="41049" spans="119:119" x14ac:dyDescent="0.2">
      <c r="DO41049" s="303" t="s">
        <v>232</v>
      </c>
    </row>
    <row r="41050" spans="119:119" x14ac:dyDescent="0.2">
      <c r="DO41050" s="303" t="s">
        <v>232</v>
      </c>
    </row>
    <row r="41051" spans="119:119" x14ac:dyDescent="0.2">
      <c r="DO41051" s="303" t="s">
        <v>232</v>
      </c>
    </row>
    <row r="41052" spans="119:119" x14ac:dyDescent="0.2">
      <c r="DO41052" s="303" t="s">
        <v>232</v>
      </c>
    </row>
    <row r="41053" spans="119:119" x14ac:dyDescent="0.2">
      <c r="DO41053" s="303" t="s">
        <v>232</v>
      </c>
    </row>
    <row r="41054" spans="119:119" x14ac:dyDescent="0.2">
      <c r="DO41054" s="303" t="s">
        <v>232</v>
      </c>
    </row>
    <row r="41055" spans="119:119" x14ac:dyDescent="0.2">
      <c r="DO41055" s="303" t="s">
        <v>232</v>
      </c>
    </row>
    <row r="41056" spans="119:119" x14ac:dyDescent="0.2">
      <c r="DO41056" s="303" t="s">
        <v>232</v>
      </c>
    </row>
    <row r="41057" spans="119:119" x14ac:dyDescent="0.2">
      <c r="DO41057" s="303" t="s">
        <v>232</v>
      </c>
    </row>
    <row r="41058" spans="119:119" x14ac:dyDescent="0.2">
      <c r="DO41058" s="303" t="s">
        <v>232</v>
      </c>
    </row>
    <row r="41059" spans="119:119" x14ac:dyDescent="0.2">
      <c r="DO41059" s="303" t="s">
        <v>232</v>
      </c>
    </row>
    <row r="41060" spans="119:119" x14ac:dyDescent="0.2">
      <c r="DO41060" s="303" t="s">
        <v>232</v>
      </c>
    </row>
    <row r="41061" spans="119:119" x14ac:dyDescent="0.2">
      <c r="DO41061" s="303" t="s">
        <v>232</v>
      </c>
    </row>
    <row r="41062" spans="119:119" x14ac:dyDescent="0.2">
      <c r="DO41062" s="303" t="s">
        <v>232</v>
      </c>
    </row>
    <row r="41063" spans="119:119" x14ac:dyDescent="0.2">
      <c r="DO41063" s="303" t="s">
        <v>232</v>
      </c>
    </row>
    <row r="41064" spans="119:119" x14ac:dyDescent="0.2">
      <c r="DO41064" s="303" t="s">
        <v>232</v>
      </c>
    </row>
    <row r="41065" spans="119:119" x14ac:dyDescent="0.2">
      <c r="DO41065" s="303" t="s">
        <v>232</v>
      </c>
    </row>
    <row r="41066" spans="119:119" x14ac:dyDescent="0.2">
      <c r="DO41066" s="303" t="s">
        <v>232</v>
      </c>
    </row>
    <row r="41067" spans="119:119" x14ac:dyDescent="0.2">
      <c r="DO41067" s="303" t="s">
        <v>232</v>
      </c>
    </row>
    <row r="41068" spans="119:119" x14ac:dyDescent="0.2">
      <c r="DO41068" s="303" t="s">
        <v>232</v>
      </c>
    </row>
    <row r="41069" spans="119:119" x14ac:dyDescent="0.2">
      <c r="DO41069" s="303" t="s">
        <v>232</v>
      </c>
    </row>
    <row r="41070" spans="119:119" x14ac:dyDescent="0.2">
      <c r="DO41070" s="303" t="s">
        <v>232</v>
      </c>
    </row>
    <row r="41071" spans="119:119" x14ac:dyDescent="0.2">
      <c r="DO41071" s="303" t="s">
        <v>232</v>
      </c>
    </row>
    <row r="41072" spans="119:119" x14ac:dyDescent="0.2">
      <c r="DO41072" s="303" t="s">
        <v>232</v>
      </c>
    </row>
    <row r="41073" spans="119:119" x14ac:dyDescent="0.2">
      <c r="DO41073" s="303" t="s">
        <v>232</v>
      </c>
    </row>
    <row r="41074" spans="119:119" x14ac:dyDescent="0.2">
      <c r="DO41074" s="303" t="s">
        <v>232</v>
      </c>
    </row>
    <row r="41075" spans="119:119" x14ac:dyDescent="0.2">
      <c r="DO41075" s="303" t="s">
        <v>232</v>
      </c>
    </row>
    <row r="41076" spans="119:119" x14ac:dyDescent="0.2">
      <c r="DO41076" s="303" t="s">
        <v>232</v>
      </c>
    </row>
    <row r="41077" spans="119:119" x14ac:dyDescent="0.2">
      <c r="DO41077" s="303" t="s">
        <v>232</v>
      </c>
    </row>
    <row r="41078" spans="119:119" x14ac:dyDescent="0.2">
      <c r="DO41078" s="303" t="s">
        <v>232</v>
      </c>
    </row>
    <row r="41079" spans="119:119" x14ac:dyDescent="0.2">
      <c r="DO41079" s="303" t="s">
        <v>232</v>
      </c>
    </row>
    <row r="41080" spans="119:119" x14ac:dyDescent="0.2">
      <c r="DO41080" s="303" t="s">
        <v>232</v>
      </c>
    </row>
    <row r="41081" spans="119:119" x14ac:dyDescent="0.2">
      <c r="DO41081" s="303" t="s">
        <v>232</v>
      </c>
    </row>
    <row r="41082" spans="119:119" x14ac:dyDescent="0.2">
      <c r="DO41082" s="303" t="s">
        <v>232</v>
      </c>
    </row>
    <row r="41083" spans="119:119" x14ac:dyDescent="0.2">
      <c r="DO41083" s="303" t="s">
        <v>232</v>
      </c>
    </row>
    <row r="41084" spans="119:119" x14ac:dyDescent="0.2">
      <c r="DO41084" s="303" t="s">
        <v>232</v>
      </c>
    </row>
    <row r="41085" spans="119:119" x14ac:dyDescent="0.2">
      <c r="DO41085" s="303" t="s">
        <v>232</v>
      </c>
    </row>
    <row r="41086" spans="119:119" x14ac:dyDescent="0.2">
      <c r="DO41086" s="303" t="s">
        <v>232</v>
      </c>
    </row>
    <row r="41087" spans="119:119" x14ac:dyDescent="0.2">
      <c r="DO41087" s="303" t="s">
        <v>232</v>
      </c>
    </row>
    <row r="41088" spans="119:119" x14ac:dyDescent="0.2">
      <c r="DO41088" s="303" t="s">
        <v>232</v>
      </c>
    </row>
    <row r="41089" spans="119:119" x14ac:dyDescent="0.2">
      <c r="DO41089" s="303" t="s">
        <v>232</v>
      </c>
    </row>
    <row r="41090" spans="119:119" x14ac:dyDescent="0.2">
      <c r="DO41090" s="303" t="s">
        <v>232</v>
      </c>
    </row>
    <row r="41091" spans="119:119" x14ac:dyDescent="0.2">
      <c r="DO41091" s="303" t="s">
        <v>232</v>
      </c>
    </row>
    <row r="41092" spans="119:119" x14ac:dyDescent="0.2">
      <c r="DO41092" s="303" t="s">
        <v>232</v>
      </c>
    </row>
    <row r="41093" spans="119:119" x14ac:dyDescent="0.2">
      <c r="DO41093" s="303" t="s">
        <v>232</v>
      </c>
    </row>
    <row r="41094" spans="119:119" x14ac:dyDescent="0.2">
      <c r="DO41094" s="303" t="s">
        <v>232</v>
      </c>
    </row>
    <row r="41095" spans="119:119" x14ac:dyDescent="0.2">
      <c r="DO41095" s="303" t="s">
        <v>232</v>
      </c>
    </row>
    <row r="41096" spans="119:119" x14ac:dyDescent="0.2">
      <c r="DO41096" s="303" t="s">
        <v>232</v>
      </c>
    </row>
    <row r="41097" spans="119:119" x14ac:dyDescent="0.2">
      <c r="DO41097" s="303" t="s">
        <v>232</v>
      </c>
    </row>
    <row r="41098" spans="119:119" x14ac:dyDescent="0.2">
      <c r="DO41098" s="303" t="s">
        <v>232</v>
      </c>
    </row>
    <row r="41099" spans="119:119" x14ac:dyDescent="0.2">
      <c r="DO41099" s="303" t="s">
        <v>232</v>
      </c>
    </row>
    <row r="41100" spans="119:119" x14ac:dyDescent="0.2">
      <c r="DO41100" s="303" t="s">
        <v>232</v>
      </c>
    </row>
    <row r="41101" spans="119:119" x14ac:dyDescent="0.2">
      <c r="DO41101" s="303" t="s">
        <v>232</v>
      </c>
    </row>
    <row r="41102" spans="119:119" x14ac:dyDescent="0.2">
      <c r="DO41102" s="303" t="s">
        <v>232</v>
      </c>
    </row>
    <row r="41103" spans="119:119" x14ac:dyDescent="0.2">
      <c r="DO41103" s="303" t="s">
        <v>232</v>
      </c>
    </row>
    <row r="41104" spans="119:119" x14ac:dyDescent="0.2">
      <c r="DO41104" s="303" t="s">
        <v>232</v>
      </c>
    </row>
    <row r="41105" spans="119:119" x14ac:dyDescent="0.2">
      <c r="DO41105" s="303" t="s">
        <v>232</v>
      </c>
    </row>
    <row r="41106" spans="119:119" x14ac:dyDescent="0.2">
      <c r="DO41106" s="303" t="s">
        <v>232</v>
      </c>
    </row>
    <row r="41107" spans="119:119" x14ac:dyDescent="0.2">
      <c r="DO41107" s="303" t="s">
        <v>232</v>
      </c>
    </row>
    <row r="41108" spans="119:119" x14ac:dyDescent="0.2">
      <c r="DO41108" s="303" t="s">
        <v>232</v>
      </c>
    </row>
    <row r="41109" spans="119:119" x14ac:dyDescent="0.2">
      <c r="DO41109" s="303" t="s">
        <v>232</v>
      </c>
    </row>
    <row r="41110" spans="119:119" x14ac:dyDescent="0.2">
      <c r="DO41110" s="303" t="s">
        <v>232</v>
      </c>
    </row>
    <row r="41111" spans="119:119" x14ac:dyDescent="0.2">
      <c r="DO41111" s="303" t="s">
        <v>232</v>
      </c>
    </row>
    <row r="41112" spans="119:119" x14ac:dyDescent="0.2">
      <c r="DO41112" s="303" t="s">
        <v>232</v>
      </c>
    </row>
    <row r="41113" spans="119:119" x14ac:dyDescent="0.2">
      <c r="DO41113" s="303" t="s">
        <v>232</v>
      </c>
    </row>
    <row r="41114" spans="119:119" x14ac:dyDescent="0.2">
      <c r="DO41114" s="303" t="s">
        <v>232</v>
      </c>
    </row>
    <row r="41115" spans="119:119" x14ac:dyDescent="0.2">
      <c r="DO41115" s="303" t="s">
        <v>232</v>
      </c>
    </row>
    <row r="41116" spans="119:119" x14ac:dyDescent="0.2">
      <c r="DO41116" s="303" t="s">
        <v>232</v>
      </c>
    </row>
    <row r="41117" spans="119:119" x14ac:dyDescent="0.2">
      <c r="DO41117" s="303" t="s">
        <v>232</v>
      </c>
    </row>
    <row r="41118" spans="119:119" x14ac:dyDescent="0.2">
      <c r="DO41118" s="303" t="s">
        <v>232</v>
      </c>
    </row>
    <row r="41119" spans="119:119" x14ac:dyDescent="0.2">
      <c r="DO41119" s="303" t="s">
        <v>232</v>
      </c>
    </row>
    <row r="41120" spans="119:119" x14ac:dyDescent="0.2">
      <c r="DO41120" s="303" t="s">
        <v>232</v>
      </c>
    </row>
    <row r="41121" spans="119:119" x14ac:dyDescent="0.2">
      <c r="DO41121" s="303" t="s">
        <v>232</v>
      </c>
    </row>
    <row r="41122" spans="119:119" x14ac:dyDescent="0.2">
      <c r="DO41122" s="303" t="s">
        <v>232</v>
      </c>
    </row>
    <row r="41123" spans="119:119" x14ac:dyDescent="0.2">
      <c r="DO41123" s="303" t="s">
        <v>232</v>
      </c>
    </row>
    <row r="41124" spans="119:119" x14ac:dyDescent="0.2">
      <c r="DO41124" s="303" t="s">
        <v>232</v>
      </c>
    </row>
    <row r="41125" spans="119:119" x14ac:dyDescent="0.2">
      <c r="DO41125" s="303" t="s">
        <v>232</v>
      </c>
    </row>
    <row r="41126" spans="119:119" x14ac:dyDescent="0.2">
      <c r="DO41126" s="303" t="s">
        <v>232</v>
      </c>
    </row>
    <row r="41127" spans="119:119" x14ac:dyDescent="0.2">
      <c r="DO41127" s="303" t="s">
        <v>232</v>
      </c>
    </row>
    <row r="41128" spans="119:119" x14ac:dyDescent="0.2">
      <c r="DO41128" s="303" t="s">
        <v>232</v>
      </c>
    </row>
    <row r="41129" spans="119:119" x14ac:dyDescent="0.2">
      <c r="DO41129" s="303" t="s">
        <v>232</v>
      </c>
    </row>
    <row r="41130" spans="119:119" x14ac:dyDescent="0.2">
      <c r="DO41130" s="303" t="s">
        <v>232</v>
      </c>
    </row>
    <row r="41131" spans="119:119" x14ac:dyDescent="0.2">
      <c r="DO41131" s="303" t="s">
        <v>232</v>
      </c>
    </row>
    <row r="41132" spans="119:119" x14ac:dyDescent="0.2">
      <c r="DO41132" s="303" t="s">
        <v>232</v>
      </c>
    </row>
    <row r="41133" spans="119:119" x14ac:dyDescent="0.2">
      <c r="DO41133" s="303" t="s">
        <v>232</v>
      </c>
    </row>
    <row r="41134" spans="119:119" x14ac:dyDescent="0.2">
      <c r="DO41134" s="303" t="s">
        <v>232</v>
      </c>
    </row>
    <row r="41135" spans="119:119" x14ac:dyDescent="0.2">
      <c r="DO41135" s="303" t="s">
        <v>232</v>
      </c>
    </row>
    <row r="41136" spans="119:119" x14ac:dyDescent="0.2">
      <c r="DO41136" s="303" t="s">
        <v>232</v>
      </c>
    </row>
    <row r="41137" spans="119:119" x14ac:dyDescent="0.2">
      <c r="DO41137" s="303" t="s">
        <v>232</v>
      </c>
    </row>
    <row r="41138" spans="119:119" x14ac:dyDescent="0.2">
      <c r="DO41138" s="303" t="s">
        <v>232</v>
      </c>
    </row>
    <row r="41139" spans="119:119" x14ac:dyDescent="0.2">
      <c r="DO41139" s="303" t="s">
        <v>232</v>
      </c>
    </row>
    <row r="41140" spans="119:119" x14ac:dyDescent="0.2">
      <c r="DO41140" s="303" t="s">
        <v>232</v>
      </c>
    </row>
    <row r="41141" spans="119:119" x14ac:dyDescent="0.2">
      <c r="DO41141" s="303" t="s">
        <v>232</v>
      </c>
    </row>
    <row r="41142" spans="119:119" x14ac:dyDescent="0.2">
      <c r="DO41142" s="303" t="s">
        <v>232</v>
      </c>
    </row>
    <row r="41143" spans="119:119" x14ac:dyDescent="0.2">
      <c r="DO41143" s="303" t="s">
        <v>232</v>
      </c>
    </row>
    <row r="41144" spans="119:119" x14ac:dyDescent="0.2">
      <c r="DO41144" s="303" t="s">
        <v>232</v>
      </c>
    </row>
    <row r="41145" spans="119:119" x14ac:dyDescent="0.2">
      <c r="DO41145" s="303" t="s">
        <v>232</v>
      </c>
    </row>
    <row r="41146" spans="119:119" x14ac:dyDescent="0.2">
      <c r="DO41146" s="303" t="s">
        <v>232</v>
      </c>
    </row>
    <row r="41147" spans="119:119" x14ac:dyDescent="0.2">
      <c r="DO41147" s="303" t="s">
        <v>232</v>
      </c>
    </row>
    <row r="41148" spans="119:119" x14ac:dyDescent="0.2">
      <c r="DO41148" s="303" t="s">
        <v>232</v>
      </c>
    </row>
    <row r="41149" spans="119:119" x14ac:dyDescent="0.2">
      <c r="DO41149" s="303" t="s">
        <v>232</v>
      </c>
    </row>
    <row r="41150" spans="119:119" x14ac:dyDescent="0.2">
      <c r="DO41150" s="303" t="s">
        <v>232</v>
      </c>
    </row>
    <row r="41151" spans="119:119" x14ac:dyDescent="0.2">
      <c r="DO41151" s="303" t="s">
        <v>232</v>
      </c>
    </row>
    <row r="41152" spans="119:119" x14ac:dyDescent="0.2">
      <c r="DO41152" s="303" t="s">
        <v>232</v>
      </c>
    </row>
    <row r="41153" spans="119:119" x14ac:dyDescent="0.2">
      <c r="DO41153" s="303" t="s">
        <v>232</v>
      </c>
    </row>
    <row r="41154" spans="119:119" x14ac:dyDescent="0.2">
      <c r="DO41154" s="303" t="s">
        <v>232</v>
      </c>
    </row>
    <row r="41155" spans="119:119" x14ac:dyDescent="0.2">
      <c r="DO41155" s="303" t="s">
        <v>232</v>
      </c>
    </row>
    <row r="41156" spans="119:119" x14ac:dyDescent="0.2">
      <c r="DO41156" s="303" t="s">
        <v>232</v>
      </c>
    </row>
    <row r="41157" spans="119:119" x14ac:dyDescent="0.2">
      <c r="DO41157" s="303" t="s">
        <v>232</v>
      </c>
    </row>
    <row r="41158" spans="119:119" x14ac:dyDescent="0.2">
      <c r="DO41158" s="303" t="s">
        <v>232</v>
      </c>
    </row>
    <row r="41159" spans="119:119" x14ac:dyDescent="0.2">
      <c r="DO41159" s="303" t="s">
        <v>232</v>
      </c>
    </row>
    <row r="41160" spans="119:119" x14ac:dyDescent="0.2">
      <c r="DO41160" s="303" t="s">
        <v>232</v>
      </c>
    </row>
    <row r="41161" spans="119:119" x14ac:dyDescent="0.2">
      <c r="DO41161" s="303" t="s">
        <v>232</v>
      </c>
    </row>
    <row r="41162" spans="119:119" x14ac:dyDescent="0.2">
      <c r="DO41162" s="303" t="s">
        <v>232</v>
      </c>
    </row>
    <row r="41163" spans="119:119" x14ac:dyDescent="0.2">
      <c r="DO41163" s="303" t="s">
        <v>232</v>
      </c>
    </row>
    <row r="41164" spans="119:119" x14ac:dyDescent="0.2">
      <c r="DO41164" s="303" t="s">
        <v>232</v>
      </c>
    </row>
    <row r="41165" spans="119:119" x14ac:dyDescent="0.2">
      <c r="DO41165" s="303" t="s">
        <v>232</v>
      </c>
    </row>
    <row r="41166" spans="119:119" x14ac:dyDescent="0.2">
      <c r="DO41166" s="303" t="s">
        <v>232</v>
      </c>
    </row>
    <row r="41167" spans="119:119" x14ac:dyDescent="0.2">
      <c r="DO41167" s="303" t="s">
        <v>232</v>
      </c>
    </row>
    <row r="41168" spans="119:119" x14ac:dyDescent="0.2">
      <c r="DO41168" s="303" t="s">
        <v>232</v>
      </c>
    </row>
    <row r="41169" spans="119:119" x14ac:dyDescent="0.2">
      <c r="DO41169" s="303" t="s">
        <v>232</v>
      </c>
    </row>
    <row r="41170" spans="119:119" x14ac:dyDescent="0.2">
      <c r="DO41170" s="303" t="s">
        <v>232</v>
      </c>
    </row>
    <row r="41171" spans="119:119" x14ac:dyDescent="0.2">
      <c r="DO41171" s="303" t="s">
        <v>232</v>
      </c>
    </row>
    <row r="41172" spans="119:119" x14ac:dyDescent="0.2">
      <c r="DO41172" s="303" t="s">
        <v>232</v>
      </c>
    </row>
    <row r="41173" spans="119:119" x14ac:dyDescent="0.2">
      <c r="DO41173" s="303" t="s">
        <v>232</v>
      </c>
    </row>
    <row r="41174" spans="119:119" x14ac:dyDescent="0.2">
      <c r="DO41174" s="303" t="s">
        <v>232</v>
      </c>
    </row>
    <row r="41175" spans="119:119" x14ac:dyDescent="0.2">
      <c r="DO41175" s="303" t="s">
        <v>232</v>
      </c>
    </row>
    <row r="41176" spans="119:119" x14ac:dyDescent="0.2">
      <c r="DO41176" s="303" t="s">
        <v>232</v>
      </c>
    </row>
    <row r="41177" spans="119:119" x14ac:dyDescent="0.2">
      <c r="DO41177" s="303" t="s">
        <v>232</v>
      </c>
    </row>
    <row r="41178" spans="119:119" x14ac:dyDescent="0.2">
      <c r="DO41178" s="303" t="s">
        <v>232</v>
      </c>
    </row>
    <row r="41179" spans="119:119" x14ac:dyDescent="0.2">
      <c r="DO41179" s="303" t="s">
        <v>232</v>
      </c>
    </row>
    <row r="41180" spans="119:119" x14ac:dyDescent="0.2">
      <c r="DO41180" s="303" t="s">
        <v>232</v>
      </c>
    </row>
    <row r="41181" spans="119:119" x14ac:dyDescent="0.2">
      <c r="DO41181" s="303" t="s">
        <v>232</v>
      </c>
    </row>
    <row r="41182" spans="119:119" x14ac:dyDescent="0.2">
      <c r="DO41182" s="303" t="s">
        <v>232</v>
      </c>
    </row>
    <row r="41183" spans="119:119" x14ac:dyDescent="0.2">
      <c r="DO41183" s="303" t="s">
        <v>232</v>
      </c>
    </row>
    <row r="41184" spans="119:119" x14ac:dyDescent="0.2">
      <c r="DO41184" s="303" t="s">
        <v>232</v>
      </c>
    </row>
    <row r="41185" spans="119:119" x14ac:dyDescent="0.2">
      <c r="DO41185" s="303" t="s">
        <v>232</v>
      </c>
    </row>
    <row r="41186" spans="119:119" x14ac:dyDescent="0.2">
      <c r="DO41186" s="303" t="s">
        <v>232</v>
      </c>
    </row>
    <row r="41187" spans="119:119" x14ac:dyDescent="0.2">
      <c r="DO41187" s="303" t="s">
        <v>232</v>
      </c>
    </row>
    <row r="41188" spans="119:119" x14ac:dyDescent="0.2">
      <c r="DO41188" s="303" t="s">
        <v>232</v>
      </c>
    </row>
    <row r="41189" spans="119:119" x14ac:dyDescent="0.2">
      <c r="DO41189" s="303" t="s">
        <v>232</v>
      </c>
    </row>
    <row r="41190" spans="119:119" x14ac:dyDescent="0.2">
      <c r="DO41190" s="303" t="s">
        <v>232</v>
      </c>
    </row>
    <row r="41191" spans="119:119" x14ac:dyDescent="0.2">
      <c r="DO41191" s="303" t="s">
        <v>232</v>
      </c>
    </row>
    <row r="41192" spans="119:119" x14ac:dyDescent="0.2">
      <c r="DO41192" s="303" t="s">
        <v>232</v>
      </c>
    </row>
    <row r="41193" spans="119:119" x14ac:dyDescent="0.2">
      <c r="DO41193" s="303" t="s">
        <v>232</v>
      </c>
    </row>
    <row r="41194" spans="119:119" x14ac:dyDescent="0.2">
      <c r="DO41194" s="303" t="s">
        <v>232</v>
      </c>
    </row>
    <row r="41195" spans="119:119" x14ac:dyDescent="0.2">
      <c r="DO41195" s="303" t="s">
        <v>232</v>
      </c>
    </row>
    <row r="41196" spans="119:119" x14ac:dyDescent="0.2">
      <c r="DO41196" s="303" t="s">
        <v>232</v>
      </c>
    </row>
    <row r="41197" spans="119:119" x14ac:dyDescent="0.2">
      <c r="DO41197" s="303" t="s">
        <v>232</v>
      </c>
    </row>
    <row r="41198" spans="119:119" x14ac:dyDescent="0.2">
      <c r="DO41198" s="303" t="s">
        <v>232</v>
      </c>
    </row>
    <row r="41199" spans="119:119" x14ac:dyDescent="0.2">
      <c r="DO41199" s="303" t="s">
        <v>232</v>
      </c>
    </row>
    <row r="41200" spans="119:119" x14ac:dyDescent="0.2">
      <c r="DO41200" s="303" t="s">
        <v>232</v>
      </c>
    </row>
    <row r="41201" spans="119:119" x14ac:dyDescent="0.2">
      <c r="DO41201" s="303" t="s">
        <v>232</v>
      </c>
    </row>
    <row r="41202" spans="119:119" x14ac:dyDescent="0.2">
      <c r="DO41202" s="303" t="s">
        <v>232</v>
      </c>
    </row>
    <row r="41203" spans="119:119" x14ac:dyDescent="0.2">
      <c r="DO41203" s="303" t="s">
        <v>232</v>
      </c>
    </row>
    <row r="41204" spans="119:119" x14ac:dyDescent="0.2">
      <c r="DO41204" s="303" t="s">
        <v>232</v>
      </c>
    </row>
    <row r="41205" spans="119:119" x14ac:dyDescent="0.2">
      <c r="DO41205" s="303" t="s">
        <v>232</v>
      </c>
    </row>
    <row r="41206" spans="119:119" x14ac:dyDescent="0.2">
      <c r="DO41206" s="303" t="s">
        <v>232</v>
      </c>
    </row>
    <row r="41207" spans="119:119" x14ac:dyDescent="0.2">
      <c r="DO41207" s="303" t="s">
        <v>232</v>
      </c>
    </row>
    <row r="41208" spans="119:119" x14ac:dyDescent="0.2">
      <c r="DO41208" s="303" t="s">
        <v>232</v>
      </c>
    </row>
    <row r="41209" spans="119:119" x14ac:dyDescent="0.2">
      <c r="DO41209" s="303" t="s">
        <v>232</v>
      </c>
    </row>
    <row r="41210" spans="119:119" x14ac:dyDescent="0.2">
      <c r="DO41210" s="303" t="s">
        <v>232</v>
      </c>
    </row>
    <row r="41211" spans="119:119" x14ac:dyDescent="0.2">
      <c r="DO41211" s="303" t="s">
        <v>232</v>
      </c>
    </row>
    <row r="41212" spans="119:119" x14ac:dyDescent="0.2">
      <c r="DO41212" s="303" t="s">
        <v>232</v>
      </c>
    </row>
    <row r="41213" spans="119:119" x14ac:dyDescent="0.2">
      <c r="DO41213" s="303" t="s">
        <v>232</v>
      </c>
    </row>
    <row r="41214" spans="119:119" x14ac:dyDescent="0.2">
      <c r="DO41214" s="303" t="s">
        <v>232</v>
      </c>
    </row>
    <row r="41215" spans="119:119" x14ac:dyDescent="0.2">
      <c r="DO41215" s="303" t="s">
        <v>232</v>
      </c>
    </row>
    <row r="41216" spans="119:119" x14ac:dyDescent="0.2">
      <c r="DO41216" s="303" t="s">
        <v>232</v>
      </c>
    </row>
    <row r="41217" spans="119:119" x14ac:dyDescent="0.2">
      <c r="DO41217" s="303" t="s">
        <v>232</v>
      </c>
    </row>
    <row r="41218" spans="119:119" x14ac:dyDescent="0.2">
      <c r="DO41218" s="303" t="s">
        <v>232</v>
      </c>
    </row>
    <row r="41219" spans="119:119" x14ac:dyDescent="0.2">
      <c r="DO41219" s="303" t="s">
        <v>232</v>
      </c>
    </row>
    <row r="41220" spans="119:119" x14ac:dyDescent="0.2">
      <c r="DO41220" s="303" t="s">
        <v>232</v>
      </c>
    </row>
    <row r="41221" spans="119:119" x14ac:dyDescent="0.2">
      <c r="DO41221" s="303" t="s">
        <v>232</v>
      </c>
    </row>
    <row r="41222" spans="119:119" x14ac:dyDescent="0.2">
      <c r="DO41222" s="303" t="s">
        <v>232</v>
      </c>
    </row>
    <row r="41223" spans="119:119" x14ac:dyDescent="0.2">
      <c r="DO41223" s="303" t="s">
        <v>232</v>
      </c>
    </row>
    <row r="41224" spans="119:119" x14ac:dyDescent="0.2">
      <c r="DO41224" s="303" t="s">
        <v>232</v>
      </c>
    </row>
    <row r="41225" spans="119:119" x14ac:dyDescent="0.2">
      <c r="DO41225" s="303" t="s">
        <v>232</v>
      </c>
    </row>
    <row r="41226" spans="119:119" x14ac:dyDescent="0.2">
      <c r="DO41226" s="303" t="s">
        <v>232</v>
      </c>
    </row>
    <row r="41227" spans="119:119" x14ac:dyDescent="0.2">
      <c r="DO41227" s="303" t="s">
        <v>232</v>
      </c>
    </row>
    <row r="41228" spans="119:119" x14ac:dyDescent="0.2">
      <c r="DO41228" s="303" t="s">
        <v>232</v>
      </c>
    </row>
    <row r="41229" spans="119:119" x14ac:dyDescent="0.2">
      <c r="DO41229" s="303" t="s">
        <v>232</v>
      </c>
    </row>
    <row r="41230" spans="119:119" x14ac:dyDescent="0.2">
      <c r="DO41230" s="303" t="s">
        <v>232</v>
      </c>
    </row>
    <row r="41231" spans="119:119" x14ac:dyDescent="0.2">
      <c r="DO41231" s="303" t="s">
        <v>232</v>
      </c>
    </row>
    <row r="41232" spans="119:119" x14ac:dyDescent="0.2">
      <c r="DO41232" s="303" t="s">
        <v>232</v>
      </c>
    </row>
    <row r="41233" spans="119:119" x14ac:dyDescent="0.2">
      <c r="DO41233" s="303" t="s">
        <v>232</v>
      </c>
    </row>
    <row r="41234" spans="119:119" x14ac:dyDescent="0.2">
      <c r="DO41234" s="303" t="s">
        <v>232</v>
      </c>
    </row>
    <row r="41235" spans="119:119" x14ac:dyDescent="0.2">
      <c r="DO41235" s="303" t="s">
        <v>232</v>
      </c>
    </row>
    <row r="41236" spans="119:119" x14ac:dyDescent="0.2">
      <c r="DO41236" s="303" t="s">
        <v>232</v>
      </c>
    </row>
    <row r="41237" spans="119:119" x14ac:dyDescent="0.2">
      <c r="DO41237" s="303" t="s">
        <v>232</v>
      </c>
    </row>
    <row r="41238" spans="119:119" x14ac:dyDescent="0.2">
      <c r="DO41238" s="303" t="s">
        <v>232</v>
      </c>
    </row>
    <row r="41239" spans="119:119" x14ac:dyDescent="0.2">
      <c r="DO41239" s="303" t="s">
        <v>232</v>
      </c>
    </row>
    <row r="41240" spans="119:119" x14ac:dyDescent="0.2">
      <c r="DO41240" s="303" t="s">
        <v>232</v>
      </c>
    </row>
    <row r="41241" spans="119:119" x14ac:dyDescent="0.2">
      <c r="DO41241" s="303" t="s">
        <v>232</v>
      </c>
    </row>
    <row r="41242" spans="119:119" x14ac:dyDescent="0.2">
      <c r="DO41242" s="303" t="s">
        <v>232</v>
      </c>
    </row>
    <row r="41243" spans="119:119" x14ac:dyDescent="0.2">
      <c r="DO41243" s="303" t="s">
        <v>232</v>
      </c>
    </row>
    <row r="41244" spans="119:119" x14ac:dyDescent="0.2">
      <c r="DO41244" s="303" t="s">
        <v>232</v>
      </c>
    </row>
    <row r="41245" spans="119:119" x14ac:dyDescent="0.2">
      <c r="DO41245" s="303" t="s">
        <v>232</v>
      </c>
    </row>
    <row r="41246" spans="119:119" x14ac:dyDescent="0.2">
      <c r="DO41246" s="303" t="s">
        <v>232</v>
      </c>
    </row>
    <row r="41247" spans="119:119" x14ac:dyDescent="0.2">
      <c r="DO41247" s="303" t="s">
        <v>232</v>
      </c>
    </row>
    <row r="41248" spans="119:119" x14ac:dyDescent="0.2">
      <c r="DO41248" s="303" t="s">
        <v>232</v>
      </c>
    </row>
    <row r="41249" spans="119:119" x14ac:dyDescent="0.2">
      <c r="DO41249" s="303" t="s">
        <v>232</v>
      </c>
    </row>
    <row r="41250" spans="119:119" x14ac:dyDescent="0.2">
      <c r="DO41250" s="303" t="s">
        <v>232</v>
      </c>
    </row>
    <row r="41251" spans="119:119" x14ac:dyDescent="0.2">
      <c r="DO41251" s="303" t="s">
        <v>232</v>
      </c>
    </row>
    <row r="41252" spans="119:119" x14ac:dyDescent="0.2">
      <c r="DO41252" s="303" t="s">
        <v>232</v>
      </c>
    </row>
    <row r="41253" spans="119:119" x14ac:dyDescent="0.2">
      <c r="DO41253" s="303" t="s">
        <v>232</v>
      </c>
    </row>
    <row r="41254" spans="119:119" x14ac:dyDescent="0.2">
      <c r="DO41254" s="303" t="s">
        <v>232</v>
      </c>
    </row>
    <row r="41255" spans="119:119" x14ac:dyDescent="0.2">
      <c r="DO41255" s="303" t="s">
        <v>232</v>
      </c>
    </row>
    <row r="41256" spans="119:119" x14ac:dyDescent="0.2">
      <c r="DO41256" s="303" t="s">
        <v>232</v>
      </c>
    </row>
    <row r="41257" spans="119:119" x14ac:dyDescent="0.2">
      <c r="DO41257" s="303" t="s">
        <v>232</v>
      </c>
    </row>
    <row r="41258" spans="119:119" x14ac:dyDescent="0.2">
      <c r="DO41258" s="303" t="s">
        <v>232</v>
      </c>
    </row>
    <row r="41259" spans="119:119" x14ac:dyDescent="0.2">
      <c r="DO41259" s="303" t="s">
        <v>232</v>
      </c>
    </row>
    <row r="41260" spans="119:119" x14ac:dyDescent="0.2">
      <c r="DO41260" s="303" t="s">
        <v>232</v>
      </c>
    </row>
    <row r="41261" spans="119:119" x14ac:dyDescent="0.2">
      <c r="DO41261" s="303" t="s">
        <v>232</v>
      </c>
    </row>
    <row r="41262" spans="119:119" x14ac:dyDescent="0.2">
      <c r="DO41262" s="303" t="s">
        <v>232</v>
      </c>
    </row>
    <row r="41263" spans="119:119" x14ac:dyDescent="0.2">
      <c r="DO41263" s="303" t="s">
        <v>232</v>
      </c>
    </row>
    <row r="41264" spans="119:119" x14ac:dyDescent="0.2">
      <c r="DO41264" s="303" t="s">
        <v>232</v>
      </c>
    </row>
    <row r="41265" spans="119:119" x14ac:dyDescent="0.2">
      <c r="DO41265" s="303" t="s">
        <v>232</v>
      </c>
    </row>
    <row r="41266" spans="119:119" x14ac:dyDescent="0.2">
      <c r="DO41266" s="303" t="s">
        <v>232</v>
      </c>
    </row>
    <row r="41267" spans="119:119" x14ac:dyDescent="0.2">
      <c r="DO41267" s="303" t="s">
        <v>232</v>
      </c>
    </row>
    <row r="41268" spans="119:119" x14ac:dyDescent="0.2">
      <c r="DO41268" s="303" t="s">
        <v>232</v>
      </c>
    </row>
    <row r="41269" spans="119:119" x14ac:dyDescent="0.2">
      <c r="DO41269" s="303" t="s">
        <v>232</v>
      </c>
    </row>
    <row r="41270" spans="119:119" x14ac:dyDescent="0.2">
      <c r="DO41270" s="303" t="s">
        <v>232</v>
      </c>
    </row>
    <row r="41271" spans="119:119" x14ac:dyDescent="0.2">
      <c r="DO41271" s="303" t="s">
        <v>232</v>
      </c>
    </row>
    <row r="41272" spans="119:119" x14ac:dyDescent="0.2">
      <c r="DO41272" s="303" t="s">
        <v>232</v>
      </c>
    </row>
    <row r="41273" spans="119:119" x14ac:dyDescent="0.2">
      <c r="DO41273" s="303" t="s">
        <v>232</v>
      </c>
    </row>
    <row r="41274" spans="119:119" x14ac:dyDescent="0.2">
      <c r="DO41274" s="303" t="s">
        <v>232</v>
      </c>
    </row>
    <row r="41275" spans="119:119" x14ac:dyDescent="0.2">
      <c r="DO41275" s="303" t="s">
        <v>232</v>
      </c>
    </row>
    <row r="41276" spans="119:119" x14ac:dyDescent="0.2">
      <c r="DO41276" s="303" t="s">
        <v>232</v>
      </c>
    </row>
    <row r="41277" spans="119:119" x14ac:dyDescent="0.2">
      <c r="DO41277" s="303" t="s">
        <v>232</v>
      </c>
    </row>
    <row r="41278" spans="119:119" x14ac:dyDescent="0.2">
      <c r="DO41278" s="303" t="s">
        <v>232</v>
      </c>
    </row>
    <row r="41279" spans="119:119" x14ac:dyDescent="0.2">
      <c r="DO41279" s="303" t="s">
        <v>232</v>
      </c>
    </row>
    <row r="41280" spans="119:119" x14ac:dyDescent="0.2">
      <c r="DO41280" s="303" t="s">
        <v>232</v>
      </c>
    </row>
    <row r="41281" spans="119:119" x14ac:dyDescent="0.2">
      <c r="DO41281" s="303" t="s">
        <v>232</v>
      </c>
    </row>
    <row r="41282" spans="119:119" x14ac:dyDescent="0.2">
      <c r="DO41282" s="303" t="s">
        <v>232</v>
      </c>
    </row>
    <row r="41283" spans="119:119" x14ac:dyDescent="0.2">
      <c r="DO41283" s="303" t="s">
        <v>232</v>
      </c>
    </row>
    <row r="41284" spans="119:119" x14ac:dyDescent="0.2">
      <c r="DO41284" s="303" t="s">
        <v>232</v>
      </c>
    </row>
    <row r="41285" spans="119:119" x14ac:dyDescent="0.2">
      <c r="DO41285" s="303" t="s">
        <v>232</v>
      </c>
    </row>
    <row r="41286" spans="119:119" x14ac:dyDescent="0.2">
      <c r="DO41286" s="303" t="s">
        <v>232</v>
      </c>
    </row>
    <row r="41287" spans="119:119" x14ac:dyDescent="0.2">
      <c r="DO41287" s="303" t="s">
        <v>232</v>
      </c>
    </row>
    <row r="41288" spans="119:119" x14ac:dyDescent="0.2">
      <c r="DO41288" s="303" t="s">
        <v>232</v>
      </c>
    </row>
    <row r="41289" spans="119:119" x14ac:dyDescent="0.2">
      <c r="DO41289" s="303" t="s">
        <v>232</v>
      </c>
    </row>
    <row r="41290" spans="119:119" x14ac:dyDescent="0.2">
      <c r="DO41290" s="303" t="s">
        <v>232</v>
      </c>
    </row>
    <row r="41291" spans="119:119" x14ac:dyDescent="0.2">
      <c r="DO41291" s="303" t="s">
        <v>232</v>
      </c>
    </row>
    <row r="41292" spans="119:119" x14ac:dyDescent="0.2">
      <c r="DO41292" s="303" t="s">
        <v>232</v>
      </c>
    </row>
    <row r="41293" spans="119:119" x14ac:dyDescent="0.2">
      <c r="DO41293" s="303" t="s">
        <v>232</v>
      </c>
    </row>
    <row r="41294" spans="119:119" x14ac:dyDescent="0.2">
      <c r="DO41294" s="303" t="s">
        <v>232</v>
      </c>
    </row>
    <row r="41295" spans="119:119" x14ac:dyDescent="0.2">
      <c r="DO41295" s="303" t="s">
        <v>232</v>
      </c>
    </row>
    <row r="41296" spans="119:119" x14ac:dyDescent="0.2">
      <c r="DO41296" s="303" t="s">
        <v>232</v>
      </c>
    </row>
    <row r="41297" spans="119:119" x14ac:dyDescent="0.2">
      <c r="DO41297" s="303" t="s">
        <v>232</v>
      </c>
    </row>
    <row r="41298" spans="119:119" x14ac:dyDescent="0.2">
      <c r="DO41298" s="303" t="s">
        <v>232</v>
      </c>
    </row>
    <row r="41299" spans="119:119" x14ac:dyDescent="0.2">
      <c r="DO41299" s="303" t="s">
        <v>232</v>
      </c>
    </row>
    <row r="41300" spans="119:119" x14ac:dyDescent="0.2">
      <c r="DO41300" s="303" t="s">
        <v>232</v>
      </c>
    </row>
    <row r="41301" spans="119:119" x14ac:dyDescent="0.2">
      <c r="DO41301" s="303" t="s">
        <v>232</v>
      </c>
    </row>
    <row r="41302" spans="119:119" x14ac:dyDescent="0.2">
      <c r="DO41302" s="303" t="s">
        <v>232</v>
      </c>
    </row>
    <row r="41303" spans="119:119" x14ac:dyDescent="0.2">
      <c r="DO41303" s="303" t="s">
        <v>232</v>
      </c>
    </row>
    <row r="41304" spans="119:119" x14ac:dyDescent="0.2">
      <c r="DO41304" s="303" t="s">
        <v>232</v>
      </c>
    </row>
    <row r="41305" spans="119:119" x14ac:dyDescent="0.2">
      <c r="DO41305" s="303" t="s">
        <v>232</v>
      </c>
    </row>
    <row r="41306" spans="119:119" x14ac:dyDescent="0.2">
      <c r="DO41306" s="303" t="s">
        <v>232</v>
      </c>
    </row>
    <row r="41307" spans="119:119" x14ac:dyDescent="0.2">
      <c r="DO41307" s="303" t="s">
        <v>232</v>
      </c>
    </row>
    <row r="41308" spans="119:119" x14ac:dyDescent="0.2">
      <c r="DO41308" s="303" t="s">
        <v>232</v>
      </c>
    </row>
    <row r="41309" spans="119:119" x14ac:dyDescent="0.2">
      <c r="DO41309" s="303" t="s">
        <v>232</v>
      </c>
    </row>
    <row r="41310" spans="119:119" x14ac:dyDescent="0.2">
      <c r="DO41310" s="303" t="s">
        <v>232</v>
      </c>
    </row>
    <row r="41311" spans="119:119" x14ac:dyDescent="0.2">
      <c r="DO41311" s="303" t="s">
        <v>232</v>
      </c>
    </row>
    <row r="41312" spans="119:119" x14ac:dyDescent="0.2">
      <c r="DO41312" s="303" t="s">
        <v>232</v>
      </c>
    </row>
    <row r="41313" spans="119:119" x14ac:dyDescent="0.2">
      <c r="DO41313" s="303" t="s">
        <v>232</v>
      </c>
    </row>
    <row r="41314" spans="119:119" x14ac:dyDescent="0.2">
      <c r="DO41314" s="303" t="s">
        <v>232</v>
      </c>
    </row>
    <row r="41315" spans="119:119" x14ac:dyDescent="0.2">
      <c r="DO41315" s="303" t="s">
        <v>232</v>
      </c>
    </row>
    <row r="41316" spans="119:119" x14ac:dyDescent="0.2">
      <c r="DO41316" s="303" t="s">
        <v>232</v>
      </c>
    </row>
    <row r="41317" spans="119:119" x14ac:dyDescent="0.2">
      <c r="DO41317" s="303" t="s">
        <v>232</v>
      </c>
    </row>
    <row r="41318" spans="119:119" x14ac:dyDescent="0.2">
      <c r="DO41318" s="303" t="s">
        <v>232</v>
      </c>
    </row>
    <row r="41319" spans="119:119" x14ac:dyDescent="0.2">
      <c r="DO41319" s="303" t="s">
        <v>232</v>
      </c>
    </row>
    <row r="41320" spans="119:119" x14ac:dyDescent="0.2">
      <c r="DO41320" s="303" t="s">
        <v>232</v>
      </c>
    </row>
    <row r="41321" spans="119:119" x14ac:dyDescent="0.2">
      <c r="DO41321" s="303" t="s">
        <v>232</v>
      </c>
    </row>
    <row r="41322" spans="119:119" x14ac:dyDescent="0.2">
      <c r="DO41322" s="303" t="s">
        <v>232</v>
      </c>
    </row>
    <row r="41323" spans="119:119" x14ac:dyDescent="0.2">
      <c r="DO41323" s="303" t="s">
        <v>232</v>
      </c>
    </row>
    <row r="41324" spans="119:119" x14ac:dyDescent="0.2">
      <c r="DO41324" s="303" t="s">
        <v>232</v>
      </c>
    </row>
    <row r="41325" spans="119:119" x14ac:dyDescent="0.2">
      <c r="DO41325" s="303" t="s">
        <v>232</v>
      </c>
    </row>
    <row r="41326" spans="119:119" x14ac:dyDescent="0.2">
      <c r="DO41326" s="303" t="s">
        <v>232</v>
      </c>
    </row>
    <row r="41327" spans="119:119" x14ac:dyDescent="0.2">
      <c r="DO41327" s="303" t="s">
        <v>232</v>
      </c>
    </row>
    <row r="41328" spans="119:119" x14ac:dyDescent="0.2">
      <c r="DO41328" s="303" t="s">
        <v>232</v>
      </c>
    </row>
    <row r="41329" spans="119:119" x14ac:dyDescent="0.2">
      <c r="DO41329" s="303" t="s">
        <v>232</v>
      </c>
    </row>
    <row r="41330" spans="119:119" x14ac:dyDescent="0.2">
      <c r="DO41330" s="303" t="s">
        <v>232</v>
      </c>
    </row>
    <row r="41331" spans="119:119" x14ac:dyDescent="0.2">
      <c r="DO41331" s="303" t="s">
        <v>232</v>
      </c>
    </row>
    <row r="41332" spans="119:119" x14ac:dyDescent="0.2">
      <c r="DO41332" s="303" t="s">
        <v>232</v>
      </c>
    </row>
    <row r="41333" spans="119:119" x14ac:dyDescent="0.2">
      <c r="DO41333" s="303" t="s">
        <v>232</v>
      </c>
    </row>
    <row r="41334" spans="119:119" x14ac:dyDescent="0.2">
      <c r="DO41334" s="303" t="s">
        <v>232</v>
      </c>
    </row>
    <row r="41335" spans="119:119" x14ac:dyDescent="0.2">
      <c r="DO41335" s="303" t="s">
        <v>232</v>
      </c>
    </row>
    <row r="41336" spans="119:119" x14ac:dyDescent="0.2">
      <c r="DO41336" s="303" t="s">
        <v>232</v>
      </c>
    </row>
    <row r="41337" spans="119:119" x14ac:dyDescent="0.2">
      <c r="DO41337" s="303" t="s">
        <v>232</v>
      </c>
    </row>
    <row r="41338" spans="119:119" x14ac:dyDescent="0.2">
      <c r="DO41338" s="303" t="s">
        <v>232</v>
      </c>
    </row>
    <row r="41339" spans="119:119" x14ac:dyDescent="0.2">
      <c r="DO41339" s="303" t="s">
        <v>232</v>
      </c>
    </row>
    <row r="41340" spans="119:119" x14ac:dyDescent="0.2">
      <c r="DO41340" s="303" t="s">
        <v>232</v>
      </c>
    </row>
    <row r="41341" spans="119:119" x14ac:dyDescent="0.2">
      <c r="DO41341" s="303" t="s">
        <v>232</v>
      </c>
    </row>
    <row r="41342" spans="119:119" x14ac:dyDescent="0.2">
      <c r="DO41342" s="303" t="s">
        <v>232</v>
      </c>
    </row>
    <row r="41343" spans="119:119" x14ac:dyDescent="0.2">
      <c r="DO41343" s="303" t="s">
        <v>232</v>
      </c>
    </row>
    <row r="41344" spans="119:119" x14ac:dyDescent="0.2">
      <c r="DO41344" s="303" t="s">
        <v>232</v>
      </c>
    </row>
    <row r="41345" spans="119:119" x14ac:dyDescent="0.2">
      <c r="DO41345" s="303" t="s">
        <v>232</v>
      </c>
    </row>
    <row r="41346" spans="119:119" x14ac:dyDescent="0.2">
      <c r="DO41346" s="303" t="s">
        <v>232</v>
      </c>
    </row>
    <row r="41347" spans="119:119" x14ac:dyDescent="0.2">
      <c r="DO41347" s="303" t="s">
        <v>232</v>
      </c>
    </row>
    <row r="41348" spans="119:119" x14ac:dyDescent="0.2">
      <c r="DO41348" s="303" t="s">
        <v>232</v>
      </c>
    </row>
    <row r="41349" spans="119:119" x14ac:dyDescent="0.2">
      <c r="DO41349" s="303" t="s">
        <v>232</v>
      </c>
    </row>
    <row r="41350" spans="119:119" x14ac:dyDescent="0.2">
      <c r="DO41350" s="303" t="s">
        <v>232</v>
      </c>
    </row>
    <row r="41351" spans="119:119" x14ac:dyDescent="0.2">
      <c r="DO41351" s="303" t="s">
        <v>232</v>
      </c>
    </row>
    <row r="41352" spans="119:119" x14ac:dyDescent="0.2">
      <c r="DO41352" s="303" t="s">
        <v>232</v>
      </c>
    </row>
    <row r="41353" spans="119:119" x14ac:dyDescent="0.2">
      <c r="DO41353" s="303" t="s">
        <v>232</v>
      </c>
    </row>
    <row r="41354" spans="119:119" x14ac:dyDescent="0.2">
      <c r="DO41354" s="303" t="s">
        <v>232</v>
      </c>
    </row>
    <row r="41355" spans="119:119" x14ac:dyDescent="0.2">
      <c r="DO41355" s="303" t="s">
        <v>232</v>
      </c>
    </row>
    <row r="41356" spans="119:119" x14ac:dyDescent="0.2">
      <c r="DO41356" s="303" t="s">
        <v>232</v>
      </c>
    </row>
    <row r="41357" spans="119:119" x14ac:dyDescent="0.2">
      <c r="DO41357" s="303" t="s">
        <v>232</v>
      </c>
    </row>
    <row r="41358" spans="119:119" x14ac:dyDescent="0.2">
      <c r="DO41358" s="303" t="s">
        <v>232</v>
      </c>
    </row>
    <row r="41359" spans="119:119" x14ac:dyDescent="0.2">
      <c r="DO41359" s="303" t="s">
        <v>232</v>
      </c>
    </row>
    <row r="41360" spans="119:119" x14ac:dyDescent="0.2">
      <c r="DO41360" s="303" t="s">
        <v>232</v>
      </c>
    </row>
    <row r="41361" spans="119:119" x14ac:dyDescent="0.2">
      <c r="DO41361" s="303" t="s">
        <v>232</v>
      </c>
    </row>
    <row r="41362" spans="119:119" x14ac:dyDescent="0.2">
      <c r="DO41362" s="303" t="s">
        <v>232</v>
      </c>
    </row>
    <row r="41363" spans="119:119" x14ac:dyDescent="0.2">
      <c r="DO41363" s="303" t="s">
        <v>232</v>
      </c>
    </row>
    <row r="41364" spans="119:119" x14ac:dyDescent="0.2">
      <c r="DO41364" s="303" t="s">
        <v>232</v>
      </c>
    </row>
    <row r="41365" spans="119:119" x14ac:dyDescent="0.2">
      <c r="DO41365" s="303" t="s">
        <v>232</v>
      </c>
    </row>
    <row r="41366" spans="119:119" x14ac:dyDescent="0.2">
      <c r="DO41366" s="303" t="s">
        <v>232</v>
      </c>
    </row>
    <row r="41367" spans="119:119" x14ac:dyDescent="0.2">
      <c r="DO41367" s="303" t="s">
        <v>232</v>
      </c>
    </row>
    <row r="41368" spans="119:119" x14ac:dyDescent="0.2">
      <c r="DO41368" s="303" t="s">
        <v>232</v>
      </c>
    </row>
    <row r="41369" spans="119:119" x14ac:dyDescent="0.2">
      <c r="DO41369" s="303" t="s">
        <v>232</v>
      </c>
    </row>
    <row r="41370" spans="119:119" x14ac:dyDescent="0.2">
      <c r="DO41370" s="303" t="s">
        <v>232</v>
      </c>
    </row>
    <row r="41371" spans="119:119" x14ac:dyDescent="0.2">
      <c r="DO41371" s="303" t="s">
        <v>232</v>
      </c>
    </row>
    <row r="41372" spans="119:119" x14ac:dyDescent="0.2">
      <c r="DO41372" s="303" t="s">
        <v>232</v>
      </c>
    </row>
    <row r="41373" spans="119:119" x14ac:dyDescent="0.2">
      <c r="DO41373" s="303" t="s">
        <v>232</v>
      </c>
    </row>
    <row r="41374" spans="119:119" x14ac:dyDescent="0.2">
      <c r="DO41374" s="303" t="s">
        <v>232</v>
      </c>
    </row>
    <row r="41375" spans="119:119" x14ac:dyDescent="0.2">
      <c r="DO41375" s="303" t="s">
        <v>232</v>
      </c>
    </row>
    <row r="41376" spans="119:119" x14ac:dyDescent="0.2">
      <c r="DO41376" s="303" t="s">
        <v>232</v>
      </c>
    </row>
    <row r="41377" spans="119:119" x14ac:dyDescent="0.2">
      <c r="DO41377" s="303" t="s">
        <v>232</v>
      </c>
    </row>
    <row r="41378" spans="119:119" x14ac:dyDescent="0.2">
      <c r="DO41378" s="303" t="s">
        <v>232</v>
      </c>
    </row>
    <row r="41379" spans="119:119" x14ac:dyDescent="0.2">
      <c r="DO41379" s="303" t="s">
        <v>232</v>
      </c>
    </row>
    <row r="41380" spans="119:119" x14ac:dyDescent="0.2">
      <c r="DO41380" s="303" t="s">
        <v>232</v>
      </c>
    </row>
    <row r="41381" spans="119:119" x14ac:dyDescent="0.2">
      <c r="DO41381" s="303" t="s">
        <v>232</v>
      </c>
    </row>
    <row r="41382" spans="119:119" x14ac:dyDescent="0.2">
      <c r="DO41382" s="303" t="s">
        <v>232</v>
      </c>
    </row>
    <row r="41383" spans="119:119" x14ac:dyDescent="0.2">
      <c r="DO41383" s="303" t="s">
        <v>232</v>
      </c>
    </row>
    <row r="41384" spans="119:119" x14ac:dyDescent="0.2">
      <c r="DO41384" s="303" t="s">
        <v>232</v>
      </c>
    </row>
    <row r="41385" spans="119:119" x14ac:dyDescent="0.2">
      <c r="DO41385" s="303" t="s">
        <v>232</v>
      </c>
    </row>
    <row r="41386" spans="119:119" x14ac:dyDescent="0.2">
      <c r="DO41386" s="303" t="s">
        <v>232</v>
      </c>
    </row>
    <row r="41387" spans="119:119" x14ac:dyDescent="0.2">
      <c r="DO41387" s="303" t="s">
        <v>232</v>
      </c>
    </row>
    <row r="41388" spans="119:119" x14ac:dyDescent="0.2">
      <c r="DO41388" s="303" t="s">
        <v>232</v>
      </c>
    </row>
    <row r="41389" spans="119:119" x14ac:dyDescent="0.2">
      <c r="DO41389" s="303" t="s">
        <v>232</v>
      </c>
    </row>
    <row r="41390" spans="119:119" x14ac:dyDescent="0.2">
      <c r="DO41390" s="303" t="s">
        <v>232</v>
      </c>
    </row>
    <row r="41391" spans="119:119" x14ac:dyDescent="0.2">
      <c r="DO41391" s="303" t="s">
        <v>232</v>
      </c>
    </row>
    <row r="41392" spans="119:119" x14ac:dyDescent="0.2">
      <c r="DO41392" s="303" t="s">
        <v>232</v>
      </c>
    </row>
    <row r="41393" spans="119:119" x14ac:dyDescent="0.2">
      <c r="DO41393" s="303" t="s">
        <v>232</v>
      </c>
    </row>
    <row r="41394" spans="119:119" x14ac:dyDescent="0.2">
      <c r="DO41394" s="303" t="s">
        <v>232</v>
      </c>
    </row>
    <row r="41395" spans="119:119" x14ac:dyDescent="0.2">
      <c r="DO41395" s="303" t="s">
        <v>232</v>
      </c>
    </row>
    <row r="41396" spans="119:119" x14ac:dyDescent="0.2">
      <c r="DO41396" s="303" t="s">
        <v>232</v>
      </c>
    </row>
    <row r="41397" spans="119:119" x14ac:dyDescent="0.2">
      <c r="DO41397" s="303" t="s">
        <v>232</v>
      </c>
    </row>
    <row r="41398" spans="119:119" x14ac:dyDescent="0.2">
      <c r="DO41398" s="303" t="s">
        <v>232</v>
      </c>
    </row>
    <row r="41399" spans="119:119" x14ac:dyDescent="0.2">
      <c r="DO41399" s="303" t="s">
        <v>232</v>
      </c>
    </row>
    <row r="41400" spans="119:119" x14ac:dyDescent="0.2">
      <c r="DO41400" s="303" t="s">
        <v>232</v>
      </c>
    </row>
    <row r="41401" spans="119:119" x14ac:dyDescent="0.2">
      <c r="DO41401" s="303" t="s">
        <v>232</v>
      </c>
    </row>
    <row r="41402" spans="119:119" x14ac:dyDescent="0.2">
      <c r="DO41402" s="303" t="s">
        <v>232</v>
      </c>
    </row>
    <row r="41403" spans="119:119" x14ac:dyDescent="0.2">
      <c r="DO41403" s="303" t="s">
        <v>232</v>
      </c>
    </row>
    <row r="41404" spans="119:119" x14ac:dyDescent="0.2">
      <c r="DO41404" s="303" t="s">
        <v>232</v>
      </c>
    </row>
    <row r="41405" spans="119:119" x14ac:dyDescent="0.2">
      <c r="DO41405" s="303" t="s">
        <v>232</v>
      </c>
    </row>
    <row r="41406" spans="119:119" x14ac:dyDescent="0.2">
      <c r="DO41406" s="303" t="s">
        <v>232</v>
      </c>
    </row>
    <row r="41407" spans="119:119" x14ac:dyDescent="0.2">
      <c r="DO41407" s="303" t="s">
        <v>232</v>
      </c>
    </row>
    <row r="41408" spans="119:119" x14ac:dyDescent="0.2">
      <c r="DO41408" s="303" t="s">
        <v>232</v>
      </c>
    </row>
    <row r="41409" spans="119:119" x14ac:dyDescent="0.2">
      <c r="DO41409" s="303" t="s">
        <v>232</v>
      </c>
    </row>
    <row r="41410" spans="119:119" x14ac:dyDescent="0.2">
      <c r="DO41410" s="303" t="s">
        <v>232</v>
      </c>
    </row>
    <row r="41411" spans="119:119" x14ac:dyDescent="0.2">
      <c r="DO41411" s="303" t="s">
        <v>232</v>
      </c>
    </row>
    <row r="41412" spans="119:119" x14ac:dyDescent="0.2">
      <c r="DO41412" s="303" t="s">
        <v>232</v>
      </c>
    </row>
    <row r="41413" spans="119:119" x14ac:dyDescent="0.2">
      <c r="DO41413" s="303" t="s">
        <v>232</v>
      </c>
    </row>
    <row r="41414" spans="119:119" x14ac:dyDescent="0.2">
      <c r="DO41414" s="303" t="s">
        <v>232</v>
      </c>
    </row>
    <row r="41415" spans="119:119" x14ac:dyDescent="0.2">
      <c r="DO41415" s="303" t="s">
        <v>232</v>
      </c>
    </row>
    <row r="41416" spans="119:119" x14ac:dyDescent="0.2">
      <c r="DO41416" s="303" t="s">
        <v>232</v>
      </c>
    </row>
    <row r="41417" spans="119:119" x14ac:dyDescent="0.2">
      <c r="DO41417" s="303" t="s">
        <v>232</v>
      </c>
    </row>
    <row r="41418" spans="119:119" x14ac:dyDescent="0.2">
      <c r="DO41418" s="303" t="s">
        <v>232</v>
      </c>
    </row>
    <row r="41419" spans="119:119" x14ac:dyDescent="0.2">
      <c r="DO41419" s="303" t="s">
        <v>232</v>
      </c>
    </row>
    <row r="41420" spans="119:119" x14ac:dyDescent="0.2">
      <c r="DO41420" s="303" t="s">
        <v>232</v>
      </c>
    </row>
    <row r="41421" spans="119:119" x14ac:dyDescent="0.2">
      <c r="DO41421" s="303" t="s">
        <v>232</v>
      </c>
    </row>
    <row r="41422" spans="119:119" x14ac:dyDescent="0.2">
      <c r="DO41422" s="303" t="s">
        <v>232</v>
      </c>
    </row>
    <row r="41423" spans="119:119" x14ac:dyDescent="0.2">
      <c r="DO41423" s="303" t="s">
        <v>232</v>
      </c>
    </row>
    <row r="41424" spans="119:119" x14ac:dyDescent="0.2">
      <c r="DO41424" s="303" t="s">
        <v>232</v>
      </c>
    </row>
    <row r="41425" spans="119:119" x14ac:dyDescent="0.2">
      <c r="DO41425" s="303" t="s">
        <v>232</v>
      </c>
    </row>
    <row r="41426" spans="119:119" x14ac:dyDescent="0.2">
      <c r="DO41426" s="303" t="s">
        <v>232</v>
      </c>
    </row>
    <row r="41427" spans="119:119" x14ac:dyDescent="0.2">
      <c r="DO41427" s="303" t="s">
        <v>232</v>
      </c>
    </row>
    <row r="41428" spans="119:119" x14ac:dyDescent="0.2">
      <c r="DO41428" s="303" t="s">
        <v>232</v>
      </c>
    </row>
    <row r="41429" spans="119:119" x14ac:dyDescent="0.2">
      <c r="DO41429" s="303" t="s">
        <v>232</v>
      </c>
    </row>
    <row r="41430" spans="119:119" x14ac:dyDescent="0.2">
      <c r="DO41430" s="303" t="s">
        <v>232</v>
      </c>
    </row>
    <row r="41431" spans="119:119" x14ac:dyDescent="0.2">
      <c r="DO41431" s="303" t="s">
        <v>232</v>
      </c>
    </row>
    <row r="41432" spans="119:119" x14ac:dyDescent="0.2">
      <c r="DO41432" s="303" t="s">
        <v>232</v>
      </c>
    </row>
    <row r="41433" spans="119:119" x14ac:dyDescent="0.2">
      <c r="DO41433" s="303" t="s">
        <v>232</v>
      </c>
    </row>
    <row r="41434" spans="119:119" x14ac:dyDescent="0.2">
      <c r="DO41434" s="303" t="s">
        <v>232</v>
      </c>
    </row>
    <row r="41435" spans="119:119" x14ac:dyDescent="0.2">
      <c r="DO41435" s="303" t="s">
        <v>232</v>
      </c>
    </row>
    <row r="41436" spans="119:119" x14ac:dyDescent="0.2">
      <c r="DO41436" s="303" t="s">
        <v>232</v>
      </c>
    </row>
    <row r="41437" spans="119:119" x14ac:dyDescent="0.2">
      <c r="DO41437" s="303" t="s">
        <v>232</v>
      </c>
    </row>
    <row r="41438" spans="119:119" x14ac:dyDescent="0.2">
      <c r="DO41438" s="303" t="s">
        <v>232</v>
      </c>
    </row>
    <row r="41439" spans="119:119" x14ac:dyDescent="0.2">
      <c r="DO41439" s="303" t="s">
        <v>232</v>
      </c>
    </row>
    <row r="41440" spans="119:119" x14ac:dyDescent="0.2">
      <c r="DO41440" s="303" t="s">
        <v>232</v>
      </c>
    </row>
    <row r="41441" spans="119:119" x14ac:dyDescent="0.2">
      <c r="DO41441" s="303" t="s">
        <v>232</v>
      </c>
    </row>
    <row r="41442" spans="119:119" x14ac:dyDescent="0.2">
      <c r="DO41442" s="303" t="s">
        <v>232</v>
      </c>
    </row>
    <row r="41443" spans="119:119" x14ac:dyDescent="0.2">
      <c r="DO41443" s="303" t="s">
        <v>232</v>
      </c>
    </row>
    <row r="41444" spans="119:119" x14ac:dyDescent="0.2">
      <c r="DO41444" s="303" t="s">
        <v>232</v>
      </c>
    </row>
    <row r="41445" spans="119:119" x14ac:dyDescent="0.2">
      <c r="DO41445" s="303" t="s">
        <v>232</v>
      </c>
    </row>
    <row r="41446" spans="119:119" x14ac:dyDescent="0.2">
      <c r="DO41446" s="303" t="s">
        <v>232</v>
      </c>
    </row>
    <row r="41447" spans="119:119" x14ac:dyDescent="0.2">
      <c r="DO41447" s="303" t="s">
        <v>232</v>
      </c>
    </row>
    <row r="41448" spans="119:119" x14ac:dyDescent="0.2">
      <c r="DO41448" s="303" t="s">
        <v>232</v>
      </c>
    </row>
    <row r="41449" spans="119:119" x14ac:dyDescent="0.2">
      <c r="DO41449" s="303" t="s">
        <v>232</v>
      </c>
    </row>
    <row r="41450" spans="119:119" x14ac:dyDescent="0.2">
      <c r="DO41450" s="303" t="s">
        <v>232</v>
      </c>
    </row>
    <row r="41451" spans="119:119" x14ac:dyDescent="0.2">
      <c r="DO41451" s="303" t="s">
        <v>232</v>
      </c>
    </row>
    <row r="41452" spans="119:119" x14ac:dyDescent="0.2">
      <c r="DO41452" s="303" t="s">
        <v>232</v>
      </c>
    </row>
    <row r="41453" spans="119:119" x14ac:dyDescent="0.2">
      <c r="DO41453" s="303" t="s">
        <v>232</v>
      </c>
    </row>
    <row r="41454" spans="119:119" x14ac:dyDescent="0.2">
      <c r="DO41454" s="303" t="s">
        <v>232</v>
      </c>
    </row>
    <row r="41455" spans="119:119" x14ac:dyDescent="0.2">
      <c r="DO41455" s="303" t="s">
        <v>232</v>
      </c>
    </row>
    <row r="41456" spans="119:119" x14ac:dyDescent="0.2">
      <c r="DO41456" s="303" t="s">
        <v>232</v>
      </c>
    </row>
    <row r="41457" spans="119:119" x14ac:dyDescent="0.2">
      <c r="DO41457" s="303" t="s">
        <v>232</v>
      </c>
    </row>
    <row r="41458" spans="119:119" x14ac:dyDescent="0.2">
      <c r="DO41458" s="303" t="s">
        <v>232</v>
      </c>
    </row>
    <row r="41459" spans="119:119" x14ac:dyDescent="0.2">
      <c r="DO41459" s="303" t="s">
        <v>232</v>
      </c>
    </row>
    <row r="41460" spans="119:119" x14ac:dyDescent="0.2">
      <c r="DO41460" s="303" t="s">
        <v>232</v>
      </c>
    </row>
    <row r="41461" spans="119:119" x14ac:dyDescent="0.2">
      <c r="DO41461" s="303" t="s">
        <v>232</v>
      </c>
    </row>
    <row r="41462" spans="119:119" x14ac:dyDescent="0.2">
      <c r="DO41462" s="303" t="s">
        <v>232</v>
      </c>
    </row>
    <row r="41463" spans="119:119" x14ac:dyDescent="0.2">
      <c r="DO41463" s="303" t="s">
        <v>232</v>
      </c>
    </row>
    <row r="41464" spans="119:119" x14ac:dyDescent="0.2">
      <c r="DO41464" s="303" t="s">
        <v>232</v>
      </c>
    </row>
    <row r="41465" spans="119:119" x14ac:dyDescent="0.2">
      <c r="DO41465" s="303" t="s">
        <v>232</v>
      </c>
    </row>
    <row r="41466" spans="119:119" x14ac:dyDescent="0.2">
      <c r="DO41466" s="303" t="s">
        <v>232</v>
      </c>
    </row>
    <row r="41467" spans="119:119" x14ac:dyDescent="0.2">
      <c r="DO41467" s="303" t="s">
        <v>232</v>
      </c>
    </row>
    <row r="41468" spans="119:119" x14ac:dyDescent="0.2">
      <c r="DO41468" s="303" t="s">
        <v>232</v>
      </c>
    </row>
    <row r="41469" spans="119:119" x14ac:dyDescent="0.2">
      <c r="DO41469" s="303" t="s">
        <v>232</v>
      </c>
    </row>
    <row r="41470" spans="119:119" x14ac:dyDescent="0.2">
      <c r="DO41470" s="303" t="s">
        <v>232</v>
      </c>
    </row>
    <row r="41471" spans="119:119" x14ac:dyDescent="0.2">
      <c r="DO41471" s="303" t="s">
        <v>232</v>
      </c>
    </row>
    <row r="41472" spans="119:119" x14ac:dyDescent="0.2">
      <c r="DO41472" s="303" t="s">
        <v>232</v>
      </c>
    </row>
    <row r="41473" spans="119:119" x14ac:dyDescent="0.2">
      <c r="DO41473" s="303" t="s">
        <v>232</v>
      </c>
    </row>
    <row r="41474" spans="119:119" x14ac:dyDescent="0.2">
      <c r="DO41474" s="303" t="s">
        <v>232</v>
      </c>
    </row>
    <row r="41475" spans="119:119" x14ac:dyDescent="0.2">
      <c r="DO41475" s="303" t="s">
        <v>232</v>
      </c>
    </row>
    <row r="41476" spans="119:119" x14ac:dyDescent="0.2">
      <c r="DO41476" s="303" t="s">
        <v>232</v>
      </c>
    </row>
    <row r="41477" spans="119:119" x14ac:dyDescent="0.2">
      <c r="DO41477" s="303" t="s">
        <v>232</v>
      </c>
    </row>
    <row r="41478" spans="119:119" x14ac:dyDescent="0.2">
      <c r="DO41478" s="303" t="s">
        <v>232</v>
      </c>
    </row>
    <row r="41479" spans="119:119" x14ac:dyDescent="0.2">
      <c r="DO41479" s="303" t="s">
        <v>232</v>
      </c>
    </row>
    <row r="41480" spans="119:119" x14ac:dyDescent="0.2">
      <c r="DO41480" s="303" t="s">
        <v>232</v>
      </c>
    </row>
    <row r="41481" spans="119:119" x14ac:dyDescent="0.2">
      <c r="DO41481" s="303" t="s">
        <v>232</v>
      </c>
    </row>
    <row r="41482" spans="119:119" x14ac:dyDescent="0.2">
      <c r="DO41482" s="303" t="s">
        <v>232</v>
      </c>
    </row>
    <row r="41483" spans="119:119" x14ac:dyDescent="0.2">
      <c r="DO41483" s="303" t="s">
        <v>232</v>
      </c>
    </row>
    <row r="41484" spans="119:119" x14ac:dyDescent="0.2">
      <c r="DO41484" s="303" t="s">
        <v>232</v>
      </c>
    </row>
    <row r="41485" spans="119:119" x14ac:dyDescent="0.2">
      <c r="DO41485" s="303" t="s">
        <v>232</v>
      </c>
    </row>
    <row r="41486" spans="119:119" x14ac:dyDescent="0.2">
      <c r="DO41486" s="303" t="s">
        <v>232</v>
      </c>
    </row>
    <row r="41487" spans="119:119" x14ac:dyDescent="0.2">
      <c r="DO41487" s="303" t="s">
        <v>232</v>
      </c>
    </row>
    <row r="41488" spans="119:119" x14ac:dyDescent="0.2">
      <c r="DO41488" s="303" t="s">
        <v>232</v>
      </c>
    </row>
    <row r="41489" spans="119:119" x14ac:dyDescent="0.2">
      <c r="DO41489" s="303" t="s">
        <v>232</v>
      </c>
    </row>
    <row r="41490" spans="119:119" x14ac:dyDescent="0.2">
      <c r="DO41490" s="303" t="s">
        <v>232</v>
      </c>
    </row>
    <row r="41491" spans="119:119" x14ac:dyDescent="0.2">
      <c r="DO41491" s="303" t="s">
        <v>232</v>
      </c>
    </row>
    <row r="41492" spans="119:119" x14ac:dyDescent="0.2">
      <c r="DO41492" s="303" t="s">
        <v>232</v>
      </c>
    </row>
    <row r="41493" spans="119:119" x14ac:dyDescent="0.2">
      <c r="DO41493" s="303" t="s">
        <v>232</v>
      </c>
    </row>
    <row r="41494" spans="119:119" x14ac:dyDescent="0.2">
      <c r="DO41494" s="303" t="s">
        <v>232</v>
      </c>
    </row>
    <row r="41495" spans="119:119" x14ac:dyDescent="0.2">
      <c r="DO41495" s="303" t="s">
        <v>232</v>
      </c>
    </row>
    <row r="41496" spans="119:119" x14ac:dyDescent="0.2">
      <c r="DO41496" s="303" t="s">
        <v>232</v>
      </c>
    </row>
    <row r="41497" spans="119:119" x14ac:dyDescent="0.2">
      <c r="DO41497" s="303" t="s">
        <v>232</v>
      </c>
    </row>
    <row r="41498" spans="119:119" x14ac:dyDescent="0.2">
      <c r="DO41498" s="303" t="s">
        <v>232</v>
      </c>
    </row>
    <row r="41499" spans="119:119" x14ac:dyDescent="0.2">
      <c r="DO41499" s="303" t="s">
        <v>232</v>
      </c>
    </row>
    <row r="41500" spans="119:119" x14ac:dyDescent="0.2">
      <c r="DO41500" s="303" t="s">
        <v>232</v>
      </c>
    </row>
    <row r="41501" spans="119:119" x14ac:dyDescent="0.2">
      <c r="DO41501" s="303" t="s">
        <v>232</v>
      </c>
    </row>
    <row r="41502" spans="119:119" x14ac:dyDescent="0.2">
      <c r="DO41502" s="303" t="s">
        <v>232</v>
      </c>
    </row>
    <row r="41503" spans="119:119" x14ac:dyDescent="0.2">
      <c r="DO41503" s="303" t="s">
        <v>232</v>
      </c>
    </row>
    <row r="41504" spans="119:119" x14ac:dyDescent="0.2">
      <c r="DO41504" s="303" t="s">
        <v>232</v>
      </c>
    </row>
    <row r="41505" spans="119:119" x14ac:dyDescent="0.2">
      <c r="DO41505" s="303" t="s">
        <v>232</v>
      </c>
    </row>
    <row r="41506" spans="119:119" x14ac:dyDescent="0.2">
      <c r="DO41506" s="303" t="s">
        <v>232</v>
      </c>
    </row>
    <row r="41507" spans="119:119" x14ac:dyDescent="0.2">
      <c r="DO41507" s="303" t="s">
        <v>232</v>
      </c>
    </row>
    <row r="41508" spans="119:119" x14ac:dyDescent="0.2">
      <c r="DO41508" s="303" t="s">
        <v>232</v>
      </c>
    </row>
    <row r="41509" spans="119:119" x14ac:dyDescent="0.2">
      <c r="DO41509" s="303" t="s">
        <v>232</v>
      </c>
    </row>
    <row r="41510" spans="119:119" x14ac:dyDescent="0.2">
      <c r="DO41510" s="303" t="s">
        <v>232</v>
      </c>
    </row>
    <row r="41511" spans="119:119" x14ac:dyDescent="0.2">
      <c r="DO41511" s="303" t="s">
        <v>232</v>
      </c>
    </row>
    <row r="41512" spans="119:119" x14ac:dyDescent="0.2">
      <c r="DO41512" s="303" t="s">
        <v>232</v>
      </c>
    </row>
    <row r="41513" spans="119:119" x14ac:dyDescent="0.2">
      <c r="DO41513" s="303" t="s">
        <v>232</v>
      </c>
    </row>
    <row r="41514" spans="119:119" x14ac:dyDescent="0.2">
      <c r="DO41514" s="303" t="s">
        <v>232</v>
      </c>
    </row>
    <row r="41515" spans="119:119" x14ac:dyDescent="0.2">
      <c r="DO41515" s="303" t="s">
        <v>232</v>
      </c>
    </row>
    <row r="41516" spans="119:119" x14ac:dyDescent="0.2">
      <c r="DO41516" s="303" t="s">
        <v>232</v>
      </c>
    </row>
    <row r="41517" spans="119:119" x14ac:dyDescent="0.2">
      <c r="DO41517" s="303" t="s">
        <v>232</v>
      </c>
    </row>
    <row r="41518" spans="119:119" x14ac:dyDescent="0.2">
      <c r="DO41518" s="303" t="s">
        <v>232</v>
      </c>
    </row>
    <row r="41519" spans="119:119" x14ac:dyDescent="0.2">
      <c r="DO41519" s="303" t="s">
        <v>232</v>
      </c>
    </row>
    <row r="41520" spans="119:119" x14ac:dyDescent="0.2">
      <c r="DO41520" s="303" t="s">
        <v>232</v>
      </c>
    </row>
    <row r="41521" spans="119:119" x14ac:dyDescent="0.2">
      <c r="DO41521" s="303" t="s">
        <v>232</v>
      </c>
    </row>
    <row r="41522" spans="119:119" x14ac:dyDescent="0.2">
      <c r="DO41522" s="303" t="s">
        <v>232</v>
      </c>
    </row>
    <row r="41523" spans="119:119" x14ac:dyDescent="0.2">
      <c r="DO41523" s="303" t="s">
        <v>232</v>
      </c>
    </row>
    <row r="41524" spans="119:119" x14ac:dyDescent="0.2">
      <c r="DO41524" s="303" t="s">
        <v>232</v>
      </c>
    </row>
    <row r="41525" spans="119:119" x14ac:dyDescent="0.2">
      <c r="DO41525" s="303" t="s">
        <v>232</v>
      </c>
    </row>
    <row r="41526" spans="119:119" x14ac:dyDescent="0.2">
      <c r="DO41526" s="303" t="s">
        <v>232</v>
      </c>
    </row>
    <row r="41527" spans="119:119" x14ac:dyDescent="0.2">
      <c r="DO41527" s="303" t="s">
        <v>232</v>
      </c>
    </row>
    <row r="41528" spans="119:119" x14ac:dyDescent="0.2">
      <c r="DO41528" s="303" t="s">
        <v>232</v>
      </c>
    </row>
    <row r="41529" spans="119:119" x14ac:dyDescent="0.2">
      <c r="DO41529" s="303" t="s">
        <v>232</v>
      </c>
    </row>
    <row r="41530" spans="119:119" x14ac:dyDescent="0.2">
      <c r="DO41530" s="303" t="s">
        <v>232</v>
      </c>
    </row>
    <row r="41531" spans="119:119" x14ac:dyDescent="0.2">
      <c r="DO41531" s="303" t="s">
        <v>232</v>
      </c>
    </row>
    <row r="41532" spans="119:119" x14ac:dyDescent="0.2">
      <c r="DO41532" s="303" t="s">
        <v>232</v>
      </c>
    </row>
    <row r="41533" spans="119:119" x14ac:dyDescent="0.2">
      <c r="DO41533" s="303" t="s">
        <v>232</v>
      </c>
    </row>
    <row r="41534" spans="119:119" x14ac:dyDescent="0.2">
      <c r="DO41534" s="303" t="s">
        <v>232</v>
      </c>
    </row>
    <row r="41535" spans="119:119" x14ac:dyDescent="0.2">
      <c r="DO41535" s="303" t="s">
        <v>232</v>
      </c>
    </row>
    <row r="41536" spans="119:119" x14ac:dyDescent="0.2">
      <c r="DO41536" s="303" t="s">
        <v>232</v>
      </c>
    </row>
    <row r="41537" spans="119:119" x14ac:dyDescent="0.2">
      <c r="DO41537" s="303" t="s">
        <v>232</v>
      </c>
    </row>
    <row r="41538" spans="119:119" x14ac:dyDescent="0.2">
      <c r="DO41538" s="303" t="s">
        <v>232</v>
      </c>
    </row>
    <row r="41539" spans="119:119" x14ac:dyDescent="0.2">
      <c r="DO41539" s="303" t="s">
        <v>232</v>
      </c>
    </row>
    <row r="41540" spans="119:119" x14ac:dyDescent="0.2">
      <c r="DO41540" s="303" t="s">
        <v>232</v>
      </c>
    </row>
    <row r="41541" spans="119:119" x14ac:dyDescent="0.2">
      <c r="DO41541" s="303" t="s">
        <v>232</v>
      </c>
    </row>
    <row r="41542" spans="119:119" x14ac:dyDescent="0.2">
      <c r="DO41542" s="303" t="s">
        <v>232</v>
      </c>
    </row>
    <row r="41543" spans="119:119" x14ac:dyDescent="0.2">
      <c r="DO41543" s="303" t="s">
        <v>232</v>
      </c>
    </row>
    <row r="41544" spans="119:119" x14ac:dyDescent="0.2">
      <c r="DO41544" s="303" t="s">
        <v>232</v>
      </c>
    </row>
    <row r="41545" spans="119:119" x14ac:dyDescent="0.2">
      <c r="DO41545" s="303" t="s">
        <v>232</v>
      </c>
    </row>
    <row r="41546" spans="119:119" x14ac:dyDescent="0.2">
      <c r="DO41546" s="303" t="s">
        <v>232</v>
      </c>
    </row>
    <row r="41547" spans="119:119" x14ac:dyDescent="0.2">
      <c r="DO41547" s="303" t="s">
        <v>232</v>
      </c>
    </row>
    <row r="41548" spans="119:119" x14ac:dyDescent="0.2">
      <c r="DO41548" s="303" t="s">
        <v>232</v>
      </c>
    </row>
    <row r="41549" spans="119:119" x14ac:dyDescent="0.2">
      <c r="DO41549" s="303" t="s">
        <v>232</v>
      </c>
    </row>
    <row r="41550" spans="119:119" x14ac:dyDescent="0.2">
      <c r="DO41550" s="303" t="s">
        <v>232</v>
      </c>
    </row>
    <row r="41551" spans="119:119" x14ac:dyDescent="0.2">
      <c r="DO41551" s="303" t="s">
        <v>232</v>
      </c>
    </row>
    <row r="41552" spans="119:119" x14ac:dyDescent="0.2">
      <c r="DO41552" s="303" t="s">
        <v>232</v>
      </c>
    </row>
    <row r="41553" spans="119:119" x14ac:dyDescent="0.2">
      <c r="DO41553" s="303" t="s">
        <v>232</v>
      </c>
    </row>
    <row r="41554" spans="119:119" x14ac:dyDescent="0.2">
      <c r="DO41554" s="303" t="s">
        <v>232</v>
      </c>
    </row>
    <row r="41555" spans="119:119" x14ac:dyDescent="0.2">
      <c r="DO41555" s="303" t="s">
        <v>232</v>
      </c>
    </row>
    <row r="41556" spans="119:119" x14ac:dyDescent="0.2">
      <c r="DO41556" s="303" t="s">
        <v>232</v>
      </c>
    </row>
    <row r="41557" spans="119:119" x14ac:dyDescent="0.2">
      <c r="DO41557" s="303" t="s">
        <v>232</v>
      </c>
    </row>
    <row r="41558" spans="119:119" x14ac:dyDescent="0.2">
      <c r="DO41558" s="303" t="s">
        <v>232</v>
      </c>
    </row>
    <row r="41559" spans="119:119" x14ac:dyDescent="0.2">
      <c r="DO41559" s="303" t="s">
        <v>232</v>
      </c>
    </row>
    <row r="41560" spans="119:119" x14ac:dyDescent="0.2">
      <c r="DO41560" s="303" t="s">
        <v>232</v>
      </c>
    </row>
    <row r="41561" spans="119:119" x14ac:dyDescent="0.2">
      <c r="DO41561" s="303" t="s">
        <v>232</v>
      </c>
    </row>
    <row r="41562" spans="119:119" x14ac:dyDescent="0.2">
      <c r="DO41562" s="303" t="s">
        <v>232</v>
      </c>
    </row>
    <row r="41563" spans="119:119" x14ac:dyDescent="0.2">
      <c r="DO41563" s="303" t="s">
        <v>232</v>
      </c>
    </row>
    <row r="41564" spans="119:119" x14ac:dyDescent="0.2">
      <c r="DO41564" s="303" t="s">
        <v>232</v>
      </c>
    </row>
    <row r="41565" spans="119:119" x14ac:dyDescent="0.2">
      <c r="DO41565" s="303" t="s">
        <v>232</v>
      </c>
    </row>
    <row r="41566" spans="119:119" x14ac:dyDescent="0.2">
      <c r="DO41566" s="303" t="s">
        <v>232</v>
      </c>
    </row>
    <row r="41567" spans="119:119" x14ac:dyDescent="0.2">
      <c r="DO41567" s="303" t="s">
        <v>232</v>
      </c>
    </row>
    <row r="41568" spans="119:119" x14ac:dyDescent="0.2">
      <c r="DO41568" s="303" t="s">
        <v>232</v>
      </c>
    </row>
    <row r="41569" spans="119:119" x14ac:dyDescent="0.2">
      <c r="DO41569" s="303" t="s">
        <v>232</v>
      </c>
    </row>
    <row r="41570" spans="119:119" x14ac:dyDescent="0.2">
      <c r="DO41570" s="303" t="s">
        <v>232</v>
      </c>
    </row>
    <row r="41571" spans="119:119" x14ac:dyDescent="0.2">
      <c r="DO41571" s="303" t="s">
        <v>232</v>
      </c>
    </row>
    <row r="41572" spans="119:119" x14ac:dyDescent="0.2">
      <c r="DO41572" s="303" t="s">
        <v>232</v>
      </c>
    </row>
    <row r="41573" spans="119:119" x14ac:dyDescent="0.2">
      <c r="DO41573" s="303" t="s">
        <v>232</v>
      </c>
    </row>
    <row r="41574" spans="119:119" x14ac:dyDescent="0.2">
      <c r="DO41574" s="303" t="s">
        <v>232</v>
      </c>
    </row>
    <row r="41575" spans="119:119" x14ac:dyDescent="0.2">
      <c r="DO41575" s="303" t="s">
        <v>232</v>
      </c>
    </row>
    <row r="41576" spans="119:119" x14ac:dyDescent="0.2">
      <c r="DO41576" s="303" t="s">
        <v>232</v>
      </c>
    </row>
    <row r="41577" spans="119:119" x14ac:dyDescent="0.2">
      <c r="DO41577" s="303" t="s">
        <v>232</v>
      </c>
    </row>
    <row r="41578" spans="119:119" x14ac:dyDescent="0.2">
      <c r="DO41578" s="303" t="s">
        <v>232</v>
      </c>
    </row>
    <row r="41579" spans="119:119" x14ac:dyDescent="0.2">
      <c r="DO41579" s="303" t="s">
        <v>232</v>
      </c>
    </row>
    <row r="41580" spans="119:119" x14ac:dyDescent="0.2">
      <c r="DO41580" s="303" t="s">
        <v>232</v>
      </c>
    </row>
    <row r="41581" spans="119:119" x14ac:dyDescent="0.2">
      <c r="DO41581" s="303" t="s">
        <v>232</v>
      </c>
    </row>
    <row r="41582" spans="119:119" x14ac:dyDescent="0.2">
      <c r="DO41582" s="303" t="s">
        <v>232</v>
      </c>
    </row>
    <row r="41583" spans="119:119" x14ac:dyDescent="0.2">
      <c r="DO41583" s="303" t="s">
        <v>232</v>
      </c>
    </row>
    <row r="41584" spans="119:119" x14ac:dyDescent="0.2">
      <c r="DO41584" s="303" t="s">
        <v>232</v>
      </c>
    </row>
    <row r="41585" spans="119:119" x14ac:dyDescent="0.2">
      <c r="DO41585" s="303" t="s">
        <v>232</v>
      </c>
    </row>
    <row r="41586" spans="119:119" x14ac:dyDescent="0.2">
      <c r="DO41586" s="303" t="s">
        <v>232</v>
      </c>
    </row>
    <row r="41587" spans="119:119" x14ac:dyDescent="0.2">
      <c r="DO41587" s="303" t="s">
        <v>232</v>
      </c>
    </row>
    <row r="41588" spans="119:119" x14ac:dyDescent="0.2">
      <c r="DO41588" s="303" t="s">
        <v>232</v>
      </c>
    </row>
    <row r="41589" spans="119:119" x14ac:dyDescent="0.2">
      <c r="DO41589" s="303" t="s">
        <v>232</v>
      </c>
    </row>
    <row r="41590" spans="119:119" x14ac:dyDescent="0.2">
      <c r="DO41590" s="303" t="s">
        <v>232</v>
      </c>
    </row>
    <row r="41591" spans="119:119" x14ac:dyDescent="0.2">
      <c r="DO41591" s="303" t="s">
        <v>232</v>
      </c>
    </row>
    <row r="41592" spans="119:119" x14ac:dyDescent="0.2">
      <c r="DO41592" s="303" t="s">
        <v>232</v>
      </c>
    </row>
    <row r="41593" spans="119:119" x14ac:dyDescent="0.2">
      <c r="DO41593" s="303" t="s">
        <v>232</v>
      </c>
    </row>
    <row r="41594" spans="119:119" x14ac:dyDescent="0.2">
      <c r="DO41594" s="303" t="s">
        <v>232</v>
      </c>
    </row>
    <row r="41595" spans="119:119" x14ac:dyDescent="0.2">
      <c r="DO41595" s="303" t="s">
        <v>232</v>
      </c>
    </row>
    <row r="41596" spans="119:119" x14ac:dyDescent="0.2">
      <c r="DO41596" s="303" t="s">
        <v>232</v>
      </c>
    </row>
    <row r="41597" spans="119:119" x14ac:dyDescent="0.2">
      <c r="DO41597" s="303" t="s">
        <v>232</v>
      </c>
    </row>
    <row r="41598" spans="119:119" x14ac:dyDescent="0.2">
      <c r="DO41598" s="303" t="s">
        <v>232</v>
      </c>
    </row>
    <row r="41599" spans="119:119" x14ac:dyDescent="0.2">
      <c r="DO41599" s="303" t="s">
        <v>232</v>
      </c>
    </row>
    <row r="41600" spans="119:119" x14ac:dyDescent="0.2">
      <c r="DO41600" s="303" t="s">
        <v>232</v>
      </c>
    </row>
    <row r="41601" spans="119:119" x14ac:dyDescent="0.2">
      <c r="DO41601" s="303" t="s">
        <v>232</v>
      </c>
    </row>
    <row r="41602" spans="119:119" x14ac:dyDescent="0.2">
      <c r="DO41602" s="303" t="s">
        <v>232</v>
      </c>
    </row>
    <row r="41603" spans="119:119" x14ac:dyDescent="0.2">
      <c r="DO41603" s="303" t="s">
        <v>232</v>
      </c>
    </row>
    <row r="41604" spans="119:119" x14ac:dyDescent="0.2">
      <c r="DO41604" s="303" t="s">
        <v>232</v>
      </c>
    </row>
    <row r="41605" spans="119:119" x14ac:dyDescent="0.2">
      <c r="DO41605" s="303" t="s">
        <v>232</v>
      </c>
    </row>
    <row r="41606" spans="119:119" x14ac:dyDescent="0.2">
      <c r="DO41606" s="303" t="s">
        <v>232</v>
      </c>
    </row>
    <row r="41607" spans="119:119" x14ac:dyDescent="0.2">
      <c r="DO41607" s="303" t="s">
        <v>232</v>
      </c>
    </row>
    <row r="41608" spans="119:119" x14ac:dyDescent="0.2">
      <c r="DO41608" s="303" t="s">
        <v>232</v>
      </c>
    </row>
    <row r="41609" spans="119:119" x14ac:dyDescent="0.2">
      <c r="DO41609" s="303" t="s">
        <v>232</v>
      </c>
    </row>
    <row r="41610" spans="119:119" x14ac:dyDescent="0.2">
      <c r="DO41610" s="303" t="s">
        <v>232</v>
      </c>
    </row>
    <row r="41611" spans="119:119" x14ac:dyDescent="0.2">
      <c r="DO41611" s="303" t="s">
        <v>232</v>
      </c>
    </row>
    <row r="41612" spans="119:119" x14ac:dyDescent="0.2">
      <c r="DO41612" s="303" t="s">
        <v>232</v>
      </c>
    </row>
    <row r="41613" spans="119:119" x14ac:dyDescent="0.2">
      <c r="DO41613" s="303" t="s">
        <v>232</v>
      </c>
    </row>
    <row r="41614" spans="119:119" x14ac:dyDescent="0.2">
      <c r="DO41614" s="303" t="s">
        <v>232</v>
      </c>
    </row>
    <row r="41615" spans="119:119" x14ac:dyDescent="0.2">
      <c r="DO41615" s="303" t="s">
        <v>232</v>
      </c>
    </row>
    <row r="41616" spans="119:119" x14ac:dyDescent="0.2">
      <c r="DO41616" s="303" t="s">
        <v>232</v>
      </c>
    </row>
    <row r="41617" spans="119:119" x14ac:dyDescent="0.2">
      <c r="DO41617" s="303" t="s">
        <v>232</v>
      </c>
    </row>
    <row r="41618" spans="119:119" x14ac:dyDescent="0.2">
      <c r="DO41618" s="303" t="s">
        <v>232</v>
      </c>
    </row>
    <row r="41619" spans="119:119" x14ac:dyDescent="0.2">
      <c r="DO41619" s="303" t="s">
        <v>232</v>
      </c>
    </row>
    <row r="41620" spans="119:119" x14ac:dyDescent="0.2">
      <c r="DO41620" s="303" t="s">
        <v>232</v>
      </c>
    </row>
    <row r="41621" spans="119:119" x14ac:dyDescent="0.2">
      <c r="DO41621" s="303" t="s">
        <v>232</v>
      </c>
    </row>
    <row r="41622" spans="119:119" x14ac:dyDescent="0.2">
      <c r="DO41622" s="303" t="s">
        <v>232</v>
      </c>
    </row>
    <row r="41623" spans="119:119" x14ac:dyDescent="0.2">
      <c r="DO41623" s="303" t="s">
        <v>232</v>
      </c>
    </row>
    <row r="41624" spans="119:119" x14ac:dyDescent="0.2">
      <c r="DO41624" s="303" t="s">
        <v>232</v>
      </c>
    </row>
    <row r="41625" spans="119:119" x14ac:dyDescent="0.2">
      <c r="DO41625" s="303" t="s">
        <v>232</v>
      </c>
    </row>
    <row r="41626" spans="119:119" x14ac:dyDescent="0.2">
      <c r="DO41626" s="303" t="s">
        <v>232</v>
      </c>
    </row>
    <row r="41627" spans="119:119" x14ac:dyDescent="0.2">
      <c r="DO41627" s="303" t="s">
        <v>232</v>
      </c>
    </row>
    <row r="41628" spans="119:119" x14ac:dyDescent="0.2">
      <c r="DO41628" s="303" t="s">
        <v>232</v>
      </c>
    </row>
    <row r="41629" spans="119:119" x14ac:dyDescent="0.2">
      <c r="DO41629" s="303" t="s">
        <v>232</v>
      </c>
    </row>
    <row r="41630" spans="119:119" x14ac:dyDescent="0.2">
      <c r="DO41630" s="303" t="s">
        <v>232</v>
      </c>
    </row>
    <row r="41631" spans="119:119" x14ac:dyDescent="0.2">
      <c r="DO41631" s="303" t="s">
        <v>232</v>
      </c>
    </row>
    <row r="41632" spans="119:119" x14ac:dyDescent="0.2">
      <c r="DO41632" s="303" t="s">
        <v>232</v>
      </c>
    </row>
    <row r="41633" spans="119:119" x14ac:dyDescent="0.2">
      <c r="DO41633" s="303" t="s">
        <v>232</v>
      </c>
    </row>
    <row r="41634" spans="119:119" x14ac:dyDescent="0.2">
      <c r="DO41634" s="303" t="s">
        <v>232</v>
      </c>
    </row>
    <row r="41635" spans="119:119" x14ac:dyDescent="0.2">
      <c r="DO41635" s="303" t="s">
        <v>232</v>
      </c>
    </row>
    <row r="41636" spans="119:119" x14ac:dyDescent="0.2">
      <c r="DO41636" s="303" t="s">
        <v>232</v>
      </c>
    </row>
    <row r="41637" spans="119:119" x14ac:dyDescent="0.2">
      <c r="DO41637" s="303" t="s">
        <v>232</v>
      </c>
    </row>
    <row r="41638" spans="119:119" x14ac:dyDescent="0.2">
      <c r="DO41638" s="303" t="s">
        <v>232</v>
      </c>
    </row>
    <row r="41639" spans="119:119" x14ac:dyDescent="0.2">
      <c r="DO41639" s="303" t="s">
        <v>232</v>
      </c>
    </row>
    <row r="41640" spans="119:119" x14ac:dyDescent="0.2">
      <c r="DO41640" s="303" t="s">
        <v>232</v>
      </c>
    </row>
    <row r="41641" spans="119:119" x14ac:dyDescent="0.2">
      <c r="DO41641" s="303" t="s">
        <v>232</v>
      </c>
    </row>
    <row r="41642" spans="119:119" x14ac:dyDescent="0.2">
      <c r="DO41642" s="303" t="s">
        <v>232</v>
      </c>
    </row>
    <row r="41643" spans="119:119" x14ac:dyDescent="0.2">
      <c r="DO41643" s="303" t="s">
        <v>232</v>
      </c>
    </row>
    <row r="41644" spans="119:119" x14ac:dyDescent="0.2">
      <c r="DO41644" s="303" t="s">
        <v>232</v>
      </c>
    </row>
    <row r="41645" spans="119:119" x14ac:dyDescent="0.2">
      <c r="DO41645" s="303" t="s">
        <v>232</v>
      </c>
    </row>
    <row r="41646" spans="119:119" x14ac:dyDescent="0.2">
      <c r="DO41646" s="303" t="s">
        <v>232</v>
      </c>
    </row>
    <row r="41647" spans="119:119" x14ac:dyDescent="0.2">
      <c r="DO41647" s="303" t="s">
        <v>232</v>
      </c>
    </row>
    <row r="41648" spans="119:119" x14ac:dyDescent="0.2">
      <c r="DO41648" s="303" t="s">
        <v>232</v>
      </c>
    </row>
    <row r="41649" spans="119:119" x14ac:dyDescent="0.2">
      <c r="DO41649" s="303" t="s">
        <v>232</v>
      </c>
    </row>
    <row r="41650" spans="119:119" x14ac:dyDescent="0.2">
      <c r="DO41650" s="303" t="s">
        <v>232</v>
      </c>
    </row>
    <row r="41651" spans="119:119" x14ac:dyDescent="0.2">
      <c r="DO41651" s="303" t="s">
        <v>232</v>
      </c>
    </row>
    <row r="41652" spans="119:119" x14ac:dyDescent="0.2">
      <c r="DO41652" s="303" t="s">
        <v>232</v>
      </c>
    </row>
    <row r="41653" spans="119:119" x14ac:dyDescent="0.2">
      <c r="DO41653" s="303" t="s">
        <v>232</v>
      </c>
    </row>
    <row r="41654" spans="119:119" x14ac:dyDescent="0.2">
      <c r="DO41654" s="303" t="s">
        <v>232</v>
      </c>
    </row>
    <row r="41655" spans="119:119" x14ac:dyDescent="0.2">
      <c r="DO41655" s="303" t="s">
        <v>232</v>
      </c>
    </row>
    <row r="41656" spans="119:119" x14ac:dyDescent="0.2">
      <c r="DO41656" s="303" t="s">
        <v>232</v>
      </c>
    </row>
    <row r="41657" spans="119:119" x14ac:dyDescent="0.2">
      <c r="DO41657" s="303" t="s">
        <v>232</v>
      </c>
    </row>
    <row r="41658" spans="119:119" x14ac:dyDescent="0.2">
      <c r="DO41658" s="303" t="s">
        <v>232</v>
      </c>
    </row>
    <row r="41659" spans="119:119" x14ac:dyDescent="0.2">
      <c r="DO41659" s="303" t="s">
        <v>232</v>
      </c>
    </row>
    <row r="41660" spans="119:119" x14ac:dyDescent="0.2">
      <c r="DO41660" s="303" t="s">
        <v>232</v>
      </c>
    </row>
    <row r="41661" spans="119:119" x14ac:dyDescent="0.2">
      <c r="DO41661" s="303" t="s">
        <v>232</v>
      </c>
    </row>
    <row r="41662" spans="119:119" x14ac:dyDescent="0.2">
      <c r="DO41662" s="303" t="s">
        <v>232</v>
      </c>
    </row>
    <row r="41663" spans="119:119" x14ac:dyDescent="0.2">
      <c r="DO41663" s="303" t="s">
        <v>232</v>
      </c>
    </row>
    <row r="41664" spans="119:119" x14ac:dyDescent="0.2">
      <c r="DO41664" s="303" t="s">
        <v>232</v>
      </c>
    </row>
    <row r="41665" spans="119:119" x14ac:dyDescent="0.2">
      <c r="DO41665" s="303" t="s">
        <v>232</v>
      </c>
    </row>
    <row r="41666" spans="119:119" x14ac:dyDescent="0.2">
      <c r="DO41666" s="303" t="s">
        <v>232</v>
      </c>
    </row>
    <row r="41667" spans="119:119" x14ac:dyDescent="0.2">
      <c r="DO41667" s="303" t="s">
        <v>232</v>
      </c>
    </row>
    <row r="41668" spans="119:119" x14ac:dyDescent="0.2">
      <c r="DO41668" s="303" t="s">
        <v>232</v>
      </c>
    </row>
    <row r="41669" spans="119:119" x14ac:dyDescent="0.2">
      <c r="DO41669" s="303" t="s">
        <v>232</v>
      </c>
    </row>
    <row r="41670" spans="119:119" x14ac:dyDescent="0.2">
      <c r="DO41670" s="303" t="s">
        <v>232</v>
      </c>
    </row>
    <row r="41671" spans="119:119" x14ac:dyDescent="0.2">
      <c r="DO41671" s="303" t="s">
        <v>232</v>
      </c>
    </row>
    <row r="41672" spans="119:119" x14ac:dyDescent="0.2">
      <c r="DO41672" s="303" t="s">
        <v>232</v>
      </c>
    </row>
    <row r="41673" spans="119:119" x14ac:dyDescent="0.2">
      <c r="DO41673" s="303" t="s">
        <v>232</v>
      </c>
    </row>
    <row r="41674" spans="119:119" x14ac:dyDescent="0.2">
      <c r="DO41674" s="303" t="s">
        <v>232</v>
      </c>
    </row>
    <row r="41675" spans="119:119" x14ac:dyDescent="0.2">
      <c r="DO41675" s="303" t="s">
        <v>232</v>
      </c>
    </row>
    <row r="41676" spans="119:119" x14ac:dyDescent="0.2">
      <c r="DO41676" s="303" t="s">
        <v>232</v>
      </c>
    </row>
    <row r="41677" spans="119:119" x14ac:dyDescent="0.2">
      <c r="DO41677" s="303" t="s">
        <v>232</v>
      </c>
    </row>
    <row r="41678" spans="119:119" x14ac:dyDescent="0.2">
      <c r="DO41678" s="303" t="s">
        <v>232</v>
      </c>
    </row>
    <row r="41679" spans="119:119" x14ac:dyDescent="0.2">
      <c r="DO41679" s="303" t="s">
        <v>232</v>
      </c>
    </row>
    <row r="41680" spans="119:119" x14ac:dyDescent="0.2">
      <c r="DO41680" s="303" t="s">
        <v>232</v>
      </c>
    </row>
    <row r="41681" spans="119:119" x14ac:dyDescent="0.2">
      <c r="DO41681" s="303" t="s">
        <v>232</v>
      </c>
    </row>
    <row r="41682" spans="119:119" x14ac:dyDescent="0.2">
      <c r="DO41682" s="303" t="s">
        <v>232</v>
      </c>
    </row>
    <row r="41683" spans="119:119" x14ac:dyDescent="0.2">
      <c r="DO41683" s="303" t="s">
        <v>232</v>
      </c>
    </row>
    <row r="41684" spans="119:119" x14ac:dyDescent="0.2">
      <c r="DO41684" s="303" t="s">
        <v>232</v>
      </c>
    </row>
    <row r="41685" spans="119:119" x14ac:dyDescent="0.2">
      <c r="DO41685" s="303" t="s">
        <v>232</v>
      </c>
    </row>
    <row r="41686" spans="119:119" x14ac:dyDescent="0.2">
      <c r="DO41686" s="303" t="s">
        <v>232</v>
      </c>
    </row>
    <row r="41687" spans="119:119" x14ac:dyDescent="0.2">
      <c r="DO41687" s="303" t="s">
        <v>232</v>
      </c>
    </row>
    <row r="41688" spans="119:119" x14ac:dyDescent="0.2">
      <c r="DO41688" s="303" t="s">
        <v>232</v>
      </c>
    </row>
    <row r="41689" spans="119:119" x14ac:dyDescent="0.2">
      <c r="DO41689" s="303" t="s">
        <v>232</v>
      </c>
    </row>
    <row r="41690" spans="119:119" x14ac:dyDescent="0.2">
      <c r="DO41690" s="303" t="s">
        <v>232</v>
      </c>
    </row>
    <row r="41691" spans="119:119" x14ac:dyDescent="0.2">
      <c r="DO41691" s="303" t="s">
        <v>232</v>
      </c>
    </row>
    <row r="41692" spans="119:119" x14ac:dyDescent="0.2">
      <c r="DO41692" s="303" t="s">
        <v>232</v>
      </c>
    </row>
    <row r="41693" spans="119:119" x14ac:dyDescent="0.2">
      <c r="DO41693" s="303" t="s">
        <v>232</v>
      </c>
    </row>
    <row r="41694" spans="119:119" x14ac:dyDescent="0.2">
      <c r="DO41694" s="303" t="s">
        <v>232</v>
      </c>
    </row>
    <row r="41695" spans="119:119" x14ac:dyDescent="0.2">
      <c r="DO41695" s="303" t="s">
        <v>232</v>
      </c>
    </row>
    <row r="41696" spans="119:119" x14ac:dyDescent="0.2">
      <c r="DO41696" s="303" t="s">
        <v>232</v>
      </c>
    </row>
    <row r="41697" spans="119:119" x14ac:dyDescent="0.2">
      <c r="DO41697" s="303" t="s">
        <v>232</v>
      </c>
    </row>
    <row r="41698" spans="119:119" x14ac:dyDescent="0.2">
      <c r="DO41698" s="303" t="s">
        <v>232</v>
      </c>
    </row>
    <row r="41699" spans="119:119" x14ac:dyDescent="0.2">
      <c r="DO41699" s="303" t="s">
        <v>232</v>
      </c>
    </row>
    <row r="41700" spans="119:119" x14ac:dyDescent="0.2">
      <c r="DO41700" s="303" t="s">
        <v>232</v>
      </c>
    </row>
    <row r="41701" spans="119:119" x14ac:dyDescent="0.2">
      <c r="DO41701" s="303" t="s">
        <v>232</v>
      </c>
    </row>
    <row r="41702" spans="119:119" x14ac:dyDescent="0.2">
      <c r="DO41702" s="303" t="s">
        <v>232</v>
      </c>
    </row>
    <row r="41703" spans="119:119" x14ac:dyDescent="0.2">
      <c r="DO41703" s="303" t="s">
        <v>232</v>
      </c>
    </row>
    <row r="41704" spans="119:119" x14ac:dyDescent="0.2">
      <c r="DO41704" s="303" t="s">
        <v>232</v>
      </c>
    </row>
    <row r="41705" spans="119:119" x14ac:dyDescent="0.2">
      <c r="DO41705" s="303" t="s">
        <v>232</v>
      </c>
    </row>
    <row r="41706" spans="119:119" x14ac:dyDescent="0.2">
      <c r="DO41706" s="303" t="s">
        <v>232</v>
      </c>
    </row>
    <row r="41707" spans="119:119" x14ac:dyDescent="0.2">
      <c r="DO41707" s="303" t="s">
        <v>232</v>
      </c>
    </row>
    <row r="41708" spans="119:119" x14ac:dyDescent="0.2">
      <c r="DO41708" s="303" t="s">
        <v>232</v>
      </c>
    </row>
    <row r="41709" spans="119:119" x14ac:dyDescent="0.2">
      <c r="DO41709" s="303" t="s">
        <v>232</v>
      </c>
    </row>
    <row r="41710" spans="119:119" x14ac:dyDescent="0.2">
      <c r="DO41710" s="303" t="s">
        <v>232</v>
      </c>
    </row>
    <row r="41711" spans="119:119" x14ac:dyDescent="0.2">
      <c r="DO41711" s="303" t="s">
        <v>232</v>
      </c>
    </row>
    <row r="41712" spans="119:119" x14ac:dyDescent="0.2">
      <c r="DO41712" s="303" t="s">
        <v>232</v>
      </c>
    </row>
    <row r="41713" spans="119:119" x14ac:dyDescent="0.2">
      <c r="DO41713" s="303" t="s">
        <v>232</v>
      </c>
    </row>
    <row r="41714" spans="119:119" x14ac:dyDescent="0.2">
      <c r="DO41714" s="303" t="s">
        <v>232</v>
      </c>
    </row>
    <row r="41715" spans="119:119" x14ac:dyDescent="0.2">
      <c r="DO41715" s="303" t="s">
        <v>232</v>
      </c>
    </row>
    <row r="41716" spans="119:119" x14ac:dyDescent="0.2">
      <c r="DO41716" s="303" t="s">
        <v>232</v>
      </c>
    </row>
    <row r="41717" spans="119:119" x14ac:dyDescent="0.2">
      <c r="DO41717" s="303" t="s">
        <v>232</v>
      </c>
    </row>
    <row r="41718" spans="119:119" x14ac:dyDescent="0.2">
      <c r="DO41718" s="303" t="s">
        <v>232</v>
      </c>
    </row>
    <row r="41719" spans="119:119" x14ac:dyDescent="0.2">
      <c r="DO41719" s="303" t="s">
        <v>232</v>
      </c>
    </row>
    <row r="41720" spans="119:119" x14ac:dyDescent="0.2">
      <c r="DO41720" s="303" t="s">
        <v>232</v>
      </c>
    </row>
    <row r="41721" spans="119:119" x14ac:dyDescent="0.2">
      <c r="DO41721" s="303" t="s">
        <v>232</v>
      </c>
    </row>
    <row r="41722" spans="119:119" x14ac:dyDescent="0.2">
      <c r="DO41722" s="303" t="s">
        <v>232</v>
      </c>
    </row>
    <row r="41723" spans="119:119" x14ac:dyDescent="0.2">
      <c r="DO41723" s="303" t="s">
        <v>232</v>
      </c>
    </row>
    <row r="41724" spans="119:119" x14ac:dyDescent="0.2">
      <c r="DO41724" s="303" t="s">
        <v>232</v>
      </c>
    </row>
    <row r="41725" spans="119:119" x14ac:dyDescent="0.2">
      <c r="DO41725" s="303" t="s">
        <v>232</v>
      </c>
    </row>
    <row r="41726" spans="119:119" x14ac:dyDescent="0.2">
      <c r="DO41726" s="303" t="s">
        <v>232</v>
      </c>
    </row>
    <row r="41727" spans="119:119" x14ac:dyDescent="0.2">
      <c r="DO41727" s="303" t="s">
        <v>232</v>
      </c>
    </row>
    <row r="41728" spans="119:119" x14ac:dyDescent="0.2">
      <c r="DO41728" s="303" t="s">
        <v>232</v>
      </c>
    </row>
    <row r="41729" spans="119:119" x14ac:dyDescent="0.2">
      <c r="DO41729" s="303" t="s">
        <v>232</v>
      </c>
    </row>
    <row r="41730" spans="119:119" x14ac:dyDescent="0.2">
      <c r="DO41730" s="303" t="s">
        <v>232</v>
      </c>
    </row>
    <row r="41731" spans="119:119" x14ac:dyDescent="0.2">
      <c r="DO41731" s="303" t="s">
        <v>232</v>
      </c>
    </row>
    <row r="41732" spans="119:119" x14ac:dyDescent="0.2">
      <c r="DO41732" s="303" t="s">
        <v>232</v>
      </c>
    </row>
    <row r="41733" spans="119:119" x14ac:dyDescent="0.2">
      <c r="DO41733" s="303" t="s">
        <v>232</v>
      </c>
    </row>
    <row r="41734" spans="119:119" x14ac:dyDescent="0.2">
      <c r="DO41734" s="303" t="s">
        <v>232</v>
      </c>
    </row>
    <row r="41735" spans="119:119" x14ac:dyDescent="0.2">
      <c r="DO41735" s="303" t="s">
        <v>232</v>
      </c>
    </row>
    <row r="41736" spans="119:119" x14ac:dyDescent="0.2">
      <c r="DO41736" s="303" t="s">
        <v>232</v>
      </c>
    </row>
    <row r="41737" spans="119:119" x14ac:dyDescent="0.2">
      <c r="DO41737" s="303" t="s">
        <v>232</v>
      </c>
    </row>
    <row r="41738" spans="119:119" x14ac:dyDescent="0.2">
      <c r="DO41738" s="303" t="s">
        <v>232</v>
      </c>
    </row>
    <row r="41739" spans="119:119" x14ac:dyDescent="0.2">
      <c r="DO41739" s="303" t="s">
        <v>232</v>
      </c>
    </row>
    <row r="41740" spans="119:119" x14ac:dyDescent="0.2">
      <c r="DO41740" s="303" t="s">
        <v>232</v>
      </c>
    </row>
    <row r="41741" spans="119:119" x14ac:dyDescent="0.2">
      <c r="DO41741" s="303" t="s">
        <v>232</v>
      </c>
    </row>
    <row r="41742" spans="119:119" x14ac:dyDescent="0.2">
      <c r="DO41742" s="303" t="s">
        <v>232</v>
      </c>
    </row>
    <row r="41743" spans="119:119" x14ac:dyDescent="0.2">
      <c r="DO41743" s="303" t="s">
        <v>232</v>
      </c>
    </row>
    <row r="41744" spans="119:119" x14ac:dyDescent="0.2">
      <c r="DO41744" s="303" t="s">
        <v>232</v>
      </c>
    </row>
    <row r="41745" spans="119:119" x14ac:dyDescent="0.2">
      <c r="DO41745" s="303" t="s">
        <v>232</v>
      </c>
    </row>
    <row r="41746" spans="119:119" x14ac:dyDescent="0.2">
      <c r="DO41746" s="303" t="s">
        <v>232</v>
      </c>
    </row>
    <row r="41747" spans="119:119" x14ac:dyDescent="0.2">
      <c r="DO41747" s="303" t="s">
        <v>232</v>
      </c>
    </row>
    <row r="41748" spans="119:119" x14ac:dyDescent="0.2">
      <c r="DO41748" s="303" t="s">
        <v>232</v>
      </c>
    </row>
    <row r="41749" spans="119:119" x14ac:dyDescent="0.2">
      <c r="DO41749" s="303" t="s">
        <v>232</v>
      </c>
    </row>
    <row r="41750" spans="119:119" x14ac:dyDescent="0.2">
      <c r="DO41750" s="303" t="s">
        <v>232</v>
      </c>
    </row>
    <row r="41751" spans="119:119" x14ac:dyDescent="0.2">
      <c r="DO41751" s="303" t="s">
        <v>232</v>
      </c>
    </row>
    <row r="41752" spans="119:119" x14ac:dyDescent="0.2">
      <c r="DO41752" s="303" t="s">
        <v>232</v>
      </c>
    </row>
    <row r="41753" spans="119:119" x14ac:dyDescent="0.2">
      <c r="DO41753" s="303" t="s">
        <v>232</v>
      </c>
    </row>
    <row r="41754" spans="119:119" x14ac:dyDescent="0.2">
      <c r="DO41754" s="303" t="s">
        <v>232</v>
      </c>
    </row>
    <row r="41755" spans="119:119" x14ac:dyDescent="0.2">
      <c r="DO41755" s="303" t="s">
        <v>232</v>
      </c>
    </row>
    <row r="41756" spans="119:119" x14ac:dyDescent="0.2">
      <c r="DO41756" s="303" t="s">
        <v>232</v>
      </c>
    </row>
    <row r="41757" spans="119:119" x14ac:dyDescent="0.2">
      <c r="DO41757" s="303" t="s">
        <v>232</v>
      </c>
    </row>
    <row r="41758" spans="119:119" x14ac:dyDescent="0.2">
      <c r="DO41758" s="303" t="s">
        <v>232</v>
      </c>
    </row>
    <row r="41759" spans="119:119" x14ac:dyDescent="0.2">
      <c r="DO41759" s="303" t="s">
        <v>232</v>
      </c>
    </row>
    <row r="41760" spans="119:119" x14ac:dyDescent="0.2">
      <c r="DO41760" s="303" t="s">
        <v>232</v>
      </c>
    </row>
    <row r="41761" spans="119:119" x14ac:dyDescent="0.2">
      <c r="DO41761" s="303" t="s">
        <v>232</v>
      </c>
    </row>
    <row r="41762" spans="119:119" x14ac:dyDescent="0.2">
      <c r="DO41762" s="303" t="s">
        <v>232</v>
      </c>
    </row>
    <row r="41763" spans="119:119" x14ac:dyDescent="0.2">
      <c r="DO41763" s="303" t="s">
        <v>232</v>
      </c>
    </row>
    <row r="41764" spans="119:119" x14ac:dyDescent="0.2">
      <c r="DO41764" s="303" t="s">
        <v>232</v>
      </c>
    </row>
    <row r="41765" spans="119:119" x14ac:dyDescent="0.2">
      <c r="DO41765" s="303" t="s">
        <v>232</v>
      </c>
    </row>
    <row r="41766" spans="119:119" x14ac:dyDescent="0.2">
      <c r="DO41766" s="303" t="s">
        <v>232</v>
      </c>
    </row>
    <row r="41767" spans="119:119" x14ac:dyDescent="0.2">
      <c r="DO41767" s="303" t="s">
        <v>232</v>
      </c>
    </row>
    <row r="41768" spans="119:119" x14ac:dyDescent="0.2">
      <c r="DO41768" s="303" t="s">
        <v>232</v>
      </c>
    </row>
    <row r="41769" spans="119:119" x14ac:dyDescent="0.2">
      <c r="DO41769" s="303" t="s">
        <v>232</v>
      </c>
    </row>
    <row r="41770" spans="119:119" x14ac:dyDescent="0.2">
      <c r="DO41770" s="303" t="s">
        <v>232</v>
      </c>
    </row>
    <row r="41771" spans="119:119" x14ac:dyDescent="0.2">
      <c r="DO41771" s="303" t="s">
        <v>232</v>
      </c>
    </row>
    <row r="41772" spans="119:119" x14ac:dyDescent="0.2">
      <c r="DO41772" s="303" t="s">
        <v>232</v>
      </c>
    </row>
    <row r="41773" spans="119:119" x14ac:dyDescent="0.2">
      <c r="DO41773" s="303" t="s">
        <v>232</v>
      </c>
    </row>
    <row r="41774" spans="119:119" x14ac:dyDescent="0.2">
      <c r="DO41774" s="303" t="s">
        <v>232</v>
      </c>
    </row>
    <row r="41775" spans="119:119" x14ac:dyDescent="0.2">
      <c r="DO41775" s="303" t="s">
        <v>232</v>
      </c>
    </row>
    <row r="41776" spans="119:119" x14ac:dyDescent="0.2">
      <c r="DO41776" s="303" t="s">
        <v>232</v>
      </c>
    </row>
    <row r="41777" spans="119:119" x14ac:dyDescent="0.2">
      <c r="DO41777" s="303" t="s">
        <v>232</v>
      </c>
    </row>
    <row r="41778" spans="119:119" x14ac:dyDescent="0.2">
      <c r="DO41778" s="303" t="s">
        <v>232</v>
      </c>
    </row>
    <row r="41779" spans="119:119" x14ac:dyDescent="0.2">
      <c r="DO41779" s="303" t="s">
        <v>232</v>
      </c>
    </row>
    <row r="41780" spans="119:119" x14ac:dyDescent="0.2">
      <c r="DO41780" s="303" t="s">
        <v>232</v>
      </c>
    </row>
    <row r="41781" spans="119:119" x14ac:dyDescent="0.2">
      <c r="DO41781" s="303" t="s">
        <v>232</v>
      </c>
    </row>
    <row r="41782" spans="119:119" x14ac:dyDescent="0.2">
      <c r="DO41782" s="303" t="s">
        <v>232</v>
      </c>
    </row>
    <row r="41783" spans="119:119" x14ac:dyDescent="0.2">
      <c r="DO41783" s="303" t="s">
        <v>232</v>
      </c>
    </row>
    <row r="41784" spans="119:119" x14ac:dyDescent="0.2">
      <c r="DO41784" s="303" t="s">
        <v>232</v>
      </c>
    </row>
    <row r="41785" spans="119:119" x14ac:dyDescent="0.2">
      <c r="DO41785" s="303" t="s">
        <v>232</v>
      </c>
    </row>
    <row r="41786" spans="119:119" x14ac:dyDescent="0.2">
      <c r="DO41786" s="303" t="s">
        <v>232</v>
      </c>
    </row>
    <row r="41787" spans="119:119" x14ac:dyDescent="0.2">
      <c r="DO41787" s="303" t="s">
        <v>232</v>
      </c>
    </row>
    <row r="41788" spans="119:119" x14ac:dyDescent="0.2">
      <c r="DO41788" s="303" t="s">
        <v>232</v>
      </c>
    </row>
    <row r="41789" spans="119:119" x14ac:dyDescent="0.2">
      <c r="DO41789" s="303" t="s">
        <v>232</v>
      </c>
    </row>
    <row r="41790" spans="119:119" x14ac:dyDescent="0.2">
      <c r="DO41790" s="303" t="s">
        <v>232</v>
      </c>
    </row>
    <row r="41791" spans="119:119" x14ac:dyDescent="0.2">
      <c r="DO41791" s="303" t="s">
        <v>232</v>
      </c>
    </row>
    <row r="41792" spans="119:119" x14ac:dyDescent="0.2">
      <c r="DO41792" s="303" t="s">
        <v>232</v>
      </c>
    </row>
    <row r="41793" spans="119:119" x14ac:dyDescent="0.2">
      <c r="DO41793" s="303" t="s">
        <v>232</v>
      </c>
    </row>
    <row r="41794" spans="119:119" x14ac:dyDescent="0.2">
      <c r="DO41794" s="303" t="s">
        <v>232</v>
      </c>
    </row>
    <row r="41795" spans="119:119" x14ac:dyDescent="0.2">
      <c r="DO41795" s="303" t="s">
        <v>232</v>
      </c>
    </row>
    <row r="41796" spans="119:119" x14ac:dyDescent="0.2">
      <c r="DO41796" s="303" t="s">
        <v>232</v>
      </c>
    </row>
    <row r="41797" spans="119:119" x14ac:dyDescent="0.2">
      <c r="DO41797" s="303" t="s">
        <v>232</v>
      </c>
    </row>
    <row r="41798" spans="119:119" x14ac:dyDescent="0.2">
      <c r="DO41798" s="303" t="s">
        <v>232</v>
      </c>
    </row>
    <row r="41799" spans="119:119" x14ac:dyDescent="0.2">
      <c r="DO41799" s="303" t="s">
        <v>232</v>
      </c>
    </row>
    <row r="41800" spans="119:119" x14ac:dyDescent="0.2">
      <c r="DO41800" s="303" t="s">
        <v>232</v>
      </c>
    </row>
    <row r="41801" spans="119:119" x14ac:dyDescent="0.2">
      <c r="DO41801" s="303" t="s">
        <v>232</v>
      </c>
    </row>
    <row r="41802" spans="119:119" x14ac:dyDescent="0.2">
      <c r="DO41802" s="303" t="s">
        <v>232</v>
      </c>
    </row>
    <row r="41803" spans="119:119" x14ac:dyDescent="0.2">
      <c r="DO41803" s="303" t="s">
        <v>232</v>
      </c>
    </row>
    <row r="41804" spans="119:119" x14ac:dyDescent="0.2">
      <c r="DO41804" s="303" t="s">
        <v>232</v>
      </c>
    </row>
    <row r="41805" spans="119:119" x14ac:dyDescent="0.2">
      <c r="DO41805" s="303" t="s">
        <v>232</v>
      </c>
    </row>
    <row r="41806" spans="119:119" x14ac:dyDescent="0.2">
      <c r="DO41806" s="303" t="s">
        <v>232</v>
      </c>
    </row>
    <row r="41807" spans="119:119" x14ac:dyDescent="0.2">
      <c r="DO41807" s="303" t="s">
        <v>232</v>
      </c>
    </row>
    <row r="41808" spans="119:119" x14ac:dyDescent="0.2">
      <c r="DO41808" s="303" t="s">
        <v>232</v>
      </c>
    </row>
    <row r="41809" spans="119:119" x14ac:dyDescent="0.2">
      <c r="DO41809" s="303" t="s">
        <v>232</v>
      </c>
    </row>
    <row r="41810" spans="119:119" x14ac:dyDescent="0.2">
      <c r="DO41810" s="303" t="s">
        <v>232</v>
      </c>
    </row>
    <row r="41811" spans="119:119" x14ac:dyDescent="0.2">
      <c r="DO41811" s="303" t="s">
        <v>232</v>
      </c>
    </row>
    <row r="41812" spans="119:119" x14ac:dyDescent="0.2">
      <c r="DO41812" s="303" t="s">
        <v>232</v>
      </c>
    </row>
    <row r="41813" spans="119:119" x14ac:dyDescent="0.2">
      <c r="DO41813" s="303" t="s">
        <v>232</v>
      </c>
    </row>
    <row r="41814" spans="119:119" x14ac:dyDescent="0.2">
      <c r="DO41814" s="303" t="s">
        <v>232</v>
      </c>
    </row>
    <row r="41815" spans="119:119" x14ac:dyDescent="0.2">
      <c r="DO41815" s="303" t="s">
        <v>232</v>
      </c>
    </row>
    <row r="41816" spans="119:119" x14ac:dyDescent="0.2">
      <c r="DO41816" s="303" t="s">
        <v>232</v>
      </c>
    </row>
    <row r="41817" spans="119:119" x14ac:dyDescent="0.2">
      <c r="DO41817" s="303" t="s">
        <v>232</v>
      </c>
    </row>
    <row r="41818" spans="119:119" x14ac:dyDescent="0.2">
      <c r="DO41818" s="303" t="s">
        <v>232</v>
      </c>
    </row>
    <row r="41819" spans="119:119" x14ac:dyDescent="0.2">
      <c r="DO41819" s="303" t="s">
        <v>232</v>
      </c>
    </row>
    <row r="41820" spans="119:119" x14ac:dyDescent="0.2">
      <c r="DO41820" s="303" t="s">
        <v>232</v>
      </c>
    </row>
    <row r="41821" spans="119:119" x14ac:dyDescent="0.2">
      <c r="DO41821" s="303" t="s">
        <v>232</v>
      </c>
    </row>
    <row r="41822" spans="119:119" x14ac:dyDescent="0.2">
      <c r="DO41822" s="303" t="s">
        <v>232</v>
      </c>
    </row>
    <row r="41823" spans="119:119" x14ac:dyDescent="0.2">
      <c r="DO41823" s="303" t="s">
        <v>232</v>
      </c>
    </row>
    <row r="41824" spans="119:119" x14ac:dyDescent="0.2">
      <c r="DO41824" s="303" t="s">
        <v>232</v>
      </c>
    </row>
    <row r="41825" spans="119:119" x14ac:dyDescent="0.2">
      <c r="DO41825" s="303" t="s">
        <v>232</v>
      </c>
    </row>
    <row r="41826" spans="119:119" x14ac:dyDescent="0.2">
      <c r="DO41826" s="303" t="s">
        <v>232</v>
      </c>
    </row>
    <row r="41827" spans="119:119" x14ac:dyDescent="0.2">
      <c r="DO41827" s="303" t="s">
        <v>232</v>
      </c>
    </row>
    <row r="41828" spans="119:119" x14ac:dyDescent="0.2">
      <c r="DO41828" s="303" t="s">
        <v>232</v>
      </c>
    </row>
    <row r="41829" spans="119:119" x14ac:dyDescent="0.2">
      <c r="DO41829" s="303" t="s">
        <v>232</v>
      </c>
    </row>
    <row r="41830" spans="119:119" x14ac:dyDescent="0.2">
      <c r="DO41830" s="303" t="s">
        <v>232</v>
      </c>
    </row>
    <row r="41831" spans="119:119" x14ac:dyDescent="0.2">
      <c r="DO41831" s="303" t="s">
        <v>232</v>
      </c>
    </row>
    <row r="41832" spans="119:119" x14ac:dyDescent="0.2">
      <c r="DO41832" s="303" t="s">
        <v>232</v>
      </c>
    </row>
    <row r="41833" spans="119:119" x14ac:dyDescent="0.2">
      <c r="DO41833" s="303" t="s">
        <v>232</v>
      </c>
    </row>
    <row r="41834" spans="119:119" x14ac:dyDescent="0.2">
      <c r="DO41834" s="303" t="s">
        <v>232</v>
      </c>
    </row>
    <row r="41835" spans="119:119" x14ac:dyDescent="0.2">
      <c r="DO41835" s="303" t="s">
        <v>232</v>
      </c>
    </row>
    <row r="41836" spans="119:119" x14ac:dyDescent="0.2">
      <c r="DO41836" s="303" t="s">
        <v>232</v>
      </c>
    </row>
    <row r="41837" spans="119:119" x14ac:dyDescent="0.2">
      <c r="DO41837" s="303" t="s">
        <v>232</v>
      </c>
    </row>
    <row r="41838" spans="119:119" x14ac:dyDescent="0.2">
      <c r="DO41838" s="303" t="s">
        <v>232</v>
      </c>
    </row>
    <row r="41839" spans="119:119" x14ac:dyDescent="0.2">
      <c r="DO41839" s="303" t="s">
        <v>232</v>
      </c>
    </row>
    <row r="41840" spans="119:119" x14ac:dyDescent="0.2">
      <c r="DO41840" s="303" t="s">
        <v>232</v>
      </c>
    </row>
    <row r="41841" spans="119:119" x14ac:dyDescent="0.2">
      <c r="DO41841" s="303" t="s">
        <v>232</v>
      </c>
    </row>
    <row r="41842" spans="119:119" x14ac:dyDescent="0.2">
      <c r="DO41842" s="303" t="s">
        <v>232</v>
      </c>
    </row>
    <row r="41843" spans="119:119" x14ac:dyDescent="0.2">
      <c r="DO41843" s="303" t="s">
        <v>232</v>
      </c>
    </row>
    <row r="41844" spans="119:119" x14ac:dyDescent="0.2">
      <c r="DO41844" s="303" t="s">
        <v>232</v>
      </c>
    </row>
    <row r="41845" spans="119:119" x14ac:dyDescent="0.2">
      <c r="DO41845" s="303" t="s">
        <v>232</v>
      </c>
    </row>
    <row r="41846" spans="119:119" x14ac:dyDescent="0.2">
      <c r="DO41846" s="303" t="s">
        <v>232</v>
      </c>
    </row>
    <row r="41847" spans="119:119" x14ac:dyDescent="0.2">
      <c r="DO41847" s="303" t="s">
        <v>232</v>
      </c>
    </row>
    <row r="41848" spans="119:119" x14ac:dyDescent="0.2">
      <c r="DO41848" s="303" t="s">
        <v>232</v>
      </c>
    </row>
    <row r="41849" spans="119:119" x14ac:dyDescent="0.2">
      <c r="DO41849" s="303" t="s">
        <v>232</v>
      </c>
    </row>
    <row r="41850" spans="119:119" x14ac:dyDescent="0.2">
      <c r="DO41850" s="303" t="s">
        <v>232</v>
      </c>
    </row>
    <row r="41851" spans="119:119" x14ac:dyDescent="0.2">
      <c r="DO41851" s="303" t="s">
        <v>232</v>
      </c>
    </row>
    <row r="41852" spans="119:119" x14ac:dyDescent="0.2">
      <c r="DO41852" s="303" t="s">
        <v>232</v>
      </c>
    </row>
    <row r="41853" spans="119:119" x14ac:dyDescent="0.2">
      <c r="DO41853" s="303" t="s">
        <v>232</v>
      </c>
    </row>
    <row r="41854" spans="119:119" x14ac:dyDescent="0.2">
      <c r="DO41854" s="303" t="s">
        <v>232</v>
      </c>
    </row>
    <row r="41855" spans="119:119" x14ac:dyDescent="0.2">
      <c r="DO41855" s="303" t="s">
        <v>232</v>
      </c>
    </row>
    <row r="41856" spans="119:119" x14ac:dyDescent="0.2">
      <c r="DO41856" s="303" t="s">
        <v>232</v>
      </c>
    </row>
    <row r="41857" spans="119:119" x14ac:dyDescent="0.2">
      <c r="DO41857" s="303" t="s">
        <v>232</v>
      </c>
    </row>
    <row r="41858" spans="119:119" x14ac:dyDescent="0.2">
      <c r="DO41858" s="303" t="s">
        <v>232</v>
      </c>
    </row>
    <row r="41859" spans="119:119" x14ac:dyDescent="0.2">
      <c r="DO41859" s="303" t="s">
        <v>232</v>
      </c>
    </row>
    <row r="41860" spans="119:119" x14ac:dyDescent="0.2">
      <c r="DO41860" s="303" t="s">
        <v>232</v>
      </c>
    </row>
    <row r="41861" spans="119:119" x14ac:dyDescent="0.2">
      <c r="DO41861" s="303" t="s">
        <v>232</v>
      </c>
    </row>
    <row r="41862" spans="119:119" x14ac:dyDescent="0.2">
      <c r="DO41862" s="303" t="s">
        <v>232</v>
      </c>
    </row>
    <row r="41863" spans="119:119" x14ac:dyDescent="0.2">
      <c r="DO41863" s="303" t="s">
        <v>232</v>
      </c>
    </row>
    <row r="41864" spans="119:119" x14ac:dyDescent="0.2">
      <c r="DO41864" s="303" t="s">
        <v>232</v>
      </c>
    </row>
    <row r="41865" spans="119:119" x14ac:dyDescent="0.2">
      <c r="DO41865" s="303" t="s">
        <v>232</v>
      </c>
    </row>
    <row r="41866" spans="119:119" x14ac:dyDescent="0.2">
      <c r="DO41866" s="303" t="s">
        <v>232</v>
      </c>
    </row>
    <row r="41867" spans="119:119" x14ac:dyDescent="0.2">
      <c r="DO41867" s="303" t="s">
        <v>232</v>
      </c>
    </row>
    <row r="41868" spans="119:119" x14ac:dyDescent="0.2">
      <c r="DO41868" s="303" t="s">
        <v>232</v>
      </c>
    </row>
    <row r="41869" spans="119:119" x14ac:dyDescent="0.2">
      <c r="DO41869" s="303" t="s">
        <v>232</v>
      </c>
    </row>
    <row r="41870" spans="119:119" x14ac:dyDescent="0.2">
      <c r="DO41870" s="303" t="s">
        <v>232</v>
      </c>
    </row>
    <row r="41871" spans="119:119" x14ac:dyDescent="0.2">
      <c r="DO41871" s="303" t="s">
        <v>232</v>
      </c>
    </row>
    <row r="41872" spans="119:119" x14ac:dyDescent="0.2">
      <c r="DO41872" s="303" t="s">
        <v>232</v>
      </c>
    </row>
    <row r="41873" spans="119:119" x14ac:dyDescent="0.2">
      <c r="DO41873" s="303" t="s">
        <v>232</v>
      </c>
    </row>
    <row r="41874" spans="119:119" x14ac:dyDescent="0.2">
      <c r="DO41874" s="303" t="s">
        <v>232</v>
      </c>
    </row>
    <row r="41875" spans="119:119" x14ac:dyDescent="0.2">
      <c r="DO41875" s="303" t="s">
        <v>232</v>
      </c>
    </row>
    <row r="41876" spans="119:119" x14ac:dyDescent="0.2">
      <c r="DO41876" s="303" t="s">
        <v>232</v>
      </c>
    </row>
    <row r="41877" spans="119:119" x14ac:dyDescent="0.2">
      <c r="DO41877" s="303" t="s">
        <v>232</v>
      </c>
    </row>
    <row r="41878" spans="119:119" x14ac:dyDescent="0.2">
      <c r="DO41878" s="303" t="s">
        <v>232</v>
      </c>
    </row>
    <row r="41879" spans="119:119" x14ac:dyDescent="0.2">
      <c r="DO41879" s="303" t="s">
        <v>232</v>
      </c>
    </row>
    <row r="41880" spans="119:119" x14ac:dyDescent="0.2">
      <c r="DO41880" s="303" t="s">
        <v>232</v>
      </c>
    </row>
    <row r="41881" spans="119:119" x14ac:dyDescent="0.2">
      <c r="DO41881" s="303" t="s">
        <v>232</v>
      </c>
    </row>
    <row r="41882" spans="119:119" x14ac:dyDescent="0.2">
      <c r="DO41882" s="303" t="s">
        <v>232</v>
      </c>
    </row>
    <row r="41883" spans="119:119" x14ac:dyDescent="0.2">
      <c r="DO41883" s="303" t="s">
        <v>232</v>
      </c>
    </row>
    <row r="41884" spans="119:119" x14ac:dyDescent="0.2">
      <c r="DO41884" s="303" t="s">
        <v>232</v>
      </c>
    </row>
    <row r="41885" spans="119:119" x14ac:dyDescent="0.2">
      <c r="DO41885" s="303" t="s">
        <v>232</v>
      </c>
    </row>
    <row r="41886" spans="119:119" x14ac:dyDescent="0.2">
      <c r="DO41886" s="303" t="s">
        <v>232</v>
      </c>
    </row>
    <row r="41887" spans="119:119" x14ac:dyDescent="0.2">
      <c r="DO41887" s="303" t="s">
        <v>232</v>
      </c>
    </row>
    <row r="41888" spans="119:119" x14ac:dyDescent="0.2">
      <c r="DO41888" s="303" t="s">
        <v>232</v>
      </c>
    </row>
    <row r="41889" spans="119:119" x14ac:dyDescent="0.2">
      <c r="DO41889" s="303" t="s">
        <v>232</v>
      </c>
    </row>
    <row r="41890" spans="119:119" x14ac:dyDescent="0.2">
      <c r="DO41890" s="303" t="s">
        <v>232</v>
      </c>
    </row>
    <row r="41891" spans="119:119" x14ac:dyDescent="0.2">
      <c r="DO41891" s="303" t="s">
        <v>232</v>
      </c>
    </row>
    <row r="41892" spans="119:119" x14ac:dyDescent="0.2">
      <c r="DO41892" s="303" t="s">
        <v>232</v>
      </c>
    </row>
    <row r="41893" spans="119:119" x14ac:dyDescent="0.2">
      <c r="DO41893" s="303" t="s">
        <v>232</v>
      </c>
    </row>
    <row r="41894" spans="119:119" x14ac:dyDescent="0.2">
      <c r="DO41894" s="303" t="s">
        <v>232</v>
      </c>
    </row>
    <row r="41895" spans="119:119" x14ac:dyDescent="0.2">
      <c r="DO41895" s="303" t="s">
        <v>232</v>
      </c>
    </row>
    <row r="41896" spans="119:119" x14ac:dyDescent="0.2">
      <c r="DO41896" s="303" t="s">
        <v>232</v>
      </c>
    </row>
    <row r="41897" spans="119:119" x14ac:dyDescent="0.2">
      <c r="DO41897" s="303" t="s">
        <v>232</v>
      </c>
    </row>
    <row r="41898" spans="119:119" x14ac:dyDescent="0.2">
      <c r="DO41898" s="303" t="s">
        <v>232</v>
      </c>
    </row>
    <row r="41899" spans="119:119" x14ac:dyDescent="0.2">
      <c r="DO41899" s="303" t="s">
        <v>232</v>
      </c>
    </row>
    <row r="41900" spans="119:119" x14ac:dyDescent="0.2">
      <c r="DO41900" s="303" t="s">
        <v>232</v>
      </c>
    </row>
    <row r="41901" spans="119:119" x14ac:dyDescent="0.2">
      <c r="DO41901" s="303" t="s">
        <v>232</v>
      </c>
    </row>
    <row r="41902" spans="119:119" x14ac:dyDescent="0.2">
      <c r="DO41902" s="303" t="s">
        <v>232</v>
      </c>
    </row>
    <row r="41903" spans="119:119" x14ac:dyDescent="0.2">
      <c r="DO41903" s="303" t="s">
        <v>232</v>
      </c>
    </row>
    <row r="41904" spans="119:119" x14ac:dyDescent="0.2">
      <c r="DO41904" s="303" t="s">
        <v>232</v>
      </c>
    </row>
    <row r="41905" spans="119:119" x14ac:dyDescent="0.2">
      <c r="DO41905" s="303" t="s">
        <v>232</v>
      </c>
    </row>
    <row r="41906" spans="119:119" x14ac:dyDescent="0.2">
      <c r="DO41906" s="303" t="s">
        <v>232</v>
      </c>
    </row>
    <row r="41907" spans="119:119" x14ac:dyDescent="0.2">
      <c r="DO41907" s="303" t="s">
        <v>232</v>
      </c>
    </row>
    <row r="41908" spans="119:119" x14ac:dyDescent="0.2">
      <c r="DO41908" s="303" t="s">
        <v>232</v>
      </c>
    </row>
    <row r="41909" spans="119:119" x14ac:dyDescent="0.2">
      <c r="DO41909" s="303" t="s">
        <v>232</v>
      </c>
    </row>
    <row r="41910" spans="119:119" x14ac:dyDescent="0.2">
      <c r="DO41910" s="303" t="s">
        <v>232</v>
      </c>
    </row>
    <row r="41911" spans="119:119" x14ac:dyDescent="0.2">
      <c r="DO41911" s="303" t="s">
        <v>232</v>
      </c>
    </row>
    <row r="41912" spans="119:119" x14ac:dyDescent="0.2">
      <c r="DO41912" s="303" t="s">
        <v>232</v>
      </c>
    </row>
    <row r="41913" spans="119:119" x14ac:dyDescent="0.2">
      <c r="DO41913" s="303" t="s">
        <v>232</v>
      </c>
    </row>
    <row r="41914" spans="119:119" x14ac:dyDescent="0.2">
      <c r="DO41914" s="303" t="s">
        <v>232</v>
      </c>
    </row>
    <row r="41915" spans="119:119" x14ac:dyDescent="0.2">
      <c r="DO41915" s="303" t="s">
        <v>232</v>
      </c>
    </row>
    <row r="41916" spans="119:119" x14ac:dyDescent="0.2">
      <c r="DO41916" s="303" t="s">
        <v>232</v>
      </c>
    </row>
    <row r="41917" spans="119:119" x14ac:dyDescent="0.2">
      <c r="DO41917" s="303" t="s">
        <v>232</v>
      </c>
    </row>
    <row r="41918" spans="119:119" x14ac:dyDescent="0.2">
      <c r="DO41918" s="303" t="s">
        <v>232</v>
      </c>
    </row>
    <row r="41919" spans="119:119" x14ac:dyDescent="0.2">
      <c r="DO41919" s="303" t="s">
        <v>232</v>
      </c>
    </row>
    <row r="41920" spans="119:119" x14ac:dyDescent="0.2">
      <c r="DO41920" s="303" t="s">
        <v>232</v>
      </c>
    </row>
    <row r="41921" spans="119:119" x14ac:dyDescent="0.2">
      <c r="DO41921" s="303" t="s">
        <v>232</v>
      </c>
    </row>
    <row r="41922" spans="119:119" x14ac:dyDescent="0.2">
      <c r="DO41922" s="303" t="s">
        <v>232</v>
      </c>
    </row>
    <row r="41923" spans="119:119" x14ac:dyDescent="0.2">
      <c r="DO41923" s="303" t="s">
        <v>232</v>
      </c>
    </row>
    <row r="41924" spans="119:119" x14ac:dyDescent="0.2">
      <c r="DO41924" s="303" t="s">
        <v>232</v>
      </c>
    </row>
    <row r="41925" spans="119:119" x14ac:dyDescent="0.2">
      <c r="DO41925" s="303" t="s">
        <v>232</v>
      </c>
    </row>
    <row r="41926" spans="119:119" x14ac:dyDescent="0.2">
      <c r="DO41926" s="303" t="s">
        <v>232</v>
      </c>
    </row>
    <row r="41927" spans="119:119" x14ac:dyDescent="0.2">
      <c r="DO41927" s="303" t="s">
        <v>232</v>
      </c>
    </row>
    <row r="41928" spans="119:119" x14ac:dyDescent="0.2">
      <c r="DO41928" s="303" t="s">
        <v>232</v>
      </c>
    </row>
    <row r="41929" spans="119:119" x14ac:dyDescent="0.2">
      <c r="DO41929" s="303" t="s">
        <v>232</v>
      </c>
    </row>
    <row r="41930" spans="119:119" x14ac:dyDescent="0.2">
      <c r="DO41930" s="303" t="s">
        <v>232</v>
      </c>
    </row>
    <row r="41931" spans="119:119" x14ac:dyDescent="0.2">
      <c r="DO41931" s="303" t="s">
        <v>232</v>
      </c>
    </row>
    <row r="41932" spans="119:119" x14ac:dyDescent="0.2">
      <c r="DO41932" s="303" t="s">
        <v>232</v>
      </c>
    </row>
    <row r="41933" spans="119:119" x14ac:dyDescent="0.2">
      <c r="DO41933" s="303" t="s">
        <v>232</v>
      </c>
    </row>
    <row r="41934" spans="119:119" x14ac:dyDescent="0.2">
      <c r="DO41934" s="303" t="s">
        <v>232</v>
      </c>
    </row>
    <row r="41935" spans="119:119" x14ac:dyDescent="0.2">
      <c r="DO41935" s="303" t="s">
        <v>232</v>
      </c>
    </row>
    <row r="41936" spans="119:119" x14ac:dyDescent="0.2">
      <c r="DO41936" s="303" t="s">
        <v>232</v>
      </c>
    </row>
    <row r="41937" spans="119:119" x14ac:dyDescent="0.2">
      <c r="DO41937" s="303" t="s">
        <v>232</v>
      </c>
    </row>
    <row r="41938" spans="119:119" x14ac:dyDescent="0.2">
      <c r="DO41938" s="303" t="s">
        <v>232</v>
      </c>
    </row>
    <row r="41939" spans="119:119" x14ac:dyDescent="0.2">
      <c r="DO41939" s="303" t="s">
        <v>232</v>
      </c>
    </row>
    <row r="41940" spans="119:119" x14ac:dyDescent="0.2">
      <c r="DO41940" s="303" t="s">
        <v>232</v>
      </c>
    </row>
    <row r="41941" spans="119:119" x14ac:dyDescent="0.2">
      <c r="DO41941" s="303" t="s">
        <v>232</v>
      </c>
    </row>
    <row r="41942" spans="119:119" x14ac:dyDescent="0.2">
      <c r="DO41942" s="303" t="s">
        <v>232</v>
      </c>
    </row>
    <row r="41943" spans="119:119" x14ac:dyDescent="0.2">
      <c r="DO41943" s="303" t="s">
        <v>232</v>
      </c>
    </row>
    <row r="41944" spans="119:119" x14ac:dyDescent="0.2">
      <c r="DO41944" s="303" t="s">
        <v>232</v>
      </c>
    </row>
    <row r="41945" spans="119:119" x14ac:dyDescent="0.2">
      <c r="DO41945" s="303" t="s">
        <v>232</v>
      </c>
    </row>
    <row r="41946" spans="119:119" x14ac:dyDescent="0.2">
      <c r="DO41946" s="303" t="s">
        <v>232</v>
      </c>
    </row>
    <row r="41947" spans="119:119" x14ac:dyDescent="0.2">
      <c r="DO41947" s="303" t="s">
        <v>232</v>
      </c>
    </row>
    <row r="41948" spans="119:119" x14ac:dyDescent="0.2">
      <c r="DO41948" s="303" t="s">
        <v>232</v>
      </c>
    </row>
    <row r="41949" spans="119:119" x14ac:dyDescent="0.2">
      <c r="DO41949" s="303" t="s">
        <v>232</v>
      </c>
    </row>
    <row r="41950" spans="119:119" x14ac:dyDescent="0.2">
      <c r="DO41950" s="303" t="s">
        <v>232</v>
      </c>
    </row>
    <row r="41951" spans="119:119" x14ac:dyDescent="0.2">
      <c r="DO41951" s="303" t="s">
        <v>232</v>
      </c>
    </row>
    <row r="41952" spans="119:119" x14ac:dyDescent="0.2">
      <c r="DO41952" s="303" t="s">
        <v>232</v>
      </c>
    </row>
    <row r="41953" spans="119:119" x14ac:dyDescent="0.2">
      <c r="DO41953" s="303" t="s">
        <v>232</v>
      </c>
    </row>
    <row r="41954" spans="119:119" x14ac:dyDescent="0.2">
      <c r="DO41954" s="303" t="s">
        <v>232</v>
      </c>
    </row>
    <row r="41955" spans="119:119" x14ac:dyDescent="0.2">
      <c r="DO41955" s="303" t="s">
        <v>232</v>
      </c>
    </row>
    <row r="41956" spans="119:119" x14ac:dyDescent="0.2">
      <c r="DO41956" s="303" t="s">
        <v>232</v>
      </c>
    </row>
    <row r="41957" spans="119:119" x14ac:dyDescent="0.2">
      <c r="DO41957" s="303" t="s">
        <v>232</v>
      </c>
    </row>
    <row r="41958" spans="119:119" x14ac:dyDescent="0.2">
      <c r="DO41958" s="303" t="s">
        <v>232</v>
      </c>
    </row>
    <row r="41959" spans="119:119" x14ac:dyDescent="0.2">
      <c r="DO41959" s="303" t="s">
        <v>232</v>
      </c>
    </row>
    <row r="41960" spans="119:119" x14ac:dyDescent="0.2">
      <c r="DO41960" s="303" t="s">
        <v>232</v>
      </c>
    </row>
    <row r="41961" spans="119:119" x14ac:dyDescent="0.2">
      <c r="DO41961" s="303" t="s">
        <v>232</v>
      </c>
    </row>
    <row r="41962" spans="119:119" x14ac:dyDescent="0.2">
      <c r="DO41962" s="303" t="s">
        <v>232</v>
      </c>
    </row>
    <row r="41963" spans="119:119" x14ac:dyDescent="0.2">
      <c r="DO41963" s="303" t="s">
        <v>232</v>
      </c>
    </row>
    <row r="41964" spans="119:119" x14ac:dyDescent="0.2">
      <c r="DO41964" s="303" t="s">
        <v>232</v>
      </c>
    </row>
    <row r="41965" spans="119:119" x14ac:dyDescent="0.2">
      <c r="DO41965" s="303" t="s">
        <v>232</v>
      </c>
    </row>
    <row r="41966" spans="119:119" x14ac:dyDescent="0.2">
      <c r="DO41966" s="303" t="s">
        <v>232</v>
      </c>
    </row>
    <row r="41967" spans="119:119" x14ac:dyDescent="0.2">
      <c r="DO41967" s="303" t="s">
        <v>232</v>
      </c>
    </row>
    <row r="41968" spans="119:119" x14ac:dyDescent="0.2">
      <c r="DO41968" s="303" t="s">
        <v>232</v>
      </c>
    </row>
    <row r="41969" spans="119:119" x14ac:dyDescent="0.2">
      <c r="DO41969" s="303" t="s">
        <v>232</v>
      </c>
    </row>
    <row r="41970" spans="119:119" x14ac:dyDescent="0.2">
      <c r="DO41970" s="303" t="s">
        <v>232</v>
      </c>
    </row>
    <row r="41971" spans="119:119" x14ac:dyDescent="0.2">
      <c r="DO41971" s="303" t="s">
        <v>232</v>
      </c>
    </row>
    <row r="41972" spans="119:119" x14ac:dyDescent="0.2">
      <c r="DO41972" s="303" t="s">
        <v>232</v>
      </c>
    </row>
    <row r="41973" spans="119:119" x14ac:dyDescent="0.2">
      <c r="DO41973" s="303" t="s">
        <v>232</v>
      </c>
    </row>
    <row r="41974" spans="119:119" x14ac:dyDescent="0.2">
      <c r="DO41974" s="303" t="s">
        <v>232</v>
      </c>
    </row>
    <row r="41975" spans="119:119" x14ac:dyDescent="0.2">
      <c r="DO41975" s="303" t="s">
        <v>232</v>
      </c>
    </row>
    <row r="41976" spans="119:119" x14ac:dyDescent="0.2">
      <c r="DO41976" s="303" t="s">
        <v>232</v>
      </c>
    </row>
    <row r="41977" spans="119:119" x14ac:dyDescent="0.2">
      <c r="DO41977" s="303" t="s">
        <v>232</v>
      </c>
    </row>
    <row r="41978" spans="119:119" x14ac:dyDescent="0.2">
      <c r="DO41978" s="303" t="s">
        <v>232</v>
      </c>
    </row>
    <row r="41979" spans="119:119" x14ac:dyDescent="0.2">
      <c r="DO41979" s="303" t="s">
        <v>232</v>
      </c>
    </row>
    <row r="41980" spans="119:119" x14ac:dyDescent="0.2">
      <c r="DO41980" s="303" t="s">
        <v>232</v>
      </c>
    </row>
    <row r="41981" spans="119:119" x14ac:dyDescent="0.2">
      <c r="DO41981" s="303" t="s">
        <v>232</v>
      </c>
    </row>
    <row r="41982" spans="119:119" x14ac:dyDescent="0.2">
      <c r="DO41982" s="303" t="s">
        <v>232</v>
      </c>
    </row>
    <row r="41983" spans="119:119" x14ac:dyDescent="0.2">
      <c r="DO41983" s="303" t="s">
        <v>232</v>
      </c>
    </row>
    <row r="41984" spans="119:119" x14ac:dyDescent="0.2">
      <c r="DO41984" s="303" t="s">
        <v>232</v>
      </c>
    </row>
    <row r="41985" spans="119:119" x14ac:dyDescent="0.2">
      <c r="DO41985" s="303" t="s">
        <v>232</v>
      </c>
    </row>
    <row r="41986" spans="119:119" x14ac:dyDescent="0.2">
      <c r="DO41986" s="303" t="s">
        <v>232</v>
      </c>
    </row>
    <row r="41987" spans="119:119" x14ac:dyDescent="0.2">
      <c r="DO41987" s="303" t="s">
        <v>232</v>
      </c>
    </row>
    <row r="41988" spans="119:119" x14ac:dyDescent="0.2">
      <c r="DO41988" s="303" t="s">
        <v>232</v>
      </c>
    </row>
    <row r="41989" spans="119:119" x14ac:dyDescent="0.2">
      <c r="DO41989" s="303" t="s">
        <v>232</v>
      </c>
    </row>
    <row r="41990" spans="119:119" x14ac:dyDescent="0.2">
      <c r="DO41990" s="303" t="s">
        <v>232</v>
      </c>
    </row>
    <row r="41991" spans="119:119" x14ac:dyDescent="0.2">
      <c r="DO41991" s="303" t="s">
        <v>232</v>
      </c>
    </row>
    <row r="41992" spans="119:119" x14ac:dyDescent="0.2">
      <c r="DO41992" s="303" t="s">
        <v>232</v>
      </c>
    </row>
    <row r="41993" spans="119:119" x14ac:dyDescent="0.2">
      <c r="DO41993" s="303" t="s">
        <v>232</v>
      </c>
    </row>
    <row r="41994" spans="119:119" x14ac:dyDescent="0.2">
      <c r="DO41994" s="303" t="s">
        <v>232</v>
      </c>
    </row>
    <row r="41995" spans="119:119" x14ac:dyDescent="0.2">
      <c r="DO41995" s="303" t="s">
        <v>232</v>
      </c>
    </row>
    <row r="41996" spans="119:119" x14ac:dyDescent="0.2">
      <c r="DO41996" s="303" t="s">
        <v>232</v>
      </c>
    </row>
    <row r="41997" spans="119:119" x14ac:dyDescent="0.2">
      <c r="DO41997" s="303" t="s">
        <v>232</v>
      </c>
    </row>
    <row r="41998" spans="119:119" x14ac:dyDescent="0.2">
      <c r="DO41998" s="303" t="s">
        <v>232</v>
      </c>
    </row>
    <row r="41999" spans="119:119" x14ac:dyDescent="0.2">
      <c r="DO41999" s="303" t="s">
        <v>232</v>
      </c>
    </row>
    <row r="42000" spans="119:119" x14ac:dyDescent="0.2">
      <c r="DO42000" s="303" t="s">
        <v>232</v>
      </c>
    </row>
    <row r="42001" spans="119:119" x14ac:dyDescent="0.2">
      <c r="DO42001" s="303" t="s">
        <v>232</v>
      </c>
    </row>
    <row r="42002" spans="119:119" x14ac:dyDescent="0.2">
      <c r="DO42002" s="303" t="s">
        <v>232</v>
      </c>
    </row>
    <row r="42003" spans="119:119" x14ac:dyDescent="0.2">
      <c r="DO42003" s="303" t="s">
        <v>232</v>
      </c>
    </row>
    <row r="42004" spans="119:119" x14ac:dyDescent="0.2">
      <c r="DO42004" s="303" t="s">
        <v>232</v>
      </c>
    </row>
    <row r="42005" spans="119:119" x14ac:dyDescent="0.2">
      <c r="DO42005" s="303" t="s">
        <v>232</v>
      </c>
    </row>
    <row r="42006" spans="119:119" x14ac:dyDescent="0.2">
      <c r="DO42006" s="303" t="s">
        <v>232</v>
      </c>
    </row>
    <row r="42007" spans="119:119" x14ac:dyDescent="0.2">
      <c r="DO42007" s="303" t="s">
        <v>232</v>
      </c>
    </row>
    <row r="42008" spans="119:119" x14ac:dyDescent="0.2">
      <c r="DO42008" s="303" t="s">
        <v>232</v>
      </c>
    </row>
    <row r="42009" spans="119:119" x14ac:dyDescent="0.2">
      <c r="DO42009" s="303" t="s">
        <v>232</v>
      </c>
    </row>
    <row r="42010" spans="119:119" x14ac:dyDescent="0.2">
      <c r="DO42010" s="303" t="s">
        <v>232</v>
      </c>
    </row>
    <row r="42011" spans="119:119" x14ac:dyDescent="0.2">
      <c r="DO42011" s="303" t="s">
        <v>232</v>
      </c>
    </row>
    <row r="42012" spans="119:119" x14ac:dyDescent="0.2">
      <c r="DO42012" s="303" t="s">
        <v>232</v>
      </c>
    </row>
    <row r="42013" spans="119:119" x14ac:dyDescent="0.2">
      <c r="DO42013" s="303" t="s">
        <v>232</v>
      </c>
    </row>
    <row r="42014" spans="119:119" x14ac:dyDescent="0.2">
      <c r="DO42014" s="303" t="s">
        <v>232</v>
      </c>
    </row>
    <row r="42015" spans="119:119" x14ac:dyDescent="0.2">
      <c r="DO42015" s="303" t="s">
        <v>232</v>
      </c>
    </row>
    <row r="42016" spans="119:119" x14ac:dyDescent="0.2">
      <c r="DO42016" s="303" t="s">
        <v>232</v>
      </c>
    </row>
    <row r="42017" spans="119:119" x14ac:dyDescent="0.2">
      <c r="DO42017" s="303" t="s">
        <v>232</v>
      </c>
    </row>
    <row r="42018" spans="119:119" x14ac:dyDescent="0.2">
      <c r="DO42018" s="303" t="s">
        <v>232</v>
      </c>
    </row>
    <row r="42019" spans="119:119" x14ac:dyDescent="0.2">
      <c r="DO42019" s="303" t="s">
        <v>232</v>
      </c>
    </row>
    <row r="42020" spans="119:119" x14ac:dyDescent="0.2">
      <c r="DO42020" s="303" t="s">
        <v>232</v>
      </c>
    </row>
    <row r="42021" spans="119:119" x14ac:dyDescent="0.2">
      <c r="DO42021" s="303" t="s">
        <v>232</v>
      </c>
    </row>
    <row r="42022" spans="119:119" x14ac:dyDescent="0.2">
      <c r="DO42022" s="303" t="s">
        <v>232</v>
      </c>
    </row>
    <row r="42023" spans="119:119" x14ac:dyDescent="0.2">
      <c r="DO42023" s="303" t="s">
        <v>232</v>
      </c>
    </row>
    <row r="42024" spans="119:119" x14ac:dyDescent="0.2">
      <c r="DO42024" s="303" t="s">
        <v>232</v>
      </c>
    </row>
    <row r="42025" spans="119:119" x14ac:dyDescent="0.2">
      <c r="DO42025" s="303" t="s">
        <v>232</v>
      </c>
    </row>
    <row r="42026" spans="119:119" x14ac:dyDescent="0.2">
      <c r="DO42026" s="303" t="s">
        <v>232</v>
      </c>
    </row>
    <row r="42027" spans="119:119" x14ac:dyDescent="0.2">
      <c r="DO42027" s="303" t="s">
        <v>232</v>
      </c>
    </row>
    <row r="42028" spans="119:119" x14ac:dyDescent="0.2">
      <c r="DO42028" s="303" t="s">
        <v>232</v>
      </c>
    </row>
    <row r="42029" spans="119:119" x14ac:dyDescent="0.2">
      <c r="DO42029" s="303" t="s">
        <v>232</v>
      </c>
    </row>
    <row r="42030" spans="119:119" x14ac:dyDescent="0.2">
      <c r="DO42030" s="303" t="s">
        <v>232</v>
      </c>
    </row>
    <row r="42031" spans="119:119" x14ac:dyDescent="0.2">
      <c r="DO42031" s="303" t="s">
        <v>232</v>
      </c>
    </row>
    <row r="42032" spans="119:119" x14ac:dyDescent="0.2">
      <c r="DO42032" s="303" t="s">
        <v>232</v>
      </c>
    </row>
    <row r="42033" spans="119:119" x14ac:dyDescent="0.2">
      <c r="DO42033" s="303" t="s">
        <v>232</v>
      </c>
    </row>
    <row r="42034" spans="119:119" x14ac:dyDescent="0.2">
      <c r="DO42034" s="303" t="s">
        <v>232</v>
      </c>
    </row>
    <row r="42035" spans="119:119" x14ac:dyDescent="0.2">
      <c r="DO42035" s="303" t="s">
        <v>232</v>
      </c>
    </row>
    <row r="42036" spans="119:119" x14ac:dyDescent="0.2">
      <c r="DO42036" s="303" t="s">
        <v>232</v>
      </c>
    </row>
    <row r="42037" spans="119:119" x14ac:dyDescent="0.2">
      <c r="DO42037" s="303" t="s">
        <v>232</v>
      </c>
    </row>
    <row r="42038" spans="119:119" x14ac:dyDescent="0.2">
      <c r="DO42038" s="303" t="s">
        <v>232</v>
      </c>
    </row>
    <row r="42039" spans="119:119" x14ac:dyDescent="0.2">
      <c r="DO42039" s="303" t="s">
        <v>232</v>
      </c>
    </row>
    <row r="42040" spans="119:119" x14ac:dyDescent="0.2">
      <c r="DO42040" s="303" t="s">
        <v>232</v>
      </c>
    </row>
    <row r="42041" spans="119:119" x14ac:dyDescent="0.2">
      <c r="DO42041" s="303" t="s">
        <v>232</v>
      </c>
    </row>
    <row r="42042" spans="119:119" x14ac:dyDescent="0.2">
      <c r="DO42042" s="303" t="s">
        <v>232</v>
      </c>
    </row>
    <row r="42043" spans="119:119" x14ac:dyDescent="0.2">
      <c r="DO42043" s="303" t="s">
        <v>232</v>
      </c>
    </row>
    <row r="42044" spans="119:119" x14ac:dyDescent="0.2">
      <c r="DO42044" s="303" t="s">
        <v>232</v>
      </c>
    </row>
    <row r="42045" spans="119:119" x14ac:dyDescent="0.2">
      <c r="DO42045" s="303" t="s">
        <v>232</v>
      </c>
    </row>
    <row r="42046" spans="119:119" x14ac:dyDescent="0.2">
      <c r="DO42046" s="303" t="s">
        <v>232</v>
      </c>
    </row>
    <row r="42047" spans="119:119" x14ac:dyDescent="0.2">
      <c r="DO42047" s="303" t="s">
        <v>232</v>
      </c>
    </row>
    <row r="42048" spans="119:119" x14ac:dyDescent="0.2">
      <c r="DO42048" s="303" t="s">
        <v>232</v>
      </c>
    </row>
    <row r="42049" spans="119:119" x14ac:dyDescent="0.2">
      <c r="DO42049" s="303" t="s">
        <v>232</v>
      </c>
    </row>
    <row r="42050" spans="119:119" x14ac:dyDescent="0.2">
      <c r="DO42050" s="303" t="s">
        <v>232</v>
      </c>
    </row>
    <row r="42051" spans="119:119" x14ac:dyDescent="0.2">
      <c r="DO42051" s="303" t="s">
        <v>232</v>
      </c>
    </row>
    <row r="42052" spans="119:119" x14ac:dyDescent="0.2">
      <c r="DO42052" s="303" t="s">
        <v>232</v>
      </c>
    </row>
    <row r="42053" spans="119:119" x14ac:dyDescent="0.2">
      <c r="DO42053" s="303" t="s">
        <v>232</v>
      </c>
    </row>
    <row r="42054" spans="119:119" x14ac:dyDescent="0.2">
      <c r="DO42054" s="303" t="s">
        <v>232</v>
      </c>
    </row>
    <row r="42055" spans="119:119" x14ac:dyDescent="0.2">
      <c r="DO42055" s="303" t="s">
        <v>232</v>
      </c>
    </row>
    <row r="42056" spans="119:119" x14ac:dyDescent="0.2">
      <c r="DO42056" s="303" t="s">
        <v>232</v>
      </c>
    </row>
    <row r="42057" spans="119:119" x14ac:dyDescent="0.2">
      <c r="DO42057" s="303" t="s">
        <v>232</v>
      </c>
    </row>
    <row r="42058" spans="119:119" x14ac:dyDescent="0.2">
      <c r="DO42058" s="303" t="s">
        <v>232</v>
      </c>
    </row>
    <row r="42059" spans="119:119" x14ac:dyDescent="0.2">
      <c r="DO42059" s="303" t="s">
        <v>232</v>
      </c>
    </row>
    <row r="42060" spans="119:119" x14ac:dyDescent="0.2">
      <c r="DO42060" s="303" t="s">
        <v>232</v>
      </c>
    </row>
    <row r="42061" spans="119:119" x14ac:dyDescent="0.2">
      <c r="DO42061" s="303" t="s">
        <v>232</v>
      </c>
    </row>
    <row r="42062" spans="119:119" x14ac:dyDescent="0.2">
      <c r="DO42062" s="303" t="s">
        <v>232</v>
      </c>
    </row>
    <row r="42063" spans="119:119" x14ac:dyDescent="0.2">
      <c r="DO42063" s="303" t="s">
        <v>232</v>
      </c>
    </row>
    <row r="42064" spans="119:119" x14ac:dyDescent="0.2">
      <c r="DO42064" s="303" t="s">
        <v>232</v>
      </c>
    </row>
    <row r="42065" spans="119:119" x14ac:dyDescent="0.2">
      <c r="DO42065" s="303" t="s">
        <v>232</v>
      </c>
    </row>
    <row r="42066" spans="119:119" x14ac:dyDescent="0.2">
      <c r="DO42066" s="303" t="s">
        <v>232</v>
      </c>
    </row>
    <row r="42067" spans="119:119" x14ac:dyDescent="0.2">
      <c r="DO42067" s="303" t="s">
        <v>232</v>
      </c>
    </row>
    <row r="42068" spans="119:119" x14ac:dyDescent="0.2">
      <c r="DO42068" s="303" t="s">
        <v>232</v>
      </c>
    </row>
    <row r="42069" spans="119:119" x14ac:dyDescent="0.2">
      <c r="DO42069" s="303" t="s">
        <v>232</v>
      </c>
    </row>
    <row r="42070" spans="119:119" x14ac:dyDescent="0.2">
      <c r="DO42070" s="303" t="s">
        <v>232</v>
      </c>
    </row>
    <row r="42071" spans="119:119" x14ac:dyDescent="0.2">
      <c r="DO42071" s="303" t="s">
        <v>232</v>
      </c>
    </row>
    <row r="42072" spans="119:119" x14ac:dyDescent="0.2">
      <c r="DO42072" s="303" t="s">
        <v>232</v>
      </c>
    </row>
    <row r="42073" spans="119:119" x14ac:dyDescent="0.2">
      <c r="DO42073" s="303" t="s">
        <v>232</v>
      </c>
    </row>
    <row r="42074" spans="119:119" x14ac:dyDescent="0.2">
      <c r="DO42074" s="303" t="s">
        <v>232</v>
      </c>
    </row>
    <row r="42075" spans="119:119" x14ac:dyDescent="0.2">
      <c r="DO42075" s="303" t="s">
        <v>232</v>
      </c>
    </row>
    <row r="42076" spans="119:119" x14ac:dyDescent="0.2">
      <c r="DO42076" s="303" t="s">
        <v>232</v>
      </c>
    </row>
    <row r="42077" spans="119:119" x14ac:dyDescent="0.2">
      <c r="DO42077" s="303" t="s">
        <v>232</v>
      </c>
    </row>
    <row r="42078" spans="119:119" x14ac:dyDescent="0.2">
      <c r="DO42078" s="303" t="s">
        <v>232</v>
      </c>
    </row>
    <row r="42079" spans="119:119" x14ac:dyDescent="0.2">
      <c r="DO42079" s="303" t="s">
        <v>232</v>
      </c>
    </row>
    <row r="42080" spans="119:119" x14ac:dyDescent="0.2">
      <c r="DO42080" s="303" t="s">
        <v>232</v>
      </c>
    </row>
    <row r="42081" spans="119:119" x14ac:dyDescent="0.2">
      <c r="DO42081" s="303" t="s">
        <v>232</v>
      </c>
    </row>
    <row r="42082" spans="119:119" x14ac:dyDescent="0.2">
      <c r="DO42082" s="303" t="s">
        <v>232</v>
      </c>
    </row>
    <row r="42083" spans="119:119" x14ac:dyDescent="0.2">
      <c r="DO42083" s="303" t="s">
        <v>232</v>
      </c>
    </row>
    <row r="42084" spans="119:119" x14ac:dyDescent="0.2">
      <c r="DO42084" s="303" t="s">
        <v>232</v>
      </c>
    </row>
    <row r="42085" spans="119:119" x14ac:dyDescent="0.2">
      <c r="DO42085" s="303" t="s">
        <v>232</v>
      </c>
    </row>
    <row r="42086" spans="119:119" x14ac:dyDescent="0.2">
      <c r="DO42086" s="303" t="s">
        <v>232</v>
      </c>
    </row>
    <row r="42087" spans="119:119" x14ac:dyDescent="0.2">
      <c r="DO42087" s="303" t="s">
        <v>232</v>
      </c>
    </row>
    <row r="42088" spans="119:119" x14ac:dyDescent="0.2">
      <c r="DO42088" s="303" t="s">
        <v>232</v>
      </c>
    </row>
    <row r="42089" spans="119:119" x14ac:dyDescent="0.2">
      <c r="DO42089" s="303" t="s">
        <v>232</v>
      </c>
    </row>
    <row r="42090" spans="119:119" x14ac:dyDescent="0.2">
      <c r="DO42090" s="303" t="s">
        <v>232</v>
      </c>
    </row>
    <row r="42091" spans="119:119" x14ac:dyDescent="0.2">
      <c r="DO42091" s="303" t="s">
        <v>232</v>
      </c>
    </row>
    <row r="42092" spans="119:119" x14ac:dyDescent="0.2">
      <c r="DO42092" s="303" t="s">
        <v>232</v>
      </c>
    </row>
    <row r="42093" spans="119:119" x14ac:dyDescent="0.2">
      <c r="DO42093" s="303" t="s">
        <v>232</v>
      </c>
    </row>
    <row r="42094" spans="119:119" x14ac:dyDescent="0.2">
      <c r="DO42094" s="303" t="s">
        <v>232</v>
      </c>
    </row>
    <row r="42095" spans="119:119" x14ac:dyDescent="0.2">
      <c r="DO42095" s="303" t="s">
        <v>232</v>
      </c>
    </row>
    <row r="42096" spans="119:119" x14ac:dyDescent="0.2">
      <c r="DO42096" s="303" t="s">
        <v>232</v>
      </c>
    </row>
    <row r="42097" spans="119:119" x14ac:dyDescent="0.2">
      <c r="DO42097" s="303" t="s">
        <v>232</v>
      </c>
    </row>
    <row r="42098" spans="119:119" x14ac:dyDescent="0.2">
      <c r="DO42098" s="303" t="s">
        <v>232</v>
      </c>
    </row>
    <row r="42099" spans="119:119" x14ac:dyDescent="0.2">
      <c r="DO42099" s="303" t="s">
        <v>232</v>
      </c>
    </row>
    <row r="42100" spans="119:119" x14ac:dyDescent="0.2">
      <c r="DO42100" s="303" t="s">
        <v>232</v>
      </c>
    </row>
    <row r="42101" spans="119:119" x14ac:dyDescent="0.2">
      <c r="DO42101" s="303" t="s">
        <v>232</v>
      </c>
    </row>
    <row r="42102" spans="119:119" x14ac:dyDescent="0.2">
      <c r="DO42102" s="303" t="s">
        <v>232</v>
      </c>
    </row>
    <row r="42103" spans="119:119" x14ac:dyDescent="0.2">
      <c r="DO42103" s="303" t="s">
        <v>232</v>
      </c>
    </row>
    <row r="42104" spans="119:119" x14ac:dyDescent="0.2">
      <c r="DO42104" s="303" t="s">
        <v>232</v>
      </c>
    </row>
    <row r="42105" spans="119:119" x14ac:dyDescent="0.2">
      <c r="DO42105" s="303" t="s">
        <v>232</v>
      </c>
    </row>
    <row r="42106" spans="119:119" x14ac:dyDescent="0.2">
      <c r="DO42106" s="303" t="s">
        <v>232</v>
      </c>
    </row>
    <row r="42107" spans="119:119" x14ac:dyDescent="0.2">
      <c r="DO42107" s="303" t="s">
        <v>232</v>
      </c>
    </row>
    <row r="42108" spans="119:119" x14ac:dyDescent="0.2">
      <c r="DO42108" s="303" t="s">
        <v>232</v>
      </c>
    </row>
    <row r="42109" spans="119:119" x14ac:dyDescent="0.2">
      <c r="DO42109" s="303" t="s">
        <v>232</v>
      </c>
    </row>
    <row r="42110" spans="119:119" x14ac:dyDescent="0.2">
      <c r="DO42110" s="303" t="s">
        <v>232</v>
      </c>
    </row>
    <row r="42111" spans="119:119" x14ac:dyDescent="0.2">
      <c r="DO42111" s="303" t="s">
        <v>232</v>
      </c>
    </row>
    <row r="42112" spans="119:119" x14ac:dyDescent="0.2">
      <c r="DO42112" s="303" t="s">
        <v>232</v>
      </c>
    </row>
    <row r="42113" spans="119:119" x14ac:dyDescent="0.2">
      <c r="DO42113" s="303" t="s">
        <v>232</v>
      </c>
    </row>
    <row r="42114" spans="119:119" x14ac:dyDescent="0.2">
      <c r="DO42114" s="303" t="s">
        <v>232</v>
      </c>
    </row>
    <row r="42115" spans="119:119" x14ac:dyDescent="0.2">
      <c r="DO42115" s="303" t="s">
        <v>232</v>
      </c>
    </row>
    <row r="42116" spans="119:119" x14ac:dyDescent="0.2">
      <c r="DO42116" s="303" t="s">
        <v>232</v>
      </c>
    </row>
    <row r="42117" spans="119:119" x14ac:dyDescent="0.2">
      <c r="DO42117" s="303" t="s">
        <v>232</v>
      </c>
    </row>
    <row r="42118" spans="119:119" x14ac:dyDescent="0.2">
      <c r="DO42118" s="303" t="s">
        <v>232</v>
      </c>
    </row>
    <row r="42119" spans="119:119" x14ac:dyDescent="0.2">
      <c r="DO42119" s="303" t="s">
        <v>232</v>
      </c>
    </row>
    <row r="42120" spans="119:119" x14ac:dyDescent="0.2">
      <c r="DO42120" s="303" t="s">
        <v>232</v>
      </c>
    </row>
    <row r="42121" spans="119:119" x14ac:dyDescent="0.2">
      <c r="DO42121" s="303" t="s">
        <v>232</v>
      </c>
    </row>
    <row r="42122" spans="119:119" x14ac:dyDescent="0.2">
      <c r="DO42122" s="303" t="s">
        <v>232</v>
      </c>
    </row>
    <row r="42123" spans="119:119" x14ac:dyDescent="0.2">
      <c r="DO42123" s="303" t="s">
        <v>232</v>
      </c>
    </row>
    <row r="42124" spans="119:119" x14ac:dyDescent="0.2">
      <c r="DO42124" s="303" t="s">
        <v>232</v>
      </c>
    </row>
    <row r="42125" spans="119:119" x14ac:dyDescent="0.2">
      <c r="DO42125" s="303" t="s">
        <v>232</v>
      </c>
    </row>
    <row r="42126" spans="119:119" x14ac:dyDescent="0.2">
      <c r="DO42126" s="303" t="s">
        <v>232</v>
      </c>
    </row>
    <row r="42127" spans="119:119" x14ac:dyDescent="0.2">
      <c r="DO42127" s="303" t="s">
        <v>232</v>
      </c>
    </row>
    <row r="42128" spans="119:119" x14ac:dyDescent="0.2">
      <c r="DO42128" s="303" t="s">
        <v>232</v>
      </c>
    </row>
    <row r="42129" spans="119:119" x14ac:dyDescent="0.2">
      <c r="DO42129" s="303" t="s">
        <v>232</v>
      </c>
    </row>
    <row r="42130" spans="119:119" x14ac:dyDescent="0.2">
      <c r="DO42130" s="303" t="s">
        <v>232</v>
      </c>
    </row>
    <row r="42131" spans="119:119" x14ac:dyDescent="0.2">
      <c r="DO42131" s="303" t="s">
        <v>232</v>
      </c>
    </row>
    <row r="42132" spans="119:119" x14ac:dyDescent="0.2">
      <c r="DO42132" s="303" t="s">
        <v>232</v>
      </c>
    </row>
    <row r="42133" spans="119:119" x14ac:dyDescent="0.2">
      <c r="DO42133" s="303" t="s">
        <v>232</v>
      </c>
    </row>
    <row r="42134" spans="119:119" x14ac:dyDescent="0.2">
      <c r="DO42134" s="303" t="s">
        <v>232</v>
      </c>
    </row>
    <row r="42135" spans="119:119" x14ac:dyDescent="0.2">
      <c r="DO42135" s="303" t="s">
        <v>232</v>
      </c>
    </row>
    <row r="42136" spans="119:119" x14ac:dyDescent="0.2">
      <c r="DO42136" s="303" t="s">
        <v>232</v>
      </c>
    </row>
    <row r="42137" spans="119:119" x14ac:dyDescent="0.2">
      <c r="DO42137" s="303" t="s">
        <v>232</v>
      </c>
    </row>
    <row r="42138" spans="119:119" x14ac:dyDescent="0.2">
      <c r="DO42138" s="303" t="s">
        <v>232</v>
      </c>
    </row>
    <row r="42139" spans="119:119" x14ac:dyDescent="0.2">
      <c r="DO42139" s="303" t="s">
        <v>232</v>
      </c>
    </row>
    <row r="42140" spans="119:119" x14ac:dyDescent="0.2">
      <c r="DO42140" s="303" t="s">
        <v>232</v>
      </c>
    </row>
    <row r="42141" spans="119:119" x14ac:dyDescent="0.2">
      <c r="DO42141" s="303" t="s">
        <v>232</v>
      </c>
    </row>
    <row r="42142" spans="119:119" x14ac:dyDescent="0.2">
      <c r="DO42142" s="303" t="s">
        <v>232</v>
      </c>
    </row>
    <row r="42143" spans="119:119" x14ac:dyDescent="0.2">
      <c r="DO42143" s="303" t="s">
        <v>232</v>
      </c>
    </row>
    <row r="42144" spans="119:119" x14ac:dyDescent="0.2">
      <c r="DO42144" s="303" t="s">
        <v>232</v>
      </c>
    </row>
    <row r="42145" spans="119:119" x14ac:dyDescent="0.2">
      <c r="DO42145" s="303" t="s">
        <v>232</v>
      </c>
    </row>
    <row r="42146" spans="119:119" x14ac:dyDescent="0.2">
      <c r="DO42146" s="303" t="s">
        <v>232</v>
      </c>
    </row>
    <row r="42147" spans="119:119" x14ac:dyDescent="0.2">
      <c r="DO42147" s="303" t="s">
        <v>232</v>
      </c>
    </row>
    <row r="42148" spans="119:119" x14ac:dyDescent="0.2">
      <c r="DO42148" s="303" t="s">
        <v>232</v>
      </c>
    </row>
    <row r="42149" spans="119:119" x14ac:dyDescent="0.2">
      <c r="DO42149" s="303" t="s">
        <v>232</v>
      </c>
    </row>
    <row r="42150" spans="119:119" x14ac:dyDescent="0.2">
      <c r="DO42150" s="303" t="s">
        <v>232</v>
      </c>
    </row>
    <row r="42151" spans="119:119" x14ac:dyDescent="0.2">
      <c r="DO42151" s="303" t="s">
        <v>232</v>
      </c>
    </row>
    <row r="42152" spans="119:119" x14ac:dyDescent="0.2">
      <c r="DO42152" s="303" t="s">
        <v>232</v>
      </c>
    </row>
    <row r="42153" spans="119:119" x14ac:dyDescent="0.2">
      <c r="DO42153" s="303" t="s">
        <v>232</v>
      </c>
    </row>
    <row r="42154" spans="119:119" x14ac:dyDescent="0.2">
      <c r="DO42154" s="303" t="s">
        <v>232</v>
      </c>
    </row>
    <row r="42155" spans="119:119" x14ac:dyDescent="0.2">
      <c r="DO42155" s="303" t="s">
        <v>232</v>
      </c>
    </row>
    <row r="42156" spans="119:119" x14ac:dyDescent="0.2">
      <c r="DO42156" s="303" t="s">
        <v>232</v>
      </c>
    </row>
    <row r="42157" spans="119:119" x14ac:dyDescent="0.2">
      <c r="DO42157" s="303" t="s">
        <v>232</v>
      </c>
    </row>
    <row r="42158" spans="119:119" x14ac:dyDescent="0.2">
      <c r="DO42158" s="303" t="s">
        <v>232</v>
      </c>
    </row>
    <row r="42159" spans="119:119" x14ac:dyDescent="0.2">
      <c r="DO42159" s="303" t="s">
        <v>232</v>
      </c>
    </row>
    <row r="42160" spans="119:119" x14ac:dyDescent="0.2">
      <c r="DO42160" s="303" t="s">
        <v>232</v>
      </c>
    </row>
    <row r="42161" spans="119:119" x14ac:dyDescent="0.2">
      <c r="DO42161" s="303" t="s">
        <v>232</v>
      </c>
    </row>
    <row r="42162" spans="119:119" x14ac:dyDescent="0.2">
      <c r="DO42162" s="303" t="s">
        <v>232</v>
      </c>
    </row>
    <row r="42163" spans="119:119" x14ac:dyDescent="0.2">
      <c r="DO42163" s="303" t="s">
        <v>232</v>
      </c>
    </row>
    <row r="42164" spans="119:119" x14ac:dyDescent="0.2">
      <c r="DO42164" s="303" t="s">
        <v>232</v>
      </c>
    </row>
    <row r="42165" spans="119:119" x14ac:dyDescent="0.2">
      <c r="DO42165" s="303" t="s">
        <v>232</v>
      </c>
    </row>
    <row r="42166" spans="119:119" x14ac:dyDescent="0.2">
      <c r="DO42166" s="303" t="s">
        <v>232</v>
      </c>
    </row>
    <row r="42167" spans="119:119" x14ac:dyDescent="0.2">
      <c r="DO42167" s="303" t="s">
        <v>232</v>
      </c>
    </row>
    <row r="42168" spans="119:119" x14ac:dyDescent="0.2">
      <c r="DO42168" s="303" t="s">
        <v>232</v>
      </c>
    </row>
    <row r="42169" spans="119:119" x14ac:dyDescent="0.2">
      <c r="DO42169" s="303" t="s">
        <v>232</v>
      </c>
    </row>
    <row r="42170" spans="119:119" x14ac:dyDescent="0.2">
      <c r="DO42170" s="303" t="s">
        <v>232</v>
      </c>
    </row>
    <row r="42171" spans="119:119" x14ac:dyDescent="0.2">
      <c r="DO42171" s="303" t="s">
        <v>232</v>
      </c>
    </row>
    <row r="42172" spans="119:119" x14ac:dyDescent="0.2">
      <c r="DO42172" s="303" t="s">
        <v>232</v>
      </c>
    </row>
    <row r="42173" spans="119:119" x14ac:dyDescent="0.2">
      <c r="DO42173" s="303" t="s">
        <v>232</v>
      </c>
    </row>
    <row r="42174" spans="119:119" x14ac:dyDescent="0.2">
      <c r="DO42174" s="303" t="s">
        <v>232</v>
      </c>
    </row>
    <row r="42175" spans="119:119" x14ac:dyDescent="0.2">
      <c r="DO42175" s="303" t="s">
        <v>232</v>
      </c>
    </row>
    <row r="42176" spans="119:119" x14ac:dyDescent="0.2">
      <c r="DO42176" s="303" t="s">
        <v>232</v>
      </c>
    </row>
    <row r="42177" spans="119:119" x14ac:dyDescent="0.2">
      <c r="DO42177" s="303" t="s">
        <v>232</v>
      </c>
    </row>
    <row r="42178" spans="119:119" x14ac:dyDescent="0.2">
      <c r="DO42178" s="303" t="s">
        <v>232</v>
      </c>
    </row>
    <row r="42179" spans="119:119" x14ac:dyDescent="0.2">
      <c r="DO42179" s="303" t="s">
        <v>232</v>
      </c>
    </row>
    <row r="42180" spans="119:119" x14ac:dyDescent="0.2">
      <c r="DO42180" s="303" t="s">
        <v>232</v>
      </c>
    </row>
    <row r="42181" spans="119:119" x14ac:dyDescent="0.2">
      <c r="DO42181" s="303" t="s">
        <v>232</v>
      </c>
    </row>
    <row r="42182" spans="119:119" x14ac:dyDescent="0.2">
      <c r="DO42182" s="303" t="s">
        <v>232</v>
      </c>
    </row>
    <row r="42183" spans="119:119" x14ac:dyDescent="0.2">
      <c r="DO42183" s="303" t="s">
        <v>232</v>
      </c>
    </row>
    <row r="42184" spans="119:119" x14ac:dyDescent="0.2">
      <c r="DO42184" s="303" t="s">
        <v>232</v>
      </c>
    </row>
    <row r="42185" spans="119:119" x14ac:dyDescent="0.2">
      <c r="DO42185" s="303" t="s">
        <v>232</v>
      </c>
    </row>
    <row r="42186" spans="119:119" x14ac:dyDescent="0.2">
      <c r="DO42186" s="303" t="s">
        <v>232</v>
      </c>
    </row>
    <row r="42187" spans="119:119" x14ac:dyDescent="0.2">
      <c r="DO42187" s="303" t="s">
        <v>232</v>
      </c>
    </row>
    <row r="42188" spans="119:119" x14ac:dyDescent="0.2">
      <c r="DO42188" s="303" t="s">
        <v>232</v>
      </c>
    </row>
    <row r="42189" spans="119:119" x14ac:dyDescent="0.2">
      <c r="DO42189" s="303" t="s">
        <v>232</v>
      </c>
    </row>
    <row r="42190" spans="119:119" x14ac:dyDescent="0.2">
      <c r="DO42190" s="303" t="s">
        <v>232</v>
      </c>
    </row>
    <row r="42191" spans="119:119" x14ac:dyDescent="0.2">
      <c r="DO42191" s="303" t="s">
        <v>232</v>
      </c>
    </row>
    <row r="42192" spans="119:119" x14ac:dyDescent="0.2">
      <c r="DO42192" s="303" t="s">
        <v>232</v>
      </c>
    </row>
    <row r="42193" spans="119:119" x14ac:dyDescent="0.2">
      <c r="DO42193" s="303" t="s">
        <v>232</v>
      </c>
    </row>
    <row r="42194" spans="119:119" x14ac:dyDescent="0.2">
      <c r="DO42194" s="303" t="s">
        <v>232</v>
      </c>
    </row>
    <row r="42195" spans="119:119" x14ac:dyDescent="0.2">
      <c r="DO42195" s="303" t="s">
        <v>232</v>
      </c>
    </row>
    <row r="42196" spans="119:119" x14ac:dyDescent="0.2">
      <c r="DO42196" s="303" t="s">
        <v>232</v>
      </c>
    </row>
    <row r="42197" spans="119:119" x14ac:dyDescent="0.2">
      <c r="DO42197" s="303" t="s">
        <v>232</v>
      </c>
    </row>
    <row r="42198" spans="119:119" x14ac:dyDescent="0.2">
      <c r="DO42198" s="303" t="s">
        <v>232</v>
      </c>
    </row>
    <row r="42199" spans="119:119" x14ac:dyDescent="0.2">
      <c r="DO42199" s="303" t="s">
        <v>232</v>
      </c>
    </row>
    <row r="42200" spans="119:119" x14ac:dyDescent="0.2">
      <c r="DO42200" s="303" t="s">
        <v>232</v>
      </c>
    </row>
    <row r="42201" spans="119:119" x14ac:dyDescent="0.2">
      <c r="DO42201" s="303" t="s">
        <v>232</v>
      </c>
    </row>
    <row r="42202" spans="119:119" x14ac:dyDescent="0.2">
      <c r="DO42202" s="303" t="s">
        <v>232</v>
      </c>
    </row>
    <row r="42203" spans="119:119" x14ac:dyDescent="0.2">
      <c r="DO42203" s="303" t="s">
        <v>232</v>
      </c>
    </row>
    <row r="42204" spans="119:119" x14ac:dyDescent="0.2">
      <c r="DO42204" s="303" t="s">
        <v>232</v>
      </c>
    </row>
    <row r="42205" spans="119:119" x14ac:dyDescent="0.2">
      <c r="DO42205" s="303" t="s">
        <v>232</v>
      </c>
    </row>
    <row r="42206" spans="119:119" x14ac:dyDescent="0.2">
      <c r="DO42206" s="303" t="s">
        <v>232</v>
      </c>
    </row>
    <row r="42207" spans="119:119" x14ac:dyDescent="0.2">
      <c r="DO42207" s="303" t="s">
        <v>232</v>
      </c>
    </row>
    <row r="42208" spans="119:119" x14ac:dyDescent="0.2">
      <c r="DO42208" s="303" t="s">
        <v>232</v>
      </c>
    </row>
    <row r="42209" spans="119:119" x14ac:dyDescent="0.2">
      <c r="DO42209" s="303" t="s">
        <v>232</v>
      </c>
    </row>
    <row r="42210" spans="119:119" x14ac:dyDescent="0.2">
      <c r="DO42210" s="303" t="s">
        <v>232</v>
      </c>
    </row>
    <row r="42211" spans="119:119" x14ac:dyDescent="0.2">
      <c r="DO42211" s="303" t="s">
        <v>232</v>
      </c>
    </row>
    <row r="42212" spans="119:119" x14ac:dyDescent="0.2">
      <c r="DO42212" s="303" t="s">
        <v>232</v>
      </c>
    </row>
    <row r="42213" spans="119:119" x14ac:dyDescent="0.2">
      <c r="DO42213" s="303" t="s">
        <v>232</v>
      </c>
    </row>
    <row r="42214" spans="119:119" x14ac:dyDescent="0.2">
      <c r="DO42214" s="303" t="s">
        <v>232</v>
      </c>
    </row>
    <row r="42215" spans="119:119" x14ac:dyDescent="0.2">
      <c r="DO42215" s="303" t="s">
        <v>232</v>
      </c>
    </row>
    <row r="42216" spans="119:119" x14ac:dyDescent="0.2">
      <c r="DO42216" s="303" t="s">
        <v>232</v>
      </c>
    </row>
    <row r="42217" spans="119:119" x14ac:dyDescent="0.2">
      <c r="DO42217" s="303" t="s">
        <v>232</v>
      </c>
    </row>
    <row r="42218" spans="119:119" x14ac:dyDescent="0.2">
      <c r="DO42218" s="303" t="s">
        <v>232</v>
      </c>
    </row>
    <row r="42219" spans="119:119" x14ac:dyDescent="0.2">
      <c r="DO42219" s="303" t="s">
        <v>232</v>
      </c>
    </row>
    <row r="42220" spans="119:119" x14ac:dyDescent="0.2">
      <c r="DO42220" s="303" t="s">
        <v>232</v>
      </c>
    </row>
    <row r="42221" spans="119:119" x14ac:dyDescent="0.2">
      <c r="DO42221" s="303" t="s">
        <v>232</v>
      </c>
    </row>
    <row r="42222" spans="119:119" x14ac:dyDescent="0.2">
      <c r="DO42222" s="303" t="s">
        <v>232</v>
      </c>
    </row>
    <row r="42223" spans="119:119" x14ac:dyDescent="0.2">
      <c r="DO42223" s="303" t="s">
        <v>232</v>
      </c>
    </row>
    <row r="42224" spans="119:119" x14ac:dyDescent="0.2">
      <c r="DO42224" s="303" t="s">
        <v>232</v>
      </c>
    </row>
    <row r="42225" spans="119:119" x14ac:dyDescent="0.2">
      <c r="DO42225" s="303" t="s">
        <v>232</v>
      </c>
    </row>
    <row r="42226" spans="119:119" x14ac:dyDescent="0.2">
      <c r="DO42226" s="303" t="s">
        <v>232</v>
      </c>
    </row>
    <row r="42227" spans="119:119" x14ac:dyDescent="0.2">
      <c r="DO42227" s="303" t="s">
        <v>232</v>
      </c>
    </row>
    <row r="42228" spans="119:119" x14ac:dyDescent="0.2">
      <c r="DO42228" s="303" t="s">
        <v>232</v>
      </c>
    </row>
    <row r="42229" spans="119:119" x14ac:dyDescent="0.2">
      <c r="DO42229" s="303" t="s">
        <v>232</v>
      </c>
    </row>
    <row r="42230" spans="119:119" x14ac:dyDescent="0.2">
      <c r="DO42230" s="303" t="s">
        <v>232</v>
      </c>
    </row>
    <row r="42231" spans="119:119" x14ac:dyDescent="0.2">
      <c r="DO42231" s="303" t="s">
        <v>232</v>
      </c>
    </row>
    <row r="42232" spans="119:119" x14ac:dyDescent="0.2">
      <c r="DO42232" s="303" t="s">
        <v>232</v>
      </c>
    </row>
    <row r="42233" spans="119:119" x14ac:dyDescent="0.2">
      <c r="DO42233" s="303" t="s">
        <v>232</v>
      </c>
    </row>
    <row r="42234" spans="119:119" x14ac:dyDescent="0.2">
      <c r="DO42234" s="303" t="s">
        <v>232</v>
      </c>
    </row>
    <row r="42235" spans="119:119" x14ac:dyDescent="0.2">
      <c r="DO42235" s="303" t="s">
        <v>232</v>
      </c>
    </row>
    <row r="42236" spans="119:119" x14ac:dyDescent="0.2">
      <c r="DO42236" s="303" t="s">
        <v>232</v>
      </c>
    </row>
    <row r="42237" spans="119:119" x14ac:dyDescent="0.2">
      <c r="DO42237" s="303" t="s">
        <v>232</v>
      </c>
    </row>
    <row r="42238" spans="119:119" x14ac:dyDescent="0.2">
      <c r="DO42238" s="303" t="s">
        <v>232</v>
      </c>
    </row>
    <row r="42239" spans="119:119" x14ac:dyDescent="0.2">
      <c r="DO42239" s="303" t="s">
        <v>232</v>
      </c>
    </row>
    <row r="42240" spans="119:119" x14ac:dyDescent="0.2">
      <c r="DO42240" s="303" t="s">
        <v>232</v>
      </c>
    </row>
    <row r="42241" spans="119:119" x14ac:dyDescent="0.2">
      <c r="DO42241" s="303" t="s">
        <v>232</v>
      </c>
    </row>
    <row r="42242" spans="119:119" x14ac:dyDescent="0.2">
      <c r="DO42242" s="303" t="s">
        <v>232</v>
      </c>
    </row>
    <row r="42243" spans="119:119" x14ac:dyDescent="0.2">
      <c r="DO42243" s="303" t="s">
        <v>232</v>
      </c>
    </row>
    <row r="42244" spans="119:119" x14ac:dyDescent="0.2">
      <c r="DO42244" s="303" t="s">
        <v>232</v>
      </c>
    </row>
    <row r="42245" spans="119:119" x14ac:dyDescent="0.2">
      <c r="DO42245" s="303" t="s">
        <v>232</v>
      </c>
    </row>
    <row r="42246" spans="119:119" x14ac:dyDescent="0.2">
      <c r="DO42246" s="303" t="s">
        <v>232</v>
      </c>
    </row>
    <row r="42247" spans="119:119" x14ac:dyDescent="0.2">
      <c r="DO42247" s="303" t="s">
        <v>232</v>
      </c>
    </row>
    <row r="42248" spans="119:119" x14ac:dyDescent="0.2">
      <c r="DO42248" s="303" t="s">
        <v>232</v>
      </c>
    </row>
    <row r="42249" spans="119:119" x14ac:dyDescent="0.2">
      <c r="DO42249" s="303" t="s">
        <v>232</v>
      </c>
    </row>
    <row r="42250" spans="119:119" x14ac:dyDescent="0.2">
      <c r="DO42250" s="303" t="s">
        <v>232</v>
      </c>
    </row>
    <row r="42251" spans="119:119" x14ac:dyDescent="0.2">
      <c r="DO42251" s="303" t="s">
        <v>232</v>
      </c>
    </row>
    <row r="42252" spans="119:119" x14ac:dyDescent="0.2">
      <c r="DO42252" s="303" t="s">
        <v>232</v>
      </c>
    </row>
    <row r="42253" spans="119:119" x14ac:dyDescent="0.2">
      <c r="DO42253" s="303" t="s">
        <v>232</v>
      </c>
    </row>
    <row r="42254" spans="119:119" x14ac:dyDescent="0.2">
      <c r="DO42254" s="303" t="s">
        <v>232</v>
      </c>
    </row>
    <row r="42255" spans="119:119" x14ac:dyDescent="0.2">
      <c r="DO42255" s="303" t="s">
        <v>232</v>
      </c>
    </row>
    <row r="42256" spans="119:119" x14ac:dyDescent="0.2">
      <c r="DO42256" s="303" t="s">
        <v>232</v>
      </c>
    </row>
    <row r="42257" spans="119:119" x14ac:dyDescent="0.2">
      <c r="DO42257" s="303" t="s">
        <v>232</v>
      </c>
    </row>
    <row r="42258" spans="119:119" x14ac:dyDescent="0.2">
      <c r="DO42258" s="303" t="s">
        <v>232</v>
      </c>
    </row>
    <row r="42259" spans="119:119" x14ac:dyDescent="0.2">
      <c r="DO42259" s="303" t="s">
        <v>232</v>
      </c>
    </row>
    <row r="42260" spans="119:119" x14ac:dyDescent="0.2">
      <c r="DO42260" s="303" t="s">
        <v>232</v>
      </c>
    </row>
    <row r="42261" spans="119:119" x14ac:dyDescent="0.2">
      <c r="DO42261" s="303" t="s">
        <v>232</v>
      </c>
    </row>
    <row r="42262" spans="119:119" x14ac:dyDescent="0.2">
      <c r="DO42262" s="303" t="s">
        <v>232</v>
      </c>
    </row>
    <row r="42263" spans="119:119" x14ac:dyDescent="0.2">
      <c r="DO42263" s="303" t="s">
        <v>232</v>
      </c>
    </row>
    <row r="42264" spans="119:119" x14ac:dyDescent="0.2">
      <c r="DO42264" s="303" t="s">
        <v>232</v>
      </c>
    </row>
    <row r="42265" spans="119:119" x14ac:dyDescent="0.2">
      <c r="DO42265" s="303" t="s">
        <v>232</v>
      </c>
    </row>
    <row r="42266" spans="119:119" x14ac:dyDescent="0.2">
      <c r="DO42266" s="303" t="s">
        <v>232</v>
      </c>
    </row>
    <row r="42267" spans="119:119" x14ac:dyDescent="0.2">
      <c r="DO42267" s="303" t="s">
        <v>232</v>
      </c>
    </row>
    <row r="42268" spans="119:119" x14ac:dyDescent="0.2">
      <c r="DO42268" s="303" t="s">
        <v>232</v>
      </c>
    </row>
    <row r="42269" spans="119:119" x14ac:dyDescent="0.2">
      <c r="DO42269" s="303" t="s">
        <v>232</v>
      </c>
    </row>
    <row r="42270" spans="119:119" x14ac:dyDescent="0.2">
      <c r="DO42270" s="303" t="s">
        <v>232</v>
      </c>
    </row>
    <row r="42271" spans="119:119" x14ac:dyDescent="0.2">
      <c r="DO42271" s="303" t="s">
        <v>232</v>
      </c>
    </row>
    <row r="42272" spans="119:119" x14ac:dyDescent="0.2">
      <c r="DO42272" s="303" t="s">
        <v>232</v>
      </c>
    </row>
    <row r="42273" spans="119:119" x14ac:dyDescent="0.2">
      <c r="DO42273" s="303" t="s">
        <v>232</v>
      </c>
    </row>
    <row r="42274" spans="119:119" x14ac:dyDescent="0.2">
      <c r="DO42274" s="303" t="s">
        <v>232</v>
      </c>
    </row>
    <row r="42275" spans="119:119" x14ac:dyDescent="0.2">
      <c r="DO42275" s="303" t="s">
        <v>232</v>
      </c>
    </row>
    <row r="42276" spans="119:119" x14ac:dyDescent="0.2">
      <c r="DO42276" s="303" t="s">
        <v>232</v>
      </c>
    </row>
    <row r="42277" spans="119:119" x14ac:dyDescent="0.2">
      <c r="DO42277" s="303" t="s">
        <v>232</v>
      </c>
    </row>
    <row r="42278" spans="119:119" x14ac:dyDescent="0.2">
      <c r="DO42278" s="303" t="s">
        <v>232</v>
      </c>
    </row>
    <row r="42279" spans="119:119" x14ac:dyDescent="0.2">
      <c r="DO42279" s="303" t="s">
        <v>232</v>
      </c>
    </row>
    <row r="42280" spans="119:119" x14ac:dyDescent="0.2">
      <c r="DO42280" s="303" t="s">
        <v>232</v>
      </c>
    </row>
    <row r="42281" spans="119:119" x14ac:dyDescent="0.2">
      <c r="DO42281" s="303" t="s">
        <v>232</v>
      </c>
    </row>
    <row r="42282" spans="119:119" x14ac:dyDescent="0.2">
      <c r="DO42282" s="303" t="s">
        <v>232</v>
      </c>
    </row>
    <row r="42283" spans="119:119" x14ac:dyDescent="0.2">
      <c r="DO42283" s="303" t="s">
        <v>232</v>
      </c>
    </row>
    <row r="42284" spans="119:119" x14ac:dyDescent="0.2">
      <c r="DO42284" s="303" t="s">
        <v>232</v>
      </c>
    </row>
    <row r="42285" spans="119:119" x14ac:dyDescent="0.2">
      <c r="DO42285" s="303" t="s">
        <v>232</v>
      </c>
    </row>
    <row r="42286" spans="119:119" x14ac:dyDescent="0.2">
      <c r="DO42286" s="303" t="s">
        <v>232</v>
      </c>
    </row>
    <row r="42287" spans="119:119" x14ac:dyDescent="0.2">
      <c r="DO42287" s="303" t="s">
        <v>232</v>
      </c>
    </row>
    <row r="42288" spans="119:119" x14ac:dyDescent="0.2">
      <c r="DO42288" s="303" t="s">
        <v>232</v>
      </c>
    </row>
    <row r="42289" spans="119:119" x14ac:dyDescent="0.2">
      <c r="DO42289" s="303" t="s">
        <v>232</v>
      </c>
    </row>
    <row r="42290" spans="119:119" x14ac:dyDescent="0.2">
      <c r="DO42290" s="303" t="s">
        <v>232</v>
      </c>
    </row>
    <row r="42291" spans="119:119" x14ac:dyDescent="0.2">
      <c r="DO42291" s="303" t="s">
        <v>232</v>
      </c>
    </row>
    <row r="42292" spans="119:119" x14ac:dyDescent="0.2">
      <c r="DO42292" s="303" t="s">
        <v>232</v>
      </c>
    </row>
    <row r="42293" spans="119:119" x14ac:dyDescent="0.2">
      <c r="DO42293" s="303" t="s">
        <v>232</v>
      </c>
    </row>
    <row r="42294" spans="119:119" x14ac:dyDescent="0.2">
      <c r="DO42294" s="303" t="s">
        <v>232</v>
      </c>
    </row>
    <row r="42295" spans="119:119" x14ac:dyDescent="0.2">
      <c r="DO42295" s="303" t="s">
        <v>232</v>
      </c>
    </row>
    <row r="42296" spans="119:119" x14ac:dyDescent="0.2">
      <c r="DO42296" s="303" t="s">
        <v>232</v>
      </c>
    </row>
    <row r="42297" spans="119:119" x14ac:dyDescent="0.2">
      <c r="DO42297" s="303" t="s">
        <v>232</v>
      </c>
    </row>
    <row r="42298" spans="119:119" x14ac:dyDescent="0.2">
      <c r="DO42298" s="303" t="s">
        <v>232</v>
      </c>
    </row>
    <row r="42299" spans="119:119" x14ac:dyDescent="0.2">
      <c r="DO42299" s="303" t="s">
        <v>232</v>
      </c>
    </row>
    <row r="42300" spans="119:119" x14ac:dyDescent="0.2">
      <c r="DO42300" s="303" t="s">
        <v>232</v>
      </c>
    </row>
    <row r="42301" spans="119:119" x14ac:dyDescent="0.2">
      <c r="DO42301" s="303" t="s">
        <v>232</v>
      </c>
    </row>
    <row r="42302" spans="119:119" x14ac:dyDescent="0.2">
      <c r="DO42302" s="303" t="s">
        <v>232</v>
      </c>
    </row>
    <row r="42303" spans="119:119" x14ac:dyDescent="0.2">
      <c r="DO42303" s="303" t="s">
        <v>232</v>
      </c>
    </row>
    <row r="42304" spans="119:119" x14ac:dyDescent="0.2">
      <c r="DO42304" s="303" t="s">
        <v>232</v>
      </c>
    </row>
    <row r="42305" spans="119:119" x14ac:dyDescent="0.2">
      <c r="DO42305" s="303" t="s">
        <v>232</v>
      </c>
    </row>
    <row r="42306" spans="119:119" x14ac:dyDescent="0.2">
      <c r="DO42306" s="303" t="s">
        <v>232</v>
      </c>
    </row>
    <row r="42307" spans="119:119" x14ac:dyDescent="0.2">
      <c r="DO42307" s="303" t="s">
        <v>232</v>
      </c>
    </row>
    <row r="42308" spans="119:119" x14ac:dyDescent="0.2">
      <c r="DO42308" s="303" t="s">
        <v>232</v>
      </c>
    </row>
    <row r="42309" spans="119:119" x14ac:dyDescent="0.2">
      <c r="DO42309" s="303" t="s">
        <v>232</v>
      </c>
    </row>
    <row r="42310" spans="119:119" x14ac:dyDescent="0.2">
      <c r="DO42310" s="303" t="s">
        <v>232</v>
      </c>
    </row>
    <row r="42311" spans="119:119" x14ac:dyDescent="0.2">
      <c r="DO42311" s="303" t="s">
        <v>232</v>
      </c>
    </row>
    <row r="42312" spans="119:119" x14ac:dyDescent="0.2">
      <c r="DO42312" s="303" t="s">
        <v>232</v>
      </c>
    </row>
    <row r="42313" spans="119:119" x14ac:dyDescent="0.2">
      <c r="DO42313" s="303" t="s">
        <v>232</v>
      </c>
    </row>
    <row r="42314" spans="119:119" x14ac:dyDescent="0.2">
      <c r="DO42314" s="303" t="s">
        <v>232</v>
      </c>
    </row>
    <row r="42315" spans="119:119" x14ac:dyDescent="0.2">
      <c r="DO42315" s="303" t="s">
        <v>232</v>
      </c>
    </row>
    <row r="42316" spans="119:119" x14ac:dyDescent="0.2">
      <c r="DO42316" s="303" t="s">
        <v>232</v>
      </c>
    </row>
    <row r="42317" spans="119:119" x14ac:dyDescent="0.2">
      <c r="DO42317" s="303" t="s">
        <v>232</v>
      </c>
    </row>
    <row r="42318" spans="119:119" x14ac:dyDescent="0.2">
      <c r="DO42318" s="303" t="s">
        <v>232</v>
      </c>
    </row>
    <row r="42319" spans="119:119" x14ac:dyDescent="0.2">
      <c r="DO42319" s="303" t="s">
        <v>232</v>
      </c>
    </row>
    <row r="42320" spans="119:119" x14ac:dyDescent="0.2">
      <c r="DO42320" s="303" t="s">
        <v>232</v>
      </c>
    </row>
    <row r="42321" spans="119:119" x14ac:dyDescent="0.2">
      <c r="DO42321" s="303" t="s">
        <v>232</v>
      </c>
    </row>
    <row r="42322" spans="119:119" x14ac:dyDescent="0.2">
      <c r="DO42322" s="303" t="s">
        <v>232</v>
      </c>
    </row>
    <row r="42323" spans="119:119" x14ac:dyDescent="0.2">
      <c r="DO42323" s="303" t="s">
        <v>232</v>
      </c>
    </row>
    <row r="42324" spans="119:119" x14ac:dyDescent="0.2">
      <c r="DO42324" s="303" t="s">
        <v>232</v>
      </c>
    </row>
    <row r="42325" spans="119:119" x14ac:dyDescent="0.2">
      <c r="DO42325" s="303" t="s">
        <v>232</v>
      </c>
    </row>
    <row r="42326" spans="119:119" x14ac:dyDescent="0.2">
      <c r="DO42326" s="303" t="s">
        <v>232</v>
      </c>
    </row>
    <row r="42327" spans="119:119" x14ac:dyDescent="0.2">
      <c r="DO42327" s="303" t="s">
        <v>232</v>
      </c>
    </row>
    <row r="42328" spans="119:119" x14ac:dyDescent="0.2">
      <c r="DO42328" s="303" t="s">
        <v>232</v>
      </c>
    </row>
    <row r="42329" spans="119:119" x14ac:dyDescent="0.2">
      <c r="DO42329" s="303" t="s">
        <v>232</v>
      </c>
    </row>
    <row r="42330" spans="119:119" x14ac:dyDescent="0.2">
      <c r="DO42330" s="303" t="s">
        <v>232</v>
      </c>
    </row>
    <row r="42331" spans="119:119" x14ac:dyDescent="0.2">
      <c r="DO42331" s="303" t="s">
        <v>232</v>
      </c>
    </row>
    <row r="42332" spans="119:119" x14ac:dyDescent="0.2">
      <c r="DO42332" s="303" t="s">
        <v>232</v>
      </c>
    </row>
    <row r="42333" spans="119:119" x14ac:dyDescent="0.2">
      <c r="DO42333" s="303" t="s">
        <v>232</v>
      </c>
    </row>
    <row r="42334" spans="119:119" x14ac:dyDescent="0.2">
      <c r="DO42334" s="303" t="s">
        <v>232</v>
      </c>
    </row>
    <row r="42335" spans="119:119" x14ac:dyDescent="0.2">
      <c r="DO42335" s="303" t="s">
        <v>232</v>
      </c>
    </row>
    <row r="42336" spans="119:119" x14ac:dyDescent="0.2">
      <c r="DO42336" s="303" t="s">
        <v>232</v>
      </c>
    </row>
    <row r="42337" spans="119:119" x14ac:dyDescent="0.2">
      <c r="DO42337" s="303" t="s">
        <v>232</v>
      </c>
    </row>
    <row r="42338" spans="119:119" x14ac:dyDescent="0.2">
      <c r="DO42338" s="303" t="s">
        <v>232</v>
      </c>
    </row>
    <row r="42339" spans="119:119" x14ac:dyDescent="0.2">
      <c r="DO42339" s="303" t="s">
        <v>232</v>
      </c>
    </row>
    <row r="42340" spans="119:119" x14ac:dyDescent="0.2">
      <c r="DO42340" s="303" t="s">
        <v>232</v>
      </c>
    </row>
    <row r="42341" spans="119:119" x14ac:dyDescent="0.2">
      <c r="DO42341" s="303" t="s">
        <v>232</v>
      </c>
    </row>
    <row r="42342" spans="119:119" x14ac:dyDescent="0.2">
      <c r="DO42342" s="303" t="s">
        <v>232</v>
      </c>
    </row>
    <row r="42343" spans="119:119" x14ac:dyDescent="0.2">
      <c r="DO42343" s="303" t="s">
        <v>232</v>
      </c>
    </row>
    <row r="42344" spans="119:119" x14ac:dyDescent="0.2">
      <c r="DO42344" s="303" t="s">
        <v>232</v>
      </c>
    </row>
    <row r="42345" spans="119:119" x14ac:dyDescent="0.2">
      <c r="DO42345" s="303" t="s">
        <v>232</v>
      </c>
    </row>
    <row r="42346" spans="119:119" x14ac:dyDescent="0.2">
      <c r="DO42346" s="303" t="s">
        <v>232</v>
      </c>
    </row>
    <row r="42347" spans="119:119" x14ac:dyDescent="0.2">
      <c r="DO42347" s="303" t="s">
        <v>232</v>
      </c>
    </row>
    <row r="42348" spans="119:119" x14ac:dyDescent="0.2">
      <c r="DO42348" s="303" t="s">
        <v>232</v>
      </c>
    </row>
    <row r="42349" spans="119:119" x14ac:dyDescent="0.2">
      <c r="DO42349" s="303" t="s">
        <v>232</v>
      </c>
    </row>
    <row r="42350" spans="119:119" x14ac:dyDescent="0.2">
      <c r="DO42350" s="303" t="s">
        <v>232</v>
      </c>
    </row>
    <row r="42351" spans="119:119" x14ac:dyDescent="0.2">
      <c r="DO42351" s="303" t="s">
        <v>232</v>
      </c>
    </row>
    <row r="42352" spans="119:119" x14ac:dyDescent="0.2">
      <c r="DO42352" s="303" t="s">
        <v>232</v>
      </c>
    </row>
    <row r="42353" spans="119:119" x14ac:dyDescent="0.2">
      <c r="DO42353" s="303" t="s">
        <v>232</v>
      </c>
    </row>
    <row r="42354" spans="119:119" x14ac:dyDescent="0.2">
      <c r="DO42354" s="303" t="s">
        <v>232</v>
      </c>
    </row>
    <row r="42355" spans="119:119" x14ac:dyDescent="0.2">
      <c r="DO42355" s="303" t="s">
        <v>232</v>
      </c>
    </row>
    <row r="42356" spans="119:119" x14ac:dyDescent="0.2">
      <c r="DO42356" s="303" t="s">
        <v>232</v>
      </c>
    </row>
    <row r="42357" spans="119:119" x14ac:dyDescent="0.2">
      <c r="DO42357" s="303" t="s">
        <v>232</v>
      </c>
    </row>
    <row r="42358" spans="119:119" x14ac:dyDescent="0.2">
      <c r="DO42358" s="303" t="s">
        <v>232</v>
      </c>
    </row>
    <row r="42359" spans="119:119" x14ac:dyDescent="0.2">
      <c r="DO42359" s="303" t="s">
        <v>232</v>
      </c>
    </row>
    <row r="42360" spans="119:119" x14ac:dyDescent="0.2">
      <c r="DO42360" s="303" t="s">
        <v>232</v>
      </c>
    </row>
    <row r="42361" spans="119:119" x14ac:dyDescent="0.2">
      <c r="DO42361" s="303" t="s">
        <v>232</v>
      </c>
    </row>
    <row r="42362" spans="119:119" x14ac:dyDescent="0.2">
      <c r="DO42362" s="303" t="s">
        <v>232</v>
      </c>
    </row>
    <row r="42363" spans="119:119" x14ac:dyDescent="0.2">
      <c r="DO42363" s="303" t="s">
        <v>232</v>
      </c>
    </row>
    <row r="42364" spans="119:119" x14ac:dyDescent="0.2">
      <c r="DO42364" s="303" t="s">
        <v>232</v>
      </c>
    </row>
    <row r="42365" spans="119:119" x14ac:dyDescent="0.2">
      <c r="DO42365" s="303" t="s">
        <v>232</v>
      </c>
    </row>
    <row r="42366" spans="119:119" x14ac:dyDescent="0.2">
      <c r="DO42366" s="303" t="s">
        <v>232</v>
      </c>
    </row>
    <row r="42367" spans="119:119" x14ac:dyDescent="0.2">
      <c r="DO42367" s="303" t="s">
        <v>232</v>
      </c>
    </row>
    <row r="42368" spans="119:119" x14ac:dyDescent="0.2">
      <c r="DO42368" s="303" t="s">
        <v>232</v>
      </c>
    </row>
    <row r="42369" spans="119:119" x14ac:dyDescent="0.2">
      <c r="DO42369" s="303" t="s">
        <v>232</v>
      </c>
    </row>
    <row r="42370" spans="119:119" x14ac:dyDescent="0.2">
      <c r="DO42370" s="303" t="s">
        <v>232</v>
      </c>
    </row>
    <row r="42371" spans="119:119" x14ac:dyDescent="0.2">
      <c r="DO42371" s="303" t="s">
        <v>232</v>
      </c>
    </row>
    <row r="42372" spans="119:119" x14ac:dyDescent="0.2">
      <c r="DO42372" s="303" t="s">
        <v>232</v>
      </c>
    </row>
    <row r="42373" spans="119:119" x14ac:dyDescent="0.2">
      <c r="DO42373" s="303" t="s">
        <v>232</v>
      </c>
    </row>
    <row r="42374" spans="119:119" x14ac:dyDescent="0.2">
      <c r="DO42374" s="303" t="s">
        <v>232</v>
      </c>
    </row>
    <row r="42375" spans="119:119" x14ac:dyDescent="0.2">
      <c r="DO42375" s="303" t="s">
        <v>232</v>
      </c>
    </row>
    <row r="42376" spans="119:119" x14ac:dyDescent="0.2">
      <c r="DO42376" s="303" t="s">
        <v>232</v>
      </c>
    </row>
    <row r="42377" spans="119:119" x14ac:dyDescent="0.2">
      <c r="DO42377" s="303" t="s">
        <v>232</v>
      </c>
    </row>
    <row r="42378" spans="119:119" x14ac:dyDescent="0.2">
      <c r="DO42378" s="303" t="s">
        <v>232</v>
      </c>
    </row>
    <row r="42379" spans="119:119" x14ac:dyDescent="0.2">
      <c r="DO42379" s="303" t="s">
        <v>232</v>
      </c>
    </row>
    <row r="42380" spans="119:119" x14ac:dyDescent="0.2">
      <c r="DO42380" s="303" t="s">
        <v>232</v>
      </c>
    </row>
    <row r="42381" spans="119:119" x14ac:dyDescent="0.2">
      <c r="DO42381" s="303" t="s">
        <v>232</v>
      </c>
    </row>
    <row r="42382" spans="119:119" x14ac:dyDescent="0.2">
      <c r="DO42382" s="303" t="s">
        <v>232</v>
      </c>
    </row>
    <row r="42383" spans="119:119" x14ac:dyDescent="0.2">
      <c r="DO42383" s="303" t="s">
        <v>232</v>
      </c>
    </row>
    <row r="42384" spans="119:119" x14ac:dyDescent="0.2">
      <c r="DO42384" s="303" t="s">
        <v>232</v>
      </c>
    </row>
    <row r="42385" spans="119:119" x14ac:dyDescent="0.2">
      <c r="DO42385" s="303" t="s">
        <v>232</v>
      </c>
    </row>
    <row r="42386" spans="119:119" x14ac:dyDescent="0.2">
      <c r="DO42386" s="303" t="s">
        <v>232</v>
      </c>
    </row>
    <row r="42387" spans="119:119" x14ac:dyDescent="0.2">
      <c r="DO42387" s="303" t="s">
        <v>232</v>
      </c>
    </row>
    <row r="42388" spans="119:119" x14ac:dyDescent="0.2">
      <c r="DO42388" s="303" t="s">
        <v>232</v>
      </c>
    </row>
    <row r="42389" spans="119:119" x14ac:dyDescent="0.2">
      <c r="DO42389" s="303" t="s">
        <v>232</v>
      </c>
    </row>
    <row r="42390" spans="119:119" x14ac:dyDescent="0.2">
      <c r="DO42390" s="303" t="s">
        <v>232</v>
      </c>
    </row>
    <row r="42391" spans="119:119" x14ac:dyDescent="0.2">
      <c r="DO42391" s="303" t="s">
        <v>232</v>
      </c>
    </row>
    <row r="42392" spans="119:119" x14ac:dyDescent="0.2">
      <c r="DO42392" s="303" t="s">
        <v>232</v>
      </c>
    </row>
    <row r="42393" spans="119:119" x14ac:dyDescent="0.2">
      <c r="DO42393" s="303" t="s">
        <v>232</v>
      </c>
    </row>
    <row r="42394" spans="119:119" x14ac:dyDescent="0.2">
      <c r="DO42394" s="303" t="s">
        <v>232</v>
      </c>
    </row>
    <row r="42395" spans="119:119" x14ac:dyDescent="0.2">
      <c r="DO42395" s="303" t="s">
        <v>232</v>
      </c>
    </row>
    <row r="42396" spans="119:119" x14ac:dyDescent="0.2">
      <c r="DO42396" s="303" t="s">
        <v>232</v>
      </c>
    </row>
    <row r="42397" spans="119:119" x14ac:dyDescent="0.2">
      <c r="DO42397" s="303" t="s">
        <v>232</v>
      </c>
    </row>
    <row r="42398" spans="119:119" x14ac:dyDescent="0.2">
      <c r="DO42398" s="303" t="s">
        <v>232</v>
      </c>
    </row>
    <row r="42399" spans="119:119" x14ac:dyDescent="0.2">
      <c r="DO42399" s="303" t="s">
        <v>232</v>
      </c>
    </row>
    <row r="42400" spans="119:119" x14ac:dyDescent="0.2">
      <c r="DO42400" s="303" t="s">
        <v>232</v>
      </c>
    </row>
    <row r="42401" spans="119:119" x14ac:dyDescent="0.2">
      <c r="DO42401" s="303" t="s">
        <v>232</v>
      </c>
    </row>
    <row r="42402" spans="119:119" x14ac:dyDescent="0.2">
      <c r="DO42402" s="303" t="s">
        <v>232</v>
      </c>
    </row>
    <row r="42403" spans="119:119" x14ac:dyDescent="0.2">
      <c r="DO42403" s="303" t="s">
        <v>232</v>
      </c>
    </row>
    <row r="42404" spans="119:119" x14ac:dyDescent="0.2">
      <c r="DO42404" s="303" t="s">
        <v>232</v>
      </c>
    </row>
    <row r="42405" spans="119:119" x14ac:dyDescent="0.2">
      <c r="DO42405" s="303" t="s">
        <v>232</v>
      </c>
    </row>
    <row r="42406" spans="119:119" x14ac:dyDescent="0.2">
      <c r="DO42406" s="303" t="s">
        <v>232</v>
      </c>
    </row>
    <row r="42407" spans="119:119" x14ac:dyDescent="0.2">
      <c r="DO42407" s="303" t="s">
        <v>232</v>
      </c>
    </row>
    <row r="42408" spans="119:119" x14ac:dyDescent="0.2">
      <c r="DO42408" s="303" t="s">
        <v>232</v>
      </c>
    </row>
    <row r="42409" spans="119:119" x14ac:dyDescent="0.2">
      <c r="DO42409" s="303" t="s">
        <v>232</v>
      </c>
    </row>
    <row r="42410" spans="119:119" x14ac:dyDescent="0.2">
      <c r="DO42410" s="303" t="s">
        <v>232</v>
      </c>
    </row>
    <row r="42411" spans="119:119" x14ac:dyDescent="0.2">
      <c r="DO42411" s="303" t="s">
        <v>232</v>
      </c>
    </row>
    <row r="42412" spans="119:119" x14ac:dyDescent="0.2">
      <c r="DO42412" s="303" t="s">
        <v>232</v>
      </c>
    </row>
    <row r="42413" spans="119:119" x14ac:dyDescent="0.2">
      <c r="DO42413" s="303" t="s">
        <v>232</v>
      </c>
    </row>
    <row r="42414" spans="119:119" x14ac:dyDescent="0.2">
      <c r="DO42414" s="303" t="s">
        <v>232</v>
      </c>
    </row>
    <row r="42415" spans="119:119" x14ac:dyDescent="0.2">
      <c r="DO42415" s="303" t="s">
        <v>232</v>
      </c>
    </row>
    <row r="42416" spans="119:119" x14ac:dyDescent="0.2">
      <c r="DO42416" s="303" t="s">
        <v>232</v>
      </c>
    </row>
    <row r="42417" spans="119:119" x14ac:dyDescent="0.2">
      <c r="DO42417" s="303" t="s">
        <v>232</v>
      </c>
    </row>
    <row r="42418" spans="119:119" x14ac:dyDescent="0.2">
      <c r="DO42418" s="303" t="s">
        <v>232</v>
      </c>
    </row>
    <row r="42419" spans="119:119" x14ac:dyDescent="0.2">
      <c r="DO42419" s="303" t="s">
        <v>232</v>
      </c>
    </row>
    <row r="42420" spans="119:119" x14ac:dyDescent="0.2">
      <c r="DO42420" s="303" t="s">
        <v>232</v>
      </c>
    </row>
    <row r="42421" spans="119:119" x14ac:dyDescent="0.2">
      <c r="DO42421" s="303" t="s">
        <v>232</v>
      </c>
    </row>
    <row r="42422" spans="119:119" x14ac:dyDescent="0.2">
      <c r="DO42422" s="303" t="s">
        <v>232</v>
      </c>
    </row>
    <row r="42423" spans="119:119" x14ac:dyDescent="0.2">
      <c r="DO42423" s="303" t="s">
        <v>232</v>
      </c>
    </row>
    <row r="42424" spans="119:119" x14ac:dyDescent="0.2">
      <c r="DO42424" s="303" t="s">
        <v>232</v>
      </c>
    </row>
    <row r="42425" spans="119:119" x14ac:dyDescent="0.2">
      <c r="DO42425" s="303" t="s">
        <v>232</v>
      </c>
    </row>
    <row r="42426" spans="119:119" x14ac:dyDescent="0.2">
      <c r="DO42426" s="303" t="s">
        <v>232</v>
      </c>
    </row>
    <row r="42427" spans="119:119" x14ac:dyDescent="0.2">
      <c r="DO42427" s="303" t="s">
        <v>232</v>
      </c>
    </row>
    <row r="42428" spans="119:119" x14ac:dyDescent="0.2">
      <c r="DO42428" s="303" t="s">
        <v>232</v>
      </c>
    </row>
    <row r="42429" spans="119:119" x14ac:dyDescent="0.2">
      <c r="DO42429" s="303" t="s">
        <v>232</v>
      </c>
    </row>
    <row r="42430" spans="119:119" x14ac:dyDescent="0.2">
      <c r="DO42430" s="303" t="s">
        <v>232</v>
      </c>
    </row>
    <row r="42431" spans="119:119" x14ac:dyDescent="0.2">
      <c r="DO42431" s="303" t="s">
        <v>232</v>
      </c>
    </row>
    <row r="42432" spans="119:119" x14ac:dyDescent="0.2">
      <c r="DO42432" s="303" t="s">
        <v>232</v>
      </c>
    </row>
    <row r="42433" spans="119:119" x14ac:dyDescent="0.2">
      <c r="DO42433" s="303" t="s">
        <v>232</v>
      </c>
    </row>
    <row r="42434" spans="119:119" x14ac:dyDescent="0.2">
      <c r="DO42434" s="303" t="s">
        <v>232</v>
      </c>
    </row>
    <row r="42435" spans="119:119" x14ac:dyDescent="0.2">
      <c r="DO42435" s="303" t="s">
        <v>232</v>
      </c>
    </row>
    <row r="42436" spans="119:119" x14ac:dyDescent="0.2">
      <c r="DO42436" s="303" t="s">
        <v>232</v>
      </c>
    </row>
    <row r="42437" spans="119:119" x14ac:dyDescent="0.2">
      <c r="DO42437" s="303" t="s">
        <v>232</v>
      </c>
    </row>
    <row r="42438" spans="119:119" x14ac:dyDescent="0.2">
      <c r="DO42438" s="303" t="s">
        <v>232</v>
      </c>
    </row>
    <row r="42439" spans="119:119" x14ac:dyDescent="0.2">
      <c r="DO42439" s="303" t="s">
        <v>232</v>
      </c>
    </row>
    <row r="42440" spans="119:119" x14ac:dyDescent="0.2">
      <c r="DO42440" s="303" t="s">
        <v>232</v>
      </c>
    </row>
    <row r="42441" spans="119:119" x14ac:dyDescent="0.2">
      <c r="DO42441" s="303" t="s">
        <v>232</v>
      </c>
    </row>
    <row r="42442" spans="119:119" x14ac:dyDescent="0.2">
      <c r="DO42442" s="303" t="s">
        <v>232</v>
      </c>
    </row>
    <row r="42443" spans="119:119" x14ac:dyDescent="0.2">
      <c r="DO42443" s="303" t="s">
        <v>232</v>
      </c>
    </row>
    <row r="42444" spans="119:119" x14ac:dyDescent="0.2">
      <c r="DO42444" s="303" t="s">
        <v>232</v>
      </c>
    </row>
    <row r="42445" spans="119:119" x14ac:dyDescent="0.2">
      <c r="DO42445" s="303" t="s">
        <v>232</v>
      </c>
    </row>
    <row r="42446" spans="119:119" x14ac:dyDescent="0.2">
      <c r="DO42446" s="303" t="s">
        <v>232</v>
      </c>
    </row>
    <row r="42447" spans="119:119" x14ac:dyDescent="0.2">
      <c r="DO42447" s="303" t="s">
        <v>232</v>
      </c>
    </row>
    <row r="42448" spans="119:119" x14ac:dyDescent="0.2">
      <c r="DO42448" s="303" t="s">
        <v>232</v>
      </c>
    </row>
    <row r="42449" spans="119:119" x14ac:dyDescent="0.2">
      <c r="DO42449" s="303" t="s">
        <v>232</v>
      </c>
    </row>
    <row r="42450" spans="119:119" x14ac:dyDescent="0.2">
      <c r="DO42450" s="303" t="s">
        <v>232</v>
      </c>
    </row>
    <row r="42451" spans="119:119" x14ac:dyDescent="0.2">
      <c r="DO42451" s="303" t="s">
        <v>232</v>
      </c>
    </row>
    <row r="42452" spans="119:119" x14ac:dyDescent="0.2">
      <c r="DO42452" s="303" t="s">
        <v>232</v>
      </c>
    </row>
    <row r="42453" spans="119:119" x14ac:dyDescent="0.2">
      <c r="DO42453" s="303" t="s">
        <v>232</v>
      </c>
    </row>
    <row r="42454" spans="119:119" x14ac:dyDescent="0.2">
      <c r="DO42454" s="303" t="s">
        <v>232</v>
      </c>
    </row>
    <row r="42455" spans="119:119" x14ac:dyDescent="0.2">
      <c r="DO42455" s="303" t="s">
        <v>232</v>
      </c>
    </row>
    <row r="42456" spans="119:119" x14ac:dyDescent="0.2">
      <c r="DO42456" s="303" t="s">
        <v>232</v>
      </c>
    </row>
    <row r="42457" spans="119:119" x14ac:dyDescent="0.2">
      <c r="DO42457" s="303" t="s">
        <v>232</v>
      </c>
    </row>
    <row r="42458" spans="119:119" x14ac:dyDescent="0.2">
      <c r="DO42458" s="303" t="s">
        <v>232</v>
      </c>
    </row>
    <row r="42459" spans="119:119" x14ac:dyDescent="0.2">
      <c r="DO42459" s="303" t="s">
        <v>232</v>
      </c>
    </row>
    <row r="42460" spans="119:119" x14ac:dyDescent="0.2">
      <c r="DO42460" s="303" t="s">
        <v>232</v>
      </c>
    </row>
    <row r="42461" spans="119:119" x14ac:dyDescent="0.2">
      <c r="DO42461" s="303" t="s">
        <v>232</v>
      </c>
    </row>
    <row r="42462" spans="119:119" x14ac:dyDescent="0.2">
      <c r="DO42462" s="303" t="s">
        <v>232</v>
      </c>
    </row>
    <row r="42463" spans="119:119" x14ac:dyDescent="0.2">
      <c r="DO42463" s="303" t="s">
        <v>232</v>
      </c>
    </row>
    <row r="42464" spans="119:119" x14ac:dyDescent="0.2">
      <c r="DO42464" s="303" t="s">
        <v>232</v>
      </c>
    </row>
    <row r="42465" spans="119:119" x14ac:dyDescent="0.2">
      <c r="DO42465" s="303" t="s">
        <v>232</v>
      </c>
    </row>
    <row r="42466" spans="119:119" x14ac:dyDescent="0.2">
      <c r="DO42466" s="303" t="s">
        <v>232</v>
      </c>
    </row>
    <row r="42467" spans="119:119" x14ac:dyDescent="0.2">
      <c r="DO42467" s="303" t="s">
        <v>232</v>
      </c>
    </row>
    <row r="42468" spans="119:119" x14ac:dyDescent="0.2">
      <c r="DO42468" s="303" t="s">
        <v>232</v>
      </c>
    </row>
    <row r="42469" spans="119:119" x14ac:dyDescent="0.2">
      <c r="DO42469" s="303" t="s">
        <v>232</v>
      </c>
    </row>
    <row r="42470" spans="119:119" x14ac:dyDescent="0.2">
      <c r="DO42470" s="303" t="s">
        <v>232</v>
      </c>
    </row>
    <row r="42471" spans="119:119" x14ac:dyDescent="0.2">
      <c r="DO42471" s="303" t="s">
        <v>232</v>
      </c>
    </row>
    <row r="42472" spans="119:119" x14ac:dyDescent="0.2">
      <c r="DO42472" s="303" t="s">
        <v>232</v>
      </c>
    </row>
    <row r="42473" spans="119:119" x14ac:dyDescent="0.2">
      <c r="DO42473" s="303" t="s">
        <v>232</v>
      </c>
    </row>
    <row r="42474" spans="119:119" x14ac:dyDescent="0.2">
      <c r="DO42474" s="303" t="s">
        <v>232</v>
      </c>
    </row>
    <row r="42475" spans="119:119" x14ac:dyDescent="0.2">
      <c r="DO42475" s="303" t="s">
        <v>232</v>
      </c>
    </row>
    <row r="42476" spans="119:119" x14ac:dyDescent="0.2">
      <c r="DO42476" s="303" t="s">
        <v>232</v>
      </c>
    </row>
    <row r="42477" spans="119:119" x14ac:dyDescent="0.2">
      <c r="DO42477" s="303" t="s">
        <v>232</v>
      </c>
    </row>
    <row r="42478" spans="119:119" x14ac:dyDescent="0.2">
      <c r="DO42478" s="303" t="s">
        <v>232</v>
      </c>
    </row>
    <row r="42479" spans="119:119" x14ac:dyDescent="0.2">
      <c r="DO42479" s="303" t="s">
        <v>232</v>
      </c>
    </row>
    <row r="42480" spans="119:119" x14ac:dyDescent="0.2">
      <c r="DO42480" s="303" t="s">
        <v>232</v>
      </c>
    </row>
    <row r="42481" spans="119:119" x14ac:dyDescent="0.2">
      <c r="DO42481" s="303" t="s">
        <v>232</v>
      </c>
    </row>
    <row r="42482" spans="119:119" x14ac:dyDescent="0.2">
      <c r="DO42482" s="303" t="s">
        <v>232</v>
      </c>
    </row>
    <row r="42483" spans="119:119" x14ac:dyDescent="0.2">
      <c r="DO42483" s="303" t="s">
        <v>232</v>
      </c>
    </row>
    <row r="42484" spans="119:119" x14ac:dyDescent="0.2">
      <c r="DO42484" s="303" t="s">
        <v>232</v>
      </c>
    </row>
    <row r="42485" spans="119:119" x14ac:dyDescent="0.2">
      <c r="DO42485" s="303" t="s">
        <v>232</v>
      </c>
    </row>
    <row r="42486" spans="119:119" x14ac:dyDescent="0.2">
      <c r="DO42486" s="303" t="s">
        <v>232</v>
      </c>
    </row>
    <row r="42487" spans="119:119" x14ac:dyDescent="0.2">
      <c r="DO42487" s="303" t="s">
        <v>232</v>
      </c>
    </row>
    <row r="42488" spans="119:119" x14ac:dyDescent="0.2">
      <c r="DO42488" s="303" t="s">
        <v>232</v>
      </c>
    </row>
    <row r="42489" spans="119:119" x14ac:dyDescent="0.2">
      <c r="DO42489" s="303" t="s">
        <v>232</v>
      </c>
    </row>
    <row r="42490" spans="119:119" x14ac:dyDescent="0.2">
      <c r="DO42490" s="303" t="s">
        <v>232</v>
      </c>
    </row>
    <row r="42491" spans="119:119" x14ac:dyDescent="0.2">
      <c r="DO42491" s="303" t="s">
        <v>232</v>
      </c>
    </row>
    <row r="42492" spans="119:119" x14ac:dyDescent="0.2">
      <c r="DO42492" s="303" t="s">
        <v>232</v>
      </c>
    </row>
    <row r="42493" spans="119:119" x14ac:dyDescent="0.2">
      <c r="DO42493" s="303" t="s">
        <v>232</v>
      </c>
    </row>
    <row r="42494" spans="119:119" x14ac:dyDescent="0.2">
      <c r="DO42494" s="303" t="s">
        <v>232</v>
      </c>
    </row>
    <row r="42495" spans="119:119" x14ac:dyDescent="0.2">
      <c r="DO42495" s="303" t="s">
        <v>232</v>
      </c>
    </row>
    <row r="42496" spans="119:119" x14ac:dyDescent="0.2">
      <c r="DO42496" s="303" t="s">
        <v>232</v>
      </c>
    </row>
    <row r="42497" spans="119:119" x14ac:dyDescent="0.2">
      <c r="DO42497" s="303" t="s">
        <v>232</v>
      </c>
    </row>
    <row r="42498" spans="119:119" x14ac:dyDescent="0.2">
      <c r="DO42498" s="303" t="s">
        <v>232</v>
      </c>
    </row>
    <row r="42499" spans="119:119" x14ac:dyDescent="0.2">
      <c r="DO42499" s="303" t="s">
        <v>232</v>
      </c>
    </row>
    <row r="42500" spans="119:119" x14ac:dyDescent="0.2">
      <c r="DO42500" s="303" t="s">
        <v>232</v>
      </c>
    </row>
    <row r="42501" spans="119:119" x14ac:dyDescent="0.2">
      <c r="DO42501" s="303" t="s">
        <v>232</v>
      </c>
    </row>
    <row r="42502" spans="119:119" x14ac:dyDescent="0.2">
      <c r="DO42502" s="303" t="s">
        <v>232</v>
      </c>
    </row>
    <row r="42503" spans="119:119" x14ac:dyDescent="0.2">
      <c r="DO42503" s="303" t="s">
        <v>232</v>
      </c>
    </row>
    <row r="42504" spans="119:119" x14ac:dyDescent="0.2">
      <c r="DO42504" s="303" t="s">
        <v>232</v>
      </c>
    </row>
    <row r="42505" spans="119:119" x14ac:dyDescent="0.2">
      <c r="DO42505" s="303" t="s">
        <v>232</v>
      </c>
    </row>
    <row r="42506" spans="119:119" x14ac:dyDescent="0.2">
      <c r="DO42506" s="303" t="s">
        <v>232</v>
      </c>
    </row>
    <row r="42507" spans="119:119" x14ac:dyDescent="0.2">
      <c r="DO42507" s="303" t="s">
        <v>232</v>
      </c>
    </row>
    <row r="42508" spans="119:119" x14ac:dyDescent="0.2">
      <c r="DO42508" s="303" t="s">
        <v>232</v>
      </c>
    </row>
    <row r="42509" spans="119:119" x14ac:dyDescent="0.2">
      <c r="DO42509" s="303" t="s">
        <v>232</v>
      </c>
    </row>
    <row r="42510" spans="119:119" x14ac:dyDescent="0.2">
      <c r="DO42510" s="303" t="s">
        <v>232</v>
      </c>
    </row>
    <row r="42511" spans="119:119" x14ac:dyDescent="0.2">
      <c r="DO42511" s="303" t="s">
        <v>232</v>
      </c>
    </row>
    <row r="42512" spans="119:119" x14ac:dyDescent="0.2">
      <c r="DO42512" s="303" t="s">
        <v>232</v>
      </c>
    </row>
    <row r="42513" spans="119:119" x14ac:dyDescent="0.2">
      <c r="DO42513" s="303" t="s">
        <v>232</v>
      </c>
    </row>
    <row r="42514" spans="119:119" x14ac:dyDescent="0.2">
      <c r="DO42514" s="303" t="s">
        <v>232</v>
      </c>
    </row>
    <row r="42515" spans="119:119" x14ac:dyDescent="0.2">
      <c r="DO42515" s="303" t="s">
        <v>232</v>
      </c>
    </row>
    <row r="42516" spans="119:119" x14ac:dyDescent="0.2">
      <c r="DO42516" s="303" t="s">
        <v>232</v>
      </c>
    </row>
    <row r="42517" spans="119:119" x14ac:dyDescent="0.2">
      <c r="DO42517" s="303" t="s">
        <v>232</v>
      </c>
    </row>
    <row r="42518" spans="119:119" x14ac:dyDescent="0.2">
      <c r="DO42518" s="303" t="s">
        <v>232</v>
      </c>
    </row>
    <row r="42519" spans="119:119" x14ac:dyDescent="0.2">
      <c r="DO42519" s="303" t="s">
        <v>232</v>
      </c>
    </row>
    <row r="42520" spans="119:119" x14ac:dyDescent="0.2">
      <c r="DO42520" s="303" t="s">
        <v>232</v>
      </c>
    </row>
    <row r="42521" spans="119:119" x14ac:dyDescent="0.2">
      <c r="DO42521" s="303" t="s">
        <v>232</v>
      </c>
    </row>
    <row r="42522" spans="119:119" x14ac:dyDescent="0.2">
      <c r="DO42522" s="303" t="s">
        <v>232</v>
      </c>
    </row>
    <row r="42523" spans="119:119" x14ac:dyDescent="0.2">
      <c r="DO42523" s="303" t="s">
        <v>232</v>
      </c>
    </row>
    <row r="42524" spans="119:119" x14ac:dyDescent="0.2">
      <c r="DO42524" s="303" t="s">
        <v>232</v>
      </c>
    </row>
    <row r="42525" spans="119:119" x14ac:dyDescent="0.2">
      <c r="DO42525" s="303" t="s">
        <v>232</v>
      </c>
    </row>
    <row r="42526" spans="119:119" x14ac:dyDescent="0.2">
      <c r="DO42526" s="303" t="s">
        <v>232</v>
      </c>
    </row>
    <row r="42527" spans="119:119" x14ac:dyDescent="0.2">
      <c r="DO42527" s="303" t="s">
        <v>232</v>
      </c>
    </row>
    <row r="42528" spans="119:119" x14ac:dyDescent="0.2">
      <c r="DO42528" s="303" t="s">
        <v>232</v>
      </c>
    </row>
    <row r="42529" spans="119:119" x14ac:dyDescent="0.2">
      <c r="DO42529" s="303" t="s">
        <v>232</v>
      </c>
    </row>
    <row r="42530" spans="119:119" x14ac:dyDescent="0.2">
      <c r="DO42530" s="303" t="s">
        <v>232</v>
      </c>
    </row>
    <row r="42531" spans="119:119" x14ac:dyDescent="0.2">
      <c r="DO42531" s="303" t="s">
        <v>232</v>
      </c>
    </row>
    <row r="42532" spans="119:119" x14ac:dyDescent="0.2">
      <c r="DO42532" s="303" t="s">
        <v>232</v>
      </c>
    </row>
    <row r="42533" spans="119:119" x14ac:dyDescent="0.2">
      <c r="DO42533" s="303" t="s">
        <v>232</v>
      </c>
    </row>
    <row r="42534" spans="119:119" x14ac:dyDescent="0.2">
      <c r="DO42534" s="303" t="s">
        <v>232</v>
      </c>
    </row>
    <row r="42535" spans="119:119" x14ac:dyDescent="0.2">
      <c r="DO42535" s="303" t="s">
        <v>232</v>
      </c>
    </row>
    <row r="42536" spans="119:119" x14ac:dyDescent="0.2">
      <c r="DO42536" s="303" t="s">
        <v>232</v>
      </c>
    </row>
    <row r="42537" spans="119:119" x14ac:dyDescent="0.2">
      <c r="DO42537" s="303" t="s">
        <v>232</v>
      </c>
    </row>
    <row r="42538" spans="119:119" x14ac:dyDescent="0.2">
      <c r="DO42538" s="303" t="s">
        <v>232</v>
      </c>
    </row>
    <row r="42539" spans="119:119" x14ac:dyDescent="0.2">
      <c r="DO42539" s="303" t="s">
        <v>232</v>
      </c>
    </row>
    <row r="42540" spans="119:119" x14ac:dyDescent="0.2">
      <c r="DO42540" s="303" t="s">
        <v>232</v>
      </c>
    </row>
    <row r="42541" spans="119:119" x14ac:dyDescent="0.2">
      <c r="DO42541" s="303" t="s">
        <v>232</v>
      </c>
    </row>
    <row r="42542" spans="119:119" x14ac:dyDescent="0.2">
      <c r="DO42542" s="303" t="s">
        <v>232</v>
      </c>
    </row>
    <row r="42543" spans="119:119" x14ac:dyDescent="0.2">
      <c r="DO42543" s="303" t="s">
        <v>232</v>
      </c>
    </row>
    <row r="42544" spans="119:119" x14ac:dyDescent="0.2">
      <c r="DO42544" s="303" t="s">
        <v>232</v>
      </c>
    </row>
    <row r="42545" spans="119:119" x14ac:dyDescent="0.2">
      <c r="DO42545" s="303" t="s">
        <v>232</v>
      </c>
    </row>
    <row r="42546" spans="119:119" x14ac:dyDescent="0.2">
      <c r="DO42546" s="303" t="s">
        <v>232</v>
      </c>
    </row>
    <row r="42547" spans="119:119" x14ac:dyDescent="0.2">
      <c r="DO42547" s="303" t="s">
        <v>232</v>
      </c>
    </row>
    <row r="42548" spans="119:119" x14ac:dyDescent="0.2">
      <c r="DO42548" s="303" t="s">
        <v>232</v>
      </c>
    </row>
    <row r="42549" spans="119:119" x14ac:dyDescent="0.2">
      <c r="DO42549" s="303" t="s">
        <v>232</v>
      </c>
    </row>
    <row r="42550" spans="119:119" x14ac:dyDescent="0.2">
      <c r="DO42550" s="303" t="s">
        <v>232</v>
      </c>
    </row>
    <row r="42551" spans="119:119" x14ac:dyDescent="0.2">
      <c r="DO42551" s="303" t="s">
        <v>232</v>
      </c>
    </row>
    <row r="42552" spans="119:119" x14ac:dyDescent="0.2">
      <c r="DO42552" s="303" t="s">
        <v>232</v>
      </c>
    </row>
    <row r="42553" spans="119:119" x14ac:dyDescent="0.2">
      <c r="DO42553" s="303" t="s">
        <v>232</v>
      </c>
    </row>
    <row r="42554" spans="119:119" x14ac:dyDescent="0.2">
      <c r="DO42554" s="303" t="s">
        <v>232</v>
      </c>
    </row>
    <row r="42555" spans="119:119" x14ac:dyDescent="0.2">
      <c r="DO42555" s="303" t="s">
        <v>232</v>
      </c>
    </row>
    <row r="42556" spans="119:119" x14ac:dyDescent="0.2">
      <c r="DO42556" s="303" t="s">
        <v>232</v>
      </c>
    </row>
    <row r="42557" spans="119:119" x14ac:dyDescent="0.2">
      <c r="DO42557" s="303" t="s">
        <v>232</v>
      </c>
    </row>
    <row r="42558" spans="119:119" x14ac:dyDescent="0.2">
      <c r="DO42558" s="303" t="s">
        <v>232</v>
      </c>
    </row>
    <row r="42559" spans="119:119" x14ac:dyDescent="0.2">
      <c r="DO42559" s="303" t="s">
        <v>232</v>
      </c>
    </row>
    <row r="42560" spans="119:119" x14ac:dyDescent="0.2">
      <c r="DO42560" s="303" t="s">
        <v>232</v>
      </c>
    </row>
    <row r="42561" spans="119:119" x14ac:dyDescent="0.2">
      <c r="DO42561" s="303" t="s">
        <v>232</v>
      </c>
    </row>
    <row r="42562" spans="119:119" x14ac:dyDescent="0.2">
      <c r="DO42562" s="303" t="s">
        <v>232</v>
      </c>
    </row>
    <row r="42563" spans="119:119" x14ac:dyDescent="0.2">
      <c r="DO42563" s="303" t="s">
        <v>232</v>
      </c>
    </row>
    <row r="42564" spans="119:119" x14ac:dyDescent="0.2">
      <c r="DO42564" s="303" t="s">
        <v>232</v>
      </c>
    </row>
    <row r="42565" spans="119:119" x14ac:dyDescent="0.2">
      <c r="DO42565" s="303" t="s">
        <v>232</v>
      </c>
    </row>
    <row r="42566" spans="119:119" x14ac:dyDescent="0.2">
      <c r="DO42566" s="303" t="s">
        <v>232</v>
      </c>
    </row>
    <row r="42567" spans="119:119" x14ac:dyDescent="0.2">
      <c r="DO42567" s="303" t="s">
        <v>232</v>
      </c>
    </row>
    <row r="42568" spans="119:119" x14ac:dyDescent="0.2">
      <c r="DO42568" s="303" t="s">
        <v>232</v>
      </c>
    </row>
    <row r="42569" spans="119:119" x14ac:dyDescent="0.2">
      <c r="DO42569" s="303" t="s">
        <v>232</v>
      </c>
    </row>
    <row r="42570" spans="119:119" x14ac:dyDescent="0.2">
      <c r="DO42570" s="303" t="s">
        <v>232</v>
      </c>
    </row>
    <row r="42571" spans="119:119" x14ac:dyDescent="0.2">
      <c r="DO42571" s="303" t="s">
        <v>232</v>
      </c>
    </row>
    <row r="42572" spans="119:119" x14ac:dyDescent="0.2">
      <c r="DO42572" s="303" t="s">
        <v>232</v>
      </c>
    </row>
    <row r="42573" spans="119:119" x14ac:dyDescent="0.2">
      <c r="DO42573" s="303" t="s">
        <v>232</v>
      </c>
    </row>
    <row r="42574" spans="119:119" x14ac:dyDescent="0.2">
      <c r="DO42574" s="303" t="s">
        <v>232</v>
      </c>
    </row>
    <row r="42575" spans="119:119" x14ac:dyDescent="0.2">
      <c r="DO42575" s="303" t="s">
        <v>232</v>
      </c>
    </row>
    <row r="42576" spans="119:119" x14ac:dyDescent="0.2">
      <c r="DO42576" s="303" t="s">
        <v>232</v>
      </c>
    </row>
    <row r="42577" spans="119:119" x14ac:dyDescent="0.2">
      <c r="DO42577" s="303" t="s">
        <v>232</v>
      </c>
    </row>
    <row r="42578" spans="119:119" x14ac:dyDescent="0.2">
      <c r="DO42578" s="303" t="s">
        <v>232</v>
      </c>
    </row>
    <row r="42579" spans="119:119" x14ac:dyDescent="0.2">
      <c r="DO42579" s="303" t="s">
        <v>232</v>
      </c>
    </row>
    <row r="42580" spans="119:119" x14ac:dyDescent="0.2">
      <c r="DO42580" s="303" t="s">
        <v>232</v>
      </c>
    </row>
    <row r="42581" spans="119:119" x14ac:dyDescent="0.2">
      <c r="DO42581" s="303" t="s">
        <v>232</v>
      </c>
    </row>
    <row r="42582" spans="119:119" x14ac:dyDescent="0.2">
      <c r="DO42582" s="303" t="s">
        <v>232</v>
      </c>
    </row>
    <row r="42583" spans="119:119" x14ac:dyDescent="0.2">
      <c r="DO42583" s="303" t="s">
        <v>232</v>
      </c>
    </row>
    <row r="42584" spans="119:119" x14ac:dyDescent="0.2">
      <c r="DO42584" s="303" t="s">
        <v>232</v>
      </c>
    </row>
    <row r="42585" spans="119:119" x14ac:dyDescent="0.2">
      <c r="DO42585" s="303" t="s">
        <v>232</v>
      </c>
    </row>
    <row r="42586" spans="119:119" x14ac:dyDescent="0.2">
      <c r="DO42586" s="303" t="s">
        <v>232</v>
      </c>
    </row>
    <row r="42587" spans="119:119" x14ac:dyDescent="0.2">
      <c r="DO42587" s="303" t="s">
        <v>232</v>
      </c>
    </row>
    <row r="42588" spans="119:119" x14ac:dyDescent="0.2">
      <c r="DO42588" s="303" t="s">
        <v>232</v>
      </c>
    </row>
    <row r="42589" spans="119:119" x14ac:dyDescent="0.2">
      <c r="DO42589" s="303" t="s">
        <v>232</v>
      </c>
    </row>
    <row r="42590" spans="119:119" x14ac:dyDescent="0.2">
      <c r="DO42590" s="303" t="s">
        <v>232</v>
      </c>
    </row>
    <row r="42591" spans="119:119" x14ac:dyDescent="0.2">
      <c r="DO42591" s="303" t="s">
        <v>232</v>
      </c>
    </row>
    <row r="42592" spans="119:119" x14ac:dyDescent="0.2">
      <c r="DO42592" s="303" t="s">
        <v>232</v>
      </c>
    </row>
    <row r="42593" spans="119:119" x14ac:dyDescent="0.2">
      <c r="DO42593" s="303" t="s">
        <v>232</v>
      </c>
    </row>
    <row r="42594" spans="119:119" x14ac:dyDescent="0.2">
      <c r="DO42594" s="303" t="s">
        <v>232</v>
      </c>
    </row>
    <row r="42595" spans="119:119" x14ac:dyDescent="0.2">
      <c r="DO42595" s="303" t="s">
        <v>232</v>
      </c>
    </row>
    <row r="42596" spans="119:119" x14ac:dyDescent="0.2">
      <c r="DO42596" s="303" t="s">
        <v>232</v>
      </c>
    </row>
    <row r="42597" spans="119:119" x14ac:dyDescent="0.2">
      <c r="DO42597" s="303" t="s">
        <v>232</v>
      </c>
    </row>
    <row r="42598" spans="119:119" x14ac:dyDescent="0.2">
      <c r="DO42598" s="303" t="s">
        <v>232</v>
      </c>
    </row>
    <row r="42599" spans="119:119" x14ac:dyDescent="0.2">
      <c r="DO42599" s="303" t="s">
        <v>232</v>
      </c>
    </row>
    <row r="42600" spans="119:119" x14ac:dyDescent="0.2">
      <c r="DO42600" s="303" t="s">
        <v>232</v>
      </c>
    </row>
    <row r="42601" spans="119:119" x14ac:dyDescent="0.2">
      <c r="DO42601" s="303" t="s">
        <v>232</v>
      </c>
    </row>
    <row r="42602" spans="119:119" x14ac:dyDescent="0.2">
      <c r="DO42602" s="303" t="s">
        <v>232</v>
      </c>
    </row>
    <row r="42603" spans="119:119" x14ac:dyDescent="0.2">
      <c r="DO42603" s="303" t="s">
        <v>232</v>
      </c>
    </row>
    <row r="42604" spans="119:119" x14ac:dyDescent="0.2">
      <c r="DO42604" s="303" t="s">
        <v>232</v>
      </c>
    </row>
    <row r="42605" spans="119:119" x14ac:dyDescent="0.2">
      <c r="DO42605" s="303" t="s">
        <v>232</v>
      </c>
    </row>
    <row r="42606" spans="119:119" x14ac:dyDescent="0.2">
      <c r="DO42606" s="303" t="s">
        <v>232</v>
      </c>
    </row>
    <row r="42607" spans="119:119" x14ac:dyDescent="0.2">
      <c r="DO42607" s="303" t="s">
        <v>232</v>
      </c>
    </row>
    <row r="42608" spans="119:119" x14ac:dyDescent="0.2">
      <c r="DO42608" s="303" t="s">
        <v>232</v>
      </c>
    </row>
    <row r="42609" spans="119:119" x14ac:dyDescent="0.2">
      <c r="DO42609" s="303" t="s">
        <v>232</v>
      </c>
    </row>
    <row r="42610" spans="119:119" x14ac:dyDescent="0.2">
      <c r="DO42610" s="303" t="s">
        <v>232</v>
      </c>
    </row>
    <row r="42611" spans="119:119" x14ac:dyDescent="0.2">
      <c r="DO42611" s="303" t="s">
        <v>232</v>
      </c>
    </row>
    <row r="42612" spans="119:119" x14ac:dyDescent="0.2">
      <c r="DO42612" s="303" t="s">
        <v>232</v>
      </c>
    </row>
    <row r="42613" spans="119:119" x14ac:dyDescent="0.2">
      <c r="DO42613" s="303" t="s">
        <v>232</v>
      </c>
    </row>
    <row r="42614" spans="119:119" x14ac:dyDescent="0.2">
      <c r="DO42614" s="303" t="s">
        <v>232</v>
      </c>
    </row>
    <row r="42615" spans="119:119" x14ac:dyDescent="0.2">
      <c r="DO42615" s="303" t="s">
        <v>232</v>
      </c>
    </row>
    <row r="42616" spans="119:119" x14ac:dyDescent="0.2">
      <c r="DO42616" s="303" t="s">
        <v>232</v>
      </c>
    </row>
    <row r="42617" spans="119:119" x14ac:dyDescent="0.2">
      <c r="DO42617" s="303" t="s">
        <v>232</v>
      </c>
    </row>
    <row r="42618" spans="119:119" x14ac:dyDescent="0.2">
      <c r="DO42618" s="303" t="s">
        <v>232</v>
      </c>
    </row>
    <row r="42619" spans="119:119" x14ac:dyDescent="0.2">
      <c r="DO42619" s="303" t="s">
        <v>232</v>
      </c>
    </row>
    <row r="42620" spans="119:119" x14ac:dyDescent="0.2">
      <c r="DO42620" s="303" t="s">
        <v>232</v>
      </c>
    </row>
    <row r="42621" spans="119:119" x14ac:dyDescent="0.2">
      <c r="DO42621" s="303" t="s">
        <v>232</v>
      </c>
    </row>
    <row r="42622" spans="119:119" x14ac:dyDescent="0.2">
      <c r="DO42622" s="303" t="s">
        <v>232</v>
      </c>
    </row>
    <row r="42623" spans="119:119" x14ac:dyDescent="0.2">
      <c r="DO42623" s="303" t="s">
        <v>232</v>
      </c>
    </row>
    <row r="42624" spans="119:119" x14ac:dyDescent="0.2">
      <c r="DO42624" s="303" t="s">
        <v>232</v>
      </c>
    </row>
    <row r="42625" spans="119:119" x14ac:dyDescent="0.2">
      <c r="DO42625" s="303" t="s">
        <v>232</v>
      </c>
    </row>
    <row r="42626" spans="119:119" x14ac:dyDescent="0.2">
      <c r="DO42626" s="303" t="s">
        <v>232</v>
      </c>
    </row>
    <row r="42627" spans="119:119" x14ac:dyDescent="0.2">
      <c r="DO42627" s="303" t="s">
        <v>232</v>
      </c>
    </row>
    <row r="42628" spans="119:119" x14ac:dyDescent="0.2">
      <c r="DO42628" s="303" t="s">
        <v>232</v>
      </c>
    </row>
    <row r="42629" spans="119:119" x14ac:dyDescent="0.2">
      <c r="DO42629" s="303" t="s">
        <v>232</v>
      </c>
    </row>
    <row r="42630" spans="119:119" x14ac:dyDescent="0.2">
      <c r="DO42630" s="303" t="s">
        <v>232</v>
      </c>
    </row>
    <row r="42631" spans="119:119" x14ac:dyDescent="0.2">
      <c r="DO42631" s="303" t="s">
        <v>232</v>
      </c>
    </row>
    <row r="42632" spans="119:119" x14ac:dyDescent="0.2">
      <c r="DO42632" s="303" t="s">
        <v>232</v>
      </c>
    </row>
    <row r="42633" spans="119:119" x14ac:dyDescent="0.2">
      <c r="DO42633" s="303" t="s">
        <v>232</v>
      </c>
    </row>
    <row r="42634" spans="119:119" x14ac:dyDescent="0.2">
      <c r="DO42634" s="303" t="s">
        <v>232</v>
      </c>
    </row>
    <row r="42635" spans="119:119" x14ac:dyDescent="0.2">
      <c r="DO42635" s="303" t="s">
        <v>232</v>
      </c>
    </row>
    <row r="42636" spans="119:119" x14ac:dyDescent="0.2">
      <c r="DO42636" s="303" t="s">
        <v>232</v>
      </c>
    </row>
    <row r="42637" spans="119:119" x14ac:dyDescent="0.2">
      <c r="DO42637" s="303" t="s">
        <v>232</v>
      </c>
    </row>
    <row r="42638" spans="119:119" x14ac:dyDescent="0.2">
      <c r="DO42638" s="303" t="s">
        <v>232</v>
      </c>
    </row>
    <row r="42639" spans="119:119" x14ac:dyDescent="0.2">
      <c r="DO42639" s="303" t="s">
        <v>232</v>
      </c>
    </row>
    <row r="42640" spans="119:119" x14ac:dyDescent="0.2">
      <c r="DO42640" s="303" t="s">
        <v>232</v>
      </c>
    </row>
    <row r="42641" spans="119:119" x14ac:dyDescent="0.2">
      <c r="DO42641" s="303" t="s">
        <v>232</v>
      </c>
    </row>
    <row r="42642" spans="119:119" x14ac:dyDescent="0.2">
      <c r="DO42642" s="303" t="s">
        <v>232</v>
      </c>
    </row>
    <row r="42643" spans="119:119" x14ac:dyDescent="0.2">
      <c r="DO42643" s="303" t="s">
        <v>232</v>
      </c>
    </row>
    <row r="42644" spans="119:119" x14ac:dyDescent="0.2">
      <c r="DO42644" s="303" t="s">
        <v>232</v>
      </c>
    </row>
    <row r="42645" spans="119:119" x14ac:dyDescent="0.2">
      <c r="DO42645" s="303" t="s">
        <v>232</v>
      </c>
    </row>
    <row r="42646" spans="119:119" x14ac:dyDescent="0.2">
      <c r="DO42646" s="303" t="s">
        <v>232</v>
      </c>
    </row>
    <row r="42647" spans="119:119" x14ac:dyDescent="0.2">
      <c r="DO42647" s="303" t="s">
        <v>232</v>
      </c>
    </row>
    <row r="42648" spans="119:119" x14ac:dyDescent="0.2">
      <c r="DO42648" s="303" t="s">
        <v>232</v>
      </c>
    </row>
    <row r="42649" spans="119:119" x14ac:dyDescent="0.2">
      <c r="DO42649" s="303" t="s">
        <v>232</v>
      </c>
    </row>
    <row r="42650" spans="119:119" x14ac:dyDescent="0.2">
      <c r="DO42650" s="303" t="s">
        <v>232</v>
      </c>
    </row>
    <row r="42651" spans="119:119" x14ac:dyDescent="0.2">
      <c r="DO42651" s="303" t="s">
        <v>232</v>
      </c>
    </row>
    <row r="42652" spans="119:119" x14ac:dyDescent="0.2">
      <c r="DO42652" s="303" t="s">
        <v>232</v>
      </c>
    </row>
    <row r="42653" spans="119:119" x14ac:dyDescent="0.2">
      <c r="DO42653" s="303" t="s">
        <v>232</v>
      </c>
    </row>
    <row r="42654" spans="119:119" x14ac:dyDescent="0.2">
      <c r="DO42654" s="303" t="s">
        <v>232</v>
      </c>
    </row>
    <row r="42655" spans="119:119" x14ac:dyDescent="0.2">
      <c r="DO42655" s="303" t="s">
        <v>232</v>
      </c>
    </row>
    <row r="42656" spans="119:119" x14ac:dyDescent="0.2">
      <c r="DO42656" s="303" t="s">
        <v>232</v>
      </c>
    </row>
    <row r="42657" spans="119:119" x14ac:dyDescent="0.2">
      <c r="DO42657" s="303" t="s">
        <v>232</v>
      </c>
    </row>
    <row r="42658" spans="119:119" x14ac:dyDescent="0.2">
      <c r="DO42658" s="303" t="s">
        <v>232</v>
      </c>
    </row>
    <row r="42659" spans="119:119" x14ac:dyDescent="0.2">
      <c r="DO42659" s="303" t="s">
        <v>232</v>
      </c>
    </row>
    <row r="42660" spans="119:119" x14ac:dyDescent="0.2">
      <c r="DO42660" s="303" t="s">
        <v>232</v>
      </c>
    </row>
    <row r="42661" spans="119:119" x14ac:dyDescent="0.2">
      <c r="DO42661" s="303" t="s">
        <v>232</v>
      </c>
    </row>
    <row r="42662" spans="119:119" x14ac:dyDescent="0.2">
      <c r="DO42662" s="303" t="s">
        <v>232</v>
      </c>
    </row>
    <row r="42663" spans="119:119" x14ac:dyDescent="0.2">
      <c r="DO42663" s="303" t="s">
        <v>232</v>
      </c>
    </row>
    <row r="42664" spans="119:119" x14ac:dyDescent="0.2">
      <c r="DO42664" s="303" t="s">
        <v>232</v>
      </c>
    </row>
    <row r="42665" spans="119:119" x14ac:dyDescent="0.2">
      <c r="DO42665" s="303" t="s">
        <v>232</v>
      </c>
    </row>
    <row r="42666" spans="119:119" x14ac:dyDescent="0.2">
      <c r="DO42666" s="303" t="s">
        <v>232</v>
      </c>
    </row>
    <row r="42667" spans="119:119" x14ac:dyDescent="0.2">
      <c r="DO42667" s="303" t="s">
        <v>232</v>
      </c>
    </row>
    <row r="42668" spans="119:119" x14ac:dyDescent="0.2">
      <c r="DO42668" s="303" t="s">
        <v>232</v>
      </c>
    </row>
    <row r="42669" spans="119:119" x14ac:dyDescent="0.2">
      <c r="DO42669" s="303" t="s">
        <v>232</v>
      </c>
    </row>
    <row r="42670" spans="119:119" x14ac:dyDescent="0.2">
      <c r="DO42670" s="303" t="s">
        <v>232</v>
      </c>
    </row>
    <row r="42671" spans="119:119" x14ac:dyDescent="0.2">
      <c r="DO42671" s="303" t="s">
        <v>232</v>
      </c>
    </row>
    <row r="42672" spans="119:119" x14ac:dyDescent="0.2">
      <c r="DO42672" s="303" t="s">
        <v>232</v>
      </c>
    </row>
    <row r="42673" spans="119:119" x14ac:dyDescent="0.2">
      <c r="DO42673" s="303" t="s">
        <v>232</v>
      </c>
    </row>
    <row r="42674" spans="119:119" x14ac:dyDescent="0.2">
      <c r="DO42674" s="303" t="s">
        <v>232</v>
      </c>
    </row>
    <row r="42675" spans="119:119" x14ac:dyDescent="0.2">
      <c r="DO42675" s="303" t="s">
        <v>232</v>
      </c>
    </row>
    <row r="42676" spans="119:119" x14ac:dyDescent="0.2">
      <c r="DO42676" s="303" t="s">
        <v>232</v>
      </c>
    </row>
    <row r="42677" spans="119:119" x14ac:dyDescent="0.2">
      <c r="DO42677" s="303" t="s">
        <v>232</v>
      </c>
    </row>
    <row r="42678" spans="119:119" x14ac:dyDescent="0.2">
      <c r="DO42678" s="303" t="s">
        <v>232</v>
      </c>
    </row>
    <row r="42679" spans="119:119" x14ac:dyDescent="0.2">
      <c r="DO42679" s="303" t="s">
        <v>232</v>
      </c>
    </row>
    <row r="42680" spans="119:119" x14ac:dyDescent="0.2">
      <c r="DO42680" s="303" t="s">
        <v>232</v>
      </c>
    </row>
    <row r="42681" spans="119:119" x14ac:dyDescent="0.2">
      <c r="DO42681" s="303" t="s">
        <v>232</v>
      </c>
    </row>
    <row r="42682" spans="119:119" x14ac:dyDescent="0.2">
      <c r="DO42682" s="303" t="s">
        <v>232</v>
      </c>
    </row>
    <row r="42683" spans="119:119" x14ac:dyDescent="0.2">
      <c r="DO42683" s="303" t="s">
        <v>232</v>
      </c>
    </row>
    <row r="42684" spans="119:119" x14ac:dyDescent="0.2">
      <c r="DO42684" s="303" t="s">
        <v>232</v>
      </c>
    </row>
    <row r="42685" spans="119:119" x14ac:dyDescent="0.2">
      <c r="DO42685" s="303" t="s">
        <v>232</v>
      </c>
    </row>
    <row r="42686" spans="119:119" x14ac:dyDescent="0.2">
      <c r="DO42686" s="303" t="s">
        <v>232</v>
      </c>
    </row>
    <row r="42687" spans="119:119" x14ac:dyDescent="0.2">
      <c r="DO42687" s="303" t="s">
        <v>232</v>
      </c>
    </row>
    <row r="42688" spans="119:119" x14ac:dyDescent="0.2">
      <c r="DO42688" s="303" t="s">
        <v>232</v>
      </c>
    </row>
    <row r="42689" spans="119:119" x14ac:dyDescent="0.2">
      <c r="DO42689" s="303" t="s">
        <v>232</v>
      </c>
    </row>
    <row r="42690" spans="119:119" x14ac:dyDescent="0.2">
      <c r="DO42690" s="303" t="s">
        <v>232</v>
      </c>
    </row>
    <row r="42691" spans="119:119" x14ac:dyDescent="0.2">
      <c r="DO42691" s="303" t="s">
        <v>232</v>
      </c>
    </row>
    <row r="42692" spans="119:119" x14ac:dyDescent="0.2">
      <c r="DO42692" s="303" t="s">
        <v>232</v>
      </c>
    </row>
    <row r="42693" spans="119:119" x14ac:dyDescent="0.2">
      <c r="DO42693" s="303" t="s">
        <v>232</v>
      </c>
    </row>
    <row r="42694" spans="119:119" x14ac:dyDescent="0.2">
      <c r="DO42694" s="303" t="s">
        <v>232</v>
      </c>
    </row>
    <row r="42695" spans="119:119" x14ac:dyDescent="0.2">
      <c r="DO42695" s="303" t="s">
        <v>232</v>
      </c>
    </row>
    <row r="42696" spans="119:119" x14ac:dyDescent="0.2">
      <c r="DO42696" s="303" t="s">
        <v>232</v>
      </c>
    </row>
    <row r="42697" spans="119:119" x14ac:dyDescent="0.2">
      <c r="DO42697" s="303" t="s">
        <v>232</v>
      </c>
    </row>
    <row r="42698" spans="119:119" x14ac:dyDescent="0.2">
      <c r="DO42698" s="303" t="s">
        <v>232</v>
      </c>
    </row>
    <row r="42699" spans="119:119" x14ac:dyDescent="0.2">
      <c r="DO42699" s="303" t="s">
        <v>232</v>
      </c>
    </row>
    <row r="42700" spans="119:119" x14ac:dyDescent="0.2">
      <c r="DO42700" s="303" t="s">
        <v>232</v>
      </c>
    </row>
    <row r="42701" spans="119:119" x14ac:dyDescent="0.2">
      <c r="DO42701" s="303" t="s">
        <v>232</v>
      </c>
    </row>
    <row r="42702" spans="119:119" x14ac:dyDescent="0.2">
      <c r="DO42702" s="303" t="s">
        <v>232</v>
      </c>
    </row>
    <row r="42703" spans="119:119" x14ac:dyDescent="0.2">
      <c r="DO42703" s="303" t="s">
        <v>232</v>
      </c>
    </row>
    <row r="42704" spans="119:119" x14ac:dyDescent="0.2">
      <c r="DO42704" s="303" t="s">
        <v>232</v>
      </c>
    </row>
    <row r="42705" spans="119:119" x14ac:dyDescent="0.2">
      <c r="DO42705" s="303" t="s">
        <v>232</v>
      </c>
    </row>
    <row r="42706" spans="119:119" x14ac:dyDescent="0.2">
      <c r="DO42706" s="303" t="s">
        <v>232</v>
      </c>
    </row>
    <row r="42707" spans="119:119" x14ac:dyDescent="0.2">
      <c r="DO42707" s="303" t="s">
        <v>232</v>
      </c>
    </row>
    <row r="42708" spans="119:119" x14ac:dyDescent="0.2">
      <c r="DO42708" s="303" t="s">
        <v>232</v>
      </c>
    </row>
    <row r="42709" spans="119:119" x14ac:dyDescent="0.2">
      <c r="DO42709" s="303" t="s">
        <v>232</v>
      </c>
    </row>
    <row r="42710" spans="119:119" x14ac:dyDescent="0.2">
      <c r="DO42710" s="303" t="s">
        <v>232</v>
      </c>
    </row>
    <row r="42711" spans="119:119" x14ac:dyDescent="0.2">
      <c r="DO42711" s="303" t="s">
        <v>232</v>
      </c>
    </row>
    <row r="42712" spans="119:119" x14ac:dyDescent="0.2">
      <c r="DO42712" s="303" t="s">
        <v>232</v>
      </c>
    </row>
    <row r="42713" spans="119:119" x14ac:dyDescent="0.2">
      <c r="DO42713" s="303" t="s">
        <v>232</v>
      </c>
    </row>
    <row r="42714" spans="119:119" x14ac:dyDescent="0.2">
      <c r="DO42714" s="303" t="s">
        <v>232</v>
      </c>
    </row>
    <row r="42715" spans="119:119" x14ac:dyDescent="0.2">
      <c r="DO42715" s="303" t="s">
        <v>232</v>
      </c>
    </row>
    <row r="42716" spans="119:119" x14ac:dyDescent="0.2">
      <c r="DO42716" s="303" t="s">
        <v>232</v>
      </c>
    </row>
    <row r="42717" spans="119:119" x14ac:dyDescent="0.2">
      <c r="DO42717" s="303" t="s">
        <v>232</v>
      </c>
    </row>
    <row r="42718" spans="119:119" x14ac:dyDescent="0.2">
      <c r="DO42718" s="303" t="s">
        <v>232</v>
      </c>
    </row>
    <row r="42719" spans="119:119" x14ac:dyDescent="0.2">
      <c r="DO42719" s="303" t="s">
        <v>232</v>
      </c>
    </row>
    <row r="42720" spans="119:119" x14ac:dyDescent="0.2">
      <c r="DO42720" s="303" t="s">
        <v>232</v>
      </c>
    </row>
    <row r="42721" spans="119:119" x14ac:dyDescent="0.2">
      <c r="DO42721" s="303" t="s">
        <v>232</v>
      </c>
    </row>
    <row r="42722" spans="119:119" x14ac:dyDescent="0.2">
      <c r="DO42722" s="303" t="s">
        <v>232</v>
      </c>
    </row>
    <row r="42723" spans="119:119" x14ac:dyDescent="0.2">
      <c r="DO42723" s="303" t="s">
        <v>232</v>
      </c>
    </row>
    <row r="42724" spans="119:119" x14ac:dyDescent="0.2">
      <c r="DO42724" s="303" t="s">
        <v>232</v>
      </c>
    </row>
    <row r="42725" spans="119:119" x14ac:dyDescent="0.2">
      <c r="DO42725" s="303" t="s">
        <v>232</v>
      </c>
    </row>
    <row r="42726" spans="119:119" x14ac:dyDescent="0.2">
      <c r="DO42726" s="303" t="s">
        <v>232</v>
      </c>
    </row>
    <row r="42727" spans="119:119" x14ac:dyDescent="0.2">
      <c r="DO42727" s="303" t="s">
        <v>232</v>
      </c>
    </row>
    <row r="42728" spans="119:119" x14ac:dyDescent="0.2">
      <c r="DO42728" s="303" t="s">
        <v>232</v>
      </c>
    </row>
    <row r="42729" spans="119:119" x14ac:dyDescent="0.2">
      <c r="DO42729" s="303" t="s">
        <v>232</v>
      </c>
    </row>
    <row r="42730" spans="119:119" x14ac:dyDescent="0.2">
      <c r="DO42730" s="303" t="s">
        <v>232</v>
      </c>
    </row>
    <row r="42731" spans="119:119" x14ac:dyDescent="0.2">
      <c r="DO42731" s="303" t="s">
        <v>232</v>
      </c>
    </row>
    <row r="42732" spans="119:119" x14ac:dyDescent="0.2">
      <c r="DO42732" s="303" t="s">
        <v>232</v>
      </c>
    </row>
    <row r="42733" spans="119:119" x14ac:dyDescent="0.2">
      <c r="DO42733" s="303" t="s">
        <v>232</v>
      </c>
    </row>
    <row r="42734" spans="119:119" x14ac:dyDescent="0.2">
      <c r="DO42734" s="303" t="s">
        <v>232</v>
      </c>
    </row>
    <row r="42735" spans="119:119" x14ac:dyDescent="0.2">
      <c r="DO42735" s="303" t="s">
        <v>232</v>
      </c>
    </row>
    <row r="42736" spans="119:119" x14ac:dyDescent="0.2">
      <c r="DO42736" s="303" t="s">
        <v>232</v>
      </c>
    </row>
    <row r="42737" spans="119:119" x14ac:dyDescent="0.2">
      <c r="DO42737" s="303" t="s">
        <v>232</v>
      </c>
    </row>
    <row r="42738" spans="119:119" x14ac:dyDescent="0.2">
      <c r="DO42738" s="303" t="s">
        <v>232</v>
      </c>
    </row>
    <row r="42739" spans="119:119" x14ac:dyDescent="0.2">
      <c r="DO42739" s="303" t="s">
        <v>232</v>
      </c>
    </row>
    <row r="42740" spans="119:119" x14ac:dyDescent="0.2">
      <c r="DO42740" s="303" t="s">
        <v>232</v>
      </c>
    </row>
    <row r="42741" spans="119:119" x14ac:dyDescent="0.2">
      <c r="DO42741" s="303" t="s">
        <v>232</v>
      </c>
    </row>
    <row r="42742" spans="119:119" x14ac:dyDescent="0.2">
      <c r="DO42742" s="303" t="s">
        <v>232</v>
      </c>
    </row>
    <row r="42743" spans="119:119" x14ac:dyDescent="0.2">
      <c r="DO42743" s="303" t="s">
        <v>232</v>
      </c>
    </row>
    <row r="42744" spans="119:119" x14ac:dyDescent="0.2">
      <c r="DO42744" s="303" t="s">
        <v>232</v>
      </c>
    </row>
    <row r="42745" spans="119:119" x14ac:dyDescent="0.2">
      <c r="DO42745" s="303" t="s">
        <v>232</v>
      </c>
    </row>
    <row r="42746" spans="119:119" x14ac:dyDescent="0.2">
      <c r="DO42746" s="303" t="s">
        <v>232</v>
      </c>
    </row>
    <row r="42747" spans="119:119" x14ac:dyDescent="0.2">
      <c r="DO42747" s="303" t="s">
        <v>232</v>
      </c>
    </row>
    <row r="42748" spans="119:119" x14ac:dyDescent="0.2">
      <c r="DO42748" s="303" t="s">
        <v>232</v>
      </c>
    </row>
    <row r="42749" spans="119:119" x14ac:dyDescent="0.2">
      <c r="DO42749" s="303" t="s">
        <v>232</v>
      </c>
    </row>
    <row r="42750" spans="119:119" x14ac:dyDescent="0.2">
      <c r="DO42750" s="303" t="s">
        <v>232</v>
      </c>
    </row>
    <row r="42751" spans="119:119" x14ac:dyDescent="0.2">
      <c r="DO42751" s="303" t="s">
        <v>232</v>
      </c>
    </row>
    <row r="42752" spans="119:119" x14ac:dyDescent="0.2">
      <c r="DO42752" s="303" t="s">
        <v>232</v>
      </c>
    </row>
    <row r="42753" spans="119:119" x14ac:dyDescent="0.2">
      <c r="DO42753" s="303" t="s">
        <v>232</v>
      </c>
    </row>
    <row r="42754" spans="119:119" x14ac:dyDescent="0.2">
      <c r="DO42754" s="303" t="s">
        <v>232</v>
      </c>
    </row>
    <row r="42755" spans="119:119" x14ac:dyDescent="0.2">
      <c r="DO42755" s="303" t="s">
        <v>232</v>
      </c>
    </row>
    <row r="42756" spans="119:119" x14ac:dyDescent="0.2">
      <c r="DO42756" s="303" t="s">
        <v>232</v>
      </c>
    </row>
    <row r="42757" spans="119:119" x14ac:dyDescent="0.2">
      <c r="DO42757" s="303" t="s">
        <v>232</v>
      </c>
    </row>
    <row r="42758" spans="119:119" x14ac:dyDescent="0.2">
      <c r="DO42758" s="303" t="s">
        <v>232</v>
      </c>
    </row>
    <row r="42759" spans="119:119" x14ac:dyDescent="0.2">
      <c r="DO42759" s="303" t="s">
        <v>232</v>
      </c>
    </row>
    <row r="42760" spans="119:119" x14ac:dyDescent="0.2">
      <c r="DO42760" s="303" t="s">
        <v>232</v>
      </c>
    </row>
    <row r="42761" spans="119:119" x14ac:dyDescent="0.2">
      <c r="DO42761" s="303" t="s">
        <v>232</v>
      </c>
    </row>
    <row r="42762" spans="119:119" x14ac:dyDescent="0.2">
      <c r="DO42762" s="303" t="s">
        <v>232</v>
      </c>
    </row>
    <row r="42763" spans="119:119" x14ac:dyDescent="0.2">
      <c r="DO42763" s="303" t="s">
        <v>232</v>
      </c>
    </row>
    <row r="42764" spans="119:119" x14ac:dyDescent="0.2">
      <c r="DO42764" s="303" t="s">
        <v>232</v>
      </c>
    </row>
    <row r="42765" spans="119:119" x14ac:dyDescent="0.2">
      <c r="DO42765" s="303" t="s">
        <v>232</v>
      </c>
    </row>
    <row r="42766" spans="119:119" x14ac:dyDescent="0.2">
      <c r="DO42766" s="303" t="s">
        <v>232</v>
      </c>
    </row>
    <row r="42767" spans="119:119" x14ac:dyDescent="0.2">
      <c r="DO42767" s="303" t="s">
        <v>232</v>
      </c>
    </row>
    <row r="42768" spans="119:119" x14ac:dyDescent="0.2">
      <c r="DO42768" s="303" t="s">
        <v>232</v>
      </c>
    </row>
    <row r="42769" spans="119:119" x14ac:dyDescent="0.2">
      <c r="DO42769" s="303" t="s">
        <v>232</v>
      </c>
    </row>
    <row r="42770" spans="119:119" x14ac:dyDescent="0.2">
      <c r="DO42770" s="303" t="s">
        <v>232</v>
      </c>
    </row>
    <row r="42771" spans="119:119" x14ac:dyDescent="0.2">
      <c r="DO42771" s="303" t="s">
        <v>232</v>
      </c>
    </row>
    <row r="42772" spans="119:119" x14ac:dyDescent="0.2">
      <c r="DO42772" s="303" t="s">
        <v>232</v>
      </c>
    </row>
    <row r="42773" spans="119:119" x14ac:dyDescent="0.2">
      <c r="DO42773" s="303" t="s">
        <v>232</v>
      </c>
    </row>
    <row r="42774" spans="119:119" x14ac:dyDescent="0.2">
      <c r="DO42774" s="303" t="s">
        <v>232</v>
      </c>
    </row>
    <row r="42775" spans="119:119" x14ac:dyDescent="0.2">
      <c r="DO42775" s="303" t="s">
        <v>232</v>
      </c>
    </row>
    <row r="42776" spans="119:119" x14ac:dyDescent="0.2">
      <c r="DO42776" s="303" t="s">
        <v>232</v>
      </c>
    </row>
    <row r="42777" spans="119:119" x14ac:dyDescent="0.2">
      <c r="DO42777" s="303" t="s">
        <v>232</v>
      </c>
    </row>
    <row r="42778" spans="119:119" x14ac:dyDescent="0.2">
      <c r="DO42778" s="303" t="s">
        <v>232</v>
      </c>
    </row>
    <row r="42779" spans="119:119" x14ac:dyDescent="0.2">
      <c r="DO42779" s="303" t="s">
        <v>232</v>
      </c>
    </row>
    <row r="42780" spans="119:119" x14ac:dyDescent="0.2">
      <c r="DO42780" s="303" t="s">
        <v>232</v>
      </c>
    </row>
    <row r="42781" spans="119:119" x14ac:dyDescent="0.2">
      <c r="DO42781" s="303" t="s">
        <v>232</v>
      </c>
    </row>
    <row r="42782" spans="119:119" x14ac:dyDescent="0.2">
      <c r="DO42782" s="303" t="s">
        <v>232</v>
      </c>
    </row>
    <row r="42783" spans="119:119" x14ac:dyDescent="0.2">
      <c r="DO42783" s="303" t="s">
        <v>232</v>
      </c>
    </row>
    <row r="42784" spans="119:119" x14ac:dyDescent="0.2">
      <c r="DO42784" s="303" t="s">
        <v>232</v>
      </c>
    </row>
    <row r="42785" spans="119:119" x14ac:dyDescent="0.2">
      <c r="DO42785" s="303" t="s">
        <v>232</v>
      </c>
    </row>
    <row r="42786" spans="119:119" x14ac:dyDescent="0.2">
      <c r="DO42786" s="303" t="s">
        <v>232</v>
      </c>
    </row>
    <row r="42787" spans="119:119" x14ac:dyDescent="0.2">
      <c r="DO42787" s="303" t="s">
        <v>232</v>
      </c>
    </row>
    <row r="42788" spans="119:119" x14ac:dyDescent="0.2">
      <c r="DO42788" s="303" t="s">
        <v>232</v>
      </c>
    </row>
    <row r="42789" spans="119:119" x14ac:dyDescent="0.2">
      <c r="DO42789" s="303" t="s">
        <v>232</v>
      </c>
    </row>
    <row r="42790" spans="119:119" x14ac:dyDescent="0.2">
      <c r="DO42790" s="303" t="s">
        <v>232</v>
      </c>
    </row>
    <row r="42791" spans="119:119" x14ac:dyDescent="0.2">
      <c r="DO42791" s="303" t="s">
        <v>232</v>
      </c>
    </row>
    <row r="42792" spans="119:119" x14ac:dyDescent="0.2">
      <c r="DO42792" s="303" t="s">
        <v>232</v>
      </c>
    </row>
    <row r="42793" spans="119:119" x14ac:dyDescent="0.2">
      <c r="DO42793" s="303" t="s">
        <v>232</v>
      </c>
    </row>
    <row r="42794" spans="119:119" x14ac:dyDescent="0.2">
      <c r="DO42794" s="303" t="s">
        <v>232</v>
      </c>
    </row>
    <row r="42795" spans="119:119" x14ac:dyDescent="0.2">
      <c r="DO42795" s="303" t="s">
        <v>232</v>
      </c>
    </row>
    <row r="42796" spans="119:119" x14ac:dyDescent="0.2">
      <c r="DO42796" s="303" t="s">
        <v>232</v>
      </c>
    </row>
    <row r="42797" spans="119:119" x14ac:dyDescent="0.2">
      <c r="DO42797" s="303" t="s">
        <v>232</v>
      </c>
    </row>
    <row r="42798" spans="119:119" x14ac:dyDescent="0.2">
      <c r="DO42798" s="303" t="s">
        <v>232</v>
      </c>
    </row>
    <row r="42799" spans="119:119" x14ac:dyDescent="0.2">
      <c r="DO42799" s="303" t="s">
        <v>232</v>
      </c>
    </row>
    <row r="42800" spans="119:119" x14ac:dyDescent="0.2">
      <c r="DO42800" s="303" t="s">
        <v>232</v>
      </c>
    </row>
    <row r="42801" spans="119:119" x14ac:dyDescent="0.2">
      <c r="DO42801" s="303" t="s">
        <v>232</v>
      </c>
    </row>
    <row r="42802" spans="119:119" x14ac:dyDescent="0.2">
      <c r="DO42802" s="303" t="s">
        <v>232</v>
      </c>
    </row>
    <row r="42803" spans="119:119" x14ac:dyDescent="0.2">
      <c r="DO42803" s="303" t="s">
        <v>232</v>
      </c>
    </row>
    <row r="42804" spans="119:119" x14ac:dyDescent="0.2">
      <c r="DO42804" s="303" t="s">
        <v>232</v>
      </c>
    </row>
    <row r="42805" spans="119:119" x14ac:dyDescent="0.2">
      <c r="DO42805" s="303" t="s">
        <v>232</v>
      </c>
    </row>
    <row r="42806" spans="119:119" x14ac:dyDescent="0.2">
      <c r="DO42806" s="303" t="s">
        <v>232</v>
      </c>
    </row>
    <row r="42807" spans="119:119" x14ac:dyDescent="0.2">
      <c r="DO42807" s="303" t="s">
        <v>232</v>
      </c>
    </row>
    <row r="42808" spans="119:119" x14ac:dyDescent="0.2">
      <c r="DO42808" s="303" t="s">
        <v>232</v>
      </c>
    </row>
    <row r="42809" spans="119:119" x14ac:dyDescent="0.2">
      <c r="DO42809" s="303" t="s">
        <v>232</v>
      </c>
    </row>
    <row r="42810" spans="119:119" x14ac:dyDescent="0.2">
      <c r="DO42810" s="303" t="s">
        <v>232</v>
      </c>
    </row>
    <row r="42811" spans="119:119" x14ac:dyDescent="0.2">
      <c r="DO42811" s="303" t="s">
        <v>232</v>
      </c>
    </row>
    <row r="42812" spans="119:119" x14ac:dyDescent="0.2">
      <c r="DO42812" s="303" t="s">
        <v>232</v>
      </c>
    </row>
    <row r="42813" spans="119:119" x14ac:dyDescent="0.2">
      <c r="DO42813" s="303" t="s">
        <v>232</v>
      </c>
    </row>
    <row r="42814" spans="119:119" x14ac:dyDescent="0.2">
      <c r="DO42814" s="303" t="s">
        <v>232</v>
      </c>
    </row>
    <row r="42815" spans="119:119" x14ac:dyDescent="0.2">
      <c r="DO42815" s="303" t="s">
        <v>232</v>
      </c>
    </row>
    <row r="42816" spans="119:119" x14ac:dyDescent="0.2">
      <c r="DO42816" s="303" t="s">
        <v>232</v>
      </c>
    </row>
    <row r="42817" spans="119:119" x14ac:dyDescent="0.2">
      <c r="DO42817" s="303" t="s">
        <v>232</v>
      </c>
    </row>
    <row r="42818" spans="119:119" x14ac:dyDescent="0.2">
      <c r="DO42818" s="303" t="s">
        <v>232</v>
      </c>
    </row>
    <row r="42819" spans="119:119" x14ac:dyDescent="0.2">
      <c r="DO42819" s="303" t="s">
        <v>232</v>
      </c>
    </row>
    <row r="42820" spans="119:119" x14ac:dyDescent="0.2">
      <c r="DO42820" s="303" t="s">
        <v>232</v>
      </c>
    </row>
    <row r="42821" spans="119:119" x14ac:dyDescent="0.2">
      <c r="DO42821" s="303" t="s">
        <v>232</v>
      </c>
    </row>
    <row r="42822" spans="119:119" x14ac:dyDescent="0.2">
      <c r="DO42822" s="303" t="s">
        <v>232</v>
      </c>
    </row>
    <row r="42823" spans="119:119" x14ac:dyDescent="0.2">
      <c r="DO42823" s="303" t="s">
        <v>232</v>
      </c>
    </row>
    <row r="42824" spans="119:119" x14ac:dyDescent="0.2">
      <c r="DO42824" s="303" t="s">
        <v>232</v>
      </c>
    </row>
    <row r="42825" spans="119:119" x14ac:dyDescent="0.2">
      <c r="DO42825" s="303" t="s">
        <v>232</v>
      </c>
    </row>
    <row r="42826" spans="119:119" x14ac:dyDescent="0.2">
      <c r="DO42826" s="303" t="s">
        <v>232</v>
      </c>
    </row>
    <row r="42827" spans="119:119" x14ac:dyDescent="0.2">
      <c r="DO42827" s="303" t="s">
        <v>232</v>
      </c>
    </row>
    <row r="42828" spans="119:119" x14ac:dyDescent="0.2">
      <c r="DO42828" s="303" t="s">
        <v>232</v>
      </c>
    </row>
    <row r="42829" spans="119:119" x14ac:dyDescent="0.2">
      <c r="DO42829" s="303" t="s">
        <v>232</v>
      </c>
    </row>
    <row r="42830" spans="119:119" x14ac:dyDescent="0.2">
      <c r="DO42830" s="303" t="s">
        <v>232</v>
      </c>
    </row>
    <row r="42831" spans="119:119" x14ac:dyDescent="0.2">
      <c r="DO42831" s="303" t="s">
        <v>232</v>
      </c>
    </row>
    <row r="42832" spans="119:119" x14ac:dyDescent="0.2">
      <c r="DO42832" s="303" t="s">
        <v>232</v>
      </c>
    </row>
    <row r="42833" spans="119:119" x14ac:dyDescent="0.2">
      <c r="DO42833" s="303" t="s">
        <v>232</v>
      </c>
    </row>
    <row r="42834" spans="119:119" x14ac:dyDescent="0.2">
      <c r="DO42834" s="303" t="s">
        <v>232</v>
      </c>
    </row>
    <row r="42835" spans="119:119" x14ac:dyDescent="0.2">
      <c r="DO42835" s="303" t="s">
        <v>232</v>
      </c>
    </row>
    <row r="42836" spans="119:119" x14ac:dyDescent="0.2">
      <c r="DO42836" s="303" t="s">
        <v>232</v>
      </c>
    </row>
    <row r="42837" spans="119:119" x14ac:dyDescent="0.2">
      <c r="DO42837" s="303" t="s">
        <v>232</v>
      </c>
    </row>
    <row r="42838" spans="119:119" x14ac:dyDescent="0.2">
      <c r="DO42838" s="303" t="s">
        <v>232</v>
      </c>
    </row>
    <row r="42839" spans="119:119" x14ac:dyDescent="0.2">
      <c r="DO42839" s="303" t="s">
        <v>232</v>
      </c>
    </row>
    <row r="42840" spans="119:119" x14ac:dyDescent="0.2">
      <c r="DO42840" s="303" t="s">
        <v>232</v>
      </c>
    </row>
    <row r="42841" spans="119:119" x14ac:dyDescent="0.2">
      <c r="DO42841" s="303" t="s">
        <v>232</v>
      </c>
    </row>
    <row r="42842" spans="119:119" x14ac:dyDescent="0.2">
      <c r="DO42842" s="303" t="s">
        <v>232</v>
      </c>
    </row>
    <row r="42843" spans="119:119" x14ac:dyDescent="0.2">
      <c r="DO42843" s="303" t="s">
        <v>232</v>
      </c>
    </row>
    <row r="42844" spans="119:119" x14ac:dyDescent="0.2">
      <c r="DO42844" s="303" t="s">
        <v>232</v>
      </c>
    </row>
    <row r="42845" spans="119:119" x14ac:dyDescent="0.2">
      <c r="DO42845" s="303" t="s">
        <v>232</v>
      </c>
    </row>
    <row r="42846" spans="119:119" x14ac:dyDescent="0.2">
      <c r="DO42846" s="303" t="s">
        <v>232</v>
      </c>
    </row>
    <row r="42847" spans="119:119" x14ac:dyDescent="0.2">
      <c r="DO42847" s="303" t="s">
        <v>232</v>
      </c>
    </row>
    <row r="42848" spans="119:119" x14ac:dyDescent="0.2">
      <c r="DO42848" s="303" t="s">
        <v>232</v>
      </c>
    </row>
    <row r="42849" spans="119:119" x14ac:dyDescent="0.2">
      <c r="DO42849" s="303" t="s">
        <v>232</v>
      </c>
    </row>
    <row r="42850" spans="119:119" x14ac:dyDescent="0.2">
      <c r="DO42850" s="303" t="s">
        <v>232</v>
      </c>
    </row>
    <row r="42851" spans="119:119" x14ac:dyDescent="0.2">
      <c r="DO42851" s="303" t="s">
        <v>232</v>
      </c>
    </row>
    <row r="42852" spans="119:119" x14ac:dyDescent="0.2">
      <c r="DO42852" s="303" t="s">
        <v>232</v>
      </c>
    </row>
    <row r="42853" spans="119:119" x14ac:dyDescent="0.2">
      <c r="DO42853" s="303" t="s">
        <v>232</v>
      </c>
    </row>
    <row r="42854" spans="119:119" x14ac:dyDescent="0.2">
      <c r="DO42854" s="303" t="s">
        <v>232</v>
      </c>
    </row>
    <row r="42855" spans="119:119" x14ac:dyDescent="0.2">
      <c r="DO42855" s="303" t="s">
        <v>232</v>
      </c>
    </row>
    <row r="42856" spans="119:119" x14ac:dyDescent="0.2">
      <c r="DO42856" s="303" t="s">
        <v>232</v>
      </c>
    </row>
    <row r="42857" spans="119:119" x14ac:dyDescent="0.2">
      <c r="DO42857" s="303" t="s">
        <v>232</v>
      </c>
    </row>
    <row r="42858" spans="119:119" x14ac:dyDescent="0.2">
      <c r="DO42858" s="303" t="s">
        <v>232</v>
      </c>
    </row>
    <row r="42859" spans="119:119" x14ac:dyDescent="0.2">
      <c r="DO42859" s="303" t="s">
        <v>232</v>
      </c>
    </row>
    <row r="42860" spans="119:119" x14ac:dyDescent="0.2">
      <c r="DO42860" s="303" t="s">
        <v>232</v>
      </c>
    </row>
    <row r="42861" spans="119:119" x14ac:dyDescent="0.2">
      <c r="DO42861" s="303" t="s">
        <v>232</v>
      </c>
    </row>
    <row r="42862" spans="119:119" x14ac:dyDescent="0.2">
      <c r="DO42862" s="303" t="s">
        <v>232</v>
      </c>
    </row>
    <row r="42863" spans="119:119" x14ac:dyDescent="0.2">
      <c r="DO42863" s="303" t="s">
        <v>232</v>
      </c>
    </row>
    <row r="42864" spans="119:119" x14ac:dyDescent="0.2">
      <c r="DO42864" s="303" t="s">
        <v>232</v>
      </c>
    </row>
    <row r="42865" spans="119:119" x14ac:dyDescent="0.2">
      <c r="DO42865" s="303" t="s">
        <v>232</v>
      </c>
    </row>
    <row r="42866" spans="119:119" x14ac:dyDescent="0.2">
      <c r="DO42866" s="303" t="s">
        <v>232</v>
      </c>
    </row>
    <row r="42867" spans="119:119" x14ac:dyDescent="0.2">
      <c r="DO42867" s="303" t="s">
        <v>232</v>
      </c>
    </row>
    <row r="42868" spans="119:119" x14ac:dyDescent="0.2">
      <c r="DO42868" s="303" t="s">
        <v>232</v>
      </c>
    </row>
    <row r="42869" spans="119:119" x14ac:dyDescent="0.2">
      <c r="DO42869" s="303" t="s">
        <v>232</v>
      </c>
    </row>
    <row r="42870" spans="119:119" x14ac:dyDescent="0.2">
      <c r="DO42870" s="303" t="s">
        <v>232</v>
      </c>
    </row>
    <row r="42871" spans="119:119" x14ac:dyDescent="0.2">
      <c r="DO42871" s="303" t="s">
        <v>232</v>
      </c>
    </row>
    <row r="42872" spans="119:119" x14ac:dyDescent="0.2">
      <c r="DO42872" s="303" t="s">
        <v>232</v>
      </c>
    </row>
    <row r="42873" spans="119:119" x14ac:dyDescent="0.2">
      <c r="DO42873" s="303" t="s">
        <v>232</v>
      </c>
    </row>
    <row r="42874" spans="119:119" x14ac:dyDescent="0.2">
      <c r="DO42874" s="303" t="s">
        <v>232</v>
      </c>
    </row>
    <row r="42875" spans="119:119" x14ac:dyDescent="0.2">
      <c r="DO42875" s="303" t="s">
        <v>232</v>
      </c>
    </row>
    <row r="42876" spans="119:119" x14ac:dyDescent="0.2">
      <c r="DO42876" s="303" t="s">
        <v>232</v>
      </c>
    </row>
    <row r="42877" spans="119:119" x14ac:dyDescent="0.2">
      <c r="DO42877" s="303" t="s">
        <v>232</v>
      </c>
    </row>
    <row r="42878" spans="119:119" x14ac:dyDescent="0.2">
      <c r="DO42878" s="303" t="s">
        <v>232</v>
      </c>
    </row>
    <row r="42879" spans="119:119" x14ac:dyDescent="0.2">
      <c r="DO42879" s="303" t="s">
        <v>232</v>
      </c>
    </row>
    <row r="42880" spans="119:119" x14ac:dyDescent="0.2">
      <c r="DO42880" s="303" t="s">
        <v>232</v>
      </c>
    </row>
    <row r="42881" spans="119:119" x14ac:dyDescent="0.2">
      <c r="DO42881" s="303" t="s">
        <v>232</v>
      </c>
    </row>
    <row r="42882" spans="119:119" x14ac:dyDescent="0.2">
      <c r="DO42882" s="303" t="s">
        <v>232</v>
      </c>
    </row>
    <row r="42883" spans="119:119" x14ac:dyDescent="0.2">
      <c r="DO42883" s="303" t="s">
        <v>232</v>
      </c>
    </row>
    <row r="42884" spans="119:119" x14ac:dyDescent="0.2">
      <c r="DO42884" s="303" t="s">
        <v>232</v>
      </c>
    </row>
    <row r="42885" spans="119:119" x14ac:dyDescent="0.2">
      <c r="DO42885" s="303" t="s">
        <v>232</v>
      </c>
    </row>
    <row r="42886" spans="119:119" x14ac:dyDescent="0.2">
      <c r="DO42886" s="303" t="s">
        <v>232</v>
      </c>
    </row>
    <row r="42887" spans="119:119" x14ac:dyDescent="0.2">
      <c r="DO42887" s="303" t="s">
        <v>232</v>
      </c>
    </row>
    <row r="42888" spans="119:119" x14ac:dyDescent="0.2">
      <c r="DO42888" s="303" t="s">
        <v>232</v>
      </c>
    </row>
    <row r="42889" spans="119:119" x14ac:dyDescent="0.2">
      <c r="DO42889" s="303" t="s">
        <v>232</v>
      </c>
    </row>
    <row r="42890" spans="119:119" x14ac:dyDescent="0.2">
      <c r="DO42890" s="303" t="s">
        <v>232</v>
      </c>
    </row>
    <row r="42891" spans="119:119" x14ac:dyDescent="0.2">
      <c r="DO42891" s="303" t="s">
        <v>232</v>
      </c>
    </row>
    <row r="42892" spans="119:119" x14ac:dyDescent="0.2">
      <c r="DO42892" s="303" t="s">
        <v>232</v>
      </c>
    </row>
    <row r="42893" spans="119:119" x14ac:dyDescent="0.2">
      <c r="DO42893" s="303" t="s">
        <v>232</v>
      </c>
    </row>
    <row r="42894" spans="119:119" x14ac:dyDescent="0.2">
      <c r="DO42894" s="303" t="s">
        <v>232</v>
      </c>
    </row>
    <row r="42895" spans="119:119" x14ac:dyDescent="0.2">
      <c r="DO42895" s="303" t="s">
        <v>232</v>
      </c>
    </row>
    <row r="42896" spans="119:119" x14ac:dyDescent="0.2">
      <c r="DO42896" s="303" t="s">
        <v>232</v>
      </c>
    </row>
    <row r="42897" spans="119:119" x14ac:dyDescent="0.2">
      <c r="DO42897" s="303" t="s">
        <v>232</v>
      </c>
    </row>
    <row r="42898" spans="119:119" x14ac:dyDescent="0.2">
      <c r="DO42898" s="303" t="s">
        <v>232</v>
      </c>
    </row>
    <row r="42899" spans="119:119" x14ac:dyDescent="0.2">
      <c r="DO42899" s="303" t="s">
        <v>232</v>
      </c>
    </row>
    <row r="42900" spans="119:119" x14ac:dyDescent="0.2">
      <c r="DO42900" s="303" t="s">
        <v>232</v>
      </c>
    </row>
    <row r="42901" spans="119:119" x14ac:dyDescent="0.2">
      <c r="DO42901" s="303" t="s">
        <v>232</v>
      </c>
    </row>
    <row r="42902" spans="119:119" x14ac:dyDescent="0.2">
      <c r="DO42902" s="303" t="s">
        <v>232</v>
      </c>
    </row>
    <row r="42903" spans="119:119" x14ac:dyDescent="0.2">
      <c r="DO42903" s="303" t="s">
        <v>232</v>
      </c>
    </row>
    <row r="42904" spans="119:119" x14ac:dyDescent="0.2">
      <c r="DO42904" s="303" t="s">
        <v>232</v>
      </c>
    </row>
    <row r="42905" spans="119:119" x14ac:dyDescent="0.2">
      <c r="DO42905" s="303" t="s">
        <v>232</v>
      </c>
    </row>
    <row r="42906" spans="119:119" x14ac:dyDescent="0.2">
      <c r="DO42906" s="303" t="s">
        <v>232</v>
      </c>
    </row>
    <row r="42907" spans="119:119" x14ac:dyDescent="0.2">
      <c r="DO42907" s="303" t="s">
        <v>232</v>
      </c>
    </row>
    <row r="42908" spans="119:119" x14ac:dyDescent="0.2">
      <c r="DO42908" s="303" t="s">
        <v>232</v>
      </c>
    </row>
    <row r="42909" spans="119:119" x14ac:dyDescent="0.2">
      <c r="DO42909" s="303" t="s">
        <v>232</v>
      </c>
    </row>
    <row r="42910" spans="119:119" x14ac:dyDescent="0.2">
      <c r="DO42910" s="303" t="s">
        <v>232</v>
      </c>
    </row>
    <row r="42911" spans="119:119" x14ac:dyDescent="0.2">
      <c r="DO42911" s="303" t="s">
        <v>232</v>
      </c>
    </row>
    <row r="42912" spans="119:119" x14ac:dyDescent="0.2">
      <c r="DO42912" s="303" t="s">
        <v>232</v>
      </c>
    </row>
    <row r="42913" spans="119:119" x14ac:dyDescent="0.2">
      <c r="DO42913" s="303" t="s">
        <v>232</v>
      </c>
    </row>
    <row r="42914" spans="119:119" x14ac:dyDescent="0.2">
      <c r="DO42914" s="303" t="s">
        <v>232</v>
      </c>
    </row>
    <row r="42915" spans="119:119" x14ac:dyDescent="0.2">
      <c r="DO42915" s="303" t="s">
        <v>232</v>
      </c>
    </row>
    <row r="42916" spans="119:119" x14ac:dyDescent="0.2">
      <c r="DO42916" s="303" t="s">
        <v>232</v>
      </c>
    </row>
    <row r="42917" spans="119:119" x14ac:dyDescent="0.2">
      <c r="DO42917" s="303" t="s">
        <v>232</v>
      </c>
    </row>
    <row r="42918" spans="119:119" x14ac:dyDescent="0.2">
      <c r="DO42918" s="303" t="s">
        <v>232</v>
      </c>
    </row>
    <row r="42919" spans="119:119" x14ac:dyDescent="0.2">
      <c r="DO42919" s="303" t="s">
        <v>232</v>
      </c>
    </row>
    <row r="42920" spans="119:119" x14ac:dyDescent="0.2">
      <c r="DO42920" s="303" t="s">
        <v>232</v>
      </c>
    </row>
    <row r="42921" spans="119:119" x14ac:dyDescent="0.2">
      <c r="DO42921" s="303" t="s">
        <v>232</v>
      </c>
    </row>
    <row r="42922" spans="119:119" x14ac:dyDescent="0.2">
      <c r="DO42922" s="303" t="s">
        <v>232</v>
      </c>
    </row>
    <row r="42923" spans="119:119" x14ac:dyDescent="0.2">
      <c r="DO42923" s="303" t="s">
        <v>232</v>
      </c>
    </row>
    <row r="42924" spans="119:119" x14ac:dyDescent="0.2">
      <c r="DO42924" s="303" t="s">
        <v>232</v>
      </c>
    </row>
    <row r="42925" spans="119:119" x14ac:dyDescent="0.2">
      <c r="DO42925" s="303" t="s">
        <v>232</v>
      </c>
    </row>
    <row r="42926" spans="119:119" x14ac:dyDescent="0.2">
      <c r="DO42926" s="303" t="s">
        <v>232</v>
      </c>
    </row>
    <row r="42927" spans="119:119" x14ac:dyDescent="0.2">
      <c r="DO42927" s="303" t="s">
        <v>232</v>
      </c>
    </row>
    <row r="42928" spans="119:119" x14ac:dyDescent="0.2">
      <c r="DO42928" s="303" t="s">
        <v>232</v>
      </c>
    </row>
    <row r="42929" spans="119:119" x14ac:dyDescent="0.2">
      <c r="DO42929" s="303" t="s">
        <v>232</v>
      </c>
    </row>
    <row r="42930" spans="119:119" x14ac:dyDescent="0.2">
      <c r="DO42930" s="303" t="s">
        <v>232</v>
      </c>
    </row>
    <row r="42931" spans="119:119" x14ac:dyDescent="0.2">
      <c r="DO42931" s="303" t="s">
        <v>232</v>
      </c>
    </row>
    <row r="42932" spans="119:119" x14ac:dyDescent="0.2">
      <c r="DO42932" s="303" t="s">
        <v>232</v>
      </c>
    </row>
    <row r="42933" spans="119:119" x14ac:dyDescent="0.2">
      <c r="DO42933" s="303" t="s">
        <v>232</v>
      </c>
    </row>
    <row r="42934" spans="119:119" x14ac:dyDescent="0.2">
      <c r="DO42934" s="303" t="s">
        <v>232</v>
      </c>
    </row>
    <row r="42935" spans="119:119" x14ac:dyDescent="0.2">
      <c r="DO42935" s="303" t="s">
        <v>232</v>
      </c>
    </row>
    <row r="42936" spans="119:119" x14ac:dyDescent="0.2">
      <c r="DO42936" s="303" t="s">
        <v>232</v>
      </c>
    </row>
    <row r="42937" spans="119:119" x14ac:dyDescent="0.2">
      <c r="DO42937" s="303" t="s">
        <v>232</v>
      </c>
    </row>
    <row r="42938" spans="119:119" x14ac:dyDescent="0.2">
      <c r="DO42938" s="303" t="s">
        <v>232</v>
      </c>
    </row>
    <row r="42939" spans="119:119" x14ac:dyDescent="0.2">
      <c r="DO42939" s="303" t="s">
        <v>232</v>
      </c>
    </row>
    <row r="42940" spans="119:119" x14ac:dyDescent="0.2">
      <c r="DO42940" s="303" t="s">
        <v>232</v>
      </c>
    </row>
    <row r="42941" spans="119:119" x14ac:dyDescent="0.2">
      <c r="DO42941" s="303" t="s">
        <v>232</v>
      </c>
    </row>
    <row r="42942" spans="119:119" x14ac:dyDescent="0.2">
      <c r="DO42942" s="303" t="s">
        <v>232</v>
      </c>
    </row>
    <row r="42943" spans="119:119" x14ac:dyDescent="0.2">
      <c r="DO42943" s="303" t="s">
        <v>232</v>
      </c>
    </row>
    <row r="42944" spans="119:119" x14ac:dyDescent="0.2">
      <c r="DO42944" s="303" t="s">
        <v>232</v>
      </c>
    </row>
    <row r="42945" spans="119:119" x14ac:dyDescent="0.2">
      <c r="DO42945" s="303" t="s">
        <v>232</v>
      </c>
    </row>
    <row r="42946" spans="119:119" x14ac:dyDescent="0.2">
      <c r="DO42946" s="303" t="s">
        <v>232</v>
      </c>
    </row>
    <row r="42947" spans="119:119" x14ac:dyDescent="0.2">
      <c r="DO42947" s="303" t="s">
        <v>232</v>
      </c>
    </row>
    <row r="42948" spans="119:119" x14ac:dyDescent="0.2">
      <c r="DO42948" s="303" t="s">
        <v>232</v>
      </c>
    </row>
    <row r="42949" spans="119:119" x14ac:dyDescent="0.2">
      <c r="DO42949" s="303" t="s">
        <v>232</v>
      </c>
    </row>
    <row r="42950" spans="119:119" x14ac:dyDescent="0.2">
      <c r="DO42950" s="303" t="s">
        <v>232</v>
      </c>
    </row>
    <row r="42951" spans="119:119" x14ac:dyDescent="0.2">
      <c r="DO42951" s="303" t="s">
        <v>232</v>
      </c>
    </row>
    <row r="42952" spans="119:119" x14ac:dyDescent="0.2">
      <c r="DO42952" s="303" t="s">
        <v>232</v>
      </c>
    </row>
    <row r="42953" spans="119:119" x14ac:dyDescent="0.2">
      <c r="DO42953" s="303" t="s">
        <v>232</v>
      </c>
    </row>
    <row r="42954" spans="119:119" x14ac:dyDescent="0.2">
      <c r="DO42954" s="303" t="s">
        <v>232</v>
      </c>
    </row>
    <row r="42955" spans="119:119" x14ac:dyDescent="0.2">
      <c r="DO42955" s="303" t="s">
        <v>232</v>
      </c>
    </row>
    <row r="42956" spans="119:119" x14ac:dyDescent="0.2">
      <c r="DO42956" s="303" t="s">
        <v>232</v>
      </c>
    </row>
    <row r="42957" spans="119:119" x14ac:dyDescent="0.2">
      <c r="DO42957" s="303" t="s">
        <v>232</v>
      </c>
    </row>
    <row r="42958" spans="119:119" x14ac:dyDescent="0.2">
      <c r="DO42958" s="303" t="s">
        <v>232</v>
      </c>
    </row>
    <row r="42959" spans="119:119" x14ac:dyDescent="0.2">
      <c r="DO42959" s="303" t="s">
        <v>232</v>
      </c>
    </row>
    <row r="42960" spans="119:119" x14ac:dyDescent="0.2">
      <c r="DO42960" s="303" t="s">
        <v>232</v>
      </c>
    </row>
    <row r="42961" spans="119:119" x14ac:dyDescent="0.2">
      <c r="DO42961" s="303" t="s">
        <v>232</v>
      </c>
    </row>
    <row r="42962" spans="119:119" x14ac:dyDescent="0.2">
      <c r="DO42962" s="303" t="s">
        <v>232</v>
      </c>
    </row>
    <row r="42963" spans="119:119" x14ac:dyDescent="0.2">
      <c r="DO42963" s="303" t="s">
        <v>232</v>
      </c>
    </row>
    <row r="42964" spans="119:119" x14ac:dyDescent="0.2">
      <c r="DO42964" s="303" t="s">
        <v>232</v>
      </c>
    </row>
    <row r="42965" spans="119:119" x14ac:dyDescent="0.2">
      <c r="DO42965" s="303" t="s">
        <v>232</v>
      </c>
    </row>
    <row r="42966" spans="119:119" x14ac:dyDescent="0.2">
      <c r="DO42966" s="303" t="s">
        <v>232</v>
      </c>
    </row>
    <row r="42967" spans="119:119" x14ac:dyDescent="0.2">
      <c r="DO42967" s="303" t="s">
        <v>232</v>
      </c>
    </row>
    <row r="42968" spans="119:119" x14ac:dyDescent="0.2">
      <c r="DO42968" s="303" t="s">
        <v>232</v>
      </c>
    </row>
    <row r="42969" spans="119:119" x14ac:dyDescent="0.2">
      <c r="DO42969" s="303" t="s">
        <v>232</v>
      </c>
    </row>
    <row r="42970" spans="119:119" x14ac:dyDescent="0.2">
      <c r="DO42970" s="303" t="s">
        <v>232</v>
      </c>
    </row>
    <row r="42971" spans="119:119" x14ac:dyDescent="0.2">
      <c r="DO42971" s="303" t="s">
        <v>232</v>
      </c>
    </row>
    <row r="42972" spans="119:119" x14ac:dyDescent="0.2">
      <c r="DO42972" s="303" t="s">
        <v>232</v>
      </c>
    </row>
    <row r="42973" spans="119:119" x14ac:dyDescent="0.2">
      <c r="DO42973" s="303" t="s">
        <v>232</v>
      </c>
    </row>
    <row r="42974" spans="119:119" x14ac:dyDescent="0.2">
      <c r="DO42974" s="303" t="s">
        <v>232</v>
      </c>
    </row>
    <row r="42975" spans="119:119" x14ac:dyDescent="0.2">
      <c r="DO42975" s="303" t="s">
        <v>232</v>
      </c>
    </row>
    <row r="42976" spans="119:119" x14ac:dyDescent="0.2">
      <c r="DO42976" s="303" t="s">
        <v>232</v>
      </c>
    </row>
    <row r="42977" spans="119:119" x14ac:dyDescent="0.2">
      <c r="DO42977" s="303" t="s">
        <v>232</v>
      </c>
    </row>
    <row r="42978" spans="119:119" x14ac:dyDescent="0.2">
      <c r="DO42978" s="303" t="s">
        <v>232</v>
      </c>
    </row>
    <row r="42979" spans="119:119" x14ac:dyDescent="0.2">
      <c r="DO42979" s="303" t="s">
        <v>232</v>
      </c>
    </row>
    <row r="42980" spans="119:119" x14ac:dyDescent="0.2">
      <c r="DO42980" s="303" t="s">
        <v>232</v>
      </c>
    </row>
    <row r="42981" spans="119:119" x14ac:dyDescent="0.2">
      <c r="DO42981" s="303" t="s">
        <v>232</v>
      </c>
    </row>
    <row r="42982" spans="119:119" x14ac:dyDescent="0.2">
      <c r="DO42982" s="303" t="s">
        <v>232</v>
      </c>
    </row>
    <row r="42983" spans="119:119" x14ac:dyDescent="0.2">
      <c r="DO42983" s="303" t="s">
        <v>232</v>
      </c>
    </row>
    <row r="42984" spans="119:119" x14ac:dyDescent="0.2">
      <c r="DO42984" s="303" t="s">
        <v>232</v>
      </c>
    </row>
    <row r="42985" spans="119:119" x14ac:dyDescent="0.2">
      <c r="DO42985" s="303" t="s">
        <v>232</v>
      </c>
    </row>
    <row r="42986" spans="119:119" x14ac:dyDescent="0.2">
      <c r="DO42986" s="303" t="s">
        <v>232</v>
      </c>
    </row>
    <row r="42987" spans="119:119" x14ac:dyDescent="0.2">
      <c r="DO42987" s="303" t="s">
        <v>232</v>
      </c>
    </row>
    <row r="42988" spans="119:119" x14ac:dyDescent="0.2">
      <c r="DO42988" s="303" t="s">
        <v>232</v>
      </c>
    </row>
    <row r="42989" spans="119:119" x14ac:dyDescent="0.2">
      <c r="DO42989" s="303" t="s">
        <v>232</v>
      </c>
    </row>
    <row r="42990" spans="119:119" x14ac:dyDescent="0.2">
      <c r="DO42990" s="303" t="s">
        <v>232</v>
      </c>
    </row>
    <row r="42991" spans="119:119" x14ac:dyDescent="0.2">
      <c r="DO42991" s="303" t="s">
        <v>232</v>
      </c>
    </row>
    <row r="42992" spans="119:119" x14ac:dyDescent="0.2">
      <c r="DO42992" s="303" t="s">
        <v>232</v>
      </c>
    </row>
    <row r="42993" spans="119:119" x14ac:dyDescent="0.2">
      <c r="DO42993" s="303" t="s">
        <v>232</v>
      </c>
    </row>
    <row r="42994" spans="119:119" x14ac:dyDescent="0.2">
      <c r="DO42994" s="303" t="s">
        <v>232</v>
      </c>
    </row>
    <row r="42995" spans="119:119" x14ac:dyDescent="0.2">
      <c r="DO42995" s="303" t="s">
        <v>232</v>
      </c>
    </row>
    <row r="42996" spans="119:119" x14ac:dyDescent="0.2">
      <c r="DO42996" s="303" t="s">
        <v>232</v>
      </c>
    </row>
    <row r="42997" spans="119:119" x14ac:dyDescent="0.2">
      <c r="DO42997" s="303" t="s">
        <v>232</v>
      </c>
    </row>
    <row r="42998" spans="119:119" x14ac:dyDescent="0.2">
      <c r="DO42998" s="303" t="s">
        <v>232</v>
      </c>
    </row>
    <row r="42999" spans="119:119" x14ac:dyDescent="0.2">
      <c r="DO42999" s="303" t="s">
        <v>232</v>
      </c>
    </row>
    <row r="43000" spans="119:119" x14ac:dyDescent="0.2">
      <c r="DO43000" s="303" t="s">
        <v>232</v>
      </c>
    </row>
    <row r="43001" spans="119:119" x14ac:dyDescent="0.2">
      <c r="DO43001" s="303" t="s">
        <v>232</v>
      </c>
    </row>
    <row r="43002" spans="119:119" x14ac:dyDescent="0.2">
      <c r="DO43002" s="303" t="s">
        <v>232</v>
      </c>
    </row>
    <row r="43003" spans="119:119" x14ac:dyDescent="0.2">
      <c r="DO43003" s="303" t="s">
        <v>232</v>
      </c>
    </row>
    <row r="43004" spans="119:119" x14ac:dyDescent="0.2">
      <c r="DO43004" s="303" t="s">
        <v>232</v>
      </c>
    </row>
    <row r="43005" spans="119:119" x14ac:dyDescent="0.2">
      <c r="DO43005" s="303" t="s">
        <v>232</v>
      </c>
    </row>
    <row r="43006" spans="119:119" x14ac:dyDescent="0.2">
      <c r="DO43006" s="303" t="s">
        <v>232</v>
      </c>
    </row>
    <row r="43007" spans="119:119" x14ac:dyDescent="0.2">
      <c r="DO43007" s="303" t="s">
        <v>232</v>
      </c>
    </row>
    <row r="43008" spans="119:119" x14ac:dyDescent="0.2">
      <c r="DO43008" s="303" t="s">
        <v>232</v>
      </c>
    </row>
    <row r="43009" spans="119:119" x14ac:dyDescent="0.2">
      <c r="DO43009" s="303" t="s">
        <v>232</v>
      </c>
    </row>
    <row r="43010" spans="119:119" x14ac:dyDescent="0.2">
      <c r="DO43010" s="303" t="s">
        <v>232</v>
      </c>
    </row>
    <row r="43011" spans="119:119" x14ac:dyDescent="0.2">
      <c r="DO43011" s="303" t="s">
        <v>232</v>
      </c>
    </row>
    <row r="43012" spans="119:119" x14ac:dyDescent="0.2">
      <c r="DO43012" s="303" t="s">
        <v>232</v>
      </c>
    </row>
    <row r="43013" spans="119:119" x14ac:dyDescent="0.2">
      <c r="DO43013" s="303" t="s">
        <v>232</v>
      </c>
    </row>
    <row r="43014" spans="119:119" x14ac:dyDescent="0.2">
      <c r="DO43014" s="303" t="s">
        <v>232</v>
      </c>
    </row>
    <row r="43015" spans="119:119" x14ac:dyDescent="0.2">
      <c r="DO43015" s="303" t="s">
        <v>232</v>
      </c>
    </row>
    <row r="43016" spans="119:119" x14ac:dyDescent="0.2">
      <c r="DO43016" s="303" t="s">
        <v>232</v>
      </c>
    </row>
    <row r="43017" spans="119:119" x14ac:dyDescent="0.2">
      <c r="DO43017" s="303" t="s">
        <v>232</v>
      </c>
    </row>
    <row r="43018" spans="119:119" x14ac:dyDescent="0.2">
      <c r="DO43018" s="303" t="s">
        <v>232</v>
      </c>
    </row>
    <row r="43019" spans="119:119" x14ac:dyDescent="0.2">
      <c r="DO43019" s="303" t="s">
        <v>232</v>
      </c>
    </row>
    <row r="43020" spans="119:119" x14ac:dyDescent="0.2">
      <c r="DO43020" s="303" t="s">
        <v>232</v>
      </c>
    </row>
    <row r="43021" spans="119:119" x14ac:dyDescent="0.2">
      <c r="DO43021" s="303" t="s">
        <v>232</v>
      </c>
    </row>
    <row r="43022" spans="119:119" x14ac:dyDescent="0.2">
      <c r="DO43022" s="303" t="s">
        <v>232</v>
      </c>
    </row>
    <row r="43023" spans="119:119" x14ac:dyDescent="0.2">
      <c r="DO43023" s="303" t="s">
        <v>232</v>
      </c>
    </row>
    <row r="43024" spans="119:119" x14ac:dyDescent="0.2">
      <c r="DO43024" s="303" t="s">
        <v>232</v>
      </c>
    </row>
    <row r="43025" spans="119:119" x14ac:dyDescent="0.2">
      <c r="DO43025" s="303" t="s">
        <v>232</v>
      </c>
    </row>
    <row r="43026" spans="119:119" x14ac:dyDescent="0.2">
      <c r="DO43026" s="303" t="s">
        <v>232</v>
      </c>
    </row>
    <row r="43027" spans="119:119" x14ac:dyDescent="0.2">
      <c r="DO43027" s="303" t="s">
        <v>232</v>
      </c>
    </row>
    <row r="43028" spans="119:119" x14ac:dyDescent="0.2">
      <c r="DO43028" s="303" t="s">
        <v>232</v>
      </c>
    </row>
    <row r="43029" spans="119:119" x14ac:dyDescent="0.2">
      <c r="DO43029" s="303" t="s">
        <v>232</v>
      </c>
    </row>
    <row r="43030" spans="119:119" x14ac:dyDescent="0.2">
      <c r="DO43030" s="303" t="s">
        <v>232</v>
      </c>
    </row>
    <row r="43031" spans="119:119" x14ac:dyDescent="0.2">
      <c r="DO43031" s="303" t="s">
        <v>232</v>
      </c>
    </row>
    <row r="43032" spans="119:119" x14ac:dyDescent="0.2">
      <c r="DO43032" s="303" t="s">
        <v>232</v>
      </c>
    </row>
    <row r="43033" spans="119:119" x14ac:dyDescent="0.2">
      <c r="DO43033" s="303" t="s">
        <v>232</v>
      </c>
    </row>
    <row r="43034" spans="119:119" x14ac:dyDescent="0.2">
      <c r="DO43034" s="303" t="s">
        <v>232</v>
      </c>
    </row>
    <row r="43035" spans="119:119" x14ac:dyDescent="0.2">
      <c r="DO43035" s="303" t="s">
        <v>232</v>
      </c>
    </row>
    <row r="43036" spans="119:119" x14ac:dyDescent="0.2">
      <c r="DO43036" s="303" t="s">
        <v>232</v>
      </c>
    </row>
    <row r="43037" spans="119:119" x14ac:dyDescent="0.2">
      <c r="DO43037" s="303" t="s">
        <v>232</v>
      </c>
    </row>
    <row r="43038" spans="119:119" x14ac:dyDescent="0.2">
      <c r="DO43038" s="303" t="s">
        <v>232</v>
      </c>
    </row>
    <row r="43039" spans="119:119" x14ac:dyDescent="0.2">
      <c r="DO43039" s="303" t="s">
        <v>232</v>
      </c>
    </row>
    <row r="43040" spans="119:119" x14ac:dyDescent="0.2">
      <c r="DO43040" s="303" t="s">
        <v>232</v>
      </c>
    </row>
    <row r="43041" spans="119:119" x14ac:dyDescent="0.2">
      <c r="DO43041" s="303" t="s">
        <v>232</v>
      </c>
    </row>
    <row r="43042" spans="119:119" x14ac:dyDescent="0.2">
      <c r="DO43042" s="303" t="s">
        <v>232</v>
      </c>
    </row>
    <row r="43043" spans="119:119" x14ac:dyDescent="0.2">
      <c r="DO43043" s="303" t="s">
        <v>232</v>
      </c>
    </row>
    <row r="43044" spans="119:119" x14ac:dyDescent="0.2">
      <c r="DO43044" s="303" t="s">
        <v>232</v>
      </c>
    </row>
    <row r="43045" spans="119:119" x14ac:dyDescent="0.2">
      <c r="DO43045" s="303" t="s">
        <v>232</v>
      </c>
    </row>
    <row r="43046" spans="119:119" x14ac:dyDescent="0.2">
      <c r="DO43046" s="303" t="s">
        <v>232</v>
      </c>
    </row>
    <row r="43047" spans="119:119" x14ac:dyDescent="0.2">
      <c r="DO43047" s="303" t="s">
        <v>232</v>
      </c>
    </row>
    <row r="43048" spans="119:119" x14ac:dyDescent="0.2">
      <c r="DO43048" s="303" t="s">
        <v>232</v>
      </c>
    </row>
    <row r="43049" spans="119:119" x14ac:dyDescent="0.2">
      <c r="DO43049" s="303" t="s">
        <v>232</v>
      </c>
    </row>
    <row r="43050" spans="119:119" x14ac:dyDescent="0.2">
      <c r="DO43050" s="303" t="s">
        <v>232</v>
      </c>
    </row>
    <row r="43051" spans="119:119" x14ac:dyDescent="0.2">
      <c r="DO43051" s="303" t="s">
        <v>232</v>
      </c>
    </row>
    <row r="43052" spans="119:119" x14ac:dyDescent="0.2">
      <c r="DO43052" s="303" t="s">
        <v>232</v>
      </c>
    </row>
    <row r="43053" spans="119:119" x14ac:dyDescent="0.2">
      <c r="DO43053" s="303" t="s">
        <v>232</v>
      </c>
    </row>
    <row r="43054" spans="119:119" x14ac:dyDescent="0.2">
      <c r="DO43054" s="303" t="s">
        <v>232</v>
      </c>
    </row>
    <row r="43055" spans="119:119" x14ac:dyDescent="0.2">
      <c r="DO43055" s="303" t="s">
        <v>232</v>
      </c>
    </row>
    <row r="43056" spans="119:119" x14ac:dyDescent="0.2">
      <c r="DO43056" s="303" t="s">
        <v>232</v>
      </c>
    </row>
    <row r="43057" spans="119:119" x14ac:dyDescent="0.2">
      <c r="DO43057" s="303" t="s">
        <v>232</v>
      </c>
    </row>
    <row r="43058" spans="119:119" x14ac:dyDescent="0.2">
      <c r="DO43058" s="303" t="s">
        <v>232</v>
      </c>
    </row>
    <row r="43059" spans="119:119" x14ac:dyDescent="0.2">
      <c r="DO43059" s="303" t="s">
        <v>232</v>
      </c>
    </row>
    <row r="43060" spans="119:119" x14ac:dyDescent="0.2">
      <c r="DO43060" s="303" t="s">
        <v>232</v>
      </c>
    </row>
    <row r="43061" spans="119:119" x14ac:dyDescent="0.2">
      <c r="DO43061" s="303" t="s">
        <v>232</v>
      </c>
    </row>
    <row r="43062" spans="119:119" x14ac:dyDescent="0.2">
      <c r="DO43062" s="303" t="s">
        <v>232</v>
      </c>
    </row>
    <row r="43063" spans="119:119" x14ac:dyDescent="0.2">
      <c r="DO43063" s="303" t="s">
        <v>232</v>
      </c>
    </row>
    <row r="43064" spans="119:119" x14ac:dyDescent="0.2">
      <c r="DO43064" s="303" t="s">
        <v>232</v>
      </c>
    </row>
    <row r="43065" spans="119:119" x14ac:dyDescent="0.2">
      <c r="DO43065" s="303" t="s">
        <v>232</v>
      </c>
    </row>
    <row r="43066" spans="119:119" x14ac:dyDescent="0.2">
      <c r="DO43066" s="303" t="s">
        <v>232</v>
      </c>
    </row>
    <row r="43067" spans="119:119" x14ac:dyDescent="0.2">
      <c r="DO43067" s="303" t="s">
        <v>232</v>
      </c>
    </row>
    <row r="43068" spans="119:119" x14ac:dyDescent="0.2">
      <c r="DO43068" s="303" t="s">
        <v>232</v>
      </c>
    </row>
    <row r="43069" spans="119:119" x14ac:dyDescent="0.2">
      <c r="DO43069" s="303" t="s">
        <v>232</v>
      </c>
    </row>
    <row r="43070" spans="119:119" x14ac:dyDescent="0.2">
      <c r="DO43070" s="303" t="s">
        <v>232</v>
      </c>
    </row>
    <row r="43071" spans="119:119" x14ac:dyDescent="0.2">
      <c r="DO43071" s="303" t="s">
        <v>232</v>
      </c>
    </row>
    <row r="43072" spans="119:119" x14ac:dyDescent="0.2">
      <c r="DO43072" s="303" t="s">
        <v>232</v>
      </c>
    </row>
    <row r="43073" spans="119:119" x14ac:dyDescent="0.2">
      <c r="DO43073" s="303" t="s">
        <v>232</v>
      </c>
    </row>
    <row r="43074" spans="119:119" x14ac:dyDescent="0.2">
      <c r="DO43074" s="303" t="s">
        <v>232</v>
      </c>
    </row>
    <row r="43075" spans="119:119" x14ac:dyDescent="0.2">
      <c r="DO43075" s="303" t="s">
        <v>232</v>
      </c>
    </row>
    <row r="43076" spans="119:119" x14ac:dyDescent="0.2">
      <c r="DO43076" s="303" t="s">
        <v>232</v>
      </c>
    </row>
    <row r="43077" spans="119:119" x14ac:dyDescent="0.2">
      <c r="DO43077" s="303" t="s">
        <v>232</v>
      </c>
    </row>
    <row r="43078" spans="119:119" x14ac:dyDescent="0.2">
      <c r="DO43078" s="303" t="s">
        <v>232</v>
      </c>
    </row>
    <row r="43079" spans="119:119" x14ac:dyDescent="0.2">
      <c r="DO43079" s="303" t="s">
        <v>232</v>
      </c>
    </row>
    <row r="43080" spans="119:119" x14ac:dyDescent="0.2">
      <c r="DO43080" s="303" t="s">
        <v>232</v>
      </c>
    </row>
    <row r="43081" spans="119:119" x14ac:dyDescent="0.2">
      <c r="DO43081" s="303" t="s">
        <v>232</v>
      </c>
    </row>
    <row r="43082" spans="119:119" x14ac:dyDescent="0.2">
      <c r="DO43082" s="303" t="s">
        <v>232</v>
      </c>
    </row>
    <row r="43083" spans="119:119" x14ac:dyDescent="0.2">
      <c r="DO43083" s="303" t="s">
        <v>232</v>
      </c>
    </row>
    <row r="43084" spans="119:119" x14ac:dyDescent="0.2">
      <c r="DO43084" s="303" t="s">
        <v>232</v>
      </c>
    </row>
    <row r="43085" spans="119:119" x14ac:dyDescent="0.2">
      <c r="DO43085" s="303" t="s">
        <v>232</v>
      </c>
    </row>
    <row r="43086" spans="119:119" x14ac:dyDescent="0.2">
      <c r="DO43086" s="303" t="s">
        <v>232</v>
      </c>
    </row>
    <row r="43087" spans="119:119" x14ac:dyDescent="0.2">
      <c r="DO43087" s="303" t="s">
        <v>232</v>
      </c>
    </row>
    <row r="43088" spans="119:119" x14ac:dyDescent="0.2">
      <c r="DO43088" s="303" t="s">
        <v>232</v>
      </c>
    </row>
    <row r="43089" spans="119:119" x14ac:dyDescent="0.2">
      <c r="DO43089" s="303" t="s">
        <v>232</v>
      </c>
    </row>
    <row r="43090" spans="119:119" x14ac:dyDescent="0.2">
      <c r="DO43090" s="303" t="s">
        <v>232</v>
      </c>
    </row>
    <row r="43091" spans="119:119" x14ac:dyDescent="0.2">
      <c r="DO43091" s="303" t="s">
        <v>232</v>
      </c>
    </row>
    <row r="43092" spans="119:119" x14ac:dyDescent="0.2">
      <c r="DO43092" s="303" t="s">
        <v>232</v>
      </c>
    </row>
    <row r="43093" spans="119:119" x14ac:dyDescent="0.2">
      <c r="DO43093" s="303" t="s">
        <v>232</v>
      </c>
    </row>
    <row r="43094" spans="119:119" x14ac:dyDescent="0.2">
      <c r="DO43094" s="303" t="s">
        <v>232</v>
      </c>
    </row>
    <row r="43095" spans="119:119" x14ac:dyDescent="0.2">
      <c r="DO43095" s="303" t="s">
        <v>232</v>
      </c>
    </row>
    <row r="43096" spans="119:119" x14ac:dyDescent="0.2">
      <c r="DO43096" s="303" t="s">
        <v>232</v>
      </c>
    </row>
    <row r="43097" spans="119:119" x14ac:dyDescent="0.2">
      <c r="DO43097" s="303" t="s">
        <v>232</v>
      </c>
    </row>
    <row r="43098" spans="119:119" x14ac:dyDescent="0.2">
      <c r="DO43098" s="303" t="s">
        <v>232</v>
      </c>
    </row>
    <row r="43099" spans="119:119" x14ac:dyDescent="0.2">
      <c r="DO43099" s="303" t="s">
        <v>232</v>
      </c>
    </row>
    <row r="43100" spans="119:119" x14ac:dyDescent="0.2">
      <c r="DO43100" s="303" t="s">
        <v>232</v>
      </c>
    </row>
    <row r="43101" spans="119:119" x14ac:dyDescent="0.2">
      <c r="DO43101" s="303" t="s">
        <v>232</v>
      </c>
    </row>
    <row r="43102" spans="119:119" x14ac:dyDescent="0.2">
      <c r="DO43102" s="303" t="s">
        <v>232</v>
      </c>
    </row>
    <row r="43103" spans="119:119" x14ac:dyDescent="0.2">
      <c r="DO43103" s="303" t="s">
        <v>232</v>
      </c>
    </row>
    <row r="43104" spans="119:119" x14ac:dyDescent="0.2">
      <c r="DO43104" s="303" t="s">
        <v>232</v>
      </c>
    </row>
    <row r="43105" spans="119:119" x14ac:dyDescent="0.2">
      <c r="DO43105" s="303" t="s">
        <v>232</v>
      </c>
    </row>
    <row r="43106" spans="119:119" x14ac:dyDescent="0.2">
      <c r="DO43106" s="303" t="s">
        <v>232</v>
      </c>
    </row>
    <row r="43107" spans="119:119" x14ac:dyDescent="0.2">
      <c r="DO43107" s="303" t="s">
        <v>232</v>
      </c>
    </row>
    <row r="43108" spans="119:119" x14ac:dyDescent="0.2">
      <c r="DO43108" s="303" t="s">
        <v>232</v>
      </c>
    </row>
    <row r="43109" spans="119:119" x14ac:dyDescent="0.2">
      <c r="DO43109" s="303" t="s">
        <v>232</v>
      </c>
    </row>
    <row r="43110" spans="119:119" x14ac:dyDescent="0.2">
      <c r="DO43110" s="303" t="s">
        <v>232</v>
      </c>
    </row>
    <row r="43111" spans="119:119" x14ac:dyDescent="0.2">
      <c r="DO43111" s="303" t="s">
        <v>232</v>
      </c>
    </row>
    <row r="43112" spans="119:119" x14ac:dyDescent="0.2">
      <c r="DO43112" s="303" t="s">
        <v>232</v>
      </c>
    </row>
    <row r="43113" spans="119:119" x14ac:dyDescent="0.2">
      <c r="DO43113" s="303" t="s">
        <v>232</v>
      </c>
    </row>
    <row r="43114" spans="119:119" x14ac:dyDescent="0.2">
      <c r="DO43114" s="303" t="s">
        <v>232</v>
      </c>
    </row>
    <row r="43115" spans="119:119" x14ac:dyDescent="0.2">
      <c r="DO43115" s="303" t="s">
        <v>232</v>
      </c>
    </row>
    <row r="43116" spans="119:119" x14ac:dyDescent="0.2">
      <c r="DO43116" s="303" t="s">
        <v>232</v>
      </c>
    </row>
    <row r="43117" spans="119:119" x14ac:dyDescent="0.2">
      <c r="DO43117" s="303" t="s">
        <v>232</v>
      </c>
    </row>
    <row r="43118" spans="119:119" x14ac:dyDescent="0.2">
      <c r="DO43118" s="303" t="s">
        <v>232</v>
      </c>
    </row>
    <row r="43119" spans="119:119" x14ac:dyDescent="0.2">
      <c r="DO43119" s="303" t="s">
        <v>232</v>
      </c>
    </row>
    <row r="43120" spans="119:119" x14ac:dyDescent="0.2">
      <c r="DO43120" s="303" t="s">
        <v>232</v>
      </c>
    </row>
    <row r="43121" spans="119:119" x14ac:dyDescent="0.2">
      <c r="DO43121" s="303" t="s">
        <v>232</v>
      </c>
    </row>
    <row r="43122" spans="119:119" x14ac:dyDescent="0.2">
      <c r="DO43122" s="303" t="s">
        <v>232</v>
      </c>
    </row>
    <row r="43123" spans="119:119" x14ac:dyDescent="0.2">
      <c r="DO43123" s="303" t="s">
        <v>232</v>
      </c>
    </row>
    <row r="43124" spans="119:119" x14ac:dyDescent="0.2">
      <c r="DO43124" s="303" t="s">
        <v>232</v>
      </c>
    </row>
    <row r="43125" spans="119:119" x14ac:dyDescent="0.2">
      <c r="DO43125" s="303" t="s">
        <v>232</v>
      </c>
    </row>
    <row r="43126" spans="119:119" x14ac:dyDescent="0.2">
      <c r="DO43126" s="303" t="s">
        <v>232</v>
      </c>
    </row>
    <row r="43127" spans="119:119" x14ac:dyDescent="0.2">
      <c r="DO43127" s="303" t="s">
        <v>232</v>
      </c>
    </row>
    <row r="43128" spans="119:119" x14ac:dyDescent="0.2">
      <c r="DO43128" s="303" t="s">
        <v>232</v>
      </c>
    </row>
    <row r="43129" spans="119:119" x14ac:dyDescent="0.2">
      <c r="DO43129" s="303" t="s">
        <v>232</v>
      </c>
    </row>
    <row r="43130" spans="119:119" x14ac:dyDescent="0.2">
      <c r="DO43130" s="303" t="s">
        <v>232</v>
      </c>
    </row>
    <row r="43131" spans="119:119" x14ac:dyDescent="0.2">
      <c r="DO43131" s="303" t="s">
        <v>232</v>
      </c>
    </row>
    <row r="43132" spans="119:119" x14ac:dyDescent="0.2">
      <c r="DO43132" s="303" t="s">
        <v>232</v>
      </c>
    </row>
    <row r="43133" spans="119:119" x14ac:dyDescent="0.2">
      <c r="DO43133" s="303" t="s">
        <v>232</v>
      </c>
    </row>
    <row r="43134" spans="119:119" x14ac:dyDescent="0.2">
      <c r="DO43134" s="303" t="s">
        <v>232</v>
      </c>
    </row>
    <row r="43135" spans="119:119" x14ac:dyDescent="0.2">
      <c r="DO43135" s="303" t="s">
        <v>232</v>
      </c>
    </row>
    <row r="43136" spans="119:119" x14ac:dyDescent="0.2">
      <c r="DO43136" s="303" t="s">
        <v>232</v>
      </c>
    </row>
    <row r="43137" spans="119:119" x14ac:dyDescent="0.2">
      <c r="DO43137" s="303" t="s">
        <v>232</v>
      </c>
    </row>
    <row r="43138" spans="119:119" x14ac:dyDescent="0.2">
      <c r="DO43138" s="303" t="s">
        <v>232</v>
      </c>
    </row>
    <row r="43139" spans="119:119" x14ac:dyDescent="0.2">
      <c r="DO43139" s="303" t="s">
        <v>232</v>
      </c>
    </row>
    <row r="43140" spans="119:119" x14ac:dyDescent="0.2">
      <c r="DO43140" s="303" t="s">
        <v>232</v>
      </c>
    </row>
    <row r="43141" spans="119:119" x14ac:dyDescent="0.2">
      <c r="DO43141" s="303" t="s">
        <v>232</v>
      </c>
    </row>
    <row r="43142" spans="119:119" x14ac:dyDescent="0.2">
      <c r="DO43142" s="303" t="s">
        <v>232</v>
      </c>
    </row>
    <row r="43143" spans="119:119" x14ac:dyDescent="0.2">
      <c r="DO43143" s="303" t="s">
        <v>232</v>
      </c>
    </row>
    <row r="43144" spans="119:119" x14ac:dyDescent="0.2">
      <c r="DO43144" s="303" t="s">
        <v>232</v>
      </c>
    </row>
    <row r="43145" spans="119:119" x14ac:dyDescent="0.2">
      <c r="DO43145" s="303" t="s">
        <v>232</v>
      </c>
    </row>
    <row r="43146" spans="119:119" x14ac:dyDescent="0.2">
      <c r="DO43146" s="303" t="s">
        <v>232</v>
      </c>
    </row>
    <row r="43147" spans="119:119" x14ac:dyDescent="0.2">
      <c r="DO43147" s="303" t="s">
        <v>232</v>
      </c>
    </row>
    <row r="43148" spans="119:119" x14ac:dyDescent="0.2">
      <c r="DO43148" s="303" t="s">
        <v>232</v>
      </c>
    </row>
    <row r="43149" spans="119:119" x14ac:dyDescent="0.2">
      <c r="DO43149" s="303" t="s">
        <v>232</v>
      </c>
    </row>
    <row r="43150" spans="119:119" x14ac:dyDescent="0.2">
      <c r="DO43150" s="303" t="s">
        <v>232</v>
      </c>
    </row>
    <row r="43151" spans="119:119" x14ac:dyDescent="0.2">
      <c r="DO43151" s="303" t="s">
        <v>232</v>
      </c>
    </row>
    <row r="43152" spans="119:119" x14ac:dyDescent="0.2">
      <c r="DO43152" s="303" t="s">
        <v>232</v>
      </c>
    </row>
    <row r="43153" spans="119:119" x14ac:dyDescent="0.2">
      <c r="DO43153" s="303" t="s">
        <v>232</v>
      </c>
    </row>
    <row r="43154" spans="119:119" x14ac:dyDescent="0.2">
      <c r="DO43154" s="303" t="s">
        <v>232</v>
      </c>
    </row>
    <row r="43155" spans="119:119" x14ac:dyDescent="0.2">
      <c r="DO43155" s="303" t="s">
        <v>232</v>
      </c>
    </row>
    <row r="43156" spans="119:119" x14ac:dyDescent="0.2">
      <c r="DO43156" s="303" t="s">
        <v>232</v>
      </c>
    </row>
    <row r="43157" spans="119:119" x14ac:dyDescent="0.2">
      <c r="DO43157" s="303" t="s">
        <v>232</v>
      </c>
    </row>
    <row r="43158" spans="119:119" x14ac:dyDescent="0.2">
      <c r="DO43158" s="303" t="s">
        <v>232</v>
      </c>
    </row>
    <row r="43159" spans="119:119" x14ac:dyDescent="0.2">
      <c r="DO43159" s="303" t="s">
        <v>232</v>
      </c>
    </row>
    <row r="43160" spans="119:119" x14ac:dyDescent="0.2">
      <c r="DO43160" s="303" t="s">
        <v>232</v>
      </c>
    </row>
    <row r="43161" spans="119:119" x14ac:dyDescent="0.2">
      <c r="DO43161" s="303" t="s">
        <v>232</v>
      </c>
    </row>
    <row r="43162" spans="119:119" x14ac:dyDescent="0.2">
      <c r="DO43162" s="303" t="s">
        <v>232</v>
      </c>
    </row>
    <row r="43163" spans="119:119" x14ac:dyDescent="0.2">
      <c r="DO43163" s="303" t="s">
        <v>232</v>
      </c>
    </row>
    <row r="43164" spans="119:119" x14ac:dyDescent="0.2">
      <c r="DO43164" s="303" t="s">
        <v>232</v>
      </c>
    </row>
    <row r="43165" spans="119:119" x14ac:dyDescent="0.2">
      <c r="DO43165" s="303" t="s">
        <v>232</v>
      </c>
    </row>
    <row r="43166" spans="119:119" x14ac:dyDescent="0.2">
      <c r="DO43166" s="303" t="s">
        <v>232</v>
      </c>
    </row>
    <row r="43167" spans="119:119" x14ac:dyDescent="0.2">
      <c r="DO43167" s="303" t="s">
        <v>232</v>
      </c>
    </row>
    <row r="43168" spans="119:119" x14ac:dyDescent="0.2">
      <c r="DO43168" s="303" t="s">
        <v>232</v>
      </c>
    </row>
    <row r="43169" spans="119:119" x14ac:dyDescent="0.2">
      <c r="DO43169" s="303" t="s">
        <v>232</v>
      </c>
    </row>
    <row r="43170" spans="119:119" x14ac:dyDescent="0.2">
      <c r="DO43170" s="303" t="s">
        <v>232</v>
      </c>
    </row>
    <row r="43171" spans="119:119" x14ac:dyDescent="0.2">
      <c r="DO43171" s="303" t="s">
        <v>232</v>
      </c>
    </row>
    <row r="43172" spans="119:119" x14ac:dyDescent="0.2">
      <c r="DO43172" s="303" t="s">
        <v>232</v>
      </c>
    </row>
    <row r="43173" spans="119:119" x14ac:dyDescent="0.2">
      <c r="DO43173" s="303" t="s">
        <v>232</v>
      </c>
    </row>
    <row r="43174" spans="119:119" x14ac:dyDescent="0.2">
      <c r="DO43174" s="303" t="s">
        <v>232</v>
      </c>
    </row>
    <row r="43175" spans="119:119" x14ac:dyDescent="0.2">
      <c r="DO43175" s="303" t="s">
        <v>232</v>
      </c>
    </row>
    <row r="43176" spans="119:119" x14ac:dyDescent="0.2">
      <c r="DO43176" s="303" t="s">
        <v>232</v>
      </c>
    </row>
    <row r="43177" spans="119:119" x14ac:dyDescent="0.2">
      <c r="DO43177" s="303" t="s">
        <v>232</v>
      </c>
    </row>
    <row r="43178" spans="119:119" x14ac:dyDescent="0.2">
      <c r="DO43178" s="303" t="s">
        <v>232</v>
      </c>
    </row>
    <row r="43179" spans="119:119" x14ac:dyDescent="0.2">
      <c r="DO43179" s="303" t="s">
        <v>232</v>
      </c>
    </row>
    <row r="43180" spans="119:119" x14ac:dyDescent="0.2">
      <c r="DO43180" s="303" t="s">
        <v>232</v>
      </c>
    </row>
    <row r="43181" spans="119:119" x14ac:dyDescent="0.2">
      <c r="DO43181" s="303" t="s">
        <v>232</v>
      </c>
    </row>
    <row r="43182" spans="119:119" x14ac:dyDescent="0.2">
      <c r="DO43182" s="303" t="s">
        <v>232</v>
      </c>
    </row>
    <row r="43183" spans="119:119" x14ac:dyDescent="0.2">
      <c r="DO43183" s="303" t="s">
        <v>232</v>
      </c>
    </row>
    <row r="43184" spans="119:119" x14ac:dyDescent="0.2">
      <c r="DO43184" s="303" t="s">
        <v>232</v>
      </c>
    </row>
    <row r="43185" spans="119:119" x14ac:dyDescent="0.2">
      <c r="DO43185" s="303" t="s">
        <v>232</v>
      </c>
    </row>
    <row r="43186" spans="119:119" x14ac:dyDescent="0.2">
      <c r="DO43186" s="303" t="s">
        <v>232</v>
      </c>
    </row>
    <row r="43187" spans="119:119" x14ac:dyDescent="0.2">
      <c r="DO43187" s="303" t="s">
        <v>232</v>
      </c>
    </row>
    <row r="43188" spans="119:119" x14ac:dyDescent="0.2">
      <c r="DO43188" s="303" t="s">
        <v>232</v>
      </c>
    </row>
    <row r="43189" spans="119:119" x14ac:dyDescent="0.2">
      <c r="DO43189" s="303" t="s">
        <v>232</v>
      </c>
    </row>
    <row r="43190" spans="119:119" x14ac:dyDescent="0.2">
      <c r="DO43190" s="303" t="s">
        <v>232</v>
      </c>
    </row>
    <row r="43191" spans="119:119" x14ac:dyDescent="0.2">
      <c r="DO43191" s="303" t="s">
        <v>232</v>
      </c>
    </row>
    <row r="43192" spans="119:119" x14ac:dyDescent="0.2">
      <c r="DO43192" s="303" t="s">
        <v>232</v>
      </c>
    </row>
    <row r="43193" spans="119:119" x14ac:dyDescent="0.2">
      <c r="DO43193" s="303" t="s">
        <v>232</v>
      </c>
    </row>
    <row r="43194" spans="119:119" x14ac:dyDescent="0.2">
      <c r="DO43194" s="303" t="s">
        <v>232</v>
      </c>
    </row>
    <row r="43195" spans="119:119" x14ac:dyDescent="0.2">
      <c r="DO43195" s="303" t="s">
        <v>232</v>
      </c>
    </row>
    <row r="43196" spans="119:119" x14ac:dyDescent="0.2">
      <c r="DO43196" s="303" t="s">
        <v>232</v>
      </c>
    </row>
    <row r="43197" spans="119:119" x14ac:dyDescent="0.2">
      <c r="DO43197" s="303" t="s">
        <v>232</v>
      </c>
    </row>
    <row r="43198" spans="119:119" x14ac:dyDescent="0.2">
      <c r="DO43198" s="303" t="s">
        <v>232</v>
      </c>
    </row>
    <row r="43199" spans="119:119" x14ac:dyDescent="0.2">
      <c r="DO43199" s="303" t="s">
        <v>232</v>
      </c>
    </row>
    <row r="43200" spans="119:119" x14ac:dyDescent="0.2">
      <c r="DO43200" s="303" t="s">
        <v>232</v>
      </c>
    </row>
    <row r="43201" spans="119:119" x14ac:dyDescent="0.2">
      <c r="DO43201" s="303" t="s">
        <v>232</v>
      </c>
    </row>
    <row r="43202" spans="119:119" x14ac:dyDescent="0.2">
      <c r="DO43202" s="303" t="s">
        <v>232</v>
      </c>
    </row>
    <row r="43203" spans="119:119" x14ac:dyDescent="0.2">
      <c r="DO43203" s="303" t="s">
        <v>232</v>
      </c>
    </row>
    <row r="43204" spans="119:119" x14ac:dyDescent="0.2">
      <c r="DO43204" s="303" t="s">
        <v>232</v>
      </c>
    </row>
    <row r="43205" spans="119:119" x14ac:dyDescent="0.2">
      <c r="DO43205" s="303" t="s">
        <v>232</v>
      </c>
    </row>
    <row r="43206" spans="119:119" x14ac:dyDescent="0.2">
      <c r="DO43206" s="303" t="s">
        <v>232</v>
      </c>
    </row>
    <row r="43207" spans="119:119" x14ac:dyDescent="0.2">
      <c r="DO43207" s="303" t="s">
        <v>232</v>
      </c>
    </row>
    <row r="43208" spans="119:119" x14ac:dyDescent="0.2">
      <c r="DO43208" s="303" t="s">
        <v>232</v>
      </c>
    </row>
    <row r="43209" spans="119:119" x14ac:dyDescent="0.2">
      <c r="DO43209" s="303" t="s">
        <v>232</v>
      </c>
    </row>
    <row r="43210" spans="119:119" x14ac:dyDescent="0.2">
      <c r="DO43210" s="303" t="s">
        <v>232</v>
      </c>
    </row>
    <row r="43211" spans="119:119" x14ac:dyDescent="0.2">
      <c r="DO43211" s="303" t="s">
        <v>232</v>
      </c>
    </row>
    <row r="43212" spans="119:119" x14ac:dyDescent="0.2">
      <c r="DO43212" s="303" t="s">
        <v>232</v>
      </c>
    </row>
    <row r="43213" spans="119:119" x14ac:dyDescent="0.2">
      <c r="DO43213" s="303" t="s">
        <v>232</v>
      </c>
    </row>
    <row r="43214" spans="119:119" x14ac:dyDescent="0.2">
      <c r="DO43214" s="303" t="s">
        <v>232</v>
      </c>
    </row>
    <row r="43215" spans="119:119" x14ac:dyDescent="0.2">
      <c r="DO43215" s="303" t="s">
        <v>232</v>
      </c>
    </row>
    <row r="43216" spans="119:119" x14ac:dyDescent="0.2">
      <c r="DO43216" s="303" t="s">
        <v>232</v>
      </c>
    </row>
    <row r="43217" spans="119:119" x14ac:dyDescent="0.2">
      <c r="DO43217" s="303" t="s">
        <v>232</v>
      </c>
    </row>
    <row r="43218" spans="119:119" x14ac:dyDescent="0.2">
      <c r="DO43218" s="303" t="s">
        <v>232</v>
      </c>
    </row>
    <row r="43219" spans="119:119" x14ac:dyDescent="0.2">
      <c r="DO43219" s="303" t="s">
        <v>232</v>
      </c>
    </row>
    <row r="43220" spans="119:119" x14ac:dyDescent="0.2">
      <c r="DO43220" s="303" t="s">
        <v>232</v>
      </c>
    </row>
    <row r="43221" spans="119:119" x14ac:dyDescent="0.2">
      <c r="DO43221" s="303" t="s">
        <v>232</v>
      </c>
    </row>
    <row r="43222" spans="119:119" x14ac:dyDescent="0.2">
      <c r="DO43222" s="303" t="s">
        <v>232</v>
      </c>
    </row>
    <row r="43223" spans="119:119" x14ac:dyDescent="0.2">
      <c r="DO43223" s="303" t="s">
        <v>232</v>
      </c>
    </row>
    <row r="43224" spans="119:119" x14ac:dyDescent="0.2">
      <c r="DO43224" s="303" t="s">
        <v>232</v>
      </c>
    </row>
    <row r="43225" spans="119:119" x14ac:dyDescent="0.2">
      <c r="DO43225" s="303" t="s">
        <v>232</v>
      </c>
    </row>
    <row r="43226" spans="119:119" x14ac:dyDescent="0.2">
      <c r="DO43226" s="303" t="s">
        <v>232</v>
      </c>
    </row>
    <row r="43227" spans="119:119" x14ac:dyDescent="0.2">
      <c r="DO43227" s="303" t="s">
        <v>232</v>
      </c>
    </row>
    <row r="43228" spans="119:119" x14ac:dyDescent="0.2">
      <c r="DO43228" s="303" t="s">
        <v>232</v>
      </c>
    </row>
    <row r="43229" spans="119:119" x14ac:dyDescent="0.2">
      <c r="DO43229" s="303" t="s">
        <v>232</v>
      </c>
    </row>
    <row r="43230" spans="119:119" x14ac:dyDescent="0.2">
      <c r="DO43230" s="303" t="s">
        <v>232</v>
      </c>
    </row>
    <row r="43231" spans="119:119" x14ac:dyDescent="0.2">
      <c r="DO43231" s="303" t="s">
        <v>232</v>
      </c>
    </row>
    <row r="43232" spans="119:119" x14ac:dyDescent="0.2">
      <c r="DO43232" s="303" t="s">
        <v>232</v>
      </c>
    </row>
    <row r="43233" spans="119:119" x14ac:dyDescent="0.2">
      <c r="DO43233" s="303" t="s">
        <v>232</v>
      </c>
    </row>
    <row r="43234" spans="119:119" x14ac:dyDescent="0.2">
      <c r="DO43234" s="303" t="s">
        <v>232</v>
      </c>
    </row>
    <row r="43235" spans="119:119" x14ac:dyDescent="0.2">
      <c r="DO43235" s="303" t="s">
        <v>232</v>
      </c>
    </row>
    <row r="43236" spans="119:119" x14ac:dyDescent="0.2">
      <c r="DO43236" s="303" t="s">
        <v>232</v>
      </c>
    </row>
    <row r="43237" spans="119:119" x14ac:dyDescent="0.2">
      <c r="DO43237" s="303" t="s">
        <v>232</v>
      </c>
    </row>
    <row r="43238" spans="119:119" x14ac:dyDescent="0.2">
      <c r="DO43238" s="303" t="s">
        <v>232</v>
      </c>
    </row>
    <row r="43239" spans="119:119" x14ac:dyDescent="0.2">
      <c r="DO43239" s="303" t="s">
        <v>232</v>
      </c>
    </row>
    <row r="43240" spans="119:119" x14ac:dyDescent="0.2">
      <c r="DO43240" s="303" t="s">
        <v>232</v>
      </c>
    </row>
    <row r="43241" spans="119:119" x14ac:dyDescent="0.2">
      <c r="DO43241" s="303" t="s">
        <v>232</v>
      </c>
    </row>
    <row r="43242" spans="119:119" x14ac:dyDescent="0.2">
      <c r="DO43242" s="303" t="s">
        <v>232</v>
      </c>
    </row>
    <row r="43243" spans="119:119" x14ac:dyDescent="0.2">
      <c r="DO43243" s="303" t="s">
        <v>232</v>
      </c>
    </row>
    <row r="43244" spans="119:119" x14ac:dyDescent="0.2">
      <c r="DO43244" s="303" t="s">
        <v>232</v>
      </c>
    </row>
    <row r="43245" spans="119:119" x14ac:dyDescent="0.2">
      <c r="DO43245" s="303" t="s">
        <v>232</v>
      </c>
    </row>
    <row r="43246" spans="119:119" x14ac:dyDescent="0.2">
      <c r="DO43246" s="303" t="s">
        <v>232</v>
      </c>
    </row>
    <row r="43247" spans="119:119" x14ac:dyDescent="0.2">
      <c r="DO43247" s="303" t="s">
        <v>232</v>
      </c>
    </row>
    <row r="43248" spans="119:119" x14ac:dyDescent="0.2">
      <c r="DO43248" s="303" t="s">
        <v>232</v>
      </c>
    </row>
    <row r="43249" spans="119:119" x14ac:dyDescent="0.2">
      <c r="DO43249" s="303" t="s">
        <v>232</v>
      </c>
    </row>
    <row r="43250" spans="119:119" x14ac:dyDescent="0.2">
      <c r="DO43250" s="303" t="s">
        <v>232</v>
      </c>
    </row>
    <row r="43251" spans="119:119" x14ac:dyDescent="0.2">
      <c r="DO43251" s="303" t="s">
        <v>232</v>
      </c>
    </row>
    <row r="43252" spans="119:119" x14ac:dyDescent="0.2">
      <c r="DO43252" s="303" t="s">
        <v>232</v>
      </c>
    </row>
    <row r="43253" spans="119:119" x14ac:dyDescent="0.2">
      <c r="DO43253" s="303" t="s">
        <v>232</v>
      </c>
    </row>
    <row r="43254" spans="119:119" x14ac:dyDescent="0.2">
      <c r="DO43254" s="303" t="s">
        <v>232</v>
      </c>
    </row>
    <row r="43255" spans="119:119" x14ac:dyDescent="0.2">
      <c r="DO43255" s="303" t="s">
        <v>232</v>
      </c>
    </row>
    <row r="43256" spans="119:119" x14ac:dyDescent="0.2">
      <c r="DO43256" s="303" t="s">
        <v>232</v>
      </c>
    </row>
    <row r="43257" spans="119:119" x14ac:dyDescent="0.2">
      <c r="DO43257" s="303" t="s">
        <v>232</v>
      </c>
    </row>
    <row r="43258" spans="119:119" x14ac:dyDescent="0.2">
      <c r="DO43258" s="303" t="s">
        <v>232</v>
      </c>
    </row>
    <row r="43259" spans="119:119" x14ac:dyDescent="0.2">
      <c r="DO43259" s="303" t="s">
        <v>232</v>
      </c>
    </row>
    <row r="43260" spans="119:119" x14ac:dyDescent="0.2">
      <c r="DO43260" s="303" t="s">
        <v>232</v>
      </c>
    </row>
    <row r="43261" spans="119:119" x14ac:dyDescent="0.2">
      <c r="DO43261" s="303" t="s">
        <v>232</v>
      </c>
    </row>
    <row r="43262" spans="119:119" x14ac:dyDescent="0.2">
      <c r="DO43262" s="303" t="s">
        <v>232</v>
      </c>
    </row>
    <row r="43263" spans="119:119" x14ac:dyDescent="0.2">
      <c r="DO43263" s="303" t="s">
        <v>232</v>
      </c>
    </row>
    <row r="43264" spans="119:119" x14ac:dyDescent="0.2">
      <c r="DO43264" s="303" t="s">
        <v>232</v>
      </c>
    </row>
    <row r="43265" spans="119:119" x14ac:dyDescent="0.2">
      <c r="DO43265" s="303" t="s">
        <v>232</v>
      </c>
    </row>
    <row r="43266" spans="119:119" x14ac:dyDescent="0.2">
      <c r="DO43266" s="303" t="s">
        <v>232</v>
      </c>
    </row>
    <row r="43267" spans="119:119" x14ac:dyDescent="0.2">
      <c r="DO43267" s="303" t="s">
        <v>232</v>
      </c>
    </row>
    <row r="43268" spans="119:119" x14ac:dyDescent="0.2">
      <c r="DO43268" s="303" t="s">
        <v>232</v>
      </c>
    </row>
    <row r="43269" spans="119:119" x14ac:dyDescent="0.2">
      <c r="DO43269" s="303" t="s">
        <v>232</v>
      </c>
    </row>
    <row r="43270" spans="119:119" x14ac:dyDescent="0.2">
      <c r="DO43270" s="303" t="s">
        <v>232</v>
      </c>
    </row>
    <row r="43271" spans="119:119" x14ac:dyDescent="0.2">
      <c r="DO43271" s="303" t="s">
        <v>232</v>
      </c>
    </row>
    <row r="43272" spans="119:119" x14ac:dyDescent="0.2">
      <c r="DO43272" s="303" t="s">
        <v>232</v>
      </c>
    </row>
    <row r="43273" spans="119:119" x14ac:dyDescent="0.2">
      <c r="DO43273" s="303" t="s">
        <v>232</v>
      </c>
    </row>
    <row r="43274" spans="119:119" x14ac:dyDescent="0.2">
      <c r="DO43274" s="303" t="s">
        <v>232</v>
      </c>
    </row>
    <row r="43275" spans="119:119" x14ac:dyDescent="0.2">
      <c r="DO43275" s="303" t="s">
        <v>232</v>
      </c>
    </row>
    <row r="43276" spans="119:119" x14ac:dyDescent="0.2">
      <c r="DO43276" s="303" t="s">
        <v>232</v>
      </c>
    </row>
    <row r="43277" spans="119:119" x14ac:dyDescent="0.2">
      <c r="DO43277" s="303" t="s">
        <v>232</v>
      </c>
    </row>
    <row r="43278" spans="119:119" x14ac:dyDescent="0.2">
      <c r="DO43278" s="303" t="s">
        <v>232</v>
      </c>
    </row>
    <row r="43279" spans="119:119" x14ac:dyDescent="0.2">
      <c r="DO43279" s="303" t="s">
        <v>232</v>
      </c>
    </row>
    <row r="43280" spans="119:119" x14ac:dyDescent="0.2">
      <c r="DO43280" s="303" t="s">
        <v>232</v>
      </c>
    </row>
    <row r="43281" spans="119:119" x14ac:dyDescent="0.2">
      <c r="DO43281" s="303" t="s">
        <v>232</v>
      </c>
    </row>
    <row r="43282" spans="119:119" x14ac:dyDescent="0.2">
      <c r="DO43282" s="303" t="s">
        <v>232</v>
      </c>
    </row>
    <row r="43283" spans="119:119" x14ac:dyDescent="0.2">
      <c r="DO43283" s="303" t="s">
        <v>232</v>
      </c>
    </row>
    <row r="43284" spans="119:119" x14ac:dyDescent="0.2">
      <c r="DO43284" s="303" t="s">
        <v>232</v>
      </c>
    </row>
    <row r="43285" spans="119:119" x14ac:dyDescent="0.2">
      <c r="DO43285" s="303" t="s">
        <v>232</v>
      </c>
    </row>
    <row r="43286" spans="119:119" x14ac:dyDescent="0.2">
      <c r="DO43286" s="303" t="s">
        <v>232</v>
      </c>
    </row>
    <row r="43287" spans="119:119" x14ac:dyDescent="0.2">
      <c r="DO43287" s="303" t="s">
        <v>232</v>
      </c>
    </row>
    <row r="43288" spans="119:119" x14ac:dyDescent="0.2">
      <c r="DO43288" s="303" t="s">
        <v>232</v>
      </c>
    </row>
    <row r="43289" spans="119:119" x14ac:dyDescent="0.2">
      <c r="DO43289" s="303" t="s">
        <v>232</v>
      </c>
    </row>
    <row r="43290" spans="119:119" x14ac:dyDescent="0.2">
      <c r="DO43290" s="303" t="s">
        <v>232</v>
      </c>
    </row>
    <row r="43291" spans="119:119" x14ac:dyDescent="0.2">
      <c r="DO43291" s="303" t="s">
        <v>232</v>
      </c>
    </row>
    <row r="43292" spans="119:119" x14ac:dyDescent="0.2">
      <c r="DO43292" s="303" t="s">
        <v>232</v>
      </c>
    </row>
    <row r="43293" spans="119:119" x14ac:dyDescent="0.2">
      <c r="DO43293" s="303" t="s">
        <v>232</v>
      </c>
    </row>
    <row r="43294" spans="119:119" x14ac:dyDescent="0.2">
      <c r="DO43294" s="303" t="s">
        <v>232</v>
      </c>
    </row>
    <row r="43295" spans="119:119" x14ac:dyDescent="0.2">
      <c r="DO43295" s="303" t="s">
        <v>232</v>
      </c>
    </row>
    <row r="43296" spans="119:119" x14ac:dyDescent="0.2">
      <c r="DO43296" s="303" t="s">
        <v>232</v>
      </c>
    </row>
    <row r="43297" spans="119:119" x14ac:dyDescent="0.2">
      <c r="DO43297" s="303" t="s">
        <v>232</v>
      </c>
    </row>
    <row r="43298" spans="119:119" x14ac:dyDescent="0.2">
      <c r="DO43298" s="303" t="s">
        <v>232</v>
      </c>
    </row>
    <row r="43299" spans="119:119" x14ac:dyDescent="0.2">
      <c r="DO43299" s="303" t="s">
        <v>232</v>
      </c>
    </row>
    <row r="43300" spans="119:119" x14ac:dyDescent="0.2">
      <c r="DO43300" s="303" t="s">
        <v>232</v>
      </c>
    </row>
    <row r="43301" spans="119:119" x14ac:dyDescent="0.2">
      <c r="DO43301" s="303" t="s">
        <v>232</v>
      </c>
    </row>
    <row r="43302" spans="119:119" x14ac:dyDescent="0.2">
      <c r="DO43302" s="303" t="s">
        <v>232</v>
      </c>
    </row>
    <row r="43303" spans="119:119" x14ac:dyDescent="0.2">
      <c r="DO43303" s="303" t="s">
        <v>232</v>
      </c>
    </row>
    <row r="43304" spans="119:119" x14ac:dyDescent="0.2">
      <c r="DO43304" s="303" t="s">
        <v>232</v>
      </c>
    </row>
    <row r="43305" spans="119:119" x14ac:dyDescent="0.2">
      <c r="DO43305" s="303" t="s">
        <v>232</v>
      </c>
    </row>
    <row r="43306" spans="119:119" x14ac:dyDescent="0.2">
      <c r="DO43306" s="303" t="s">
        <v>232</v>
      </c>
    </row>
    <row r="43307" spans="119:119" x14ac:dyDescent="0.2">
      <c r="DO43307" s="303" t="s">
        <v>232</v>
      </c>
    </row>
    <row r="43308" spans="119:119" x14ac:dyDescent="0.2">
      <c r="DO43308" s="303" t="s">
        <v>232</v>
      </c>
    </row>
    <row r="43309" spans="119:119" x14ac:dyDescent="0.2">
      <c r="DO43309" s="303" t="s">
        <v>232</v>
      </c>
    </row>
    <row r="43310" spans="119:119" x14ac:dyDescent="0.2">
      <c r="DO43310" s="303" t="s">
        <v>232</v>
      </c>
    </row>
    <row r="43311" spans="119:119" x14ac:dyDescent="0.2">
      <c r="DO43311" s="303" t="s">
        <v>232</v>
      </c>
    </row>
    <row r="43312" spans="119:119" x14ac:dyDescent="0.2">
      <c r="DO43312" s="303" t="s">
        <v>232</v>
      </c>
    </row>
    <row r="43313" spans="119:119" x14ac:dyDescent="0.2">
      <c r="DO43313" s="303" t="s">
        <v>232</v>
      </c>
    </row>
    <row r="43314" spans="119:119" x14ac:dyDescent="0.2">
      <c r="DO43314" s="303" t="s">
        <v>232</v>
      </c>
    </row>
    <row r="43315" spans="119:119" x14ac:dyDescent="0.2">
      <c r="DO43315" s="303" t="s">
        <v>232</v>
      </c>
    </row>
    <row r="43316" spans="119:119" x14ac:dyDescent="0.2">
      <c r="DO43316" s="303" t="s">
        <v>232</v>
      </c>
    </row>
    <row r="43317" spans="119:119" x14ac:dyDescent="0.2">
      <c r="DO43317" s="303" t="s">
        <v>232</v>
      </c>
    </row>
    <row r="43318" spans="119:119" x14ac:dyDescent="0.2">
      <c r="DO43318" s="303" t="s">
        <v>232</v>
      </c>
    </row>
    <row r="43319" spans="119:119" x14ac:dyDescent="0.2">
      <c r="DO43319" s="303" t="s">
        <v>232</v>
      </c>
    </row>
    <row r="43320" spans="119:119" x14ac:dyDescent="0.2">
      <c r="DO43320" s="303" t="s">
        <v>232</v>
      </c>
    </row>
    <row r="43321" spans="119:119" x14ac:dyDescent="0.2">
      <c r="DO43321" s="303" t="s">
        <v>232</v>
      </c>
    </row>
    <row r="43322" spans="119:119" x14ac:dyDescent="0.2">
      <c r="DO43322" s="303" t="s">
        <v>232</v>
      </c>
    </row>
    <row r="43323" spans="119:119" x14ac:dyDescent="0.2">
      <c r="DO43323" s="303" t="s">
        <v>232</v>
      </c>
    </row>
    <row r="43324" spans="119:119" x14ac:dyDescent="0.2">
      <c r="DO43324" s="303" t="s">
        <v>232</v>
      </c>
    </row>
    <row r="43325" spans="119:119" x14ac:dyDescent="0.2">
      <c r="DO43325" s="303" t="s">
        <v>232</v>
      </c>
    </row>
    <row r="43326" spans="119:119" x14ac:dyDescent="0.2">
      <c r="DO43326" s="303" t="s">
        <v>232</v>
      </c>
    </row>
    <row r="43327" spans="119:119" x14ac:dyDescent="0.2">
      <c r="DO43327" s="303" t="s">
        <v>232</v>
      </c>
    </row>
    <row r="43328" spans="119:119" x14ac:dyDescent="0.2">
      <c r="DO43328" s="303" t="s">
        <v>232</v>
      </c>
    </row>
    <row r="43329" spans="119:119" x14ac:dyDescent="0.2">
      <c r="DO43329" s="303" t="s">
        <v>232</v>
      </c>
    </row>
    <row r="43330" spans="119:119" x14ac:dyDescent="0.2">
      <c r="DO43330" s="303" t="s">
        <v>232</v>
      </c>
    </row>
    <row r="43331" spans="119:119" x14ac:dyDescent="0.2">
      <c r="DO43331" s="303" t="s">
        <v>232</v>
      </c>
    </row>
    <row r="43332" spans="119:119" x14ac:dyDescent="0.2">
      <c r="DO43332" s="303" t="s">
        <v>232</v>
      </c>
    </row>
    <row r="43333" spans="119:119" x14ac:dyDescent="0.2">
      <c r="DO43333" s="303" t="s">
        <v>232</v>
      </c>
    </row>
    <row r="43334" spans="119:119" x14ac:dyDescent="0.2">
      <c r="DO43334" s="303" t="s">
        <v>232</v>
      </c>
    </row>
    <row r="43335" spans="119:119" x14ac:dyDescent="0.2">
      <c r="DO43335" s="303" t="s">
        <v>232</v>
      </c>
    </row>
    <row r="43336" spans="119:119" x14ac:dyDescent="0.2">
      <c r="DO43336" s="303" t="s">
        <v>232</v>
      </c>
    </row>
    <row r="43337" spans="119:119" x14ac:dyDescent="0.2">
      <c r="DO43337" s="303" t="s">
        <v>232</v>
      </c>
    </row>
    <row r="43338" spans="119:119" x14ac:dyDescent="0.2">
      <c r="DO43338" s="303" t="s">
        <v>232</v>
      </c>
    </row>
    <row r="43339" spans="119:119" x14ac:dyDescent="0.2">
      <c r="DO43339" s="303" t="s">
        <v>232</v>
      </c>
    </row>
    <row r="43340" spans="119:119" x14ac:dyDescent="0.2">
      <c r="DO43340" s="303" t="s">
        <v>232</v>
      </c>
    </row>
    <row r="43341" spans="119:119" x14ac:dyDescent="0.2">
      <c r="DO43341" s="303" t="s">
        <v>232</v>
      </c>
    </row>
    <row r="43342" spans="119:119" x14ac:dyDescent="0.2">
      <c r="DO43342" s="303" t="s">
        <v>232</v>
      </c>
    </row>
    <row r="43343" spans="119:119" x14ac:dyDescent="0.2">
      <c r="DO43343" s="303" t="s">
        <v>232</v>
      </c>
    </row>
    <row r="43344" spans="119:119" x14ac:dyDescent="0.2">
      <c r="DO43344" s="303" t="s">
        <v>232</v>
      </c>
    </row>
    <row r="43345" spans="119:119" x14ac:dyDescent="0.2">
      <c r="DO43345" s="303" t="s">
        <v>232</v>
      </c>
    </row>
    <row r="43346" spans="119:119" x14ac:dyDescent="0.2">
      <c r="DO43346" s="303" t="s">
        <v>232</v>
      </c>
    </row>
    <row r="43347" spans="119:119" x14ac:dyDescent="0.2">
      <c r="DO43347" s="303" t="s">
        <v>232</v>
      </c>
    </row>
    <row r="43348" spans="119:119" x14ac:dyDescent="0.2">
      <c r="DO43348" s="303" t="s">
        <v>232</v>
      </c>
    </row>
    <row r="43349" spans="119:119" x14ac:dyDescent="0.2">
      <c r="DO43349" s="303" t="s">
        <v>232</v>
      </c>
    </row>
    <row r="43350" spans="119:119" x14ac:dyDescent="0.2">
      <c r="DO43350" s="303" t="s">
        <v>232</v>
      </c>
    </row>
    <row r="43351" spans="119:119" x14ac:dyDescent="0.2">
      <c r="DO43351" s="303" t="s">
        <v>232</v>
      </c>
    </row>
    <row r="43352" spans="119:119" x14ac:dyDescent="0.2">
      <c r="DO43352" s="303" t="s">
        <v>232</v>
      </c>
    </row>
    <row r="43353" spans="119:119" x14ac:dyDescent="0.2">
      <c r="DO43353" s="303" t="s">
        <v>232</v>
      </c>
    </row>
    <row r="43354" spans="119:119" x14ac:dyDescent="0.2">
      <c r="DO43354" s="303" t="s">
        <v>232</v>
      </c>
    </row>
    <row r="43355" spans="119:119" x14ac:dyDescent="0.2">
      <c r="DO43355" s="303" t="s">
        <v>232</v>
      </c>
    </row>
    <row r="43356" spans="119:119" x14ac:dyDescent="0.2">
      <c r="DO43356" s="303" t="s">
        <v>232</v>
      </c>
    </row>
    <row r="43357" spans="119:119" x14ac:dyDescent="0.2">
      <c r="DO43357" s="303" t="s">
        <v>232</v>
      </c>
    </row>
    <row r="43358" spans="119:119" x14ac:dyDescent="0.2">
      <c r="DO43358" s="303" t="s">
        <v>232</v>
      </c>
    </row>
    <row r="43359" spans="119:119" x14ac:dyDescent="0.2">
      <c r="DO43359" s="303" t="s">
        <v>232</v>
      </c>
    </row>
    <row r="43360" spans="119:119" x14ac:dyDescent="0.2">
      <c r="DO43360" s="303" t="s">
        <v>232</v>
      </c>
    </row>
    <row r="43361" spans="119:119" x14ac:dyDescent="0.2">
      <c r="DO43361" s="303" t="s">
        <v>232</v>
      </c>
    </row>
    <row r="43362" spans="119:119" x14ac:dyDescent="0.2">
      <c r="DO43362" s="303" t="s">
        <v>232</v>
      </c>
    </row>
    <row r="43363" spans="119:119" x14ac:dyDescent="0.2">
      <c r="DO43363" s="303" t="s">
        <v>232</v>
      </c>
    </row>
    <row r="43364" spans="119:119" x14ac:dyDescent="0.2">
      <c r="DO43364" s="303" t="s">
        <v>232</v>
      </c>
    </row>
    <row r="43365" spans="119:119" x14ac:dyDescent="0.2">
      <c r="DO43365" s="303" t="s">
        <v>232</v>
      </c>
    </row>
    <row r="43366" spans="119:119" x14ac:dyDescent="0.2">
      <c r="DO43366" s="303" t="s">
        <v>232</v>
      </c>
    </row>
    <row r="43367" spans="119:119" x14ac:dyDescent="0.2">
      <c r="DO43367" s="303" t="s">
        <v>232</v>
      </c>
    </row>
    <row r="43368" spans="119:119" x14ac:dyDescent="0.2">
      <c r="DO43368" s="303" t="s">
        <v>232</v>
      </c>
    </row>
    <row r="43369" spans="119:119" x14ac:dyDescent="0.2">
      <c r="DO43369" s="303" t="s">
        <v>232</v>
      </c>
    </row>
    <row r="43370" spans="119:119" x14ac:dyDescent="0.2">
      <c r="DO43370" s="303" t="s">
        <v>232</v>
      </c>
    </row>
    <row r="43371" spans="119:119" x14ac:dyDescent="0.2">
      <c r="DO43371" s="303" t="s">
        <v>232</v>
      </c>
    </row>
    <row r="43372" spans="119:119" x14ac:dyDescent="0.2">
      <c r="DO43372" s="303" t="s">
        <v>232</v>
      </c>
    </row>
    <row r="43373" spans="119:119" x14ac:dyDescent="0.2">
      <c r="DO43373" s="303" t="s">
        <v>232</v>
      </c>
    </row>
    <row r="43374" spans="119:119" x14ac:dyDescent="0.2">
      <c r="DO43374" s="303" t="s">
        <v>232</v>
      </c>
    </row>
    <row r="43375" spans="119:119" x14ac:dyDescent="0.2">
      <c r="DO43375" s="303" t="s">
        <v>232</v>
      </c>
    </row>
    <row r="43376" spans="119:119" x14ac:dyDescent="0.2">
      <c r="DO43376" s="303" t="s">
        <v>232</v>
      </c>
    </row>
    <row r="43377" spans="119:119" x14ac:dyDescent="0.2">
      <c r="DO43377" s="303" t="s">
        <v>232</v>
      </c>
    </row>
    <row r="43378" spans="119:119" x14ac:dyDescent="0.2">
      <c r="DO43378" s="303" t="s">
        <v>232</v>
      </c>
    </row>
    <row r="43379" spans="119:119" x14ac:dyDescent="0.2">
      <c r="DO43379" s="303" t="s">
        <v>232</v>
      </c>
    </row>
    <row r="43380" spans="119:119" x14ac:dyDescent="0.2">
      <c r="DO43380" s="303" t="s">
        <v>232</v>
      </c>
    </row>
    <row r="43381" spans="119:119" x14ac:dyDescent="0.2">
      <c r="DO43381" s="303" t="s">
        <v>232</v>
      </c>
    </row>
    <row r="43382" spans="119:119" x14ac:dyDescent="0.2">
      <c r="DO43382" s="303" t="s">
        <v>232</v>
      </c>
    </row>
    <row r="43383" spans="119:119" x14ac:dyDescent="0.2">
      <c r="DO43383" s="303" t="s">
        <v>232</v>
      </c>
    </row>
    <row r="43384" spans="119:119" x14ac:dyDescent="0.2">
      <c r="DO43384" s="303" t="s">
        <v>232</v>
      </c>
    </row>
    <row r="43385" spans="119:119" x14ac:dyDescent="0.2">
      <c r="DO43385" s="303" t="s">
        <v>232</v>
      </c>
    </row>
    <row r="43386" spans="119:119" x14ac:dyDescent="0.2">
      <c r="DO43386" s="303" t="s">
        <v>232</v>
      </c>
    </row>
    <row r="43387" spans="119:119" x14ac:dyDescent="0.2">
      <c r="DO43387" s="303" t="s">
        <v>232</v>
      </c>
    </row>
    <row r="43388" spans="119:119" x14ac:dyDescent="0.2">
      <c r="DO43388" s="303" t="s">
        <v>232</v>
      </c>
    </row>
    <row r="43389" spans="119:119" x14ac:dyDescent="0.2">
      <c r="DO43389" s="303" t="s">
        <v>232</v>
      </c>
    </row>
    <row r="43390" spans="119:119" x14ac:dyDescent="0.2">
      <c r="DO43390" s="303" t="s">
        <v>232</v>
      </c>
    </row>
    <row r="43391" spans="119:119" x14ac:dyDescent="0.2">
      <c r="DO43391" s="303" t="s">
        <v>232</v>
      </c>
    </row>
    <row r="43392" spans="119:119" x14ac:dyDescent="0.2">
      <c r="DO43392" s="303" t="s">
        <v>232</v>
      </c>
    </row>
    <row r="43393" spans="119:119" x14ac:dyDescent="0.2">
      <c r="DO43393" s="303" t="s">
        <v>232</v>
      </c>
    </row>
    <row r="43394" spans="119:119" x14ac:dyDescent="0.2">
      <c r="DO43394" s="303" t="s">
        <v>232</v>
      </c>
    </row>
    <row r="43395" spans="119:119" x14ac:dyDescent="0.2">
      <c r="DO43395" s="303" t="s">
        <v>232</v>
      </c>
    </row>
    <row r="43396" spans="119:119" x14ac:dyDescent="0.2">
      <c r="DO43396" s="303" t="s">
        <v>232</v>
      </c>
    </row>
    <row r="43397" spans="119:119" x14ac:dyDescent="0.2">
      <c r="DO43397" s="303" t="s">
        <v>232</v>
      </c>
    </row>
    <row r="43398" spans="119:119" x14ac:dyDescent="0.2">
      <c r="DO43398" s="303" t="s">
        <v>232</v>
      </c>
    </row>
    <row r="43399" spans="119:119" x14ac:dyDescent="0.2">
      <c r="DO43399" s="303" t="s">
        <v>232</v>
      </c>
    </row>
    <row r="43400" spans="119:119" x14ac:dyDescent="0.2">
      <c r="DO43400" s="303" t="s">
        <v>232</v>
      </c>
    </row>
    <row r="43401" spans="119:119" x14ac:dyDescent="0.2">
      <c r="DO43401" s="303" t="s">
        <v>232</v>
      </c>
    </row>
    <row r="43402" spans="119:119" x14ac:dyDescent="0.2">
      <c r="DO43402" s="303" t="s">
        <v>232</v>
      </c>
    </row>
    <row r="43403" spans="119:119" x14ac:dyDescent="0.2">
      <c r="DO43403" s="303" t="s">
        <v>232</v>
      </c>
    </row>
    <row r="43404" spans="119:119" x14ac:dyDescent="0.2">
      <c r="DO43404" s="303" t="s">
        <v>232</v>
      </c>
    </row>
    <row r="43405" spans="119:119" x14ac:dyDescent="0.2">
      <c r="DO43405" s="303" t="s">
        <v>232</v>
      </c>
    </row>
    <row r="43406" spans="119:119" x14ac:dyDescent="0.2">
      <c r="DO43406" s="303" t="s">
        <v>232</v>
      </c>
    </row>
    <row r="43407" spans="119:119" x14ac:dyDescent="0.2">
      <c r="DO43407" s="303" t="s">
        <v>232</v>
      </c>
    </row>
    <row r="43408" spans="119:119" x14ac:dyDescent="0.2">
      <c r="DO43408" s="303" t="s">
        <v>232</v>
      </c>
    </row>
    <row r="43409" spans="119:119" x14ac:dyDescent="0.2">
      <c r="DO43409" s="303" t="s">
        <v>232</v>
      </c>
    </row>
    <row r="43410" spans="119:119" x14ac:dyDescent="0.2">
      <c r="DO43410" s="303" t="s">
        <v>232</v>
      </c>
    </row>
    <row r="43411" spans="119:119" x14ac:dyDescent="0.2">
      <c r="DO43411" s="303" t="s">
        <v>232</v>
      </c>
    </row>
    <row r="43412" spans="119:119" x14ac:dyDescent="0.2">
      <c r="DO43412" s="303" t="s">
        <v>232</v>
      </c>
    </row>
    <row r="43413" spans="119:119" x14ac:dyDescent="0.2">
      <c r="DO43413" s="303" t="s">
        <v>232</v>
      </c>
    </row>
    <row r="43414" spans="119:119" x14ac:dyDescent="0.2">
      <c r="DO43414" s="303" t="s">
        <v>232</v>
      </c>
    </row>
    <row r="43415" spans="119:119" x14ac:dyDescent="0.2">
      <c r="DO43415" s="303" t="s">
        <v>232</v>
      </c>
    </row>
    <row r="43416" spans="119:119" x14ac:dyDescent="0.2">
      <c r="DO43416" s="303" t="s">
        <v>232</v>
      </c>
    </row>
    <row r="43417" spans="119:119" x14ac:dyDescent="0.2">
      <c r="DO43417" s="303" t="s">
        <v>232</v>
      </c>
    </row>
    <row r="43418" spans="119:119" x14ac:dyDescent="0.2">
      <c r="DO43418" s="303" t="s">
        <v>232</v>
      </c>
    </row>
    <row r="43419" spans="119:119" x14ac:dyDescent="0.2">
      <c r="DO43419" s="303" t="s">
        <v>232</v>
      </c>
    </row>
    <row r="43420" spans="119:119" x14ac:dyDescent="0.2">
      <c r="DO43420" s="303" t="s">
        <v>232</v>
      </c>
    </row>
    <row r="43421" spans="119:119" x14ac:dyDescent="0.2">
      <c r="DO43421" s="303" t="s">
        <v>232</v>
      </c>
    </row>
    <row r="43422" spans="119:119" x14ac:dyDescent="0.2">
      <c r="DO43422" s="303" t="s">
        <v>232</v>
      </c>
    </row>
    <row r="43423" spans="119:119" x14ac:dyDescent="0.2">
      <c r="DO43423" s="303" t="s">
        <v>232</v>
      </c>
    </row>
    <row r="43424" spans="119:119" x14ac:dyDescent="0.2">
      <c r="DO43424" s="303" t="s">
        <v>232</v>
      </c>
    </row>
    <row r="43425" spans="119:119" x14ac:dyDescent="0.2">
      <c r="DO43425" s="303" t="s">
        <v>232</v>
      </c>
    </row>
    <row r="43426" spans="119:119" x14ac:dyDescent="0.2">
      <c r="DO43426" s="303" t="s">
        <v>232</v>
      </c>
    </row>
    <row r="43427" spans="119:119" x14ac:dyDescent="0.2">
      <c r="DO43427" s="303" t="s">
        <v>232</v>
      </c>
    </row>
    <row r="43428" spans="119:119" x14ac:dyDescent="0.2">
      <c r="DO43428" s="303" t="s">
        <v>232</v>
      </c>
    </row>
    <row r="43429" spans="119:119" x14ac:dyDescent="0.2">
      <c r="DO43429" s="303" t="s">
        <v>232</v>
      </c>
    </row>
    <row r="43430" spans="119:119" x14ac:dyDescent="0.2">
      <c r="DO43430" s="303" t="s">
        <v>232</v>
      </c>
    </row>
    <row r="43431" spans="119:119" x14ac:dyDescent="0.2">
      <c r="DO43431" s="303" t="s">
        <v>232</v>
      </c>
    </row>
    <row r="43432" spans="119:119" x14ac:dyDescent="0.2">
      <c r="DO43432" s="303" t="s">
        <v>232</v>
      </c>
    </row>
    <row r="43433" spans="119:119" x14ac:dyDescent="0.2">
      <c r="DO43433" s="303" t="s">
        <v>232</v>
      </c>
    </row>
    <row r="43434" spans="119:119" x14ac:dyDescent="0.2">
      <c r="DO43434" s="303" t="s">
        <v>232</v>
      </c>
    </row>
    <row r="43435" spans="119:119" x14ac:dyDescent="0.2">
      <c r="DO43435" s="303" t="s">
        <v>232</v>
      </c>
    </row>
    <row r="43436" spans="119:119" x14ac:dyDescent="0.2">
      <c r="DO43436" s="303" t="s">
        <v>232</v>
      </c>
    </row>
    <row r="43437" spans="119:119" x14ac:dyDescent="0.2">
      <c r="DO43437" s="303" t="s">
        <v>232</v>
      </c>
    </row>
    <row r="43438" spans="119:119" x14ac:dyDescent="0.2">
      <c r="DO43438" s="303" t="s">
        <v>232</v>
      </c>
    </row>
    <row r="43439" spans="119:119" x14ac:dyDescent="0.2">
      <c r="DO43439" s="303" t="s">
        <v>232</v>
      </c>
    </row>
    <row r="43440" spans="119:119" x14ac:dyDescent="0.2">
      <c r="DO43440" s="303" t="s">
        <v>232</v>
      </c>
    </row>
    <row r="43441" spans="119:119" x14ac:dyDescent="0.2">
      <c r="DO43441" s="303" t="s">
        <v>232</v>
      </c>
    </row>
    <row r="43442" spans="119:119" x14ac:dyDescent="0.2">
      <c r="DO43442" s="303" t="s">
        <v>232</v>
      </c>
    </row>
    <row r="43443" spans="119:119" x14ac:dyDescent="0.2">
      <c r="DO43443" s="303" t="s">
        <v>232</v>
      </c>
    </row>
    <row r="43444" spans="119:119" x14ac:dyDescent="0.2">
      <c r="DO43444" s="303" t="s">
        <v>232</v>
      </c>
    </row>
    <row r="43445" spans="119:119" x14ac:dyDescent="0.2">
      <c r="DO43445" s="303" t="s">
        <v>232</v>
      </c>
    </row>
    <row r="43446" spans="119:119" x14ac:dyDescent="0.2">
      <c r="DO43446" s="303" t="s">
        <v>232</v>
      </c>
    </row>
    <row r="43447" spans="119:119" x14ac:dyDescent="0.2">
      <c r="DO43447" s="303" t="s">
        <v>232</v>
      </c>
    </row>
    <row r="43448" spans="119:119" x14ac:dyDescent="0.2">
      <c r="DO43448" s="303" t="s">
        <v>232</v>
      </c>
    </row>
    <row r="43449" spans="119:119" x14ac:dyDescent="0.2">
      <c r="DO43449" s="303" t="s">
        <v>232</v>
      </c>
    </row>
    <row r="43450" spans="119:119" x14ac:dyDescent="0.2">
      <c r="DO43450" s="303" t="s">
        <v>232</v>
      </c>
    </row>
    <row r="43451" spans="119:119" x14ac:dyDescent="0.2">
      <c r="DO43451" s="303" t="s">
        <v>232</v>
      </c>
    </row>
    <row r="43452" spans="119:119" x14ac:dyDescent="0.2">
      <c r="DO43452" s="303" t="s">
        <v>232</v>
      </c>
    </row>
    <row r="43453" spans="119:119" x14ac:dyDescent="0.2">
      <c r="DO43453" s="303" t="s">
        <v>232</v>
      </c>
    </row>
    <row r="43454" spans="119:119" x14ac:dyDescent="0.2">
      <c r="DO43454" s="303" t="s">
        <v>232</v>
      </c>
    </row>
    <row r="43455" spans="119:119" x14ac:dyDescent="0.2">
      <c r="DO43455" s="303" t="s">
        <v>232</v>
      </c>
    </row>
    <row r="43456" spans="119:119" x14ac:dyDescent="0.2">
      <c r="DO43456" s="303" t="s">
        <v>232</v>
      </c>
    </row>
    <row r="43457" spans="119:119" x14ac:dyDescent="0.2">
      <c r="DO43457" s="303" t="s">
        <v>232</v>
      </c>
    </row>
    <row r="43458" spans="119:119" x14ac:dyDescent="0.2">
      <c r="DO43458" s="303" t="s">
        <v>232</v>
      </c>
    </row>
    <row r="43459" spans="119:119" x14ac:dyDescent="0.2">
      <c r="DO43459" s="303" t="s">
        <v>232</v>
      </c>
    </row>
    <row r="43460" spans="119:119" x14ac:dyDescent="0.2">
      <c r="DO43460" s="303" t="s">
        <v>232</v>
      </c>
    </row>
    <row r="43461" spans="119:119" x14ac:dyDescent="0.2">
      <c r="DO43461" s="303" t="s">
        <v>232</v>
      </c>
    </row>
    <row r="43462" spans="119:119" x14ac:dyDescent="0.2">
      <c r="DO43462" s="303" t="s">
        <v>232</v>
      </c>
    </row>
    <row r="43463" spans="119:119" x14ac:dyDescent="0.2">
      <c r="DO43463" s="303" t="s">
        <v>232</v>
      </c>
    </row>
    <row r="43464" spans="119:119" x14ac:dyDescent="0.2">
      <c r="DO43464" s="303" t="s">
        <v>232</v>
      </c>
    </row>
    <row r="43465" spans="119:119" x14ac:dyDescent="0.2">
      <c r="DO43465" s="303" t="s">
        <v>232</v>
      </c>
    </row>
    <row r="43466" spans="119:119" x14ac:dyDescent="0.2">
      <c r="DO43466" s="303" t="s">
        <v>232</v>
      </c>
    </row>
    <row r="43467" spans="119:119" x14ac:dyDescent="0.2">
      <c r="DO43467" s="303" t="s">
        <v>232</v>
      </c>
    </row>
    <row r="43468" spans="119:119" x14ac:dyDescent="0.2">
      <c r="DO43468" s="303" t="s">
        <v>232</v>
      </c>
    </row>
    <row r="43469" spans="119:119" x14ac:dyDescent="0.2">
      <c r="DO43469" s="303" t="s">
        <v>232</v>
      </c>
    </row>
    <row r="43470" spans="119:119" x14ac:dyDescent="0.2">
      <c r="DO43470" s="303" t="s">
        <v>232</v>
      </c>
    </row>
    <row r="43471" spans="119:119" x14ac:dyDescent="0.2">
      <c r="DO43471" s="303" t="s">
        <v>232</v>
      </c>
    </row>
    <row r="43472" spans="119:119" x14ac:dyDescent="0.2">
      <c r="DO43472" s="303" t="s">
        <v>232</v>
      </c>
    </row>
    <row r="43473" spans="119:119" x14ac:dyDescent="0.2">
      <c r="DO43473" s="303" t="s">
        <v>232</v>
      </c>
    </row>
    <row r="43474" spans="119:119" x14ac:dyDescent="0.2">
      <c r="DO43474" s="303" t="s">
        <v>232</v>
      </c>
    </row>
    <row r="43475" spans="119:119" x14ac:dyDescent="0.2">
      <c r="DO43475" s="303" t="s">
        <v>232</v>
      </c>
    </row>
    <row r="43476" spans="119:119" x14ac:dyDescent="0.2">
      <c r="DO43476" s="303" t="s">
        <v>232</v>
      </c>
    </row>
    <row r="43477" spans="119:119" x14ac:dyDescent="0.2">
      <c r="DO43477" s="303" t="s">
        <v>232</v>
      </c>
    </row>
    <row r="43478" spans="119:119" x14ac:dyDescent="0.2">
      <c r="DO43478" s="303" t="s">
        <v>232</v>
      </c>
    </row>
    <row r="43479" spans="119:119" x14ac:dyDescent="0.2">
      <c r="DO43479" s="303" t="s">
        <v>232</v>
      </c>
    </row>
    <row r="43480" spans="119:119" x14ac:dyDescent="0.2">
      <c r="DO43480" s="303" t="s">
        <v>232</v>
      </c>
    </row>
    <row r="43481" spans="119:119" x14ac:dyDescent="0.2">
      <c r="DO43481" s="303" t="s">
        <v>232</v>
      </c>
    </row>
    <row r="43482" spans="119:119" x14ac:dyDescent="0.2">
      <c r="DO43482" s="303" t="s">
        <v>232</v>
      </c>
    </row>
    <row r="43483" spans="119:119" x14ac:dyDescent="0.2">
      <c r="DO43483" s="303" t="s">
        <v>232</v>
      </c>
    </row>
    <row r="43484" spans="119:119" x14ac:dyDescent="0.2">
      <c r="DO43484" s="303" t="s">
        <v>232</v>
      </c>
    </row>
    <row r="43485" spans="119:119" x14ac:dyDescent="0.2">
      <c r="DO43485" s="303" t="s">
        <v>232</v>
      </c>
    </row>
    <row r="43486" spans="119:119" x14ac:dyDescent="0.2">
      <c r="DO43486" s="303" t="s">
        <v>232</v>
      </c>
    </row>
    <row r="43487" spans="119:119" x14ac:dyDescent="0.2">
      <c r="DO43487" s="303" t="s">
        <v>232</v>
      </c>
    </row>
    <row r="43488" spans="119:119" x14ac:dyDescent="0.2">
      <c r="DO43488" s="303" t="s">
        <v>232</v>
      </c>
    </row>
    <row r="43489" spans="119:119" x14ac:dyDescent="0.2">
      <c r="DO43489" s="303" t="s">
        <v>232</v>
      </c>
    </row>
    <row r="43490" spans="119:119" x14ac:dyDescent="0.2">
      <c r="DO43490" s="303" t="s">
        <v>232</v>
      </c>
    </row>
    <row r="43491" spans="119:119" x14ac:dyDescent="0.2">
      <c r="DO43491" s="303" t="s">
        <v>232</v>
      </c>
    </row>
    <row r="43492" spans="119:119" x14ac:dyDescent="0.2">
      <c r="DO43492" s="303" t="s">
        <v>232</v>
      </c>
    </row>
    <row r="43493" spans="119:119" x14ac:dyDescent="0.2">
      <c r="DO43493" s="303" t="s">
        <v>232</v>
      </c>
    </row>
    <row r="43494" spans="119:119" x14ac:dyDescent="0.2">
      <c r="DO43494" s="303" t="s">
        <v>232</v>
      </c>
    </row>
    <row r="43495" spans="119:119" x14ac:dyDescent="0.2">
      <c r="DO43495" s="303" t="s">
        <v>232</v>
      </c>
    </row>
    <row r="43496" spans="119:119" x14ac:dyDescent="0.2">
      <c r="DO43496" s="303" t="s">
        <v>232</v>
      </c>
    </row>
    <row r="43497" spans="119:119" x14ac:dyDescent="0.2">
      <c r="DO43497" s="303" t="s">
        <v>232</v>
      </c>
    </row>
    <row r="43498" spans="119:119" x14ac:dyDescent="0.2">
      <c r="DO43498" s="303" t="s">
        <v>232</v>
      </c>
    </row>
    <row r="43499" spans="119:119" x14ac:dyDescent="0.2">
      <c r="DO43499" s="303" t="s">
        <v>232</v>
      </c>
    </row>
    <row r="43500" spans="119:119" x14ac:dyDescent="0.2">
      <c r="DO43500" s="303" t="s">
        <v>232</v>
      </c>
    </row>
    <row r="43501" spans="119:119" x14ac:dyDescent="0.2">
      <c r="DO43501" s="303" t="s">
        <v>232</v>
      </c>
    </row>
    <row r="43502" spans="119:119" x14ac:dyDescent="0.2">
      <c r="DO43502" s="303" t="s">
        <v>232</v>
      </c>
    </row>
    <row r="43503" spans="119:119" x14ac:dyDescent="0.2">
      <c r="DO43503" s="303" t="s">
        <v>232</v>
      </c>
    </row>
    <row r="43504" spans="119:119" x14ac:dyDescent="0.2">
      <c r="DO43504" s="303" t="s">
        <v>232</v>
      </c>
    </row>
    <row r="43505" spans="119:119" x14ac:dyDescent="0.2">
      <c r="DO43505" s="303" t="s">
        <v>232</v>
      </c>
    </row>
    <row r="43506" spans="119:119" x14ac:dyDescent="0.2">
      <c r="DO43506" s="303" t="s">
        <v>232</v>
      </c>
    </row>
    <row r="43507" spans="119:119" x14ac:dyDescent="0.2">
      <c r="DO43507" s="303" t="s">
        <v>232</v>
      </c>
    </row>
    <row r="43508" spans="119:119" x14ac:dyDescent="0.2">
      <c r="DO43508" s="303" t="s">
        <v>232</v>
      </c>
    </row>
    <row r="43509" spans="119:119" x14ac:dyDescent="0.2">
      <c r="DO43509" s="303" t="s">
        <v>232</v>
      </c>
    </row>
    <row r="43510" spans="119:119" x14ac:dyDescent="0.2">
      <c r="DO43510" s="303" t="s">
        <v>232</v>
      </c>
    </row>
    <row r="43511" spans="119:119" x14ac:dyDescent="0.2">
      <c r="DO43511" s="303" t="s">
        <v>232</v>
      </c>
    </row>
    <row r="43512" spans="119:119" x14ac:dyDescent="0.2">
      <c r="DO43512" s="303" t="s">
        <v>232</v>
      </c>
    </row>
    <row r="43513" spans="119:119" x14ac:dyDescent="0.2">
      <c r="DO43513" s="303" t="s">
        <v>232</v>
      </c>
    </row>
    <row r="43514" spans="119:119" x14ac:dyDescent="0.2">
      <c r="DO43514" s="303" t="s">
        <v>232</v>
      </c>
    </row>
    <row r="43515" spans="119:119" x14ac:dyDescent="0.2">
      <c r="DO43515" s="303" t="s">
        <v>232</v>
      </c>
    </row>
    <row r="43516" spans="119:119" x14ac:dyDescent="0.2">
      <c r="DO43516" s="303" t="s">
        <v>232</v>
      </c>
    </row>
    <row r="43517" spans="119:119" x14ac:dyDescent="0.2">
      <c r="DO43517" s="303" t="s">
        <v>232</v>
      </c>
    </row>
    <row r="43518" spans="119:119" x14ac:dyDescent="0.2">
      <c r="DO43518" s="303" t="s">
        <v>232</v>
      </c>
    </row>
    <row r="43519" spans="119:119" x14ac:dyDescent="0.2">
      <c r="DO43519" s="303" t="s">
        <v>232</v>
      </c>
    </row>
    <row r="43520" spans="119:119" x14ac:dyDescent="0.2">
      <c r="DO43520" s="303" t="s">
        <v>232</v>
      </c>
    </row>
    <row r="43521" spans="119:119" x14ac:dyDescent="0.2">
      <c r="DO43521" s="303" t="s">
        <v>232</v>
      </c>
    </row>
    <row r="43522" spans="119:119" x14ac:dyDescent="0.2">
      <c r="DO43522" s="303" t="s">
        <v>232</v>
      </c>
    </row>
    <row r="43523" spans="119:119" x14ac:dyDescent="0.2">
      <c r="DO43523" s="303" t="s">
        <v>232</v>
      </c>
    </row>
    <row r="43524" spans="119:119" x14ac:dyDescent="0.2">
      <c r="DO43524" s="303" t="s">
        <v>232</v>
      </c>
    </row>
    <row r="43525" spans="119:119" x14ac:dyDescent="0.2">
      <c r="DO43525" s="303" t="s">
        <v>232</v>
      </c>
    </row>
    <row r="43526" spans="119:119" x14ac:dyDescent="0.2">
      <c r="DO43526" s="303" t="s">
        <v>232</v>
      </c>
    </row>
    <row r="43527" spans="119:119" x14ac:dyDescent="0.2">
      <c r="DO43527" s="303" t="s">
        <v>232</v>
      </c>
    </row>
    <row r="43528" spans="119:119" x14ac:dyDescent="0.2">
      <c r="DO43528" s="303" t="s">
        <v>232</v>
      </c>
    </row>
    <row r="43529" spans="119:119" x14ac:dyDescent="0.2">
      <c r="DO43529" s="303" t="s">
        <v>232</v>
      </c>
    </row>
    <row r="43530" spans="119:119" x14ac:dyDescent="0.2">
      <c r="DO43530" s="303" t="s">
        <v>232</v>
      </c>
    </row>
    <row r="43531" spans="119:119" x14ac:dyDescent="0.2">
      <c r="DO43531" s="303" t="s">
        <v>232</v>
      </c>
    </row>
    <row r="43532" spans="119:119" x14ac:dyDescent="0.2">
      <c r="DO43532" s="303" t="s">
        <v>232</v>
      </c>
    </row>
    <row r="43533" spans="119:119" x14ac:dyDescent="0.2">
      <c r="DO43533" s="303" t="s">
        <v>232</v>
      </c>
    </row>
    <row r="43534" spans="119:119" x14ac:dyDescent="0.2">
      <c r="DO43534" s="303" t="s">
        <v>232</v>
      </c>
    </row>
    <row r="43535" spans="119:119" x14ac:dyDescent="0.2">
      <c r="DO43535" s="303" t="s">
        <v>232</v>
      </c>
    </row>
    <row r="43536" spans="119:119" x14ac:dyDescent="0.2">
      <c r="DO43536" s="303" t="s">
        <v>232</v>
      </c>
    </row>
    <row r="43537" spans="119:119" x14ac:dyDescent="0.2">
      <c r="DO43537" s="303" t="s">
        <v>232</v>
      </c>
    </row>
    <row r="43538" spans="119:119" x14ac:dyDescent="0.2">
      <c r="DO43538" s="303" t="s">
        <v>232</v>
      </c>
    </row>
    <row r="43539" spans="119:119" x14ac:dyDescent="0.2">
      <c r="DO43539" s="303" t="s">
        <v>232</v>
      </c>
    </row>
    <row r="43540" spans="119:119" x14ac:dyDescent="0.2">
      <c r="DO43540" s="303" t="s">
        <v>232</v>
      </c>
    </row>
    <row r="43541" spans="119:119" x14ac:dyDescent="0.2">
      <c r="DO43541" s="303" t="s">
        <v>232</v>
      </c>
    </row>
    <row r="43542" spans="119:119" x14ac:dyDescent="0.2">
      <c r="DO43542" s="303" t="s">
        <v>232</v>
      </c>
    </row>
    <row r="43543" spans="119:119" x14ac:dyDescent="0.2">
      <c r="DO43543" s="303" t="s">
        <v>232</v>
      </c>
    </row>
    <row r="43544" spans="119:119" x14ac:dyDescent="0.2">
      <c r="DO43544" s="303" t="s">
        <v>232</v>
      </c>
    </row>
    <row r="43545" spans="119:119" x14ac:dyDescent="0.2">
      <c r="DO43545" s="303" t="s">
        <v>232</v>
      </c>
    </row>
    <row r="43546" spans="119:119" x14ac:dyDescent="0.2">
      <c r="DO43546" s="303" t="s">
        <v>232</v>
      </c>
    </row>
    <row r="43547" spans="119:119" x14ac:dyDescent="0.2">
      <c r="DO43547" s="303" t="s">
        <v>232</v>
      </c>
    </row>
    <row r="43548" spans="119:119" x14ac:dyDescent="0.2">
      <c r="DO43548" s="303" t="s">
        <v>232</v>
      </c>
    </row>
    <row r="43549" spans="119:119" x14ac:dyDescent="0.2">
      <c r="DO43549" s="303" t="s">
        <v>232</v>
      </c>
    </row>
    <row r="43550" spans="119:119" x14ac:dyDescent="0.2">
      <c r="DO43550" s="303" t="s">
        <v>232</v>
      </c>
    </row>
    <row r="43551" spans="119:119" x14ac:dyDescent="0.2">
      <c r="DO43551" s="303" t="s">
        <v>232</v>
      </c>
    </row>
    <row r="43552" spans="119:119" x14ac:dyDescent="0.2">
      <c r="DO43552" s="303" t="s">
        <v>232</v>
      </c>
    </row>
    <row r="43553" spans="119:119" x14ac:dyDescent="0.2">
      <c r="DO43553" s="303" t="s">
        <v>232</v>
      </c>
    </row>
    <row r="43554" spans="119:119" x14ac:dyDescent="0.2">
      <c r="DO43554" s="303" t="s">
        <v>232</v>
      </c>
    </row>
    <row r="43555" spans="119:119" x14ac:dyDescent="0.2">
      <c r="DO43555" s="303" t="s">
        <v>232</v>
      </c>
    </row>
    <row r="43556" spans="119:119" x14ac:dyDescent="0.2">
      <c r="DO43556" s="303" t="s">
        <v>232</v>
      </c>
    </row>
    <row r="43557" spans="119:119" x14ac:dyDescent="0.2">
      <c r="DO43557" s="303" t="s">
        <v>232</v>
      </c>
    </row>
    <row r="43558" spans="119:119" x14ac:dyDescent="0.2">
      <c r="DO43558" s="303" t="s">
        <v>232</v>
      </c>
    </row>
    <row r="43559" spans="119:119" x14ac:dyDescent="0.2">
      <c r="DO43559" s="303" t="s">
        <v>232</v>
      </c>
    </row>
    <row r="43560" spans="119:119" x14ac:dyDescent="0.2">
      <c r="DO43560" s="303" t="s">
        <v>232</v>
      </c>
    </row>
    <row r="43561" spans="119:119" x14ac:dyDescent="0.2">
      <c r="DO43561" s="303" t="s">
        <v>232</v>
      </c>
    </row>
    <row r="43562" spans="119:119" x14ac:dyDescent="0.2">
      <c r="DO43562" s="303" t="s">
        <v>232</v>
      </c>
    </row>
    <row r="43563" spans="119:119" x14ac:dyDescent="0.2">
      <c r="DO43563" s="303" t="s">
        <v>232</v>
      </c>
    </row>
    <row r="43564" spans="119:119" x14ac:dyDescent="0.2">
      <c r="DO43564" s="303" t="s">
        <v>232</v>
      </c>
    </row>
    <row r="43565" spans="119:119" x14ac:dyDescent="0.2">
      <c r="DO43565" s="303" t="s">
        <v>232</v>
      </c>
    </row>
    <row r="43566" spans="119:119" x14ac:dyDescent="0.2">
      <c r="DO43566" s="303" t="s">
        <v>232</v>
      </c>
    </row>
    <row r="43567" spans="119:119" x14ac:dyDescent="0.2">
      <c r="DO43567" s="303" t="s">
        <v>232</v>
      </c>
    </row>
    <row r="43568" spans="119:119" x14ac:dyDescent="0.2">
      <c r="DO43568" s="303" t="s">
        <v>232</v>
      </c>
    </row>
    <row r="43569" spans="119:119" x14ac:dyDescent="0.2">
      <c r="DO43569" s="303" t="s">
        <v>232</v>
      </c>
    </row>
    <row r="43570" spans="119:119" x14ac:dyDescent="0.2">
      <c r="DO43570" s="303" t="s">
        <v>232</v>
      </c>
    </row>
    <row r="43571" spans="119:119" x14ac:dyDescent="0.2">
      <c r="DO43571" s="303" t="s">
        <v>232</v>
      </c>
    </row>
    <row r="43572" spans="119:119" x14ac:dyDescent="0.2">
      <c r="DO43572" s="303" t="s">
        <v>232</v>
      </c>
    </row>
    <row r="43573" spans="119:119" x14ac:dyDescent="0.2">
      <c r="DO43573" s="303" t="s">
        <v>232</v>
      </c>
    </row>
    <row r="43574" spans="119:119" x14ac:dyDescent="0.2">
      <c r="DO43574" s="303" t="s">
        <v>232</v>
      </c>
    </row>
    <row r="43575" spans="119:119" x14ac:dyDescent="0.2">
      <c r="DO43575" s="303" t="s">
        <v>232</v>
      </c>
    </row>
    <row r="43576" spans="119:119" x14ac:dyDescent="0.2">
      <c r="DO43576" s="303" t="s">
        <v>232</v>
      </c>
    </row>
    <row r="43577" spans="119:119" x14ac:dyDescent="0.2">
      <c r="DO43577" s="303" t="s">
        <v>232</v>
      </c>
    </row>
    <row r="43578" spans="119:119" x14ac:dyDescent="0.2">
      <c r="DO43578" s="303" t="s">
        <v>232</v>
      </c>
    </row>
    <row r="43579" spans="119:119" x14ac:dyDescent="0.2">
      <c r="DO43579" s="303" t="s">
        <v>232</v>
      </c>
    </row>
    <row r="43580" spans="119:119" x14ac:dyDescent="0.2">
      <c r="DO43580" s="303" t="s">
        <v>232</v>
      </c>
    </row>
    <row r="43581" spans="119:119" x14ac:dyDescent="0.2">
      <c r="DO43581" s="303" t="s">
        <v>232</v>
      </c>
    </row>
    <row r="43582" spans="119:119" x14ac:dyDescent="0.2">
      <c r="DO43582" s="303" t="s">
        <v>232</v>
      </c>
    </row>
    <row r="43583" spans="119:119" x14ac:dyDescent="0.2">
      <c r="DO43583" s="303" t="s">
        <v>232</v>
      </c>
    </row>
    <row r="43584" spans="119:119" x14ac:dyDescent="0.2">
      <c r="DO43584" s="303" t="s">
        <v>232</v>
      </c>
    </row>
    <row r="43585" spans="119:119" x14ac:dyDescent="0.2">
      <c r="DO43585" s="303" t="s">
        <v>232</v>
      </c>
    </row>
    <row r="43586" spans="119:119" x14ac:dyDescent="0.2">
      <c r="DO43586" s="303" t="s">
        <v>232</v>
      </c>
    </row>
    <row r="43587" spans="119:119" x14ac:dyDescent="0.2">
      <c r="DO43587" s="303" t="s">
        <v>232</v>
      </c>
    </row>
    <row r="43588" spans="119:119" x14ac:dyDescent="0.2">
      <c r="DO43588" s="303" t="s">
        <v>232</v>
      </c>
    </row>
    <row r="43589" spans="119:119" x14ac:dyDescent="0.2">
      <c r="DO43589" s="303" t="s">
        <v>232</v>
      </c>
    </row>
    <row r="43590" spans="119:119" x14ac:dyDescent="0.2">
      <c r="DO43590" s="303" t="s">
        <v>232</v>
      </c>
    </row>
    <row r="43591" spans="119:119" x14ac:dyDescent="0.2">
      <c r="DO43591" s="303" t="s">
        <v>232</v>
      </c>
    </row>
    <row r="43592" spans="119:119" x14ac:dyDescent="0.2">
      <c r="DO43592" s="303" t="s">
        <v>232</v>
      </c>
    </row>
    <row r="43593" spans="119:119" x14ac:dyDescent="0.2">
      <c r="DO43593" s="303" t="s">
        <v>232</v>
      </c>
    </row>
    <row r="43594" spans="119:119" x14ac:dyDescent="0.2">
      <c r="DO43594" s="303" t="s">
        <v>232</v>
      </c>
    </row>
    <row r="43595" spans="119:119" x14ac:dyDescent="0.2">
      <c r="DO43595" s="303" t="s">
        <v>232</v>
      </c>
    </row>
    <row r="43596" spans="119:119" x14ac:dyDescent="0.2">
      <c r="DO43596" s="303" t="s">
        <v>232</v>
      </c>
    </row>
    <row r="43597" spans="119:119" x14ac:dyDescent="0.2">
      <c r="DO43597" s="303" t="s">
        <v>232</v>
      </c>
    </row>
    <row r="43598" spans="119:119" x14ac:dyDescent="0.2">
      <c r="DO43598" s="303" t="s">
        <v>232</v>
      </c>
    </row>
    <row r="43599" spans="119:119" x14ac:dyDescent="0.2">
      <c r="DO43599" s="303" t="s">
        <v>232</v>
      </c>
    </row>
    <row r="43600" spans="119:119" x14ac:dyDescent="0.2">
      <c r="DO43600" s="303" t="s">
        <v>232</v>
      </c>
    </row>
    <row r="43601" spans="119:119" x14ac:dyDescent="0.2">
      <c r="DO43601" s="303" t="s">
        <v>232</v>
      </c>
    </row>
    <row r="43602" spans="119:119" x14ac:dyDescent="0.2">
      <c r="DO43602" s="303" t="s">
        <v>232</v>
      </c>
    </row>
    <row r="43603" spans="119:119" x14ac:dyDescent="0.2">
      <c r="DO43603" s="303" t="s">
        <v>232</v>
      </c>
    </row>
    <row r="43604" spans="119:119" x14ac:dyDescent="0.2">
      <c r="DO43604" s="303" t="s">
        <v>232</v>
      </c>
    </row>
    <row r="43605" spans="119:119" x14ac:dyDescent="0.2">
      <c r="DO43605" s="303" t="s">
        <v>232</v>
      </c>
    </row>
    <row r="43606" spans="119:119" x14ac:dyDescent="0.2">
      <c r="DO43606" s="303" t="s">
        <v>232</v>
      </c>
    </row>
    <row r="43607" spans="119:119" x14ac:dyDescent="0.2">
      <c r="DO43607" s="303" t="s">
        <v>232</v>
      </c>
    </row>
    <row r="43608" spans="119:119" x14ac:dyDescent="0.2">
      <c r="DO43608" s="303" t="s">
        <v>232</v>
      </c>
    </row>
    <row r="43609" spans="119:119" x14ac:dyDescent="0.2">
      <c r="DO43609" s="303" t="s">
        <v>232</v>
      </c>
    </row>
    <row r="43610" spans="119:119" x14ac:dyDescent="0.2">
      <c r="DO43610" s="303" t="s">
        <v>232</v>
      </c>
    </row>
    <row r="43611" spans="119:119" x14ac:dyDescent="0.2">
      <c r="DO43611" s="303" t="s">
        <v>232</v>
      </c>
    </row>
    <row r="43612" spans="119:119" x14ac:dyDescent="0.2">
      <c r="DO43612" s="303" t="s">
        <v>232</v>
      </c>
    </row>
    <row r="43613" spans="119:119" x14ac:dyDescent="0.2">
      <c r="DO43613" s="303" t="s">
        <v>232</v>
      </c>
    </row>
    <row r="43614" spans="119:119" x14ac:dyDescent="0.2">
      <c r="DO43614" s="303" t="s">
        <v>232</v>
      </c>
    </row>
    <row r="43615" spans="119:119" x14ac:dyDescent="0.2">
      <c r="DO43615" s="303" t="s">
        <v>232</v>
      </c>
    </row>
    <row r="43616" spans="119:119" x14ac:dyDescent="0.2">
      <c r="DO43616" s="303" t="s">
        <v>232</v>
      </c>
    </row>
    <row r="43617" spans="119:119" x14ac:dyDescent="0.2">
      <c r="DO43617" s="303" t="s">
        <v>232</v>
      </c>
    </row>
    <row r="43618" spans="119:119" x14ac:dyDescent="0.2">
      <c r="DO43618" s="303" t="s">
        <v>232</v>
      </c>
    </row>
    <row r="43619" spans="119:119" x14ac:dyDescent="0.2">
      <c r="DO43619" s="303" t="s">
        <v>232</v>
      </c>
    </row>
    <row r="43620" spans="119:119" x14ac:dyDescent="0.2">
      <c r="DO43620" s="303" t="s">
        <v>232</v>
      </c>
    </row>
    <row r="43621" spans="119:119" x14ac:dyDescent="0.2">
      <c r="DO43621" s="303" t="s">
        <v>232</v>
      </c>
    </row>
    <row r="43622" spans="119:119" x14ac:dyDescent="0.2">
      <c r="DO43622" s="303" t="s">
        <v>232</v>
      </c>
    </row>
    <row r="43623" spans="119:119" x14ac:dyDescent="0.2">
      <c r="DO43623" s="303" t="s">
        <v>232</v>
      </c>
    </row>
    <row r="43624" spans="119:119" x14ac:dyDescent="0.2">
      <c r="DO43624" s="303" t="s">
        <v>232</v>
      </c>
    </row>
    <row r="43625" spans="119:119" x14ac:dyDescent="0.2">
      <c r="DO43625" s="303" t="s">
        <v>232</v>
      </c>
    </row>
    <row r="43626" spans="119:119" x14ac:dyDescent="0.2">
      <c r="DO43626" s="303" t="s">
        <v>232</v>
      </c>
    </row>
    <row r="43627" spans="119:119" x14ac:dyDescent="0.2">
      <c r="DO43627" s="303" t="s">
        <v>232</v>
      </c>
    </row>
    <row r="43628" spans="119:119" x14ac:dyDescent="0.2">
      <c r="DO43628" s="303" t="s">
        <v>232</v>
      </c>
    </row>
    <row r="43629" spans="119:119" x14ac:dyDescent="0.2">
      <c r="DO43629" s="303" t="s">
        <v>232</v>
      </c>
    </row>
    <row r="43630" spans="119:119" x14ac:dyDescent="0.2">
      <c r="DO43630" s="303" t="s">
        <v>232</v>
      </c>
    </row>
    <row r="43631" spans="119:119" x14ac:dyDescent="0.2">
      <c r="DO43631" s="303" t="s">
        <v>232</v>
      </c>
    </row>
    <row r="43632" spans="119:119" x14ac:dyDescent="0.2">
      <c r="DO43632" s="303" t="s">
        <v>232</v>
      </c>
    </row>
    <row r="43633" spans="119:119" x14ac:dyDescent="0.2">
      <c r="DO43633" s="303" t="s">
        <v>232</v>
      </c>
    </row>
    <row r="43634" spans="119:119" x14ac:dyDescent="0.2">
      <c r="DO43634" s="303" t="s">
        <v>232</v>
      </c>
    </row>
    <row r="43635" spans="119:119" x14ac:dyDescent="0.2">
      <c r="DO43635" s="303" t="s">
        <v>232</v>
      </c>
    </row>
    <row r="43636" spans="119:119" x14ac:dyDescent="0.2">
      <c r="DO43636" s="303" t="s">
        <v>232</v>
      </c>
    </row>
    <row r="43637" spans="119:119" x14ac:dyDescent="0.2">
      <c r="DO43637" s="303" t="s">
        <v>232</v>
      </c>
    </row>
    <row r="43638" spans="119:119" x14ac:dyDescent="0.2">
      <c r="DO43638" s="303" t="s">
        <v>232</v>
      </c>
    </row>
    <row r="43639" spans="119:119" x14ac:dyDescent="0.2">
      <c r="DO43639" s="303" t="s">
        <v>232</v>
      </c>
    </row>
    <row r="43640" spans="119:119" x14ac:dyDescent="0.2">
      <c r="DO43640" s="303" t="s">
        <v>232</v>
      </c>
    </row>
    <row r="43641" spans="119:119" x14ac:dyDescent="0.2">
      <c r="DO43641" s="303" t="s">
        <v>232</v>
      </c>
    </row>
    <row r="43642" spans="119:119" x14ac:dyDescent="0.2">
      <c r="DO43642" s="303" t="s">
        <v>232</v>
      </c>
    </row>
    <row r="43643" spans="119:119" x14ac:dyDescent="0.2">
      <c r="DO43643" s="303" t="s">
        <v>232</v>
      </c>
    </row>
    <row r="43644" spans="119:119" x14ac:dyDescent="0.2">
      <c r="DO43644" s="303" t="s">
        <v>232</v>
      </c>
    </row>
    <row r="43645" spans="119:119" x14ac:dyDescent="0.2">
      <c r="DO43645" s="303" t="s">
        <v>232</v>
      </c>
    </row>
    <row r="43646" spans="119:119" x14ac:dyDescent="0.2">
      <c r="DO43646" s="303" t="s">
        <v>232</v>
      </c>
    </row>
    <row r="43647" spans="119:119" x14ac:dyDescent="0.2">
      <c r="DO43647" s="303" t="s">
        <v>232</v>
      </c>
    </row>
    <row r="43648" spans="119:119" x14ac:dyDescent="0.2">
      <c r="DO43648" s="303" t="s">
        <v>232</v>
      </c>
    </row>
    <row r="43649" spans="119:119" x14ac:dyDescent="0.2">
      <c r="DO43649" s="303" t="s">
        <v>232</v>
      </c>
    </row>
    <row r="43650" spans="119:119" x14ac:dyDescent="0.2">
      <c r="DO43650" s="303" t="s">
        <v>232</v>
      </c>
    </row>
    <row r="43651" spans="119:119" x14ac:dyDescent="0.2">
      <c r="DO43651" s="303" t="s">
        <v>232</v>
      </c>
    </row>
    <row r="43652" spans="119:119" x14ac:dyDescent="0.2">
      <c r="DO43652" s="303" t="s">
        <v>232</v>
      </c>
    </row>
    <row r="43653" spans="119:119" x14ac:dyDescent="0.2">
      <c r="DO43653" s="303" t="s">
        <v>232</v>
      </c>
    </row>
    <row r="43654" spans="119:119" x14ac:dyDescent="0.2">
      <c r="DO43654" s="303" t="s">
        <v>232</v>
      </c>
    </row>
    <row r="43655" spans="119:119" x14ac:dyDescent="0.2">
      <c r="DO43655" s="303" t="s">
        <v>232</v>
      </c>
    </row>
    <row r="43656" spans="119:119" x14ac:dyDescent="0.2">
      <c r="DO43656" s="303" t="s">
        <v>232</v>
      </c>
    </row>
    <row r="43657" spans="119:119" x14ac:dyDescent="0.2">
      <c r="DO43657" s="303" t="s">
        <v>232</v>
      </c>
    </row>
    <row r="43658" spans="119:119" x14ac:dyDescent="0.2">
      <c r="DO43658" s="303" t="s">
        <v>232</v>
      </c>
    </row>
    <row r="43659" spans="119:119" x14ac:dyDescent="0.2">
      <c r="DO43659" s="303" t="s">
        <v>232</v>
      </c>
    </row>
    <row r="43660" spans="119:119" x14ac:dyDescent="0.2">
      <c r="DO43660" s="303" t="s">
        <v>232</v>
      </c>
    </row>
    <row r="43661" spans="119:119" x14ac:dyDescent="0.2">
      <c r="DO43661" s="303" t="s">
        <v>232</v>
      </c>
    </row>
    <row r="43662" spans="119:119" x14ac:dyDescent="0.2">
      <c r="DO43662" s="303" t="s">
        <v>232</v>
      </c>
    </row>
    <row r="43663" spans="119:119" x14ac:dyDescent="0.2">
      <c r="DO43663" s="303" t="s">
        <v>232</v>
      </c>
    </row>
    <row r="43664" spans="119:119" x14ac:dyDescent="0.2">
      <c r="DO43664" s="303" t="s">
        <v>232</v>
      </c>
    </row>
    <row r="43665" spans="119:119" x14ac:dyDescent="0.2">
      <c r="DO43665" s="303" t="s">
        <v>232</v>
      </c>
    </row>
    <row r="43666" spans="119:119" x14ac:dyDescent="0.2">
      <c r="DO43666" s="303" t="s">
        <v>232</v>
      </c>
    </row>
    <row r="43667" spans="119:119" x14ac:dyDescent="0.2">
      <c r="DO43667" s="303" t="s">
        <v>232</v>
      </c>
    </row>
    <row r="43668" spans="119:119" x14ac:dyDescent="0.2">
      <c r="DO43668" s="303" t="s">
        <v>232</v>
      </c>
    </row>
    <row r="43669" spans="119:119" x14ac:dyDescent="0.2">
      <c r="DO43669" s="303" t="s">
        <v>232</v>
      </c>
    </row>
    <row r="43670" spans="119:119" x14ac:dyDescent="0.2">
      <c r="DO43670" s="303" t="s">
        <v>232</v>
      </c>
    </row>
    <row r="43671" spans="119:119" x14ac:dyDescent="0.2">
      <c r="DO43671" s="303" t="s">
        <v>232</v>
      </c>
    </row>
    <row r="43672" spans="119:119" x14ac:dyDescent="0.2">
      <c r="DO43672" s="303" t="s">
        <v>232</v>
      </c>
    </row>
    <row r="43673" spans="119:119" x14ac:dyDescent="0.2">
      <c r="DO43673" s="303" t="s">
        <v>232</v>
      </c>
    </row>
    <row r="43674" spans="119:119" x14ac:dyDescent="0.2">
      <c r="DO43674" s="303" t="s">
        <v>232</v>
      </c>
    </row>
    <row r="43675" spans="119:119" x14ac:dyDescent="0.2">
      <c r="DO43675" s="303" t="s">
        <v>232</v>
      </c>
    </row>
    <row r="43676" spans="119:119" x14ac:dyDescent="0.2">
      <c r="DO43676" s="303" t="s">
        <v>232</v>
      </c>
    </row>
    <row r="43677" spans="119:119" x14ac:dyDescent="0.2">
      <c r="DO43677" s="303" t="s">
        <v>232</v>
      </c>
    </row>
    <row r="43678" spans="119:119" x14ac:dyDescent="0.2">
      <c r="DO43678" s="303" t="s">
        <v>232</v>
      </c>
    </row>
    <row r="43679" spans="119:119" x14ac:dyDescent="0.2">
      <c r="DO43679" s="303" t="s">
        <v>232</v>
      </c>
    </row>
    <row r="43680" spans="119:119" x14ac:dyDescent="0.2">
      <c r="DO43680" s="303" t="s">
        <v>232</v>
      </c>
    </row>
    <row r="43681" spans="119:119" x14ac:dyDescent="0.2">
      <c r="DO43681" s="303" t="s">
        <v>232</v>
      </c>
    </row>
    <row r="43682" spans="119:119" x14ac:dyDescent="0.2">
      <c r="DO43682" s="303" t="s">
        <v>232</v>
      </c>
    </row>
    <row r="43683" spans="119:119" x14ac:dyDescent="0.2">
      <c r="DO43683" s="303" t="s">
        <v>232</v>
      </c>
    </row>
    <row r="43684" spans="119:119" x14ac:dyDescent="0.2">
      <c r="DO43684" s="303" t="s">
        <v>232</v>
      </c>
    </row>
    <row r="43685" spans="119:119" x14ac:dyDescent="0.2">
      <c r="DO43685" s="303" t="s">
        <v>232</v>
      </c>
    </row>
    <row r="43686" spans="119:119" x14ac:dyDescent="0.2">
      <c r="DO43686" s="303" t="s">
        <v>232</v>
      </c>
    </row>
    <row r="43687" spans="119:119" x14ac:dyDescent="0.2">
      <c r="DO43687" s="303" t="s">
        <v>232</v>
      </c>
    </row>
    <row r="43688" spans="119:119" x14ac:dyDescent="0.2">
      <c r="DO43688" s="303" t="s">
        <v>232</v>
      </c>
    </row>
    <row r="43689" spans="119:119" x14ac:dyDescent="0.2">
      <c r="DO43689" s="303" t="s">
        <v>232</v>
      </c>
    </row>
    <row r="43690" spans="119:119" x14ac:dyDescent="0.2">
      <c r="DO43690" s="303" t="s">
        <v>232</v>
      </c>
    </row>
    <row r="43691" spans="119:119" x14ac:dyDescent="0.2">
      <c r="DO43691" s="303" t="s">
        <v>232</v>
      </c>
    </row>
    <row r="43692" spans="119:119" x14ac:dyDescent="0.2">
      <c r="DO43692" s="303" t="s">
        <v>232</v>
      </c>
    </row>
    <row r="43693" spans="119:119" x14ac:dyDescent="0.2">
      <c r="DO43693" s="303" t="s">
        <v>232</v>
      </c>
    </row>
    <row r="43694" spans="119:119" x14ac:dyDescent="0.2">
      <c r="DO43694" s="303" t="s">
        <v>232</v>
      </c>
    </row>
    <row r="43695" spans="119:119" x14ac:dyDescent="0.2">
      <c r="DO43695" s="303" t="s">
        <v>232</v>
      </c>
    </row>
    <row r="43696" spans="119:119" x14ac:dyDescent="0.2">
      <c r="DO43696" s="303" t="s">
        <v>232</v>
      </c>
    </row>
    <row r="43697" spans="119:119" x14ac:dyDescent="0.2">
      <c r="DO43697" s="303" t="s">
        <v>232</v>
      </c>
    </row>
    <row r="43698" spans="119:119" x14ac:dyDescent="0.2">
      <c r="DO43698" s="303" t="s">
        <v>232</v>
      </c>
    </row>
    <row r="43699" spans="119:119" x14ac:dyDescent="0.2">
      <c r="DO43699" s="303" t="s">
        <v>232</v>
      </c>
    </row>
    <row r="43700" spans="119:119" x14ac:dyDescent="0.2">
      <c r="DO43700" s="303" t="s">
        <v>232</v>
      </c>
    </row>
    <row r="43701" spans="119:119" x14ac:dyDescent="0.2">
      <c r="DO43701" s="303" t="s">
        <v>232</v>
      </c>
    </row>
    <row r="43702" spans="119:119" x14ac:dyDescent="0.2">
      <c r="DO43702" s="303" t="s">
        <v>232</v>
      </c>
    </row>
    <row r="43703" spans="119:119" x14ac:dyDescent="0.2">
      <c r="DO43703" s="303" t="s">
        <v>232</v>
      </c>
    </row>
    <row r="43704" spans="119:119" x14ac:dyDescent="0.2">
      <c r="DO43704" s="303" t="s">
        <v>232</v>
      </c>
    </row>
    <row r="43705" spans="119:119" x14ac:dyDescent="0.2">
      <c r="DO43705" s="303" t="s">
        <v>232</v>
      </c>
    </row>
    <row r="43706" spans="119:119" x14ac:dyDescent="0.2">
      <c r="DO43706" s="303" t="s">
        <v>232</v>
      </c>
    </row>
    <row r="43707" spans="119:119" x14ac:dyDescent="0.2">
      <c r="DO43707" s="303" t="s">
        <v>232</v>
      </c>
    </row>
    <row r="43708" spans="119:119" x14ac:dyDescent="0.2">
      <c r="DO43708" s="303" t="s">
        <v>232</v>
      </c>
    </row>
    <row r="43709" spans="119:119" x14ac:dyDescent="0.2">
      <c r="DO43709" s="303" t="s">
        <v>232</v>
      </c>
    </row>
    <row r="43710" spans="119:119" x14ac:dyDescent="0.2">
      <c r="DO43710" s="303" t="s">
        <v>232</v>
      </c>
    </row>
    <row r="43711" spans="119:119" x14ac:dyDescent="0.2">
      <c r="DO43711" s="303" t="s">
        <v>232</v>
      </c>
    </row>
    <row r="43712" spans="119:119" x14ac:dyDescent="0.2">
      <c r="DO43712" s="303" t="s">
        <v>232</v>
      </c>
    </row>
    <row r="43713" spans="119:119" x14ac:dyDescent="0.2">
      <c r="DO43713" s="303" t="s">
        <v>232</v>
      </c>
    </row>
    <row r="43714" spans="119:119" x14ac:dyDescent="0.2">
      <c r="DO43714" s="303" t="s">
        <v>232</v>
      </c>
    </row>
    <row r="43715" spans="119:119" x14ac:dyDescent="0.2">
      <c r="DO43715" s="303" t="s">
        <v>232</v>
      </c>
    </row>
    <row r="43716" spans="119:119" x14ac:dyDescent="0.2">
      <c r="DO43716" s="303" t="s">
        <v>232</v>
      </c>
    </row>
    <row r="43717" spans="119:119" x14ac:dyDescent="0.2">
      <c r="DO43717" s="303" t="s">
        <v>232</v>
      </c>
    </row>
    <row r="43718" spans="119:119" x14ac:dyDescent="0.2">
      <c r="DO43718" s="303" t="s">
        <v>232</v>
      </c>
    </row>
    <row r="43719" spans="119:119" x14ac:dyDescent="0.2">
      <c r="DO43719" s="303" t="s">
        <v>232</v>
      </c>
    </row>
    <row r="43720" spans="119:119" x14ac:dyDescent="0.2">
      <c r="DO43720" s="303" t="s">
        <v>232</v>
      </c>
    </row>
    <row r="43721" spans="119:119" x14ac:dyDescent="0.2">
      <c r="DO43721" s="303" t="s">
        <v>232</v>
      </c>
    </row>
    <row r="43722" spans="119:119" x14ac:dyDescent="0.2">
      <c r="DO43722" s="303" t="s">
        <v>232</v>
      </c>
    </row>
    <row r="43723" spans="119:119" x14ac:dyDescent="0.2">
      <c r="DO43723" s="303" t="s">
        <v>232</v>
      </c>
    </row>
    <row r="43724" spans="119:119" x14ac:dyDescent="0.2">
      <c r="DO43724" s="303" t="s">
        <v>232</v>
      </c>
    </row>
    <row r="43725" spans="119:119" x14ac:dyDescent="0.2">
      <c r="DO43725" s="303" t="s">
        <v>232</v>
      </c>
    </row>
    <row r="43726" spans="119:119" x14ac:dyDescent="0.2">
      <c r="DO43726" s="303" t="s">
        <v>232</v>
      </c>
    </row>
    <row r="43727" spans="119:119" x14ac:dyDescent="0.2">
      <c r="DO43727" s="303" t="s">
        <v>232</v>
      </c>
    </row>
    <row r="43728" spans="119:119" x14ac:dyDescent="0.2">
      <c r="DO43728" s="303" t="s">
        <v>232</v>
      </c>
    </row>
    <row r="43729" spans="119:119" x14ac:dyDescent="0.2">
      <c r="DO43729" s="303" t="s">
        <v>232</v>
      </c>
    </row>
    <row r="43730" spans="119:119" x14ac:dyDescent="0.2">
      <c r="DO43730" s="303" t="s">
        <v>232</v>
      </c>
    </row>
    <row r="43731" spans="119:119" x14ac:dyDescent="0.2">
      <c r="DO43731" s="303" t="s">
        <v>232</v>
      </c>
    </row>
    <row r="43732" spans="119:119" x14ac:dyDescent="0.2">
      <c r="DO43732" s="303" t="s">
        <v>232</v>
      </c>
    </row>
    <row r="43733" spans="119:119" x14ac:dyDescent="0.2">
      <c r="DO43733" s="303" t="s">
        <v>232</v>
      </c>
    </row>
    <row r="43734" spans="119:119" x14ac:dyDescent="0.2">
      <c r="DO43734" s="303" t="s">
        <v>232</v>
      </c>
    </row>
    <row r="43735" spans="119:119" x14ac:dyDescent="0.2">
      <c r="DO43735" s="303" t="s">
        <v>232</v>
      </c>
    </row>
    <row r="43736" spans="119:119" x14ac:dyDescent="0.2">
      <c r="DO43736" s="303" t="s">
        <v>232</v>
      </c>
    </row>
    <row r="43737" spans="119:119" x14ac:dyDescent="0.2">
      <c r="DO43737" s="303" t="s">
        <v>232</v>
      </c>
    </row>
    <row r="43738" spans="119:119" x14ac:dyDescent="0.2">
      <c r="DO43738" s="303" t="s">
        <v>232</v>
      </c>
    </row>
    <row r="43739" spans="119:119" x14ac:dyDescent="0.2">
      <c r="DO43739" s="303" t="s">
        <v>232</v>
      </c>
    </row>
    <row r="43740" spans="119:119" x14ac:dyDescent="0.2">
      <c r="DO43740" s="303" t="s">
        <v>232</v>
      </c>
    </row>
    <row r="43741" spans="119:119" x14ac:dyDescent="0.2">
      <c r="DO43741" s="303" t="s">
        <v>232</v>
      </c>
    </row>
    <row r="43742" spans="119:119" x14ac:dyDescent="0.2">
      <c r="DO43742" s="303" t="s">
        <v>232</v>
      </c>
    </row>
    <row r="43743" spans="119:119" x14ac:dyDescent="0.2">
      <c r="DO43743" s="303" t="s">
        <v>232</v>
      </c>
    </row>
    <row r="43744" spans="119:119" x14ac:dyDescent="0.2">
      <c r="DO43744" s="303" t="s">
        <v>232</v>
      </c>
    </row>
    <row r="43745" spans="119:119" x14ac:dyDescent="0.2">
      <c r="DO43745" s="303" t="s">
        <v>232</v>
      </c>
    </row>
    <row r="43746" spans="119:119" x14ac:dyDescent="0.2">
      <c r="DO43746" s="303" t="s">
        <v>232</v>
      </c>
    </row>
    <row r="43747" spans="119:119" x14ac:dyDescent="0.2">
      <c r="DO43747" s="303" t="s">
        <v>232</v>
      </c>
    </row>
    <row r="43748" spans="119:119" x14ac:dyDescent="0.2">
      <c r="DO43748" s="303" t="s">
        <v>232</v>
      </c>
    </row>
    <row r="43749" spans="119:119" x14ac:dyDescent="0.2">
      <c r="DO43749" s="303" t="s">
        <v>232</v>
      </c>
    </row>
    <row r="43750" spans="119:119" x14ac:dyDescent="0.2">
      <c r="DO43750" s="303" t="s">
        <v>232</v>
      </c>
    </row>
    <row r="43751" spans="119:119" x14ac:dyDescent="0.2">
      <c r="DO43751" s="303" t="s">
        <v>232</v>
      </c>
    </row>
    <row r="43752" spans="119:119" x14ac:dyDescent="0.2">
      <c r="DO43752" s="303" t="s">
        <v>232</v>
      </c>
    </row>
    <row r="43753" spans="119:119" x14ac:dyDescent="0.2">
      <c r="DO43753" s="303" t="s">
        <v>232</v>
      </c>
    </row>
    <row r="43754" spans="119:119" x14ac:dyDescent="0.2">
      <c r="DO43754" s="303" t="s">
        <v>232</v>
      </c>
    </row>
    <row r="43755" spans="119:119" x14ac:dyDescent="0.2">
      <c r="DO43755" s="303" t="s">
        <v>232</v>
      </c>
    </row>
    <row r="43756" spans="119:119" x14ac:dyDescent="0.2">
      <c r="DO43756" s="303" t="s">
        <v>232</v>
      </c>
    </row>
    <row r="43757" spans="119:119" x14ac:dyDescent="0.2">
      <c r="DO43757" s="303" t="s">
        <v>232</v>
      </c>
    </row>
    <row r="43758" spans="119:119" x14ac:dyDescent="0.2">
      <c r="DO43758" s="303" t="s">
        <v>232</v>
      </c>
    </row>
    <row r="43759" spans="119:119" x14ac:dyDescent="0.2">
      <c r="DO43759" s="303" t="s">
        <v>232</v>
      </c>
    </row>
    <row r="43760" spans="119:119" x14ac:dyDescent="0.2">
      <c r="DO43760" s="303" t="s">
        <v>232</v>
      </c>
    </row>
    <row r="43761" spans="119:119" x14ac:dyDescent="0.2">
      <c r="DO43761" s="303" t="s">
        <v>232</v>
      </c>
    </row>
    <row r="43762" spans="119:119" x14ac:dyDescent="0.2">
      <c r="DO43762" s="303" t="s">
        <v>232</v>
      </c>
    </row>
    <row r="43763" spans="119:119" x14ac:dyDescent="0.2">
      <c r="DO43763" s="303" t="s">
        <v>232</v>
      </c>
    </row>
    <row r="43764" spans="119:119" x14ac:dyDescent="0.2">
      <c r="DO43764" s="303" t="s">
        <v>232</v>
      </c>
    </row>
    <row r="43765" spans="119:119" x14ac:dyDescent="0.2">
      <c r="DO43765" s="303" t="s">
        <v>232</v>
      </c>
    </row>
    <row r="43766" spans="119:119" x14ac:dyDescent="0.2">
      <c r="DO43766" s="303" t="s">
        <v>232</v>
      </c>
    </row>
    <row r="43767" spans="119:119" x14ac:dyDescent="0.2">
      <c r="DO43767" s="303" t="s">
        <v>232</v>
      </c>
    </row>
    <row r="43768" spans="119:119" x14ac:dyDescent="0.2">
      <c r="DO43768" s="303" t="s">
        <v>232</v>
      </c>
    </row>
    <row r="43769" spans="119:119" x14ac:dyDescent="0.2">
      <c r="DO43769" s="303" t="s">
        <v>232</v>
      </c>
    </row>
    <row r="43770" spans="119:119" x14ac:dyDescent="0.2">
      <c r="DO43770" s="303" t="s">
        <v>232</v>
      </c>
    </row>
    <row r="43771" spans="119:119" x14ac:dyDescent="0.2">
      <c r="DO43771" s="303" t="s">
        <v>232</v>
      </c>
    </row>
    <row r="43772" spans="119:119" x14ac:dyDescent="0.2">
      <c r="DO43772" s="303" t="s">
        <v>232</v>
      </c>
    </row>
    <row r="43773" spans="119:119" x14ac:dyDescent="0.2">
      <c r="DO43773" s="303" t="s">
        <v>232</v>
      </c>
    </row>
    <row r="43774" spans="119:119" x14ac:dyDescent="0.2">
      <c r="DO43774" s="303" t="s">
        <v>232</v>
      </c>
    </row>
    <row r="43775" spans="119:119" x14ac:dyDescent="0.2">
      <c r="DO43775" s="303" t="s">
        <v>232</v>
      </c>
    </row>
    <row r="43776" spans="119:119" x14ac:dyDescent="0.2">
      <c r="DO43776" s="303" t="s">
        <v>232</v>
      </c>
    </row>
    <row r="43777" spans="119:119" x14ac:dyDescent="0.2">
      <c r="DO43777" s="303" t="s">
        <v>232</v>
      </c>
    </row>
    <row r="43778" spans="119:119" x14ac:dyDescent="0.2">
      <c r="DO43778" s="303" t="s">
        <v>232</v>
      </c>
    </row>
    <row r="43779" spans="119:119" x14ac:dyDescent="0.2">
      <c r="DO43779" s="303" t="s">
        <v>232</v>
      </c>
    </row>
    <row r="43780" spans="119:119" x14ac:dyDescent="0.2">
      <c r="DO43780" s="303" t="s">
        <v>232</v>
      </c>
    </row>
    <row r="43781" spans="119:119" x14ac:dyDescent="0.2">
      <c r="DO43781" s="303" t="s">
        <v>232</v>
      </c>
    </row>
    <row r="43782" spans="119:119" x14ac:dyDescent="0.2">
      <c r="DO43782" s="303" t="s">
        <v>232</v>
      </c>
    </row>
    <row r="43783" spans="119:119" x14ac:dyDescent="0.2">
      <c r="DO43783" s="303" t="s">
        <v>232</v>
      </c>
    </row>
    <row r="43784" spans="119:119" x14ac:dyDescent="0.2">
      <c r="DO43784" s="303" t="s">
        <v>232</v>
      </c>
    </row>
    <row r="43785" spans="119:119" x14ac:dyDescent="0.2">
      <c r="DO43785" s="303" t="s">
        <v>232</v>
      </c>
    </row>
    <row r="43786" spans="119:119" x14ac:dyDescent="0.2">
      <c r="DO43786" s="303" t="s">
        <v>232</v>
      </c>
    </row>
    <row r="43787" spans="119:119" x14ac:dyDescent="0.2">
      <c r="DO43787" s="303" t="s">
        <v>232</v>
      </c>
    </row>
    <row r="43788" spans="119:119" x14ac:dyDescent="0.2">
      <c r="DO43788" s="303" t="s">
        <v>232</v>
      </c>
    </row>
    <row r="43789" spans="119:119" x14ac:dyDescent="0.2">
      <c r="DO43789" s="303" t="s">
        <v>232</v>
      </c>
    </row>
    <row r="43790" spans="119:119" x14ac:dyDescent="0.2">
      <c r="DO43790" s="303" t="s">
        <v>232</v>
      </c>
    </row>
    <row r="43791" spans="119:119" x14ac:dyDescent="0.2">
      <c r="DO43791" s="303" t="s">
        <v>232</v>
      </c>
    </row>
    <row r="43792" spans="119:119" x14ac:dyDescent="0.2">
      <c r="DO43792" s="303" t="s">
        <v>232</v>
      </c>
    </row>
    <row r="43793" spans="119:119" x14ac:dyDescent="0.2">
      <c r="DO43793" s="303" t="s">
        <v>232</v>
      </c>
    </row>
    <row r="43794" spans="119:119" x14ac:dyDescent="0.2">
      <c r="DO43794" s="303" t="s">
        <v>232</v>
      </c>
    </row>
    <row r="43795" spans="119:119" x14ac:dyDescent="0.2">
      <c r="DO43795" s="303" t="s">
        <v>232</v>
      </c>
    </row>
    <row r="43796" spans="119:119" x14ac:dyDescent="0.2">
      <c r="DO43796" s="303" t="s">
        <v>232</v>
      </c>
    </row>
    <row r="43797" spans="119:119" x14ac:dyDescent="0.2">
      <c r="DO43797" s="303" t="s">
        <v>232</v>
      </c>
    </row>
    <row r="43798" spans="119:119" x14ac:dyDescent="0.2">
      <c r="DO43798" s="303" t="s">
        <v>232</v>
      </c>
    </row>
    <row r="43799" spans="119:119" x14ac:dyDescent="0.2">
      <c r="DO43799" s="303" t="s">
        <v>232</v>
      </c>
    </row>
    <row r="43800" spans="119:119" x14ac:dyDescent="0.2">
      <c r="DO43800" s="303" t="s">
        <v>232</v>
      </c>
    </row>
    <row r="43801" spans="119:119" x14ac:dyDescent="0.2">
      <c r="DO43801" s="303" t="s">
        <v>232</v>
      </c>
    </row>
    <row r="43802" spans="119:119" x14ac:dyDescent="0.2">
      <c r="DO43802" s="303" t="s">
        <v>232</v>
      </c>
    </row>
    <row r="43803" spans="119:119" x14ac:dyDescent="0.2">
      <c r="DO43803" s="303" t="s">
        <v>232</v>
      </c>
    </row>
    <row r="43804" spans="119:119" x14ac:dyDescent="0.2">
      <c r="DO43804" s="303" t="s">
        <v>232</v>
      </c>
    </row>
    <row r="43805" spans="119:119" x14ac:dyDescent="0.2">
      <c r="DO43805" s="303" t="s">
        <v>232</v>
      </c>
    </row>
    <row r="43806" spans="119:119" x14ac:dyDescent="0.2">
      <c r="DO43806" s="303" t="s">
        <v>232</v>
      </c>
    </row>
    <row r="43807" spans="119:119" x14ac:dyDescent="0.2">
      <c r="DO43807" s="303" t="s">
        <v>232</v>
      </c>
    </row>
    <row r="43808" spans="119:119" x14ac:dyDescent="0.2">
      <c r="DO43808" s="303" t="s">
        <v>232</v>
      </c>
    </row>
    <row r="43809" spans="119:119" x14ac:dyDescent="0.2">
      <c r="DO43809" s="303" t="s">
        <v>232</v>
      </c>
    </row>
    <row r="43810" spans="119:119" x14ac:dyDescent="0.2">
      <c r="DO43810" s="303" t="s">
        <v>232</v>
      </c>
    </row>
    <row r="43811" spans="119:119" x14ac:dyDescent="0.2">
      <c r="DO43811" s="303" t="s">
        <v>232</v>
      </c>
    </row>
    <row r="43812" spans="119:119" x14ac:dyDescent="0.2">
      <c r="DO43812" s="303" t="s">
        <v>232</v>
      </c>
    </row>
    <row r="43813" spans="119:119" x14ac:dyDescent="0.2">
      <c r="DO43813" s="303" t="s">
        <v>232</v>
      </c>
    </row>
    <row r="43814" spans="119:119" x14ac:dyDescent="0.2">
      <c r="DO43814" s="303" t="s">
        <v>232</v>
      </c>
    </row>
    <row r="43815" spans="119:119" x14ac:dyDescent="0.2">
      <c r="DO43815" s="303" t="s">
        <v>232</v>
      </c>
    </row>
    <row r="43816" spans="119:119" x14ac:dyDescent="0.2">
      <c r="DO43816" s="303" t="s">
        <v>232</v>
      </c>
    </row>
    <row r="43817" spans="119:119" x14ac:dyDescent="0.2">
      <c r="DO43817" s="303" t="s">
        <v>232</v>
      </c>
    </row>
    <row r="43818" spans="119:119" x14ac:dyDescent="0.2">
      <c r="DO43818" s="303" t="s">
        <v>232</v>
      </c>
    </row>
    <row r="43819" spans="119:119" x14ac:dyDescent="0.2">
      <c r="DO43819" s="303" t="s">
        <v>232</v>
      </c>
    </row>
    <row r="43820" spans="119:119" x14ac:dyDescent="0.2">
      <c r="DO43820" s="303" t="s">
        <v>232</v>
      </c>
    </row>
    <row r="43821" spans="119:119" x14ac:dyDescent="0.2">
      <c r="DO43821" s="303" t="s">
        <v>232</v>
      </c>
    </row>
    <row r="43822" spans="119:119" x14ac:dyDescent="0.2">
      <c r="DO43822" s="303" t="s">
        <v>232</v>
      </c>
    </row>
    <row r="43823" spans="119:119" x14ac:dyDescent="0.2">
      <c r="DO43823" s="303" t="s">
        <v>232</v>
      </c>
    </row>
    <row r="43824" spans="119:119" x14ac:dyDescent="0.2">
      <c r="DO43824" s="303" t="s">
        <v>232</v>
      </c>
    </row>
    <row r="43825" spans="119:119" x14ac:dyDescent="0.2">
      <c r="DO43825" s="303" t="s">
        <v>232</v>
      </c>
    </row>
    <row r="43826" spans="119:119" x14ac:dyDescent="0.2">
      <c r="DO43826" s="303" t="s">
        <v>232</v>
      </c>
    </row>
    <row r="43827" spans="119:119" x14ac:dyDescent="0.2">
      <c r="DO43827" s="303" t="s">
        <v>232</v>
      </c>
    </row>
    <row r="43828" spans="119:119" x14ac:dyDescent="0.2">
      <c r="DO43828" s="303" t="s">
        <v>232</v>
      </c>
    </row>
    <row r="43829" spans="119:119" x14ac:dyDescent="0.2">
      <c r="DO43829" s="303" t="s">
        <v>232</v>
      </c>
    </row>
    <row r="43830" spans="119:119" x14ac:dyDescent="0.2">
      <c r="DO43830" s="303" t="s">
        <v>232</v>
      </c>
    </row>
    <row r="43831" spans="119:119" x14ac:dyDescent="0.2">
      <c r="DO43831" s="303" t="s">
        <v>232</v>
      </c>
    </row>
    <row r="43832" spans="119:119" x14ac:dyDescent="0.2">
      <c r="DO43832" s="303" t="s">
        <v>232</v>
      </c>
    </row>
    <row r="43833" spans="119:119" x14ac:dyDescent="0.2">
      <c r="DO43833" s="303" t="s">
        <v>232</v>
      </c>
    </row>
    <row r="43834" spans="119:119" x14ac:dyDescent="0.2">
      <c r="DO43834" s="303" t="s">
        <v>232</v>
      </c>
    </row>
    <row r="43835" spans="119:119" x14ac:dyDescent="0.2">
      <c r="DO43835" s="303" t="s">
        <v>232</v>
      </c>
    </row>
    <row r="43836" spans="119:119" x14ac:dyDescent="0.2">
      <c r="DO43836" s="303" t="s">
        <v>232</v>
      </c>
    </row>
    <row r="43837" spans="119:119" x14ac:dyDescent="0.2">
      <c r="DO43837" s="303" t="s">
        <v>232</v>
      </c>
    </row>
    <row r="43838" spans="119:119" x14ac:dyDescent="0.2">
      <c r="DO43838" s="303" t="s">
        <v>232</v>
      </c>
    </row>
    <row r="43839" spans="119:119" x14ac:dyDescent="0.2">
      <c r="DO43839" s="303" t="s">
        <v>232</v>
      </c>
    </row>
    <row r="43840" spans="119:119" x14ac:dyDescent="0.2">
      <c r="DO43840" s="303" t="s">
        <v>232</v>
      </c>
    </row>
    <row r="43841" spans="119:119" x14ac:dyDescent="0.2">
      <c r="DO43841" s="303" t="s">
        <v>232</v>
      </c>
    </row>
    <row r="43842" spans="119:119" x14ac:dyDescent="0.2">
      <c r="DO43842" s="303" t="s">
        <v>232</v>
      </c>
    </row>
    <row r="43843" spans="119:119" x14ac:dyDescent="0.2">
      <c r="DO43843" s="303" t="s">
        <v>232</v>
      </c>
    </row>
    <row r="43844" spans="119:119" x14ac:dyDescent="0.2">
      <c r="DO43844" s="303" t="s">
        <v>232</v>
      </c>
    </row>
    <row r="43845" spans="119:119" x14ac:dyDescent="0.2">
      <c r="DO43845" s="303" t="s">
        <v>232</v>
      </c>
    </row>
    <row r="43846" spans="119:119" x14ac:dyDescent="0.2">
      <c r="DO43846" s="303" t="s">
        <v>232</v>
      </c>
    </row>
    <row r="43847" spans="119:119" x14ac:dyDescent="0.2">
      <c r="DO43847" s="303" t="s">
        <v>232</v>
      </c>
    </row>
    <row r="43848" spans="119:119" x14ac:dyDescent="0.2">
      <c r="DO43848" s="303" t="s">
        <v>232</v>
      </c>
    </row>
    <row r="43849" spans="119:119" x14ac:dyDescent="0.2">
      <c r="DO43849" s="303" t="s">
        <v>232</v>
      </c>
    </row>
    <row r="43850" spans="119:119" x14ac:dyDescent="0.2">
      <c r="DO43850" s="303" t="s">
        <v>232</v>
      </c>
    </row>
    <row r="43851" spans="119:119" x14ac:dyDescent="0.2">
      <c r="DO43851" s="303" t="s">
        <v>232</v>
      </c>
    </row>
    <row r="43852" spans="119:119" x14ac:dyDescent="0.2">
      <c r="DO43852" s="303" t="s">
        <v>232</v>
      </c>
    </row>
    <row r="43853" spans="119:119" x14ac:dyDescent="0.2">
      <c r="DO43853" s="303" t="s">
        <v>232</v>
      </c>
    </row>
    <row r="43854" spans="119:119" x14ac:dyDescent="0.2">
      <c r="DO43854" s="303" t="s">
        <v>232</v>
      </c>
    </row>
    <row r="43855" spans="119:119" x14ac:dyDescent="0.2">
      <c r="DO43855" s="303" t="s">
        <v>232</v>
      </c>
    </row>
    <row r="43856" spans="119:119" x14ac:dyDescent="0.2">
      <c r="DO43856" s="303" t="s">
        <v>232</v>
      </c>
    </row>
    <row r="43857" spans="119:119" x14ac:dyDescent="0.2">
      <c r="DO43857" s="303" t="s">
        <v>232</v>
      </c>
    </row>
    <row r="43858" spans="119:119" x14ac:dyDescent="0.2">
      <c r="DO43858" s="303" t="s">
        <v>232</v>
      </c>
    </row>
    <row r="43859" spans="119:119" x14ac:dyDescent="0.2">
      <c r="DO43859" s="303" t="s">
        <v>232</v>
      </c>
    </row>
    <row r="43860" spans="119:119" x14ac:dyDescent="0.2">
      <c r="DO43860" s="303" t="s">
        <v>232</v>
      </c>
    </row>
    <row r="43861" spans="119:119" x14ac:dyDescent="0.2">
      <c r="DO43861" s="303" t="s">
        <v>232</v>
      </c>
    </row>
    <row r="43862" spans="119:119" x14ac:dyDescent="0.2">
      <c r="DO43862" s="303" t="s">
        <v>232</v>
      </c>
    </row>
    <row r="43863" spans="119:119" x14ac:dyDescent="0.2">
      <c r="DO43863" s="303" t="s">
        <v>232</v>
      </c>
    </row>
    <row r="43864" spans="119:119" x14ac:dyDescent="0.2">
      <c r="DO43864" s="303" t="s">
        <v>232</v>
      </c>
    </row>
    <row r="43865" spans="119:119" x14ac:dyDescent="0.2">
      <c r="DO43865" s="303" t="s">
        <v>232</v>
      </c>
    </row>
    <row r="43866" spans="119:119" x14ac:dyDescent="0.2">
      <c r="DO43866" s="303" t="s">
        <v>232</v>
      </c>
    </row>
    <row r="43867" spans="119:119" x14ac:dyDescent="0.2">
      <c r="DO43867" s="303" t="s">
        <v>232</v>
      </c>
    </row>
    <row r="43868" spans="119:119" x14ac:dyDescent="0.2">
      <c r="DO43868" s="303" t="s">
        <v>232</v>
      </c>
    </row>
    <row r="43869" spans="119:119" x14ac:dyDescent="0.2">
      <c r="DO43869" s="303" t="s">
        <v>232</v>
      </c>
    </row>
    <row r="43870" spans="119:119" x14ac:dyDescent="0.2">
      <c r="DO43870" s="303" t="s">
        <v>232</v>
      </c>
    </row>
    <row r="43871" spans="119:119" x14ac:dyDescent="0.2">
      <c r="DO43871" s="303" t="s">
        <v>232</v>
      </c>
    </row>
    <row r="43872" spans="119:119" x14ac:dyDescent="0.2">
      <c r="DO43872" s="303" t="s">
        <v>232</v>
      </c>
    </row>
    <row r="43873" spans="119:119" x14ac:dyDescent="0.2">
      <c r="DO43873" s="303" t="s">
        <v>232</v>
      </c>
    </row>
    <row r="43874" spans="119:119" x14ac:dyDescent="0.2">
      <c r="DO43874" s="303" t="s">
        <v>232</v>
      </c>
    </row>
    <row r="43875" spans="119:119" x14ac:dyDescent="0.2">
      <c r="DO43875" s="303" t="s">
        <v>232</v>
      </c>
    </row>
    <row r="43876" spans="119:119" x14ac:dyDescent="0.2">
      <c r="DO43876" s="303" t="s">
        <v>232</v>
      </c>
    </row>
    <row r="43877" spans="119:119" x14ac:dyDescent="0.2">
      <c r="DO43877" s="303" t="s">
        <v>232</v>
      </c>
    </row>
    <row r="43878" spans="119:119" x14ac:dyDescent="0.2">
      <c r="DO43878" s="303" t="s">
        <v>232</v>
      </c>
    </row>
    <row r="43879" spans="119:119" x14ac:dyDescent="0.2">
      <c r="DO43879" s="303" t="s">
        <v>232</v>
      </c>
    </row>
    <row r="43880" spans="119:119" x14ac:dyDescent="0.2">
      <c r="DO43880" s="303" t="s">
        <v>232</v>
      </c>
    </row>
    <row r="43881" spans="119:119" x14ac:dyDescent="0.2">
      <c r="DO43881" s="303" t="s">
        <v>232</v>
      </c>
    </row>
    <row r="43882" spans="119:119" x14ac:dyDescent="0.2">
      <c r="DO43882" s="303" t="s">
        <v>232</v>
      </c>
    </row>
    <row r="43883" spans="119:119" x14ac:dyDescent="0.2">
      <c r="DO43883" s="303" t="s">
        <v>232</v>
      </c>
    </row>
    <row r="43884" spans="119:119" x14ac:dyDescent="0.2">
      <c r="DO43884" s="303" t="s">
        <v>232</v>
      </c>
    </row>
    <row r="43885" spans="119:119" x14ac:dyDescent="0.2">
      <c r="DO43885" s="303" t="s">
        <v>232</v>
      </c>
    </row>
    <row r="43886" spans="119:119" x14ac:dyDescent="0.2">
      <c r="DO43886" s="303" t="s">
        <v>232</v>
      </c>
    </row>
    <row r="43887" spans="119:119" x14ac:dyDescent="0.2">
      <c r="DO43887" s="303" t="s">
        <v>232</v>
      </c>
    </row>
    <row r="43888" spans="119:119" x14ac:dyDescent="0.2">
      <c r="DO43888" s="303" t="s">
        <v>232</v>
      </c>
    </row>
    <row r="43889" spans="119:119" x14ac:dyDescent="0.2">
      <c r="DO43889" s="303" t="s">
        <v>232</v>
      </c>
    </row>
    <row r="43890" spans="119:119" x14ac:dyDescent="0.2">
      <c r="DO43890" s="303" t="s">
        <v>232</v>
      </c>
    </row>
    <row r="43891" spans="119:119" x14ac:dyDescent="0.2">
      <c r="DO43891" s="303" t="s">
        <v>232</v>
      </c>
    </row>
    <row r="43892" spans="119:119" x14ac:dyDescent="0.2">
      <c r="DO43892" s="303" t="s">
        <v>232</v>
      </c>
    </row>
    <row r="43893" spans="119:119" x14ac:dyDescent="0.2">
      <c r="DO43893" s="303" t="s">
        <v>232</v>
      </c>
    </row>
    <row r="43894" spans="119:119" x14ac:dyDescent="0.2">
      <c r="DO43894" s="303" t="s">
        <v>232</v>
      </c>
    </row>
    <row r="43895" spans="119:119" x14ac:dyDescent="0.2">
      <c r="DO43895" s="303" t="s">
        <v>232</v>
      </c>
    </row>
    <row r="43896" spans="119:119" x14ac:dyDescent="0.2">
      <c r="DO43896" s="303" t="s">
        <v>232</v>
      </c>
    </row>
    <row r="43897" spans="119:119" x14ac:dyDescent="0.2">
      <c r="DO43897" s="303" t="s">
        <v>232</v>
      </c>
    </row>
    <row r="43898" spans="119:119" x14ac:dyDescent="0.2">
      <c r="DO43898" s="303" t="s">
        <v>232</v>
      </c>
    </row>
    <row r="43899" spans="119:119" x14ac:dyDescent="0.2">
      <c r="DO43899" s="303" t="s">
        <v>232</v>
      </c>
    </row>
    <row r="43900" spans="119:119" x14ac:dyDescent="0.2">
      <c r="DO43900" s="303" t="s">
        <v>232</v>
      </c>
    </row>
    <row r="43901" spans="119:119" x14ac:dyDescent="0.2">
      <c r="DO43901" s="303" t="s">
        <v>232</v>
      </c>
    </row>
    <row r="43902" spans="119:119" x14ac:dyDescent="0.2">
      <c r="DO43902" s="303" t="s">
        <v>232</v>
      </c>
    </row>
    <row r="43903" spans="119:119" x14ac:dyDescent="0.2">
      <c r="DO43903" s="303" t="s">
        <v>232</v>
      </c>
    </row>
    <row r="43904" spans="119:119" x14ac:dyDescent="0.2">
      <c r="DO43904" s="303" t="s">
        <v>232</v>
      </c>
    </row>
    <row r="43905" spans="119:119" x14ac:dyDescent="0.2">
      <c r="DO43905" s="303" t="s">
        <v>232</v>
      </c>
    </row>
    <row r="43906" spans="119:119" x14ac:dyDescent="0.2">
      <c r="DO43906" s="303" t="s">
        <v>232</v>
      </c>
    </row>
    <row r="43907" spans="119:119" x14ac:dyDescent="0.2">
      <c r="DO43907" s="303" t="s">
        <v>232</v>
      </c>
    </row>
    <row r="43908" spans="119:119" x14ac:dyDescent="0.2">
      <c r="DO43908" s="303" t="s">
        <v>232</v>
      </c>
    </row>
    <row r="43909" spans="119:119" x14ac:dyDescent="0.2">
      <c r="DO43909" s="303" t="s">
        <v>232</v>
      </c>
    </row>
    <row r="43910" spans="119:119" x14ac:dyDescent="0.2">
      <c r="DO43910" s="303" t="s">
        <v>232</v>
      </c>
    </row>
    <row r="43911" spans="119:119" x14ac:dyDescent="0.2">
      <c r="DO43911" s="303" t="s">
        <v>232</v>
      </c>
    </row>
    <row r="43912" spans="119:119" x14ac:dyDescent="0.2">
      <c r="DO43912" s="303" t="s">
        <v>232</v>
      </c>
    </row>
    <row r="43913" spans="119:119" x14ac:dyDescent="0.2">
      <c r="DO43913" s="303" t="s">
        <v>232</v>
      </c>
    </row>
    <row r="43914" spans="119:119" x14ac:dyDescent="0.2">
      <c r="DO43914" s="303" t="s">
        <v>232</v>
      </c>
    </row>
    <row r="43915" spans="119:119" x14ac:dyDescent="0.2">
      <c r="DO43915" s="303" t="s">
        <v>232</v>
      </c>
    </row>
    <row r="43916" spans="119:119" x14ac:dyDescent="0.2">
      <c r="DO43916" s="303" t="s">
        <v>232</v>
      </c>
    </row>
    <row r="43917" spans="119:119" x14ac:dyDescent="0.2">
      <c r="DO43917" s="303" t="s">
        <v>232</v>
      </c>
    </row>
    <row r="43918" spans="119:119" x14ac:dyDescent="0.2">
      <c r="DO43918" s="303" t="s">
        <v>232</v>
      </c>
    </row>
    <row r="43919" spans="119:119" x14ac:dyDescent="0.2">
      <c r="DO43919" s="303" t="s">
        <v>232</v>
      </c>
    </row>
    <row r="43920" spans="119:119" x14ac:dyDescent="0.2">
      <c r="DO43920" s="303" t="s">
        <v>232</v>
      </c>
    </row>
    <row r="43921" spans="119:119" x14ac:dyDescent="0.2">
      <c r="DO43921" s="303" t="s">
        <v>232</v>
      </c>
    </row>
    <row r="43922" spans="119:119" x14ac:dyDescent="0.2">
      <c r="DO43922" s="303" t="s">
        <v>232</v>
      </c>
    </row>
    <row r="43923" spans="119:119" x14ac:dyDescent="0.2">
      <c r="DO43923" s="303" t="s">
        <v>232</v>
      </c>
    </row>
    <row r="43924" spans="119:119" x14ac:dyDescent="0.2">
      <c r="DO43924" s="303" t="s">
        <v>232</v>
      </c>
    </row>
    <row r="43925" spans="119:119" x14ac:dyDescent="0.2">
      <c r="DO43925" s="303" t="s">
        <v>232</v>
      </c>
    </row>
    <row r="43926" spans="119:119" x14ac:dyDescent="0.2">
      <c r="DO43926" s="303" t="s">
        <v>232</v>
      </c>
    </row>
    <row r="43927" spans="119:119" x14ac:dyDescent="0.2">
      <c r="DO43927" s="303" t="s">
        <v>232</v>
      </c>
    </row>
    <row r="43928" spans="119:119" x14ac:dyDescent="0.2">
      <c r="DO43928" s="303" t="s">
        <v>232</v>
      </c>
    </row>
    <row r="43929" spans="119:119" x14ac:dyDescent="0.2">
      <c r="DO43929" s="303" t="s">
        <v>232</v>
      </c>
    </row>
    <row r="43930" spans="119:119" x14ac:dyDescent="0.2">
      <c r="DO43930" s="303" t="s">
        <v>232</v>
      </c>
    </row>
    <row r="43931" spans="119:119" x14ac:dyDescent="0.2">
      <c r="DO43931" s="303" t="s">
        <v>232</v>
      </c>
    </row>
    <row r="43932" spans="119:119" x14ac:dyDescent="0.2">
      <c r="DO43932" s="303" t="s">
        <v>232</v>
      </c>
    </row>
    <row r="43933" spans="119:119" x14ac:dyDescent="0.2">
      <c r="DO43933" s="303" t="s">
        <v>232</v>
      </c>
    </row>
    <row r="43934" spans="119:119" x14ac:dyDescent="0.2">
      <c r="DO43934" s="303" t="s">
        <v>232</v>
      </c>
    </row>
    <row r="43935" spans="119:119" x14ac:dyDescent="0.2">
      <c r="DO43935" s="303" t="s">
        <v>232</v>
      </c>
    </row>
    <row r="43936" spans="119:119" x14ac:dyDescent="0.2">
      <c r="DO43936" s="303" t="s">
        <v>232</v>
      </c>
    </row>
    <row r="43937" spans="119:119" x14ac:dyDescent="0.2">
      <c r="DO43937" s="303" t="s">
        <v>232</v>
      </c>
    </row>
    <row r="43938" spans="119:119" x14ac:dyDescent="0.2">
      <c r="DO43938" s="303" t="s">
        <v>232</v>
      </c>
    </row>
    <row r="43939" spans="119:119" x14ac:dyDescent="0.2">
      <c r="DO43939" s="303" t="s">
        <v>232</v>
      </c>
    </row>
    <row r="43940" spans="119:119" x14ac:dyDescent="0.2">
      <c r="DO43940" s="303" t="s">
        <v>232</v>
      </c>
    </row>
    <row r="43941" spans="119:119" x14ac:dyDescent="0.2">
      <c r="DO43941" s="303" t="s">
        <v>232</v>
      </c>
    </row>
    <row r="43942" spans="119:119" x14ac:dyDescent="0.2">
      <c r="DO43942" s="303" t="s">
        <v>232</v>
      </c>
    </row>
    <row r="43943" spans="119:119" x14ac:dyDescent="0.2">
      <c r="DO43943" s="303" t="s">
        <v>232</v>
      </c>
    </row>
    <row r="43944" spans="119:119" x14ac:dyDescent="0.2">
      <c r="DO43944" s="303" t="s">
        <v>232</v>
      </c>
    </row>
    <row r="43945" spans="119:119" x14ac:dyDescent="0.2">
      <c r="DO43945" s="303" t="s">
        <v>232</v>
      </c>
    </row>
    <row r="43946" spans="119:119" x14ac:dyDescent="0.2">
      <c r="DO43946" s="303" t="s">
        <v>232</v>
      </c>
    </row>
    <row r="43947" spans="119:119" x14ac:dyDescent="0.2">
      <c r="DO43947" s="303" t="s">
        <v>232</v>
      </c>
    </row>
    <row r="43948" spans="119:119" x14ac:dyDescent="0.2">
      <c r="DO43948" s="303" t="s">
        <v>232</v>
      </c>
    </row>
    <row r="43949" spans="119:119" x14ac:dyDescent="0.2">
      <c r="DO43949" s="303" t="s">
        <v>232</v>
      </c>
    </row>
    <row r="43950" spans="119:119" x14ac:dyDescent="0.2">
      <c r="DO43950" s="303" t="s">
        <v>232</v>
      </c>
    </row>
    <row r="43951" spans="119:119" x14ac:dyDescent="0.2">
      <c r="DO43951" s="303" t="s">
        <v>232</v>
      </c>
    </row>
    <row r="43952" spans="119:119" x14ac:dyDescent="0.2">
      <c r="DO43952" s="303" t="s">
        <v>232</v>
      </c>
    </row>
    <row r="43953" spans="119:119" x14ac:dyDescent="0.2">
      <c r="DO43953" s="303" t="s">
        <v>232</v>
      </c>
    </row>
    <row r="43954" spans="119:119" x14ac:dyDescent="0.2">
      <c r="DO43954" s="303" t="s">
        <v>232</v>
      </c>
    </row>
    <row r="43955" spans="119:119" x14ac:dyDescent="0.2">
      <c r="DO43955" s="303" t="s">
        <v>232</v>
      </c>
    </row>
    <row r="43956" spans="119:119" x14ac:dyDescent="0.2">
      <c r="DO43956" s="303" t="s">
        <v>232</v>
      </c>
    </row>
    <row r="43957" spans="119:119" x14ac:dyDescent="0.2">
      <c r="DO43957" s="303" t="s">
        <v>232</v>
      </c>
    </row>
    <row r="43958" spans="119:119" x14ac:dyDescent="0.2">
      <c r="DO43958" s="303" t="s">
        <v>232</v>
      </c>
    </row>
    <row r="43959" spans="119:119" x14ac:dyDescent="0.2">
      <c r="DO43959" s="303" t="s">
        <v>232</v>
      </c>
    </row>
    <row r="43960" spans="119:119" x14ac:dyDescent="0.2">
      <c r="DO43960" s="303" t="s">
        <v>232</v>
      </c>
    </row>
    <row r="43961" spans="119:119" x14ac:dyDescent="0.2">
      <c r="DO43961" s="303" t="s">
        <v>232</v>
      </c>
    </row>
    <row r="43962" spans="119:119" x14ac:dyDescent="0.2">
      <c r="DO43962" s="303" t="s">
        <v>232</v>
      </c>
    </row>
    <row r="43963" spans="119:119" x14ac:dyDescent="0.2">
      <c r="DO43963" s="303" t="s">
        <v>232</v>
      </c>
    </row>
    <row r="43964" spans="119:119" x14ac:dyDescent="0.2">
      <c r="DO43964" s="303" t="s">
        <v>232</v>
      </c>
    </row>
    <row r="43965" spans="119:119" x14ac:dyDescent="0.2">
      <c r="DO43965" s="303" t="s">
        <v>232</v>
      </c>
    </row>
    <row r="43966" spans="119:119" x14ac:dyDescent="0.2">
      <c r="DO43966" s="303" t="s">
        <v>232</v>
      </c>
    </row>
    <row r="43967" spans="119:119" x14ac:dyDescent="0.2">
      <c r="DO43967" s="303" t="s">
        <v>232</v>
      </c>
    </row>
    <row r="43968" spans="119:119" x14ac:dyDescent="0.2">
      <c r="DO43968" s="303" t="s">
        <v>232</v>
      </c>
    </row>
    <row r="43969" spans="119:119" x14ac:dyDescent="0.2">
      <c r="DO43969" s="303" t="s">
        <v>232</v>
      </c>
    </row>
    <row r="43970" spans="119:119" x14ac:dyDescent="0.2">
      <c r="DO43970" s="303" t="s">
        <v>232</v>
      </c>
    </row>
    <row r="43971" spans="119:119" x14ac:dyDescent="0.2">
      <c r="DO43971" s="303" t="s">
        <v>232</v>
      </c>
    </row>
    <row r="43972" spans="119:119" x14ac:dyDescent="0.2">
      <c r="DO43972" s="303" t="s">
        <v>232</v>
      </c>
    </row>
    <row r="43973" spans="119:119" x14ac:dyDescent="0.2">
      <c r="DO43973" s="303" t="s">
        <v>232</v>
      </c>
    </row>
    <row r="43974" spans="119:119" x14ac:dyDescent="0.2">
      <c r="DO43974" s="303" t="s">
        <v>232</v>
      </c>
    </row>
    <row r="43975" spans="119:119" x14ac:dyDescent="0.2">
      <c r="DO43975" s="303" t="s">
        <v>232</v>
      </c>
    </row>
    <row r="43976" spans="119:119" x14ac:dyDescent="0.2">
      <c r="DO43976" s="303" t="s">
        <v>232</v>
      </c>
    </row>
    <row r="43977" spans="119:119" x14ac:dyDescent="0.2">
      <c r="DO43977" s="303" t="s">
        <v>232</v>
      </c>
    </row>
    <row r="43978" spans="119:119" x14ac:dyDescent="0.2">
      <c r="DO43978" s="303" t="s">
        <v>232</v>
      </c>
    </row>
    <row r="43979" spans="119:119" x14ac:dyDescent="0.2">
      <c r="DO43979" s="303" t="s">
        <v>232</v>
      </c>
    </row>
    <row r="43980" spans="119:119" x14ac:dyDescent="0.2">
      <c r="DO43980" s="303" t="s">
        <v>232</v>
      </c>
    </row>
    <row r="43981" spans="119:119" x14ac:dyDescent="0.2">
      <c r="DO43981" s="303" t="s">
        <v>232</v>
      </c>
    </row>
    <row r="43982" spans="119:119" x14ac:dyDescent="0.2">
      <c r="DO43982" s="303" t="s">
        <v>232</v>
      </c>
    </row>
    <row r="43983" spans="119:119" x14ac:dyDescent="0.2">
      <c r="DO43983" s="303" t="s">
        <v>232</v>
      </c>
    </row>
    <row r="43984" spans="119:119" x14ac:dyDescent="0.2">
      <c r="DO43984" s="303" t="s">
        <v>232</v>
      </c>
    </row>
    <row r="43985" spans="119:119" x14ac:dyDescent="0.2">
      <c r="DO43985" s="303" t="s">
        <v>232</v>
      </c>
    </row>
    <row r="43986" spans="119:119" x14ac:dyDescent="0.2">
      <c r="DO43986" s="303" t="s">
        <v>232</v>
      </c>
    </row>
    <row r="43987" spans="119:119" x14ac:dyDescent="0.2">
      <c r="DO43987" s="303" t="s">
        <v>232</v>
      </c>
    </row>
    <row r="43988" spans="119:119" x14ac:dyDescent="0.2">
      <c r="DO43988" s="303" t="s">
        <v>232</v>
      </c>
    </row>
    <row r="43989" spans="119:119" x14ac:dyDescent="0.2">
      <c r="DO43989" s="303" t="s">
        <v>232</v>
      </c>
    </row>
    <row r="43990" spans="119:119" x14ac:dyDescent="0.2">
      <c r="DO43990" s="303" t="s">
        <v>232</v>
      </c>
    </row>
    <row r="43991" spans="119:119" x14ac:dyDescent="0.2">
      <c r="DO43991" s="303" t="s">
        <v>232</v>
      </c>
    </row>
    <row r="43992" spans="119:119" x14ac:dyDescent="0.2">
      <c r="DO43992" s="303" t="s">
        <v>232</v>
      </c>
    </row>
    <row r="43993" spans="119:119" x14ac:dyDescent="0.2">
      <c r="DO43993" s="303" t="s">
        <v>232</v>
      </c>
    </row>
    <row r="43994" spans="119:119" x14ac:dyDescent="0.2">
      <c r="DO43994" s="303" t="s">
        <v>232</v>
      </c>
    </row>
    <row r="43995" spans="119:119" x14ac:dyDescent="0.2">
      <c r="DO43995" s="303" t="s">
        <v>232</v>
      </c>
    </row>
    <row r="43996" spans="119:119" x14ac:dyDescent="0.2">
      <c r="DO43996" s="303" t="s">
        <v>232</v>
      </c>
    </row>
    <row r="43997" spans="119:119" x14ac:dyDescent="0.2">
      <c r="DO43997" s="303" t="s">
        <v>232</v>
      </c>
    </row>
    <row r="43998" spans="119:119" x14ac:dyDescent="0.2">
      <c r="DO43998" s="303" t="s">
        <v>232</v>
      </c>
    </row>
    <row r="43999" spans="119:119" x14ac:dyDescent="0.2">
      <c r="DO43999" s="303" t="s">
        <v>232</v>
      </c>
    </row>
    <row r="44000" spans="119:119" x14ac:dyDescent="0.2">
      <c r="DO44000" s="303" t="s">
        <v>232</v>
      </c>
    </row>
    <row r="44001" spans="119:119" x14ac:dyDescent="0.2">
      <c r="DO44001" s="303" t="s">
        <v>232</v>
      </c>
    </row>
    <row r="44002" spans="119:119" x14ac:dyDescent="0.2">
      <c r="DO44002" s="303" t="s">
        <v>232</v>
      </c>
    </row>
    <row r="44003" spans="119:119" x14ac:dyDescent="0.2">
      <c r="DO44003" s="303" t="s">
        <v>232</v>
      </c>
    </row>
    <row r="44004" spans="119:119" x14ac:dyDescent="0.2">
      <c r="DO44004" s="303" t="s">
        <v>232</v>
      </c>
    </row>
    <row r="44005" spans="119:119" x14ac:dyDescent="0.2">
      <c r="DO44005" s="303" t="s">
        <v>232</v>
      </c>
    </row>
    <row r="44006" spans="119:119" x14ac:dyDescent="0.2">
      <c r="DO44006" s="303" t="s">
        <v>232</v>
      </c>
    </row>
    <row r="44007" spans="119:119" x14ac:dyDescent="0.2">
      <c r="DO44007" s="303" t="s">
        <v>232</v>
      </c>
    </row>
    <row r="44008" spans="119:119" x14ac:dyDescent="0.2">
      <c r="DO44008" s="303" t="s">
        <v>232</v>
      </c>
    </row>
    <row r="44009" spans="119:119" x14ac:dyDescent="0.2">
      <c r="DO44009" s="303" t="s">
        <v>232</v>
      </c>
    </row>
    <row r="44010" spans="119:119" x14ac:dyDescent="0.2">
      <c r="DO44010" s="303" t="s">
        <v>232</v>
      </c>
    </row>
    <row r="44011" spans="119:119" x14ac:dyDescent="0.2">
      <c r="DO44011" s="303" t="s">
        <v>232</v>
      </c>
    </row>
    <row r="44012" spans="119:119" x14ac:dyDescent="0.2">
      <c r="DO44012" s="303" t="s">
        <v>232</v>
      </c>
    </row>
    <row r="44013" spans="119:119" x14ac:dyDescent="0.2">
      <c r="DO44013" s="303" t="s">
        <v>232</v>
      </c>
    </row>
    <row r="44014" spans="119:119" x14ac:dyDescent="0.2">
      <c r="DO44014" s="303" t="s">
        <v>232</v>
      </c>
    </row>
    <row r="44015" spans="119:119" x14ac:dyDescent="0.2">
      <c r="DO44015" s="303" t="s">
        <v>232</v>
      </c>
    </row>
    <row r="44016" spans="119:119" x14ac:dyDescent="0.2">
      <c r="DO44016" s="303" t="s">
        <v>232</v>
      </c>
    </row>
    <row r="44017" spans="119:119" x14ac:dyDescent="0.2">
      <c r="DO44017" s="303" t="s">
        <v>232</v>
      </c>
    </row>
    <row r="44018" spans="119:119" x14ac:dyDescent="0.2">
      <c r="DO44018" s="303" t="s">
        <v>232</v>
      </c>
    </row>
    <row r="44019" spans="119:119" x14ac:dyDescent="0.2">
      <c r="DO44019" s="303" t="s">
        <v>232</v>
      </c>
    </row>
    <row r="44020" spans="119:119" x14ac:dyDescent="0.2">
      <c r="DO44020" s="303" t="s">
        <v>232</v>
      </c>
    </row>
    <row r="44021" spans="119:119" x14ac:dyDescent="0.2">
      <c r="DO44021" s="303" t="s">
        <v>232</v>
      </c>
    </row>
    <row r="44022" spans="119:119" x14ac:dyDescent="0.2">
      <c r="DO44022" s="303" t="s">
        <v>232</v>
      </c>
    </row>
    <row r="44023" spans="119:119" x14ac:dyDescent="0.2">
      <c r="DO44023" s="303" t="s">
        <v>232</v>
      </c>
    </row>
    <row r="44024" spans="119:119" x14ac:dyDescent="0.2">
      <c r="DO44024" s="303" t="s">
        <v>232</v>
      </c>
    </row>
    <row r="44025" spans="119:119" x14ac:dyDescent="0.2">
      <c r="DO44025" s="303" t="s">
        <v>232</v>
      </c>
    </row>
    <row r="44026" spans="119:119" x14ac:dyDescent="0.2">
      <c r="DO44026" s="303" t="s">
        <v>232</v>
      </c>
    </row>
    <row r="44027" spans="119:119" x14ac:dyDescent="0.2">
      <c r="DO44027" s="303" t="s">
        <v>232</v>
      </c>
    </row>
    <row r="44028" spans="119:119" x14ac:dyDescent="0.2">
      <c r="DO44028" s="303" t="s">
        <v>232</v>
      </c>
    </row>
    <row r="44029" spans="119:119" x14ac:dyDescent="0.2">
      <c r="DO44029" s="303" t="s">
        <v>232</v>
      </c>
    </row>
    <row r="44030" spans="119:119" x14ac:dyDescent="0.2">
      <c r="DO44030" s="303" t="s">
        <v>232</v>
      </c>
    </row>
    <row r="44031" spans="119:119" x14ac:dyDescent="0.2">
      <c r="DO44031" s="303" t="s">
        <v>232</v>
      </c>
    </row>
    <row r="44032" spans="119:119" x14ac:dyDescent="0.2">
      <c r="DO44032" s="303" t="s">
        <v>232</v>
      </c>
    </row>
    <row r="44033" spans="119:119" x14ac:dyDescent="0.2">
      <c r="DO44033" s="303" t="s">
        <v>232</v>
      </c>
    </row>
    <row r="44034" spans="119:119" x14ac:dyDescent="0.2">
      <c r="DO44034" s="303" t="s">
        <v>232</v>
      </c>
    </row>
    <row r="44035" spans="119:119" x14ac:dyDescent="0.2">
      <c r="DO44035" s="303" t="s">
        <v>232</v>
      </c>
    </row>
    <row r="44036" spans="119:119" x14ac:dyDescent="0.2">
      <c r="DO44036" s="303" t="s">
        <v>232</v>
      </c>
    </row>
    <row r="44037" spans="119:119" x14ac:dyDescent="0.2">
      <c r="DO44037" s="303" t="s">
        <v>232</v>
      </c>
    </row>
    <row r="44038" spans="119:119" x14ac:dyDescent="0.2">
      <c r="DO44038" s="303" t="s">
        <v>232</v>
      </c>
    </row>
    <row r="44039" spans="119:119" x14ac:dyDescent="0.2">
      <c r="DO44039" s="303" t="s">
        <v>232</v>
      </c>
    </row>
    <row r="44040" spans="119:119" x14ac:dyDescent="0.2">
      <c r="DO44040" s="303" t="s">
        <v>232</v>
      </c>
    </row>
    <row r="44041" spans="119:119" x14ac:dyDescent="0.2">
      <c r="DO44041" s="303" t="s">
        <v>232</v>
      </c>
    </row>
    <row r="44042" spans="119:119" x14ac:dyDescent="0.2">
      <c r="DO44042" s="303" t="s">
        <v>232</v>
      </c>
    </row>
    <row r="44043" spans="119:119" x14ac:dyDescent="0.2">
      <c r="DO44043" s="303" t="s">
        <v>232</v>
      </c>
    </row>
    <row r="44044" spans="119:119" x14ac:dyDescent="0.2">
      <c r="DO44044" s="303" t="s">
        <v>232</v>
      </c>
    </row>
    <row r="44045" spans="119:119" x14ac:dyDescent="0.2">
      <c r="DO44045" s="303" t="s">
        <v>232</v>
      </c>
    </row>
    <row r="44046" spans="119:119" x14ac:dyDescent="0.2">
      <c r="DO44046" s="303" t="s">
        <v>232</v>
      </c>
    </row>
    <row r="44047" spans="119:119" x14ac:dyDescent="0.2">
      <c r="DO44047" s="303" t="s">
        <v>232</v>
      </c>
    </row>
    <row r="44048" spans="119:119" x14ac:dyDescent="0.2">
      <c r="DO44048" s="303" t="s">
        <v>232</v>
      </c>
    </row>
    <row r="44049" spans="119:119" x14ac:dyDescent="0.2">
      <c r="DO44049" s="303" t="s">
        <v>232</v>
      </c>
    </row>
    <row r="44050" spans="119:119" x14ac:dyDescent="0.2">
      <c r="DO44050" s="303" t="s">
        <v>232</v>
      </c>
    </row>
    <row r="44051" spans="119:119" x14ac:dyDescent="0.2">
      <c r="DO44051" s="303" t="s">
        <v>232</v>
      </c>
    </row>
    <row r="44052" spans="119:119" x14ac:dyDescent="0.2">
      <c r="DO44052" s="303" t="s">
        <v>232</v>
      </c>
    </row>
    <row r="44053" spans="119:119" x14ac:dyDescent="0.2">
      <c r="DO44053" s="303" t="s">
        <v>232</v>
      </c>
    </row>
    <row r="44054" spans="119:119" x14ac:dyDescent="0.2">
      <c r="DO44054" s="303" t="s">
        <v>232</v>
      </c>
    </row>
    <row r="44055" spans="119:119" x14ac:dyDescent="0.2">
      <c r="DO44055" s="303" t="s">
        <v>232</v>
      </c>
    </row>
    <row r="44056" spans="119:119" x14ac:dyDescent="0.2">
      <c r="DO44056" s="303" t="s">
        <v>232</v>
      </c>
    </row>
    <row r="44057" spans="119:119" x14ac:dyDescent="0.2">
      <c r="DO44057" s="303" t="s">
        <v>232</v>
      </c>
    </row>
    <row r="44058" spans="119:119" x14ac:dyDescent="0.2">
      <c r="DO44058" s="303" t="s">
        <v>232</v>
      </c>
    </row>
    <row r="44059" spans="119:119" x14ac:dyDescent="0.2">
      <c r="DO44059" s="303" t="s">
        <v>232</v>
      </c>
    </row>
    <row r="44060" spans="119:119" x14ac:dyDescent="0.2">
      <c r="DO44060" s="303" t="s">
        <v>232</v>
      </c>
    </row>
    <row r="44061" spans="119:119" x14ac:dyDescent="0.2">
      <c r="DO44061" s="303" t="s">
        <v>232</v>
      </c>
    </row>
    <row r="44062" spans="119:119" x14ac:dyDescent="0.2">
      <c r="DO44062" s="303" t="s">
        <v>232</v>
      </c>
    </row>
    <row r="44063" spans="119:119" x14ac:dyDescent="0.2">
      <c r="DO44063" s="303" t="s">
        <v>232</v>
      </c>
    </row>
    <row r="44064" spans="119:119" x14ac:dyDescent="0.2">
      <c r="DO44064" s="303" t="s">
        <v>232</v>
      </c>
    </row>
    <row r="44065" spans="119:119" x14ac:dyDescent="0.2">
      <c r="DO44065" s="303" t="s">
        <v>232</v>
      </c>
    </row>
    <row r="44066" spans="119:119" x14ac:dyDescent="0.2">
      <c r="DO44066" s="303" t="s">
        <v>232</v>
      </c>
    </row>
    <row r="44067" spans="119:119" x14ac:dyDescent="0.2">
      <c r="DO44067" s="303" t="s">
        <v>232</v>
      </c>
    </row>
    <row r="44068" spans="119:119" x14ac:dyDescent="0.2">
      <c r="DO44068" s="303" t="s">
        <v>232</v>
      </c>
    </row>
    <row r="44069" spans="119:119" x14ac:dyDescent="0.2">
      <c r="DO44069" s="303" t="s">
        <v>232</v>
      </c>
    </row>
    <row r="44070" spans="119:119" x14ac:dyDescent="0.2">
      <c r="DO44070" s="303" t="s">
        <v>232</v>
      </c>
    </row>
    <row r="44071" spans="119:119" x14ac:dyDescent="0.2">
      <c r="DO44071" s="303" t="s">
        <v>232</v>
      </c>
    </row>
    <row r="44072" spans="119:119" x14ac:dyDescent="0.2">
      <c r="DO44072" s="303" t="s">
        <v>232</v>
      </c>
    </row>
    <row r="44073" spans="119:119" x14ac:dyDescent="0.2">
      <c r="DO44073" s="303" t="s">
        <v>232</v>
      </c>
    </row>
    <row r="44074" spans="119:119" x14ac:dyDescent="0.2">
      <c r="DO44074" s="303" t="s">
        <v>232</v>
      </c>
    </row>
    <row r="44075" spans="119:119" x14ac:dyDescent="0.2">
      <c r="DO44075" s="303" t="s">
        <v>232</v>
      </c>
    </row>
    <row r="44076" spans="119:119" x14ac:dyDescent="0.2">
      <c r="DO44076" s="303" t="s">
        <v>232</v>
      </c>
    </row>
    <row r="44077" spans="119:119" x14ac:dyDescent="0.2">
      <c r="DO44077" s="303" t="s">
        <v>232</v>
      </c>
    </row>
    <row r="44078" spans="119:119" x14ac:dyDescent="0.2">
      <c r="DO44078" s="303" t="s">
        <v>232</v>
      </c>
    </row>
    <row r="44079" spans="119:119" x14ac:dyDescent="0.2">
      <c r="DO44079" s="303" t="s">
        <v>232</v>
      </c>
    </row>
    <row r="44080" spans="119:119" x14ac:dyDescent="0.2">
      <c r="DO44080" s="303" t="s">
        <v>232</v>
      </c>
    </row>
    <row r="44081" spans="119:119" x14ac:dyDescent="0.2">
      <c r="DO44081" s="303" t="s">
        <v>232</v>
      </c>
    </row>
    <row r="44082" spans="119:119" x14ac:dyDescent="0.2">
      <c r="DO44082" s="303" t="s">
        <v>232</v>
      </c>
    </row>
    <row r="44083" spans="119:119" x14ac:dyDescent="0.2">
      <c r="DO44083" s="303" t="s">
        <v>232</v>
      </c>
    </row>
    <row r="44084" spans="119:119" x14ac:dyDescent="0.2">
      <c r="DO44084" s="303" t="s">
        <v>232</v>
      </c>
    </row>
    <row r="44085" spans="119:119" x14ac:dyDescent="0.2">
      <c r="DO44085" s="303" t="s">
        <v>232</v>
      </c>
    </row>
    <row r="44086" spans="119:119" x14ac:dyDescent="0.2">
      <c r="DO44086" s="303" t="s">
        <v>232</v>
      </c>
    </row>
    <row r="44087" spans="119:119" x14ac:dyDescent="0.2">
      <c r="DO44087" s="303" t="s">
        <v>232</v>
      </c>
    </row>
    <row r="44088" spans="119:119" x14ac:dyDescent="0.2">
      <c r="DO44088" s="303" t="s">
        <v>232</v>
      </c>
    </row>
    <row r="44089" spans="119:119" x14ac:dyDescent="0.2">
      <c r="DO44089" s="303" t="s">
        <v>232</v>
      </c>
    </row>
    <row r="44090" spans="119:119" x14ac:dyDescent="0.2">
      <c r="DO44090" s="303" t="s">
        <v>232</v>
      </c>
    </row>
    <row r="44091" spans="119:119" x14ac:dyDescent="0.2">
      <c r="DO44091" s="303" t="s">
        <v>232</v>
      </c>
    </row>
    <row r="44092" spans="119:119" x14ac:dyDescent="0.2">
      <c r="DO44092" s="303" t="s">
        <v>232</v>
      </c>
    </row>
    <row r="44093" spans="119:119" x14ac:dyDescent="0.2">
      <c r="DO44093" s="303" t="s">
        <v>232</v>
      </c>
    </row>
    <row r="44094" spans="119:119" x14ac:dyDescent="0.2">
      <c r="DO44094" s="303" t="s">
        <v>232</v>
      </c>
    </row>
    <row r="44095" spans="119:119" x14ac:dyDescent="0.2">
      <c r="DO44095" s="303" t="s">
        <v>232</v>
      </c>
    </row>
    <row r="44096" spans="119:119" x14ac:dyDescent="0.2">
      <c r="DO44096" s="303" t="s">
        <v>232</v>
      </c>
    </row>
    <row r="44097" spans="119:119" x14ac:dyDescent="0.2">
      <c r="DO44097" s="303" t="s">
        <v>232</v>
      </c>
    </row>
    <row r="44098" spans="119:119" x14ac:dyDescent="0.2">
      <c r="DO44098" s="303" t="s">
        <v>232</v>
      </c>
    </row>
    <row r="44099" spans="119:119" x14ac:dyDescent="0.2">
      <c r="DO44099" s="303" t="s">
        <v>232</v>
      </c>
    </row>
    <row r="44100" spans="119:119" x14ac:dyDescent="0.2">
      <c r="DO44100" s="303" t="s">
        <v>232</v>
      </c>
    </row>
    <row r="44101" spans="119:119" x14ac:dyDescent="0.2">
      <c r="DO44101" s="303" t="s">
        <v>232</v>
      </c>
    </row>
    <row r="44102" spans="119:119" x14ac:dyDescent="0.2">
      <c r="DO44102" s="303" t="s">
        <v>232</v>
      </c>
    </row>
    <row r="44103" spans="119:119" x14ac:dyDescent="0.2">
      <c r="DO44103" s="303" t="s">
        <v>232</v>
      </c>
    </row>
    <row r="44104" spans="119:119" x14ac:dyDescent="0.2">
      <c r="DO44104" s="303" t="s">
        <v>232</v>
      </c>
    </row>
    <row r="44105" spans="119:119" x14ac:dyDescent="0.2">
      <c r="DO44105" s="303" t="s">
        <v>232</v>
      </c>
    </row>
    <row r="44106" spans="119:119" x14ac:dyDescent="0.2">
      <c r="DO44106" s="303" t="s">
        <v>232</v>
      </c>
    </row>
    <row r="44107" spans="119:119" x14ac:dyDescent="0.2">
      <c r="DO44107" s="303" t="s">
        <v>232</v>
      </c>
    </row>
    <row r="44108" spans="119:119" x14ac:dyDescent="0.2">
      <c r="DO44108" s="303" t="s">
        <v>232</v>
      </c>
    </row>
    <row r="44109" spans="119:119" x14ac:dyDescent="0.2">
      <c r="DO44109" s="303" t="s">
        <v>232</v>
      </c>
    </row>
    <row r="44110" spans="119:119" x14ac:dyDescent="0.2">
      <c r="DO44110" s="303" t="s">
        <v>232</v>
      </c>
    </row>
    <row r="44111" spans="119:119" x14ac:dyDescent="0.2">
      <c r="DO44111" s="303" t="s">
        <v>232</v>
      </c>
    </row>
    <row r="44112" spans="119:119" x14ac:dyDescent="0.2">
      <c r="DO44112" s="303" t="s">
        <v>232</v>
      </c>
    </row>
    <row r="44113" spans="119:119" x14ac:dyDescent="0.2">
      <c r="DO44113" s="303" t="s">
        <v>232</v>
      </c>
    </row>
    <row r="44114" spans="119:119" x14ac:dyDescent="0.2">
      <c r="DO44114" s="303" t="s">
        <v>232</v>
      </c>
    </row>
    <row r="44115" spans="119:119" x14ac:dyDescent="0.2">
      <c r="DO44115" s="303" t="s">
        <v>232</v>
      </c>
    </row>
    <row r="44116" spans="119:119" x14ac:dyDescent="0.2">
      <c r="DO44116" s="303" t="s">
        <v>232</v>
      </c>
    </row>
    <row r="44117" spans="119:119" x14ac:dyDescent="0.2">
      <c r="DO44117" s="303" t="s">
        <v>232</v>
      </c>
    </row>
    <row r="44118" spans="119:119" x14ac:dyDescent="0.2">
      <c r="DO44118" s="303" t="s">
        <v>232</v>
      </c>
    </row>
    <row r="44119" spans="119:119" x14ac:dyDescent="0.2">
      <c r="DO44119" s="303" t="s">
        <v>232</v>
      </c>
    </row>
    <row r="44120" spans="119:119" x14ac:dyDescent="0.2">
      <c r="DO44120" s="303" t="s">
        <v>232</v>
      </c>
    </row>
    <row r="44121" spans="119:119" x14ac:dyDescent="0.2">
      <c r="DO44121" s="303" t="s">
        <v>232</v>
      </c>
    </row>
    <row r="44122" spans="119:119" x14ac:dyDescent="0.2">
      <c r="DO44122" s="303" t="s">
        <v>232</v>
      </c>
    </row>
    <row r="44123" spans="119:119" x14ac:dyDescent="0.2">
      <c r="DO44123" s="303" t="s">
        <v>232</v>
      </c>
    </row>
    <row r="44124" spans="119:119" x14ac:dyDescent="0.2">
      <c r="DO44124" s="303" t="s">
        <v>232</v>
      </c>
    </row>
    <row r="44125" spans="119:119" x14ac:dyDescent="0.2">
      <c r="DO44125" s="303" t="s">
        <v>232</v>
      </c>
    </row>
    <row r="44126" spans="119:119" x14ac:dyDescent="0.2">
      <c r="DO44126" s="303" t="s">
        <v>232</v>
      </c>
    </row>
    <row r="44127" spans="119:119" x14ac:dyDescent="0.2">
      <c r="DO44127" s="303" t="s">
        <v>232</v>
      </c>
    </row>
    <row r="44128" spans="119:119" x14ac:dyDescent="0.2">
      <c r="DO44128" s="303" t="s">
        <v>232</v>
      </c>
    </row>
    <row r="44129" spans="119:119" x14ac:dyDescent="0.2">
      <c r="DO44129" s="303" t="s">
        <v>232</v>
      </c>
    </row>
    <row r="44130" spans="119:119" x14ac:dyDescent="0.2">
      <c r="DO44130" s="303" t="s">
        <v>232</v>
      </c>
    </row>
    <row r="44131" spans="119:119" x14ac:dyDescent="0.2">
      <c r="DO44131" s="303" t="s">
        <v>232</v>
      </c>
    </row>
    <row r="44132" spans="119:119" x14ac:dyDescent="0.2">
      <c r="DO44132" s="303" t="s">
        <v>232</v>
      </c>
    </row>
    <row r="44133" spans="119:119" x14ac:dyDescent="0.2">
      <c r="DO44133" s="303" t="s">
        <v>232</v>
      </c>
    </row>
    <row r="44134" spans="119:119" x14ac:dyDescent="0.2">
      <c r="DO44134" s="303" t="s">
        <v>232</v>
      </c>
    </row>
    <row r="44135" spans="119:119" x14ac:dyDescent="0.2">
      <c r="DO44135" s="303" t="s">
        <v>232</v>
      </c>
    </row>
    <row r="44136" spans="119:119" x14ac:dyDescent="0.2">
      <c r="DO44136" s="303" t="s">
        <v>232</v>
      </c>
    </row>
    <row r="44137" spans="119:119" x14ac:dyDescent="0.2">
      <c r="DO44137" s="303" t="s">
        <v>232</v>
      </c>
    </row>
    <row r="44138" spans="119:119" x14ac:dyDescent="0.2">
      <c r="DO44138" s="303" t="s">
        <v>232</v>
      </c>
    </row>
    <row r="44139" spans="119:119" x14ac:dyDescent="0.2">
      <c r="DO44139" s="303" t="s">
        <v>232</v>
      </c>
    </row>
    <row r="44140" spans="119:119" x14ac:dyDescent="0.2">
      <c r="DO44140" s="303" t="s">
        <v>232</v>
      </c>
    </row>
    <row r="44141" spans="119:119" x14ac:dyDescent="0.2">
      <c r="DO44141" s="303" t="s">
        <v>232</v>
      </c>
    </row>
    <row r="44142" spans="119:119" x14ac:dyDescent="0.2">
      <c r="DO44142" s="303" t="s">
        <v>232</v>
      </c>
    </row>
    <row r="44143" spans="119:119" x14ac:dyDescent="0.2">
      <c r="DO44143" s="303" t="s">
        <v>232</v>
      </c>
    </row>
    <row r="44144" spans="119:119" x14ac:dyDescent="0.2">
      <c r="DO44144" s="303" t="s">
        <v>232</v>
      </c>
    </row>
    <row r="44145" spans="119:119" x14ac:dyDescent="0.2">
      <c r="DO44145" s="303" t="s">
        <v>232</v>
      </c>
    </row>
    <row r="44146" spans="119:119" x14ac:dyDescent="0.2">
      <c r="DO44146" s="303" t="s">
        <v>232</v>
      </c>
    </row>
    <row r="44147" spans="119:119" x14ac:dyDescent="0.2">
      <c r="DO44147" s="303" t="s">
        <v>232</v>
      </c>
    </row>
    <row r="44148" spans="119:119" x14ac:dyDescent="0.2">
      <c r="DO44148" s="303" t="s">
        <v>232</v>
      </c>
    </row>
    <row r="44149" spans="119:119" x14ac:dyDescent="0.2">
      <c r="DO44149" s="303" t="s">
        <v>232</v>
      </c>
    </row>
    <row r="44150" spans="119:119" x14ac:dyDescent="0.2">
      <c r="DO44150" s="303" t="s">
        <v>232</v>
      </c>
    </row>
    <row r="44151" spans="119:119" x14ac:dyDescent="0.2">
      <c r="DO44151" s="303" t="s">
        <v>232</v>
      </c>
    </row>
    <row r="44152" spans="119:119" x14ac:dyDescent="0.2">
      <c r="DO44152" s="303" t="s">
        <v>232</v>
      </c>
    </row>
    <row r="44153" spans="119:119" x14ac:dyDescent="0.2">
      <c r="DO44153" s="303" t="s">
        <v>232</v>
      </c>
    </row>
    <row r="44154" spans="119:119" x14ac:dyDescent="0.2">
      <c r="DO44154" s="303" t="s">
        <v>232</v>
      </c>
    </row>
    <row r="44155" spans="119:119" x14ac:dyDescent="0.2">
      <c r="DO44155" s="303" t="s">
        <v>232</v>
      </c>
    </row>
    <row r="44156" spans="119:119" x14ac:dyDescent="0.2">
      <c r="DO44156" s="303" t="s">
        <v>232</v>
      </c>
    </row>
    <row r="44157" spans="119:119" x14ac:dyDescent="0.2">
      <c r="DO44157" s="303" t="s">
        <v>232</v>
      </c>
    </row>
    <row r="44158" spans="119:119" x14ac:dyDescent="0.2">
      <c r="DO44158" s="303" t="s">
        <v>232</v>
      </c>
    </row>
    <row r="44159" spans="119:119" x14ac:dyDescent="0.2">
      <c r="DO44159" s="303" t="s">
        <v>232</v>
      </c>
    </row>
    <row r="44160" spans="119:119" x14ac:dyDescent="0.2">
      <c r="DO44160" s="303" t="s">
        <v>232</v>
      </c>
    </row>
    <row r="44161" spans="119:119" x14ac:dyDescent="0.2">
      <c r="DO44161" s="303" t="s">
        <v>232</v>
      </c>
    </row>
    <row r="44162" spans="119:119" x14ac:dyDescent="0.2">
      <c r="DO44162" s="303" t="s">
        <v>232</v>
      </c>
    </row>
    <row r="44163" spans="119:119" x14ac:dyDescent="0.2">
      <c r="DO44163" s="303" t="s">
        <v>232</v>
      </c>
    </row>
    <row r="44164" spans="119:119" x14ac:dyDescent="0.2">
      <c r="DO44164" s="303" t="s">
        <v>232</v>
      </c>
    </row>
    <row r="44165" spans="119:119" x14ac:dyDescent="0.2">
      <c r="DO44165" s="303" t="s">
        <v>232</v>
      </c>
    </row>
    <row r="44166" spans="119:119" x14ac:dyDescent="0.2">
      <c r="DO44166" s="303" t="s">
        <v>232</v>
      </c>
    </row>
    <row r="44167" spans="119:119" x14ac:dyDescent="0.2">
      <c r="DO44167" s="303" t="s">
        <v>232</v>
      </c>
    </row>
    <row r="44168" spans="119:119" x14ac:dyDescent="0.2">
      <c r="DO44168" s="303" t="s">
        <v>232</v>
      </c>
    </row>
    <row r="44169" spans="119:119" x14ac:dyDescent="0.2">
      <c r="DO44169" s="303" t="s">
        <v>232</v>
      </c>
    </row>
    <row r="44170" spans="119:119" x14ac:dyDescent="0.2">
      <c r="DO44170" s="303" t="s">
        <v>232</v>
      </c>
    </row>
    <row r="44171" spans="119:119" x14ac:dyDescent="0.2">
      <c r="DO44171" s="303" t="s">
        <v>232</v>
      </c>
    </row>
    <row r="44172" spans="119:119" x14ac:dyDescent="0.2">
      <c r="DO44172" s="303" t="s">
        <v>232</v>
      </c>
    </row>
    <row r="44173" spans="119:119" x14ac:dyDescent="0.2">
      <c r="DO44173" s="303" t="s">
        <v>232</v>
      </c>
    </row>
    <row r="44174" spans="119:119" x14ac:dyDescent="0.2">
      <c r="DO44174" s="303" t="s">
        <v>232</v>
      </c>
    </row>
    <row r="44175" spans="119:119" x14ac:dyDescent="0.2">
      <c r="DO44175" s="303" t="s">
        <v>232</v>
      </c>
    </row>
    <row r="44176" spans="119:119" x14ac:dyDescent="0.2">
      <c r="DO44176" s="303" t="s">
        <v>232</v>
      </c>
    </row>
    <row r="44177" spans="119:119" x14ac:dyDescent="0.2">
      <c r="DO44177" s="303" t="s">
        <v>232</v>
      </c>
    </row>
    <row r="44178" spans="119:119" x14ac:dyDescent="0.2">
      <c r="DO44178" s="303" t="s">
        <v>232</v>
      </c>
    </row>
    <row r="44179" spans="119:119" x14ac:dyDescent="0.2">
      <c r="DO44179" s="303" t="s">
        <v>232</v>
      </c>
    </row>
    <row r="44180" spans="119:119" x14ac:dyDescent="0.2">
      <c r="DO44180" s="303" t="s">
        <v>232</v>
      </c>
    </row>
    <row r="44181" spans="119:119" x14ac:dyDescent="0.2">
      <c r="DO44181" s="303" t="s">
        <v>232</v>
      </c>
    </row>
    <row r="44182" spans="119:119" x14ac:dyDescent="0.2">
      <c r="DO44182" s="303" t="s">
        <v>232</v>
      </c>
    </row>
    <row r="44183" spans="119:119" x14ac:dyDescent="0.2">
      <c r="DO44183" s="303" t="s">
        <v>232</v>
      </c>
    </row>
    <row r="44184" spans="119:119" x14ac:dyDescent="0.2">
      <c r="DO44184" s="303" t="s">
        <v>232</v>
      </c>
    </row>
    <row r="44185" spans="119:119" x14ac:dyDescent="0.2">
      <c r="DO44185" s="303" t="s">
        <v>232</v>
      </c>
    </row>
    <row r="44186" spans="119:119" x14ac:dyDescent="0.2">
      <c r="DO44186" s="303" t="s">
        <v>232</v>
      </c>
    </row>
    <row r="44187" spans="119:119" x14ac:dyDescent="0.2">
      <c r="DO44187" s="303" t="s">
        <v>232</v>
      </c>
    </row>
    <row r="44188" spans="119:119" x14ac:dyDescent="0.2">
      <c r="DO44188" s="303" t="s">
        <v>232</v>
      </c>
    </row>
    <row r="44189" spans="119:119" x14ac:dyDescent="0.2">
      <c r="DO44189" s="303" t="s">
        <v>232</v>
      </c>
    </row>
    <row r="44190" spans="119:119" x14ac:dyDescent="0.2">
      <c r="DO44190" s="303" t="s">
        <v>232</v>
      </c>
    </row>
    <row r="44191" spans="119:119" x14ac:dyDescent="0.2">
      <c r="DO44191" s="303" t="s">
        <v>232</v>
      </c>
    </row>
    <row r="44192" spans="119:119" x14ac:dyDescent="0.2">
      <c r="DO44192" s="303" t="s">
        <v>232</v>
      </c>
    </row>
    <row r="44193" spans="119:119" x14ac:dyDescent="0.2">
      <c r="DO44193" s="303" t="s">
        <v>232</v>
      </c>
    </row>
    <row r="44194" spans="119:119" x14ac:dyDescent="0.2">
      <c r="DO44194" s="303" t="s">
        <v>232</v>
      </c>
    </row>
    <row r="44195" spans="119:119" x14ac:dyDescent="0.2">
      <c r="DO44195" s="303" t="s">
        <v>232</v>
      </c>
    </row>
    <row r="44196" spans="119:119" x14ac:dyDescent="0.2">
      <c r="DO44196" s="303" t="s">
        <v>232</v>
      </c>
    </row>
    <row r="44197" spans="119:119" x14ac:dyDescent="0.2">
      <c r="DO44197" s="303" t="s">
        <v>232</v>
      </c>
    </row>
    <row r="44198" spans="119:119" x14ac:dyDescent="0.2">
      <c r="DO44198" s="303" t="s">
        <v>232</v>
      </c>
    </row>
    <row r="44199" spans="119:119" x14ac:dyDescent="0.2">
      <c r="DO44199" s="303" t="s">
        <v>232</v>
      </c>
    </row>
    <row r="44200" spans="119:119" x14ac:dyDescent="0.2">
      <c r="DO44200" s="303" t="s">
        <v>232</v>
      </c>
    </row>
    <row r="44201" spans="119:119" x14ac:dyDescent="0.2">
      <c r="DO44201" s="303" t="s">
        <v>232</v>
      </c>
    </row>
    <row r="44202" spans="119:119" x14ac:dyDescent="0.2">
      <c r="DO44202" s="303" t="s">
        <v>232</v>
      </c>
    </row>
    <row r="44203" spans="119:119" x14ac:dyDescent="0.2">
      <c r="DO44203" s="303" t="s">
        <v>232</v>
      </c>
    </row>
    <row r="44204" spans="119:119" x14ac:dyDescent="0.2">
      <c r="DO44204" s="303" t="s">
        <v>232</v>
      </c>
    </row>
    <row r="44205" spans="119:119" x14ac:dyDescent="0.2">
      <c r="DO44205" s="303" t="s">
        <v>232</v>
      </c>
    </row>
    <row r="44206" spans="119:119" x14ac:dyDescent="0.2">
      <c r="DO44206" s="303" t="s">
        <v>232</v>
      </c>
    </row>
    <row r="44207" spans="119:119" x14ac:dyDescent="0.2">
      <c r="DO44207" s="303" t="s">
        <v>232</v>
      </c>
    </row>
    <row r="44208" spans="119:119" x14ac:dyDescent="0.2">
      <c r="DO44208" s="303" t="s">
        <v>232</v>
      </c>
    </row>
    <row r="44209" spans="119:119" x14ac:dyDescent="0.2">
      <c r="DO44209" s="303" t="s">
        <v>232</v>
      </c>
    </row>
    <row r="44210" spans="119:119" x14ac:dyDescent="0.2">
      <c r="DO44210" s="303" t="s">
        <v>232</v>
      </c>
    </row>
    <row r="44211" spans="119:119" x14ac:dyDescent="0.2">
      <c r="DO44211" s="303" t="s">
        <v>232</v>
      </c>
    </row>
    <row r="44212" spans="119:119" x14ac:dyDescent="0.2">
      <c r="DO44212" s="303" t="s">
        <v>232</v>
      </c>
    </row>
    <row r="44213" spans="119:119" x14ac:dyDescent="0.2">
      <c r="DO44213" s="303" t="s">
        <v>232</v>
      </c>
    </row>
    <row r="44214" spans="119:119" x14ac:dyDescent="0.2">
      <c r="DO44214" s="303" t="s">
        <v>232</v>
      </c>
    </row>
    <row r="44215" spans="119:119" x14ac:dyDescent="0.2">
      <c r="DO44215" s="303" t="s">
        <v>232</v>
      </c>
    </row>
    <row r="44216" spans="119:119" x14ac:dyDescent="0.2">
      <c r="DO44216" s="303" t="s">
        <v>232</v>
      </c>
    </row>
    <row r="44217" spans="119:119" x14ac:dyDescent="0.2">
      <c r="DO44217" s="303" t="s">
        <v>232</v>
      </c>
    </row>
    <row r="44218" spans="119:119" x14ac:dyDescent="0.2">
      <c r="DO44218" s="303" t="s">
        <v>232</v>
      </c>
    </row>
    <row r="44219" spans="119:119" x14ac:dyDescent="0.2">
      <c r="DO44219" s="303" t="s">
        <v>232</v>
      </c>
    </row>
    <row r="44220" spans="119:119" x14ac:dyDescent="0.2">
      <c r="DO44220" s="303" t="s">
        <v>232</v>
      </c>
    </row>
    <row r="44221" spans="119:119" x14ac:dyDescent="0.2">
      <c r="DO44221" s="303" t="s">
        <v>232</v>
      </c>
    </row>
    <row r="44222" spans="119:119" x14ac:dyDescent="0.2">
      <c r="DO44222" s="303" t="s">
        <v>232</v>
      </c>
    </row>
    <row r="44223" spans="119:119" x14ac:dyDescent="0.2">
      <c r="DO44223" s="303" t="s">
        <v>232</v>
      </c>
    </row>
    <row r="44224" spans="119:119" x14ac:dyDescent="0.2">
      <c r="DO44224" s="303" t="s">
        <v>232</v>
      </c>
    </row>
    <row r="44225" spans="119:119" x14ac:dyDescent="0.2">
      <c r="DO44225" s="303" t="s">
        <v>232</v>
      </c>
    </row>
    <row r="44226" spans="119:119" x14ac:dyDescent="0.2">
      <c r="DO44226" s="303" t="s">
        <v>232</v>
      </c>
    </row>
    <row r="44227" spans="119:119" x14ac:dyDescent="0.2">
      <c r="DO44227" s="303" t="s">
        <v>232</v>
      </c>
    </row>
    <row r="44228" spans="119:119" x14ac:dyDescent="0.2">
      <c r="DO44228" s="303" t="s">
        <v>232</v>
      </c>
    </row>
    <row r="44229" spans="119:119" x14ac:dyDescent="0.2">
      <c r="DO44229" s="303" t="s">
        <v>232</v>
      </c>
    </row>
    <row r="44230" spans="119:119" x14ac:dyDescent="0.2">
      <c r="DO44230" s="303" t="s">
        <v>232</v>
      </c>
    </row>
    <row r="44231" spans="119:119" x14ac:dyDescent="0.2">
      <c r="DO44231" s="303" t="s">
        <v>232</v>
      </c>
    </row>
    <row r="44232" spans="119:119" x14ac:dyDescent="0.2">
      <c r="DO44232" s="303" t="s">
        <v>232</v>
      </c>
    </row>
    <row r="44233" spans="119:119" x14ac:dyDescent="0.2">
      <c r="DO44233" s="303" t="s">
        <v>232</v>
      </c>
    </row>
    <row r="44234" spans="119:119" x14ac:dyDescent="0.2">
      <c r="DO44234" s="303" t="s">
        <v>232</v>
      </c>
    </row>
    <row r="44235" spans="119:119" x14ac:dyDescent="0.2">
      <c r="DO44235" s="303" t="s">
        <v>232</v>
      </c>
    </row>
    <row r="44236" spans="119:119" x14ac:dyDescent="0.2">
      <c r="DO44236" s="303" t="s">
        <v>232</v>
      </c>
    </row>
    <row r="44237" spans="119:119" x14ac:dyDescent="0.2">
      <c r="DO44237" s="303" t="s">
        <v>232</v>
      </c>
    </row>
    <row r="44238" spans="119:119" x14ac:dyDescent="0.2">
      <c r="DO44238" s="303" t="s">
        <v>232</v>
      </c>
    </row>
    <row r="44239" spans="119:119" x14ac:dyDescent="0.2">
      <c r="DO44239" s="303" t="s">
        <v>232</v>
      </c>
    </row>
    <row r="44240" spans="119:119" x14ac:dyDescent="0.2">
      <c r="DO44240" s="303" t="s">
        <v>232</v>
      </c>
    </row>
    <row r="44241" spans="119:119" x14ac:dyDescent="0.2">
      <c r="DO44241" s="303" t="s">
        <v>232</v>
      </c>
    </row>
    <row r="44242" spans="119:119" x14ac:dyDescent="0.2">
      <c r="DO44242" s="303" t="s">
        <v>232</v>
      </c>
    </row>
    <row r="44243" spans="119:119" x14ac:dyDescent="0.2">
      <c r="DO44243" s="303" t="s">
        <v>232</v>
      </c>
    </row>
    <row r="44244" spans="119:119" x14ac:dyDescent="0.2">
      <c r="DO44244" s="303" t="s">
        <v>232</v>
      </c>
    </row>
    <row r="44245" spans="119:119" x14ac:dyDescent="0.2">
      <c r="DO44245" s="303" t="s">
        <v>232</v>
      </c>
    </row>
    <row r="44246" spans="119:119" x14ac:dyDescent="0.2">
      <c r="DO44246" s="303" t="s">
        <v>232</v>
      </c>
    </row>
    <row r="44247" spans="119:119" x14ac:dyDescent="0.2">
      <c r="DO44247" s="303" t="s">
        <v>232</v>
      </c>
    </row>
    <row r="44248" spans="119:119" x14ac:dyDescent="0.2">
      <c r="DO44248" s="303" t="s">
        <v>232</v>
      </c>
    </row>
    <row r="44249" spans="119:119" x14ac:dyDescent="0.2">
      <c r="DO44249" s="303" t="s">
        <v>232</v>
      </c>
    </row>
    <row r="44250" spans="119:119" x14ac:dyDescent="0.2">
      <c r="DO44250" s="303" t="s">
        <v>232</v>
      </c>
    </row>
    <row r="44251" spans="119:119" x14ac:dyDescent="0.2">
      <c r="DO44251" s="303" t="s">
        <v>232</v>
      </c>
    </row>
    <row r="44252" spans="119:119" x14ac:dyDescent="0.2">
      <c r="DO44252" s="303" t="s">
        <v>232</v>
      </c>
    </row>
    <row r="44253" spans="119:119" x14ac:dyDescent="0.2">
      <c r="DO44253" s="303" t="s">
        <v>232</v>
      </c>
    </row>
    <row r="44254" spans="119:119" x14ac:dyDescent="0.2">
      <c r="DO44254" s="303" t="s">
        <v>232</v>
      </c>
    </row>
    <row r="44255" spans="119:119" x14ac:dyDescent="0.2">
      <c r="DO44255" s="303" t="s">
        <v>232</v>
      </c>
    </row>
    <row r="44256" spans="119:119" x14ac:dyDescent="0.2">
      <c r="DO44256" s="303" t="s">
        <v>232</v>
      </c>
    </row>
    <row r="44257" spans="119:119" x14ac:dyDescent="0.2">
      <c r="DO44257" s="303" t="s">
        <v>232</v>
      </c>
    </row>
    <row r="44258" spans="119:119" x14ac:dyDescent="0.2">
      <c r="DO44258" s="303" t="s">
        <v>232</v>
      </c>
    </row>
    <row r="44259" spans="119:119" x14ac:dyDescent="0.2">
      <c r="DO44259" s="303" t="s">
        <v>232</v>
      </c>
    </row>
    <row r="44260" spans="119:119" x14ac:dyDescent="0.2">
      <c r="DO44260" s="303" t="s">
        <v>232</v>
      </c>
    </row>
    <row r="44261" spans="119:119" x14ac:dyDescent="0.2">
      <c r="DO44261" s="303" t="s">
        <v>232</v>
      </c>
    </row>
    <row r="44262" spans="119:119" x14ac:dyDescent="0.2">
      <c r="DO44262" s="303" t="s">
        <v>232</v>
      </c>
    </row>
    <row r="44263" spans="119:119" x14ac:dyDescent="0.2">
      <c r="DO44263" s="303" t="s">
        <v>232</v>
      </c>
    </row>
    <row r="44264" spans="119:119" x14ac:dyDescent="0.2">
      <c r="DO44264" s="303" t="s">
        <v>232</v>
      </c>
    </row>
    <row r="44265" spans="119:119" x14ac:dyDescent="0.2">
      <c r="DO44265" s="303" t="s">
        <v>232</v>
      </c>
    </row>
    <row r="44266" spans="119:119" x14ac:dyDescent="0.2">
      <c r="DO44266" s="303" t="s">
        <v>232</v>
      </c>
    </row>
    <row r="44267" spans="119:119" x14ac:dyDescent="0.2">
      <c r="DO44267" s="303" t="s">
        <v>232</v>
      </c>
    </row>
    <row r="44268" spans="119:119" x14ac:dyDescent="0.2">
      <c r="DO44268" s="303" t="s">
        <v>232</v>
      </c>
    </row>
    <row r="44269" spans="119:119" x14ac:dyDescent="0.2">
      <c r="DO44269" s="303" t="s">
        <v>232</v>
      </c>
    </row>
    <row r="44270" spans="119:119" x14ac:dyDescent="0.2">
      <c r="DO44270" s="303" t="s">
        <v>232</v>
      </c>
    </row>
    <row r="44271" spans="119:119" x14ac:dyDescent="0.2">
      <c r="DO44271" s="303" t="s">
        <v>232</v>
      </c>
    </row>
    <row r="44272" spans="119:119" x14ac:dyDescent="0.2">
      <c r="DO44272" s="303" t="s">
        <v>232</v>
      </c>
    </row>
    <row r="44273" spans="119:119" x14ac:dyDescent="0.2">
      <c r="DO44273" s="303" t="s">
        <v>232</v>
      </c>
    </row>
    <row r="44274" spans="119:119" x14ac:dyDescent="0.2">
      <c r="DO44274" s="303" t="s">
        <v>232</v>
      </c>
    </row>
    <row r="44275" spans="119:119" x14ac:dyDescent="0.2">
      <c r="DO44275" s="303" t="s">
        <v>232</v>
      </c>
    </row>
    <row r="44276" spans="119:119" x14ac:dyDescent="0.2">
      <c r="DO44276" s="303" t="s">
        <v>232</v>
      </c>
    </row>
    <row r="44277" spans="119:119" x14ac:dyDescent="0.2">
      <c r="DO44277" s="303" t="s">
        <v>232</v>
      </c>
    </row>
    <row r="44278" spans="119:119" x14ac:dyDescent="0.2">
      <c r="DO44278" s="303" t="s">
        <v>232</v>
      </c>
    </row>
    <row r="44279" spans="119:119" x14ac:dyDescent="0.2">
      <c r="DO44279" s="303" t="s">
        <v>232</v>
      </c>
    </row>
    <row r="44280" spans="119:119" x14ac:dyDescent="0.2">
      <c r="DO44280" s="303" t="s">
        <v>232</v>
      </c>
    </row>
    <row r="44281" spans="119:119" x14ac:dyDescent="0.2">
      <c r="DO44281" s="303" t="s">
        <v>232</v>
      </c>
    </row>
    <row r="44282" spans="119:119" x14ac:dyDescent="0.2">
      <c r="DO44282" s="303" t="s">
        <v>232</v>
      </c>
    </row>
    <row r="44283" spans="119:119" x14ac:dyDescent="0.2">
      <c r="DO44283" s="303" t="s">
        <v>232</v>
      </c>
    </row>
    <row r="44284" spans="119:119" x14ac:dyDescent="0.2">
      <c r="DO44284" s="303" t="s">
        <v>232</v>
      </c>
    </row>
    <row r="44285" spans="119:119" x14ac:dyDescent="0.2">
      <c r="DO44285" s="303" t="s">
        <v>232</v>
      </c>
    </row>
    <row r="44286" spans="119:119" x14ac:dyDescent="0.2">
      <c r="DO44286" s="303" t="s">
        <v>232</v>
      </c>
    </row>
    <row r="44287" spans="119:119" x14ac:dyDescent="0.2">
      <c r="DO44287" s="303" t="s">
        <v>232</v>
      </c>
    </row>
    <row r="44288" spans="119:119" x14ac:dyDescent="0.2">
      <c r="DO44288" s="303" t="s">
        <v>232</v>
      </c>
    </row>
    <row r="44289" spans="119:119" x14ac:dyDescent="0.2">
      <c r="DO44289" s="303" t="s">
        <v>232</v>
      </c>
    </row>
    <row r="44290" spans="119:119" x14ac:dyDescent="0.2">
      <c r="DO44290" s="303" t="s">
        <v>232</v>
      </c>
    </row>
    <row r="44291" spans="119:119" x14ac:dyDescent="0.2">
      <c r="DO44291" s="303" t="s">
        <v>232</v>
      </c>
    </row>
    <row r="44292" spans="119:119" x14ac:dyDescent="0.2">
      <c r="DO44292" s="303" t="s">
        <v>232</v>
      </c>
    </row>
    <row r="44293" spans="119:119" x14ac:dyDescent="0.2">
      <c r="DO44293" s="303" t="s">
        <v>232</v>
      </c>
    </row>
    <row r="44294" spans="119:119" x14ac:dyDescent="0.2">
      <c r="DO44294" s="303" t="s">
        <v>232</v>
      </c>
    </row>
    <row r="44295" spans="119:119" x14ac:dyDescent="0.2">
      <c r="DO44295" s="303" t="s">
        <v>232</v>
      </c>
    </row>
    <row r="44296" spans="119:119" x14ac:dyDescent="0.2">
      <c r="DO44296" s="303" t="s">
        <v>232</v>
      </c>
    </row>
    <row r="44297" spans="119:119" x14ac:dyDescent="0.2">
      <c r="DO44297" s="303" t="s">
        <v>232</v>
      </c>
    </row>
    <row r="44298" spans="119:119" x14ac:dyDescent="0.2">
      <c r="DO44298" s="303" t="s">
        <v>232</v>
      </c>
    </row>
    <row r="44299" spans="119:119" x14ac:dyDescent="0.2">
      <c r="DO44299" s="303" t="s">
        <v>232</v>
      </c>
    </row>
    <row r="44300" spans="119:119" x14ac:dyDescent="0.2">
      <c r="DO44300" s="303" t="s">
        <v>232</v>
      </c>
    </row>
    <row r="44301" spans="119:119" x14ac:dyDescent="0.2">
      <c r="DO44301" s="303" t="s">
        <v>232</v>
      </c>
    </row>
    <row r="44302" spans="119:119" x14ac:dyDescent="0.2">
      <c r="DO44302" s="303" t="s">
        <v>232</v>
      </c>
    </row>
    <row r="44303" spans="119:119" x14ac:dyDescent="0.2">
      <c r="DO44303" s="303" t="s">
        <v>232</v>
      </c>
    </row>
    <row r="44304" spans="119:119" x14ac:dyDescent="0.2">
      <c r="DO44304" s="303" t="s">
        <v>232</v>
      </c>
    </row>
    <row r="44305" spans="119:119" x14ac:dyDescent="0.2">
      <c r="DO44305" s="303" t="s">
        <v>232</v>
      </c>
    </row>
    <row r="44306" spans="119:119" x14ac:dyDescent="0.2">
      <c r="DO44306" s="303" t="s">
        <v>232</v>
      </c>
    </row>
    <row r="44307" spans="119:119" x14ac:dyDescent="0.2">
      <c r="DO44307" s="303" t="s">
        <v>232</v>
      </c>
    </row>
    <row r="44308" spans="119:119" x14ac:dyDescent="0.2">
      <c r="DO44308" s="303" t="s">
        <v>232</v>
      </c>
    </row>
    <row r="44309" spans="119:119" x14ac:dyDescent="0.2">
      <c r="DO44309" s="303" t="s">
        <v>232</v>
      </c>
    </row>
    <row r="44310" spans="119:119" x14ac:dyDescent="0.2">
      <c r="DO44310" s="303" t="s">
        <v>232</v>
      </c>
    </row>
    <row r="44311" spans="119:119" x14ac:dyDescent="0.2">
      <c r="DO44311" s="303" t="s">
        <v>232</v>
      </c>
    </row>
    <row r="44312" spans="119:119" x14ac:dyDescent="0.2">
      <c r="DO44312" s="303" t="s">
        <v>232</v>
      </c>
    </row>
    <row r="44313" spans="119:119" x14ac:dyDescent="0.2">
      <c r="DO44313" s="303" t="s">
        <v>232</v>
      </c>
    </row>
    <row r="44314" spans="119:119" x14ac:dyDescent="0.2">
      <c r="DO44314" s="303" t="s">
        <v>232</v>
      </c>
    </row>
    <row r="44315" spans="119:119" x14ac:dyDescent="0.2">
      <c r="DO44315" s="303" t="s">
        <v>232</v>
      </c>
    </row>
    <row r="44316" spans="119:119" x14ac:dyDescent="0.2">
      <c r="DO44316" s="303" t="s">
        <v>232</v>
      </c>
    </row>
    <row r="44317" spans="119:119" x14ac:dyDescent="0.2">
      <c r="DO44317" s="303" t="s">
        <v>232</v>
      </c>
    </row>
    <row r="44318" spans="119:119" x14ac:dyDescent="0.2">
      <c r="DO44318" s="303" t="s">
        <v>232</v>
      </c>
    </row>
    <row r="44319" spans="119:119" x14ac:dyDescent="0.2">
      <c r="DO44319" s="303" t="s">
        <v>232</v>
      </c>
    </row>
    <row r="44320" spans="119:119" x14ac:dyDescent="0.2">
      <c r="DO44320" s="303" t="s">
        <v>232</v>
      </c>
    </row>
    <row r="44321" spans="119:119" x14ac:dyDescent="0.2">
      <c r="DO44321" s="303" t="s">
        <v>232</v>
      </c>
    </row>
    <row r="44322" spans="119:119" x14ac:dyDescent="0.2">
      <c r="DO44322" s="303" t="s">
        <v>232</v>
      </c>
    </row>
    <row r="44323" spans="119:119" x14ac:dyDescent="0.2">
      <c r="DO44323" s="303" t="s">
        <v>232</v>
      </c>
    </row>
    <row r="44324" spans="119:119" x14ac:dyDescent="0.2">
      <c r="DO44324" s="303" t="s">
        <v>232</v>
      </c>
    </row>
    <row r="44325" spans="119:119" x14ac:dyDescent="0.2">
      <c r="DO44325" s="303" t="s">
        <v>232</v>
      </c>
    </row>
    <row r="44326" spans="119:119" x14ac:dyDescent="0.2">
      <c r="DO44326" s="303" t="s">
        <v>232</v>
      </c>
    </row>
    <row r="44327" spans="119:119" x14ac:dyDescent="0.2">
      <c r="DO44327" s="303" t="s">
        <v>232</v>
      </c>
    </row>
    <row r="44328" spans="119:119" x14ac:dyDescent="0.2">
      <c r="DO44328" s="303" t="s">
        <v>232</v>
      </c>
    </row>
    <row r="44329" spans="119:119" x14ac:dyDescent="0.2">
      <c r="DO44329" s="303" t="s">
        <v>232</v>
      </c>
    </row>
    <row r="44330" spans="119:119" x14ac:dyDescent="0.2">
      <c r="DO44330" s="303" t="s">
        <v>232</v>
      </c>
    </row>
    <row r="44331" spans="119:119" x14ac:dyDescent="0.2">
      <c r="DO44331" s="303" t="s">
        <v>232</v>
      </c>
    </row>
    <row r="44332" spans="119:119" x14ac:dyDescent="0.2">
      <c r="DO44332" s="303" t="s">
        <v>232</v>
      </c>
    </row>
    <row r="44333" spans="119:119" x14ac:dyDescent="0.2">
      <c r="DO44333" s="303" t="s">
        <v>232</v>
      </c>
    </row>
    <row r="44334" spans="119:119" x14ac:dyDescent="0.2">
      <c r="DO44334" s="303" t="s">
        <v>232</v>
      </c>
    </row>
    <row r="44335" spans="119:119" x14ac:dyDescent="0.2">
      <c r="DO44335" s="303" t="s">
        <v>232</v>
      </c>
    </row>
    <row r="44336" spans="119:119" x14ac:dyDescent="0.2">
      <c r="DO44336" s="303" t="s">
        <v>232</v>
      </c>
    </row>
    <row r="44337" spans="119:119" x14ac:dyDescent="0.2">
      <c r="DO44337" s="303" t="s">
        <v>232</v>
      </c>
    </row>
    <row r="44338" spans="119:119" x14ac:dyDescent="0.2">
      <c r="DO44338" s="303" t="s">
        <v>232</v>
      </c>
    </row>
    <row r="44339" spans="119:119" x14ac:dyDescent="0.2">
      <c r="DO44339" s="303" t="s">
        <v>232</v>
      </c>
    </row>
    <row r="44340" spans="119:119" x14ac:dyDescent="0.2">
      <c r="DO44340" s="303" t="s">
        <v>232</v>
      </c>
    </row>
    <row r="44341" spans="119:119" x14ac:dyDescent="0.2">
      <c r="DO44341" s="303" t="s">
        <v>232</v>
      </c>
    </row>
    <row r="44342" spans="119:119" x14ac:dyDescent="0.2">
      <c r="DO44342" s="303" t="s">
        <v>232</v>
      </c>
    </row>
    <row r="44343" spans="119:119" x14ac:dyDescent="0.2">
      <c r="DO44343" s="303" t="s">
        <v>232</v>
      </c>
    </row>
    <row r="44344" spans="119:119" x14ac:dyDescent="0.2">
      <c r="DO44344" s="303" t="s">
        <v>232</v>
      </c>
    </row>
    <row r="44345" spans="119:119" x14ac:dyDescent="0.2">
      <c r="DO44345" s="303" t="s">
        <v>232</v>
      </c>
    </row>
    <row r="44346" spans="119:119" x14ac:dyDescent="0.2">
      <c r="DO44346" s="303" t="s">
        <v>232</v>
      </c>
    </row>
    <row r="44347" spans="119:119" x14ac:dyDescent="0.2">
      <c r="DO44347" s="303" t="s">
        <v>232</v>
      </c>
    </row>
    <row r="44348" spans="119:119" x14ac:dyDescent="0.2">
      <c r="DO44348" s="303" t="s">
        <v>232</v>
      </c>
    </row>
    <row r="44349" spans="119:119" x14ac:dyDescent="0.2">
      <c r="DO44349" s="303" t="s">
        <v>232</v>
      </c>
    </row>
    <row r="44350" spans="119:119" x14ac:dyDescent="0.2">
      <c r="DO44350" s="303" t="s">
        <v>232</v>
      </c>
    </row>
    <row r="44351" spans="119:119" x14ac:dyDescent="0.2">
      <c r="DO44351" s="303" t="s">
        <v>232</v>
      </c>
    </row>
    <row r="44352" spans="119:119" x14ac:dyDescent="0.2">
      <c r="DO44352" s="303" t="s">
        <v>232</v>
      </c>
    </row>
    <row r="44353" spans="119:119" x14ac:dyDescent="0.2">
      <c r="DO44353" s="303" t="s">
        <v>232</v>
      </c>
    </row>
    <row r="44354" spans="119:119" x14ac:dyDescent="0.2">
      <c r="DO44354" s="303" t="s">
        <v>232</v>
      </c>
    </row>
    <row r="44355" spans="119:119" x14ac:dyDescent="0.2">
      <c r="DO44355" s="303" t="s">
        <v>232</v>
      </c>
    </row>
    <row r="44356" spans="119:119" x14ac:dyDescent="0.2">
      <c r="DO44356" s="303" t="s">
        <v>232</v>
      </c>
    </row>
    <row r="44357" spans="119:119" x14ac:dyDescent="0.2">
      <c r="DO44357" s="303" t="s">
        <v>232</v>
      </c>
    </row>
    <row r="44358" spans="119:119" x14ac:dyDescent="0.2">
      <c r="DO44358" s="303" t="s">
        <v>232</v>
      </c>
    </row>
    <row r="44359" spans="119:119" x14ac:dyDescent="0.2">
      <c r="DO44359" s="303" t="s">
        <v>232</v>
      </c>
    </row>
    <row r="44360" spans="119:119" x14ac:dyDescent="0.2">
      <c r="DO44360" s="303" t="s">
        <v>232</v>
      </c>
    </row>
    <row r="44361" spans="119:119" x14ac:dyDescent="0.2">
      <c r="DO44361" s="303" t="s">
        <v>232</v>
      </c>
    </row>
    <row r="44362" spans="119:119" x14ac:dyDescent="0.2">
      <c r="DO44362" s="303" t="s">
        <v>232</v>
      </c>
    </row>
    <row r="44363" spans="119:119" x14ac:dyDescent="0.2">
      <c r="DO44363" s="303" t="s">
        <v>232</v>
      </c>
    </row>
    <row r="44364" spans="119:119" x14ac:dyDescent="0.2">
      <c r="DO44364" s="303" t="s">
        <v>232</v>
      </c>
    </row>
    <row r="44365" spans="119:119" x14ac:dyDescent="0.2">
      <c r="DO44365" s="303" t="s">
        <v>232</v>
      </c>
    </row>
    <row r="44366" spans="119:119" x14ac:dyDescent="0.2">
      <c r="DO44366" s="303" t="s">
        <v>232</v>
      </c>
    </row>
    <row r="44367" spans="119:119" x14ac:dyDescent="0.2">
      <c r="DO44367" s="303" t="s">
        <v>232</v>
      </c>
    </row>
    <row r="44368" spans="119:119" x14ac:dyDescent="0.2">
      <c r="DO44368" s="303" t="s">
        <v>232</v>
      </c>
    </row>
    <row r="44369" spans="119:119" x14ac:dyDescent="0.2">
      <c r="DO44369" s="303" t="s">
        <v>232</v>
      </c>
    </row>
    <row r="44370" spans="119:119" x14ac:dyDescent="0.2">
      <c r="DO44370" s="303" t="s">
        <v>232</v>
      </c>
    </row>
    <row r="44371" spans="119:119" x14ac:dyDescent="0.2">
      <c r="DO44371" s="303" t="s">
        <v>232</v>
      </c>
    </row>
    <row r="44372" spans="119:119" x14ac:dyDescent="0.2">
      <c r="DO44372" s="303" t="s">
        <v>232</v>
      </c>
    </row>
    <row r="44373" spans="119:119" x14ac:dyDescent="0.2">
      <c r="DO44373" s="303" t="s">
        <v>232</v>
      </c>
    </row>
    <row r="44374" spans="119:119" x14ac:dyDescent="0.2">
      <c r="DO44374" s="303" t="s">
        <v>232</v>
      </c>
    </row>
    <row r="44375" spans="119:119" x14ac:dyDescent="0.2">
      <c r="DO44375" s="303" t="s">
        <v>232</v>
      </c>
    </row>
    <row r="44376" spans="119:119" x14ac:dyDescent="0.2">
      <c r="DO44376" s="303" t="s">
        <v>232</v>
      </c>
    </row>
    <row r="44377" spans="119:119" x14ac:dyDescent="0.2">
      <c r="DO44377" s="303" t="s">
        <v>232</v>
      </c>
    </row>
    <row r="44378" spans="119:119" x14ac:dyDescent="0.2">
      <c r="DO44378" s="303" t="s">
        <v>232</v>
      </c>
    </row>
    <row r="44379" spans="119:119" x14ac:dyDescent="0.2">
      <c r="DO44379" s="303" t="s">
        <v>232</v>
      </c>
    </row>
    <row r="44380" spans="119:119" x14ac:dyDescent="0.2">
      <c r="DO44380" s="303" t="s">
        <v>232</v>
      </c>
    </row>
    <row r="44381" spans="119:119" x14ac:dyDescent="0.2">
      <c r="DO44381" s="303" t="s">
        <v>232</v>
      </c>
    </row>
    <row r="44382" spans="119:119" x14ac:dyDescent="0.2">
      <c r="DO44382" s="303" t="s">
        <v>232</v>
      </c>
    </row>
    <row r="44383" spans="119:119" x14ac:dyDescent="0.2">
      <c r="DO44383" s="303" t="s">
        <v>232</v>
      </c>
    </row>
    <row r="44384" spans="119:119" x14ac:dyDescent="0.2">
      <c r="DO44384" s="303" t="s">
        <v>232</v>
      </c>
    </row>
    <row r="44385" spans="119:119" x14ac:dyDescent="0.2">
      <c r="DO44385" s="303" t="s">
        <v>232</v>
      </c>
    </row>
    <row r="44386" spans="119:119" x14ac:dyDescent="0.2">
      <c r="DO44386" s="303" t="s">
        <v>232</v>
      </c>
    </row>
    <row r="44387" spans="119:119" x14ac:dyDescent="0.2">
      <c r="DO44387" s="303" t="s">
        <v>232</v>
      </c>
    </row>
    <row r="44388" spans="119:119" x14ac:dyDescent="0.2">
      <c r="DO44388" s="303" t="s">
        <v>232</v>
      </c>
    </row>
    <row r="44389" spans="119:119" x14ac:dyDescent="0.2">
      <c r="DO44389" s="303" t="s">
        <v>232</v>
      </c>
    </row>
    <row r="44390" spans="119:119" x14ac:dyDescent="0.2">
      <c r="DO44390" s="303" t="s">
        <v>232</v>
      </c>
    </row>
    <row r="44391" spans="119:119" x14ac:dyDescent="0.2">
      <c r="DO44391" s="303" t="s">
        <v>232</v>
      </c>
    </row>
    <row r="44392" spans="119:119" x14ac:dyDescent="0.2">
      <c r="DO44392" s="303" t="s">
        <v>232</v>
      </c>
    </row>
    <row r="44393" spans="119:119" x14ac:dyDescent="0.2">
      <c r="DO44393" s="303" t="s">
        <v>232</v>
      </c>
    </row>
    <row r="44394" spans="119:119" x14ac:dyDescent="0.2">
      <c r="DO44394" s="303" t="s">
        <v>232</v>
      </c>
    </row>
    <row r="44395" spans="119:119" x14ac:dyDescent="0.2">
      <c r="DO44395" s="303" t="s">
        <v>232</v>
      </c>
    </row>
    <row r="44396" spans="119:119" x14ac:dyDescent="0.2">
      <c r="DO44396" s="303" t="s">
        <v>232</v>
      </c>
    </row>
    <row r="44397" spans="119:119" x14ac:dyDescent="0.2">
      <c r="DO44397" s="303" t="s">
        <v>232</v>
      </c>
    </row>
    <row r="44398" spans="119:119" x14ac:dyDescent="0.2">
      <c r="DO44398" s="303" t="s">
        <v>232</v>
      </c>
    </row>
    <row r="44399" spans="119:119" x14ac:dyDescent="0.2">
      <c r="DO44399" s="303" t="s">
        <v>232</v>
      </c>
    </row>
    <row r="44400" spans="119:119" x14ac:dyDescent="0.2">
      <c r="DO44400" s="303" t="s">
        <v>232</v>
      </c>
    </row>
    <row r="44401" spans="119:119" x14ac:dyDescent="0.2">
      <c r="DO44401" s="303" t="s">
        <v>232</v>
      </c>
    </row>
    <row r="44402" spans="119:119" x14ac:dyDescent="0.2">
      <c r="DO44402" s="303" t="s">
        <v>232</v>
      </c>
    </row>
    <row r="44403" spans="119:119" x14ac:dyDescent="0.2">
      <c r="DO44403" s="303" t="s">
        <v>232</v>
      </c>
    </row>
    <row r="44404" spans="119:119" x14ac:dyDescent="0.2">
      <c r="DO44404" s="303" t="s">
        <v>232</v>
      </c>
    </row>
    <row r="44405" spans="119:119" x14ac:dyDescent="0.2">
      <c r="DO44405" s="303" t="s">
        <v>232</v>
      </c>
    </row>
    <row r="44406" spans="119:119" x14ac:dyDescent="0.2">
      <c r="DO44406" s="303" t="s">
        <v>232</v>
      </c>
    </row>
    <row r="44407" spans="119:119" x14ac:dyDescent="0.2">
      <c r="DO44407" s="303" t="s">
        <v>232</v>
      </c>
    </row>
    <row r="44408" spans="119:119" x14ac:dyDescent="0.2">
      <c r="DO44408" s="303" t="s">
        <v>232</v>
      </c>
    </row>
    <row r="44409" spans="119:119" x14ac:dyDescent="0.2">
      <c r="DO44409" s="303" t="s">
        <v>232</v>
      </c>
    </row>
    <row r="44410" spans="119:119" x14ac:dyDescent="0.2">
      <c r="DO44410" s="303" t="s">
        <v>232</v>
      </c>
    </row>
    <row r="44411" spans="119:119" x14ac:dyDescent="0.2">
      <c r="DO44411" s="303" t="s">
        <v>232</v>
      </c>
    </row>
    <row r="44412" spans="119:119" x14ac:dyDescent="0.2">
      <c r="DO44412" s="303" t="s">
        <v>232</v>
      </c>
    </row>
    <row r="44413" spans="119:119" x14ac:dyDescent="0.2">
      <c r="DO44413" s="303" t="s">
        <v>232</v>
      </c>
    </row>
    <row r="44414" spans="119:119" x14ac:dyDescent="0.2">
      <c r="DO44414" s="303" t="s">
        <v>232</v>
      </c>
    </row>
    <row r="44415" spans="119:119" x14ac:dyDescent="0.2">
      <c r="DO44415" s="303" t="s">
        <v>232</v>
      </c>
    </row>
    <row r="44416" spans="119:119" x14ac:dyDescent="0.2">
      <c r="DO44416" s="303" t="s">
        <v>232</v>
      </c>
    </row>
    <row r="44417" spans="119:119" x14ac:dyDescent="0.2">
      <c r="DO44417" s="303" t="s">
        <v>232</v>
      </c>
    </row>
    <row r="44418" spans="119:119" x14ac:dyDescent="0.2">
      <c r="DO44418" s="303" t="s">
        <v>232</v>
      </c>
    </row>
    <row r="44419" spans="119:119" x14ac:dyDescent="0.2">
      <c r="DO44419" s="303" t="s">
        <v>232</v>
      </c>
    </row>
    <row r="44420" spans="119:119" x14ac:dyDescent="0.2">
      <c r="DO44420" s="303" t="s">
        <v>232</v>
      </c>
    </row>
    <row r="44421" spans="119:119" x14ac:dyDescent="0.2">
      <c r="DO44421" s="303" t="s">
        <v>232</v>
      </c>
    </row>
    <row r="44422" spans="119:119" x14ac:dyDescent="0.2">
      <c r="DO44422" s="303" t="s">
        <v>232</v>
      </c>
    </row>
    <row r="44423" spans="119:119" x14ac:dyDescent="0.2">
      <c r="DO44423" s="303" t="s">
        <v>232</v>
      </c>
    </row>
    <row r="44424" spans="119:119" x14ac:dyDescent="0.2">
      <c r="DO44424" s="303" t="s">
        <v>232</v>
      </c>
    </row>
    <row r="44425" spans="119:119" x14ac:dyDescent="0.2">
      <c r="DO44425" s="303" t="s">
        <v>232</v>
      </c>
    </row>
    <row r="44426" spans="119:119" x14ac:dyDescent="0.2">
      <c r="DO44426" s="303" t="s">
        <v>232</v>
      </c>
    </row>
    <row r="44427" spans="119:119" x14ac:dyDescent="0.2">
      <c r="DO44427" s="303" t="s">
        <v>232</v>
      </c>
    </row>
    <row r="44428" spans="119:119" x14ac:dyDescent="0.2">
      <c r="DO44428" s="303" t="s">
        <v>232</v>
      </c>
    </row>
    <row r="44429" spans="119:119" x14ac:dyDescent="0.2">
      <c r="DO44429" s="303" t="s">
        <v>232</v>
      </c>
    </row>
    <row r="44430" spans="119:119" x14ac:dyDescent="0.2">
      <c r="DO44430" s="303" t="s">
        <v>232</v>
      </c>
    </row>
    <row r="44431" spans="119:119" x14ac:dyDescent="0.2">
      <c r="DO44431" s="303" t="s">
        <v>232</v>
      </c>
    </row>
    <row r="44432" spans="119:119" x14ac:dyDescent="0.2">
      <c r="DO44432" s="303" t="s">
        <v>232</v>
      </c>
    </row>
    <row r="44433" spans="119:119" x14ac:dyDescent="0.2">
      <c r="DO44433" s="303" t="s">
        <v>232</v>
      </c>
    </row>
    <row r="44434" spans="119:119" x14ac:dyDescent="0.2">
      <c r="DO44434" s="303" t="s">
        <v>232</v>
      </c>
    </row>
    <row r="44435" spans="119:119" x14ac:dyDescent="0.2">
      <c r="DO44435" s="303" t="s">
        <v>232</v>
      </c>
    </row>
    <row r="44436" spans="119:119" x14ac:dyDescent="0.2">
      <c r="DO44436" s="303" t="s">
        <v>232</v>
      </c>
    </row>
    <row r="44437" spans="119:119" x14ac:dyDescent="0.2">
      <c r="DO44437" s="303" t="s">
        <v>232</v>
      </c>
    </row>
    <row r="44438" spans="119:119" x14ac:dyDescent="0.2">
      <c r="DO44438" s="303" t="s">
        <v>232</v>
      </c>
    </row>
    <row r="44439" spans="119:119" x14ac:dyDescent="0.2">
      <c r="DO44439" s="303" t="s">
        <v>232</v>
      </c>
    </row>
    <row r="44440" spans="119:119" x14ac:dyDescent="0.2">
      <c r="DO44440" s="303" t="s">
        <v>232</v>
      </c>
    </row>
    <row r="44441" spans="119:119" x14ac:dyDescent="0.2">
      <c r="DO44441" s="303" t="s">
        <v>232</v>
      </c>
    </row>
    <row r="44442" spans="119:119" x14ac:dyDescent="0.2">
      <c r="DO44442" s="303" t="s">
        <v>232</v>
      </c>
    </row>
    <row r="44443" spans="119:119" x14ac:dyDescent="0.2">
      <c r="DO44443" s="303" t="s">
        <v>232</v>
      </c>
    </row>
    <row r="44444" spans="119:119" x14ac:dyDescent="0.2">
      <c r="DO44444" s="303" t="s">
        <v>232</v>
      </c>
    </row>
    <row r="44445" spans="119:119" x14ac:dyDescent="0.2">
      <c r="DO44445" s="303" t="s">
        <v>232</v>
      </c>
    </row>
    <row r="44446" spans="119:119" x14ac:dyDescent="0.2">
      <c r="DO44446" s="303" t="s">
        <v>232</v>
      </c>
    </row>
    <row r="44447" spans="119:119" x14ac:dyDescent="0.2">
      <c r="DO44447" s="303" t="s">
        <v>232</v>
      </c>
    </row>
    <row r="44448" spans="119:119" x14ac:dyDescent="0.2">
      <c r="DO44448" s="303" t="s">
        <v>232</v>
      </c>
    </row>
    <row r="44449" spans="119:119" x14ac:dyDescent="0.2">
      <c r="DO44449" s="303" t="s">
        <v>232</v>
      </c>
    </row>
    <row r="44450" spans="119:119" x14ac:dyDescent="0.2">
      <c r="DO44450" s="303" t="s">
        <v>232</v>
      </c>
    </row>
    <row r="44451" spans="119:119" x14ac:dyDescent="0.2">
      <c r="DO44451" s="303" t="s">
        <v>232</v>
      </c>
    </row>
    <row r="44452" spans="119:119" x14ac:dyDescent="0.2">
      <c r="DO44452" s="303" t="s">
        <v>232</v>
      </c>
    </row>
    <row r="44453" spans="119:119" x14ac:dyDescent="0.2">
      <c r="DO44453" s="303" t="s">
        <v>232</v>
      </c>
    </row>
    <row r="44454" spans="119:119" x14ac:dyDescent="0.2">
      <c r="DO44454" s="303" t="s">
        <v>232</v>
      </c>
    </row>
    <row r="44455" spans="119:119" x14ac:dyDescent="0.2">
      <c r="DO44455" s="303" t="s">
        <v>232</v>
      </c>
    </row>
    <row r="44456" spans="119:119" x14ac:dyDescent="0.2">
      <c r="DO44456" s="303" t="s">
        <v>232</v>
      </c>
    </row>
    <row r="44457" spans="119:119" x14ac:dyDescent="0.2">
      <c r="DO44457" s="303" t="s">
        <v>232</v>
      </c>
    </row>
    <row r="44458" spans="119:119" x14ac:dyDescent="0.2">
      <c r="DO44458" s="303" t="s">
        <v>232</v>
      </c>
    </row>
    <row r="44459" spans="119:119" x14ac:dyDescent="0.2">
      <c r="DO44459" s="303" t="s">
        <v>232</v>
      </c>
    </row>
    <row r="44460" spans="119:119" x14ac:dyDescent="0.2">
      <c r="DO44460" s="303" t="s">
        <v>232</v>
      </c>
    </row>
    <row r="44461" spans="119:119" x14ac:dyDescent="0.2">
      <c r="DO44461" s="303" t="s">
        <v>232</v>
      </c>
    </row>
    <row r="44462" spans="119:119" x14ac:dyDescent="0.2">
      <c r="DO44462" s="303" t="s">
        <v>232</v>
      </c>
    </row>
    <row r="44463" spans="119:119" x14ac:dyDescent="0.2">
      <c r="DO44463" s="303" t="s">
        <v>232</v>
      </c>
    </row>
    <row r="44464" spans="119:119" x14ac:dyDescent="0.2">
      <c r="DO44464" s="303" t="s">
        <v>232</v>
      </c>
    </row>
    <row r="44465" spans="119:119" x14ac:dyDescent="0.2">
      <c r="DO44465" s="303" t="s">
        <v>232</v>
      </c>
    </row>
    <row r="44466" spans="119:119" x14ac:dyDescent="0.2">
      <c r="DO44466" s="303" t="s">
        <v>232</v>
      </c>
    </row>
    <row r="44467" spans="119:119" x14ac:dyDescent="0.2">
      <c r="DO44467" s="303" t="s">
        <v>232</v>
      </c>
    </row>
    <row r="44468" spans="119:119" x14ac:dyDescent="0.2">
      <c r="DO44468" s="303" t="s">
        <v>232</v>
      </c>
    </row>
    <row r="44469" spans="119:119" x14ac:dyDescent="0.2">
      <c r="DO44469" s="303" t="s">
        <v>232</v>
      </c>
    </row>
    <row r="44470" spans="119:119" x14ac:dyDescent="0.2">
      <c r="DO44470" s="303" t="s">
        <v>232</v>
      </c>
    </row>
    <row r="44471" spans="119:119" x14ac:dyDescent="0.2">
      <c r="DO44471" s="303" t="s">
        <v>232</v>
      </c>
    </row>
    <row r="44472" spans="119:119" x14ac:dyDescent="0.2">
      <c r="DO44472" s="303" t="s">
        <v>232</v>
      </c>
    </row>
    <row r="44473" spans="119:119" x14ac:dyDescent="0.2">
      <c r="DO44473" s="303" t="s">
        <v>232</v>
      </c>
    </row>
    <row r="44474" spans="119:119" x14ac:dyDescent="0.2">
      <c r="DO44474" s="303" t="s">
        <v>232</v>
      </c>
    </row>
    <row r="44475" spans="119:119" x14ac:dyDescent="0.2">
      <c r="DO44475" s="303" t="s">
        <v>232</v>
      </c>
    </row>
    <row r="44476" spans="119:119" x14ac:dyDescent="0.2">
      <c r="DO44476" s="303" t="s">
        <v>232</v>
      </c>
    </row>
    <row r="44477" spans="119:119" x14ac:dyDescent="0.2">
      <c r="DO44477" s="303" t="s">
        <v>232</v>
      </c>
    </row>
    <row r="44478" spans="119:119" x14ac:dyDescent="0.2">
      <c r="DO44478" s="303" t="s">
        <v>232</v>
      </c>
    </row>
    <row r="44479" spans="119:119" x14ac:dyDescent="0.2">
      <c r="DO44479" s="303" t="s">
        <v>232</v>
      </c>
    </row>
    <row r="44480" spans="119:119" x14ac:dyDescent="0.2">
      <c r="DO44480" s="303" t="s">
        <v>232</v>
      </c>
    </row>
    <row r="44481" spans="119:119" x14ac:dyDescent="0.2">
      <c r="DO44481" s="303" t="s">
        <v>232</v>
      </c>
    </row>
    <row r="44482" spans="119:119" x14ac:dyDescent="0.2">
      <c r="DO44482" s="303" t="s">
        <v>232</v>
      </c>
    </row>
    <row r="44483" spans="119:119" x14ac:dyDescent="0.2">
      <c r="DO44483" s="303" t="s">
        <v>232</v>
      </c>
    </row>
    <row r="44484" spans="119:119" x14ac:dyDescent="0.2">
      <c r="DO44484" s="303" t="s">
        <v>232</v>
      </c>
    </row>
    <row r="44485" spans="119:119" x14ac:dyDescent="0.2">
      <c r="DO44485" s="303" t="s">
        <v>232</v>
      </c>
    </row>
    <row r="44486" spans="119:119" x14ac:dyDescent="0.2">
      <c r="DO44486" s="303" t="s">
        <v>232</v>
      </c>
    </row>
    <row r="44487" spans="119:119" x14ac:dyDescent="0.2">
      <c r="DO44487" s="303" t="s">
        <v>232</v>
      </c>
    </row>
    <row r="44488" spans="119:119" x14ac:dyDescent="0.2">
      <c r="DO44488" s="303" t="s">
        <v>232</v>
      </c>
    </row>
    <row r="44489" spans="119:119" x14ac:dyDescent="0.2">
      <c r="DO44489" s="303" t="s">
        <v>232</v>
      </c>
    </row>
    <row r="44490" spans="119:119" x14ac:dyDescent="0.2">
      <c r="DO44490" s="303" t="s">
        <v>232</v>
      </c>
    </row>
    <row r="44491" spans="119:119" x14ac:dyDescent="0.2">
      <c r="DO44491" s="303" t="s">
        <v>232</v>
      </c>
    </row>
    <row r="44492" spans="119:119" x14ac:dyDescent="0.2">
      <c r="DO44492" s="303" t="s">
        <v>232</v>
      </c>
    </row>
    <row r="44493" spans="119:119" x14ac:dyDescent="0.2">
      <c r="DO44493" s="303" t="s">
        <v>232</v>
      </c>
    </row>
    <row r="44494" spans="119:119" x14ac:dyDescent="0.2">
      <c r="DO44494" s="303" t="s">
        <v>232</v>
      </c>
    </row>
    <row r="44495" spans="119:119" x14ac:dyDescent="0.2">
      <c r="DO44495" s="303" t="s">
        <v>232</v>
      </c>
    </row>
    <row r="44496" spans="119:119" x14ac:dyDescent="0.2">
      <c r="DO44496" s="303" t="s">
        <v>232</v>
      </c>
    </row>
    <row r="44497" spans="119:119" x14ac:dyDescent="0.2">
      <c r="DO44497" s="303" t="s">
        <v>232</v>
      </c>
    </row>
    <row r="44498" spans="119:119" x14ac:dyDescent="0.2">
      <c r="DO44498" s="303" t="s">
        <v>232</v>
      </c>
    </row>
    <row r="44499" spans="119:119" x14ac:dyDescent="0.2">
      <c r="DO44499" s="303" t="s">
        <v>232</v>
      </c>
    </row>
    <row r="44500" spans="119:119" x14ac:dyDescent="0.2">
      <c r="DO44500" s="303" t="s">
        <v>232</v>
      </c>
    </row>
    <row r="44501" spans="119:119" x14ac:dyDescent="0.2">
      <c r="DO44501" s="303" t="s">
        <v>232</v>
      </c>
    </row>
    <row r="44502" spans="119:119" x14ac:dyDescent="0.2">
      <c r="DO44502" s="303" t="s">
        <v>232</v>
      </c>
    </row>
    <row r="44503" spans="119:119" x14ac:dyDescent="0.2">
      <c r="DO44503" s="303" t="s">
        <v>232</v>
      </c>
    </row>
    <row r="44504" spans="119:119" x14ac:dyDescent="0.2">
      <c r="DO44504" s="303" t="s">
        <v>232</v>
      </c>
    </row>
    <row r="44505" spans="119:119" x14ac:dyDescent="0.2">
      <c r="DO44505" s="303" t="s">
        <v>232</v>
      </c>
    </row>
    <row r="44506" spans="119:119" x14ac:dyDescent="0.2">
      <c r="DO44506" s="303" t="s">
        <v>232</v>
      </c>
    </row>
    <row r="44507" spans="119:119" x14ac:dyDescent="0.2">
      <c r="DO44507" s="303" t="s">
        <v>232</v>
      </c>
    </row>
    <row r="44508" spans="119:119" x14ac:dyDescent="0.2">
      <c r="DO44508" s="303" t="s">
        <v>232</v>
      </c>
    </row>
    <row r="44509" spans="119:119" x14ac:dyDescent="0.2">
      <c r="DO44509" s="303" t="s">
        <v>232</v>
      </c>
    </row>
    <row r="44510" spans="119:119" x14ac:dyDescent="0.2">
      <c r="DO44510" s="303" t="s">
        <v>232</v>
      </c>
    </row>
    <row r="44511" spans="119:119" x14ac:dyDescent="0.2">
      <c r="DO44511" s="303" t="s">
        <v>232</v>
      </c>
    </row>
    <row r="44512" spans="119:119" x14ac:dyDescent="0.2">
      <c r="DO44512" s="303" t="s">
        <v>232</v>
      </c>
    </row>
    <row r="44513" spans="119:119" x14ac:dyDescent="0.2">
      <c r="DO44513" s="303" t="s">
        <v>232</v>
      </c>
    </row>
    <row r="44514" spans="119:119" x14ac:dyDescent="0.2">
      <c r="DO44514" s="303" t="s">
        <v>232</v>
      </c>
    </row>
    <row r="44515" spans="119:119" x14ac:dyDescent="0.2">
      <c r="DO44515" s="303" t="s">
        <v>232</v>
      </c>
    </row>
    <row r="44516" spans="119:119" x14ac:dyDescent="0.2">
      <c r="DO44516" s="303" t="s">
        <v>232</v>
      </c>
    </row>
    <row r="44517" spans="119:119" x14ac:dyDescent="0.2">
      <c r="DO44517" s="303" t="s">
        <v>232</v>
      </c>
    </row>
    <row r="44518" spans="119:119" x14ac:dyDescent="0.2">
      <c r="DO44518" s="303" t="s">
        <v>232</v>
      </c>
    </row>
    <row r="44519" spans="119:119" x14ac:dyDescent="0.2">
      <c r="DO44519" s="303" t="s">
        <v>232</v>
      </c>
    </row>
    <row r="44520" spans="119:119" x14ac:dyDescent="0.2">
      <c r="DO44520" s="303" t="s">
        <v>232</v>
      </c>
    </row>
    <row r="44521" spans="119:119" x14ac:dyDescent="0.2">
      <c r="DO44521" s="303" t="s">
        <v>232</v>
      </c>
    </row>
    <row r="44522" spans="119:119" x14ac:dyDescent="0.2">
      <c r="DO44522" s="303" t="s">
        <v>232</v>
      </c>
    </row>
    <row r="44523" spans="119:119" x14ac:dyDescent="0.2">
      <c r="DO44523" s="303" t="s">
        <v>232</v>
      </c>
    </row>
    <row r="44524" spans="119:119" x14ac:dyDescent="0.2">
      <c r="DO44524" s="303" t="s">
        <v>232</v>
      </c>
    </row>
    <row r="44525" spans="119:119" x14ac:dyDescent="0.2">
      <c r="DO44525" s="303" t="s">
        <v>232</v>
      </c>
    </row>
    <row r="44526" spans="119:119" x14ac:dyDescent="0.2">
      <c r="DO44526" s="303" t="s">
        <v>232</v>
      </c>
    </row>
    <row r="44527" spans="119:119" x14ac:dyDescent="0.2">
      <c r="DO44527" s="303" t="s">
        <v>232</v>
      </c>
    </row>
    <row r="44528" spans="119:119" x14ac:dyDescent="0.2">
      <c r="DO44528" s="303" t="s">
        <v>232</v>
      </c>
    </row>
    <row r="44529" spans="119:119" x14ac:dyDescent="0.2">
      <c r="DO44529" s="303" t="s">
        <v>232</v>
      </c>
    </row>
    <row r="44530" spans="119:119" x14ac:dyDescent="0.2">
      <c r="DO44530" s="303" t="s">
        <v>232</v>
      </c>
    </row>
    <row r="44531" spans="119:119" x14ac:dyDescent="0.2">
      <c r="DO44531" s="303" t="s">
        <v>232</v>
      </c>
    </row>
    <row r="44532" spans="119:119" x14ac:dyDescent="0.2">
      <c r="DO44532" s="303" t="s">
        <v>232</v>
      </c>
    </row>
    <row r="44533" spans="119:119" x14ac:dyDescent="0.2">
      <c r="DO44533" s="303" t="s">
        <v>232</v>
      </c>
    </row>
    <row r="44534" spans="119:119" x14ac:dyDescent="0.2">
      <c r="DO44534" s="303" t="s">
        <v>232</v>
      </c>
    </row>
    <row r="44535" spans="119:119" x14ac:dyDescent="0.2">
      <c r="DO44535" s="303" t="s">
        <v>232</v>
      </c>
    </row>
    <row r="44536" spans="119:119" x14ac:dyDescent="0.2">
      <c r="DO44536" s="303" t="s">
        <v>232</v>
      </c>
    </row>
    <row r="44537" spans="119:119" x14ac:dyDescent="0.2">
      <c r="DO44537" s="303" t="s">
        <v>232</v>
      </c>
    </row>
    <row r="44538" spans="119:119" x14ac:dyDescent="0.2">
      <c r="DO44538" s="303" t="s">
        <v>232</v>
      </c>
    </row>
    <row r="44539" spans="119:119" x14ac:dyDescent="0.2">
      <c r="DO44539" s="303" t="s">
        <v>232</v>
      </c>
    </row>
    <row r="44540" spans="119:119" x14ac:dyDescent="0.2">
      <c r="DO44540" s="303" t="s">
        <v>232</v>
      </c>
    </row>
    <row r="44541" spans="119:119" x14ac:dyDescent="0.2">
      <c r="DO44541" s="303" t="s">
        <v>232</v>
      </c>
    </row>
    <row r="44542" spans="119:119" x14ac:dyDescent="0.2">
      <c r="DO44542" s="303" t="s">
        <v>232</v>
      </c>
    </row>
    <row r="44543" spans="119:119" x14ac:dyDescent="0.2">
      <c r="DO44543" s="303" t="s">
        <v>232</v>
      </c>
    </row>
    <row r="44544" spans="119:119" x14ac:dyDescent="0.2">
      <c r="DO44544" s="303" t="s">
        <v>232</v>
      </c>
    </row>
    <row r="44545" spans="119:119" x14ac:dyDescent="0.2">
      <c r="DO44545" s="303" t="s">
        <v>232</v>
      </c>
    </row>
    <row r="44546" spans="119:119" x14ac:dyDescent="0.2">
      <c r="DO44546" s="303" t="s">
        <v>232</v>
      </c>
    </row>
    <row r="44547" spans="119:119" x14ac:dyDescent="0.2">
      <c r="DO44547" s="303" t="s">
        <v>232</v>
      </c>
    </row>
    <row r="44548" spans="119:119" x14ac:dyDescent="0.2">
      <c r="DO44548" s="303" t="s">
        <v>232</v>
      </c>
    </row>
    <row r="44549" spans="119:119" x14ac:dyDescent="0.2">
      <c r="DO44549" s="303" t="s">
        <v>232</v>
      </c>
    </row>
    <row r="44550" spans="119:119" x14ac:dyDescent="0.2">
      <c r="DO44550" s="303" t="s">
        <v>232</v>
      </c>
    </row>
    <row r="44551" spans="119:119" x14ac:dyDescent="0.2">
      <c r="DO44551" s="303" t="s">
        <v>232</v>
      </c>
    </row>
    <row r="44552" spans="119:119" x14ac:dyDescent="0.2">
      <c r="DO44552" s="303" t="s">
        <v>232</v>
      </c>
    </row>
    <row r="44553" spans="119:119" x14ac:dyDescent="0.2">
      <c r="DO44553" s="303" t="s">
        <v>232</v>
      </c>
    </row>
    <row r="44554" spans="119:119" x14ac:dyDescent="0.2">
      <c r="DO44554" s="303" t="s">
        <v>232</v>
      </c>
    </row>
    <row r="44555" spans="119:119" x14ac:dyDescent="0.2">
      <c r="DO44555" s="303" t="s">
        <v>232</v>
      </c>
    </row>
    <row r="44556" spans="119:119" x14ac:dyDescent="0.2">
      <c r="DO44556" s="303" t="s">
        <v>232</v>
      </c>
    </row>
    <row r="44557" spans="119:119" x14ac:dyDescent="0.2">
      <c r="DO44557" s="303" t="s">
        <v>232</v>
      </c>
    </row>
    <row r="44558" spans="119:119" x14ac:dyDescent="0.2">
      <c r="DO44558" s="303" t="s">
        <v>232</v>
      </c>
    </row>
    <row r="44559" spans="119:119" x14ac:dyDescent="0.2">
      <c r="DO44559" s="303" t="s">
        <v>232</v>
      </c>
    </row>
    <row r="44560" spans="119:119" x14ac:dyDescent="0.2">
      <c r="DO44560" s="303" t="s">
        <v>232</v>
      </c>
    </row>
    <row r="44561" spans="119:119" x14ac:dyDescent="0.2">
      <c r="DO44561" s="303" t="s">
        <v>232</v>
      </c>
    </row>
    <row r="44562" spans="119:119" x14ac:dyDescent="0.2">
      <c r="DO44562" s="303" t="s">
        <v>232</v>
      </c>
    </row>
    <row r="44563" spans="119:119" x14ac:dyDescent="0.2">
      <c r="DO44563" s="303" t="s">
        <v>232</v>
      </c>
    </row>
    <row r="44564" spans="119:119" x14ac:dyDescent="0.2">
      <c r="DO44564" s="303" t="s">
        <v>232</v>
      </c>
    </row>
    <row r="44565" spans="119:119" x14ac:dyDescent="0.2">
      <c r="DO44565" s="303" t="s">
        <v>232</v>
      </c>
    </row>
    <row r="44566" spans="119:119" x14ac:dyDescent="0.2">
      <c r="DO44566" s="303" t="s">
        <v>232</v>
      </c>
    </row>
    <row r="44567" spans="119:119" x14ac:dyDescent="0.2">
      <c r="DO44567" s="303" t="s">
        <v>232</v>
      </c>
    </row>
    <row r="44568" spans="119:119" x14ac:dyDescent="0.2">
      <c r="DO44568" s="303" t="s">
        <v>232</v>
      </c>
    </row>
    <row r="44569" spans="119:119" x14ac:dyDescent="0.2">
      <c r="DO44569" s="303" t="s">
        <v>232</v>
      </c>
    </row>
    <row r="44570" spans="119:119" x14ac:dyDescent="0.2">
      <c r="DO44570" s="303" t="s">
        <v>232</v>
      </c>
    </row>
    <row r="44571" spans="119:119" x14ac:dyDescent="0.2">
      <c r="DO44571" s="303" t="s">
        <v>232</v>
      </c>
    </row>
    <row r="44572" spans="119:119" x14ac:dyDescent="0.2">
      <c r="DO44572" s="303" t="s">
        <v>232</v>
      </c>
    </row>
    <row r="44573" spans="119:119" x14ac:dyDescent="0.2">
      <c r="DO44573" s="303" t="s">
        <v>232</v>
      </c>
    </row>
    <row r="44574" spans="119:119" x14ac:dyDescent="0.2">
      <c r="DO44574" s="303" t="s">
        <v>232</v>
      </c>
    </row>
    <row r="44575" spans="119:119" x14ac:dyDescent="0.2">
      <c r="DO44575" s="303" t="s">
        <v>232</v>
      </c>
    </row>
    <row r="44576" spans="119:119" x14ac:dyDescent="0.2">
      <c r="DO44576" s="303" t="s">
        <v>232</v>
      </c>
    </row>
    <row r="44577" spans="119:119" x14ac:dyDescent="0.2">
      <c r="DO44577" s="303" t="s">
        <v>232</v>
      </c>
    </row>
    <row r="44578" spans="119:119" x14ac:dyDescent="0.2">
      <c r="DO44578" s="303" t="s">
        <v>232</v>
      </c>
    </row>
    <row r="44579" spans="119:119" x14ac:dyDescent="0.2">
      <c r="DO44579" s="303" t="s">
        <v>232</v>
      </c>
    </row>
    <row r="44580" spans="119:119" x14ac:dyDescent="0.2">
      <c r="DO44580" s="303" t="s">
        <v>232</v>
      </c>
    </row>
    <row r="44581" spans="119:119" x14ac:dyDescent="0.2">
      <c r="DO44581" s="303" t="s">
        <v>232</v>
      </c>
    </row>
    <row r="44582" spans="119:119" x14ac:dyDescent="0.2">
      <c r="DO44582" s="303" t="s">
        <v>232</v>
      </c>
    </row>
    <row r="44583" spans="119:119" x14ac:dyDescent="0.2">
      <c r="DO44583" s="303" t="s">
        <v>232</v>
      </c>
    </row>
    <row r="44584" spans="119:119" x14ac:dyDescent="0.2">
      <c r="DO44584" s="303" t="s">
        <v>232</v>
      </c>
    </row>
    <row r="44585" spans="119:119" x14ac:dyDescent="0.2">
      <c r="DO44585" s="303" t="s">
        <v>232</v>
      </c>
    </row>
    <row r="44586" spans="119:119" x14ac:dyDescent="0.2">
      <c r="DO44586" s="303" t="s">
        <v>232</v>
      </c>
    </row>
    <row r="44587" spans="119:119" x14ac:dyDescent="0.2">
      <c r="DO44587" s="303" t="s">
        <v>232</v>
      </c>
    </row>
    <row r="44588" spans="119:119" x14ac:dyDescent="0.2">
      <c r="DO44588" s="303" t="s">
        <v>232</v>
      </c>
    </row>
    <row r="44589" spans="119:119" x14ac:dyDescent="0.2">
      <c r="DO44589" s="303" t="s">
        <v>232</v>
      </c>
    </row>
    <row r="44590" spans="119:119" x14ac:dyDescent="0.2">
      <c r="DO44590" s="303" t="s">
        <v>232</v>
      </c>
    </row>
    <row r="44591" spans="119:119" x14ac:dyDescent="0.2">
      <c r="DO44591" s="303" t="s">
        <v>232</v>
      </c>
    </row>
    <row r="44592" spans="119:119" x14ac:dyDescent="0.2">
      <c r="DO44592" s="303" t="s">
        <v>232</v>
      </c>
    </row>
    <row r="44593" spans="119:119" x14ac:dyDescent="0.2">
      <c r="DO44593" s="303" t="s">
        <v>232</v>
      </c>
    </row>
    <row r="44594" spans="119:119" x14ac:dyDescent="0.2">
      <c r="DO44594" s="303" t="s">
        <v>232</v>
      </c>
    </row>
    <row r="44595" spans="119:119" x14ac:dyDescent="0.2">
      <c r="DO44595" s="303" t="s">
        <v>232</v>
      </c>
    </row>
    <row r="44596" spans="119:119" x14ac:dyDescent="0.2">
      <c r="DO44596" s="303" t="s">
        <v>232</v>
      </c>
    </row>
    <row r="44597" spans="119:119" x14ac:dyDescent="0.2">
      <c r="DO44597" s="303" t="s">
        <v>232</v>
      </c>
    </row>
    <row r="44598" spans="119:119" x14ac:dyDescent="0.2">
      <c r="DO44598" s="303" t="s">
        <v>232</v>
      </c>
    </row>
    <row r="44599" spans="119:119" x14ac:dyDescent="0.2">
      <c r="DO44599" s="303" t="s">
        <v>232</v>
      </c>
    </row>
    <row r="44600" spans="119:119" x14ac:dyDescent="0.2">
      <c r="DO44600" s="303" t="s">
        <v>232</v>
      </c>
    </row>
    <row r="44601" spans="119:119" x14ac:dyDescent="0.2">
      <c r="DO44601" s="303" t="s">
        <v>232</v>
      </c>
    </row>
    <row r="44602" spans="119:119" x14ac:dyDescent="0.2">
      <c r="DO44602" s="303" t="s">
        <v>232</v>
      </c>
    </row>
    <row r="44603" spans="119:119" x14ac:dyDescent="0.2">
      <c r="DO44603" s="303" t="s">
        <v>232</v>
      </c>
    </row>
    <row r="44604" spans="119:119" x14ac:dyDescent="0.2">
      <c r="DO44604" s="303" t="s">
        <v>232</v>
      </c>
    </row>
    <row r="44605" spans="119:119" x14ac:dyDescent="0.2">
      <c r="DO44605" s="303" t="s">
        <v>232</v>
      </c>
    </row>
    <row r="44606" spans="119:119" x14ac:dyDescent="0.2">
      <c r="DO44606" s="303" t="s">
        <v>232</v>
      </c>
    </row>
    <row r="44607" spans="119:119" x14ac:dyDescent="0.2">
      <c r="DO44607" s="303" t="s">
        <v>232</v>
      </c>
    </row>
    <row r="44608" spans="119:119" x14ac:dyDescent="0.2">
      <c r="DO44608" s="303" t="s">
        <v>232</v>
      </c>
    </row>
    <row r="44609" spans="119:119" x14ac:dyDescent="0.2">
      <c r="DO44609" s="303" t="s">
        <v>232</v>
      </c>
    </row>
    <row r="44610" spans="119:119" x14ac:dyDescent="0.2">
      <c r="DO44610" s="303" t="s">
        <v>232</v>
      </c>
    </row>
    <row r="44611" spans="119:119" x14ac:dyDescent="0.2">
      <c r="DO44611" s="303" t="s">
        <v>232</v>
      </c>
    </row>
    <row r="44612" spans="119:119" x14ac:dyDescent="0.2">
      <c r="DO44612" s="303" t="s">
        <v>232</v>
      </c>
    </row>
    <row r="44613" spans="119:119" x14ac:dyDescent="0.2">
      <c r="DO44613" s="303" t="s">
        <v>232</v>
      </c>
    </row>
    <row r="44614" spans="119:119" x14ac:dyDescent="0.2">
      <c r="DO44614" s="303" t="s">
        <v>232</v>
      </c>
    </row>
    <row r="44615" spans="119:119" x14ac:dyDescent="0.2">
      <c r="DO44615" s="303" t="s">
        <v>232</v>
      </c>
    </row>
    <row r="44616" spans="119:119" x14ac:dyDescent="0.2">
      <c r="DO44616" s="303" t="s">
        <v>232</v>
      </c>
    </row>
    <row r="44617" spans="119:119" x14ac:dyDescent="0.2">
      <c r="DO44617" s="303" t="s">
        <v>232</v>
      </c>
    </row>
    <row r="44618" spans="119:119" x14ac:dyDescent="0.2">
      <c r="DO44618" s="303" t="s">
        <v>232</v>
      </c>
    </row>
    <row r="44619" spans="119:119" x14ac:dyDescent="0.2">
      <c r="DO44619" s="303" t="s">
        <v>232</v>
      </c>
    </row>
    <row r="44620" spans="119:119" x14ac:dyDescent="0.2">
      <c r="DO44620" s="303" t="s">
        <v>232</v>
      </c>
    </row>
    <row r="44621" spans="119:119" x14ac:dyDescent="0.2">
      <c r="DO44621" s="303" t="s">
        <v>232</v>
      </c>
    </row>
    <row r="44622" spans="119:119" x14ac:dyDescent="0.2">
      <c r="DO44622" s="303" t="s">
        <v>232</v>
      </c>
    </row>
    <row r="44623" spans="119:119" x14ac:dyDescent="0.2">
      <c r="DO44623" s="303" t="s">
        <v>232</v>
      </c>
    </row>
    <row r="44624" spans="119:119" x14ac:dyDescent="0.2">
      <c r="DO44624" s="303" t="s">
        <v>232</v>
      </c>
    </row>
    <row r="44625" spans="119:119" x14ac:dyDescent="0.2">
      <c r="DO44625" s="303" t="s">
        <v>232</v>
      </c>
    </row>
    <row r="44626" spans="119:119" x14ac:dyDescent="0.2">
      <c r="DO44626" s="303" t="s">
        <v>232</v>
      </c>
    </row>
    <row r="44627" spans="119:119" x14ac:dyDescent="0.2">
      <c r="DO44627" s="303" t="s">
        <v>232</v>
      </c>
    </row>
    <row r="44628" spans="119:119" x14ac:dyDescent="0.2">
      <c r="DO44628" s="303" t="s">
        <v>232</v>
      </c>
    </row>
    <row r="44629" spans="119:119" x14ac:dyDescent="0.2">
      <c r="DO44629" s="303" t="s">
        <v>232</v>
      </c>
    </row>
    <row r="44630" spans="119:119" x14ac:dyDescent="0.2">
      <c r="DO44630" s="303" t="s">
        <v>232</v>
      </c>
    </row>
    <row r="44631" spans="119:119" x14ac:dyDescent="0.2">
      <c r="DO44631" s="303" t="s">
        <v>232</v>
      </c>
    </row>
    <row r="44632" spans="119:119" x14ac:dyDescent="0.2">
      <c r="DO44632" s="303" t="s">
        <v>232</v>
      </c>
    </row>
    <row r="44633" spans="119:119" x14ac:dyDescent="0.2">
      <c r="DO44633" s="303" t="s">
        <v>232</v>
      </c>
    </row>
    <row r="44634" spans="119:119" x14ac:dyDescent="0.2">
      <c r="DO44634" s="303" t="s">
        <v>232</v>
      </c>
    </row>
    <row r="44635" spans="119:119" x14ac:dyDescent="0.2">
      <c r="DO44635" s="303" t="s">
        <v>232</v>
      </c>
    </row>
    <row r="44636" spans="119:119" x14ac:dyDescent="0.2">
      <c r="DO44636" s="303" t="s">
        <v>232</v>
      </c>
    </row>
    <row r="44637" spans="119:119" x14ac:dyDescent="0.2">
      <c r="DO44637" s="303" t="s">
        <v>232</v>
      </c>
    </row>
    <row r="44638" spans="119:119" x14ac:dyDescent="0.2">
      <c r="DO44638" s="303" t="s">
        <v>232</v>
      </c>
    </row>
    <row r="44639" spans="119:119" x14ac:dyDescent="0.2">
      <c r="DO44639" s="303" t="s">
        <v>232</v>
      </c>
    </row>
    <row r="44640" spans="119:119" x14ac:dyDescent="0.2">
      <c r="DO44640" s="303" t="s">
        <v>232</v>
      </c>
    </row>
    <row r="44641" spans="119:119" x14ac:dyDescent="0.2">
      <c r="DO44641" s="303" t="s">
        <v>232</v>
      </c>
    </row>
    <row r="44642" spans="119:119" x14ac:dyDescent="0.2">
      <c r="DO44642" s="303" t="s">
        <v>232</v>
      </c>
    </row>
    <row r="44643" spans="119:119" x14ac:dyDescent="0.2">
      <c r="DO44643" s="303" t="s">
        <v>232</v>
      </c>
    </row>
    <row r="44644" spans="119:119" x14ac:dyDescent="0.2">
      <c r="DO44644" s="303" t="s">
        <v>232</v>
      </c>
    </row>
    <row r="44645" spans="119:119" x14ac:dyDescent="0.2">
      <c r="DO44645" s="303" t="s">
        <v>232</v>
      </c>
    </row>
    <row r="44646" spans="119:119" x14ac:dyDescent="0.2">
      <c r="DO44646" s="303" t="s">
        <v>232</v>
      </c>
    </row>
    <row r="44647" spans="119:119" x14ac:dyDescent="0.2">
      <c r="DO44647" s="303" t="s">
        <v>232</v>
      </c>
    </row>
    <row r="44648" spans="119:119" x14ac:dyDescent="0.2">
      <c r="DO44648" s="303" t="s">
        <v>232</v>
      </c>
    </row>
    <row r="44649" spans="119:119" x14ac:dyDescent="0.2">
      <c r="DO44649" s="303" t="s">
        <v>232</v>
      </c>
    </row>
    <row r="44650" spans="119:119" x14ac:dyDescent="0.2">
      <c r="DO44650" s="303" t="s">
        <v>232</v>
      </c>
    </row>
    <row r="44651" spans="119:119" x14ac:dyDescent="0.2">
      <c r="DO44651" s="303" t="s">
        <v>232</v>
      </c>
    </row>
    <row r="44652" spans="119:119" x14ac:dyDescent="0.2">
      <c r="DO44652" s="303" t="s">
        <v>232</v>
      </c>
    </row>
    <row r="44653" spans="119:119" x14ac:dyDescent="0.2">
      <c r="DO44653" s="303" t="s">
        <v>232</v>
      </c>
    </row>
    <row r="44654" spans="119:119" x14ac:dyDescent="0.2">
      <c r="DO44654" s="303" t="s">
        <v>232</v>
      </c>
    </row>
    <row r="44655" spans="119:119" x14ac:dyDescent="0.2">
      <c r="DO44655" s="303" t="s">
        <v>232</v>
      </c>
    </row>
    <row r="44656" spans="119:119" x14ac:dyDescent="0.2">
      <c r="DO44656" s="303" t="s">
        <v>232</v>
      </c>
    </row>
    <row r="44657" spans="119:119" x14ac:dyDescent="0.2">
      <c r="DO44657" s="303" t="s">
        <v>232</v>
      </c>
    </row>
    <row r="44658" spans="119:119" x14ac:dyDescent="0.2">
      <c r="DO44658" s="303" t="s">
        <v>232</v>
      </c>
    </row>
    <row r="44659" spans="119:119" x14ac:dyDescent="0.2">
      <c r="DO44659" s="303" t="s">
        <v>232</v>
      </c>
    </row>
    <row r="44660" spans="119:119" x14ac:dyDescent="0.2">
      <c r="DO44660" s="303" t="s">
        <v>232</v>
      </c>
    </row>
    <row r="44661" spans="119:119" x14ac:dyDescent="0.2">
      <c r="DO44661" s="303" t="s">
        <v>232</v>
      </c>
    </row>
    <row r="44662" spans="119:119" x14ac:dyDescent="0.2">
      <c r="DO44662" s="303" t="s">
        <v>232</v>
      </c>
    </row>
    <row r="44663" spans="119:119" x14ac:dyDescent="0.2">
      <c r="DO44663" s="303" t="s">
        <v>232</v>
      </c>
    </row>
    <row r="44664" spans="119:119" x14ac:dyDescent="0.2">
      <c r="DO44664" s="303" t="s">
        <v>232</v>
      </c>
    </row>
    <row r="44665" spans="119:119" x14ac:dyDescent="0.2">
      <c r="DO44665" s="303" t="s">
        <v>232</v>
      </c>
    </row>
    <row r="44666" spans="119:119" x14ac:dyDescent="0.2">
      <c r="DO44666" s="303" t="s">
        <v>232</v>
      </c>
    </row>
    <row r="44667" spans="119:119" x14ac:dyDescent="0.2">
      <c r="DO44667" s="303" t="s">
        <v>232</v>
      </c>
    </row>
    <row r="44668" spans="119:119" x14ac:dyDescent="0.2">
      <c r="DO44668" s="303" t="s">
        <v>232</v>
      </c>
    </row>
    <row r="44669" spans="119:119" x14ac:dyDescent="0.2">
      <c r="DO44669" s="303" t="s">
        <v>232</v>
      </c>
    </row>
    <row r="44670" spans="119:119" x14ac:dyDescent="0.2">
      <c r="DO44670" s="303" t="s">
        <v>232</v>
      </c>
    </row>
    <row r="44671" spans="119:119" x14ac:dyDescent="0.2">
      <c r="DO44671" s="303" t="s">
        <v>232</v>
      </c>
    </row>
    <row r="44672" spans="119:119" x14ac:dyDescent="0.2">
      <c r="DO44672" s="303" t="s">
        <v>232</v>
      </c>
    </row>
    <row r="44673" spans="119:119" x14ac:dyDescent="0.2">
      <c r="DO44673" s="303" t="s">
        <v>232</v>
      </c>
    </row>
    <row r="44674" spans="119:119" x14ac:dyDescent="0.2">
      <c r="DO44674" s="303" t="s">
        <v>232</v>
      </c>
    </row>
    <row r="44675" spans="119:119" x14ac:dyDescent="0.2">
      <c r="DO44675" s="303" t="s">
        <v>232</v>
      </c>
    </row>
    <row r="44676" spans="119:119" x14ac:dyDescent="0.2">
      <c r="DO44676" s="303" t="s">
        <v>232</v>
      </c>
    </row>
    <row r="44677" spans="119:119" x14ac:dyDescent="0.2">
      <c r="DO44677" s="303" t="s">
        <v>232</v>
      </c>
    </row>
    <row r="44678" spans="119:119" x14ac:dyDescent="0.2">
      <c r="DO44678" s="303" t="s">
        <v>232</v>
      </c>
    </row>
    <row r="44679" spans="119:119" x14ac:dyDescent="0.2">
      <c r="DO44679" s="303" t="s">
        <v>232</v>
      </c>
    </row>
    <row r="44680" spans="119:119" x14ac:dyDescent="0.2">
      <c r="DO44680" s="303" t="s">
        <v>232</v>
      </c>
    </row>
    <row r="44681" spans="119:119" x14ac:dyDescent="0.2">
      <c r="DO44681" s="303" t="s">
        <v>232</v>
      </c>
    </row>
    <row r="44682" spans="119:119" x14ac:dyDescent="0.2">
      <c r="DO44682" s="303" t="s">
        <v>232</v>
      </c>
    </row>
    <row r="44683" spans="119:119" x14ac:dyDescent="0.2">
      <c r="DO44683" s="303" t="s">
        <v>232</v>
      </c>
    </row>
    <row r="44684" spans="119:119" x14ac:dyDescent="0.2">
      <c r="DO44684" s="303" t="s">
        <v>232</v>
      </c>
    </row>
    <row r="44685" spans="119:119" x14ac:dyDescent="0.2">
      <c r="DO44685" s="303" t="s">
        <v>232</v>
      </c>
    </row>
    <row r="44686" spans="119:119" x14ac:dyDescent="0.2">
      <c r="DO44686" s="303" t="s">
        <v>232</v>
      </c>
    </row>
    <row r="44687" spans="119:119" x14ac:dyDescent="0.2">
      <c r="DO44687" s="303" t="s">
        <v>232</v>
      </c>
    </row>
    <row r="44688" spans="119:119" x14ac:dyDescent="0.2">
      <c r="DO44688" s="303" t="s">
        <v>232</v>
      </c>
    </row>
    <row r="44689" spans="119:119" x14ac:dyDescent="0.2">
      <c r="DO44689" s="303" t="s">
        <v>232</v>
      </c>
    </row>
    <row r="44690" spans="119:119" x14ac:dyDescent="0.2">
      <c r="DO44690" s="303" t="s">
        <v>232</v>
      </c>
    </row>
    <row r="44691" spans="119:119" x14ac:dyDescent="0.2">
      <c r="DO44691" s="303" t="s">
        <v>232</v>
      </c>
    </row>
    <row r="44692" spans="119:119" x14ac:dyDescent="0.2">
      <c r="DO44692" s="303" t="s">
        <v>232</v>
      </c>
    </row>
    <row r="44693" spans="119:119" x14ac:dyDescent="0.2">
      <c r="DO44693" s="303" t="s">
        <v>232</v>
      </c>
    </row>
    <row r="44694" spans="119:119" x14ac:dyDescent="0.2">
      <c r="DO44694" s="303" t="s">
        <v>232</v>
      </c>
    </row>
    <row r="44695" spans="119:119" x14ac:dyDescent="0.2">
      <c r="DO44695" s="303" t="s">
        <v>232</v>
      </c>
    </row>
    <row r="44696" spans="119:119" x14ac:dyDescent="0.2">
      <c r="DO44696" s="303" t="s">
        <v>232</v>
      </c>
    </row>
    <row r="44697" spans="119:119" x14ac:dyDescent="0.2">
      <c r="DO44697" s="303" t="s">
        <v>232</v>
      </c>
    </row>
    <row r="44698" spans="119:119" x14ac:dyDescent="0.2">
      <c r="DO44698" s="303" t="s">
        <v>232</v>
      </c>
    </row>
    <row r="44699" spans="119:119" x14ac:dyDescent="0.2">
      <c r="DO44699" s="303" t="s">
        <v>232</v>
      </c>
    </row>
    <row r="44700" spans="119:119" x14ac:dyDescent="0.2">
      <c r="DO44700" s="303" t="s">
        <v>232</v>
      </c>
    </row>
    <row r="44701" spans="119:119" x14ac:dyDescent="0.2">
      <c r="DO44701" s="303" t="s">
        <v>232</v>
      </c>
    </row>
    <row r="44702" spans="119:119" x14ac:dyDescent="0.2">
      <c r="DO44702" s="303" t="s">
        <v>232</v>
      </c>
    </row>
    <row r="44703" spans="119:119" x14ac:dyDescent="0.2">
      <c r="DO44703" s="303" t="s">
        <v>232</v>
      </c>
    </row>
    <row r="44704" spans="119:119" x14ac:dyDescent="0.2">
      <c r="DO44704" s="303" t="s">
        <v>232</v>
      </c>
    </row>
    <row r="44705" spans="119:119" x14ac:dyDescent="0.2">
      <c r="DO44705" s="303" t="s">
        <v>232</v>
      </c>
    </row>
    <row r="44706" spans="119:119" x14ac:dyDescent="0.2">
      <c r="DO44706" s="303" t="s">
        <v>232</v>
      </c>
    </row>
    <row r="44707" spans="119:119" x14ac:dyDescent="0.2">
      <c r="DO44707" s="303" t="s">
        <v>232</v>
      </c>
    </row>
    <row r="44708" spans="119:119" x14ac:dyDescent="0.2">
      <c r="DO44708" s="303" t="s">
        <v>232</v>
      </c>
    </row>
    <row r="44709" spans="119:119" x14ac:dyDescent="0.2">
      <c r="DO44709" s="303" t="s">
        <v>232</v>
      </c>
    </row>
    <row r="44710" spans="119:119" x14ac:dyDescent="0.2">
      <c r="DO44710" s="303" t="s">
        <v>232</v>
      </c>
    </row>
    <row r="44711" spans="119:119" x14ac:dyDescent="0.2">
      <c r="DO44711" s="303" t="s">
        <v>232</v>
      </c>
    </row>
    <row r="44712" spans="119:119" x14ac:dyDescent="0.2">
      <c r="DO44712" s="303" t="s">
        <v>232</v>
      </c>
    </row>
    <row r="44713" spans="119:119" x14ac:dyDescent="0.2">
      <c r="DO44713" s="303" t="s">
        <v>232</v>
      </c>
    </row>
    <row r="44714" spans="119:119" x14ac:dyDescent="0.2">
      <c r="DO44714" s="303" t="s">
        <v>232</v>
      </c>
    </row>
    <row r="44715" spans="119:119" x14ac:dyDescent="0.2">
      <c r="DO44715" s="303" t="s">
        <v>232</v>
      </c>
    </row>
    <row r="44716" spans="119:119" x14ac:dyDescent="0.2">
      <c r="DO44716" s="303" t="s">
        <v>232</v>
      </c>
    </row>
    <row r="44717" spans="119:119" x14ac:dyDescent="0.2">
      <c r="DO44717" s="303" t="s">
        <v>232</v>
      </c>
    </row>
    <row r="44718" spans="119:119" x14ac:dyDescent="0.2">
      <c r="DO44718" s="303" t="s">
        <v>232</v>
      </c>
    </row>
    <row r="44719" spans="119:119" x14ac:dyDescent="0.2">
      <c r="DO44719" s="303" t="s">
        <v>232</v>
      </c>
    </row>
    <row r="44720" spans="119:119" x14ac:dyDescent="0.2">
      <c r="DO44720" s="303" t="s">
        <v>232</v>
      </c>
    </row>
    <row r="44721" spans="119:119" x14ac:dyDescent="0.2">
      <c r="DO44721" s="303" t="s">
        <v>232</v>
      </c>
    </row>
    <row r="44722" spans="119:119" x14ac:dyDescent="0.2">
      <c r="DO44722" s="303" t="s">
        <v>232</v>
      </c>
    </row>
    <row r="44723" spans="119:119" x14ac:dyDescent="0.2">
      <c r="DO44723" s="303" t="s">
        <v>232</v>
      </c>
    </row>
    <row r="44724" spans="119:119" x14ac:dyDescent="0.2">
      <c r="DO44724" s="303" t="s">
        <v>232</v>
      </c>
    </row>
    <row r="44725" spans="119:119" x14ac:dyDescent="0.2">
      <c r="DO44725" s="303" t="s">
        <v>232</v>
      </c>
    </row>
    <row r="44726" spans="119:119" x14ac:dyDescent="0.2">
      <c r="DO44726" s="303" t="s">
        <v>232</v>
      </c>
    </row>
    <row r="44727" spans="119:119" x14ac:dyDescent="0.2">
      <c r="DO44727" s="303" t="s">
        <v>232</v>
      </c>
    </row>
    <row r="44728" spans="119:119" x14ac:dyDescent="0.2">
      <c r="DO44728" s="303" t="s">
        <v>232</v>
      </c>
    </row>
    <row r="44729" spans="119:119" x14ac:dyDescent="0.2">
      <c r="DO44729" s="303" t="s">
        <v>232</v>
      </c>
    </row>
    <row r="44730" spans="119:119" x14ac:dyDescent="0.2">
      <c r="DO44730" s="303" t="s">
        <v>232</v>
      </c>
    </row>
    <row r="44731" spans="119:119" x14ac:dyDescent="0.2">
      <c r="DO44731" s="303" t="s">
        <v>232</v>
      </c>
    </row>
    <row r="44732" spans="119:119" x14ac:dyDescent="0.2">
      <c r="DO44732" s="303" t="s">
        <v>232</v>
      </c>
    </row>
    <row r="44733" spans="119:119" x14ac:dyDescent="0.2">
      <c r="DO44733" s="303" t="s">
        <v>232</v>
      </c>
    </row>
    <row r="44734" spans="119:119" x14ac:dyDescent="0.2">
      <c r="DO44734" s="303" t="s">
        <v>232</v>
      </c>
    </row>
    <row r="44735" spans="119:119" x14ac:dyDescent="0.2">
      <c r="DO44735" s="303" t="s">
        <v>232</v>
      </c>
    </row>
    <row r="44736" spans="119:119" x14ac:dyDescent="0.2">
      <c r="DO44736" s="303" t="s">
        <v>232</v>
      </c>
    </row>
    <row r="44737" spans="119:119" x14ac:dyDescent="0.2">
      <c r="DO44737" s="303" t="s">
        <v>232</v>
      </c>
    </row>
    <row r="44738" spans="119:119" x14ac:dyDescent="0.2">
      <c r="DO44738" s="303" t="s">
        <v>232</v>
      </c>
    </row>
    <row r="44739" spans="119:119" x14ac:dyDescent="0.2">
      <c r="DO44739" s="303" t="s">
        <v>232</v>
      </c>
    </row>
    <row r="44740" spans="119:119" x14ac:dyDescent="0.2">
      <c r="DO44740" s="303" t="s">
        <v>232</v>
      </c>
    </row>
    <row r="44741" spans="119:119" x14ac:dyDescent="0.2">
      <c r="DO44741" s="303" t="s">
        <v>232</v>
      </c>
    </row>
    <row r="44742" spans="119:119" x14ac:dyDescent="0.2">
      <c r="DO44742" s="303" t="s">
        <v>232</v>
      </c>
    </row>
    <row r="44743" spans="119:119" x14ac:dyDescent="0.2">
      <c r="DO44743" s="303" t="s">
        <v>232</v>
      </c>
    </row>
    <row r="44744" spans="119:119" x14ac:dyDescent="0.2">
      <c r="DO44744" s="303" t="s">
        <v>232</v>
      </c>
    </row>
    <row r="44745" spans="119:119" x14ac:dyDescent="0.2">
      <c r="DO44745" s="303" t="s">
        <v>232</v>
      </c>
    </row>
    <row r="44746" spans="119:119" x14ac:dyDescent="0.2">
      <c r="DO44746" s="303" t="s">
        <v>232</v>
      </c>
    </row>
    <row r="44747" spans="119:119" x14ac:dyDescent="0.2">
      <c r="DO44747" s="303" t="s">
        <v>232</v>
      </c>
    </row>
    <row r="44748" spans="119:119" x14ac:dyDescent="0.2">
      <c r="DO44748" s="303" t="s">
        <v>232</v>
      </c>
    </row>
    <row r="44749" spans="119:119" x14ac:dyDescent="0.2">
      <c r="DO44749" s="303" t="s">
        <v>232</v>
      </c>
    </row>
    <row r="44750" spans="119:119" x14ac:dyDescent="0.2">
      <c r="DO44750" s="303" t="s">
        <v>232</v>
      </c>
    </row>
    <row r="44751" spans="119:119" x14ac:dyDescent="0.2">
      <c r="DO44751" s="303" t="s">
        <v>232</v>
      </c>
    </row>
    <row r="44752" spans="119:119" x14ac:dyDescent="0.2">
      <c r="DO44752" s="303" t="s">
        <v>232</v>
      </c>
    </row>
    <row r="44753" spans="119:119" x14ac:dyDescent="0.2">
      <c r="DO44753" s="303" t="s">
        <v>232</v>
      </c>
    </row>
    <row r="44754" spans="119:119" x14ac:dyDescent="0.2">
      <c r="DO44754" s="303" t="s">
        <v>232</v>
      </c>
    </row>
    <row r="44755" spans="119:119" x14ac:dyDescent="0.2">
      <c r="DO44755" s="303" t="s">
        <v>232</v>
      </c>
    </row>
    <row r="44756" spans="119:119" x14ac:dyDescent="0.2">
      <c r="DO44756" s="303" t="s">
        <v>232</v>
      </c>
    </row>
    <row r="44757" spans="119:119" x14ac:dyDescent="0.2">
      <c r="DO44757" s="303" t="s">
        <v>232</v>
      </c>
    </row>
    <row r="44758" spans="119:119" x14ac:dyDescent="0.2">
      <c r="DO44758" s="303" t="s">
        <v>232</v>
      </c>
    </row>
    <row r="44759" spans="119:119" x14ac:dyDescent="0.2">
      <c r="DO44759" s="303" t="s">
        <v>232</v>
      </c>
    </row>
    <row r="44760" spans="119:119" x14ac:dyDescent="0.2">
      <c r="DO44760" s="303" t="s">
        <v>232</v>
      </c>
    </row>
    <row r="44761" spans="119:119" x14ac:dyDescent="0.2">
      <c r="DO44761" s="303" t="s">
        <v>232</v>
      </c>
    </row>
    <row r="44762" spans="119:119" x14ac:dyDescent="0.2">
      <c r="DO44762" s="303" t="s">
        <v>232</v>
      </c>
    </row>
    <row r="44763" spans="119:119" x14ac:dyDescent="0.2">
      <c r="DO44763" s="303" t="s">
        <v>232</v>
      </c>
    </row>
    <row r="44764" spans="119:119" x14ac:dyDescent="0.2">
      <c r="DO44764" s="303" t="s">
        <v>232</v>
      </c>
    </row>
    <row r="44765" spans="119:119" x14ac:dyDescent="0.2">
      <c r="DO44765" s="303" t="s">
        <v>232</v>
      </c>
    </row>
    <row r="44766" spans="119:119" x14ac:dyDescent="0.2">
      <c r="DO44766" s="303" t="s">
        <v>232</v>
      </c>
    </row>
    <row r="44767" spans="119:119" x14ac:dyDescent="0.2">
      <c r="DO44767" s="303" t="s">
        <v>232</v>
      </c>
    </row>
    <row r="44768" spans="119:119" x14ac:dyDescent="0.2">
      <c r="DO44768" s="303" t="s">
        <v>232</v>
      </c>
    </row>
    <row r="44769" spans="119:119" x14ac:dyDescent="0.2">
      <c r="DO44769" s="303" t="s">
        <v>232</v>
      </c>
    </row>
    <row r="44770" spans="119:119" x14ac:dyDescent="0.2">
      <c r="DO44770" s="303" t="s">
        <v>232</v>
      </c>
    </row>
    <row r="44771" spans="119:119" x14ac:dyDescent="0.2">
      <c r="DO44771" s="303" t="s">
        <v>232</v>
      </c>
    </row>
    <row r="44772" spans="119:119" x14ac:dyDescent="0.2">
      <c r="DO44772" s="303" t="s">
        <v>232</v>
      </c>
    </row>
    <row r="44773" spans="119:119" x14ac:dyDescent="0.2">
      <c r="DO44773" s="303" t="s">
        <v>232</v>
      </c>
    </row>
    <row r="44774" spans="119:119" x14ac:dyDescent="0.2">
      <c r="DO44774" s="303" t="s">
        <v>232</v>
      </c>
    </row>
    <row r="44775" spans="119:119" x14ac:dyDescent="0.2">
      <c r="DO44775" s="303" t="s">
        <v>232</v>
      </c>
    </row>
    <row r="44776" spans="119:119" x14ac:dyDescent="0.2">
      <c r="DO44776" s="303" t="s">
        <v>232</v>
      </c>
    </row>
    <row r="44777" spans="119:119" x14ac:dyDescent="0.2">
      <c r="DO44777" s="303" t="s">
        <v>232</v>
      </c>
    </row>
    <row r="44778" spans="119:119" x14ac:dyDescent="0.2">
      <c r="DO44778" s="303" t="s">
        <v>232</v>
      </c>
    </row>
    <row r="44779" spans="119:119" x14ac:dyDescent="0.2">
      <c r="DO44779" s="303" t="s">
        <v>232</v>
      </c>
    </row>
    <row r="44780" spans="119:119" x14ac:dyDescent="0.2">
      <c r="DO44780" s="303" t="s">
        <v>232</v>
      </c>
    </row>
    <row r="44781" spans="119:119" x14ac:dyDescent="0.2">
      <c r="DO44781" s="303" t="s">
        <v>232</v>
      </c>
    </row>
    <row r="44782" spans="119:119" x14ac:dyDescent="0.2">
      <c r="DO44782" s="303" t="s">
        <v>232</v>
      </c>
    </row>
    <row r="44783" spans="119:119" x14ac:dyDescent="0.2">
      <c r="DO44783" s="303" t="s">
        <v>232</v>
      </c>
    </row>
    <row r="44784" spans="119:119" x14ac:dyDescent="0.2">
      <c r="DO44784" s="303" t="s">
        <v>232</v>
      </c>
    </row>
    <row r="44785" spans="119:119" x14ac:dyDescent="0.2">
      <c r="DO44785" s="303" t="s">
        <v>232</v>
      </c>
    </row>
    <row r="44786" spans="119:119" x14ac:dyDescent="0.2">
      <c r="DO44786" s="303" t="s">
        <v>232</v>
      </c>
    </row>
    <row r="44787" spans="119:119" x14ac:dyDescent="0.2">
      <c r="DO44787" s="303" t="s">
        <v>232</v>
      </c>
    </row>
    <row r="44788" spans="119:119" x14ac:dyDescent="0.2">
      <c r="DO44788" s="303" t="s">
        <v>232</v>
      </c>
    </row>
    <row r="44789" spans="119:119" x14ac:dyDescent="0.2">
      <c r="DO44789" s="303" t="s">
        <v>232</v>
      </c>
    </row>
    <row r="44790" spans="119:119" x14ac:dyDescent="0.2">
      <c r="DO44790" s="303" t="s">
        <v>232</v>
      </c>
    </row>
    <row r="44791" spans="119:119" x14ac:dyDescent="0.2">
      <c r="DO44791" s="303" t="s">
        <v>232</v>
      </c>
    </row>
    <row r="44792" spans="119:119" x14ac:dyDescent="0.2">
      <c r="DO44792" s="303" t="s">
        <v>232</v>
      </c>
    </row>
    <row r="44793" spans="119:119" x14ac:dyDescent="0.2">
      <c r="DO44793" s="303" t="s">
        <v>232</v>
      </c>
    </row>
    <row r="44794" spans="119:119" x14ac:dyDescent="0.2">
      <c r="DO44794" s="303" t="s">
        <v>232</v>
      </c>
    </row>
    <row r="44795" spans="119:119" x14ac:dyDescent="0.2">
      <c r="DO44795" s="303" t="s">
        <v>232</v>
      </c>
    </row>
    <row r="44796" spans="119:119" x14ac:dyDescent="0.2">
      <c r="DO44796" s="303" t="s">
        <v>232</v>
      </c>
    </row>
    <row r="44797" spans="119:119" x14ac:dyDescent="0.2">
      <c r="DO44797" s="303" t="s">
        <v>232</v>
      </c>
    </row>
    <row r="44798" spans="119:119" x14ac:dyDescent="0.2">
      <c r="DO44798" s="303" t="s">
        <v>232</v>
      </c>
    </row>
    <row r="44799" spans="119:119" x14ac:dyDescent="0.2">
      <c r="DO44799" s="303" t="s">
        <v>232</v>
      </c>
    </row>
    <row r="44800" spans="119:119" x14ac:dyDescent="0.2">
      <c r="DO44800" s="303" t="s">
        <v>232</v>
      </c>
    </row>
    <row r="44801" spans="119:119" x14ac:dyDescent="0.2">
      <c r="DO44801" s="303" t="s">
        <v>232</v>
      </c>
    </row>
    <row r="44802" spans="119:119" x14ac:dyDescent="0.2">
      <c r="DO44802" s="303" t="s">
        <v>232</v>
      </c>
    </row>
    <row r="44803" spans="119:119" x14ac:dyDescent="0.2">
      <c r="DO44803" s="303" t="s">
        <v>232</v>
      </c>
    </row>
    <row r="44804" spans="119:119" x14ac:dyDescent="0.2">
      <c r="DO44804" s="303" t="s">
        <v>232</v>
      </c>
    </row>
    <row r="44805" spans="119:119" x14ac:dyDescent="0.2">
      <c r="DO44805" s="303" t="s">
        <v>232</v>
      </c>
    </row>
    <row r="44806" spans="119:119" x14ac:dyDescent="0.2">
      <c r="DO44806" s="303" t="s">
        <v>232</v>
      </c>
    </row>
    <row r="44807" spans="119:119" x14ac:dyDescent="0.2">
      <c r="DO44807" s="303" t="s">
        <v>232</v>
      </c>
    </row>
    <row r="44808" spans="119:119" x14ac:dyDescent="0.2">
      <c r="DO44808" s="303" t="s">
        <v>232</v>
      </c>
    </row>
    <row r="44809" spans="119:119" x14ac:dyDescent="0.2">
      <c r="DO44809" s="303" t="s">
        <v>232</v>
      </c>
    </row>
    <row r="44810" spans="119:119" x14ac:dyDescent="0.2">
      <c r="DO44810" s="303" t="s">
        <v>232</v>
      </c>
    </row>
    <row r="44811" spans="119:119" x14ac:dyDescent="0.2">
      <c r="DO44811" s="303" t="s">
        <v>232</v>
      </c>
    </row>
    <row r="44812" spans="119:119" x14ac:dyDescent="0.2">
      <c r="DO44812" s="303" t="s">
        <v>232</v>
      </c>
    </row>
    <row r="44813" spans="119:119" x14ac:dyDescent="0.2">
      <c r="DO44813" s="303" t="s">
        <v>232</v>
      </c>
    </row>
    <row r="44814" spans="119:119" x14ac:dyDescent="0.2">
      <c r="DO44814" s="303" t="s">
        <v>232</v>
      </c>
    </row>
    <row r="44815" spans="119:119" x14ac:dyDescent="0.2">
      <c r="DO44815" s="303" t="s">
        <v>232</v>
      </c>
    </row>
    <row r="44816" spans="119:119" x14ac:dyDescent="0.2">
      <c r="DO44816" s="303" t="s">
        <v>232</v>
      </c>
    </row>
    <row r="44817" spans="119:119" x14ac:dyDescent="0.2">
      <c r="DO44817" s="303" t="s">
        <v>232</v>
      </c>
    </row>
    <row r="44818" spans="119:119" x14ac:dyDescent="0.2">
      <c r="DO44818" s="303" t="s">
        <v>232</v>
      </c>
    </row>
    <row r="44819" spans="119:119" x14ac:dyDescent="0.2">
      <c r="DO44819" s="303" t="s">
        <v>232</v>
      </c>
    </row>
    <row r="44820" spans="119:119" x14ac:dyDescent="0.2">
      <c r="DO44820" s="303" t="s">
        <v>232</v>
      </c>
    </row>
    <row r="44821" spans="119:119" x14ac:dyDescent="0.2">
      <c r="DO44821" s="303" t="s">
        <v>232</v>
      </c>
    </row>
    <row r="44822" spans="119:119" x14ac:dyDescent="0.2">
      <c r="DO44822" s="303" t="s">
        <v>232</v>
      </c>
    </row>
    <row r="44823" spans="119:119" x14ac:dyDescent="0.2">
      <c r="DO44823" s="303" t="s">
        <v>232</v>
      </c>
    </row>
    <row r="44824" spans="119:119" x14ac:dyDescent="0.2">
      <c r="DO44824" s="303" t="s">
        <v>232</v>
      </c>
    </row>
    <row r="44825" spans="119:119" x14ac:dyDescent="0.2">
      <c r="DO44825" s="303" t="s">
        <v>232</v>
      </c>
    </row>
    <row r="44826" spans="119:119" x14ac:dyDescent="0.2">
      <c r="DO44826" s="303" t="s">
        <v>232</v>
      </c>
    </row>
    <row r="44827" spans="119:119" x14ac:dyDescent="0.2">
      <c r="DO44827" s="303" t="s">
        <v>232</v>
      </c>
    </row>
    <row r="44828" spans="119:119" x14ac:dyDescent="0.2">
      <c r="DO44828" s="303" t="s">
        <v>232</v>
      </c>
    </row>
    <row r="44829" spans="119:119" x14ac:dyDescent="0.2">
      <c r="DO44829" s="303" t="s">
        <v>232</v>
      </c>
    </row>
    <row r="44830" spans="119:119" x14ac:dyDescent="0.2">
      <c r="DO44830" s="303" t="s">
        <v>232</v>
      </c>
    </row>
    <row r="44831" spans="119:119" x14ac:dyDescent="0.2">
      <c r="DO44831" s="303" t="s">
        <v>232</v>
      </c>
    </row>
    <row r="44832" spans="119:119" x14ac:dyDescent="0.2">
      <c r="DO44832" s="303" t="s">
        <v>232</v>
      </c>
    </row>
    <row r="44833" spans="119:119" x14ac:dyDescent="0.2">
      <c r="DO44833" s="303" t="s">
        <v>232</v>
      </c>
    </row>
    <row r="44834" spans="119:119" x14ac:dyDescent="0.2">
      <c r="DO44834" s="303" t="s">
        <v>232</v>
      </c>
    </row>
    <row r="44835" spans="119:119" x14ac:dyDescent="0.2">
      <c r="DO44835" s="303" t="s">
        <v>232</v>
      </c>
    </row>
    <row r="44836" spans="119:119" x14ac:dyDescent="0.2">
      <c r="DO44836" s="303" t="s">
        <v>232</v>
      </c>
    </row>
    <row r="44837" spans="119:119" x14ac:dyDescent="0.2">
      <c r="DO44837" s="303" t="s">
        <v>232</v>
      </c>
    </row>
    <row r="44838" spans="119:119" x14ac:dyDescent="0.2">
      <c r="DO44838" s="303" t="s">
        <v>232</v>
      </c>
    </row>
    <row r="44839" spans="119:119" x14ac:dyDescent="0.2">
      <c r="DO44839" s="303" t="s">
        <v>232</v>
      </c>
    </row>
    <row r="44840" spans="119:119" x14ac:dyDescent="0.2">
      <c r="DO44840" s="303" t="s">
        <v>232</v>
      </c>
    </row>
    <row r="44841" spans="119:119" x14ac:dyDescent="0.2">
      <c r="DO44841" s="303" t="s">
        <v>232</v>
      </c>
    </row>
    <row r="44842" spans="119:119" x14ac:dyDescent="0.2">
      <c r="DO44842" s="303" t="s">
        <v>232</v>
      </c>
    </row>
    <row r="44843" spans="119:119" x14ac:dyDescent="0.2">
      <c r="DO44843" s="303" t="s">
        <v>232</v>
      </c>
    </row>
    <row r="44844" spans="119:119" x14ac:dyDescent="0.2">
      <c r="DO44844" s="303" t="s">
        <v>232</v>
      </c>
    </row>
    <row r="44845" spans="119:119" x14ac:dyDescent="0.2">
      <c r="DO44845" s="303" t="s">
        <v>232</v>
      </c>
    </row>
    <row r="44846" spans="119:119" x14ac:dyDescent="0.2">
      <c r="DO44846" s="303" t="s">
        <v>232</v>
      </c>
    </row>
    <row r="44847" spans="119:119" x14ac:dyDescent="0.2">
      <c r="DO44847" s="303" t="s">
        <v>232</v>
      </c>
    </row>
    <row r="44848" spans="119:119" x14ac:dyDescent="0.2">
      <c r="DO44848" s="303" t="s">
        <v>232</v>
      </c>
    </row>
    <row r="44849" spans="119:119" x14ac:dyDescent="0.2">
      <c r="DO44849" s="303" t="s">
        <v>232</v>
      </c>
    </row>
    <row r="44850" spans="119:119" x14ac:dyDescent="0.2">
      <c r="DO44850" s="303" t="s">
        <v>232</v>
      </c>
    </row>
    <row r="44851" spans="119:119" x14ac:dyDescent="0.2">
      <c r="DO44851" s="303" t="s">
        <v>232</v>
      </c>
    </row>
    <row r="44852" spans="119:119" x14ac:dyDescent="0.2">
      <c r="DO44852" s="303" t="s">
        <v>232</v>
      </c>
    </row>
    <row r="44853" spans="119:119" x14ac:dyDescent="0.2">
      <c r="DO44853" s="303" t="s">
        <v>232</v>
      </c>
    </row>
    <row r="44854" spans="119:119" x14ac:dyDescent="0.2">
      <c r="DO44854" s="303" t="s">
        <v>232</v>
      </c>
    </row>
    <row r="44855" spans="119:119" x14ac:dyDescent="0.2">
      <c r="DO44855" s="303" t="s">
        <v>232</v>
      </c>
    </row>
    <row r="44856" spans="119:119" x14ac:dyDescent="0.2">
      <c r="DO44856" s="303" t="s">
        <v>232</v>
      </c>
    </row>
    <row r="44857" spans="119:119" x14ac:dyDescent="0.2">
      <c r="DO44857" s="303" t="s">
        <v>232</v>
      </c>
    </row>
    <row r="44858" spans="119:119" x14ac:dyDescent="0.2">
      <c r="DO44858" s="303" t="s">
        <v>232</v>
      </c>
    </row>
    <row r="44859" spans="119:119" x14ac:dyDescent="0.2">
      <c r="DO44859" s="303" t="s">
        <v>232</v>
      </c>
    </row>
    <row r="44860" spans="119:119" x14ac:dyDescent="0.2">
      <c r="DO44860" s="303" t="s">
        <v>232</v>
      </c>
    </row>
    <row r="44861" spans="119:119" x14ac:dyDescent="0.2">
      <c r="DO44861" s="303" t="s">
        <v>232</v>
      </c>
    </row>
    <row r="44862" spans="119:119" x14ac:dyDescent="0.2">
      <c r="DO44862" s="303" t="s">
        <v>232</v>
      </c>
    </row>
    <row r="44863" spans="119:119" x14ac:dyDescent="0.2">
      <c r="DO44863" s="303" t="s">
        <v>232</v>
      </c>
    </row>
    <row r="44864" spans="119:119" x14ac:dyDescent="0.2">
      <c r="DO44864" s="303" t="s">
        <v>232</v>
      </c>
    </row>
    <row r="44865" spans="119:119" x14ac:dyDescent="0.2">
      <c r="DO44865" s="303" t="s">
        <v>232</v>
      </c>
    </row>
    <row r="44866" spans="119:119" x14ac:dyDescent="0.2">
      <c r="DO44866" s="303" t="s">
        <v>232</v>
      </c>
    </row>
    <row r="44867" spans="119:119" x14ac:dyDescent="0.2">
      <c r="DO44867" s="303" t="s">
        <v>232</v>
      </c>
    </row>
    <row r="44868" spans="119:119" x14ac:dyDescent="0.2">
      <c r="DO44868" s="303" t="s">
        <v>232</v>
      </c>
    </row>
    <row r="44869" spans="119:119" x14ac:dyDescent="0.2">
      <c r="DO44869" s="303" t="s">
        <v>232</v>
      </c>
    </row>
    <row r="44870" spans="119:119" x14ac:dyDescent="0.2">
      <c r="DO44870" s="303" t="s">
        <v>232</v>
      </c>
    </row>
    <row r="44871" spans="119:119" x14ac:dyDescent="0.2">
      <c r="DO44871" s="303" t="s">
        <v>232</v>
      </c>
    </row>
    <row r="44872" spans="119:119" x14ac:dyDescent="0.2">
      <c r="DO44872" s="303" t="s">
        <v>232</v>
      </c>
    </row>
    <row r="44873" spans="119:119" x14ac:dyDescent="0.2">
      <c r="DO44873" s="303" t="s">
        <v>232</v>
      </c>
    </row>
    <row r="44874" spans="119:119" x14ac:dyDescent="0.2">
      <c r="DO44874" s="303" t="s">
        <v>232</v>
      </c>
    </row>
    <row r="44875" spans="119:119" x14ac:dyDescent="0.2">
      <c r="DO44875" s="303" t="s">
        <v>232</v>
      </c>
    </row>
    <row r="44876" spans="119:119" x14ac:dyDescent="0.2">
      <c r="DO44876" s="303" t="s">
        <v>232</v>
      </c>
    </row>
    <row r="44877" spans="119:119" x14ac:dyDescent="0.2">
      <c r="DO44877" s="303" t="s">
        <v>232</v>
      </c>
    </row>
    <row r="44878" spans="119:119" x14ac:dyDescent="0.2">
      <c r="DO44878" s="303" t="s">
        <v>232</v>
      </c>
    </row>
    <row r="44879" spans="119:119" x14ac:dyDescent="0.2">
      <c r="DO44879" s="303" t="s">
        <v>232</v>
      </c>
    </row>
    <row r="44880" spans="119:119" x14ac:dyDescent="0.2">
      <c r="DO44880" s="303" t="s">
        <v>232</v>
      </c>
    </row>
    <row r="44881" spans="119:119" x14ac:dyDescent="0.2">
      <c r="DO44881" s="303" t="s">
        <v>232</v>
      </c>
    </row>
    <row r="44882" spans="119:119" x14ac:dyDescent="0.2">
      <c r="DO44882" s="303" t="s">
        <v>232</v>
      </c>
    </row>
    <row r="44883" spans="119:119" x14ac:dyDescent="0.2">
      <c r="DO44883" s="303" t="s">
        <v>232</v>
      </c>
    </row>
    <row r="44884" spans="119:119" x14ac:dyDescent="0.2">
      <c r="DO44884" s="303" t="s">
        <v>232</v>
      </c>
    </row>
    <row r="44885" spans="119:119" x14ac:dyDescent="0.2">
      <c r="DO44885" s="303" t="s">
        <v>232</v>
      </c>
    </row>
    <row r="44886" spans="119:119" x14ac:dyDescent="0.2">
      <c r="DO44886" s="303" t="s">
        <v>232</v>
      </c>
    </row>
    <row r="44887" spans="119:119" x14ac:dyDescent="0.2">
      <c r="DO44887" s="303" t="s">
        <v>232</v>
      </c>
    </row>
    <row r="44888" spans="119:119" x14ac:dyDescent="0.2">
      <c r="DO44888" s="303" t="s">
        <v>232</v>
      </c>
    </row>
    <row r="44889" spans="119:119" x14ac:dyDescent="0.2">
      <c r="DO44889" s="303" t="s">
        <v>232</v>
      </c>
    </row>
    <row r="44890" spans="119:119" x14ac:dyDescent="0.2">
      <c r="DO44890" s="303" t="s">
        <v>232</v>
      </c>
    </row>
    <row r="44891" spans="119:119" x14ac:dyDescent="0.2">
      <c r="DO44891" s="303" t="s">
        <v>232</v>
      </c>
    </row>
    <row r="44892" spans="119:119" x14ac:dyDescent="0.2">
      <c r="DO44892" s="303" t="s">
        <v>232</v>
      </c>
    </row>
    <row r="44893" spans="119:119" x14ac:dyDescent="0.2">
      <c r="DO44893" s="303" t="s">
        <v>232</v>
      </c>
    </row>
    <row r="44894" spans="119:119" x14ac:dyDescent="0.2">
      <c r="DO44894" s="303" t="s">
        <v>232</v>
      </c>
    </row>
    <row r="44895" spans="119:119" x14ac:dyDescent="0.2">
      <c r="DO44895" s="303" t="s">
        <v>232</v>
      </c>
    </row>
    <row r="44896" spans="119:119" x14ac:dyDescent="0.2">
      <c r="DO44896" s="303" t="s">
        <v>232</v>
      </c>
    </row>
    <row r="44897" spans="119:119" x14ac:dyDescent="0.2">
      <c r="DO44897" s="303" t="s">
        <v>232</v>
      </c>
    </row>
    <row r="44898" spans="119:119" x14ac:dyDescent="0.2">
      <c r="DO44898" s="303" t="s">
        <v>232</v>
      </c>
    </row>
    <row r="44899" spans="119:119" x14ac:dyDescent="0.2">
      <c r="DO44899" s="303" t="s">
        <v>232</v>
      </c>
    </row>
    <row r="44900" spans="119:119" x14ac:dyDescent="0.2">
      <c r="DO44900" s="303" t="s">
        <v>232</v>
      </c>
    </row>
    <row r="44901" spans="119:119" x14ac:dyDescent="0.2">
      <c r="DO44901" s="303" t="s">
        <v>232</v>
      </c>
    </row>
    <row r="44902" spans="119:119" x14ac:dyDescent="0.2">
      <c r="DO44902" s="303" t="s">
        <v>232</v>
      </c>
    </row>
    <row r="44903" spans="119:119" x14ac:dyDescent="0.2">
      <c r="DO44903" s="303" t="s">
        <v>232</v>
      </c>
    </row>
    <row r="44904" spans="119:119" x14ac:dyDescent="0.2">
      <c r="DO44904" s="303" t="s">
        <v>232</v>
      </c>
    </row>
    <row r="44905" spans="119:119" x14ac:dyDescent="0.2">
      <c r="DO44905" s="303" t="s">
        <v>232</v>
      </c>
    </row>
    <row r="44906" spans="119:119" x14ac:dyDescent="0.2">
      <c r="DO44906" s="303" t="s">
        <v>232</v>
      </c>
    </row>
    <row r="44907" spans="119:119" x14ac:dyDescent="0.2">
      <c r="DO44907" s="303" t="s">
        <v>232</v>
      </c>
    </row>
    <row r="44908" spans="119:119" x14ac:dyDescent="0.2">
      <c r="DO44908" s="303" t="s">
        <v>232</v>
      </c>
    </row>
    <row r="44909" spans="119:119" x14ac:dyDescent="0.2">
      <c r="DO44909" s="303" t="s">
        <v>232</v>
      </c>
    </row>
    <row r="44910" spans="119:119" x14ac:dyDescent="0.2">
      <c r="DO44910" s="303" t="s">
        <v>232</v>
      </c>
    </row>
    <row r="44911" spans="119:119" x14ac:dyDescent="0.2">
      <c r="DO44911" s="303" t="s">
        <v>232</v>
      </c>
    </row>
    <row r="44912" spans="119:119" x14ac:dyDescent="0.2">
      <c r="DO44912" s="303" t="s">
        <v>232</v>
      </c>
    </row>
    <row r="44913" spans="119:119" x14ac:dyDescent="0.2">
      <c r="DO44913" s="303" t="s">
        <v>232</v>
      </c>
    </row>
    <row r="44914" spans="119:119" x14ac:dyDescent="0.2">
      <c r="DO44914" s="303" t="s">
        <v>232</v>
      </c>
    </row>
    <row r="44915" spans="119:119" x14ac:dyDescent="0.2">
      <c r="DO44915" s="303" t="s">
        <v>232</v>
      </c>
    </row>
    <row r="44916" spans="119:119" x14ac:dyDescent="0.2">
      <c r="DO44916" s="303" t="s">
        <v>232</v>
      </c>
    </row>
    <row r="44917" spans="119:119" x14ac:dyDescent="0.2">
      <c r="DO44917" s="303" t="s">
        <v>232</v>
      </c>
    </row>
    <row r="44918" spans="119:119" x14ac:dyDescent="0.2">
      <c r="DO44918" s="303" t="s">
        <v>232</v>
      </c>
    </row>
    <row r="44919" spans="119:119" x14ac:dyDescent="0.2">
      <c r="DO44919" s="303" t="s">
        <v>232</v>
      </c>
    </row>
    <row r="44920" spans="119:119" x14ac:dyDescent="0.2">
      <c r="DO44920" s="303" t="s">
        <v>232</v>
      </c>
    </row>
    <row r="44921" spans="119:119" x14ac:dyDescent="0.2">
      <c r="DO44921" s="303" t="s">
        <v>232</v>
      </c>
    </row>
    <row r="44922" spans="119:119" x14ac:dyDescent="0.2">
      <c r="DO44922" s="303" t="s">
        <v>232</v>
      </c>
    </row>
    <row r="44923" spans="119:119" x14ac:dyDescent="0.2">
      <c r="DO44923" s="303" t="s">
        <v>232</v>
      </c>
    </row>
    <row r="44924" spans="119:119" x14ac:dyDescent="0.2">
      <c r="DO44924" s="303" t="s">
        <v>232</v>
      </c>
    </row>
    <row r="44925" spans="119:119" x14ac:dyDescent="0.2">
      <c r="DO44925" s="303" t="s">
        <v>232</v>
      </c>
    </row>
    <row r="44926" spans="119:119" x14ac:dyDescent="0.2">
      <c r="DO44926" s="303" t="s">
        <v>232</v>
      </c>
    </row>
    <row r="44927" spans="119:119" x14ac:dyDescent="0.2">
      <c r="DO44927" s="303" t="s">
        <v>232</v>
      </c>
    </row>
    <row r="44928" spans="119:119" x14ac:dyDescent="0.2">
      <c r="DO44928" s="303" t="s">
        <v>232</v>
      </c>
    </row>
    <row r="44929" spans="119:119" x14ac:dyDescent="0.2">
      <c r="DO44929" s="303" t="s">
        <v>232</v>
      </c>
    </row>
    <row r="44930" spans="119:119" x14ac:dyDescent="0.2">
      <c r="DO44930" s="303" t="s">
        <v>232</v>
      </c>
    </row>
    <row r="44931" spans="119:119" x14ac:dyDescent="0.2">
      <c r="DO44931" s="303" t="s">
        <v>232</v>
      </c>
    </row>
    <row r="44932" spans="119:119" x14ac:dyDescent="0.2">
      <c r="DO44932" s="303" t="s">
        <v>232</v>
      </c>
    </row>
    <row r="44933" spans="119:119" x14ac:dyDescent="0.2">
      <c r="DO44933" s="303" t="s">
        <v>232</v>
      </c>
    </row>
    <row r="44934" spans="119:119" x14ac:dyDescent="0.2">
      <c r="DO44934" s="303" t="s">
        <v>232</v>
      </c>
    </row>
    <row r="44935" spans="119:119" x14ac:dyDescent="0.2">
      <c r="DO44935" s="303" t="s">
        <v>232</v>
      </c>
    </row>
    <row r="44936" spans="119:119" x14ac:dyDescent="0.2">
      <c r="DO44936" s="303" t="s">
        <v>232</v>
      </c>
    </row>
    <row r="44937" spans="119:119" x14ac:dyDescent="0.2">
      <c r="DO44937" s="303" t="s">
        <v>232</v>
      </c>
    </row>
    <row r="44938" spans="119:119" x14ac:dyDescent="0.2">
      <c r="DO44938" s="303" t="s">
        <v>232</v>
      </c>
    </row>
    <row r="44939" spans="119:119" x14ac:dyDescent="0.2">
      <c r="DO44939" s="303" t="s">
        <v>232</v>
      </c>
    </row>
    <row r="44940" spans="119:119" x14ac:dyDescent="0.2">
      <c r="DO44940" s="303" t="s">
        <v>232</v>
      </c>
    </row>
    <row r="44941" spans="119:119" x14ac:dyDescent="0.2">
      <c r="DO44941" s="303" t="s">
        <v>232</v>
      </c>
    </row>
    <row r="44942" spans="119:119" x14ac:dyDescent="0.2">
      <c r="DO44942" s="303" t="s">
        <v>232</v>
      </c>
    </row>
    <row r="44943" spans="119:119" x14ac:dyDescent="0.2">
      <c r="DO44943" s="303" t="s">
        <v>232</v>
      </c>
    </row>
    <row r="44944" spans="119:119" x14ac:dyDescent="0.2">
      <c r="DO44944" s="303" t="s">
        <v>232</v>
      </c>
    </row>
    <row r="44945" spans="119:119" x14ac:dyDescent="0.2">
      <c r="DO44945" s="303" t="s">
        <v>232</v>
      </c>
    </row>
    <row r="44946" spans="119:119" x14ac:dyDescent="0.2">
      <c r="DO44946" s="303" t="s">
        <v>232</v>
      </c>
    </row>
    <row r="44947" spans="119:119" x14ac:dyDescent="0.2">
      <c r="DO44947" s="303" t="s">
        <v>232</v>
      </c>
    </row>
    <row r="44948" spans="119:119" x14ac:dyDescent="0.2">
      <c r="DO44948" s="303" t="s">
        <v>232</v>
      </c>
    </row>
    <row r="44949" spans="119:119" x14ac:dyDescent="0.2">
      <c r="DO44949" s="303" t="s">
        <v>232</v>
      </c>
    </row>
    <row r="44950" spans="119:119" x14ac:dyDescent="0.2">
      <c r="DO44950" s="303" t="s">
        <v>232</v>
      </c>
    </row>
    <row r="44951" spans="119:119" x14ac:dyDescent="0.2">
      <c r="DO44951" s="303" t="s">
        <v>232</v>
      </c>
    </row>
    <row r="44952" spans="119:119" x14ac:dyDescent="0.2">
      <c r="DO44952" s="303" t="s">
        <v>232</v>
      </c>
    </row>
    <row r="44953" spans="119:119" x14ac:dyDescent="0.2">
      <c r="DO44953" s="303" t="s">
        <v>232</v>
      </c>
    </row>
    <row r="44954" spans="119:119" x14ac:dyDescent="0.2">
      <c r="DO44954" s="303" t="s">
        <v>232</v>
      </c>
    </row>
    <row r="44955" spans="119:119" x14ac:dyDescent="0.2">
      <c r="DO44955" s="303" t="s">
        <v>232</v>
      </c>
    </row>
    <row r="44956" spans="119:119" x14ac:dyDescent="0.2">
      <c r="DO44956" s="303" t="s">
        <v>232</v>
      </c>
    </row>
    <row r="44957" spans="119:119" x14ac:dyDescent="0.2">
      <c r="DO44957" s="303" t="s">
        <v>232</v>
      </c>
    </row>
    <row r="44958" spans="119:119" x14ac:dyDescent="0.2">
      <c r="DO44958" s="303" t="s">
        <v>232</v>
      </c>
    </row>
    <row r="44959" spans="119:119" x14ac:dyDescent="0.2">
      <c r="DO44959" s="303" t="s">
        <v>232</v>
      </c>
    </row>
    <row r="44960" spans="119:119" x14ac:dyDescent="0.2">
      <c r="DO44960" s="303" t="s">
        <v>232</v>
      </c>
    </row>
    <row r="44961" spans="119:119" x14ac:dyDescent="0.2">
      <c r="DO44961" s="303" t="s">
        <v>232</v>
      </c>
    </row>
    <row r="44962" spans="119:119" x14ac:dyDescent="0.2">
      <c r="DO44962" s="303" t="s">
        <v>232</v>
      </c>
    </row>
    <row r="44963" spans="119:119" x14ac:dyDescent="0.2">
      <c r="DO44963" s="303" t="s">
        <v>232</v>
      </c>
    </row>
    <row r="44964" spans="119:119" x14ac:dyDescent="0.2">
      <c r="DO44964" s="303" t="s">
        <v>232</v>
      </c>
    </row>
    <row r="44965" spans="119:119" x14ac:dyDescent="0.2">
      <c r="DO44965" s="303" t="s">
        <v>232</v>
      </c>
    </row>
    <row r="44966" spans="119:119" x14ac:dyDescent="0.2">
      <c r="DO44966" s="303" t="s">
        <v>232</v>
      </c>
    </row>
    <row r="44967" spans="119:119" x14ac:dyDescent="0.2">
      <c r="DO44967" s="303" t="s">
        <v>232</v>
      </c>
    </row>
    <row r="44968" spans="119:119" x14ac:dyDescent="0.2">
      <c r="DO44968" s="303" t="s">
        <v>232</v>
      </c>
    </row>
    <row r="44969" spans="119:119" x14ac:dyDescent="0.2">
      <c r="DO44969" s="303" t="s">
        <v>232</v>
      </c>
    </row>
    <row r="44970" spans="119:119" x14ac:dyDescent="0.2">
      <c r="DO44970" s="303" t="s">
        <v>232</v>
      </c>
    </row>
    <row r="44971" spans="119:119" x14ac:dyDescent="0.2">
      <c r="DO44971" s="303" t="s">
        <v>232</v>
      </c>
    </row>
    <row r="44972" spans="119:119" x14ac:dyDescent="0.2">
      <c r="DO44972" s="303" t="s">
        <v>232</v>
      </c>
    </row>
    <row r="44973" spans="119:119" x14ac:dyDescent="0.2">
      <c r="DO44973" s="303" t="s">
        <v>232</v>
      </c>
    </row>
    <row r="44974" spans="119:119" x14ac:dyDescent="0.2">
      <c r="DO44974" s="303" t="s">
        <v>232</v>
      </c>
    </row>
    <row r="44975" spans="119:119" x14ac:dyDescent="0.2">
      <c r="DO44975" s="303" t="s">
        <v>232</v>
      </c>
    </row>
    <row r="44976" spans="119:119" x14ac:dyDescent="0.2">
      <c r="DO44976" s="303" t="s">
        <v>232</v>
      </c>
    </row>
    <row r="44977" spans="119:119" x14ac:dyDescent="0.2">
      <c r="DO44977" s="303" t="s">
        <v>232</v>
      </c>
    </row>
    <row r="44978" spans="119:119" x14ac:dyDescent="0.2">
      <c r="DO44978" s="303" t="s">
        <v>232</v>
      </c>
    </row>
    <row r="44979" spans="119:119" x14ac:dyDescent="0.2">
      <c r="DO44979" s="303" t="s">
        <v>232</v>
      </c>
    </row>
    <row r="44980" spans="119:119" x14ac:dyDescent="0.2">
      <c r="DO44980" s="303" t="s">
        <v>232</v>
      </c>
    </row>
    <row r="44981" spans="119:119" x14ac:dyDescent="0.2">
      <c r="DO44981" s="303" t="s">
        <v>232</v>
      </c>
    </row>
    <row r="44982" spans="119:119" x14ac:dyDescent="0.2">
      <c r="DO44982" s="303" t="s">
        <v>232</v>
      </c>
    </row>
    <row r="44983" spans="119:119" x14ac:dyDescent="0.2">
      <c r="DO44983" s="303" t="s">
        <v>232</v>
      </c>
    </row>
    <row r="44984" spans="119:119" x14ac:dyDescent="0.2">
      <c r="DO44984" s="303" t="s">
        <v>232</v>
      </c>
    </row>
    <row r="44985" spans="119:119" x14ac:dyDescent="0.2">
      <c r="DO44985" s="303" t="s">
        <v>232</v>
      </c>
    </row>
    <row r="44986" spans="119:119" x14ac:dyDescent="0.2">
      <c r="DO44986" s="303" t="s">
        <v>232</v>
      </c>
    </row>
    <row r="44987" spans="119:119" x14ac:dyDescent="0.2">
      <c r="DO44987" s="303" t="s">
        <v>232</v>
      </c>
    </row>
    <row r="44988" spans="119:119" x14ac:dyDescent="0.2">
      <c r="DO44988" s="303" t="s">
        <v>232</v>
      </c>
    </row>
    <row r="44989" spans="119:119" x14ac:dyDescent="0.2">
      <c r="DO44989" s="303" t="s">
        <v>232</v>
      </c>
    </row>
    <row r="44990" spans="119:119" x14ac:dyDescent="0.2">
      <c r="DO44990" s="303" t="s">
        <v>232</v>
      </c>
    </row>
    <row r="44991" spans="119:119" x14ac:dyDescent="0.2">
      <c r="DO44991" s="303" t="s">
        <v>232</v>
      </c>
    </row>
    <row r="44992" spans="119:119" x14ac:dyDescent="0.2">
      <c r="DO44992" s="303" t="s">
        <v>232</v>
      </c>
    </row>
    <row r="44993" spans="119:119" x14ac:dyDescent="0.2">
      <c r="DO44993" s="303" t="s">
        <v>232</v>
      </c>
    </row>
    <row r="44994" spans="119:119" x14ac:dyDescent="0.2">
      <c r="DO44994" s="303" t="s">
        <v>232</v>
      </c>
    </row>
    <row r="44995" spans="119:119" x14ac:dyDescent="0.2">
      <c r="DO44995" s="303" t="s">
        <v>232</v>
      </c>
    </row>
    <row r="44996" spans="119:119" x14ac:dyDescent="0.2">
      <c r="DO44996" s="303" t="s">
        <v>232</v>
      </c>
    </row>
    <row r="44997" spans="119:119" x14ac:dyDescent="0.2">
      <c r="DO44997" s="303" t="s">
        <v>232</v>
      </c>
    </row>
    <row r="44998" spans="119:119" x14ac:dyDescent="0.2">
      <c r="DO44998" s="303" t="s">
        <v>232</v>
      </c>
    </row>
    <row r="44999" spans="119:119" x14ac:dyDescent="0.2">
      <c r="DO44999" s="303" t="s">
        <v>232</v>
      </c>
    </row>
    <row r="45000" spans="119:119" x14ac:dyDescent="0.2">
      <c r="DO45000" s="303" t="s">
        <v>232</v>
      </c>
    </row>
    <row r="45001" spans="119:119" x14ac:dyDescent="0.2">
      <c r="DO45001" s="303" t="s">
        <v>232</v>
      </c>
    </row>
    <row r="45002" spans="119:119" x14ac:dyDescent="0.2">
      <c r="DO45002" s="303" t="s">
        <v>232</v>
      </c>
    </row>
    <row r="45003" spans="119:119" x14ac:dyDescent="0.2">
      <c r="DO45003" s="303" t="s">
        <v>232</v>
      </c>
    </row>
    <row r="45004" spans="119:119" x14ac:dyDescent="0.2">
      <c r="DO45004" s="303" t="s">
        <v>232</v>
      </c>
    </row>
    <row r="45005" spans="119:119" x14ac:dyDescent="0.2">
      <c r="DO45005" s="303" t="s">
        <v>232</v>
      </c>
    </row>
    <row r="45006" spans="119:119" x14ac:dyDescent="0.2">
      <c r="DO45006" s="303" t="s">
        <v>232</v>
      </c>
    </row>
    <row r="45007" spans="119:119" x14ac:dyDescent="0.2">
      <c r="DO45007" s="303" t="s">
        <v>232</v>
      </c>
    </row>
    <row r="45008" spans="119:119" x14ac:dyDescent="0.2">
      <c r="DO45008" s="303" t="s">
        <v>232</v>
      </c>
    </row>
    <row r="45009" spans="119:119" x14ac:dyDescent="0.2">
      <c r="DO45009" s="303" t="s">
        <v>232</v>
      </c>
    </row>
    <row r="45010" spans="119:119" x14ac:dyDescent="0.2">
      <c r="DO45010" s="303" t="s">
        <v>232</v>
      </c>
    </row>
    <row r="45011" spans="119:119" x14ac:dyDescent="0.2">
      <c r="DO45011" s="303" t="s">
        <v>232</v>
      </c>
    </row>
    <row r="45012" spans="119:119" x14ac:dyDescent="0.2">
      <c r="DO45012" s="303" t="s">
        <v>232</v>
      </c>
    </row>
    <row r="45013" spans="119:119" x14ac:dyDescent="0.2">
      <c r="DO45013" s="303" t="s">
        <v>232</v>
      </c>
    </row>
    <row r="45014" spans="119:119" x14ac:dyDescent="0.2">
      <c r="DO45014" s="303" t="s">
        <v>232</v>
      </c>
    </row>
    <row r="45015" spans="119:119" x14ac:dyDescent="0.2">
      <c r="DO45015" s="303" t="s">
        <v>232</v>
      </c>
    </row>
    <row r="45016" spans="119:119" x14ac:dyDescent="0.2">
      <c r="DO45016" s="303" t="s">
        <v>232</v>
      </c>
    </row>
    <row r="45017" spans="119:119" x14ac:dyDescent="0.2">
      <c r="DO45017" s="303" t="s">
        <v>232</v>
      </c>
    </row>
    <row r="45018" spans="119:119" x14ac:dyDescent="0.2">
      <c r="DO45018" s="303" t="s">
        <v>232</v>
      </c>
    </row>
    <row r="45019" spans="119:119" x14ac:dyDescent="0.2">
      <c r="DO45019" s="303" t="s">
        <v>232</v>
      </c>
    </row>
    <row r="45020" spans="119:119" x14ac:dyDescent="0.2">
      <c r="DO45020" s="303" t="s">
        <v>232</v>
      </c>
    </row>
    <row r="45021" spans="119:119" x14ac:dyDescent="0.2">
      <c r="DO45021" s="303" t="s">
        <v>232</v>
      </c>
    </row>
    <row r="45022" spans="119:119" x14ac:dyDescent="0.2">
      <c r="DO45022" s="303" t="s">
        <v>232</v>
      </c>
    </row>
    <row r="45023" spans="119:119" x14ac:dyDescent="0.2">
      <c r="DO45023" s="303" t="s">
        <v>232</v>
      </c>
    </row>
    <row r="45024" spans="119:119" x14ac:dyDescent="0.2">
      <c r="DO45024" s="303" t="s">
        <v>232</v>
      </c>
    </row>
    <row r="45025" spans="119:119" x14ac:dyDescent="0.2">
      <c r="DO45025" s="303" t="s">
        <v>232</v>
      </c>
    </row>
    <row r="45026" spans="119:119" x14ac:dyDescent="0.2">
      <c r="DO45026" s="303" t="s">
        <v>232</v>
      </c>
    </row>
    <row r="45027" spans="119:119" x14ac:dyDescent="0.2">
      <c r="DO45027" s="303" t="s">
        <v>232</v>
      </c>
    </row>
    <row r="45028" spans="119:119" x14ac:dyDescent="0.2">
      <c r="DO45028" s="303" t="s">
        <v>232</v>
      </c>
    </row>
    <row r="45029" spans="119:119" x14ac:dyDescent="0.2">
      <c r="DO45029" s="303" t="s">
        <v>232</v>
      </c>
    </row>
    <row r="45030" spans="119:119" x14ac:dyDescent="0.2">
      <c r="DO45030" s="303" t="s">
        <v>232</v>
      </c>
    </row>
    <row r="45031" spans="119:119" x14ac:dyDescent="0.2">
      <c r="DO45031" s="303" t="s">
        <v>232</v>
      </c>
    </row>
    <row r="45032" spans="119:119" x14ac:dyDescent="0.2">
      <c r="DO45032" s="303" t="s">
        <v>232</v>
      </c>
    </row>
    <row r="45033" spans="119:119" x14ac:dyDescent="0.2">
      <c r="DO45033" s="303" t="s">
        <v>232</v>
      </c>
    </row>
    <row r="45034" spans="119:119" x14ac:dyDescent="0.2">
      <c r="DO45034" s="303" t="s">
        <v>232</v>
      </c>
    </row>
    <row r="45035" spans="119:119" x14ac:dyDescent="0.2">
      <c r="DO45035" s="303" t="s">
        <v>232</v>
      </c>
    </row>
    <row r="45036" spans="119:119" x14ac:dyDescent="0.2">
      <c r="DO45036" s="303" t="s">
        <v>232</v>
      </c>
    </row>
    <row r="45037" spans="119:119" x14ac:dyDescent="0.2">
      <c r="DO45037" s="303" t="s">
        <v>232</v>
      </c>
    </row>
    <row r="45038" spans="119:119" x14ac:dyDescent="0.2">
      <c r="DO45038" s="303" t="s">
        <v>232</v>
      </c>
    </row>
    <row r="45039" spans="119:119" x14ac:dyDescent="0.2">
      <c r="DO45039" s="303" t="s">
        <v>232</v>
      </c>
    </row>
    <row r="45040" spans="119:119" x14ac:dyDescent="0.2">
      <c r="DO45040" s="303" t="s">
        <v>232</v>
      </c>
    </row>
    <row r="45041" spans="119:119" x14ac:dyDescent="0.2">
      <c r="DO45041" s="303" t="s">
        <v>232</v>
      </c>
    </row>
    <row r="45042" spans="119:119" x14ac:dyDescent="0.2">
      <c r="DO45042" s="303" t="s">
        <v>232</v>
      </c>
    </row>
    <row r="45043" spans="119:119" x14ac:dyDescent="0.2">
      <c r="DO45043" s="303" t="s">
        <v>232</v>
      </c>
    </row>
    <row r="45044" spans="119:119" x14ac:dyDescent="0.2">
      <c r="DO45044" s="303" t="s">
        <v>232</v>
      </c>
    </row>
    <row r="45045" spans="119:119" x14ac:dyDescent="0.2">
      <c r="DO45045" s="303" t="s">
        <v>232</v>
      </c>
    </row>
    <row r="45046" spans="119:119" x14ac:dyDescent="0.2">
      <c r="DO45046" s="303" t="s">
        <v>232</v>
      </c>
    </row>
    <row r="45047" spans="119:119" x14ac:dyDescent="0.2">
      <c r="DO45047" s="303" t="s">
        <v>232</v>
      </c>
    </row>
    <row r="45048" spans="119:119" x14ac:dyDescent="0.2">
      <c r="DO45048" s="303" t="s">
        <v>232</v>
      </c>
    </row>
    <row r="45049" spans="119:119" x14ac:dyDescent="0.2">
      <c r="DO45049" s="303" t="s">
        <v>232</v>
      </c>
    </row>
    <row r="45050" spans="119:119" x14ac:dyDescent="0.2">
      <c r="DO45050" s="303" t="s">
        <v>232</v>
      </c>
    </row>
    <row r="45051" spans="119:119" x14ac:dyDescent="0.2">
      <c r="DO45051" s="303" t="s">
        <v>232</v>
      </c>
    </row>
    <row r="45052" spans="119:119" x14ac:dyDescent="0.2">
      <c r="DO45052" s="303" t="s">
        <v>232</v>
      </c>
    </row>
    <row r="45053" spans="119:119" x14ac:dyDescent="0.2">
      <c r="DO45053" s="303" t="s">
        <v>232</v>
      </c>
    </row>
    <row r="45054" spans="119:119" x14ac:dyDescent="0.2">
      <c r="DO45054" s="303" t="s">
        <v>232</v>
      </c>
    </row>
    <row r="45055" spans="119:119" x14ac:dyDescent="0.2">
      <c r="DO45055" s="303" t="s">
        <v>232</v>
      </c>
    </row>
    <row r="45056" spans="119:119" x14ac:dyDescent="0.2">
      <c r="DO45056" s="303" t="s">
        <v>232</v>
      </c>
    </row>
    <row r="45057" spans="119:119" x14ac:dyDescent="0.2">
      <c r="DO45057" s="303" t="s">
        <v>232</v>
      </c>
    </row>
    <row r="45058" spans="119:119" x14ac:dyDescent="0.2">
      <c r="DO45058" s="303" t="s">
        <v>232</v>
      </c>
    </row>
    <row r="45059" spans="119:119" x14ac:dyDescent="0.2">
      <c r="DO45059" s="303" t="s">
        <v>232</v>
      </c>
    </row>
    <row r="45060" spans="119:119" x14ac:dyDescent="0.2">
      <c r="DO45060" s="303" t="s">
        <v>232</v>
      </c>
    </row>
    <row r="45061" spans="119:119" x14ac:dyDescent="0.2">
      <c r="DO45061" s="303" t="s">
        <v>232</v>
      </c>
    </row>
    <row r="45062" spans="119:119" x14ac:dyDescent="0.2">
      <c r="DO45062" s="303" t="s">
        <v>232</v>
      </c>
    </row>
    <row r="45063" spans="119:119" x14ac:dyDescent="0.2">
      <c r="DO45063" s="303" t="s">
        <v>232</v>
      </c>
    </row>
    <row r="45064" spans="119:119" x14ac:dyDescent="0.2">
      <c r="DO45064" s="303" t="s">
        <v>232</v>
      </c>
    </row>
    <row r="45065" spans="119:119" x14ac:dyDescent="0.2">
      <c r="DO45065" s="303" t="s">
        <v>232</v>
      </c>
    </row>
    <row r="45066" spans="119:119" x14ac:dyDescent="0.2">
      <c r="DO45066" s="303" t="s">
        <v>232</v>
      </c>
    </row>
    <row r="45067" spans="119:119" x14ac:dyDescent="0.2">
      <c r="DO45067" s="303" t="s">
        <v>232</v>
      </c>
    </row>
    <row r="45068" spans="119:119" x14ac:dyDescent="0.2">
      <c r="DO45068" s="303" t="s">
        <v>232</v>
      </c>
    </row>
    <row r="45069" spans="119:119" x14ac:dyDescent="0.2">
      <c r="DO45069" s="303" t="s">
        <v>232</v>
      </c>
    </row>
    <row r="45070" spans="119:119" x14ac:dyDescent="0.2">
      <c r="DO45070" s="303" t="s">
        <v>232</v>
      </c>
    </row>
    <row r="45071" spans="119:119" x14ac:dyDescent="0.2">
      <c r="DO45071" s="303" t="s">
        <v>232</v>
      </c>
    </row>
    <row r="45072" spans="119:119" x14ac:dyDescent="0.2">
      <c r="DO45072" s="303" t="s">
        <v>232</v>
      </c>
    </row>
    <row r="45073" spans="119:119" x14ac:dyDescent="0.2">
      <c r="DO45073" s="303" t="s">
        <v>232</v>
      </c>
    </row>
    <row r="45074" spans="119:119" x14ac:dyDescent="0.2">
      <c r="DO45074" s="303" t="s">
        <v>232</v>
      </c>
    </row>
    <row r="45075" spans="119:119" x14ac:dyDescent="0.2">
      <c r="DO45075" s="303" t="s">
        <v>232</v>
      </c>
    </row>
    <row r="45076" spans="119:119" x14ac:dyDescent="0.2">
      <c r="DO45076" s="303" t="s">
        <v>232</v>
      </c>
    </row>
    <row r="45077" spans="119:119" x14ac:dyDescent="0.2">
      <c r="DO45077" s="303" t="s">
        <v>232</v>
      </c>
    </row>
    <row r="45078" spans="119:119" x14ac:dyDescent="0.2">
      <c r="DO45078" s="303" t="s">
        <v>232</v>
      </c>
    </row>
    <row r="45079" spans="119:119" x14ac:dyDescent="0.2">
      <c r="DO45079" s="303" t="s">
        <v>232</v>
      </c>
    </row>
    <row r="45080" spans="119:119" x14ac:dyDescent="0.2">
      <c r="DO45080" s="303" t="s">
        <v>232</v>
      </c>
    </row>
    <row r="45081" spans="119:119" x14ac:dyDescent="0.2">
      <c r="DO45081" s="303" t="s">
        <v>232</v>
      </c>
    </row>
    <row r="45082" spans="119:119" x14ac:dyDescent="0.2">
      <c r="DO45082" s="303" t="s">
        <v>232</v>
      </c>
    </row>
    <row r="45083" spans="119:119" x14ac:dyDescent="0.2">
      <c r="DO45083" s="303" t="s">
        <v>232</v>
      </c>
    </row>
    <row r="45084" spans="119:119" x14ac:dyDescent="0.2">
      <c r="DO45084" s="303" t="s">
        <v>232</v>
      </c>
    </row>
    <row r="45085" spans="119:119" x14ac:dyDescent="0.2">
      <c r="DO45085" s="303" t="s">
        <v>232</v>
      </c>
    </row>
    <row r="45086" spans="119:119" x14ac:dyDescent="0.2">
      <c r="DO45086" s="303" t="s">
        <v>232</v>
      </c>
    </row>
    <row r="45087" spans="119:119" x14ac:dyDescent="0.2">
      <c r="DO45087" s="303" t="s">
        <v>232</v>
      </c>
    </row>
    <row r="45088" spans="119:119" x14ac:dyDescent="0.2">
      <c r="DO45088" s="303" t="s">
        <v>232</v>
      </c>
    </row>
    <row r="45089" spans="119:119" x14ac:dyDescent="0.2">
      <c r="DO45089" s="303" t="s">
        <v>232</v>
      </c>
    </row>
    <row r="45090" spans="119:119" x14ac:dyDescent="0.2">
      <c r="DO45090" s="303" t="s">
        <v>232</v>
      </c>
    </row>
    <row r="45091" spans="119:119" x14ac:dyDescent="0.2">
      <c r="DO45091" s="303" t="s">
        <v>232</v>
      </c>
    </row>
    <row r="45092" spans="119:119" x14ac:dyDescent="0.2">
      <c r="DO45092" s="303" t="s">
        <v>232</v>
      </c>
    </row>
    <row r="45093" spans="119:119" x14ac:dyDescent="0.2">
      <c r="DO45093" s="303" t="s">
        <v>232</v>
      </c>
    </row>
    <row r="45094" spans="119:119" x14ac:dyDescent="0.2">
      <c r="DO45094" s="303" t="s">
        <v>232</v>
      </c>
    </row>
    <row r="45095" spans="119:119" x14ac:dyDescent="0.2">
      <c r="DO45095" s="303" t="s">
        <v>232</v>
      </c>
    </row>
    <row r="45096" spans="119:119" x14ac:dyDescent="0.2">
      <c r="DO45096" s="303" t="s">
        <v>232</v>
      </c>
    </row>
    <row r="45097" spans="119:119" x14ac:dyDescent="0.2">
      <c r="DO45097" s="303" t="s">
        <v>232</v>
      </c>
    </row>
    <row r="45098" spans="119:119" x14ac:dyDescent="0.2">
      <c r="DO45098" s="303" t="s">
        <v>232</v>
      </c>
    </row>
    <row r="45099" spans="119:119" x14ac:dyDescent="0.2">
      <c r="DO45099" s="303" t="s">
        <v>232</v>
      </c>
    </row>
    <row r="45100" spans="119:119" x14ac:dyDescent="0.2">
      <c r="DO45100" s="303" t="s">
        <v>232</v>
      </c>
    </row>
    <row r="45101" spans="119:119" x14ac:dyDescent="0.2">
      <c r="DO45101" s="303" t="s">
        <v>232</v>
      </c>
    </row>
    <row r="45102" spans="119:119" x14ac:dyDescent="0.2">
      <c r="DO45102" s="303" t="s">
        <v>232</v>
      </c>
    </row>
    <row r="45103" spans="119:119" x14ac:dyDescent="0.2">
      <c r="DO45103" s="303" t="s">
        <v>232</v>
      </c>
    </row>
    <row r="45104" spans="119:119" x14ac:dyDescent="0.2">
      <c r="DO45104" s="303" t="s">
        <v>232</v>
      </c>
    </row>
    <row r="45105" spans="119:119" x14ac:dyDescent="0.2">
      <c r="DO45105" s="303" t="s">
        <v>232</v>
      </c>
    </row>
    <row r="45106" spans="119:119" x14ac:dyDescent="0.2">
      <c r="DO45106" s="303" t="s">
        <v>232</v>
      </c>
    </row>
    <row r="45107" spans="119:119" x14ac:dyDescent="0.2">
      <c r="DO45107" s="303" t="s">
        <v>232</v>
      </c>
    </row>
    <row r="45108" spans="119:119" x14ac:dyDescent="0.2">
      <c r="DO45108" s="303" t="s">
        <v>232</v>
      </c>
    </row>
    <row r="45109" spans="119:119" x14ac:dyDescent="0.2">
      <c r="DO45109" s="303" t="s">
        <v>232</v>
      </c>
    </row>
    <row r="45110" spans="119:119" x14ac:dyDescent="0.2">
      <c r="DO45110" s="303" t="s">
        <v>232</v>
      </c>
    </row>
    <row r="45111" spans="119:119" x14ac:dyDescent="0.2">
      <c r="DO45111" s="303" t="s">
        <v>232</v>
      </c>
    </row>
    <row r="45112" spans="119:119" x14ac:dyDescent="0.2">
      <c r="DO45112" s="303" t="s">
        <v>232</v>
      </c>
    </row>
    <row r="45113" spans="119:119" x14ac:dyDescent="0.2">
      <c r="DO45113" s="303" t="s">
        <v>232</v>
      </c>
    </row>
    <row r="45114" spans="119:119" x14ac:dyDescent="0.2">
      <c r="DO45114" s="303" t="s">
        <v>232</v>
      </c>
    </row>
    <row r="45115" spans="119:119" x14ac:dyDescent="0.2">
      <c r="DO45115" s="303" t="s">
        <v>232</v>
      </c>
    </row>
    <row r="45116" spans="119:119" x14ac:dyDescent="0.2">
      <c r="DO45116" s="303" t="s">
        <v>232</v>
      </c>
    </row>
    <row r="45117" spans="119:119" x14ac:dyDescent="0.2">
      <c r="DO45117" s="303" t="s">
        <v>232</v>
      </c>
    </row>
    <row r="45118" spans="119:119" x14ac:dyDescent="0.2">
      <c r="DO45118" s="303" t="s">
        <v>232</v>
      </c>
    </row>
    <row r="45119" spans="119:119" x14ac:dyDescent="0.2">
      <c r="DO45119" s="303" t="s">
        <v>232</v>
      </c>
    </row>
    <row r="45120" spans="119:119" x14ac:dyDescent="0.2">
      <c r="DO45120" s="303" t="s">
        <v>232</v>
      </c>
    </row>
    <row r="45121" spans="119:119" x14ac:dyDescent="0.2">
      <c r="DO45121" s="303" t="s">
        <v>232</v>
      </c>
    </row>
    <row r="45122" spans="119:119" x14ac:dyDescent="0.2">
      <c r="DO45122" s="303" t="s">
        <v>232</v>
      </c>
    </row>
    <row r="45123" spans="119:119" x14ac:dyDescent="0.2">
      <c r="DO45123" s="303" t="s">
        <v>232</v>
      </c>
    </row>
    <row r="45124" spans="119:119" x14ac:dyDescent="0.2">
      <c r="DO45124" s="303" t="s">
        <v>232</v>
      </c>
    </row>
    <row r="45125" spans="119:119" x14ac:dyDescent="0.2">
      <c r="DO45125" s="303" t="s">
        <v>232</v>
      </c>
    </row>
    <row r="45126" spans="119:119" x14ac:dyDescent="0.2">
      <c r="DO45126" s="303" t="s">
        <v>232</v>
      </c>
    </row>
    <row r="45127" spans="119:119" x14ac:dyDescent="0.2">
      <c r="DO45127" s="303" t="s">
        <v>232</v>
      </c>
    </row>
    <row r="45128" spans="119:119" x14ac:dyDescent="0.2">
      <c r="DO45128" s="303" t="s">
        <v>232</v>
      </c>
    </row>
    <row r="45129" spans="119:119" x14ac:dyDescent="0.2">
      <c r="DO45129" s="303" t="s">
        <v>232</v>
      </c>
    </row>
    <row r="45130" spans="119:119" x14ac:dyDescent="0.2">
      <c r="DO45130" s="303" t="s">
        <v>232</v>
      </c>
    </row>
    <row r="45131" spans="119:119" x14ac:dyDescent="0.2">
      <c r="DO45131" s="303" t="s">
        <v>232</v>
      </c>
    </row>
    <row r="45132" spans="119:119" x14ac:dyDescent="0.2">
      <c r="DO45132" s="303" t="s">
        <v>232</v>
      </c>
    </row>
    <row r="45133" spans="119:119" x14ac:dyDescent="0.2">
      <c r="DO45133" s="303" t="s">
        <v>232</v>
      </c>
    </row>
    <row r="45134" spans="119:119" x14ac:dyDescent="0.2">
      <c r="DO45134" s="303" t="s">
        <v>232</v>
      </c>
    </row>
    <row r="45135" spans="119:119" x14ac:dyDescent="0.2">
      <c r="DO45135" s="303" t="s">
        <v>232</v>
      </c>
    </row>
    <row r="45136" spans="119:119" x14ac:dyDescent="0.2">
      <c r="DO45136" s="303" t="s">
        <v>232</v>
      </c>
    </row>
    <row r="45137" spans="119:119" x14ac:dyDescent="0.2">
      <c r="DO45137" s="303" t="s">
        <v>232</v>
      </c>
    </row>
    <row r="45138" spans="119:119" x14ac:dyDescent="0.2">
      <c r="DO45138" s="303" t="s">
        <v>232</v>
      </c>
    </row>
    <row r="45139" spans="119:119" x14ac:dyDescent="0.2">
      <c r="DO45139" s="303" t="s">
        <v>232</v>
      </c>
    </row>
    <row r="45140" spans="119:119" x14ac:dyDescent="0.2">
      <c r="DO45140" s="303" t="s">
        <v>232</v>
      </c>
    </row>
    <row r="45141" spans="119:119" x14ac:dyDescent="0.2">
      <c r="DO45141" s="303" t="s">
        <v>232</v>
      </c>
    </row>
    <row r="45142" spans="119:119" x14ac:dyDescent="0.2">
      <c r="DO45142" s="303" t="s">
        <v>232</v>
      </c>
    </row>
    <row r="45143" spans="119:119" x14ac:dyDescent="0.2">
      <c r="DO45143" s="303" t="s">
        <v>232</v>
      </c>
    </row>
    <row r="45144" spans="119:119" x14ac:dyDescent="0.2">
      <c r="DO45144" s="303" t="s">
        <v>232</v>
      </c>
    </row>
    <row r="45145" spans="119:119" x14ac:dyDescent="0.2">
      <c r="DO45145" s="303" t="s">
        <v>232</v>
      </c>
    </row>
    <row r="45146" spans="119:119" x14ac:dyDescent="0.2">
      <c r="DO45146" s="303" t="s">
        <v>232</v>
      </c>
    </row>
    <row r="45147" spans="119:119" x14ac:dyDescent="0.2">
      <c r="DO45147" s="303" t="s">
        <v>232</v>
      </c>
    </row>
    <row r="45148" spans="119:119" x14ac:dyDescent="0.2">
      <c r="DO45148" s="303" t="s">
        <v>232</v>
      </c>
    </row>
    <row r="45149" spans="119:119" x14ac:dyDescent="0.2">
      <c r="DO45149" s="303" t="s">
        <v>232</v>
      </c>
    </row>
    <row r="45150" spans="119:119" x14ac:dyDescent="0.2">
      <c r="DO45150" s="303" t="s">
        <v>232</v>
      </c>
    </row>
    <row r="45151" spans="119:119" x14ac:dyDescent="0.2">
      <c r="DO45151" s="303" t="s">
        <v>232</v>
      </c>
    </row>
    <row r="45152" spans="119:119" x14ac:dyDescent="0.2">
      <c r="DO45152" s="303" t="s">
        <v>232</v>
      </c>
    </row>
    <row r="45153" spans="119:119" x14ac:dyDescent="0.2">
      <c r="DO45153" s="303" t="s">
        <v>232</v>
      </c>
    </row>
    <row r="45154" spans="119:119" x14ac:dyDescent="0.2">
      <c r="DO45154" s="303" t="s">
        <v>232</v>
      </c>
    </row>
    <row r="45155" spans="119:119" x14ac:dyDescent="0.2">
      <c r="DO45155" s="303" t="s">
        <v>232</v>
      </c>
    </row>
    <row r="45156" spans="119:119" x14ac:dyDescent="0.2">
      <c r="DO45156" s="303" t="s">
        <v>232</v>
      </c>
    </row>
    <row r="45157" spans="119:119" x14ac:dyDescent="0.2">
      <c r="DO45157" s="303" t="s">
        <v>232</v>
      </c>
    </row>
    <row r="45158" spans="119:119" x14ac:dyDescent="0.2">
      <c r="DO45158" s="303" t="s">
        <v>232</v>
      </c>
    </row>
    <row r="45159" spans="119:119" x14ac:dyDescent="0.2">
      <c r="DO45159" s="303" t="s">
        <v>232</v>
      </c>
    </row>
    <row r="45160" spans="119:119" x14ac:dyDescent="0.2">
      <c r="DO45160" s="303" t="s">
        <v>232</v>
      </c>
    </row>
    <row r="45161" spans="119:119" x14ac:dyDescent="0.2">
      <c r="DO45161" s="303" t="s">
        <v>232</v>
      </c>
    </row>
    <row r="45162" spans="119:119" x14ac:dyDescent="0.2">
      <c r="DO45162" s="303" t="s">
        <v>232</v>
      </c>
    </row>
    <row r="45163" spans="119:119" x14ac:dyDescent="0.2">
      <c r="DO45163" s="303" t="s">
        <v>232</v>
      </c>
    </row>
    <row r="45164" spans="119:119" x14ac:dyDescent="0.2">
      <c r="DO45164" s="303" t="s">
        <v>232</v>
      </c>
    </row>
    <row r="45165" spans="119:119" x14ac:dyDescent="0.2">
      <c r="DO45165" s="303" t="s">
        <v>232</v>
      </c>
    </row>
    <row r="45166" spans="119:119" x14ac:dyDescent="0.2">
      <c r="DO45166" s="303" t="s">
        <v>232</v>
      </c>
    </row>
    <row r="45167" spans="119:119" x14ac:dyDescent="0.2">
      <c r="DO45167" s="303" t="s">
        <v>232</v>
      </c>
    </row>
    <row r="45168" spans="119:119" x14ac:dyDescent="0.2">
      <c r="DO45168" s="303" t="s">
        <v>232</v>
      </c>
    </row>
    <row r="45169" spans="119:119" x14ac:dyDescent="0.2">
      <c r="DO45169" s="303" t="s">
        <v>232</v>
      </c>
    </row>
    <row r="45170" spans="119:119" x14ac:dyDescent="0.2">
      <c r="DO45170" s="303" t="s">
        <v>232</v>
      </c>
    </row>
    <row r="45171" spans="119:119" x14ac:dyDescent="0.2">
      <c r="DO45171" s="303" t="s">
        <v>232</v>
      </c>
    </row>
    <row r="45172" spans="119:119" x14ac:dyDescent="0.2">
      <c r="DO45172" s="303" t="s">
        <v>232</v>
      </c>
    </row>
    <row r="45173" spans="119:119" x14ac:dyDescent="0.2">
      <c r="DO45173" s="303" t="s">
        <v>232</v>
      </c>
    </row>
    <row r="45174" spans="119:119" x14ac:dyDescent="0.2">
      <c r="DO45174" s="303" t="s">
        <v>232</v>
      </c>
    </row>
    <row r="45175" spans="119:119" x14ac:dyDescent="0.2">
      <c r="DO45175" s="303" t="s">
        <v>232</v>
      </c>
    </row>
    <row r="45176" spans="119:119" x14ac:dyDescent="0.2">
      <c r="DO45176" s="303" t="s">
        <v>232</v>
      </c>
    </row>
    <row r="45177" spans="119:119" x14ac:dyDescent="0.2">
      <c r="DO45177" s="303" t="s">
        <v>232</v>
      </c>
    </row>
    <row r="45178" spans="119:119" x14ac:dyDescent="0.2">
      <c r="DO45178" s="303" t="s">
        <v>232</v>
      </c>
    </row>
    <row r="45179" spans="119:119" x14ac:dyDescent="0.2">
      <c r="DO45179" s="303" t="s">
        <v>232</v>
      </c>
    </row>
    <row r="45180" spans="119:119" x14ac:dyDescent="0.2">
      <c r="DO45180" s="303" t="s">
        <v>232</v>
      </c>
    </row>
    <row r="45181" spans="119:119" x14ac:dyDescent="0.2">
      <c r="DO45181" s="303" t="s">
        <v>232</v>
      </c>
    </row>
    <row r="45182" spans="119:119" x14ac:dyDescent="0.2">
      <c r="DO45182" s="303" t="s">
        <v>232</v>
      </c>
    </row>
    <row r="45183" spans="119:119" x14ac:dyDescent="0.2">
      <c r="DO45183" s="303" t="s">
        <v>232</v>
      </c>
    </row>
    <row r="45184" spans="119:119" x14ac:dyDescent="0.2">
      <c r="DO45184" s="303" t="s">
        <v>232</v>
      </c>
    </row>
    <row r="45185" spans="119:119" x14ac:dyDescent="0.2">
      <c r="DO45185" s="303" t="s">
        <v>232</v>
      </c>
    </row>
    <row r="45186" spans="119:119" x14ac:dyDescent="0.2">
      <c r="DO45186" s="303" t="s">
        <v>232</v>
      </c>
    </row>
    <row r="45187" spans="119:119" x14ac:dyDescent="0.2">
      <c r="DO45187" s="303" t="s">
        <v>232</v>
      </c>
    </row>
    <row r="45188" spans="119:119" x14ac:dyDescent="0.2">
      <c r="DO45188" s="303" t="s">
        <v>232</v>
      </c>
    </row>
    <row r="45189" spans="119:119" x14ac:dyDescent="0.2">
      <c r="DO45189" s="303" t="s">
        <v>232</v>
      </c>
    </row>
    <row r="45190" spans="119:119" x14ac:dyDescent="0.2">
      <c r="DO45190" s="303" t="s">
        <v>232</v>
      </c>
    </row>
    <row r="45191" spans="119:119" x14ac:dyDescent="0.2">
      <c r="DO45191" s="303" t="s">
        <v>232</v>
      </c>
    </row>
    <row r="45192" spans="119:119" x14ac:dyDescent="0.2">
      <c r="DO45192" s="303" t="s">
        <v>232</v>
      </c>
    </row>
    <row r="45193" spans="119:119" x14ac:dyDescent="0.2">
      <c r="DO45193" s="303" t="s">
        <v>232</v>
      </c>
    </row>
    <row r="45194" spans="119:119" x14ac:dyDescent="0.2">
      <c r="DO45194" s="303" t="s">
        <v>232</v>
      </c>
    </row>
    <row r="45195" spans="119:119" x14ac:dyDescent="0.2">
      <c r="DO45195" s="303" t="s">
        <v>232</v>
      </c>
    </row>
    <row r="45196" spans="119:119" x14ac:dyDescent="0.2">
      <c r="DO45196" s="303" t="s">
        <v>232</v>
      </c>
    </row>
    <row r="45197" spans="119:119" x14ac:dyDescent="0.2">
      <c r="DO45197" s="303" t="s">
        <v>232</v>
      </c>
    </row>
    <row r="45198" spans="119:119" x14ac:dyDescent="0.2">
      <c r="DO45198" s="303" t="s">
        <v>232</v>
      </c>
    </row>
    <row r="45199" spans="119:119" x14ac:dyDescent="0.2">
      <c r="DO45199" s="303" t="s">
        <v>232</v>
      </c>
    </row>
    <row r="45200" spans="119:119" x14ac:dyDescent="0.2">
      <c r="DO45200" s="303" t="s">
        <v>232</v>
      </c>
    </row>
    <row r="45201" spans="119:119" x14ac:dyDescent="0.2">
      <c r="DO45201" s="303" t="s">
        <v>232</v>
      </c>
    </row>
    <row r="45202" spans="119:119" x14ac:dyDescent="0.2">
      <c r="DO45202" s="303" t="s">
        <v>232</v>
      </c>
    </row>
    <row r="45203" spans="119:119" x14ac:dyDescent="0.2">
      <c r="DO45203" s="303" t="s">
        <v>232</v>
      </c>
    </row>
    <row r="45204" spans="119:119" x14ac:dyDescent="0.2">
      <c r="DO45204" s="303" t="s">
        <v>232</v>
      </c>
    </row>
    <row r="45205" spans="119:119" x14ac:dyDescent="0.2">
      <c r="DO45205" s="303" t="s">
        <v>232</v>
      </c>
    </row>
    <row r="45206" spans="119:119" x14ac:dyDescent="0.2">
      <c r="DO45206" s="303" t="s">
        <v>232</v>
      </c>
    </row>
    <row r="45207" spans="119:119" x14ac:dyDescent="0.2">
      <c r="DO45207" s="303" t="s">
        <v>232</v>
      </c>
    </row>
    <row r="45208" spans="119:119" x14ac:dyDescent="0.2">
      <c r="DO45208" s="303" t="s">
        <v>232</v>
      </c>
    </row>
    <row r="45209" spans="119:119" x14ac:dyDescent="0.2">
      <c r="DO45209" s="303" t="s">
        <v>232</v>
      </c>
    </row>
    <row r="45210" spans="119:119" x14ac:dyDescent="0.2">
      <c r="DO45210" s="303" t="s">
        <v>232</v>
      </c>
    </row>
    <row r="45211" spans="119:119" x14ac:dyDescent="0.2">
      <c r="DO45211" s="303" t="s">
        <v>232</v>
      </c>
    </row>
    <row r="45212" spans="119:119" x14ac:dyDescent="0.2">
      <c r="DO45212" s="303" t="s">
        <v>232</v>
      </c>
    </row>
    <row r="45213" spans="119:119" x14ac:dyDescent="0.2">
      <c r="DO45213" s="303" t="s">
        <v>232</v>
      </c>
    </row>
    <row r="45214" spans="119:119" x14ac:dyDescent="0.2">
      <c r="DO45214" s="303" t="s">
        <v>232</v>
      </c>
    </row>
    <row r="45215" spans="119:119" x14ac:dyDescent="0.2">
      <c r="DO45215" s="303" t="s">
        <v>232</v>
      </c>
    </row>
    <row r="45216" spans="119:119" x14ac:dyDescent="0.2">
      <c r="DO45216" s="303" t="s">
        <v>232</v>
      </c>
    </row>
    <row r="45217" spans="119:119" x14ac:dyDescent="0.2">
      <c r="DO45217" s="303" t="s">
        <v>232</v>
      </c>
    </row>
    <row r="45218" spans="119:119" x14ac:dyDescent="0.2">
      <c r="DO45218" s="303" t="s">
        <v>232</v>
      </c>
    </row>
    <row r="45219" spans="119:119" x14ac:dyDescent="0.2">
      <c r="DO45219" s="303" t="s">
        <v>232</v>
      </c>
    </row>
    <row r="45220" spans="119:119" x14ac:dyDescent="0.2">
      <c r="DO45220" s="303" t="s">
        <v>232</v>
      </c>
    </row>
    <row r="45221" spans="119:119" x14ac:dyDescent="0.2">
      <c r="DO45221" s="303" t="s">
        <v>232</v>
      </c>
    </row>
    <row r="45222" spans="119:119" x14ac:dyDescent="0.2">
      <c r="DO45222" s="303" t="s">
        <v>232</v>
      </c>
    </row>
    <row r="45223" spans="119:119" x14ac:dyDescent="0.2">
      <c r="DO45223" s="303" t="s">
        <v>232</v>
      </c>
    </row>
    <row r="45224" spans="119:119" x14ac:dyDescent="0.2">
      <c r="DO45224" s="303" t="s">
        <v>232</v>
      </c>
    </row>
    <row r="45225" spans="119:119" x14ac:dyDescent="0.2">
      <c r="DO45225" s="303" t="s">
        <v>232</v>
      </c>
    </row>
    <row r="45226" spans="119:119" x14ac:dyDescent="0.2">
      <c r="DO45226" s="303" t="s">
        <v>232</v>
      </c>
    </row>
    <row r="45227" spans="119:119" x14ac:dyDescent="0.2">
      <c r="DO45227" s="303" t="s">
        <v>232</v>
      </c>
    </row>
    <row r="45228" spans="119:119" x14ac:dyDescent="0.2">
      <c r="DO45228" s="303" t="s">
        <v>232</v>
      </c>
    </row>
    <row r="45229" spans="119:119" x14ac:dyDescent="0.2">
      <c r="DO45229" s="303" t="s">
        <v>232</v>
      </c>
    </row>
    <row r="45230" spans="119:119" x14ac:dyDescent="0.2">
      <c r="DO45230" s="303" t="s">
        <v>232</v>
      </c>
    </row>
    <row r="45231" spans="119:119" x14ac:dyDescent="0.2">
      <c r="DO45231" s="303" t="s">
        <v>232</v>
      </c>
    </row>
    <row r="45232" spans="119:119" x14ac:dyDescent="0.2">
      <c r="DO45232" s="303" t="s">
        <v>232</v>
      </c>
    </row>
    <row r="45233" spans="119:119" x14ac:dyDescent="0.2">
      <c r="DO45233" s="303" t="s">
        <v>232</v>
      </c>
    </row>
    <row r="45234" spans="119:119" x14ac:dyDescent="0.2">
      <c r="DO45234" s="303" t="s">
        <v>232</v>
      </c>
    </row>
    <row r="45235" spans="119:119" x14ac:dyDescent="0.2">
      <c r="DO45235" s="303" t="s">
        <v>232</v>
      </c>
    </row>
    <row r="45236" spans="119:119" x14ac:dyDescent="0.2">
      <c r="DO45236" s="303" t="s">
        <v>232</v>
      </c>
    </row>
    <row r="45237" spans="119:119" x14ac:dyDescent="0.2">
      <c r="DO45237" s="303" t="s">
        <v>232</v>
      </c>
    </row>
    <row r="45238" spans="119:119" x14ac:dyDescent="0.2">
      <c r="DO45238" s="303" t="s">
        <v>232</v>
      </c>
    </row>
    <row r="45239" spans="119:119" x14ac:dyDescent="0.2">
      <c r="DO45239" s="303" t="s">
        <v>232</v>
      </c>
    </row>
    <row r="45240" spans="119:119" x14ac:dyDescent="0.2">
      <c r="DO45240" s="303" t="s">
        <v>232</v>
      </c>
    </row>
    <row r="45241" spans="119:119" x14ac:dyDescent="0.2">
      <c r="DO45241" s="303" t="s">
        <v>232</v>
      </c>
    </row>
    <row r="45242" spans="119:119" x14ac:dyDescent="0.2">
      <c r="DO45242" s="303" t="s">
        <v>232</v>
      </c>
    </row>
    <row r="45243" spans="119:119" x14ac:dyDescent="0.2">
      <c r="DO45243" s="303" t="s">
        <v>232</v>
      </c>
    </row>
    <row r="45244" spans="119:119" x14ac:dyDescent="0.2">
      <c r="DO45244" s="303" t="s">
        <v>232</v>
      </c>
    </row>
    <row r="45245" spans="119:119" x14ac:dyDescent="0.2">
      <c r="DO45245" s="303" t="s">
        <v>232</v>
      </c>
    </row>
    <row r="45246" spans="119:119" x14ac:dyDescent="0.2">
      <c r="DO45246" s="303" t="s">
        <v>232</v>
      </c>
    </row>
    <row r="45247" spans="119:119" x14ac:dyDescent="0.2">
      <c r="DO45247" s="303" t="s">
        <v>232</v>
      </c>
    </row>
    <row r="45248" spans="119:119" x14ac:dyDescent="0.2">
      <c r="DO45248" s="303" t="s">
        <v>232</v>
      </c>
    </row>
    <row r="45249" spans="119:119" x14ac:dyDescent="0.2">
      <c r="DO45249" s="303" t="s">
        <v>232</v>
      </c>
    </row>
    <row r="45250" spans="119:119" x14ac:dyDescent="0.2">
      <c r="DO45250" s="303" t="s">
        <v>232</v>
      </c>
    </row>
    <row r="45251" spans="119:119" x14ac:dyDescent="0.2">
      <c r="DO45251" s="303" t="s">
        <v>232</v>
      </c>
    </row>
    <row r="45252" spans="119:119" x14ac:dyDescent="0.2">
      <c r="DO45252" s="303" t="s">
        <v>232</v>
      </c>
    </row>
    <row r="45253" spans="119:119" x14ac:dyDescent="0.2">
      <c r="DO45253" s="303" t="s">
        <v>232</v>
      </c>
    </row>
    <row r="45254" spans="119:119" x14ac:dyDescent="0.2">
      <c r="DO45254" s="303" t="s">
        <v>232</v>
      </c>
    </row>
    <row r="45255" spans="119:119" x14ac:dyDescent="0.2">
      <c r="DO45255" s="303" t="s">
        <v>232</v>
      </c>
    </row>
    <row r="45256" spans="119:119" x14ac:dyDescent="0.2">
      <c r="DO45256" s="303" t="s">
        <v>232</v>
      </c>
    </row>
    <row r="45257" spans="119:119" x14ac:dyDescent="0.2">
      <c r="DO45257" s="303" t="s">
        <v>232</v>
      </c>
    </row>
    <row r="45258" spans="119:119" x14ac:dyDescent="0.2">
      <c r="DO45258" s="303" t="s">
        <v>232</v>
      </c>
    </row>
    <row r="45259" spans="119:119" x14ac:dyDescent="0.2">
      <c r="DO45259" s="303" t="s">
        <v>232</v>
      </c>
    </row>
    <row r="45260" spans="119:119" x14ac:dyDescent="0.2">
      <c r="DO45260" s="303" t="s">
        <v>232</v>
      </c>
    </row>
    <row r="45261" spans="119:119" x14ac:dyDescent="0.2">
      <c r="DO45261" s="303" t="s">
        <v>232</v>
      </c>
    </row>
    <row r="45262" spans="119:119" x14ac:dyDescent="0.2">
      <c r="DO45262" s="303" t="s">
        <v>232</v>
      </c>
    </row>
    <row r="45263" spans="119:119" x14ac:dyDescent="0.2">
      <c r="DO45263" s="303" t="s">
        <v>232</v>
      </c>
    </row>
    <row r="45264" spans="119:119" x14ac:dyDescent="0.2">
      <c r="DO45264" s="303" t="s">
        <v>232</v>
      </c>
    </row>
    <row r="45265" spans="119:119" x14ac:dyDescent="0.2">
      <c r="DO45265" s="303" t="s">
        <v>232</v>
      </c>
    </row>
    <row r="45266" spans="119:119" x14ac:dyDescent="0.2">
      <c r="DO45266" s="303" t="s">
        <v>232</v>
      </c>
    </row>
    <row r="45267" spans="119:119" x14ac:dyDescent="0.2">
      <c r="DO45267" s="303" t="s">
        <v>232</v>
      </c>
    </row>
    <row r="45268" spans="119:119" x14ac:dyDescent="0.2">
      <c r="DO45268" s="303" t="s">
        <v>232</v>
      </c>
    </row>
    <row r="45269" spans="119:119" x14ac:dyDescent="0.2">
      <c r="DO45269" s="303" t="s">
        <v>232</v>
      </c>
    </row>
    <row r="45270" spans="119:119" x14ac:dyDescent="0.2">
      <c r="DO45270" s="303" t="s">
        <v>232</v>
      </c>
    </row>
    <row r="45271" spans="119:119" x14ac:dyDescent="0.2">
      <c r="DO45271" s="303" t="s">
        <v>232</v>
      </c>
    </row>
    <row r="45272" spans="119:119" x14ac:dyDescent="0.2">
      <c r="DO45272" s="303" t="s">
        <v>232</v>
      </c>
    </row>
    <row r="45273" spans="119:119" x14ac:dyDescent="0.2">
      <c r="DO45273" s="303" t="s">
        <v>232</v>
      </c>
    </row>
    <row r="45274" spans="119:119" x14ac:dyDescent="0.2">
      <c r="DO45274" s="303" t="s">
        <v>232</v>
      </c>
    </row>
    <row r="45275" spans="119:119" x14ac:dyDescent="0.2">
      <c r="DO45275" s="303" t="s">
        <v>232</v>
      </c>
    </row>
    <row r="45276" spans="119:119" x14ac:dyDescent="0.2">
      <c r="DO45276" s="303" t="s">
        <v>232</v>
      </c>
    </row>
    <row r="45277" spans="119:119" x14ac:dyDescent="0.2">
      <c r="DO45277" s="303" t="s">
        <v>232</v>
      </c>
    </row>
    <row r="45278" spans="119:119" x14ac:dyDescent="0.2">
      <c r="DO45278" s="303" t="s">
        <v>232</v>
      </c>
    </row>
    <row r="45279" spans="119:119" x14ac:dyDescent="0.2">
      <c r="DO45279" s="303" t="s">
        <v>232</v>
      </c>
    </row>
    <row r="45280" spans="119:119" x14ac:dyDescent="0.2">
      <c r="DO45280" s="303" t="s">
        <v>232</v>
      </c>
    </row>
    <row r="45281" spans="119:119" x14ac:dyDescent="0.2">
      <c r="DO45281" s="303" t="s">
        <v>232</v>
      </c>
    </row>
    <row r="45282" spans="119:119" x14ac:dyDescent="0.2">
      <c r="DO45282" s="303" t="s">
        <v>232</v>
      </c>
    </row>
    <row r="45283" spans="119:119" x14ac:dyDescent="0.2">
      <c r="DO45283" s="303" t="s">
        <v>232</v>
      </c>
    </row>
    <row r="45284" spans="119:119" x14ac:dyDescent="0.2">
      <c r="DO45284" s="303" t="s">
        <v>232</v>
      </c>
    </row>
    <row r="45285" spans="119:119" x14ac:dyDescent="0.2">
      <c r="DO45285" s="303" t="s">
        <v>232</v>
      </c>
    </row>
    <row r="45286" spans="119:119" x14ac:dyDescent="0.2">
      <c r="DO45286" s="303" t="s">
        <v>232</v>
      </c>
    </row>
    <row r="45287" spans="119:119" x14ac:dyDescent="0.2">
      <c r="DO45287" s="303" t="s">
        <v>232</v>
      </c>
    </row>
    <row r="45288" spans="119:119" x14ac:dyDescent="0.2">
      <c r="DO45288" s="303" t="s">
        <v>232</v>
      </c>
    </row>
    <row r="45289" spans="119:119" x14ac:dyDescent="0.2">
      <c r="DO45289" s="303" t="s">
        <v>232</v>
      </c>
    </row>
    <row r="45290" spans="119:119" x14ac:dyDescent="0.2">
      <c r="DO45290" s="303" t="s">
        <v>232</v>
      </c>
    </row>
    <row r="45291" spans="119:119" x14ac:dyDescent="0.2">
      <c r="DO45291" s="303" t="s">
        <v>232</v>
      </c>
    </row>
    <row r="45292" spans="119:119" x14ac:dyDescent="0.2">
      <c r="DO45292" s="303" t="s">
        <v>232</v>
      </c>
    </row>
    <row r="45293" spans="119:119" x14ac:dyDescent="0.2">
      <c r="DO45293" s="303" t="s">
        <v>232</v>
      </c>
    </row>
    <row r="45294" spans="119:119" x14ac:dyDescent="0.2">
      <c r="DO45294" s="303" t="s">
        <v>232</v>
      </c>
    </row>
    <row r="45295" spans="119:119" x14ac:dyDescent="0.2">
      <c r="DO45295" s="303" t="s">
        <v>232</v>
      </c>
    </row>
    <row r="45296" spans="119:119" x14ac:dyDescent="0.2">
      <c r="DO45296" s="303" t="s">
        <v>232</v>
      </c>
    </row>
    <row r="45297" spans="119:119" x14ac:dyDescent="0.2">
      <c r="DO45297" s="303" t="s">
        <v>232</v>
      </c>
    </row>
    <row r="45298" spans="119:119" x14ac:dyDescent="0.2">
      <c r="DO45298" s="303" t="s">
        <v>232</v>
      </c>
    </row>
    <row r="45299" spans="119:119" x14ac:dyDescent="0.2">
      <c r="DO45299" s="303" t="s">
        <v>232</v>
      </c>
    </row>
    <row r="45300" spans="119:119" x14ac:dyDescent="0.2">
      <c r="DO45300" s="303" t="s">
        <v>232</v>
      </c>
    </row>
    <row r="45301" spans="119:119" x14ac:dyDescent="0.2">
      <c r="DO45301" s="303" t="s">
        <v>232</v>
      </c>
    </row>
    <row r="45302" spans="119:119" x14ac:dyDescent="0.2">
      <c r="DO45302" s="303" t="s">
        <v>232</v>
      </c>
    </row>
    <row r="45303" spans="119:119" x14ac:dyDescent="0.2">
      <c r="DO45303" s="303" t="s">
        <v>232</v>
      </c>
    </row>
    <row r="45304" spans="119:119" x14ac:dyDescent="0.2">
      <c r="DO45304" s="303" t="s">
        <v>232</v>
      </c>
    </row>
    <row r="45305" spans="119:119" x14ac:dyDescent="0.2">
      <c r="DO45305" s="303" t="s">
        <v>232</v>
      </c>
    </row>
    <row r="45306" spans="119:119" x14ac:dyDescent="0.2">
      <c r="DO45306" s="303" t="s">
        <v>232</v>
      </c>
    </row>
    <row r="45307" spans="119:119" x14ac:dyDescent="0.2">
      <c r="DO45307" s="303" t="s">
        <v>232</v>
      </c>
    </row>
    <row r="45308" spans="119:119" x14ac:dyDescent="0.2">
      <c r="DO45308" s="303" t="s">
        <v>232</v>
      </c>
    </row>
    <row r="45309" spans="119:119" x14ac:dyDescent="0.2">
      <c r="DO45309" s="303" t="s">
        <v>232</v>
      </c>
    </row>
    <row r="45310" spans="119:119" x14ac:dyDescent="0.2">
      <c r="DO45310" s="303" t="s">
        <v>232</v>
      </c>
    </row>
    <row r="45311" spans="119:119" x14ac:dyDescent="0.2">
      <c r="DO45311" s="303" t="s">
        <v>232</v>
      </c>
    </row>
    <row r="45312" spans="119:119" x14ac:dyDescent="0.2">
      <c r="DO45312" s="303" t="s">
        <v>232</v>
      </c>
    </row>
    <row r="45313" spans="119:119" x14ac:dyDescent="0.2">
      <c r="DO45313" s="303" t="s">
        <v>232</v>
      </c>
    </row>
    <row r="45314" spans="119:119" x14ac:dyDescent="0.2">
      <c r="DO45314" s="303" t="s">
        <v>232</v>
      </c>
    </row>
    <row r="45315" spans="119:119" x14ac:dyDescent="0.2">
      <c r="DO45315" s="303" t="s">
        <v>232</v>
      </c>
    </row>
    <row r="45316" spans="119:119" x14ac:dyDescent="0.2">
      <c r="DO45316" s="303" t="s">
        <v>232</v>
      </c>
    </row>
    <row r="45317" spans="119:119" x14ac:dyDescent="0.2">
      <c r="DO45317" s="303" t="s">
        <v>232</v>
      </c>
    </row>
    <row r="45318" spans="119:119" x14ac:dyDescent="0.2">
      <c r="DO45318" s="303" t="s">
        <v>232</v>
      </c>
    </row>
    <row r="45319" spans="119:119" x14ac:dyDescent="0.2">
      <c r="DO45319" s="303" t="s">
        <v>232</v>
      </c>
    </row>
    <row r="45320" spans="119:119" x14ac:dyDescent="0.2">
      <c r="DO45320" s="303" t="s">
        <v>232</v>
      </c>
    </row>
    <row r="45321" spans="119:119" x14ac:dyDescent="0.2">
      <c r="DO45321" s="303" t="s">
        <v>232</v>
      </c>
    </row>
    <row r="45322" spans="119:119" x14ac:dyDescent="0.2">
      <c r="DO45322" s="303" t="s">
        <v>232</v>
      </c>
    </row>
    <row r="45323" spans="119:119" x14ac:dyDescent="0.2">
      <c r="DO45323" s="303" t="s">
        <v>232</v>
      </c>
    </row>
    <row r="45324" spans="119:119" x14ac:dyDescent="0.2">
      <c r="DO45324" s="303" t="s">
        <v>232</v>
      </c>
    </row>
    <row r="45325" spans="119:119" x14ac:dyDescent="0.2">
      <c r="DO45325" s="303" t="s">
        <v>232</v>
      </c>
    </row>
    <row r="45326" spans="119:119" x14ac:dyDescent="0.2">
      <c r="DO45326" s="303" t="s">
        <v>232</v>
      </c>
    </row>
    <row r="45327" spans="119:119" x14ac:dyDescent="0.2">
      <c r="DO45327" s="303" t="s">
        <v>232</v>
      </c>
    </row>
    <row r="45328" spans="119:119" x14ac:dyDescent="0.2">
      <c r="DO45328" s="303" t="s">
        <v>232</v>
      </c>
    </row>
    <row r="45329" spans="119:119" x14ac:dyDescent="0.2">
      <c r="DO45329" s="303" t="s">
        <v>232</v>
      </c>
    </row>
    <row r="45330" spans="119:119" x14ac:dyDescent="0.2">
      <c r="DO45330" s="303" t="s">
        <v>232</v>
      </c>
    </row>
    <row r="45331" spans="119:119" x14ac:dyDescent="0.2">
      <c r="DO45331" s="303" t="s">
        <v>232</v>
      </c>
    </row>
    <row r="45332" spans="119:119" x14ac:dyDescent="0.2">
      <c r="DO45332" s="303" t="s">
        <v>232</v>
      </c>
    </row>
    <row r="45333" spans="119:119" x14ac:dyDescent="0.2">
      <c r="DO45333" s="303" t="s">
        <v>232</v>
      </c>
    </row>
    <row r="45334" spans="119:119" x14ac:dyDescent="0.2">
      <c r="DO45334" s="303" t="s">
        <v>232</v>
      </c>
    </row>
    <row r="45335" spans="119:119" x14ac:dyDescent="0.2">
      <c r="DO45335" s="303" t="s">
        <v>232</v>
      </c>
    </row>
    <row r="45336" spans="119:119" x14ac:dyDescent="0.2">
      <c r="DO45336" s="303" t="s">
        <v>232</v>
      </c>
    </row>
    <row r="45337" spans="119:119" x14ac:dyDescent="0.2">
      <c r="DO45337" s="303" t="s">
        <v>232</v>
      </c>
    </row>
    <row r="45338" spans="119:119" x14ac:dyDescent="0.2">
      <c r="DO45338" s="303" t="s">
        <v>232</v>
      </c>
    </row>
    <row r="45339" spans="119:119" x14ac:dyDescent="0.2">
      <c r="DO45339" s="303" t="s">
        <v>232</v>
      </c>
    </row>
    <row r="45340" spans="119:119" x14ac:dyDescent="0.2">
      <c r="DO45340" s="303" t="s">
        <v>232</v>
      </c>
    </row>
    <row r="45341" spans="119:119" x14ac:dyDescent="0.2">
      <c r="DO45341" s="303" t="s">
        <v>232</v>
      </c>
    </row>
    <row r="45342" spans="119:119" x14ac:dyDescent="0.2">
      <c r="DO45342" s="303" t="s">
        <v>232</v>
      </c>
    </row>
    <row r="45343" spans="119:119" x14ac:dyDescent="0.2">
      <c r="DO45343" s="303" t="s">
        <v>232</v>
      </c>
    </row>
    <row r="45344" spans="119:119" x14ac:dyDescent="0.2">
      <c r="DO45344" s="303" t="s">
        <v>232</v>
      </c>
    </row>
    <row r="45345" spans="119:119" x14ac:dyDescent="0.2">
      <c r="DO45345" s="303" t="s">
        <v>232</v>
      </c>
    </row>
    <row r="45346" spans="119:119" x14ac:dyDescent="0.2">
      <c r="DO45346" s="303" t="s">
        <v>232</v>
      </c>
    </row>
    <row r="45347" spans="119:119" x14ac:dyDescent="0.2">
      <c r="DO45347" s="303" t="s">
        <v>232</v>
      </c>
    </row>
    <row r="45348" spans="119:119" x14ac:dyDescent="0.2">
      <c r="DO45348" s="303" t="s">
        <v>232</v>
      </c>
    </row>
    <row r="45349" spans="119:119" x14ac:dyDescent="0.2">
      <c r="DO45349" s="303" t="s">
        <v>232</v>
      </c>
    </row>
    <row r="45350" spans="119:119" x14ac:dyDescent="0.2">
      <c r="DO45350" s="303" t="s">
        <v>232</v>
      </c>
    </row>
    <row r="45351" spans="119:119" x14ac:dyDescent="0.2">
      <c r="DO45351" s="303" t="s">
        <v>232</v>
      </c>
    </row>
    <row r="45352" spans="119:119" x14ac:dyDescent="0.2">
      <c r="DO45352" s="303" t="s">
        <v>232</v>
      </c>
    </row>
    <row r="45353" spans="119:119" x14ac:dyDescent="0.2">
      <c r="DO45353" s="303" t="s">
        <v>232</v>
      </c>
    </row>
    <row r="45354" spans="119:119" x14ac:dyDescent="0.2">
      <c r="DO45354" s="303" t="s">
        <v>232</v>
      </c>
    </row>
    <row r="45355" spans="119:119" x14ac:dyDescent="0.2">
      <c r="DO45355" s="303" t="s">
        <v>232</v>
      </c>
    </row>
    <row r="45356" spans="119:119" x14ac:dyDescent="0.2">
      <c r="DO45356" s="303" t="s">
        <v>232</v>
      </c>
    </row>
    <row r="45357" spans="119:119" x14ac:dyDescent="0.2">
      <c r="DO45357" s="303" t="s">
        <v>232</v>
      </c>
    </row>
    <row r="45358" spans="119:119" x14ac:dyDescent="0.2">
      <c r="DO45358" s="303" t="s">
        <v>232</v>
      </c>
    </row>
    <row r="45359" spans="119:119" x14ac:dyDescent="0.2">
      <c r="DO45359" s="303" t="s">
        <v>232</v>
      </c>
    </row>
    <row r="45360" spans="119:119" x14ac:dyDescent="0.2">
      <c r="DO45360" s="303" t="s">
        <v>232</v>
      </c>
    </row>
    <row r="45361" spans="119:119" x14ac:dyDescent="0.2">
      <c r="DO45361" s="303" t="s">
        <v>232</v>
      </c>
    </row>
    <row r="45362" spans="119:119" x14ac:dyDescent="0.2">
      <c r="DO45362" s="303" t="s">
        <v>232</v>
      </c>
    </row>
    <row r="45363" spans="119:119" x14ac:dyDescent="0.2">
      <c r="DO45363" s="303" t="s">
        <v>232</v>
      </c>
    </row>
    <row r="45364" spans="119:119" x14ac:dyDescent="0.2">
      <c r="DO45364" s="303" t="s">
        <v>232</v>
      </c>
    </row>
    <row r="45365" spans="119:119" x14ac:dyDescent="0.2">
      <c r="DO45365" s="303" t="s">
        <v>232</v>
      </c>
    </row>
    <row r="45366" spans="119:119" x14ac:dyDescent="0.2">
      <c r="DO45366" s="303" t="s">
        <v>232</v>
      </c>
    </row>
    <row r="45367" spans="119:119" x14ac:dyDescent="0.2">
      <c r="DO45367" s="303" t="s">
        <v>232</v>
      </c>
    </row>
    <row r="45368" spans="119:119" x14ac:dyDescent="0.2">
      <c r="DO45368" s="303" t="s">
        <v>232</v>
      </c>
    </row>
    <row r="45369" spans="119:119" x14ac:dyDescent="0.2">
      <c r="DO45369" s="303" t="s">
        <v>232</v>
      </c>
    </row>
    <row r="45370" spans="119:119" x14ac:dyDescent="0.2">
      <c r="DO45370" s="303" t="s">
        <v>232</v>
      </c>
    </row>
    <row r="45371" spans="119:119" x14ac:dyDescent="0.2">
      <c r="DO45371" s="303" t="s">
        <v>232</v>
      </c>
    </row>
    <row r="45372" spans="119:119" x14ac:dyDescent="0.2">
      <c r="DO45372" s="303" t="s">
        <v>232</v>
      </c>
    </row>
    <row r="45373" spans="119:119" x14ac:dyDescent="0.2">
      <c r="DO45373" s="303" t="s">
        <v>232</v>
      </c>
    </row>
    <row r="45374" spans="119:119" x14ac:dyDescent="0.2">
      <c r="DO45374" s="303" t="s">
        <v>232</v>
      </c>
    </row>
    <row r="45375" spans="119:119" x14ac:dyDescent="0.2">
      <c r="DO45375" s="303" t="s">
        <v>232</v>
      </c>
    </row>
    <row r="45376" spans="119:119" x14ac:dyDescent="0.2">
      <c r="DO45376" s="303" t="s">
        <v>232</v>
      </c>
    </row>
    <row r="45377" spans="119:119" x14ac:dyDescent="0.2">
      <c r="DO45377" s="303" t="s">
        <v>232</v>
      </c>
    </row>
    <row r="45378" spans="119:119" x14ac:dyDescent="0.2">
      <c r="DO45378" s="303" t="s">
        <v>232</v>
      </c>
    </row>
    <row r="45379" spans="119:119" x14ac:dyDescent="0.2">
      <c r="DO45379" s="303" t="s">
        <v>232</v>
      </c>
    </row>
    <row r="45380" spans="119:119" x14ac:dyDescent="0.2">
      <c r="DO45380" s="303" t="s">
        <v>232</v>
      </c>
    </row>
    <row r="45381" spans="119:119" x14ac:dyDescent="0.2">
      <c r="DO45381" s="303" t="s">
        <v>232</v>
      </c>
    </row>
    <row r="45382" spans="119:119" x14ac:dyDescent="0.2">
      <c r="DO45382" s="303" t="s">
        <v>232</v>
      </c>
    </row>
    <row r="45383" spans="119:119" x14ac:dyDescent="0.2">
      <c r="DO45383" s="303" t="s">
        <v>232</v>
      </c>
    </row>
    <row r="45384" spans="119:119" x14ac:dyDescent="0.2">
      <c r="DO45384" s="303" t="s">
        <v>232</v>
      </c>
    </row>
    <row r="45385" spans="119:119" x14ac:dyDescent="0.2">
      <c r="DO45385" s="303" t="s">
        <v>232</v>
      </c>
    </row>
    <row r="45386" spans="119:119" x14ac:dyDescent="0.2">
      <c r="DO45386" s="303" t="s">
        <v>232</v>
      </c>
    </row>
    <row r="45387" spans="119:119" x14ac:dyDescent="0.2">
      <c r="DO45387" s="303" t="s">
        <v>232</v>
      </c>
    </row>
    <row r="45388" spans="119:119" x14ac:dyDescent="0.2">
      <c r="DO45388" s="303" t="s">
        <v>232</v>
      </c>
    </row>
    <row r="45389" spans="119:119" x14ac:dyDescent="0.2">
      <c r="DO45389" s="303" t="s">
        <v>232</v>
      </c>
    </row>
    <row r="45390" spans="119:119" x14ac:dyDescent="0.2">
      <c r="DO45390" s="303" t="s">
        <v>232</v>
      </c>
    </row>
    <row r="45391" spans="119:119" x14ac:dyDescent="0.2">
      <c r="DO45391" s="303" t="s">
        <v>232</v>
      </c>
    </row>
    <row r="45392" spans="119:119" x14ac:dyDescent="0.2">
      <c r="DO45392" s="303" t="s">
        <v>232</v>
      </c>
    </row>
    <row r="45393" spans="119:119" x14ac:dyDescent="0.2">
      <c r="DO45393" s="303" t="s">
        <v>232</v>
      </c>
    </row>
    <row r="45394" spans="119:119" x14ac:dyDescent="0.2">
      <c r="DO45394" s="303" t="s">
        <v>232</v>
      </c>
    </row>
    <row r="45395" spans="119:119" x14ac:dyDescent="0.2">
      <c r="DO45395" s="303" t="s">
        <v>232</v>
      </c>
    </row>
    <row r="45396" spans="119:119" x14ac:dyDescent="0.2">
      <c r="DO45396" s="303" t="s">
        <v>232</v>
      </c>
    </row>
    <row r="45397" spans="119:119" x14ac:dyDescent="0.2">
      <c r="DO45397" s="303" t="s">
        <v>232</v>
      </c>
    </row>
    <row r="45398" spans="119:119" x14ac:dyDescent="0.2">
      <c r="DO45398" s="303" t="s">
        <v>232</v>
      </c>
    </row>
    <row r="45399" spans="119:119" x14ac:dyDescent="0.2">
      <c r="DO45399" s="303" t="s">
        <v>232</v>
      </c>
    </row>
    <row r="45400" spans="119:119" x14ac:dyDescent="0.2">
      <c r="DO45400" s="303" t="s">
        <v>232</v>
      </c>
    </row>
    <row r="45401" spans="119:119" x14ac:dyDescent="0.2">
      <c r="DO45401" s="303" t="s">
        <v>232</v>
      </c>
    </row>
    <row r="45402" spans="119:119" x14ac:dyDescent="0.2">
      <c r="DO45402" s="303" t="s">
        <v>232</v>
      </c>
    </row>
    <row r="45403" spans="119:119" x14ac:dyDescent="0.2">
      <c r="DO45403" s="303" t="s">
        <v>232</v>
      </c>
    </row>
    <row r="45404" spans="119:119" x14ac:dyDescent="0.2">
      <c r="DO45404" s="303" t="s">
        <v>232</v>
      </c>
    </row>
    <row r="45405" spans="119:119" x14ac:dyDescent="0.2">
      <c r="DO45405" s="303" t="s">
        <v>232</v>
      </c>
    </row>
    <row r="45406" spans="119:119" x14ac:dyDescent="0.2">
      <c r="DO45406" s="303" t="s">
        <v>232</v>
      </c>
    </row>
    <row r="45407" spans="119:119" x14ac:dyDescent="0.2">
      <c r="DO45407" s="303" t="s">
        <v>232</v>
      </c>
    </row>
    <row r="45408" spans="119:119" x14ac:dyDescent="0.2">
      <c r="DO45408" s="303" t="s">
        <v>232</v>
      </c>
    </row>
    <row r="45409" spans="119:119" x14ac:dyDescent="0.2">
      <c r="DO45409" s="303" t="s">
        <v>232</v>
      </c>
    </row>
    <row r="45410" spans="119:119" x14ac:dyDescent="0.2">
      <c r="DO45410" s="303" t="s">
        <v>232</v>
      </c>
    </row>
    <row r="45411" spans="119:119" x14ac:dyDescent="0.2">
      <c r="DO45411" s="303" t="s">
        <v>232</v>
      </c>
    </row>
    <row r="45412" spans="119:119" x14ac:dyDescent="0.2">
      <c r="DO45412" s="303" t="s">
        <v>232</v>
      </c>
    </row>
    <row r="45413" spans="119:119" x14ac:dyDescent="0.2">
      <c r="DO45413" s="303" t="s">
        <v>232</v>
      </c>
    </row>
    <row r="45414" spans="119:119" x14ac:dyDescent="0.2">
      <c r="DO45414" s="303" t="s">
        <v>232</v>
      </c>
    </row>
    <row r="45415" spans="119:119" x14ac:dyDescent="0.2">
      <c r="DO45415" s="303" t="s">
        <v>232</v>
      </c>
    </row>
    <row r="45416" spans="119:119" x14ac:dyDescent="0.2">
      <c r="DO45416" s="303" t="s">
        <v>232</v>
      </c>
    </row>
    <row r="45417" spans="119:119" x14ac:dyDescent="0.2">
      <c r="DO45417" s="303" t="s">
        <v>232</v>
      </c>
    </row>
    <row r="45418" spans="119:119" x14ac:dyDescent="0.2">
      <c r="DO45418" s="303" t="s">
        <v>232</v>
      </c>
    </row>
    <row r="45419" spans="119:119" x14ac:dyDescent="0.2">
      <c r="DO45419" s="303" t="s">
        <v>232</v>
      </c>
    </row>
    <row r="45420" spans="119:119" x14ac:dyDescent="0.2">
      <c r="DO45420" s="303" t="s">
        <v>232</v>
      </c>
    </row>
    <row r="45421" spans="119:119" x14ac:dyDescent="0.2">
      <c r="DO45421" s="303" t="s">
        <v>232</v>
      </c>
    </row>
    <row r="45422" spans="119:119" x14ac:dyDescent="0.2">
      <c r="DO45422" s="303" t="s">
        <v>232</v>
      </c>
    </row>
    <row r="45423" spans="119:119" x14ac:dyDescent="0.2">
      <c r="DO45423" s="303" t="s">
        <v>232</v>
      </c>
    </row>
    <row r="45424" spans="119:119" x14ac:dyDescent="0.2">
      <c r="DO45424" s="303" t="s">
        <v>232</v>
      </c>
    </row>
    <row r="45425" spans="119:119" x14ac:dyDescent="0.2">
      <c r="DO45425" s="303" t="s">
        <v>232</v>
      </c>
    </row>
    <row r="45426" spans="119:119" x14ac:dyDescent="0.2">
      <c r="DO45426" s="303" t="s">
        <v>232</v>
      </c>
    </row>
    <row r="45427" spans="119:119" x14ac:dyDescent="0.2">
      <c r="DO45427" s="303" t="s">
        <v>232</v>
      </c>
    </row>
    <row r="45428" spans="119:119" x14ac:dyDescent="0.2">
      <c r="DO45428" s="303" t="s">
        <v>232</v>
      </c>
    </row>
    <row r="45429" spans="119:119" x14ac:dyDescent="0.2">
      <c r="DO45429" s="303" t="s">
        <v>232</v>
      </c>
    </row>
    <row r="45430" spans="119:119" x14ac:dyDescent="0.2">
      <c r="DO45430" s="303" t="s">
        <v>232</v>
      </c>
    </row>
    <row r="45431" spans="119:119" x14ac:dyDescent="0.2">
      <c r="DO45431" s="303" t="s">
        <v>232</v>
      </c>
    </row>
    <row r="45432" spans="119:119" x14ac:dyDescent="0.2">
      <c r="DO45432" s="303" t="s">
        <v>232</v>
      </c>
    </row>
    <row r="45433" spans="119:119" x14ac:dyDescent="0.2">
      <c r="DO45433" s="303" t="s">
        <v>232</v>
      </c>
    </row>
    <row r="45434" spans="119:119" x14ac:dyDescent="0.2">
      <c r="DO45434" s="303" t="s">
        <v>232</v>
      </c>
    </row>
    <row r="45435" spans="119:119" x14ac:dyDescent="0.2">
      <c r="DO45435" s="303" t="s">
        <v>232</v>
      </c>
    </row>
    <row r="45436" spans="119:119" x14ac:dyDescent="0.2">
      <c r="DO45436" s="303" t="s">
        <v>232</v>
      </c>
    </row>
    <row r="45437" spans="119:119" x14ac:dyDescent="0.2">
      <c r="DO45437" s="303" t="s">
        <v>232</v>
      </c>
    </row>
    <row r="45438" spans="119:119" x14ac:dyDescent="0.2">
      <c r="DO45438" s="303" t="s">
        <v>232</v>
      </c>
    </row>
    <row r="45439" spans="119:119" x14ac:dyDescent="0.2">
      <c r="DO45439" s="303" t="s">
        <v>232</v>
      </c>
    </row>
    <row r="45440" spans="119:119" x14ac:dyDescent="0.2">
      <c r="DO45440" s="303" t="s">
        <v>232</v>
      </c>
    </row>
    <row r="45441" spans="119:119" x14ac:dyDescent="0.2">
      <c r="DO45441" s="303" t="s">
        <v>232</v>
      </c>
    </row>
    <row r="45442" spans="119:119" x14ac:dyDescent="0.2">
      <c r="DO45442" s="303" t="s">
        <v>232</v>
      </c>
    </row>
    <row r="45443" spans="119:119" x14ac:dyDescent="0.2">
      <c r="DO45443" s="303" t="s">
        <v>232</v>
      </c>
    </row>
    <row r="45444" spans="119:119" x14ac:dyDescent="0.2">
      <c r="DO45444" s="303" t="s">
        <v>232</v>
      </c>
    </row>
    <row r="45445" spans="119:119" x14ac:dyDescent="0.2">
      <c r="DO45445" s="303" t="s">
        <v>232</v>
      </c>
    </row>
    <row r="45446" spans="119:119" x14ac:dyDescent="0.2">
      <c r="DO45446" s="303" t="s">
        <v>232</v>
      </c>
    </row>
    <row r="45447" spans="119:119" x14ac:dyDescent="0.2">
      <c r="DO45447" s="303" t="s">
        <v>232</v>
      </c>
    </row>
    <row r="45448" spans="119:119" x14ac:dyDescent="0.2">
      <c r="DO45448" s="303" t="s">
        <v>232</v>
      </c>
    </row>
    <row r="45449" spans="119:119" x14ac:dyDescent="0.2">
      <c r="DO45449" s="303" t="s">
        <v>232</v>
      </c>
    </row>
    <row r="45450" spans="119:119" x14ac:dyDescent="0.2">
      <c r="DO45450" s="303" t="s">
        <v>232</v>
      </c>
    </row>
    <row r="45451" spans="119:119" x14ac:dyDescent="0.2">
      <c r="DO45451" s="303" t="s">
        <v>232</v>
      </c>
    </row>
    <row r="45452" spans="119:119" x14ac:dyDescent="0.2">
      <c r="DO45452" s="303" t="s">
        <v>232</v>
      </c>
    </row>
    <row r="45453" spans="119:119" x14ac:dyDescent="0.2">
      <c r="DO45453" s="303" t="s">
        <v>232</v>
      </c>
    </row>
    <row r="45454" spans="119:119" x14ac:dyDescent="0.2">
      <c r="DO45454" s="303" t="s">
        <v>232</v>
      </c>
    </row>
    <row r="45455" spans="119:119" x14ac:dyDescent="0.2">
      <c r="DO45455" s="303" t="s">
        <v>232</v>
      </c>
    </row>
    <row r="45456" spans="119:119" x14ac:dyDescent="0.2">
      <c r="DO45456" s="303" t="s">
        <v>232</v>
      </c>
    </row>
    <row r="45457" spans="119:119" x14ac:dyDescent="0.2">
      <c r="DO45457" s="303" t="s">
        <v>232</v>
      </c>
    </row>
    <row r="45458" spans="119:119" x14ac:dyDescent="0.2">
      <c r="DO45458" s="303" t="s">
        <v>232</v>
      </c>
    </row>
    <row r="45459" spans="119:119" x14ac:dyDescent="0.2">
      <c r="DO45459" s="303" t="s">
        <v>232</v>
      </c>
    </row>
    <row r="45460" spans="119:119" x14ac:dyDescent="0.2">
      <c r="DO45460" s="303" t="s">
        <v>232</v>
      </c>
    </row>
    <row r="45461" spans="119:119" x14ac:dyDescent="0.2">
      <c r="DO45461" s="303" t="s">
        <v>232</v>
      </c>
    </row>
    <row r="45462" spans="119:119" x14ac:dyDescent="0.2">
      <c r="DO45462" s="303" t="s">
        <v>232</v>
      </c>
    </row>
    <row r="45463" spans="119:119" x14ac:dyDescent="0.2">
      <c r="DO45463" s="303" t="s">
        <v>232</v>
      </c>
    </row>
    <row r="45464" spans="119:119" x14ac:dyDescent="0.2">
      <c r="DO45464" s="303" t="s">
        <v>232</v>
      </c>
    </row>
    <row r="45465" spans="119:119" x14ac:dyDescent="0.2">
      <c r="DO45465" s="303" t="s">
        <v>232</v>
      </c>
    </row>
    <row r="45466" spans="119:119" x14ac:dyDescent="0.2">
      <c r="DO45466" s="303" t="s">
        <v>232</v>
      </c>
    </row>
    <row r="45467" spans="119:119" x14ac:dyDescent="0.2">
      <c r="DO45467" s="303" t="s">
        <v>232</v>
      </c>
    </row>
    <row r="45468" spans="119:119" x14ac:dyDescent="0.2">
      <c r="DO45468" s="303" t="s">
        <v>232</v>
      </c>
    </row>
    <row r="45469" spans="119:119" x14ac:dyDescent="0.2">
      <c r="DO45469" s="303" t="s">
        <v>232</v>
      </c>
    </row>
    <row r="45470" spans="119:119" x14ac:dyDescent="0.2">
      <c r="DO45470" s="303" t="s">
        <v>232</v>
      </c>
    </row>
    <row r="45471" spans="119:119" x14ac:dyDescent="0.2">
      <c r="DO45471" s="303" t="s">
        <v>232</v>
      </c>
    </row>
    <row r="45472" spans="119:119" x14ac:dyDescent="0.2">
      <c r="DO45472" s="303" t="s">
        <v>232</v>
      </c>
    </row>
    <row r="45473" spans="119:119" x14ac:dyDescent="0.2">
      <c r="DO45473" s="303" t="s">
        <v>232</v>
      </c>
    </row>
    <row r="45474" spans="119:119" x14ac:dyDescent="0.2">
      <c r="DO45474" s="303" t="s">
        <v>232</v>
      </c>
    </row>
    <row r="45475" spans="119:119" x14ac:dyDescent="0.2">
      <c r="DO45475" s="303" t="s">
        <v>232</v>
      </c>
    </row>
    <row r="45476" spans="119:119" x14ac:dyDescent="0.2">
      <c r="DO45476" s="303" t="s">
        <v>232</v>
      </c>
    </row>
    <row r="45477" spans="119:119" x14ac:dyDescent="0.2">
      <c r="DO45477" s="303" t="s">
        <v>232</v>
      </c>
    </row>
    <row r="45478" spans="119:119" x14ac:dyDescent="0.2">
      <c r="DO45478" s="303" t="s">
        <v>232</v>
      </c>
    </row>
    <row r="45479" spans="119:119" x14ac:dyDescent="0.2">
      <c r="DO45479" s="303" t="s">
        <v>232</v>
      </c>
    </row>
    <row r="45480" spans="119:119" x14ac:dyDescent="0.2">
      <c r="DO45480" s="303" t="s">
        <v>232</v>
      </c>
    </row>
    <row r="45481" spans="119:119" x14ac:dyDescent="0.2">
      <c r="DO45481" s="303" t="s">
        <v>232</v>
      </c>
    </row>
    <row r="45482" spans="119:119" x14ac:dyDescent="0.2">
      <c r="DO45482" s="303" t="s">
        <v>232</v>
      </c>
    </row>
    <row r="45483" spans="119:119" x14ac:dyDescent="0.2">
      <c r="DO45483" s="303" t="s">
        <v>232</v>
      </c>
    </row>
    <row r="45484" spans="119:119" x14ac:dyDescent="0.2">
      <c r="DO45484" s="303" t="s">
        <v>232</v>
      </c>
    </row>
    <row r="45485" spans="119:119" x14ac:dyDescent="0.2">
      <c r="DO45485" s="303" t="s">
        <v>232</v>
      </c>
    </row>
    <row r="45486" spans="119:119" x14ac:dyDescent="0.2">
      <c r="DO45486" s="303" t="s">
        <v>232</v>
      </c>
    </row>
    <row r="45487" spans="119:119" x14ac:dyDescent="0.2">
      <c r="DO45487" s="303" t="s">
        <v>232</v>
      </c>
    </row>
    <row r="45488" spans="119:119" x14ac:dyDescent="0.2">
      <c r="DO45488" s="303" t="s">
        <v>232</v>
      </c>
    </row>
    <row r="45489" spans="119:119" x14ac:dyDescent="0.2">
      <c r="DO45489" s="303" t="s">
        <v>232</v>
      </c>
    </row>
    <row r="45490" spans="119:119" x14ac:dyDescent="0.2">
      <c r="DO45490" s="303" t="s">
        <v>232</v>
      </c>
    </row>
    <row r="45491" spans="119:119" x14ac:dyDescent="0.2">
      <c r="DO45491" s="303" t="s">
        <v>232</v>
      </c>
    </row>
    <row r="45492" spans="119:119" x14ac:dyDescent="0.2">
      <c r="DO45492" s="303" t="s">
        <v>232</v>
      </c>
    </row>
    <row r="45493" spans="119:119" x14ac:dyDescent="0.2">
      <c r="DO45493" s="303" t="s">
        <v>232</v>
      </c>
    </row>
    <row r="45494" spans="119:119" x14ac:dyDescent="0.2">
      <c r="DO45494" s="303" t="s">
        <v>232</v>
      </c>
    </row>
    <row r="45495" spans="119:119" x14ac:dyDescent="0.2">
      <c r="DO45495" s="303" t="s">
        <v>232</v>
      </c>
    </row>
    <row r="45496" spans="119:119" x14ac:dyDescent="0.2">
      <c r="DO45496" s="303" t="s">
        <v>232</v>
      </c>
    </row>
    <row r="45497" spans="119:119" x14ac:dyDescent="0.2">
      <c r="DO45497" s="303" t="s">
        <v>232</v>
      </c>
    </row>
    <row r="45498" spans="119:119" x14ac:dyDescent="0.2">
      <c r="DO45498" s="303" t="s">
        <v>232</v>
      </c>
    </row>
    <row r="45499" spans="119:119" x14ac:dyDescent="0.2">
      <c r="DO45499" s="303" t="s">
        <v>232</v>
      </c>
    </row>
    <row r="45500" spans="119:119" x14ac:dyDescent="0.2">
      <c r="DO45500" s="303" t="s">
        <v>232</v>
      </c>
    </row>
    <row r="45501" spans="119:119" x14ac:dyDescent="0.2">
      <c r="DO45501" s="303" t="s">
        <v>232</v>
      </c>
    </row>
    <row r="45502" spans="119:119" x14ac:dyDescent="0.2">
      <c r="DO45502" s="303" t="s">
        <v>232</v>
      </c>
    </row>
    <row r="45503" spans="119:119" x14ac:dyDescent="0.2">
      <c r="DO45503" s="303" t="s">
        <v>232</v>
      </c>
    </row>
    <row r="45504" spans="119:119" x14ac:dyDescent="0.2">
      <c r="DO45504" s="303" t="s">
        <v>232</v>
      </c>
    </row>
    <row r="45505" spans="119:119" x14ac:dyDescent="0.2">
      <c r="DO45505" s="303" t="s">
        <v>232</v>
      </c>
    </row>
    <row r="45506" spans="119:119" x14ac:dyDescent="0.2">
      <c r="DO45506" s="303" t="s">
        <v>232</v>
      </c>
    </row>
    <row r="45507" spans="119:119" x14ac:dyDescent="0.2">
      <c r="DO45507" s="303" t="s">
        <v>232</v>
      </c>
    </row>
    <row r="45508" spans="119:119" x14ac:dyDescent="0.2">
      <c r="DO45508" s="303" t="s">
        <v>232</v>
      </c>
    </row>
    <row r="45509" spans="119:119" x14ac:dyDescent="0.2">
      <c r="DO45509" s="303" t="s">
        <v>232</v>
      </c>
    </row>
    <row r="45510" spans="119:119" x14ac:dyDescent="0.2">
      <c r="DO45510" s="303" t="s">
        <v>232</v>
      </c>
    </row>
    <row r="45511" spans="119:119" x14ac:dyDescent="0.2">
      <c r="DO45511" s="303" t="s">
        <v>232</v>
      </c>
    </row>
    <row r="45512" spans="119:119" x14ac:dyDescent="0.2">
      <c r="DO45512" s="303" t="s">
        <v>232</v>
      </c>
    </row>
    <row r="45513" spans="119:119" x14ac:dyDescent="0.2">
      <c r="DO45513" s="303" t="s">
        <v>232</v>
      </c>
    </row>
    <row r="45514" spans="119:119" x14ac:dyDescent="0.2">
      <c r="DO45514" s="303" t="s">
        <v>232</v>
      </c>
    </row>
    <row r="45515" spans="119:119" x14ac:dyDescent="0.2">
      <c r="DO45515" s="303" t="s">
        <v>232</v>
      </c>
    </row>
    <row r="45516" spans="119:119" x14ac:dyDescent="0.2">
      <c r="DO45516" s="303" t="s">
        <v>232</v>
      </c>
    </row>
    <row r="45517" spans="119:119" x14ac:dyDescent="0.2">
      <c r="DO45517" s="303" t="s">
        <v>232</v>
      </c>
    </row>
    <row r="45518" spans="119:119" x14ac:dyDescent="0.2">
      <c r="DO45518" s="303" t="s">
        <v>232</v>
      </c>
    </row>
    <row r="45519" spans="119:119" x14ac:dyDescent="0.2">
      <c r="DO45519" s="303" t="s">
        <v>232</v>
      </c>
    </row>
    <row r="45520" spans="119:119" x14ac:dyDescent="0.2">
      <c r="DO45520" s="303" t="s">
        <v>232</v>
      </c>
    </row>
    <row r="45521" spans="119:119" x14ac:dyDescent="0.2">
      <c r="DO45521" s="303" t="s">
        <v>232</v>
      </c>
    </row>
    <row r="45522" spans="119:119" x14ac:dyDescent="0.2">
      <c r="DO45522" s="303" t="s">
        <v>232</v>
      </c>
    </row>
    <row r="45523" spans="119:119" x14ac:dyDescent="0.2">
      <c r="DO45523" s="303" t="s">
        <v>232</v>
      </c>
    </row>
    <row r="45524" spans="119:119" x14ac:dyDescent="0.2">
      <c r="DO45524" s="303" t="s">
        <v>232</v>
      </c>
    </row>
    <row r="45525" spans="119:119" x14ac:dyDescent="0.2">
      <c r="DO45525" s="303" t="s">
        <v>232</v>
      </c>
    </row>
    <row r="45526" spans="119:119" x14ac:dyDescent="0.2">
      <c r="DO45526" s="303" t="s">
        <v>232</v>
      </c>
    </row>
    <row r="45527" spans="119:119" x14ac:dyDescent="0.2">
      <c r="DO45527" s="303" t="s">
        <v>232</v>
      </c>
    </row>
    <row r="45528" spans="119:119" x14ac:dyDescent="0.2">
      <c r="DO45528" s="303" t="s">
        <v>232</v>
      </c>
    </row>
    <row r="45529" spans="119:119" x14ac:dyDescent="0.2">
      <c r="DO45529" s="303" t="s">
        <v>232</v>
      </c>
    </row>
    <row r="45530" spans="119:119" x14ac:dyDescent="0.2">
      <c r="DO45530" s="303" t="s">
        <v>232</v>
      </c>
    </row>
    <row r="45531" spans="119:119" x14ac:dyDescent="0.2">
      <c r="DO45531" s="303" t="s">
        <v>232</v>
      </c>
    </row>
    <row r="45532" spans="119:119" x14ac:dyDescent="0.2">
      <c r="DO45532" s="303" t="s">
        <v>232</v>
      </c>
    </row>
    <row r="45533" spans="119:119" x14ac:dyDescent="0.2">
      <c r="DO45533" s="303" t="s">
        <v>232</v>
      </c>
    </row>
    <row r="45534" spans="119:119" x14ac:dyDescent="0.2">
      <c r="DO45534" s="303" t="s">
        <v>232</v>
      </c>
    </row>
    <row r="45535" spans="119:119" x14ac:dyDescent="0.2">
      <c r="DO45535" s="303" t="s">
        <v>232</v>
      </c>
    </row>
    <row r="45536" spans="119:119" x14ac:dyDescent="0.2">
      <c r="DO45536" s="303" t="s">
        <v>232</v>
      </c>
    </row>
    <row r="45537" spans="119:119" x14ac:dyDescent="0.2">
      <c r="DO45537" s="303" t="s">
        <v>232</v>
      </c>
    </row>
    <row r="45538" spans="119:119" x14ac:dyDescent="0.2">
      <c r="DO45538" s="303" t="s">
        <v>232</v>
      </c>
    </row>
    <row r="45539" spans="119:119" x14ac:dyDescent="0.2">
      <c r="DO45539" s="303" t="s">
        <v>232</v>
      </c>
    </row>
    <row r="45540" spans="119:119" x14ac:dyDescent="0.2">
      <c r="DO45540" s="303" t="s">
        <v>232</v>
      </c>
    </row>
    <row r="45541" spans="119:119" x14ac:dyDescent="0.2">
      <c r="DO45541" s="303" t="s">
        <v>232</v>
      </c>
    </row>
    <row r="45542" spans="119:119" x14ac:dyDescent="0.2">
      <c r="DO45542" s="303" t="s">
        <v>232</v>
      </c>
    </row>
    <row r="45543" spans="119:119" x14ac:dyDescent="0.2">
      <c r="DO45543" s="303" t="s">
        <v>232</v>
      </c>
    </row>
    <row r="45544" spans="119:119" x14ac:dyDescent="0.2">
      <c r="DO45544" s="303" t="s">
        <v>232</v>
      </c>
    </row>
    <row r="45545" spans="119:119" x14ac:dyDescent="0.2">
      <c r="DO45545" s="303" t="s">
        <v>232</v>
      </c>
    </row>
    <row r="45546" spans="119:119" x14ac:dyDescent="0.2">
      <c r="DO45546" s="303" t="s">
        <v>232</v>
      </c>
    </row>
    <row r="45547" spans="119:119" x14ac:dyDescent="0.2">
      <c r="DO45547" s="303" t="s">
        <v>232</v>
      </c>
    </row>
    <row r="45548" spans="119:119" x14ac:dyDescent="0.2">
      <c r="DO45548" s="303" t="s">
        <v>232</v>
      </c>
    </row>
    <row r="45549" spans="119:119" x14ac:dyDescent="0.2">
      <c r="DO45549" s="303" t="s">
        <v>232</v>
      </c>
    </row>
    <row r="45550" spans="119:119" x14ac:dyDescent="0.2">
      <c r="DO45550" s="303" t="s">
        <v>232</v>
      </c>
    </row>
    <row r="45551" spans="119:119" x14ac:dyDescent="0.2">
      <c r="DO45551" s="303" t="s">
        <v>232</v>
      </c>
    </row>
    <row r="45552" spans="119:119" x14ac:dyDescent="0.2">
      <c r="DO45552" s="303" t="s">
        <v>232</v>
      </c>
    </row>
    <row r="45553" spans="119:119" x14ac:dyDescent="0.2">
      <c r="DO45553" s="303" t="s">
        <v>232</v>
      </c>
    </row>
    <row r="45554" spans="119:119" x14ac:dyDescent="0.2">
      <c r="DO45554" s="303" t="s">
        <v>232</v>
      </c>
    </row>
    <row r="45555" spans="119:119" x14ac:dyDescent="0.2">
      <c r="DO45555" s="303" t="s">
        <v>232</v>
      </c>
    </row>
    <row r="45556" spans="119:119" x14ac:dyDescent="0.2">
      <c r="DO45556" s="303" t="s">
        <v>232</v>
      </c>
    </row>
    <row r="45557" spans="119:119" x14ac:dyDescent="0.2">
      <c r="DO45557" s="303" t="s">
        <v>232</v>
      </c>
    </row>
    <row r="45558" spans="119:119" x14ac:dyDescent="0.2">
      <c r="DO45558" s="303" t="s">
        <v>232</v>
      </c>
    </row>
    <row r="45559" spans="119:119" x14ac:dyDescent="0.2">
      <c r="DO45559" s="303" t="s">
        <v>232</v>
      </c>
    </row>
    <row r="45560" spans="119:119" x14ac:dyDescent="0.2">
      <c r="DO45560" s="303" t="s">
        <v>232</v>
      </c>
    </row>
    <row r="45561" spans="119:119" x14ac:dyDescent="0.2">
      <c r="DO45561" s="303" t="s">
        <v>232</v>
      </c>
    </row>
    <row r="45562" spans="119:119" x14ac:dyDescent="0.2">
      <c r="DO45562" s="303" t="s">
        <v>232</v>
      </c>
    </row>
    <row r="45563" spans="119:119" x14ac:dyDescent="0.2">
      <c r="DO45563" s="303" t="s">
        <v>232</v>
      </c>
    </row>
    <row r="45564" spans="119:119" x14ac:dyDescent="0.2">
      <c r="DO45564" s="303" t="s">
        <v>232</v>
      </c>
    </row>
    <row r="45565" spans="119:119" x14ac:dyDescent="0.2">
      <c r="DO45565" s="303" t="s">
        <v>232</v>
      </c>
    </row>
    <row r="45566" spans="119:119" x14ac:dyDescent="0.2">
      <c r="DO45566" s="303" t="s">
        <v>232</v>
      </c>
    </row>
    <row r="45567" spans="119:119" x14ac:dyDescent="0.2">
      <c r="DO45567" s="303" t="s">
        <v>232</v>
      </c>
    </row>
    <row r="45568" spans="119:119" x14ac:dyDescent="0.2">
      <c r="DO45568" s="303" t="s">
        <v>232</v>
      </c>
    </row>
    <row r="45569" spans="119:119" x14ac:dyDescent="0.2">
      <c r="DO45569" s="303" t="s">
        <v>232</v>
      </c>
    </row>
    <row r="45570" spans="119:119" x14ac:dyDescent="0.2">
      <c r="DO45570" s="303" t="s">
        <v>232</v>
      </c>
    </row>
    <row r="45571" spans="119:119" x14ac:dyDescent="0.2">
      <c r="DO45571" s="303" t="s">
        <v>232</v>
      </c>
    </row>
    <row r="45572" spans="119:119" x14ac:dyDescent="0.2">
      <c r="DO45572" s="303" t="s">
        <v>232</v>
      </c>
    </row>
    <row r="45573" spans="119:119" x14ac:dyDescent="0.2">
      <c r="DO45573" s="303" t="s">
        <v>232</v>
      </c>
    </row>
    <row r="45574" spans="119:119" x14ac:dyDescent="0.2">
      <c r="DO45574" s="303" t="s">
        <v>232</v>
      </c>
    </row>
    <row r="45575" spans="119:119" x14ac:dyDescent="0.2">
      <c r="DO45575" s="303" t="s">
        <v>232</v>
      </c>
    </row>
    <row r="45576" spans="119:119" x14ac:dyDescent="0.2">
      <c r="DO45576" s="303" t="s">
        <v>232</v>
      </c>
    </row>
    <row r="45577" spans="119:119" x14ac:dyDescent="0.2">
      <c r="DO45577" s="303" t="s">
        <v>232</v>
      </c>
    </row>
    <row r="45578" spans="119:119" x14ac:dyDescent="0.2">
      <c r="DO45578" s="303" t="s">
        <v>232</v>
      </c>
    </row>
    <row r="45579" spans="119:119" x14ac:dyDescent="0.2">
      <c r="DO45579" s="303" t="s">
        <v>232</v>
      </c>
    </row>
    <row r="45580" spans="119:119" x14ac:dyDescent="0.2">
      <c r="DO45580" s="303" t="s">
        <v>232</v>
      </c>
    </row>
    <row r="45581" spans="119:119" x14ac:dyDescent="0.2">
      <c r="DO45581" s="303" t="s">
        <v>232</v>
      </c>
    </row>
    <row r="45582" spans="119:119" x14ac:dyDescent="0.2">
      <c r="DO45582" s="303" t="s">
        <v>232</v>
      </c>
    </row>
    <row r="45583" spans="119:119" x14ac:dyDescent="0.2">
      <c r="DO45583" s="303" t="s">
        <v>232</v>
      </c>
    </row>
    <row r="45584" spans="119:119" x14ac:dyDescent="0.2">
      <c r="DO45584" s="303" t="s">
        <v>232</v>
      </c>
    </row>
    <row r="45585" spans="119:119" x14ac:dyDescent="0.2">
      <c r="DO45585" s="303" t="s">
        <v>232</v>
      </c>
    </row>
    <row r="45586" spans="119:119" x14ac:dyDescent="0.2">
      <c r="DO45586" s="303" t="s">
        <v>232</v>
      </c>
    </row>
    <row r="45587" spans="119:119" x14ac:dyDescent="0.2">
      <c r="DO45587" s="303" t="s">
        <v>232</v>
      </c>
    </row>
    <row r="45588" spans="119:119" x14ac:dyDescent="0.2">
      <c r="DO45588" s="303" t="s">
        <v>232</v>
      </c>
    </row>
    <row r="45589" spans="119:119" x14ac:dyDescent="0.2">
      <c r="DO45589" s="303" t="s">
        <v>232</v>
      </c>
    </row>
    <row r="45590" spans="119:119" x14ac:dyDescent="0.2">
      <c r="DO45590" s="303" t="s">
        <v>232</v>
      </c>
    </row>
    <row r="45591" spans="119:119" x14ac:dyDescent="0.2">
      <c r="DO45591" s="303" t="s">
        <v>232</v>
      </c>
    </row>
    <row r="45592" spans="119:119" x14ac:dyDescent="0.2">
      <c r="DO45592" s="303" t="s">
        <v>232</v>
      </c>
    </row>
    <row r="45593" spans="119:119" x14ac:dyDescent="0.2">
      <c r="DO45593" s="303" t="s">
        <v>232</v>
      </c>
    </row>
    <row r="45594" spans="119:119" x14ac:dyDescent="0.2">
      <c r="DO45594" s="303" t="s">
        <v>232</v>
      </c>
    </row>
    <row r="45595" spans="119:119" x14ac:dyDescent="0.2">
      <c r="DO45595" s="303" t="s">
        <v>232</v>
      </c>
    </row>
    <row r="45596" spans="119:119" x14ac:dyDescent="0.2">
      <c r="DO45596" s="303" t="s">
        <v>232</v>
      </c>
    </row>
    <row r="45597" spans="119:119" x14ac:dyDescent="0.2">
      <c r="DO45597" s="303" t="s">
        <v>232</v>
      </c>
    </row>
    <row r="45598" spans="119:119" x14ac:dyDescent="0.2">
      <c r="DO45598" s="303" t="s">
        <v>232</v>
      </c>
    </row>
    <row r="45599" spans="119:119" x14ac:dyDescent="0.2">
      <c r="DO45599" s="303" t="s">
        <v>232</v>
      </c>
    </row>
    <row r="45600" spans="119:119" x14ac:dyDescent="0.2">
      <c r="DO45600" s="303" t="s">
        <v>232</v>
      </c>
    </row>
    <row r="45601" spans="119:119" x14ac:dyDescent="0.2">
      <c r="DO45601" s="303" t="s">
        <v>232</v>
      </c>
    </row>
    <row r="45602" spans="119:119" x14ac:dyDescent="0.2">
      <c r="DO45602" s="303" t="s">
        <v>232</v>
      </c>
    </row>
    <row r="45603" spans="119:119" x14ac:dyDescent="0.2">
      <c r="DO45603" s="303" t="s">
        <v>232</v>
      </c>
    </row>
    <row r="45604" spans="119:119" x14ac:dyDescent="0.2">
      <c r="DO45604" s="303" t="s">
        <v>232</v>
      </c>
    </row>
    <row r="45605" spans="119:119" x14ac:dyDescent="0.2">
      <c r="DO45605" s="303" t="s">
        <v>232</v>
      </c>
    </row>
    <row r="45606" spans="119:119" x14ac:dyDescent="0.2">
      <c r="DO45606" s="303" t="s">
        <v>232</v>
      </c>
    </row>
    <row r="45607" spans="119:119" x14ac:dyDescent="0.2">
      <c r="DO45607" s="303" t="s">
        <v>232</v>
      </c>
    </row>
    <row r="45608" spans="119:119" x14ac:dyDescent="0.2">
      <c r="DO45608" s="303" t="s">
        <v>232</v>
      </c>
    </row>
    <row r="45609" spans="119:119" x14ac:dyDescent="0.2">
      <c r="DO45609" s="303" t="s">
        <v>232</v>
      </c>
    </row>
    <row r="45610" spans="119:119" x14ac:dyDescent="0.2">
      <c r="DO45610" s="303" t="s">
        <v>232</v>
      </c>
    </row>
    <row r="45611" spans="119:119" x14ac:dyDescent="0.2">
      <c r="DO45611" s="303" t="s">
        <v>232</v>
      </c>
    </row>
    <row r="45612" spans="119:119" x14ac:dyDescent="0.2">
      <c r="DO45612" s="303" t="s">
        <v>232</v>
      </c>
    </row>
    <row r="45613" spans="119:119" x14ac:dyDescent="0.2">
      <c r="DO45613" s="303" t="s">
        <v>232</v>
      </c>
    </row>
    <row r="45614" spans="119:119" x14ac:dyDescent="0.2">
      <c r="DO45614" s="303" t="s">
        <v>232</v>
      </c>
    </row>
    <row r="45615" spans="119:119" x14ac:dyDescent="0.2">
      <c r="DO45615" s="303" t="s">
        <v>232</v>
      </c>
    </row>
    <row r="45616" spans="119:119" x14ac:dyDescent="0.2">
      <c r="DO45616" s="303" t="s">
        <v>232</v>
      </c>
    </row>
    <row r="45617" spans="119:119" x14ac:dyDescent="0.2">
      <c r="DO45617" s="303" t="s">
        <v>232</v>
      </c>
    </row>
    <row r="45618" spans="119:119" x14ac:dyDescent="0.2">
      <c r="DO45618" s="303" t="s">
        <v>232</v>
      </c>
    </row>
    <row r="45619" spans="119:119" x14ac:dyDescent="0.2">
      <c r="DO45619" s="303" t="s">
        <v>232</v>
      </c>
    </row>
    <row r="45620" spans="119:119" x14ac:dyDescent="0.2">
      <c r="DO45620" s="303" t="s">
        <v>232</v>
      </c>
    </row>
    <row r="45621" spans="119:119" x14ac:dyDescent="0.2">
      <c r="DO45621" s="303" t="s">
        <v>232</v>
      </c>
    </row>
    <row r="45622" spans="119:119" x14ac:dyDescent="0.2">
      <c r="DO45622" s="303" t="s">
        <v>232</v>
      </c>
    </row>
    <row r="45623" spans="119:119" x14ac:dyDescent="0.2">
      <c r="DO45623" s="303" t="s">
        <v>232</v>
      </c>
    </row>
    <row r="45624" spans="119:119" x14ac:dyDescent="0.2">
      <c r="DO45624" s="303" t="s">
        <v>232</v>
      </c>
    </row>
    <row r="45625" spans="119:119" x14ac:dyDescent="0.2">
      <c r="DO45625" s="303" t="s">
        <v>232</v>
      </c>
    </row>
    <row r="45626" spans="119:119" x14ac:dyDescent="0.2">
      <c r="DO45626" s="303" t="s">
        <v>232</v>
      </c>
    </row>
    <row r="45627" spans="119:119" x14ac:dyDescent="0.2">
      <c r="DO45627" s="303" t="s">
        <v>232</v>
      </c>
    </row>
    <row r="45628" spans="119:119" x14ac:dyDescent="0.2">
      <c r="DO45628" s="303" t="s">
        <v>232</v>
      </c>
    </row>
    <row r="45629" spans="119:119" x14ac:dyDescent="0.2">
      <c r="DO45629" s="303" t="s">
        <v>232</v>
      </c>
    </row>
    <row r="45630" spans="119:119" x14ac:dyDescent="0.2">
      <c r="DO45630" s="303" t="s">
        <v>232</v>
      </c>
    </row>
    <row r="45631" spans="119:119" x14ac:dyDescent="0.2">
      <c r="DO45631" s="303" t="s">
        <v>232</v>
      </c>
    </row>
    <row r="45632" spans="119:119" x14ac:dyDescent="0.2">
      <c r="DO45632" s="303" t="s">
        <v>232</v>
      </c>
    </row>
    <row r="45633" spans="119:119" x14ac:dyDescent="0.2">
      <c r="DO45633" s="303" t="s">
        <v>232</v>
      </c>
    </row>
    <row r="45634" spans="119:119" x14ac:dyDescent="0.2">
      <c r="DO45634" s="303" t="s">
        <v>232</v>
      </c>
    </row>
    <row r="45635" spans="119:119" x14ac:dyDescent="0.2">
      <c r="DO45635" s="303" t="s">
        <v>232</v>
      </c>
    </row>
    <row r="45636" spans="119:119" x14ac:dyDescent="0.2">
      <c r="DO45636" s="303" t="s">
        <v>232</v>
      </c>
    </row>
    <row r="45637" spans="119:119" x14ac:dyDescent="0.2">
      <c r="DO45637" s="303" t="s">
        <v>232</v>
      </c>
    </row>
    <row r="45638" spans="119:119" x14ac:dyDescent="0.2">
      <c r="DO45638" s="303" t="s">
        <v>232</v>
      </c>
    </row>
    <row r="45639" spans="119:119" x14ac:dyDescent="0.2">
      <c r="DO45639" s="303" t="s">
        <v>232</v>
      </c>
    </row>
    <row r="45640" spans="119:119" x14ac:dyDescent="0.2">
      <c r="DO45640" s="303" t="s">
        <v>232</v>
      </c>
    </row>
    <row r="45641" spans="119:119" x14ac:dyDescent="0.2">
      <c r="DO45641" s="303" t="s">
        <v>232</v>
      </c>
    </row>
    <row r="45642" spans="119:119" x14ac:dyDescent="0.2">
      <c r="DO45642" s="303" t="s">
        <v>232</v>
      </c>
    </row>
    <row r="45643" spans="119:119" x14ac:dyDescent="0.2">
      <c r="DO45643" s="303" t="s">
        <v>232</v>
      </c>
    </row>
    <row r="45644" spans="119:119" x14ac:dyDescent="0.2">
      <c r="DO45644" s="303" t="s">
        <v>232</v>
      </c>
    </row>
    <row r="45645" spans="119:119" x14ac:dyDescent="0.2">
      <c r="DO45645" s="303" t="s">
        <v>232</v>
      </c>
    </row>
    <row r="45646" spans="119:119" x14ac:dyDescent="0.2">
      <c r="DO45646" s="303" t="s">
        <v>232</v>
      </c>
    </row>
    <row r="45647" spans="119:119" x14ac:dyDescent="0.2">
      <c r="DO45647" s="303" t="s">
        <v>232</v>
      </c>
    </row>
    <row r="45648" spans="119:119" x14ac:dyDescent="0.2">
      <c r="DO45648" s="303" t="s">
        <v>232</v>
      </c>
    </row>
    <row r="45649" spans="119:119" x14ac:dyDescent="0.2">
      <c r="DO45649" s="303" t="s">
        <v>232</v>
      </c>
    </row>
    <row r="45650" spans="119:119" x14ac:dyDescent="0.2">
      <c r="DO45650" s="303" t="s">
        <v>232</v>
      </c>
    </row>
    <row r="45651" spans="119:119" x14ac:dyDescent="0.2">
      <c r="DO45651" s="303" t="s">
        <v>232</v>
      </c>
    </row>
    <row r="45652" spans="119:119" x14ac:dyDescent="0.2">
      <c r="DO45652" s="303" t="s">
        <v>232</v>
      </c>
    </row>
    <row r="45653" spans="119:119" x14ac:dyDescent="0.2">
      <c r="DO45653" s="303" t="s">
        <v>232</v>
      </c>
    </row>
    <row r="45654" spans="119:119" x14ac:dyDescent="0.2">
      <c r="DO45654" s="303" t="s">
        <v>232</v>
      </c>
    </row>
    <row r="45655" spans="119:119" x14ac:dyDescent="0.2">
      <c r="DO45655" s="303" t="s">
        <v>232</v>
      </c>
    </row>
    <row r="45656" spans="119:119" x14ac:dyDescent="0.2">
      <c r="DO45656" s="303" t="s">
        <v>232</v>
      </c>
    </row>
    <row r="45657" spans="119:119" x14ac:dyDescent="0.2">
      <c r="DO45657" s="303" t="s">
        <v>232</v>
      </c>
    </row>
    <row r="45658" spans="119:119" x14ac:dyDescent="0.2">
      <c r="DO45658" s="303" t="s">
        <v>232</v>
      </c>
    </row>
    <row r="45659" spans="119:119" x14ac:dyDescent="0.2">
      <c r="DO45659" s="303" t="s">
        <v>232</v>
      </c>
    </row>
    <row r="45660" spans="119:119" x14ac:dyDescent="0.2">
      <c r="DO45660" s="303" t="s">
        <v>232</v>
      </c>
    </row>
    <row r="45661" spans="119:119" x14ac:dyDescent="0.2">
      <c r="DO45661" s="303" t="s">
        <v>232</v>
      </c>
    </row>
    <row r="45662" spans="119:119" x14ac:dyDescent="0.2">
      <c r="DO45662" s="303" t="s">
        <v>232</v>
      </c>
    </row>
    <row r="45663" spans="119:119" x14ac:dyDescent="0.2">
      <c r="DO45663" s="303" t="s">
        <v>232</v>
      </c>
    </row>
    <row r="45664" spans="119:119" x14ac:dyDescent="0.2">
      <c r="DO45664" s="303" t="s">
        <v>232</v>
      </c>
    </row>
    <row r="45665" spans="119:119" x14ac:dyDescent="0.2">
      <c r="DO45665" s="303" t="s">
        <v>232</v>
      </c>
    </row>
    <row r="45666" spans="119:119" x14ac:dyDescent="0.2">
      <c r="DO45666" s="303" t="s">
        <v>232</v>
      </c>
    </row>
    <row r="45667" spans="119:119" x14ac:dyDescent="0.2">
      <c r="DO45667" s="303" t="s">
        <v>232</v>
      </c>
    </row>
    <row r="45668" spans="119:119" x14ac:dyDescent="0.2">
      <c r="DO45668" s="303" t="s">
        <v>232</v>
      </c>
    </row>
    <row r="45669" spans="119:119" x14ac:dyDescent="0.2">
      <c r="DO45669" s="303" t="s">
        <v>232</v>
      </c>
    </row>
    <row r="45670" spans="119:119" x14ac:dyDescent="0.2">
      <c r="DO45670" s="303" t="s">
        <v>232</v>
      </c>
    </row>
    <row r="45671" spans="119:119" x14ac:dyDescent="0.2">
      <c r="DO45671" s="303" t="s">
        <v>232</v>
      </c>
    </row>
    <row r="45672" spans="119:119" x14ac:dyDescent="0.2">
      <c r="DO45672" s="303" t="s">
        <v>232</v>
      </c>
    </row>
    <row r="45673" spans="119:119" x14ac:dyDescent="0.2">
      <c r="DO45673" s="303" t="s">
        <v>232</v>
      </c>
    </row>
    <row r="45674" spans="119:119" x14ac:dyDescent="0.2">
      <c r="DO45674" s="303" t="s">
        <v>232</v>
      </c>
    </row>
    <row r="45675" spans="119:119" x14ac:dyDescent="0.2">
      <c r="DO45675" s="303" t="s">
        <v>232</v>
      </c>
    </row>
    <row r="45676" spans="119:119" x14ac:dyDescent="0.2">
      <c r="DO45676" s="303" t="s">
        <v>232</v>
      </c>
    </row>
    <row r="45677" spans="119:119" x14ac:dyDescent="0.2">
      <c r="DO45677" s="303" t="s">
        <v>232</v>
      </c>
    </row>
    <row r="45678" spans="119:119" x14ac:dyDescent="0.2">
      <c r="DO45678" s="303" t="s">
        <v>232</v>
      </c>
    </row>
    <row r="45679" spans="119:119" x14ac:dyDescent="0.2">
      <c r="DO45679" s="303" t="s">
        <v>232</v>
      </c>
    </row>
    <row r="45680" spans="119:119" x14ac:dyDescent="0.2">
      <c r="DO45680" s="303" t="s">
        <v>232</v>
      </c>
    </row>
    <row r="45681" spans="119:119" x14ac:dyDescent="0.2">
      <c r="DO45681" s="303" t="s">
        <v>232</v>
      </c>
    </row>
    <row r="45682" spans="119:119" x14ac:dyDescent="0.2">
      <c r="DO45682" s="303" t="s">
        <v>232</v>
      </c>
    </row>
    <row r="45683" spans="119:119" x14ac:dyDescent="0.2">
      <c r="DO45683" s="303" t="s">
        <v>232</v>
      </c>
    </row>
    <row r="45684" spans="119:119" x14ac:dyDescent="0.2">
      <c r="DO45684" s="303" t="s">
        <v>232</v>
      </c>
    </row>
    <row r="45685" spans="119:119" x14ac:dyDescent="0.2">
      <c r="DO45685" s="303" t="s">
        <v>232</v>
      </c>
    </row>
    <row r="45686" spans="119:119" x14ac:dyDescent="0.2">
      <c r="DO45686" s="303" t="s">
        <v>232</v>
      </c>
    </row>
    <row r="45687" spans="119:119" x14ac:dyDescent="0.2">
      <c r="DO45687" s="303" t="s">
        <v>232</v>
      </c>
    </row>
    <row r="45688" spans="119:119" x14ac:dyDescent="0.2">
      <c r="DO45688" s="303" t="s">
        <v>232</v>
      </c>
    </row>
    <row r="45689" spans="119:119" x14ac:dyDescent="0.2">
      <c r="DO45689" s="303" t="s">
        <v>232</v>
      </c>
    </row>
    <row r="45690" spans="119:119" x14ac:dyDescent="0.2">
      <c r="DO45690" s="303" t="s">
        <v>232</v>
      </c>
    </row>
    <row r="45691" spans="119:119" x14ac:dyDescent="0.2">
      <c r="DO45691" s="303" t="s">
        <v>232</v>
      </c>
    </row>
    <row r="45692" spans="119:119" x14ac:dyDescent="0.2">
      <c r="DO45692" s="303" t="s">
        <v>232</v>
      </c>
    </row>
    <row r="45693" spans="119:119" x14ac:dyDescent="0.2">
      <c r="DO45693" s="303" t="s">
        <v>232</v>
      </c>
    </row>
    <row r="45694" spans="119:119" x14ac:dyDescent="0.2">
      <c r="DO45694" s="303" t="s">
        <v>232</v>
      </c>
    </row>
    <row r="45695" spans="119:119" x14ac:dyDescent="0.2">
      <c r="DO45695" s="303" t="s">
        <v>232</v>
      </c>
    </row>
    <row r="45696" spans="119:119" x14ac:dyDescent="0.2">
      <c r="DO45696" s="303" t="s">
        <v>232</v>
      </c>
    </row>
    <row r="45697" spans="119:119" x14ac:dyDescent="0.2">
      <c r="DO45697" s="303" t="s">
        <v>232</v>
      </c>
    </row>
    <row r="45698" spans="119:119" x14ac:dyDescent="0.2">
      <c r="DO45698" s="303" t="s">
        <v>232</v>
      </c>
    </row>
    <row r="45699" spans="119:119" x14ac:dyDescent="0.2">
      <c r="DO45699" s="303" t="s">
        <v>232</v>
      </c>
    </row>
    <row r="45700" spans="119:119" x14ac:dyDescent="0.2">
      <c r="DO45700" s="303" t="s">
        <v>232</v>
      </c>
    </row>
    <row r="45701" spans="119:119" x14ac:dyDescent="0.2">
      <c r="DO45701" s="303" t="s">
        <v>232</v>
      </c>
    </row>
    <row r="45702" spans="119:119" x14ac:dyDescent="0.2">
      <c r="DO45702" s="303" t="s">
        <v>232</v>
      </c>
    </row>
    <row r="45703" spans="119:119" x14ac:dyDescent="0.2">
      <c r="DO45703" s="303" t="s">
        <v>232</v>
      </c>
    </row>
    <row r="45704" spans="119:119" x14ac:dyDescent="0.2">
      <c r="DO45704" s="303" t="s">
        <v>232</v>
      </c>
    </row>
    <row r="45705" spans="119:119" x14ac:dyDescent="0.2">
      <c r="DO45705" s="303" t="s">
        <v>232</v>
      </c>
    </row>
    <row r="45706" spans="119:119" x14ac:dyDescent="0.2">
      <c r="DO45706" s="303" t="s">
        <v>232</v>
      </c>
    </row>
    <row r="45707" spans="119:119" x14ac:dyDescent="0.2">
      <c r="DO45707" s="303" t="s">
        <v>232</v>
      </c>
    </row>
    <row r="45708" spans="119:119" x14ac:dyDescent="0.2">
      <c r="DO45708" s="303" t="s">
        <v>232</v>
      </c>
    </row>
    <row r="45709" spans="119:119" x14ac:dyDescent="0.2">
      <c r="DO45709" s="303" t="s">
        <v>232</v>
      </c>
    </row>
    <row r="45710" spans="119:119" x14ac:dyDescent="0.2">
      <c r="DO45710" s="303" t="s">
        <v>232</v>
      </c>
    </row>
    <row r="45711" spans="119:119" x14ac:dyDescent="0.2">
      <c r="DO45711" s="303" t="s">
        <v>232</v>
      </c>
    </row>
    <row r="45712" spans="119:119" x14ac:dyDescent="0.2">
      <c r="DO45712" s="303" t="s">
        <v>232</v>
      </c>
    </row>
    <row r="45713" spans="119:119" x14ac:dyDescent="0.2">
      <c r="DO45713" s="303" t="s">
        <v>232</v>
      </c>
    </row>
    <row r="45714" spans="119:119" x14ac:dyDescent="0.2">
      <c r="DO45714" s="303" t="s">
        <v>232</v>
      </c>
    </row>
    <row r="45715" spans="119:119" x14ac:dyDescent="0.2">
      <c r="DO45715" s="303" t="s">
        <v>232</v>
      </c>
    </row>
    <row r="45716" spans="119:119" x14ac:dyDescent="0.2">
      <c r="DO45716" s="303" t="s">
        <v>232</v>
      </c>
    </row>
    <row r="45717" spans="119:119" x14ac:dyDescent="0.2">
      <c r="DO45717" s="303" t="s">
        <v>232</v>
      </c>
    </row>
    <row r="45718" spans="119:119" x14ac:dyDescent="0.2">
      <c r="DO45718" s="303" t="s">
        <v>232</v>
      </c>
    </row>
    <row r="45719" spans="119:119" x14ac:dyDescent="0.2">
      <c r="DO45719" s="303" t="s">
        <v>232</v>
      </c>
    </row>
    <row r="45720" spans="119:119" x14ac:dyDescent="0.2">
      <c r="DO45720" s="303" t="s">
        <v>232</v>
      </c>
    </row>
    <row r="45721" spans="119:119" x14ac:dyDescent="0.2">
      <c r="DO45721" s="303" t="s">
        <v>232</v>
      </c>
    </row>
    <row r="45722" spans="119:119" x14ac:dyDescent="0.2">
      <c r="DO45722" s="303" t="s">
        <v>232</v>
      </c>
    </row>
    <row r="45723" spans="119:119" x14ac:dyDescent="0.2">
      <c r="DO45723" s="303" t="s">
        <v>232</v>
      </c>
    </row>
    <row r="45724" spans="119:119" x14ac:dyDescent="0.2">
      <c r="DO45724" s="303" t="s">
        <v>232</v>
      </c>
    </row>
    <row r="45725" spans="119:119" x14ac:dyDescent="0.2">
      <c r="DO45725" s="303" t="s">
        <v>232</v>
      </c>
    </row>
    <row r="45726" spans="119:119" x14ac:dyDescent="0.2">
      <c r="DO45726" s="303" t="s">
        <v>232</v>
      </c>
    </row>
    <row r="45727" spans="119:119" x14ac:dyDescent="0.2">
      <c r="DO45727" s="303" t="s">
        <v>232</v>
      </c>
    </row>
    <row r="45728" spans="119:119" x14ac:dyDescent="0.2">
      <c r="DO45728" s="303" t="s">
        <v>232</v>
      </c>
    </row>
    <row r="45729" spans="119:119" x14ac:dyDescent="0.2">
      <c r="DO45729" s="303" t="s">
        <v>232</v>
      </c>
    </row>
    <row r="45730" spans="119:119" x14ac:dyDescent="0.2">
      <c r="DO45730" s="303" t="s">
        <v>232</v>
      </c>
    </row>
    <row r="45731" spans="119:119" x14ac:dyDescent="0.2">
      <c r="DO45731" s="303" t="s">
        <v>232</v>
      </c>
    </row>
    <row r="45732" spans="119:119" x14ac:dyDescent="0.2">
      <c r="DO45732" s="303" t="s">
        <v>232</v>
      </c>
    </row>
    <row r="45733" spans="119:119" x14ac:dyDescent="0.2">
      <c r="DO45733" s="303" t="s">
        <v>232</v>
      </c>
    </row>
    <row r="45734" spans="119:119" x14ac:dyDescent="0.2">
      <c r="DO45734" s="303" t="s">
        <v>232</v>
      </c>
    </row>
    <row r="45735" spans="119:119" x14ac:dyDescent="0.2">
      <c r="DO45735" s="303" t="s">
        <v>232</v>
      </c>
    </row>
    <row r="45736" spans="119:119" x14ac:dyDescent="0.2">
      <c r="DO45736" s="303" t="s">
        <v>232</v>
      </c>
    </row>
    <row r="45737" spans="119:119" x14ac:dyDescent="0.2">
      <c r="DO45737" s="303" t="s">
        <v>232</v>
      </c>
    </row>
    <row r="45738" spans="119:119" x14ac:dyDescent="0.2">
      <c r="DO45738" s="303" t="s">
        <v>232</v>
      </c>
    </row>
    <row r="45739" spans="119:119" x14ac:dyDescent="0.2">
      <c r="DO45739" s="303" t="s">
        <v>232</v>
      </c>
    </row>
    <row r="45740" spans="119:119" x14ac:dyDescent="0.2">
      <c r="DO45740" s="303" t="s">
        <v>232</v>
      </c>
    </row>
    <row r="45741" spans="119:119" x14ac:dyDescent="0.2">
      <c r="DO45741" s="303" t="s">
        <v>232</v>
      </c>
    </row>
    <row r="45742" spans="119:119" x14ac:dyDescent="0.2">
      <c r="DO45742" s="303" t="s">
        <v>232</v>
      </c>
    </row>
    <row r="45743" spans="119:119" x14ac:dyDescent="0.2">
      <c r="DO45743" s="303" t="s">
        <v>232</v>
      </c>
    </row>
    <row r="45744" spans="119:119" x14ac:dyDescent="0.2">
      <c r="DO45744" s="303" t="s">
        <v>232</v>
      </c>
    </row>
    <row r="45745" spans="119:119" x14ac:dyDescent="0.2">
      <c r="DO45745" s="303" t="s">
        <v>232</v>
      </c>
    </row>
    <row r="45746" spans="119:119" x14ac:dyDescent="0.2">
      <c r="DO45746" s="303" t="s">
        <v>232</v>
      </c>
    </row>
    <row r="45747" spans="119:119" x14ac:dyDescent="0.2">
      <c r="DO45747" s="303" t="s">
        <v>232</v>
      </c>
    </row>
    <row r="45748" spans="119:119" x14ac:dyDescent="0.2">
      <c r="DO45748" s="303" t="s">
        <v>232</v>
      </c>
    </row>
    <row r="45749" spans="119:119" x14ac:dyDescent="0.2">
      <c r="DO45749" s="303" t="s">
        <v>232</v>
      </c>
    </row>
    <row r="45750" spans="119:119" x14ac:dyDescent="0.2">
      <c r="DO45750" s="303" t="s">
        <v>232</v>
      </c>
    </row>
    <row r="45751" spans="119:119" x14ac:dyDescent="0.2">
      <c r="DO45751" s="303" t="s">
        <v>232</v>
      </c>
    </row>
    <row r="45752" spans="119:119" x14ac:dyDescent="0.2">
      <c r="DO45752" s="303" t="s">
        <v>232</v>
      </c>
    </row>
    <row r="45753" spans="119:119" x14ac:dyDescent="0.2">
      <c r="DO45753" s="303" t="s">
        <v>232</v>
      </c>
    </row>
    <row r="45754" spans="119:119" x14ac:dyDescent="0.2">
      <c r="DO45754" s="303" t="s">
        <v>232</v>
      </c>
    </row>
    <row r="45755" spans="119:119" x14ac:dyDescent="0.2">
      <c r="DO45755" s="303" t="s">
        <v>232</v>
      </c>
    </row>
    <row r="45756" spans="119:119" x14ac:dyDescent="0.2">
      <c r="DO45756" s="303" t="s">
        <v>232</v>
      </c>
    </row>
    <row r="45757" spans="119:119" x14ac:dyDescent="0.2">
      <c r="DO45757" s="303" t="s">
        <v>232</v>
      </c>
    </row>
    <row r="45758" spans="119:119" x14ac:dyDescent="0.2">
      <c r="DO45758" s="303" t="s">
        <v>232</v>
      </c>
    </row>
    <row r="45759" spans="119:119" x14ac:dyDescent="0.2">
      <c r="DO45759" s="303" t="s">
        <v>232</v>
      </c>
    </row>
    <row r="45760" spans="119:119" x14ac:dyDescent="0.2">
      <c r="DO45760" s="303" t="s">
        <v>232</v>
      </c>
    </row>
    <row r="45761" spans="119:119" x14ac:dyDescent="0.2">
      <c r="DO45761" s="303" t="s">
        <v>232</v>
      </c>
    </row>
    <row r="45762" spans="119:119" x14ac:dyDescent="0.2">
      <c r="DO45762" s="303" t="s">
        <v>232</v>
      </c>
    </row>
    <row r="45763" spans="119:119" x14ac:dyDescent="0.2">
      <c r="DO45763" s="303" t="s">
        <v>232</v>
      </c>
    </row>
    <row r="45764" spans="119:119" x14ac:dyDescent="0.2">
      <c r="DO45764" s="303" t="s">
        <v>232</v>
      </c>
    </row>
    <row r="45765" spans="119:119" x14ac:dyDescent="0.2">
      <c r="DO45765" s="303" t="s">
        <v>232</v>
      </c>
    </row>
    <row r="45766" spans="119:119" x14ac:dyDescent="0.2">
      <c r="DO45766" s="303" t="s">
        <v>232</v>
      </c>
    </row>
    <row r="45767" spans="119:119" x14ac:dyDescent="0.2">
      <c r="DO45767" s="303" t="s">
        <v>232</v>
      </c>
    </row>
    <row r="45768" spans="119:119" x14ac:dyDescent="0.2">
      <c r="DO45768" s="303" t="s">
        <v>232</v>
      </c>
    </row>
    <row r="45769" spans="119:119" x14ac:dyDescent="0.2">
      <c r="DO45769" s="303" t="s">
        <v>232</v>
      </c>
    </row>
    <row r="45770" spans="119:119" x14ac:dyDescent="0.2">
      <c r="DO45770" s="303" t="s">
        <v>232</v>
      </c>
    </row>
    <row r="45771" spans="119:119" x14ac:dyDescent="0.2">
      <c r="DO45771" s="303" t="s">
        <v>232</v>
      </c>
    </row>
    <row r="45772" spans="119:119" x14ac:dyDescent="0.2">
      <c r="DO45772" s="303" t="s">
        <v>232</v>
      </c>
    </row>
    <row r="45773" spans="119:119" x14ac:dyDescent="0.2">
      <c r="DO45773" s="303" t="s">
        <v>232</v>
      </c>
    </row>
    <row r="45774" spans="119:119" x14ac:dyDescent="0.2">
      <c r="DO45774" s="303" t="s">
        <v>232</v>
      </c>
    </row>
    <row r="45775" spans="119:119" x14ac:dyDescent="0.2">
      <c r="DO45775" s="303" t="s">
        <v>232</v>
      </c>
    </row>
    <row r="45776" spans="119:119" x14ac:dyDescent="0.2">
      <c r="DO45776" s="303" t="s">
        <v>232</v>
      </c>
    </row>
    <row r="45777" spans="119:119" x14ac:dyDescent="0.2">
      <c r="DO45777" s="303" t="s">
        <v>232</v>
      </c>
    </row>
    <row r="45778" spans="119:119" x14ac:dyDescent="0.2">
      <c r="DO45778" s="303" t="s">
        <v>232</v>
      </c>
    </row>
    <row r="45779" spans="119:119" x14ac:dyDescent="0.2">
      <c r="DO45779" s="303" t="s">
        <v>232</v>
      </c>
    </row>
    <row r="45780" spans="119:119" x14ac:dyDescent="0.2">
      <c r="DO45780" s="303" t="s">
        <v>232</v>
      </c>
    </row>
    <row r="45781" spans="119:119" x14ac:dyDescent="0.2">
      <c r="DO45781" s="303" t="s">
        <v>232</v>
      </c>
    </row>
    <row r="45782" spans="119:119" x14ac:dyDescent="0.2">
      <c r="DO45782" s="303" t="s">
        <v>232</v>
      </c>
    </row>
    <row r="45783" spans="119:119" x14ac:dyDescent="0.2">
      <c r="DO45783" s="303" t="s">
        <v>232</v>
      </c>
    </row>
    <row r="45784" spans="119:119" x14ac:dyDescent="0.2">
      <c r="DO45784" s="303" t="s">
        <v>232</v>
      </c>
    </row>
    <row r="45785" spans="119:119" x14ac:dyDescent="0.2">
      <c r="DO45785" s="303" t="s">
        <v>232</v>
      </c>
    </row>
    <row r="45786" spans="119:119" x14ac:dyDescent="0.2">
      <c r="DO45786" s="303" t="s">
        <v>232</v>
      </c>
    </row>
    <row r="45787" spans="119:119" x14ac:dyDescent="0.2">
      <c r="DO45787" s="303" t="s">
        <v>232</v>
      </c>
    </row>
    <row r="45788" spans="119:119" x14ac:dyDescent="0.2">
      <c r="DO45788" s="303" t="s">
        <v>232</v>
      </c>
    </row>
    <row r="45789" spans="119:119" x14ac:dyDescent="0.2">
      <c r="DO45789" s="303" t="s">
        <v>232</v>
      </c>
    </row>
    <row r="45790" spans="119:119" x14ac:dyDescent="0.2">
      <c r="DO45790" s="303" t="s">
        <v>232</v>
      </c>
    </row>
    <row r="45791" spans="119:119" x14ac:dyDescent="0.2">
      <c r="DO45791" s="303" t="s">
        <v>232</v>
      </c>
    </row>
    <row r="45792" spans="119:119" x14ac:dyDescent="0.2">
      <c r="DO45792" s="303" t="s">
        <v>232</v>
      </c>
    </row>
    <row r="45793" spans="119:119" x14ac:dyDescent="0.2">
      <c r="DO45793" s="303" t="s">
        <v>232</v>
      </c>
    </row>
    <row r="45794" spans="119:119" x14ac:dyDescent="0.2">
      <c r="DO45794" s="303" t="s">
        <v>232</v>
      </c>
    </row>
    <row r="45795" spans="119:119" x14ac:dyDescent="0.2">
      <c r="DO45795" s="303" t="s">
        <v>232</v>
      </c>
    </row>
    <row r="45796" spans="119:119" x14ac:dyDescent="0.2">
      <c r="DO45796" s="303" t="s">
        <v>232</v>
      </c>
    </row>
    <row r="45797" spans="119:119" x14ac:dyDescent="0.2">
      <c r="DO45797" s="303" t="s">
        <v>232</v>
      </c>
    </row>
    <row r="45798" spans="119:119" x14ac:dyDescent="0.2">
      <c r="DO45798" s="303" t="s">
        <v>232</v>
      </c>
    </row>
    <row r="45799" spans="119:119" x14ac:dyDescent="0.2">
      <c r="DO45799" s="303" t="s">
        <v>232</v>
      </c>
    </row>
    <row r="45800" spans="119:119" x14ac:dyDescent="0.2">
      <c r="DO45800" s="303" t="s">
        <v>232</v>
      </c>
    </row>
    <row r="45801" spans="119:119" x14ac:dyDescent="0.2">
      <c r="DO45801" s="303" t="s">
        <v>232</v>
      </c>
    </row>
    <row r="45802" spans="119:119" x14ac:dyDescent="0.2">
      <c r="DO45802" s="303" t="s">
        <v>232</v>
      </c>
    </row>
    <row r="45803" spans="119:119" x14ac:dyDescent="0.2">
      <c r="DO45803" s="303" t="s">
        <v>232</v>
      </c>
    </row>
    <row r="45804" spans="119:119" x14ac:dyDescent="0.2">
      <c r="DO45804" s="303" t="s">
        <v>232</v>
      </c>
    </row>
    <row r="45805" spans="119:119" x14ac:dyDescent="0.2">
      <c r="DO45805" s="303" t="s">
        <v>232</v>
      </c>
    </row>
    <row r="45806" spans="119:119" x14ac:dyDescent="0.2">
      <c r="DO45806" s="303" t="s">
        <v>232</v>
      </c>
    </row>
    <row r="45807" spans="119:119" x14ac:dyDescent="0.2">
      <c r="DO45807" s="303" t="s">
        <v>232</v>
      </c>
    </row>
    <row r="45808" spans="119:119" x14ac:dyDescent="0.2">
      <c r="DO45808" s="303" t="s">
        <v>232</v>
      </c>
    </row>
    <row r="45809" spans="119:119" x14ac:dyDescent="0.2">
      <c r="DO45809" s="303" t="s">
        <v>232</v>
      </c>
    </row>
    <row r="45810" spans="119:119" x14ac:dyDescent="0.2">
      <c r="DO45810" s="303" t="s">
        <v>232</v>
      </c>
    </row>
    <row r="45811" spans="119:119" x14ac:dyDescent="0.2">
      <c r="DO45811" s="303" t="s">
        <v>232</v>
      </c>
    </row>
    <row r="45812" spans="119:119" x14ac:dyDescent="0.2">
      <c r="DO45812" s="303" t="s">
        <v>232</v>
      </c>
    </row>
    <row r="45813" spans="119:119" x14ac:dyDescent="0.2">
      <c r="DO45813" s="303" t="s">
        <v>232</v>
      </c>
    </row>
    <row r="45814" spans="119:119" x14ac:dyDescent="0.2">
      <c r="DO45814" s="303" t="s">
        <v>232</v>
      </c>
    </row>
    <row r="45815" spans="119:119" x14ac:dyDescent="0.2">
      <c r="DO45815" s="303" t="s">
        <v>232</v>
      </c>
    </row>
    <row r="45816" spans="119:119" x14ac:dyDescent="0.2">
      <c r="DO45816" s="303" t="s">
        <v>232</v>
      </c>
    </row>
    <row r="45817" spans="119:119" x14ac:dyDescent="0.2">
      <c r="DO45817" s="303" t="s">
        <v>232</v>
      </c>
    </row>
    <row r="45818" spans="119:119" x14ac:dyDescent="0.2">
      <c r="DO45818" s="303" t="s">
        <v>232</v>
      </c>
    </row>
    <row r="45819" spans="119:119" x14ac:dyDescent="0.2">
      <c r="DO45819" s="303" t="s">
        <v>232</v>
      </c>
    </row>
    <row r="45820" spans="119:119" x14ac:dyDescent="0.2">
      <c r="DO45820" s="303" t="s">
        <v>232</v>
      </c>
    </row>
    <row r="45821" spans="119:119" x14ac:dyDescent="0.2">
      <c r="DO45821" s="303" t="s">
        <v>232</v>
      </c>
    </row>
    <row r="45822" spans="119:119" x14ac:dyDescent="0.2">
      <c r="DO45822" s="303" t="s">
        <v>232</v>
      </c>
    </row>
    <row r="45823" spans="119:119" x14ac:dyDescent="0.2">
      <c r="DO45823" s="303" t="s">
        <v>232</v>
      </c>
    </row>
    <row r="45824" spans="119:119" x14ac:dyDescent="0.2">
      <c r="DO45824" s="303" t="s">
        <v>232</v>
      </c>
    </row>
    <row r="45825" spans="119:119" x14ac:dyDescent="0.2">
      <c r="DO45825" s="303" t="s">
        <v>232</v>
      </c>
    </row>
    <row r="45826" spans="119:119" x14ac:dyDescent="0.2">
      <c r="DO45826" s="303" t="s">
        <v>232</v>
      </c>
    </row>
    <row r="45827" spans="119:119" x14ac:dyDescent="0.2">
      <c r="DO45827" s="303" t="s">
        <v>232</v>
      </c>
    </row>
    <row r="45828" spans="119:119" x14ac:dyDescent="0.2">
      <c r="DO45828" s="303" t="s">
        <v>232</v>
      </c>
    </row>
    <row r="45829" spans="119:119" x14ac:dyDescent="0.2">
      <c r="DO45829" s="303" t="s">
        <v>232</v>
      </c>
    </row>
    <row r="45830" spans="119:119" x14ac:dyDescent="0.2">
      <c r="DO45830" s="303" t="s">
        <v>232</v>
      </c>
    </row>
    <row r="45831" spans="119:119" x14ac:dyDescent="0.2">
      <c r="DO45831" s="303" t="s">
        <v>232</v>
      </c>
    </row>
    <row r="45832" spans="119:119" x14ac:dyDescent="0.2">
      <c r="DO45832" s="303" t="s">
        <v>232</v>
      </c>
    </row>
    <row r="45833" spans="119:119" x14ac:dyDescent="0.2">
      <c r="DO45833" s="303" t="s">
        <v>232</v>
      </c>
    </row>
    <row r="45834" spans="119:119" x14ac:dyDescent="0.2">
      <c r="DO45834" s="303" t="s">
        <v>232</v>
      </c>
    </row>
    <row r="45835" spans="119:119" x14ac:dyDescent="0.2">
      <c r="DO45835" s="303" t="s">
        <v>232</v>
      </c>
    </row>
    <row r="45836" spans="119:119" x14ac:dyDescent="0.2">
      <c r="DO45836" s="303" t="s">
        <v>232</v>
      </c>
    </row>
    <row r="45837" spans="119:119" x14ac:dyDescent="0.2">
      <c r="DO45837" s="303" t="s">
        <v>232</v>
      </c>
    </row>
    <row r="45838" spans="119:119" x14ac:dyDescent="0.2">
      <c r="DO45838" s="303" t="s">
        <v>232</v>
      </c>
    </row>
    <row r="45839" spans="119:119" x14ac:dyDescent="0.2">
      <c r="DO45839" s="303" t="s">
        <v>232</v>
      </c>
    </row>
    <row r="45840" spans="119:119" x14ac:dyDescent="0.2">
      <c r="DO45840" s="303" t="s">
        <v>232</v>
      </c>
    </row>
    <row r="45841" spans="119:119" x14ac:dyDescent="0.2">
      <c r="DO45841" s="303" t="s">
        <v>232</v>
      </c>
    </row>
    <row r="45842" spans="119:119" x14ac:dyDescent="0.2">
      <c r="DO45842" s="303" t="s">
        <v>232</v>
      </c>
    </row>
    <row r="45843" spans="119:119" x14ac:dyDescent="0.2">
      <c r="DO45843" s="303" t="s">
        <v>232</v>
      </c>
    </row>
    <row r="45844" spans="119:119" x14ac:dyDescent="0.2">
      <c r="DO45844" s="303" t="s">
        <v>232</v>
      </c>
    </row>
    <row r="45845" spans="119:119" x14ac:dyDescent="0.2">
      <c r="DO45845" s="303" t="s">
        <v>232</v>
      </c>
    </row>
    <row r="45846" spans="119:119" x14ac:dyDescent="0.2">
      <c r="DO45846" s="303" t="s">
        <v>232</v>
      </c>
    </row>
    <row r="45847" spans="119:119" x14ac:dyDescent="0.2">
      <c r="DO45847" s="303" t="s">
        <v>232</v>
      </c>
    </row>
    <row r="45848" spans="119:119" x14ac:dyDescent="0.2">
      <c r="DO45848" s="303" t="s">
        <v>232</v>
      </c>
    </row>
    <row r="45849" spans="119:119" x14ac:dyDescent="0.2">
      <c r="DO45849" s="303" t="s">
        <v>232</v>
      </c>
    </row>
    <row r="45850" spans="119:119" x14ac:dyDescent="0.2">
      <c r="DO45850" s="303" t="s">
        <v>232</v>
      </c>
    </row>
    <row r="45851" spans="119:119" x14ac:dyDescent="0.2">
      <c r="DO45851" s="303" t="s">
        <v>232</v>
      </c>
    </row>
    <row r="45852" spans="119:119" x14ac:dyDescent="0.2">
      <c r="DO45852" s="303" t="s">
        <v>232</v>
      </c>
    </row>
    <row r="45853" spans="119:119" x14ac:dyDescent="0.2">
      <c r="DO45853" s="303" t="s">
        <v>232</v>
      </c>
    </row>
    <row r="45854" spans="119:119" x14ac:dyDescent="0.2">
      <c r="DO45854" s="303" t="s">
        <v>232</v>
      </c>
    </row>
    <row r="45855" spans="119:119" x14ac:dyDescent="0.2">
      <c r="DO45855" s="303" t="s">
        <v>232</v>
      </c>
    </row>
    <row r="45856" spans="119:119" x14ac:dyDescent="0.2">
      <c r="DO45856" s="303" t="s">
        <v>232</v>
      </c>
    </row>
    <row r="45857" spans="119:119" x14ac:dyDescent="0.2">
      <c r="DO45857" s="303" t="s">
        <v>232</v>
      </c>
    </row>
    <row r="45858" spans="119:119" x14ac:dyDescent="0.2">
      <c r="DO45858" s="303" t="s">
        <v>232</v>
      </c>
    </row>
    <row r="45859" spans="119:119" x14ac:dyDescent="0.2">
      <c r="DO45859" s="303" t="s">
        <v>232</v>
      </c>
    </row>
    <row r="45860" spans="119:119" x14ac:dyDescent="0.2">
      <c r="DO45860" s="303" t="s">
        <v>232</v>
      </c>
    </row>
    <row r="45861" spans="119:119" x14ac:dyDescent="0.2">
      <c r="DO45861" s="303" t="s">
        <v>232</v>
      </c>
    </row>
    <row r="45862" spans="119:119" x14ac:dyDescent="0.2">
      <c r="DO45862" s="303" t="s">
        <v>232</v>
      </c>
    </row>
    <row r="45863" spans="119:119" x14ac:dyDescent="0.2">
      <c r="DO45863" s="303" t="s">
        <v>232</v>
      </c>
    </row>
    <row r="45864" spans="119:119" x14ac:dyDescent="0.2">
      <c r="DO45864" s="303" t="s">
        <v>232</v>
      </c>
    </row>
    <row r="45865" spans="119:119" x14ac:dyDescent="0.2">
      <c r="DO45865" s="303" t="s">
        <v>232</v>
      </c>
    </row>
    <row r="45866" spans="119:119" x14ac:dyDescent="0.2">
      <c r="DO45866" s="303" t="s">
        <v>232</v>
      </c>
    </row>
    <row r="45867" spans="119:119" x14ac:dyDescent="0.2">
      <c r="DO45867" s="303" t="s">
        <v>232</v>
      </c>
    </row>
    <row r="45868" spans="119:119" x14ac:dyDescent="0.2">
      <c r="DO45868" s="303" t="s">
        <v>232</v>
      </c>
    </row>
    <row r="45869" spans="119:119" x14ac:dyDescent="0.2">
      <c r="DO45869" s="303" t="s">
        <v>232</v>
      </c>
    </row>
    <row r="45870" spans="119:119" x14ac:dyDescent="0.2">
      <c r="DO45870" s="303" t="s">
        <v>232</v>
      </c>
    </row>
    <row r="45871" spans="119:119" x14ac:dyDescent="0.2">
      <c r="DO45871" s="303" t="s">
        <v>232</v>
      </c>
    </row>
    <row r="45872" spans="119:119" x14ac:dyDescent="0.2">
      <c r="DO45872" s="303" t="s">
        <v>232</v>
      </c>
    </row>
    <row r="45873" spans="119:119" x14ac:dyDescent="0.2">
      <c r="DO45873" s="303" t="s">
        <v>232</v>
      </c>
    </row>
    <row r="45874" spans="119:119" x14ac:dyDescent="0.2">
      <c r="DO45874" s="303" t="s">
        <v>232</v>
      </c>
    </row>
    <row r="45875" spans="119:119" x14ac:dyDescent="0.2">
      <c r="DO45875" s="303" t="s">
        <v>232</v>
      </c>
    </row>
    <row r="45876" spans="119:119" x14ac:dyDescent="0.2">
      <c r="DO45876" s="303" t="s">
        <v>232</v>
      </c>
    </row>
    <row r="45877" spans="119:119" x14ac:dyDescent="0.2">
      <c r="DO45877" s="303" t="s">
        <v>232</v>
      </c>
    </row>
    <row r="45878" spans="119:119" x14ac:dyDescent="0.2">
      <c r="DO45878" s="303" t="s">
        <v>232</v>
      </c>
    </row>
    <row r="45879" spans="119:119" x14ac:dyDescent="0.2">
      <c r="DO45879" s="303" t="s">
        <v>232</v>
      </c>
    </row>
    <row r="45880" spans="119:119" x14ac:dyDescent="0.2">
      <c r="DO45880" s="303" t="s">
        <v>232</v>
      </c>
    </row>
    <row r="45881" spans="119:119" x14ac:dyDescent="0.2">
      <c r="DO45881" s="303" t="s">
        <v>232</v>
      </c>
    </row>
    <row r="45882" spans="119:119" x14ac:dyDescent="0.2">
      <c r="DO45882" s="303" t="s">
        <v>232</v>
      </c>
    </row>
    <row r="45883" spans="119:119" x14ac:dyDescent="0.2">
      <c r="DO45883" s="303" t="s">
        <v>232</v>
      </c>
    </row>
    <row r="45884" spans="119:119" x14ac:dyDescent="0.2">
      <c r="DO45884" s="303" t="s">
        <v>232</v>
      </c>
    </row>
    <row r="45885" spans="119:119" x14ac:dyDescent="0.2">
      <c r="DO45885" s="303" t="s">
        <v>232</v>
      </c>
    </row>
    <row r="45886" spans="119:119" x14ac:dyDescent="0.2">
      <c r="DO45886" s="303" t="s">
        <v>232</v>
      </c>
    </row>
    <row r="45887" spans="119:119" x14ac:dyDescent="0.2">
      <c r="DO45887" s="303" t="s">
        <v>232</v>
      </c>
    </row>
    <row r="45888" spans="119:119" x14ac:dyDescent="0.2">
      <c r="DO45888" s="303" t="s">
        <v>232</v>
      </c>
    </row>
    <row r="45889" spans="119:119" x14ac:dyDescent="0.2">
      <c r="DO45889" s="303" t="s">
        <v>232</v>
      </c>
    </row>
    <row r="45890" spans="119:119" x14ac:dyDescent="0.2">
      <c r="DO45890" s="303" t="s">
        <v>232</v>
      </c>
    </row>
    <row r="45891" spans="119:119" x14ac:dyDescent="0.2">
      <c r="DO45891" s="303" t="s">
        <v>232</v>
      </c>
    </row>
    <row r="45892" spans="119:119" x14ac:dyDescent="0.2">
      <c r="DO45892" s="303" t="s">
        <v>232</v>
      </c>
    </row>
    <row r="45893" spans="119:119" x14ac:dyDescent="0.2">
      <c r="DO45893" s="303" t="s">
        <v>232</v>
      </c>
    </row>
    <row r="45894" spans="119:119" x14ac:dyDescent="0.2">
      <c r="DO45894" s="303" t="s">
        <v>232</v>
      </c>
    </row>
    <row r="45895" spans="119:119" x14ac:dyDescent="0.2">
      <c r="DO45895" s="303" t="s">
        <v>232</v>
      </c>
    </row>
    <row r="45896" spans="119:119" x14ac:dyDescent="0.2">
      <c r="DO45896" s="303" t="s">
        <v>232</v>
      </c>
    </row>
    <row r="45897" spans="119:119" x14ac:dyDescent="0.2">
      <c r="DO45897" s="303" t="s">
        <v>232</v>
      </c>
    </row>
    <row r="45898" spans="119:119" x14ac:dyDescent="0.2">
      <c r="DO45898" s="303" t="s">
        <v>232</v>
      </c>
    </row>
    <row r="45899" spans="119:119" x14ac:dyDescent="0.2">
      <c r="DO45899" s="303" t="s">
        <v>232</v>
      </c>
    </row>
    <row r="45900" spans="119:119" x14ac:dyDescent="0.2">
      <c r="DO45900" s="303" t="s">
        <v>232</v>
      </c>
    </row>
    <row r="45901" spans="119:119" x14ac:dyDescent="0.2">
      <c r="DO45901" s="303" t="s">
        <v>232</v>
      </c>
    </row>
    <row r="45902" spans="119:119" x14ac:dyDescent="0.2">
      <c r="DO45902" s="303" t="s">
        <v>232</v>
      </c>
    </row>
    <row r="45903" spans="119:119" x14ac:dyDescent="0.2">
      <c r="DO45903" s="303" t="s">
        <v>232</v>
      </c>
    </row>
    <row r="45904" spans="119:119" x14ac:dyDescent="0.2">
      <c r="DO45904" s="303" t="s">
        <v>232</v>
      </c>
    </row>
    <row r="45905" spans="119:119" x14ac:dyDescent="0.2">
      <c r="DO45905" s="303" t="s">
        <v>232</v>
      </c>
    </row>
    <row r="45906" spans="119:119" x14ac:dyDescent="0.2">
      <c r="DO45906" s="303" t="s">
        <v>232</v>
      </c>
    </row>
    <row r="45907" spans="119:119" x14ac:dyDescent="0.2">
      <c r="DO45907" s="303" t="s">
        <v>232</v>
      </c>
    </row>
    <row r="45908" spans="119:119" x14ac:dyDescent="0.2">
      <c r="DO45908" s="303" t="s">
        <v>232</v>
      </c>
    </row>
    <row r="45909" spans="119:119" x14ac:dyDescent="0.2">
      <c r="DO45909" s="303" t="s">
        <v>232</v>
      </c>
    </row>
    <row r="45910" spans="119:119" x14ac:dyDescent="0.2">
      <c r="DO45910" s="303" t="s">
        <v>232</v>
      </c>
    </row>
    <row r="45911" spans="119:119" x14ac:dyDescent="0.2">
      <c r="DO45911" s="303" t="s">
        <v>232</v>
      </c>
    </row>
    <row r="45912" spans="119:119" x14ac:dyDescent="0.2">
      <c r="DO45912" s="303" t="s">
        <v>232</v>
      </c>
    </row>
    <row r="45913" spans="119:119" x14ac:dyDescent="0.2">
      <c r="DO45913" s="303" t="s">
        <v>232</v>
      </c>
    </row>
    <row r="45914" spans="119:119" x14ac:dyDescent="0.2">
      <c r="DO45914" s="303" t="s">
        <v>232</v>
      </c>
    </row>
    <row r="45915" spans="119:119" x14ac:dyDescent="0.2">
      <c r="DO45915" s="303" t="s">
        <v>232</v>
      </c>
    </row>
    <row r="45916" spans="119:119" x14ac:dyDescent="0.2">
      <c r="DO45916" s="303" t="s">
        <v>232</v>
      </c>
    </row>
    <row r="45917" spans="119:119" x14ac:dyDescent="0.2">
      <c r="DO45917" s="303" t="s">
        <v>232</v>
      </c>
    </row>
    <row r="45918" spans="119:119" x14ac:dyDescent="0.2">
      <c r="DO45918" s="303" t="s">
        <v>232</v>
      </c>
    </row>
    <row r="45919" spans="119:119" x14ac:dyDescent="0.2">
      <c r="DO45919" s="303" t="s">
        <v>232</v>
      </c>
    </row>
    <row r="45920" spans="119:119" x14ac:dyDescent="0.2">
      <c r="DO45920" s="303" t="s">
        <v>232</v>
      </c>
    </row>
    <row r="45921" spans="119:119" x14ac:dyDescent="0.2">
      <c r="DO45921" s="303" t="s">
        <v>232</v>
      </c>
    </row>
    <row r="45922" spans="119:119" x14ac:dyDescent="0.2">
      <c r="DO45922" s="303" t="s">
        <v>232</v>
      </c>
    </row>
    <row r="45923" spans="119:119" x14ac:dyDescent="0.2">
      <c r="DO45923" s="303" t="s">
        <v>232</v>
      </c>
    </row>
    <row r="45924" spans="119:119" x14ac:dyDescent="0.2">
      <c r="DO45924" s="303" t="s">
        <v>232</v>
      </c>
    </row>
    <row r="45925" spans="119:119" x14ac:dyDescent="0.2">
      <c r="DO45925" s="303" t="s">
        <v>232</v>
      </c>
    </row>
    <row r="45926" spans="119:119" x14ac:dyDescent="0.2">
      <c r="DO45926" s="303" t="s">
        <v>232</v>
      </c>
    </row>
    <row r="45927" spans="119:119" x14ac:dyDescent="0.2">
      <c r="DO45927" s="303" t="s">
        <v>232</v>
      </c>
    </row>
    <row r="45928" spans="119:119" x14ac:dyDescent="0.2">
      <c r="DO45928" s="303" t="s">
        <v>232</v>
      </c>
    </row>
    <row r="45929" spans="119:119" x14ac:dyDescent="0.2">
      <c r="DO45929" s="303" t="s">
        <v>232</v>
      </c>
    </row>
    <row r="45930" spans="119:119" x14ac:dyDescent="0.2">
      <c r="DO45930" s="303" t="s">
        <v>232</v>
      </c>
    </row>
    <row r="45931" spans="119:119" x14ac:dyDescent="0.2">
      <c r="DO45931" s="303" t="s">
        <v>232</v>
      </c>
    </row>
    <row r="45932" spans="119:119" x14ac:dyDescent="0.2">
      <c r="DO45932" s="303" t="s">
        <v>232</v>
      </c>
    </row>
    <row r="45933" spans="119:119" x14ac:dyDescent="0.2">
      <c r="DO45933" s="303" t="s">
        <v>232</v>
      </c>
    </row>
    <row r="45934" spans="119:119" x14ac:dyDescent="0.2">
      <c r="DO45934" s="303" t="s">
        <v>232</v>
      </c>
    </row>
    <row r="45935" spans="119:119" x14ac:dyDescent="0.2">
      <c r="DO45935" s="303" t="s">
        <v>232</v>
      </c>
    </row>
    <row r="45936" spans="119:119" x14ac:dyDescent="0.2">
      <c r="DO45936" s="303" t="s">
        <v>232</v>
      </c>
    </row>
    <row r="45937" spans="119:119" x14ac:dyDescent="0.2">
      <c r="DO45937" s="303" t="s">
        <v>232</v>
      </c>
    </row>
    <row r="45938" spans="119:119" x14ac:dyDescent="0.2">
      <c r="DO45938" s="303" t="s">
        <v>232</v>
      </c>
    </row>
    <row r="45939" spans="119:119" x14ac:dyDescent="0.2">
      <c r="DO45939" s="303" t="s">
        <v>232</v>
      </c>
    </row>
    <row r="45940" spans="119:119" x14ac:dyDescent="0.2">
      <c r="DO45940" s="303" t="s">
        <v>232</v>
      </c>
    </row>
    <row r="45941" spans="119:119" x14ac:dyDescent="0.2">
      <c r="DO45941" s="303" t="s">
        <v>232</v>
      </c>
    </row>
    <row r="45942" spans="119:119" x14ac:dyDescent="0.2">
      <c r="DO45942" s="303" t="s">
        <v>232</v>
      </c>
    </row>
    <row r="45943" spans="119:119" x14ac:dyDescent="0.2">
      <c r="DO45943" s="303" t="s">
        <v>232</v>
      </c>
    </row>
    <row r="45944" spans="119:119" x14ac:dyDescent="0.2">
      <c r="DO45944" s="303" t="s">
        <v>232</v>
      </c>
    </row>
    <row r="45945" spans="119:119" x14ac:dyDescent="0.2">
      <c r="DO45945" s="303" t="s">
        <v>232</v>
      </c>
    </row>
    <row r="45946" spans="119:119" x14ac:dyDescent="0.2">
      <c r="DO45946" s="303" t="s">
        <v>232</v>
      </c>
    </row>
    <row r="45947" spans="119:119" x14ac:dyDescent="0.2">
      <c r="DO45947" s="303" t="s">
        <v>232</v>
      </c>
    </row>
    <row r="45948" spans="119:119" x14ac:dyDescent="0.2">
      <c r="DO45948" s="303" t="s">
        <v>232</v>
      </c>
    </row>
    <row r="45949" spans="119:119" x14ac:dyDescent="0.2">
      <c r="DO45949" s="303" t="s">
        <v>232</v>
      </c>
    </row>
    <row r="45950" spans="119:119" x14ac:dyDescent="0.2">
      <c r="DO45950" s="303" t="s">
        <v>232</v>
      </c>
    </row>
    <row r="45951" spans="119:119" x14ac:dyDescent="0.2">
      <c r="DO45951" s="303" t="s">
        <v>232</v>
      </c>
    </row>
    <row r="45952" spans="119:119" x14ac:dyDescent="0.2">
      <c r="DO45952" s="303" t="s">
        <v>232</v>
      </c>
    </row>
    <row r="45953" spans="119:119" x14ac:dyDescent="0.2">
      <c r="DO45953" s="303" t="s">
        <v>232</v>
      </c>
    </row>
    <row r="45954" spans="119:119" x14ac:dyDescent="0.2">
      <c r="DO45954" s="303" t="s">
        <v>232</v>
      </c>
    </row>
    <row r="45955" spans="119:119" x14ac:dyDescent="0.2">
      <c r="DO45955" s="303" t="s">
        <v>232</v>
      </c>
    </row>
    <row r="45956" spans="119:119" x14ac:dyDescent="0.2">
      <c r="DO45956" s="303" t="s">
        <v>232</v>
      </c>
    </row>
    <row r="45957" spans="119:119" x14ac:dyDescent="0.2">
      <c r="DO45957" s="303" t="s">
        <v>232</v>
      </c>
    </row>
    <row r="45958" spans="119:119" x14ac:dyDescent="0.2">
      <c r="DO45958" s="303" t="s">
        <v>232</v>
      </c>
    </row>
    <row r="45959" spans="119:119" x14ac:dyDescent="0.2">
      <c r="DO45959" s="303" t="s">
        <v>232</v>
      </c>
    </row>
    <row r="45960" spans="119:119" x14ac:dyDescent="0.2">
      <c r="DO45960" s="303" t="s">
        <v>232</v>
      </c>
    </row>
    <row r="45961" spans="119:119" x14ac:dyDescent="0.2">
      <c r="DO45961" s="303" t="s">
        <v>232</v>
      </c>
    </row>
    <row r="45962" spans="119:119" x14ac:dyDescent="0.2">
      <c r="DO45962" s="303" t="s">
        <v>232</v>
      </c>
    </row>
    <row r="45963" spans="119:119" x14ac:dyDescent="0.2">
      <c r="DO45963" s="303" t="s">
        <v>232</v>
      </c>
    </row>
    <row r="45964" spans="119:119" x14ac:dyDescent="0.2">
      <c r="DO45964" s="303" t="s">
        <v>232</v>
      </c>
    </row>
    <row r="45965" spans="119:119" x14ac:dyDescent="0.2">
      <c r="DO45965" s="303" t="s">
        <v>232</v>
      </c>
    </row>
    <row r="45966" spans="119:119" x14ac:dyDescent="0.2">
      <c r="DO45966" s="303" t="s">
        <v>232</v>
      </c>
    </row>
    <row r="45967" spans="119:119" x14ac:dyDescent="0.2">
      <c r="DO45967" s="303" t="s">
        <v>232</v>
      </c>
    </row>
    <row r="45968" spans="119:119" x14ac:dyDescent="0.2">
      <c r="DO45968" s="303" t="s">
        <v>232</v>
      </c>
    </row>
    <row r="45969" spans="119:119" x14ac:dyDescent="0.2">
      <c r="DO45969" s="303" t="s">
        <v>232</v>
      </c>
    </row>
    <row r="45970" spans="119:119" x14ac:dyDescent="0.2">
      <c r="DO45970" s="303" t="s">
        <v>232</v>
      </c>
    </row>
    <row r="45971" spans="119:119" x14ac:dyDescent="0.2">
      <c r="DO45971" s="303" t="s">
        <v>232</v>
      </c>
    </row>
    <row r="45972" spans="119:119" x14ac:dyDescent="0.2">
      <c r="DO45972" s="303" t="s">
        <v>232</v>
      </c>
    </row>
    <row r="45973" spans="119:119" x14ac:dyDescent="0.2">
      <c r="DO45973" s="303" t="s">
        <v>232</v>
      </c>
    </row>
    <row r="45974" spans="119:119" x14ac:dyDescent="0.2">
      <c r="DO45974" s="303" t="s">
        <v>232</v>
      </c>
    </row>
    <row r="45975" spans="119:119" x14ac:dyDescent="0.2">
      <c r="DO45975" s="303" t="s">
        <v>232</v>
      </c>
    </row>
    <row r="45976" spans="119:119" x14ac:dyDescent="0.2">
      <c r="DO45976" s="303" t="s">
        <v>232</v>
      </c>
    </row>
    <row r="45977" spans="119:119" x14ac:dyDescent="0.2">
      <c r="DO45977" s="303" t="s">
        <v>232</v>
      </c>
    </row>
    <row r="45978" spans="119:119" x14ac:dyDescent="0.2">
      <c r="DO45978" s="303" t="s">
        <v>232</v>
      </c>
    </row>
    <row r="45979" spans="119:119" x14ac:dyDescent="0.2">
      <c r="DO45979" s="303" t="s">
        <v>232</v>
      </c>
    </row>
    <row r="45980" spans="119:119" x14ac:dyDescent="0.2">
      <c r="DO45980" s="303" t="s">
        <v>232</v>
      </c>
    </row>
    <row r="45981" spans="119:119" x14ac:dyDescent="0.2">
      <c r="DO45981" s="303" t="s">
        <v>232</v>
      </c>
    </row>
    <row r="45982" spans="119:119" x14ac:dyDescent="0.2">
      <c r="DO45982" s="303" t="s">
        <v>232</v>
      </c>
    </row>
    <row r="45983" spans="119:119" x14ac:dyDescent="0.2">
      <c r="DO45983" s="303" t="s">
        <v>232</v>
      </c>
    </row>
    <row r="45984" spans="119:119" x14ac:dyDescent="0.2">
      <c r="DO45984" s="303" t="s">
        <v>232</v>
      </c>
    </row>
    <row r="45985" spans="119:119" x14ac:dyDescent="0.2">
      <c r="DO45985" s="303" t="s">
        <v>232</v>
      </c>
    </row>
    <row r="45986" spans="119:119" x14ac:dyDescent="0.2">
      <c r="DO45986" s="303" t="s">
        <v>232</v>
      </c>
    </row>
    <row r="45987" spans="119:119" x14ac:dyDescent="0.2">
      <c r="DO45987" s="303" t="s">
        <v>232</v>
      </c>
    </row>
    <row r="45988" spans="119:119" x14ac:dyDescent="0.2">
      <c r="DO45988" s="303" t="s">
        <v>232</v>
      </c>
    </row>
    <row r="45989" spans="119:119" x14ac:dyDescent="0.2">
      <c r="DO45989" s="303" t="s">
        <v>232</v>
      </c>
    </row>
    <row r="45990" spans="119:119" x14ac:dyDescent="0.2">
      <c r="DO45990" s="303" t="s">
        <v>232</v>
      </c>
    </row>
    <row r="45991" spans="119:119" x14ac:dyDescent="0.2">
      <c r="DO45991" s="303" t="s">
        <v>232</v>
      </c>
    </row>
    <row r="45992" spans="119:119" x14ac:dyDescent="0.2">
      <c r="DO45992" s="303" t="s">
        <v>232</v>
      </c>
    </row>
    <row r="45993" spans="119:119" x14ac:dyDescent="0.2">
      <c r="DO45993" s="303" t="s">
        <v>232</v>
      </c>
    </row>
    <row r="45994" spans="119:119" x14ac:dyDescent="0.2">
      <c r="DO45994" s="303" t="s">
        <v>232</v>
      </c>
    </row>
    <row r="45995" spans="119:119" x14ac:dyDescent="0.2">
      <c r="DO45995" s="303" t="s">
        <v>232</v>
      </c>
    </row>
    <row r="45996" spans="119:119" x14ac:dyDescent="0.2">
      <c r="DO45996" s="303" t="s">
        <v>232</v>
      </c>
    </row>
    <row r="45997" spans="119:119" x14ac:dyDescent="0.2">
      <c r="DO45997" s="303" t="s">
        <v>232</v>
      </c>
    </row>
    <row r="45998" spans="119:119" x14ac:dyDescent="0.2">
      <c r="DO45998" s="303" t="s">
        <v>232</v>
      </c>
    </row>
    <row r="45999" spans="119:119" x14ac:dyDescent="0.2">
      <c r="DO45999" s="303" t="s">
        <v>232</v>
      </c>
    </row>
    <row r="46000" spans="119:119" x14ac:dyDescent="0.2">
      <c r="DO46000" s="303" t="s">
        <v>232</v>
      </c>
    </row>
    <row r="46001" spans="119:119" x14ac:dyDescent="0.2">
      <c r="DO46001" s="303" t="s">
        <v>232</v>
      </c>
    </row>
    <row r="46002" spans="119:119" x14ac:dyDescent="0.2">
      <c r="DO46002" s="303" t="s">
        <v>232</v>
      </c>
    </row>
    <row r="46003" spans="119:119" x14ac:dyDescent="0.2">
      <c r="DO46003" s="303" t="s">
        <v>232</v>
      </c>
    </row>
    <row r="46004" spans="119:119" x14ac:dyDescent="0.2">
      <c r="DO46004" s="303" t="s">
        <v>232</v>
      </c>
    </row>
    <row r="46005" spans="119:119" x14ac:dyDescent="0.2">
      <c r="DO46005" s="303" t="s">
        <v>232</v>
      </c>
    </row>
    <row r="46006" spans="119:119" x14ac:dyDescent="0.2">
      <c r="DO46006" s="303" t="s">
        <v>232</v>
      </c>
    </row>
    <row r="46007" spans="119:119" x14ac:dyDescent="0.2">
      <c r="DO46007" s="303" t="s">
        <v>232</v>
      </c>
    </row>
    <row r="46008" spans="119:119" x14ac:dyDescent="0.2">
      <c r="DO46008" s="303" t="s">
        <v>232</v>
      </c>
    </row>
    <row r="46009" spans="119:119" x14ac:dyDescent="0.2">
      <c r="DO46009" s="303" t="s">
        <v>232</v>
      </c>
    </row>
    <row r="46010" spans="119:119" x14ac:dyDescent="0.2">
      <c r="DO46010" s="303" t="s">
        <v>232</v>
      </c>
    </row>
    <row r="46011" spans="119:119" x14ac:dyDescent="0.2">
      <c r="DO46011" s="303" t="s">
        <v>232</v>
      </c>
    </row>
    <row r="46012" spans="119:119" x14ac:dyDescent="0.2">
      <c r="DO46012" s="303" t="s">
        <v>232</v>
      </c>
    </row>
    <row r="46013" spans="119:119" x14ac:dyDescent="0.2">
      <c r="DO46013" s="303" t="s">
        <v>232</v>
      </c>
    </row>
    <row r="46014" spans="119:119" x14ac:dyDescent="0.2">
      <c r="DO46014" s="303" t="s">
        <v>232</v>
      </c>
    </row>
    <row r="46015" spans="119:119" x14ac:dyDescent="0.2">
      <c r="DO46015" s="303" t="s">
        <v>232</v>
      </c>
    </row>
    <row r="46016" spans="119:119" x14ac:dyDescent="0.2">
      <c r="DO46016" s="303" t="s">
        <v>232</v>
      </c>
    </row>
    <row r="46017" spans="119:119" x14ac:dyDescent="0.2">
      <c r="DO46017" s="303" t="s">
        <v>232</v>
      </c>
    </row>
    <row r="46018" spans="119:119" x14ac:dyDescent="0.2">
      <c r="DO46018" s="303" t="s">
        <v>232</v>
      </c>
    </row>
    <row r="46019" spans="119:119" x14ac:dyDescent="0.2">
      <c r="DO46019" s="303" t="s">
        <v>232</v>
      </c>
    </row>
    <row r="46020" spans="119:119" x14ac:dyDescent="0.2">
      <c r="DO46020" s="303" t="s">
        <v>232</v>
      </c>
    </row>
    <row r="46021" spans="119:119" x14ac:dyDescent="0.2">
      <c r="DO46021" s="303" t="s">
        <v>232</v>
      </c>
    </row>
    <row r="46022" spans="119:119" x14ac:dyDescent="0.2">
      <c r="DO46022" s="303" t="s">
        <v>232</v>
      </c>
    </row>
    <row r="46023" spans="119:119" x14ac:dyDescent="0.2">
      <c r="DO46023" s="303" t="s">
        <v>232</v>
      </c>
    </row>
    <row r="46024" spans="119:119" x14ac:dyDescent="0.2">
      <c r="DO46024" s="303" t="s">
        <v>232</v>
      </c>
    </row>
    <row r="46025" spans="119:119" x14ac:dyDescent="0.2">
      <c r="DO46025" s="303" t="s">
        <v>232</v>
      </c>
    </row>
    <row r="46026" spans="119:119" x14ac:dyDescent="0.2">
      <c r="DO46026" s="303" t="s">
        <v>232</v>
      </c>
    </row>
    <row r="46027" spans="119:119" x14ac:dyDescent="0.2">
      <c r="DO46027" s="303" t="s">
        <v>232</v>
      </c>
    </row>
    <row r="46028" spans="119:119" x14ac:dyDescent="0.2">
      <c r="DO46028" s="303" t="s">
        <v>232</v>
      </c>
    </row>
    <row r="46029" spans="119:119" x14ac:dyDescent="0.2">
      <c r="DO46029" s="303" t="s">
        <v>232</v>
      </c>
    </row>
    <row r="46030" spans="119:119" x14ac:dyDescent="0.2">
      <c r="DO46030" s="303" t="s">
        <v>232</v>
      </c>
    </row>
    <row r="46031" spans="119:119" x14ac:dyDescent="0.2">
      <c r="DO46031" s="303" t="s">
        <v>232</v>
      </c>
    </row>
    <row r="46032" spans="119:119" x14ac:dyDescent="0.2">
      <c r="DO46032" s="303" t="s">
        <v>232</v>
      </c>
    </row>
    <row r="46033" spans="119:119" x14ac:dyDescent="0.2">
      <c r="DO46033" s="303" t="s">
        <v>232</v>
      </c>
    </row>
    <row r="46034" spans="119:119" x14ac:dyDescent="0.2">
      <c r="DO46034" s="303" t="s">
        <v>232</v>
      </c>
    </row>
    <row r="46035" spans="119:119" x14ac:dyDescent="0.2">
      <c r="DO46035" s="303" t="s">
        <v>232</v>
      </c>
    </row>
    <row r="46036" spans="119:119" x14ac:dyDescent="0.2">
      <c r="DO46036" s="303" t="s">
        <v>232</v>
      </c>
    </row>
    <row r="46037" spans="119:119" x14ac:dyDescent="0.2">
      <c r="DO46037" s="303" t="s">
        <v>232</v>
      </c>
    </row>
    <row r="46038" spans="119:119" x14ac:dyDescent="0.2">
      <c r="DO46038" s="303" t="s">
        <v>232</v>
      </c>
    </row>
    <row r="46039" spans="119:119" x14ac:dyDescent="0.2">
      <c r="DO46039" s="303" t="s">
        <v>232</v>
      </c>
    </row>
    <row r="46040" spans="119:119" x14ac:dyDescent="0.2">
      <c r="DO46040" s="303" t="s">
        <v>232</v>
      </c>
    </row>
    <row r="46041" spans="119:119" x14ac:dyDescent="0.2">
      <c r="DO46041" s="303" t="s">
        <v>232</v>
      </c>
    </row>
    <row r="46042" spans="119:119" x14ac:dyDescent="0.2">
      <c r="DO46042" s="303" t="s">
        <v>232</v>
      </c>
    </row>
    <row r="46043" spans="119:119" x14ac:dyDescent="0.2">
      <c r="DO46043" s="303" t="s">
        <v>232</v>
      </c>
    </row>
    <row r="46044" spans="119:119" x14ac:dyDescent="0.2">
      <c r="DO46044" s="303" t="s">
        <v>232</v>
      </c>
    </row>
    <row r="46045" spans="119:119" x14ac:dyDescent="0.2">
      <c r="DO46045" s="303" t="s">
        <v>232</v>
      </c>
    </row>
    <row r="46046" spans="119:119" x14ac:dyDescent="0.2">
      <c r="DO46046" s="303" t="s">
        <v>232</v>
      </c>
    </row>
    <row r="46047" spans="119:119" x14ac:dyDescent="0.2">
      <c r="DO46047" s="303" t="s">
        <v>232</v>
      </c>
    </row>
    <row r="46048" spans="119:119" x14ac:dyDescent="0.2">
      <c r="DO46048" s="303" t="s">
        <v>232</v>
      </c>
    </row>
    <row r="46049" spans="119:119" x14ac:dyDescent="0.2">
      <c r="DO46049" s="303" t="s">
        <v>232</v>
      </c>
    </row>
    <row r="46050" spans="119:119" x14ac:dyDescent="0.2">
      <c r="DO46050" s="303" t="s">
        <v>232</v>
      </c>
    </row>
    <row r="46051" spans="119:119" x14ac:dyDescent="0.2">
      <c r="DO46051" s="303" t="s">
        <v>232</v>
      </c>
    </row>
    <row r="46052" spans="119:119" x14ac:dyDescent="0.2">
      <c r="DO46052" s="303" t="s">
        <v>232</v>
      </c>
    </row>
    <row r="46053" spans="119:119" x14ac:dyDescent="0.2">
      <c r="DO46053" s="303" t="s">
        <v>232</v>
      </c>
    </row>
    <row r="46054" spans="119:119" x14ac:dyDescent="0.2">
      <c r="DO46054" s="303" t="s">
        <v>232</v>
      </c>
    </row>
    <row r="46055" spans="119:119" x14ac:dyDescent="0.2">
      <c r="DO46055" s="303" t="s">
        <v>232</v>
      </c>
    </row>
    <row r="46056" spans="119:119" x14ac:dyDescent="0.2">
      <c r="DO46056" s="303" t="s">
        <v>232</v>
      </c>
    </row>
    <row r="46057" spans="119:119" x14ac:dyDescent="0.2">
      <c r="DO46057" s="303" t="s">
        <v>232</v>
      </c>
    </row>
    <row r="46058" spans="119:119" x14ac:dyDescent="0.2">
      <c r="DO46058" s="303" t="s">
        <v>232</v>
      </c>
    </row>
    <row r="46059" spans="119:119" x14ac:dyDescent="0.2">
      <c r="DO46059" s="303" t="s">
        <v>232</v>
      </c>
    </row>
    <row r="46060" spans="119:119" x14ac:dyDescent="0.2">
      <c r="DO46060" s="303" t="s">
        <v>232</v>
      </c>
    </row>
    <row r="46061" spans="119:119" x14ac:dyDescent="0.2">
      <c r="DO46061" s="303" t="s">
        <v>232</v>
      </c>
    </row>
    <row r="46062" spans="119:119" x14ac:dyDescent="0.2">
      <c r="DO46062" s="303" t="s">
        <v>232</v>
      </c>
    </row>
    <row r="46063" spans="119:119" x14ac:dyDescent="0.2">
      <c r="DO46063" s="303" t="s">
        <v>232</v>
      </c>
    </row>
    <row r="46064" spans="119:119" x14ac:dyDescent="0.2">
      <c r="DO46064" s="303" t="s">
        <v>232</v>
      </c>
    </row>
    <row r="46065" spans="119:119" x14ac:dyDescent="0.2">
      <c r="DO46065" s="303" t="s">
        <v>232</v>
      </c>
    </row>
    <row r="46066" spans="119:119" x14ac:dyDescent="0.2">
      <c r="DO46066" s="303" t="s">
        <v>232</v>
      </c>
    </row>
    <row r="46067" spans="119:119" x14ac:dyDescent="0.2">
      <c r="DO46067" s="303" t="s">
        <v>232</v>
      </c>
    </row>
    <row r="46068" spans="119:119" x14ac:dyDescent="0.2">
      <c r="DO46068" s="303" t="s">
        <v>232</v>
      </c>
    </row>
    <row r="46069" spans="119:119" x14ac:dyDescent="0.2">
      <c r="DO46069" s="303" t="s">
        <v>232</v>
      </c>
    </row>
    <row r="46070" spans="119:119" x14ac:dyDescent="0.2">
      <c r="DO46070" s="303" t="s">
        <v>232</v>
      </c>
    </row>
    <row r="46071" spans="119:119" x14ac:dyDescent="0.2">
      <c r="DO46071" s="303" t="s">
        <v>232</v>
      </c>
    </row>
    <row r="46072" spans="119:119" x14ac:dyDescent="0.2">
      <c r="DO46072" s="303" t="s">
        <v>232</v>
      </c>
    </row>
    <row r="46073" spans="119:119" x14ac:dyDescent="0.2">
      <c r="DO46073" s="303" t="s">
        <v>232</v>
      </c>
    </row>
    <row r="46074" spans="119:119" x14ac:dyDescent="0.2">
      <c r="DO46074" s="303" t="s">
        <v>232</v>
      </c>
    </row>
    <row r="46075" spans="119:119" x14ac:dyDescent="0.2">
      <c r="DO46075" s="303" t="s">
        <v>232</v>
      </c>
    </row>
    <row r="46076" spans="119:119" x14ac:dyDescent="0.2">
      <c r="DO46076" s="303" t="s">
        <v>232</v>
      </c>
    </row>
    <row r="46077" spans="119:119" x14ac:dyDescent="0.2">
      <c r="DO46077" s="303" t="s">
        <v>232</v>
      </c>
    </row>
    <row r="46078" spans="119:119" x14ac:dyDescent="0.2">
      <c r="DO46078" s="303" t="s">
        <v>232</v>
      </c>
    </row>
    <row r="46079" spans="119:119" x14ac:dyDescent="0.2">
      <c r="DO46079" s="303" t="s">
        <v>232</v>
      </c>
    </row>
    <row r="46080" spans="119:119" x14ac:dyDescent="0.2">
      <c r="DO46080" s="303" t="s">
        <v>232</v>
      </c>
    </row>
    <row r="46081" spans="119:119" x14ac:dyDescent="0.2">
      <c r="DO46081" s="303" t="s">
        <v>232</v>
      </c>
    </row>
    <row r="46082" spans="119:119" x14ac:dyDescent="0.2">
      <c r="DO46082" s="303" t="s">
        <v>232</v>
      </c>
    </row>
    <row r="46083" spans="119:119" x14ac:dyDescent="0.2">
      <c r="DO46083" s="303" t="s">
        <v>232</v>
      </c>
    </row>
    <row r="46084" spans="119:119" x14ac:dyDescent="0.2">
      <c r="DO46084" s="303" t="s">
        <v>232</v>
      </c>
    </row>
    <row r="46085" spans="119:119" x14ac:dyDescent="0.2">
      <c r="DO46085" s="303" t="s">
        <v>232</v>
      </c>
    </row>
    <row r="46086" spans="119:119" x14ac:dyDescent="0.2">
      <c r="DO46086" s="303" t="s">
        <v>232</v>
      </c>
    </row>
    <row r="46087" spans="119:119" x14ac:dyDescent="0.2">
      <c r="DO46087" s="303" t="s">
        <v>232</v>
      </c>
    </row>
    <row r="46088" spans="119:119" x14ac:dyDescent="0.2">
      <c r="DO46088" s="303" t="s">
        <v>232</v>
      </c>
    </row>
    <row r="46089" spans="119:119" x14ac:dyDescent="0.2">
      <c r="DO46089" s="303" t="s">
        <v>232</v>
      </c>
    </row>
    <row r="46090" spans="119:119" x14ac:dyDescent="0.2">
      <c r="DO46090" s="303" t="s">
        <v>232</v>
      </c>
    </row>
    <row r="46091" spans="119:119" x14ac:dyDescent="0.2">
      <c r="DO46091" s="303" t="s">
        <v>232</v>
      </c>
    </row>
    <row r="46092" spans="119:119" x14ac:dyDescent="0.2">
      <c r="DO46092" s="303" t="s">
        <v>232</v>
      </c>
    </row>
    <row r="46093" spans="119:119" x14ac:dyDescent="0.2">
      <c r="DO46093" s="303" t="s">
        <v>232</v>
      </c>
    </row>
    <row r="46094" spans="119:119" x14ac:dyDescent="0.2">
      <c r="DO46094" s="303" t="s">
        <v>232</v>
      </c>
    </row>
    <row r="46095" spans="119:119" x14ac:dyDescent="0.2">
      <c r="DO46095" s="303" t="s">
        <v>232</v>
      </c>
    </row>
    <row r="46096" spans="119:119" x14ac:dyDescent="0.2">
      <c r="DO46096" s="303" t="s">
        <v>232</v>
      </c>
    </row>
    <row r="46097" spans="119:119" x14ac:dyDescent="0.2">
      <c r="DO46097" s="303" t="s">
        <v>232</v>
      </c>
    </row>
    <row r="46098" spans="119:119" x14ac:dyDescent="0.2">
      <c r="DO46098" s="303" t="s">
        <v>232</v>
      </c>
    </row>
    <row r="46099" spans="119:119" x14ac:dyDescent="0.2">
      <c r="DO46099" s="303" t="s">
        <v>232</v>
      </c>
    </row>
    <row r="46100" spans="119:119" x14ac:dyDescent="0.2">
      <c r="DO46100" s="303" t="s">
        <v>232</v>
      </c>
    </row>
    <row r="46101" spans="119:119" x14ac:dyDescent="0.2">
      <c r="DO46101" s="303" t="s">
        <v>232</v>
      </c>
    </row>
    <row r="46102" spans="119:119" x14ac:dyDescent="0.2">
      <c r="DO46102" s="303" t="s">
        <v>232</v>
      </c>
    </row>
    <row r="46103" spans="119:119" x14ac:dyDescent="0.2">
      <c r="DO46103" s="303" t="s">
        <v>232</v>
      </c>
    </row>
    <row r="46104" spans="119:119" x14ac:dyDescent="0.2">
      <c r="DO46104" s="303" t="s">
        <v>232</v>
      </c>
    </row>
    <row r="46105" spans="119:119" x14ac:dyDescent="0.2">
      <c r="DO46105" s="303" t="s">
        <v>232</v>
      </c>
    </row>
    <row r="46106" spans="119:119" x14ac:dyDescent="0.2">
      <c r="DO46106" s="303" t="s">
        <v>232</v>
      </c>
    </row>
    <row r="46107" spans="119:119" x14ac:dyDescent="0.2">
      <c r="DO46107" s="303" t="s">
        <v>232</v>
      </c>
    </row>
    <row r="46108" spans="119:119" x14ac:dyDescent="0.2">
      <c r="DO46108" s="303" t="s">
        <v>232</v>
      </c>
    </row>
    <row r="46109" spans="119:119" x14ac:dyDescent="0.2">
      <c r="DO46109" s="303" t="s">
        <v>232</v>
      </c>
    </row>
    <row r="46110" spans="119:119" x14ac:dyDescent="0.2">
      <c r="DO46110" s="303" t="s">
        <v>232</v>
      </c>
    </row>
    <row r="46111" spans="119:119" x14ac:dyDescent="0.2">
      <c r="DO46111" s="303" t="s">
        <v>232</v>
      </c>
    </row>
    <row r="46112" spans="119:119" x14ac:dyDescent="0.2">
      <c r="DO46112" s="303" t="s">
        <v>232</v>
      </c>
    </row>
    <row r="46113" spans="119:119" x14ac:dyDescent="0.2">
      <c r="DO46113" s="303" t="s">
        <v>232</v>
      </c>
    </row>
    <row r="46114" spans="119:119" x14ac:dyDescent="0.2">
      <c r="DO46114" s="303" t="s">
        <v>232</v>
      </c>
    </row>
    <row r="46115" spans="119:119" x14ac:dyDescent="0.2">
      <c r="DO46115" s="303" t="s">
        <v>232</v>
      </c>
    </row>
    <row r="46116" spans="119:119" x14ac:dyDescent="0.2">
      <c r="DO46116" s="303" t="s">
        <v>232</v>
      </c>
    </row>
    <row r="46117" spans="119:119" x14ac:dyDescent="0.2">
      <c r="DO46117" s="303" t="s">
        <v>232</v>
      </c>
    </row>
    <row r="46118" spans="119:119" x14ac:dyDescent="0.2">
      <c r="DO46118" s="303" t="s">
        <v>232</v>
      </c>
    </row>
    <row r="46119" spans="119:119" x14ac:dyDescent="0.2">
      <c r="DO46119" s="303" t="s">
        <v>232</v>
      </c>
    </row>
    <row r="46120" spans="119:119" x14ac:dyDescent="0.2">
      <c r="DO46120" s="303" t="s">
        <v>232</v>
      </c>
    </row>
    <row r="46121" spans="119:119" x14ac:dyDescent="0.2">
      <c r="DO46121" s="303" t="s">
        <v>232</v>
      </c>
    </row>
    <row r="46122" spans="119:119" x14ac:dyDescent="0.2">
      <c r="DO46122" s="303" t="s">
        <v>232</v>
      </c>
    </row>
    <row r="46123" spans="119:119" x14ac:dyDescent="0.2">
      <c r="DO46123" s="303" t="s">
        <v>232</v>
      </c>
    </row>
    <row r="46124" spans="119:119" x14ac:dyDescent="0.2">
      <c r="DO46124" s="303" t="s">
        <v>232</v>
      </c>
    </row>
    <row r="46125" spans="119:119" x14ac:dyDescent="0.2">
      <c r="DO46125" s="303" t="s">
        <v>232</v>
      </c>
    </row>
    <row r="46126" spans="119:119" x14ac:dyDescent="0.2">
      <c r="DO46126" s="303" t="s">
        <v>232</v>
      </c>
    </row>
    <row r="46127" spans="119:119" x14ac:dyDescent="0.2">
      <c r="DO46127" s="303" t="s">
        <v>232</v>
      </c>
    </row>
    <row r="46128" spans="119:119" x14ac:dyDescent="0.2">
      <c r="DO46128" s="303" t="s">
        <v>232</v>
      </c>
    </row>
    <row r="46129" spans="119:119" x14ac:dyDescent="0.2">
      <c r="DO46129" s="303" t="s">
        <v>232</v>
      </c>
    </row>
    <row r="46130" spans="119:119" x14ac:dyDescent="0.2">
      <c r="DO46130" s="303" t="s">
        <v>232</v>
      </c>
    </row>
    <row r="46131" spans="119:119" x14ac:dyDescent="0.2">
      <c r="DO46131" s="303" t="s">
        <v>232</v>
      </c>
    </row>
    <row r="46132" spans="119:119" x14ac:dyDescent="0.2">
      <c r="DO46132" s="303" t="s">
        <v>232</v>
      </c>
    </row>
    <row r="46133" spans="119:119" x14ac:dyDescent="0.2">
      <c r="DO46133" s="303" t="s">
        <v>232</v>
      </c>
    </row>
    <row r="46134" spans="119:119" x14ac:dyDescent="0.2">
      <c r="DO46134" s="303" t="s">
        <v>232</v>
      </c>
    </row>
    <row r="46135" spans="119:119" x14ac:dyDescent="0.2">
      <c r="DO46135" s="303" t="s">
        <v>232</v>
      </c>
    </row>
    <row r="46136" spans="119:119" x14ac:dyDescent="0.2">
      <c r="DO46136" s="303" t="s">
        <v>232</v>
      </c>
    </row>
    <row r="46137" spans="119:119" x14ac:dyDescent="0.2">
      <c r="DO46137" s="303" t="s">
        <v>232</v>
      </c>
    </row>
    <row r="46138" spans="119:119" x14ac:dyDescent="0.2">
      <c r="DO46138" s="303" t="s">
        <v>232</v>
      </c>
    </row>
    <row r="46139" spans="119:119" x14ac:dyDescent="0.2">
      <c r="DO46139" s="303" t="s">
        <v>232</v>
      </c>
    </row>
    <row r="46140" spans="119:119" x14ac:dyDescent="0.2">
      <c r="DO46140" s="303" t="s">
        <v>232</v>
      </c>
    </row>
    <row r="46141" spans="119:119" x14ac:dyDescent="0.2">
      <c r="DO46141" s="303" t="s">
        <v>232</v>
      </c>
    </row>
    <row r="46142" spans="119:119" x14ac:dyDescent="0.2">
      <c r="DO46142" s="303" t="s">
        <v>232</v>
      </c>
    </row>
    <row r="46143" spans="119:119" x14ac:dyDescent="0.2">
      <c r="DO46143" s="303" t="s">
        <v>232</v>
      </c>
    </row>
    <row r="46144" spans="119:119" x14ac:dyDescent="0.2">
      <c r="DO46144" s="303" t="s">
        <v>232</v>
      </c>
    </row>
    <row r="46145" spans="119:119" x14ac:dyDescent="0.2">
      <c r="DO46145" s="303" t="s">
        <v>232</v>
      </c>
    </row>
    <row r="46146" spans="119:119" x14ac:dyDescent="0.2">
      <c r="DO46146" s="303" t="s">
        <v>232</v>
      </c>
    </row>
    <row r="46147" spans="119:119" x14ac:dyDescent="0.2">
      <c r="DO46147" s="303" t="s">
        <v>232</v>
      </c>
    </row>
    <row r="46148" spans="119:119" x14ac:dyDescent="0.2">
      <c r="DO46148" s="303" t="s">
        <v>232</v>
      </c>
    </row>
    <row r="46149" spans="119:119" x14ac:dyDescent="0.2">
      <c r="DO46149" s="303" t="s">
        <v>232</v>
      </c>
    </row>
    <row r="46150" spans="119:119" x14ac:dyDescent="0.2">
      <c r="DO46150" s="303" t="s">
        <v>232</v>
      </c>
    </row>
    <row r="46151" spans="119:119" x14ac:dyDescent="0.2">
      <c r="DO46151" s="303" t="s">
        <v>232</v>
      </c>
    </row>
    <row r="46152" spans="119:119" x14ac:dyDescent="0.2">
      <c r="DO46152" s="303" t="s">
        <v>232</v>
      </c>
    </row>
    <row r="46153" spans="119:119" x14ac:dyDescent="0.2">
      <c r="DO46153" s="303" t="s">
        <v>232</v>
      </c>
    </row>
    <row r="46154" spans="119:119" x14ac:dyDescent="0.2">
      <c r="DO46154" s="303" t="s">
        <v>232</v>
      </c>
    </row>
    <row r="46155" spans="119:119" x14ac:dyDescent="0.2">
      <c r="DO46155" s="303" t="s">
        <v>232</v>
      </c>
    </row>
    <row r="46156" spans="119:119" x14ac:dyDescent="0.2">
      <c r="DO46156" s="303" t="s">
        <v>232</v>
      </c>
    </row>
    <row r="46157" spans="119:119" x14ac:dyDescent="0.2">
      <c r="DO46157" s="303" t="s">
        <v>232</v>
      </c>
    </row>
    <row r="46158" spans="119:119" x14ac:dyDescent="0.2">
      <c r="DO46158" s="303" t="s">
        <v>232</v>
      </c>
    </row>
    <row r="46159" spans="119:119" x14ac:dyDescent="0.2">
      <c r="DO46159" s="303" t="s">
        <v>232</v>
      </c>
    </row>
    <row r="46160" spans="119:119" x14ac:dyDescent="0.2">
      <c r="DO46160" s="303" t="s">
        <v>232</v>
      </c>
    </row>
    <row r="46161" spans="119:119" x14ac:dyDescent="0.2">
      <c r="DO46161" s="303" t="s">
        <v>232</v>
      </c>
    </row>
    <row r="46162" spans="119:119" x14ac:dyDescent="0.2">
      <c r="DO46162" s="303" t="s">
        <v>232</v>
      </c>
    </row>
    <row r="46163" spans="119:119" x14ac:dyDescent="0.2">
      <c r="DO46163" s="303" t="s">
        <v>232</v>
      </c>
    </row>
    <row r="46164" spans="119:119" x14ac:dyDescent="0.2">
      <c r="DO46164" s="303" t="s">
        <v>232</v>
      </c>
    </row>
    <row r="46165" spans="119:119" x14ac:dyDescent="0.2">
      <c r="DO46165" s="303" t="s">
        <v>232</v>
      </c>
    </row>
    <row r="46166" spans="119:119" x14ac:dyDescent="0.2">
      <c r="DO46166" s="303" t="s">
        <v>232</v>
      </c>
    </row>
    <row r="46167" spans="119:119" x14ac:dyDescent="0.2">
      <c r="DO46167" s="303" t="s">
        <v>232</v>
      </c>
    </row>
    <row r="46168" spans="119:119" x14ac:dyDescent="0.2">
      <c r="DO46168" s="303" t="s">
        <v>232</v>
      </c>
    </row>
    <row r="46169" spans="119:119" x14ac:dyDescent="0.2">
      <c r="DO46169" s="303" t="s">
        <v>232</v>
      </c>
    </row>
    <row r="46170" spans="119:119" x14ac:dyDescent="0.2">
      <c r="DO46170" s="303" t="s">
        <v>232</v>
      </c>
    </row>
    <row r="46171" spans="119:119" x14ac:dyDescent="0.2">
      <c r="DO46171" s="303" t="s">
        <v>232</v>
      </c>
    </row>
    <row r="46172" spans="119:119" x14ac:dyDescent="0.2">
      <c r="DO46172" s="303" t="s">
        <v>232</v>
      </c>
    </row>
    <row r="46173" spans="119:119" x14ac:dyDescent="0.2">
      <c r="DO46173" s="303" t="s">
        <v>232</v>
      </c>
    </row>
    <row r="46174" spans="119:119" x14ac:dyDescent="0.2">
      <c r="DO46174" s="303" t="s">
        <v>232</v>
      </c>
    </row>
    <row r="46175" spans="119:119" x14ac:dyDescent="0.2">
      <c r="DO46175" s="303" t="s">
        <v>232</v>
      </c>
    </row>
    <row r="46176" spans="119:119" x14ac:dyDescent="0.2">
      <c r="DO46176" s="303" t="s">
        <v>232</v>
      </c>
    </row>
    <row r="46177" spans="119:119" x14ac:dyDescent="0.2">
      <c r="DO46177" s="303" t="s">
        <v>232</v>
      </c>
    </row>
    <row r="46178" spans="119:119" x14ac:dyDescent="0.2">
      <c r="DO46178" s="303" t="s">
        <v>232</v>
      </c>
    </row>
    <row r="46179" spans="119:119" x14ac:dyDescent="0.2">
      <c r="DO46179" s="303" t="s">
        <v>232</v>
      </c>
    </row>
    <row r="46180" spans="119:119" x14ac:dyDescent="0.2">
      <c r="DO46180" s="303" t="s">
        <v>232</v>
      </c>
    </row>
    <row r="46181" spans="119:119" x14ac:dyDescent="0.2">
      <c r="DO46181" s="303" t="s">
        <v>232</v>
      </c>
    </row>
    <row r="46182" spans="119:119" x14ac:dyDescent="0.2">
      <c r="DO46182" s="303" t="s">
        <v>232</v>
      </c>
    </row>
    <row r="46183" spans="119:119" x14ac:dyDescent="0.2">
      <c r="DO46183" s="303" t="s">
        <v>232</v>
      </c>
    </row>
    <row r="46184" spans="119:119" x14ac:dyDescent="0.2">
      <c r="DO46184" s="303" t="s">
        <v>232</v>
      </c>
    </row>
    <row r="46185" spans="119:119" x14ac:dyDescent="0.2">
      <c r="DO46185" s="303" t="s">
        <v>232</v>
      </c>
    </row>
    <row r="46186" spans="119:119" x14ac:dyDescent="0.2">
      <c r="DO46186" s="303" t="s">
        <v>232</v>
      </c>
    </row>
    <row r="46187" spans="119:119" x14ac:dyDescent="0.2">
      <c r="DO46187" s="303" t="s">
        <v>232</v>
      </c>
    </row>
    <row r="46188" spans="119:119" x14ac:dyDescent="0.2">
      <c r="DO46188" s="303" t="s">
        <v>232</v>
      </c>
    </row>
    <row r="46189" spans="119:119" x14ac:dyDescent="0.2">
      <c r="DO46189" s="303" t="s">
        <v>232</v>
      </c>
    </row>
    <row r="46190" spans="119:119" x14ac:dyDescent="0.2">
      <c r="DO46190" s="303" t="s">
        <v>232</v>
      </c>
    </row>
    <row r="46191" spans="119:119" x14ac:dyDescent="0.2">
      <c r="DO46191" s="303" t="s">
        <v>232</v>
      </c>
    </row>
    <row r="46192" spans="119:119" x14ac:dyDescent="0.2">
      <c r="DO46192" s="303" t="s">
        <v>232</v>
      </c>
    </row>
    <row r="46193" spans="119:119" x14ac:dyDescent="0.2">
      <c r="DO46193" s="303" t="s">
        <v>232</v>
      </c>
    </row>
    <row r="46194" spans="119:119" x14ac:dyDescent="0.2">
      <c r="DO46194" s="303" t="s">
        <v>232</v>
      </c>
    </row>
    <row r="46195" spans="119:119" x14ac:dyDescent="0.2">
      <c r="DO46195" s="303" t="s">
        <v>232</v>
      </c>
    </row>
    <row r="46196" spans="119:119" x14ac:dyDescent="0.2">
      <c r="DO46196" s="303" t="s">
        <v>232</v>
      </c>
    </row>
    <row r="46197" spans="119:119" x14ac:dyDescent="0.2">
      <c r="DO46197" s="303" t="s">
        <v>232</v>
      </c>
    </row>
    <row r="46198" spans="119:119" x14ac:dyDescent="0.2">
      <c r="DO46198" s="303" t="s">
        <v>232</v>
      </c>
    </row>
    <row r="46199" spans="119:119" x14ac:dyDescent="0.2">
      <c r="DO46199" s="303" t="s">
        <v>232</v>
      </c>
    </row>
    <row r="46200" spans="119:119" x14ac:dyDescent="0.2">
      <c r="DO46200" s="303" t="s">
        <v>232</v>
      </c>
    </row>
    <row r="46201" spans="119:119" x14ac:dyDescent="0.2">
      <c r="DO46201" s="303" t="s">
        <v>232</v>
      </c>
    </row>
    <row r="46202" spans="119:119" x14ac:dyDescent="0.2">
      <c r="DO46202" s="303" t="s">
        <v>232</v>
      </c>
    </row>
    <row r="46203" spans="119:119" x14ac:dyDescent="0.2">
      <c r="DO46203" s="303" t="s">
        <v>232</v>
      </c>
    </row>
    <row r="46204" spans="119:119" x14ac:dyDescent="0.2">
      <c r="DO46204" s="303" t="s">
        <v>232</v>
      </c>
    </row>
    <row r="46205" spans="119:119" x14ac:dyDescent="0.2">
      <c r="DO46205" s="303" t="s">
        <v>232</v>
      </c>
    </row>
    <row r="46206" spans="119:119" x14ac:dyDescent="0.2">
      <c r="DO46206" s="303" t="s">
        <v>232</v>
      </c>
    </row>
    <row r="46207" spans="119:119" x14ac:dyDescent="0.2">
      <c r="DO46207" s="303" t="s">
        <v>232</v>
      </c>
    </row>
    <row r="46208" spans="119:119" x14ac:dyDescent="0.2">
      <c r="DO46208" s="303" t="s">
        <v>232</v>
      </c>
    </row>
    <row r="46209" spans="119:119" x14ac:dyDescent="0.2">
      <c r="DO46209" s="303" t="s">
        <v>232</v>
      </c>
    </row>
    <row r="46210" spans="119:119" x14ac:dyDescent="0.2">
      <c r="DO46210" s="303" t="s">
        <v>232</v>
      </c>
    </row>
    <row r="46211" spans="119:119" x14ac:dyDescent="0.2">
      <c r="DO46211" s="303" t="s">
        <v>232</v>
      </c>
    </row>
    <row r="46212" spans="119:119" x14ac:dyDescent="0.2">
      <c r="DO46212" s="303" t="s">
        <v>232</v>
      </c>
    </row>
    <row r="46213" spans="119:119" x14ac:dyDescent="0.2">
      <c r="DO46213" s="303" t="s">
        <v>232</v>
      </c>
    </row>
    <row r="46214" spans="119:119" x14ac:dyDescent="0.2">
      <c r="DO46214" s="303" t="s">
        <v>232</v>
      </c>
    </row>
    <row r="46215" spans="119:119" x14ac:dyDescent="0.2">
      <c r="DO46215" s="303" t="s">
        <v>232</v>
      </c>
    </row>
    <row r="46216" spans="119:119" x14ac:dyDescent="0.2">
      <c r="DO46216" s="303" t="s">
        <v>232</v>
      </c>
    </row>
    <row r="46217" spans="119:119" x14ac:dyDescent="0.2">
      <c r="DO46217" s="303" t="s">
        <v>232</v>
      </c>
    </row>
    <row r="46218" spans="119:119" x14ac:dyDescent="0.2">
      <c r="DO46218" s="303" t="s">
        <v>232</v>
      </c>
    </row>
    <row r="46219" spans="119:119" x14ac:dyDescent="0.2">
      <c r="DO46219" s="303" t="s">
        <v>232</v>
      </c>
    </row>
    <row r="46220" spans="119:119" x14ac:dyDescent="0.2">
      <c r="DO46220" s="303" t="s">
        <v>232</v>
      </c>
    </row>
    <row r="46221" spans="119:119" x14ac:dyDescent="0.2">
      <c r="DO46221" s="303" t="s">
        <v>232</v>
      </c>
    </row>
    <row r="46222" spans="119:119" x14ac:dyDescent="0.2">
      <c r="DO46222" s="303" t="s">
        <v>232</v>
      </c>
    </row>
    <row r="46223" spans="119:119" x14ac:dyDescent="0.2">
      <c r="DO46223" s="303" t="s">
        <v>232</v>
      </c>
    </row>
    <row r="46224" spans="119:119" x14ac:dyDescent="0.2">
      <c r="DO46224" s="303" t="s">
        <v>232</v>
      </c>
    </row>
    <row r="46225" spans="119:119" x14ac:dyDescent="0.2">
      <c r="DO46225" s="303" t="s">
        <v>232</v>
      </c>
    </row>
    <row r="46226" spans="119:119" x14ac:dyDescent="0.2">
      <c r="DO46226" s="303" t="s">
        <v>232</v>
      </c>
    </row>
    <row r="46227" spans="119:119" x14ac:dyDescent="0.2">
      <c r="DO46227" s="303" t="s">
        <v>232</v>
      </c>
    </row>
    <row r="46228" spans="119:119" x14ac:dyDescent="0.2">
      <c r="DO46228" s="303" t="s">
        <v>232</v>
      </c>
    </row>
    <row r="46229" spans="119:119" x14ac:dyDescent="0.2">
      <c r="DO46229" s="303" t="s">
        <v>232</v>
      </c>
    </row>
    <row r="46230" spans="119:119" x14ac:dyDescent="0.2">
      <c r="DO46230" s="303" t="s">
        <v>232</v>
      </c>
    </row>
    <row r="46231" spans="119:119" x14ac:dyDescent="0.2">
      <c r="DO46231" s="303" t="s">
        <v>232</v>
      </c>
    </row>
    <row r="46232" spans="119:119" x14ac:dyDescent="0.2">
      <c r="DO46232" s="303" t="s">
        <v>232</v>
      </c>
    </row>
    <row r="46233" spans="119:119" x14ac:dyDescent="0.2">
      <c r="DO46233" s="303" t="s">
        <v>232</v>
      </c>
    </row>
    <row r="46234" spans="119:119" x14ac:dyDescent="0.2">
      <c r="DO46234" s="303" t="s">
        <v>232</v>
      </c>
    </row>
    <row r="46235" spans="119:119" x14ac:dyDescent="0.2">
      <c r="DO46235" s="303" t="s">
        <v>232</v>
      </c>
    </row>
    <row r="46236" spans="119:119" x14ac:dyDescent="0.2">
      <c r="DO46236" s="303" t="s">
        <v>232</v>
      </c>
    </row>
    <row r="46237" spans="119:119" x14ac:dyDescent="0.2">
      <c r="DO46237" s="303" t="s">
        <v>232</v>
      </c>
    </row>
    <row r="46238" spans="119:119" x14ac:dyDescent="0.2">
      <c r="DO46238" s="303" t="s">
        <v>232</v>
      </c>
    </row>
    <row r="46239" spans="119:119" x14ac:dyDescent="0.2">
      <c r="DO46239" s="303" t="s">
        <v>232</v>
      </c>
    </row>
    <row r="46240" spans="119:119" x14ac:dyDescent="0.2">
      <c r="DO46240" s="303" t="s">
        <v>232</v>
      </c>
    </row>
    <row r="46241" spans="119:119" x14ac:dyDescent="0.2">
      <c r="DO46241" s="303" t="s">
        <v>232</v>
      </c>
    </row>
    <row r="46242" spans="119:119" x14ac:dyDescent="0.2">
      <c r="DO46242" s="303" t="s">
        <v>232</v>
      </c>
    </row>
    <row r="46243" spans="119:119" x14ac:dyDescent="0.2">
      <c r="DO46243" s="303" t="s">
        <v>232</v>
      </c>
    </row>
    <row r="46244" spans="119:119" x14ac:dyDescent="0.2">
      <c r="DO46244" s="303" t="s">
        <v>232</v>
      </c>
    </row>
    <row r="46245" spans="119:119" x14ac:dyDescent="0.2">
      <c r="DO46245" s="303" t="s">
        <v>232</v>
      </c>
    </row>
    <row r="46246" spans="119:119" x14ac:dyDescent="0.2">
      <c r="DO46246" s="303" t="s">
        <v>232</v>
      </c>
    </row>
    <row r="46247" spans="119:119" x14ac:dyDescent="0.2">
      <c r="DO46247" s="303" t="s">
        <v>232</v>
      </c>
    </row>
    <row r="46248" spans="119:119" x14ac:dyDescent="0.2">
      <c r="DO46248" s="303" t="s">
        <v>232</v>
      </c>
    </row>
    <row r="46249" spans="119:119" x14ac:dyDescent="0.2">
      <c r="DO46249" s="303" t="s">
        <v>232</v>
      </c>
    </row>
    <row r="46250" spans="119:119" x14ac:dyDescent="0.2">
      <c r="DO46250" s="303" t="s">
        <v>232</v>
      </c>
    </row>
    <row r="46251" spans="119:119" x14ac:dyDescent="0.2">
      <c r="DO46251" s="303" t="s">
        <v>232</v>
      </c>
    </row>
    <row r="46252" spans="119:119" x14ac:dyDescent="0.2">
      <c r="DO46252" s="303" t="s">
        <v>232</v>
      </c>
    </row>
    <row r="46253" spans="119:119" x14ac:dyDescent="0.2">
      <c r="DO46253" s="303" t="s">
        <v>232</v>
      </c>
    </row>
    <row r="46254" spans="119:119" x14ac:dyDescent="0.2">
      <c r="DO46254" s="303" t="s">
        <v>232</v>
      </c>
    </row>
    <row r="46255" spans="119:119" x14ac:dyDescent="0.2">
      <c r="DO46255" s="303" t="s">
        <v>232</v>
      </c>
    </row>
    <row r="46256" spans="119:119" x14ac:dyDescent="0.2">
      <c r="DO46256" s="303" t="s">
        <v>232</v>
      </c>
    </row>
    <row r="46257" spans="119:119" x14ac:dyDescent="0.2">
      <c r="DO46257" s="303" t="s">
        <v>232</v>
      </c>
    </row>
    <row r="46258" spans="119:119" x14ac:dyDescent="0.2">
      <c r="DO46258" s="303" t="s">
        <v>232</v>
      </c>
    </row>
    <row r="46259" spans="119:119" x14ac:dyDescent="0.2">
      <c r="DO46259" s="303" t="s">
        <v>232</v>
      </c>
    </row>
    <row r="46260" spans="119:119" x14ac:dyDescent="0.2">
      <c r="DO46260" s="303" t="s">
        <v>232</v>
      </c>
    </row>
    <row r="46261" spans="119:119" x14ac:dyDescent="0.2">
      <c r="DO46261" s="303" t="s">
        <v>232</v>
      </c>
    </row>
    <row r="46262" spans="119:119" x14ac:dyDescent="0.2">
      <c r="DO46262" s="303" t="s">
        <v>232</v>
      </c>
    </row>
    <row r="46263" spans="119:119" x14ac:dyDescent="0.2">
      <c r="DO46263" s="303" t="s">
        <v>232</v>
      </c>
    </row>
    <row r="46264" spans="119:119" x14ac:dyDescent="0.2">
      <c r="DO46264" s="303" t="s">
        <v>232</v>
      </c>
    </row>
    <row r="46265" spans="119:119" x14ac:dyDescent="0.2">
      <c r="DO46265" s="303" t="s">
        <v>232</v>
      </c>
    </row>
    <row r="46266" spans="119:119" x14ac:dyDescent="0.2">
      <c r="DO46266" s="303" t="s">
        <v>232</v>
      </c>
    </row>
    <row r="46267" spans="119:119" x14ac:dyDescent="0.2">
      <c r="DO46267" s="303" t="s">
        <v>232</v>
      </c>
    </row>
    <row r="46268" spans="119:119" x14ac:dyDescent="0.2">
      <c r="DO46268" s="303" t="s">
        <v>232</v>
      </c>
    </row>
    <row r="46269" spans="119:119" x14ac:dyDescent="0.2">
      <c r="DO46269" s="303" t="s">
        <v>232</v>
      </c>
    </row>
    <row r="46270" spans="119:119" x14ac:dyDescent="0.2">
      <c r="DO46270" s="303" t="s">
        <v>232</v>
      </c>
    </row>
    <row r="46271" spans="119:119" x14ac:dyDescent="0.2">
      <c r="DO46271" s="303" t="s">
        <v>232</v>
      </c>
    </row>
    <row r="46272" spans="119:119" x14ac:dyDescent="0.2">
      <c r="DO46272" s="303" t="s">
        <v>232</v>
      </c>
    </row>
    <row r="46273" spans="119:119" x14ac:dyDescent="0.2">
      <c r="DO46273" s="303" t="s">
        <v>232</v>
      </c>
    </row>
    <row r="46274" spans="119:119" x14ac:dyDescent="0.2">
      <c r="DO46274" s="303" t="s">
        <v>232</v>
      </c>
    </row>
    <row r="46275" spans="119:119" x14ac:dyDescent="0.2">
      <c r="DO46275" s="303" t="s">
        <v>232</v>
      </c>
    </row>
    <row r="46276" spans="119:119" x14ac:dyDescent="0.2">
      <c r="DO46276" s="303" t="s">
        <v>232</v>
      </c>
    </row>
    <row r="46277" spans="119:119" x14ac:dyDescent="0.2">
      <c r="DO46277" s="303" t="s">
        <v>232</v>
      </c>
    </row>
    <row r="46278" spans="119:119" x14ac:dyDescent="0.2">
      <c r="DO46278" s="303" t="s">
        <v>232</v>
      </c>
    </row>
    <row r="46279" spans="119:119" x14ac:dyDescent="0.2">
      <c r="DO46279" s="303" t="s">
        <v>232</v>
      </c>
    </row>
    <row r="46280" spans="119:119" x14ac:dyDescent="0.2">
      <c r="DO46280" s="303" t="s">
        <v>232</v>
      </c>
    </row>
    <row r="46281" spans="119:119" x14ac:dyDescent="0.2">
      <c r="DO46281" s="303" t="s">
        <v>232</v>
      </c>
    </row>
    <row r="46282" spans="119:119" x14ac:dyDescent="0.2">
      <c r="DO46282" s="303" t="s">
        <v>232</v>
      </c>
    </row>
    <row r="46283" spans="119:119" x14ac:dyDescent="0.2">
      <c r="DO46283" s="303" t="s">
        <v>232</v>
      </c>
    </row>
    <row r="46284" spans="119:119" x14ac:dyDescent="0.2">
      <c r="DO46284" s="303" t="s">
        <v>232</v>
      </c>
    </row>
    <row r="46285" spans="119:119" x14ac:dyDescent="0.2">
      <c r="DO46285" s="303" t="s">
        <v>232</v>
      </c>
    </row>
    <row r="46286" spans="119:119" x14ac:dyDescent="0.2">
      <c r="DO46286" s="303" t="s">
        <v>232</v>
      </c>
    </row>
    <row r="46287" spans="119:119" x14ac:dyDescent="0.2">
      <c r="DO46287" s="303" t="s">
        <v>232</v>
      </c>
    </row>
    <row r="46288" spans="119:119" x14ac:dyDescent="0.2">
      <c r="DO46288" s="303" t="s">
        <v>232</v>
      </c>
    </row>
    <row r="46289" spans="119:119" x14ac:dyDescent="0.2">
      <c r="DO46289" s="303" t="s">
        <v>232</v>
      </c>
    </row>
    <row r="46290" spans="119:119" x14ac:dyDescent="0.2">
      <c r="DO46290" s="303" t="s">
        <v>232</v>
      </c>
    </row>
    <row r="46291" spans="119:119" x14ac:dyDescent="0.2">
      <c r="DO46291" s="303" t="s">
        <v>232</v>
      </c>
    </row>
    <row r="46292" spans="119:119" x14ac:dyDescent="0.2">
      <c r="DO46292" s="303" t="s">
        <v>232</v>
      </c>
    </row>
    <row r="46293" spans="119:119" x14ac:dyDescent="0.2">
      <c r="DO46293" s="303" t="s">
        <v>232</v>
      </c>
    </row>
    <row r="46294" spans="119:119" x14ac:dyDescent="0.2">
      <c r="DO46294" s="303" t="s">
        <v>232</v>
      </c>
    </row>
    <row r="46295" spans="119:119" x14ac:dyDescent="0.2">
      <c r="DO46295" s="303" t="s">
        <v>232</v>
      </c>
    </row>
    <row r="46296" spans="119:119" x14ac:dyDescent="0.2">
      <c r="DO46296" s="303" t="s">
        <v>232</v>
      </c>
    </row>
    <row r="46297" spans="119:119" x14ac:dyDescent="0.2">
      <c r="DO46297" s="303" t="s">
        <v>232</v>
      </c>
    </row>
    <row r="46298" spans="119:119" x14ac:dyDescent="0.2">
      <c r="DO46298" s="303" t="s">
        <v>232</v>
      </c>
    </row>
    <row r="46299" spans="119:119" x14ac:dyDescent="0.2">
      <c r="DO46299" s="303" t="s">
        <v>232</v>
      </c>
    </row>
    <row r="46300" spans="119:119" x14ac:dyDescent="0.2">
      <c r="DO46300" s="303" t="s">
        <v>232</v>
      </c>
    </row>
    <row r="46301" spans="119:119" x14ac:dyDescent="0.2">
      <c r="DO46301" s="303" t="s">
        <v>232</v>
      </c>
    </row>
    <row r="46302" spans="119:119" x14ac:dyDescent="0.2">
      <c r="DO46302" s="303" t="s">
        <v>232</v>
      </c>
    </row>
    <row r="46303" spans="119:119" x14ac:dyDescent="0.2">
      <c r="DO46303" s="303" t="s">
        <v>232</v>
      </c>
    </row>
    <row r="46304" spans="119:119" x14ac:dyDescent="0.2">
      <c r="DO46304" s="303" t="s">
        <v>232</v>
      </c>
    </row>
    <row r="46305" spans="119:119" x14ac:dyDescent="0.2">
      <c r="DO46305" s="303" t="s">
        <v>232</v>
      </c>
    </row>
    <row r="46306" spans="119:119" x14ac:dyDescent="0.2">
      <c r="DO46306" s="303" t="s">
        <v>232</v>
      </c>
    </row>
    <row r="46307" spans="119:119" x14ac:dyDescent="0.2">
      <c r="DO46307" s="303" t="s">
        <v>232</v>
      </c>
    </row>
    <row r="46308" spans="119:119" x14ac:dyDescent="0.2">
      <c r="DO46308" s="303" t="s">
        <v>232</v>
      </c>
    </row>
    <row r="46309" spans="119:119" x14ac:dyDescent="0.2">
      <c r="DO46309" s="303" t="s">
        <v>232</v>
      </c>
    </row>
    <row r="46310" spans="119:119" x14ac:dyDescent="0.2">
      <c r="DO46310" s="303" t="s">
        <v>232</v>
      </c>
    </row>
    <row r="46311" spans="119:119" x14ac:dyDescent="0.2">
      <c r="DO46311" s="303" t="s">
        <v>232</v>
      </c>
    </row>
    <row r="46312" spans="119:119" x14ac:dyDescent="0.2">
      <c r="DO46312" s="303" t="s">
        <v>232</v>
      </c>
    </row>
    <row r="46313" spans="119:119" x14ac:dyDescent="0.2">
      <c r="DO46313" s="303" t="s">
        <v>232</v>
      </c>
    </row>
    <row r="46314" spans="119:119" x14ac:dyDescent="0.2">
      <c r="DO46314" s="303" t="s">
        <v>232</v>
      </c>
    </row>
    <row r="46315" spans="119:119" x14ac:dyDescent="0.2">
      <c r="DO46315" s="303" t="s">
        <v>232</v>
      </c>
    </row>
    <row r="46316" spans="119:119" x14ac:dyDescent="0.2">
      <c r="DO46316" s="303" t="s">
        <v>232</v>
      </c>
    </row>
    <row r="46317" spans="119:119" x14ac:dyDescent="0.2">
      <c r="DO46317" s="303" t="s">
        <v>232</v>
      </c>
    </row>
    <row r="46318" spans="119:119" x14ac:dyDescent="0.2">
      <c r="DO46318" s="303" t="s">
        <v>232</v>
      </c>
    </row>
    <row r="46319" spans="119:119" x14ac:dyDescent="0.2">
      <c r="DO46319" s="303" t="s">
        <v>232</v>
      </c>
    </row>
    <row r="46320" spans="119:119" x14ac:dyDescent="0.2">
      <c r="DO46320" s="303" t="s">
        <v>232</v>
      </c>
    </row>
    <row r="46321" spans="119:119" x14ac:dyDescent="0.2">
      <c r="DO46321" s="303" t="s">
        <v>232</v>
      </c>
    </row>
    <row r="46322" spans="119:119" x14ac:dyDescent="0.2">
      <c r="DO46322" s="303" t="s">
        <v>232</v>
      </c>
    </row>
    <row r="46323" spans="119:119" x14ac:dyDescent="0.2">
      <c r="DO46323" s="303" t="s">
        <v>232</v>
      </c>
    </row>
    <row r="46324" spans="119:119" x14ac:dyDescent="0.2">
      <c r="DO46324" s="303" t="s">
        <v>232</v>
      </c>
    </row>
    <row r="46325" spans="119:119" x14ac:dyDescent="0.2">
      <c r="DO46325" s="303" t="s">
        <v>232</v>
      </c>
    </row>
    <row r="46326" spans="119:119" x14ac:dyDescent="0.2">
      <c r="DO46326" s="303" t="s">
        <v>232</v>
      </c>
    </row>
    <row r="46327" spans="119:119" x14ac:dyDescent="0.2">
      <c r="DO46327" s="303" t="s">
        <v>232</v>
      </c>
    </row>
    <row r="46328" spans="119:119" x14ac:dyDescent="0.2">
      <c r="DO46328" s="303" t="s">
        <v>232</v>
      </c>
    </row>
    <row r="46329" spans="119:119" x14ac:dyDescent="0.2">
      <c r="DO46329" s="303" t="s">
        <v>232</v>
      </c>
    </row>
    <row r="46330" spans="119:119" x14ac:dyDescent="0.2">
      <c r="DO46330" s="303" t="s">
        <v>232</v>
      </c>
    </row>
    <row r="46331" spans="119:119" x14ac:dyDescent="0.2">
      <c r="DO46331" s="303" t="s">
        <v>232</v>
      </c>
    </row>
    <row r="46332" spans="119:119" x14ac:dyDescent="0.2">
      <c r="DO46332" s="303" t="s">
        <v>232</v>
      </c>
    </row>
    <row r="46333" spans="119:119" x14ac:dyDescent="0.2">
      <c r="DO46333" s="303" t="s">
        <v>232</v>
      </c>
    </row>
    <row r="46334" spans="119:119" x14ac:dyDescent="0.2">
      <c r="DO46334" s="303" t="s">
        <v>232</v>
      </c>
    </row>
    <row r="46335" spans="119:119" x14ac:dyDescent="0.2">
      <c r="DO46335" s="303" t="s">
        <v>232</v>
      </c>
    </row>
    <row r="46336" spans="119:119" x14ac:dyDescent="0.2">
      <c r="DO46336" s="303" t="s">
        <v>232</v>
      </c>
    </row>
    <row r="46337" spans="119:119" x14ac:dyDescent="0.2">
      <c r="DO46337" s="303" t="s">
        <v>232</v>
      </c>
    </row>
    <row r="46338" spans="119:119" x14ac:dyDescent="0.2">
      <c r="DO46338" s="303" t="s">
        <v>232</v>
      </c>
    </row>
    <row r="46339" spans="119:119" x14ac:dyDescent="0.2">
      <c r="DO46339" s="303" t="s">
        <v>232</v>
      </c>
    </row>
    <row r="46340" spans="119:119" x14ac:dyDescent="0.2">
      <c r="DO46340" s="303" t="s">
        <v>232</v>
      </c>
    </row>
    <row r="46341" spans="119:119" x14ac:dyDescent="0.2">
      <c r="DO46341" s="303" t="s">
        <v>232</v>
      </c>
    </row>
    <row r="46342" spans="119:119" x14ac:dyDescent="0.2">
      <c r="DO46342" s="303" t="s">
        <v>232</v>
      </c>
    </row>
    <row r="46343" spans="119:119" x14ac:dyDescent="0.2">
      <c r="DO46343" s="303" t="s">
        <v>232</v>
      </c>
    </row>
    <row r="46344" spans="119:119" x14ac:dyDescent="0.2">
      <c r="DO46344" s="303" t="s">
        <v>232</v>
      </c>
    </row>
    <row r="46345" spans="119:119" x14ac:dyDescent="0.2">
      <c r="DO46345" s="303" t="s">
        <v>232</v>
      </c>
    </row>
    <row r="46346" spans="119:119" x14ac:dyDescent="0.2">
      <c r="DO46346" s="303" t="s">
        <v>232</v>
      </c>
    </row>
    <row r="46347" spans="119:119" x14ac:dyDescent="0.2">
      <c r="DO46347" s="303" t="s">
        <v>232</v>
      </c>
    </row>
    <row r="46348" spans="119:119" x14ac:dyDescent="0.2">
      <c r="DO46348" s="303" t="s">
        <v>232</v>
      </c>
    </row>
    <row r="46349" spans="119:119" x14ac:dyDescent="0.2">
      <c r="DO46349" s="303" t="s">
        <v>232</v>
      </c>
    </row>
    <row r="46350" spans="119:119" x14ac:dyDescent="0.2">
      <c r="DO46350" s="303" t="s">
        <v>232</v>
      </c>
    </row>
    <row r="46351" spans="119:119" x14ac:dyDescent="0.2">
      <c r="DO46351" s="303" t="s">
        <v>232</v>
      </c>
    </row>
    <row r="46352" spans="119:119" x14ac:dyDescent="0.2">
      <c r="DO46352" s="303" t="s">
        <v>232</v>
      </c>
    </row>
    <row r="46353" spans="119:119" x14ac:dyDescent="0.2">
      <c r="DO46353" s="303" t="s">
        <v>232</v>
      </c>
    </row>
    <row r="46354" spans="119:119" x14ac:dyDescent="0.2">
      <c r="DO46354" s="303" t="s">
        <v>232</v>
      </c>
    </row>
    <row r="46355" spans="119:119" x14ac:dyDescent="0.2">
      <c r="DO46355" s="303" t="s">
        <v>232</v>
      </c>
    </row>
    <row r="46356" spans="119:119" x14ac:dyDescent="0.2">
      <c r="DO46356" s="303" t="s">
        <v>232</v>
      </c>
    </row>
    <row r="46357" spans="119:119" x14ac:dyDescent="0.2">
      <c r="DO46357" s="303" t="s">
        <v>232</v>
      </c>
    </row>
    <row r="46358" spans="119:119" x14ac:dyDescent="0.2">
      <c r="DO46358" s="303" t="s">
        <v>232</v>
      </c>
    </row>
    <row r="46359" spans="119:119" x14ac:dyDescent="0.2">
      <c r="DO46359" s="303" t="s">
        <v>232</v>
      </c>
    </row>
    <row r="46360" spans="119:119" x14ac:dyDescent="0.2">
      <c r="DO46360" s="303" t="s">
        <v>232</v>
      </c>
    </row>
    <row r="46361" spans="119:119" x14ac:dyDescent="0.2">
      <c r="DO46361" s="303" t="s">
        <v>232</v>
      </c>
    </row>
    <row r="46362" spans="119:119" x14ac:dyDescent="0.2">
      <c r="DO46362" s="303" t="s">
        <v>232</v>
      </c>
    </row>
    <row r="46363" spans="119:119" x14ac:dyDescent="0.2">
      <c r="DO46363" s="303" t="s">
        <v>232</v>
      </c>
    </row>
    <row r="46364" spans="119:119" x14ac:dyDescent="0.2">
      <c r="DO46364" s="303" t="s">
        <v>232</v>
      </c>
    </row>
    <row r="46365" spans="119:119" x14ac:dyDescent="0.2">
      <c r="DO46365" s="303" t="s">
        <v>232</v>
      </c>
    </row>
    <row r="46366" spans="119:119" x14ac:dyDescent="0.2">
      <c r="DO46366" s="303" t="s">
        <v>232</v>
      </c>
    </row>
    <row r="46367" spans="119:119" x14ac:dyDescent="0.2">
      <c r="DO46367" s="303" t="s">
        <v>232</v>
      </c>
    </row>
    <row r="46368" spans="119:119" x14ac:dyDescent="0.2">
      <c r="DO46368" s="303" t="s">
        <v>232</v>
      </c>
    </row>
    <row r="46369" spans="119:119" x14ac:dyDescent="0.2">
      <c r="DO46369" s="303" t="s">
        <v>232</v>
      </c>
    </row>
    <row r="46370" spans="119:119" x14ac:dyDescent="0.2">
      <c r="DO46370" s="303" t="s">
        <v>232</v>
      </c>
    </row>
    <row r="46371" spans="119:119" x14ac:dyDescent="0.2">
      <c r="DO46371" s="303" t="s">
        <v>232</v>
      </c>
    </row>
    <row r="46372" spans="119:119" x14ac:dyDescent="0.2">
      <c r="DO46372" s="303" t="s">
        <v>232</v>
      </c>
    </row>
    <row r="46373" spans="119:119" x14ac:dyDescent="0.2">
      <c r="DO46373" s="303" t="s">
        <v>232</v>
      </c>
    </row>
    <row r="46374" spans="119:119" x14ac:dyDescent="0.2">
      <c r="DO46374" s="303" t="s">
        <v>232</v>
      </c>
    </row>
    <row r="46375" spans="119:119" x14ac:dyDescent="0.2">
      <c r="DO46375" s="303" t="s">
        <v>232</v>
      </c>
    </row>
    <row r="46376" spans="119:119" x14ac:dyDescent="0.2">
      <c r="DO46376" s="303" t="s">
        <v>232</v>
      </c>
    </row>
    <row r="46377" spans="119:119" x14ac:dyDescent="0.2">
      <c r="DO46377" s="303" t="s">
        <v>232</v>
      </c>
    </row>
    <row r="46378" spans="119:119" x14ac:dyDescent="0.2">
      <c r="DO46378" s="303" t="s">
        <v>232</v>
      </c>
    </row>
    <row r="46379" spans="119:119" x14ac:dyDescent="0.2">
      <c r="DO46379" s="303" t="s">
        <v>232</v>
      </c>
    </row>
    <row r="46380" spans="119:119" x14ac:dyDescent="0.2">
      <c r="DO46380" s="303" t="s">
        <v>232</v>
      </c>
    </row>
    <row r="46381" spans="119:119" x14ac:dyDescent="0.2">
      <c r="DO46381" s="303" t="s">
        <v>232</v>
      </c>
    </row>
    <row r="46382" spans="119:119" x14ac:dyDescent="0.2">
      <c r="DO46382" s="303" t="s">
        <v>232</v>
      </c>
    </row>
    <row r="46383" spans="119:119" x14ac:dyDescent="0.2">
      <c r="DO46383" s="303" t="s">
        <v>232</v>
      </c>
    </row>
    <row r="46384" spans="119:119" x14ac:dyDescent="0.2">
      <c r="DO46384" s="303" t="s">
        <v>232</v>
      </c>
    </row>
    <row r="46385" spans="119:119" x14ac:dyDescent="0.2">
      <c r="DO46385" s="303" t="s">
        <v>232</v>
      </c>
    </row>
    <row r="46386" spans="119:119" x14ac:dyDescent="0.2">
      <c r="DO46386" s="303" t="s">
        <v>232</v>
      </c>
    </row>
    <row r="46387" spans="119:119" x14ac:dyDescent="0.2">
      <c r="DO46387" s="303" t="s">
        <v>232</v>
      </c>
    </row>
    <row r="46388" spans="119:119" x14ac:dyDescent="0.2">
      <c r="DO46388" s="303" t="s">
        <v>232</v>
      </c>
    </row>
    <row r="46389" spans="119:119" x14ac:dyDescent="0.2">
      <c r="DO46389" s="303" t="s">
        <v>232</v>
      </c>
    </row>
    <row r="46390" spans="119:119" x14ac:dyDescent="0.2">
      <c r="DO46390" s="303" t="s">
        <v>232</v>
      </c>
    </row>
    <row r="46391" spans="119:119" x14ac:dyDescent="0.2">
      <c r="DO46391" s="303" t="s">
        <v>232</v>
      </c>
    </row>
    <row r="46392" spans="119:119" x14ac:dyDescent="0.2">
      <c r="DO46392" s="303" t="s">
        <v>232</v>
      </c>
    </row>
    <row r="46393" spans="119:119" x14ac:dyDescent="0.2">
      <c r="DO46393" s="303" t="s">
        <v>232</v>
      </c>
    </row>
    <row r="46394" spans="119:119" x14ac:dyDescent="0.2">
      <c r="DO46394" s="303" t="s">
        <v>232</v>
      </c>
    </row>
    <row r="46395" spans="119:119" x14ac:dyDescent="0.2">
      <c r="DO46395" s="303" t="s">
        <v>232</v>
      </c>
    </row>
    <row r="46396" spans="119:119" x14ac:dyDescent="0.2">
      <c r="DO46396" s="303" t="s">
        <v>232</v>
      </c>
    </row>
    <row r="46397" spans="119:119" x14ac:dyDescent="0.2">
      <c r="DO46397" s="303" t="s">
        <v>232</v>
      </c>
    </row>
    <row r="46398" spans="119:119" x14ac:dyDescent="0.2">
      <c r="DO46398" s="303" t="s">
        <v>232</v>
      </c>
    </row>
    <row r="46399" spans="119:119" x14ac:dyDescent="0.2">
      <c r="DO46399" s="303" t="s">
        <v>232</v>
      </c>
    </row>
    <row r="46400" spans="119:119" x14ac:dyDescent="0.2">
      <c r="DO46400" s="303" t="s">
        <v>232</v>
      </c>
    </row>
    <row r="46401" spans="119:119" x14ac:dyDescent="0.2">
      <c r="DO46401" s="303" t="s">
        <v>232</v>
      </c>
    </row>
    <row r="46402" spans="119:119" x14ac:dyDescent="0.2">
      <c r="DO46402" s="303" t="s">
        <v>232</v>
      </c>
    </row>
    <row r="46403" spans="119:119" x14ac:dyDescent="0.2">
      <c r="DO46403" s="303" t="s">
        <v>232</v>
      </c>
    </row>
    <row r="46404" spans="119:119" x14ac:dyDescent="0.2">
      <c r="DO46404" s="303" t="s">
        <v>232</v>
      </c>
    </row>
    <row r="46405" spans="119:119" x14ac:dyDescent="0.2">
      <c r="DO46405" s="303" t="s">
        <v>232</v>
      </c>
    </row>
    <row r="46406" spans="119:119" x14ac:dyDescent="0.2">
      <c r="DO46406" s="303" t="s">
        <v>232</v>
      </c>
    </row>
    <row r="46407" spans="119:119" x14ac:dyDescent="0.2">
      <c r="DO46407" s="303" t="s">
        <v>232</v>
      </c>
    </row>
    <row r="46408" spans="119:119" x14ac:dyDescent="0.2">
      <c r="DO46408" s="303" t="s">
        <v>232</v>
      </c>
    </row>
    <row r="46409" spans="119:119" x14ac:dyDescent="0.2">
      <c r="DO46409" s="303" t="s">
        <v>232</v>
      </c>
    </row>
    <row r="46410" spans="119:119" x14ac:dyDescent="0.2">
      <c r="DO46410" s="303" t="s">
        <v>232</v>
      </c>
    </row>
    <row r="46411" spans="119:119" x14ac:dyDescent="0.2">
      <c r="DO46411" s="303" t="s">
        <v>232</v>
      </c>
    </row>
    <row r="46412" spans="119:119" x14ac:dyDescent="0.2">
      <c r="DO46412" s="303" t="s">
        <v>232</v>
      </c>
    </row>
    <row r="46413" spans="119:119" x14ac:dyDescent="0.2">
      <c r="DO46413" s="303" t="s">
        <v>232</v>
      </c>
    </row>
    <row r="46414" spans="119:119" x14ac:dyDescent="0.2">
      <c r="DO46414" s="303" t="s">
        <v>232</v>
      </c>
    </row>
    <row r="46415" spans="119:119" x14ac:dyDescent="0.2">
      <c r="DO46415" s="303" t="s">
        <v>232</v>
      </c>
    </row>
    <row r="46416" spans="119:119" x14ac:dyDescent="0.2">
      <c r="DO46416" s="303" t="s">
        <v>232</v>
      </c>
    </row>
    <row r="46417" spans="119:119" x14ac:dyDescent="0.2">
      <c r="DO46417" s="303" t="s">
        <v>232</v>
      </c>
    </row>
    <row r="46418" spans="119:119" x14ac:dyDescent="0.2">
      <c r="DO46418" s="303" t="s">
        <v>232</v>
      </c>
    </row>
    <row r="46419" spans="119:119" x14ac:dyDescent="0.2">
      <c r="DO46419" s="303" t="s">
        <v>232</v>
      </c>
    </row>
    <row r="46420" spans="119:119" x14ac:dyDescent="0.2">
      <c r="DO46420" s="303" t="s">
        <v>232</v>
      </c>
    </row>
    <row r="46421" spans="119:119" x14ac:dyDescent="0.2">
      <c r="DO46421" s="303" t="s">
        <v>232</v>
      </c>
    </row>
    <row r="46422" spans="119:119" x14ac:dyDescent="0.2">
      <c r="DO46422" s="303" t="s">
        <v>232</v>
      </c>
    </row>
    <row r="46423" spans="119:119" x14ac:dyDescent="0.2">
      <c r="DO46423" s="303" t="s">
        <v>232</v>
      </c>
    </row>
    <row r="46424" spans="119:119" x14ac:dyDescent="0.2">
      <c r="DO46424" s="303" t="s">
        <v>232</v>
      </c>
    </row>
    <row r="46425" spans="119:119" x14ac:dyDescent="0.2">
      <c r="DO46425" s="303" t="s">
        <v>232</v>
      </c>
    </row>
    <row r="46426" spans="119:119" x14ac:dyDescent="0.2">
      <c r="DO46426" s="303" t="s">
        <v>232</v>
      </c>
    </row>
    <row r="46427" spans="119:119" x14ac:dyDescent="0.2">
      <c r="DO46427" s="303" t="s">
        <v>232</v>
      </c>
    </row>
    <row r="46428" spans="119:119" x14ac:dyDescent="0.2">
      <c r="DO46428" s="303" t="s">
        <v>232</v>
      </c>
    </row>
    <row r="46429" spans="119:119" x14ac:dyDescent="0.2">
      <c r="DO46429" s="303" t="s">
        <v>232</v>
      </c>
    </row>
    <row r="46430" spans="119:119" x14ac:dyDescent="0.2">
      <c r="DO46430" s="303" t="s">
        <v>232</v>
      </c>
    </row>
    <row r="46431" spans="119:119" x14ac:dyDescent="0.2">
      <c r="DO46431" s="303" t="s">
        <v>232</v>
      </c>
    </row>
    <row r="46432" spans="119:119" x14ac:dyDescent="0.2">
      <c r="DO46432" s="303" t="s">
        <v>232</v>
      </c>
    </row>
    <row r="46433" spans="119:119" x14ac:dyDescent="0.2">
      <c r="DO46433" s="303" t="s">
        <v>232</v>
      </c>
    </row>
    <row r="46434" spans="119:119" x14ac:dyDescent="0.2">
      <c r="DO46434" s="303" t="s">
        <v>232</v>
      </c>
    </row>
    <row r="46435" spans="119:119" x14ac:dyDescent="0.2">
      <c r="DO46435" s="303" t="s">
        <v>232</v>
      </c>
    </row>
    <row r="46436" spans="119:119" x14ac:dyDescent="0.2">
      <c r="DO46436" s="303" t="s">
        <v>232</v>
      </c>
    </row>
    <row r="46437" spans="119:119" x14ac:dyDescent="0.2">
      <c r="DO46437" s="303" t="s">
        <v>232</v>
      </c>
    </row>
    <row r="46438" spans="119:119" x14ac:dyDescent="0.2">
      <c r="DO46438" s="303" t="s">
        <v>232</v>
      </c>
    </row>
    <row r="46439" spans="119:119" x14ac:dyDescent="0.2">
      <c r="DO46439" s="303" t="s">
        <v>232</v>
      </c>
    </row>
    <row r="46440" spans="119:119" x14ac:dyDescent="0.2">
      <c r="DO46440" s="303" t="s">
        <v>232</v>
      </c>
    </row>
    <row r="46441" spans="119:119" x14ac:dyDescent="0.2">
      <c r="DO46441" s="303" t="s">
        <v>232</v>
      </c>
    </row>
    <row r="46442" spans="119:119" x14ac:dyDescent="0.2">
      <c r="DO46442" s="303" t="s">
        <v>232</v>
      </c>
    </row>
    <row r="46443" spans="119:119" x14ac:dyDescent="0.2">
      <c r="DO46443" s="303" t="s">
        <v>232</v>
      </c>
    </row>
    <row r="46444" spans="119:119" x14ac:dyDescent="0.2">
      <c r="DO46444" s="303" t="s">
        <v>232</v>
      </c>
    </row>
    <row r="46445" spans="119:119" x14ac:dyDescent="0.2">
      <c r="DO46445" s="303" t="s">
        <v>232</v>
      </c>
    </row>
    <row r="46446" spans="119:119" x14ac:dyDescent="0.2">
      <c r="DO46446" s="303" t="s">
        <v>232</v>
      </c>
    </row>
    <row r="46447" spans="119:119" x14ac:dyDescent="0.2">
      <c r="DO46447" s="303" t="s">
        <v>232</v>
      </c>
    </row>
    <row r="46448" spans="119:119" x14ac:dyDescent="0.2">
      <c r="DO46448" s="303" t="s">
        <v>232</v>
      </c>
    </row>
    <row r="46449" spans="119:119" x14ac:dyDescent="0.2">
      <c r="DO46449" s="303" t="s">
        <v>232</v>
      </c>
    </row>
    <row r="46450" spans="119:119" x14ac:dyDescent="0.2">
      <c r="DO46450" s="303" t="s">
        <v>232</v>
      </c>
    </row>
    <row r="46451" spans="119:119" x14ac:dyDescent="0.2">
      <c r="DO46451" s="303" t="s">
        <v>232</v>
      </c>
    </row>
    <row r="46452" spans="119:119" x14ac:dyDescent="0.2">
      <c r="DO46452" s="303" t="s">
        <v>232</v>
      </c>
    </row>
    <row r="46453" spans="119:119" x14ac:dyDescent="0.2">
      <c r="DO46453" s="303" t="s">
        <v>232</v>
      </c>
    </row>
    <row r="46454" spans="119:119" x14ac:dyDescent="0.2">
      <c r="DO46454" s="303" t="s">
        <v>232</v>
      </c>
    </row>
    <row r="46455" spans="119:119" x14ac:dyDescent="0.2">
      <c r="DO46455" s="303" t="s">
        <v>232</v>
      </c>
    </row>
    <row r="46456" spans="119:119" x14ac:dyDescent="0.2">
      <c r="DO46456" s="303" t="s">
        <v>232</v>
      </c>
    </row>
    <row r="46457" spans="119:119" x14ac:dyDescent="0.2">
      <c r="DO46457" s="303" t="s">
        <v>232</v>
      </c>
    </row>
    <row r="46458" spans="119:119" x14ac:dyDescent="0.2">
      <c r="DO46458" s="303" t="s">
        <v>232</v>
      </c>
    </row>
    <row r="46459" spans="119:119" x14ac:dyDescent="0.2">
      <c r="DO46459" s="303" t="s">
        <v>232</v>
      </c>
    </row>
    <row r="46460" spans="119:119" x14ac:dyDescent="0.2">
      <c r="DO46460" s="303" t="s">
        <v>232</v>
      </c>
    </row>
    <row r="46461" spans="119:119" x14ac:dyDescent="0.2">
      <c r="DO46461" s="303" t="s">
        <v>232</v>
      </c>
    </row>
    <row r="46462" spans="119:119" x14ac:dyDescent="0.2">
      <c r="DO46462" s="303" t="s">
        <v>232</v>
      </c>
    </row>
    <row r="46463" spans="119:119" x14ac:dyDescent="0.2">
      <c r="DO46463" s="303" t="s">
        <v>232</v>
      </c>
    </row>
    <row r="46464" spans="119:119" x14ac:dyDescent="0.2">
      <c r="DO46464" s="303" t="s">
        <v>232</v>
      </c>
    </row>
    <row r="46465" spans="119:119" x14ac:dyDescent="0.2">
      <c r="DO46465" s="303" t="s">
        <v>232</v>
      </c>
    </row>
    <row r="46466" spans="119:119" x14ac:dyDescent="0.2">
      <c r="DO46466" s="303" t="s">
        <v>232</v>
      </c>
    </row>
    <row r="46467" spans="119:119" x14ac:dyDescent="0.2">
      <c r="DO46467" s="303" t="s">
        <v>232</v>
      </c>
    </row>
    <row r="46468" spans="119:119" x14ac:dyDescent="0.2">
      <c r="DO46468" s="303" t="s">
        <v>232</v>
      </c>
    </row>
    <row r="46469" spans="119:119" x14ac:dyDescent="0.2">
      <c r="DO46469" s="303" t="s">
        <v>232</v>
      </c>
    </row>
    <row r="46470" spans="119:119" x14ac:dyDescent="0.2">
      <c r="DO46470" s="303" t="s">
        <v>232</v>
      </c>
    </row>
    <row r="46471" spans="119:119" x14ac:dyDescent="0.2">
      <c r="DO46471" s="303" t="s">
        <v>232</v>
      </c>
    </row>
    <row r="46472" spans="119:119" x14ac:dyDescent="0.2">
      <c r="DO46472" s="303" t="s">
        <v>232</v>
      </c>
    </row>
    <row r="46473" spans="119:119" x14ac:dyDescent="0.2">
      <c r="DO46473" s="303" t="s">
        <v>232</v>
      </c>
    </row>
    <row r="46474" spans="119:119" x14ac:dyDescent="0.2">
      <c r="DO46474" s="303" t="s">
        <v>232</v>
      </c>
    </row>
    <row r="46475" spans="119:119" x14ac:dyDescent="0.2">
      <c r="DO46475" s="303" t="s">
        <v>232</v>
      </c>
    </row>
    <row r="46476" spans="119:119" x14ac:dyDescent="0.2">
      <c r="DO46476" s="303" t="s">
        <v>232</v>
      </c>
    </row>
    <row r="46477" spans="119:119" x14ac:dyDescent="0.2">
      <c r="DO46477" s="303" t="s">
        <v>232</v>
      </c>
    </row>
    <row r="46478" spans="119:119" x14ac:dyDescent="0.2">
      <c r="DO46478" s="303" t="s">
        <v>232</v>
      </c>
    </row>
    <row r="46479" spans="119:119" x14ac:dyDescent="0.2">
      <c r="DO46479" s="303" t="s">
        <v>232</v>
      </c>
    </row>
    <row r="46480" spans="119:119" x14ac:dyDescent="0.2">
      <c r="DO46480" s="303" t="s">
        <v>232</v>
      </c>
    </row>
    <row r="46481" spans="119:119" x14ac:dyDescent="0.2">
      <c r="DO46481" s="303" t="s">
        <v>232</v>
      </c>
    </row>
    <row r="46482" spans="119:119" x14ac:dyDescent="0.2">
      <c r="DO46482" s="303" t="s">
        <v>232</v>
      </c>
    </row>
    <row r="46483" spans="119:119" x14ac:dyDescent="0.2">
      <c r="DO46483" s="303" t="s">
        <v>232</v>
      </c>
    </row>
    <row r="46484" spans="119:119" x14ac:dyDescent="0.2">
      <c r="DO46484" s="303" t="s">
        <v>232</v>
      </c>
    </row>
    <row r="46485" spans="119:119" x14ac:dyDescent="0.2">
      <c r="DO46485" s="303" t="s">
        <v>232</v>
      </c>
    </row>
    <row r="46486" spans="119:119" x14ac:dyDescent="0.2">
      <c r="DO46486" s="303" t="s">
        <v>232</v>
      </c>
    </row>
    <row r="46487" spans="119:119" x14ac:dyDescent="0.2">
      <c r="DO46487" s="303" t="s">
        <v>232</v>
      </c>
    </row>
    <row r="46488" spans="119:119" x14ac:dyDescent="0.2">
      <c r="DO46488" s="303" t="s">
        <v>232</v>
      </c>
    </row>
    <row r="46489" spans="119:119" x14ac:dyDescent="0.2">
      <c r="DO46489" s="303" t="s">
        <v>232</v>
      </c>
    </row>
    <row r="46490" spans="119:119" x14ac:dyDescent="0.2">
      <c r="DO46490" s="303" t="s">
        <v>232</v>
      </c>
    </row>
    <row r="46491" spans="119:119" x14ac:dyDescent="0.2">
      <c r="DO46491" s="303" t="s">
        <v>232</v>
      </c>
    </row>
    <row r="46492" spans="119:119" x14ac:dyDescent="0.2">
      <c r="DO46492" s="303" t="s">
        <v>232</v>
      </c>
    </row>
    <row r="46493" spans="119:119" x14ac:dyDescent="0.2">
      <c r="DO46493" s="303" t="s">
        <v>232</v>
      </c>
    </row>
    <row r="46494" spans="119:119" x14ac:dyDescent="0.2">
      <c r="DO46494" s="303" t="s">
        <v>232</v>
      </c>
    </row>
    <row r="46495" spans="119:119" x14ac:dyDescent="0.2">
      <c r="DO46495" s="303" t="s">
        <v>232</v>
      </c>
    </row>
    <row r="46496" spans="119:119" x14ac:dyDescent="0.2">
      <c r="DO46496" s="303" t="s">
        <v>232</v>
      </c>
    </row>
    <row r="46497" spans="119:119" x14ac:dyDescent="0.2">
      <c r="DO46497" s="303" t="s">
        <v>232</v>
      </c>
    </row>
    <row r="46498" spans="119:119" x14ac:dyDescent="0.2">
      <c r="DO46498" s="303" t="s">
        <v>232</v>
      </c>
    </row>
    <row r="46499" spans="119:119" x14ac:dyDescent="0.2">
      <c r="DO46499" s="303" t="s">
        <v>232</v>
      </c>
    </row>
    <row r="46500" spans="119:119" x14ac:dyDescent="0.2">
      <c r="DO46500" s="303" t="s">
        <v>232</v>
      </c>
    </row>
    <row r="46501" spans="119:119" x14ac:dyDescent="0.2">
      <c r="DO46501" s="303" t="s">
        <v>232</v>
      </c>
    </row>
    <row r="46502" spans="119:119" x14ac:dyDescent="0.2">
      <c r="DO46502" s="303" t="s">
        <v>232</v>
      </c>
    </row>
    <row r="46503" spans="119:119" x14ac:dyDescent="0.2">
      <c r="DO46503" s="303" t="s">
        <v>232</v>
      </c>
    </row>
    <row r="46504" spans="119:119" x14ac:dyDescent="0.2">
      <c r="DO46504" s="303" t="s">
        <v>232</v>
      </c>
    </row>
    <row r="46505" spans="119:119" x14ac:dyDescent="0.2">
      <c r="DO46505" s="303" t="s">
        <v>232</v>
      </c>
    </row>
    <row r="46506" spans="119:119" x14ac:dyDescent="0.2">
      <c r="DO46506" s="303" t="s">
        <v>232</v>
      </c>
    </row>
    <row r="46507" spans="119:119" x14ac:dyDescent="0.2">
      <c r="DO46507" s="303" t="s">
        <v>232</v>
      </c>
    </row>
    <row r="46508" spans="119:119" x14ac:dyDescent="0.2">
      <c r="DO46508" s="303" t="s">
        <v>232</v>
      </c>
    </row>
    <row r="46509" spans="119:119" x14ac:dyDescent="0.2">
      <c r="DO46509" s="303" t="s">
        <v>232</v>
      </c>
    </row>
    <row r="46510" spans="119:119" x14ac:dyDescent="0.2">
      <c r="DO46510" s="303" t="s">
        <v>232</v>
      </c>
    </row>
    <row r="46511" spans="119:119" x14ac:dyDescent="0.2">
      <c r="DO46511" s="303" t="s">
        <v>232</v>
      </c>
    </row>
    <row r="46512" spans="119:119" x14ac:dyDescent="0.2">
      <c r="DO46512" s="303" t="s">
        <v>232</v>
      </c>
    </row>
    <row r="46513" spans="119:119" x14ac:dyDescent="0.2">
      <c r="DO46513" s="303" t="s">
        <v>232</v>
      </c>
    </row>
    <row r="46514" spans="119:119" x14ac:dyDescent="0.2">
      <c r="DO46514" s="303" t="s">
        <v>232</v>
      </c>
    </row>
    <row r="46515" spans="119:119" x14ac:dyDescent="0.2">
      <c r="DO46515" s="303" t="s">
        <v>232</v>
      </c>
    </row>
    <row r="46516" spans="119:119" x14ac:dyDescent="0.2">
      <c r="DO46516" s="303" t="s">
        <v>232</v>
      </c>
    </row>
    <row r="46517" spans="119:119" x14ac:dyDescent="0.2">
      <c r="DO46517" s="303" t="s">
        <v>232</v>
      </c>
    </row>
    <row r="46518" spans="119:119" x14ac:dyDescent="0.2">
      <c r="DO46518" s="303" t="s">
        <v>232</v>
      </c>
    </row>
    <row r="46519" spans="119:119" x14ac:dyDescent="0.2">
      <c r="DO46519" s="303" t="s">
        <v>232</v>
      </c>
    </row>
    <row r="46520" spans="119:119" x14ac:dyDescent="0.2">
      <c r="DO46520" s="303" t="s">
        <v>232</v>
      </c>
    </row>
    <row r="46521" spans="119:119" x14ac:dyDescent="0.2">
      <c r="DO46521" s="303" t="s">
        <v>232</v>
      </c>
    </row>
    <row r="46522" spans="119:119" x14ac:dyDescent="0.2">
      <c r="DO46522" s="303" t="s">
        <v>232</v>
      </c>
    </row>
    <row r="46523" spans="119:119" x14ac:dyDescent="0.2">
      <c r="DO46523" s="303" t="s">
        <v>232</v>
      </c>
    </row>
    <row r="46524" spans="119:119" x14ac:dyDescent="0.2">
      <c r="DO46524" s="303" t="s">
        <v>232</v>
      </c>
    </row>
    <row r="46525" spans="119:119" x14ac:dyDescent="0.2">
      <c r="DO46525" s="303" t="s">
        <v>232</v>
      </c>
    </row>
    <row r="46526" spans="119:119" x14ac:dyDescent="0.2">
      <c r="DO46526" s="303" t="s">
        <v>232</v>
      </c>
    </row>
    <row r="46527" spans="119:119" x14ac:dyDescent="0.2">
      <c r="DO46527" s="303" t="s">
        <v>232</v>
      </c>
    </row>
    <row r="46528" spans="119:119" x14ac:dyDescent="0.2">
      <c r="DO46528" s="303" t="s">
        <v>232</v>
      </c>
    </row>
    <row r="46529" spans="119:119" x14ac:dyDescent="0.2">
      <c r="DO46529" s="303" t="s">
        <v>232</v>
      </c>
    </row>
    <row r="46530" spans="119:119" x14ac:dyDescent="0.2">
      <c r="DO46530" s="303" t="s">
        <v>232</v>
      </c>
    </row>
    <row r="46531" spans="119:119" x14ac:dyDescent="0.2">
      <c r="DO46531" s="303" t="s">
        <v>232</v>
      </c>
    </row>
    <row r="46532" spans="119:119" x14ac:dyDescent="0.2">
      <c r="DO46532" s="303" t="s">
        <v>232</v>
      </c>
    </row>
    <row r="46533" spans="119:119" x14ac:dyDescent="0.2">
      <c r="DO46533" s="303" t="s">
        <v>232</v>
      </c>
    </row>
    <row r="46534" spans="119:119" x14ac:dyDescent="0.2">
      <c r="DO46534" s="303" t="s">
        <v>232</v>
      </c>
    </row>
    <row r="46535" spans="119:119" x14ac:dyDescent="0.2">
      <c r="DO46535" s="303" t="s">
        <v>232</v>
      </c>
    </row>
    <row r="46536" spans="119:119" x14ac:dyDescent="0.2">
      <c r="DO46536" s="303" t="s">
        <v>232</v>
      </c>
    </row>
    <row r="46537" spans="119:119" x14ac:dyDescent="0.2">
      <c r="DO46537" s="303" t="s">
        <v>232</v>
      </c>
    </row>
    <row r="46538" spans="119:119" x14ac:dyDescent="0.2">
      <c r="DO46538" s="303" t="s">
        <v>232</v>
      </c>
    </row>
    <row r="46539" spans="119:119" x14ac:dyDescent="0.2">
      <c r="DO46539" s="303" t="s">
        <v>232</v>
      </c>
    </row>
    <row r="46540" spans="119:119" x14ac:dyDescent="0.2">
      <c r="DO46540" s="303" t="s">
        <v>232</v>
      </c>
    </row>
    <row r="46541" spans="119:119" x14ac:dyDescent="0.2">
      <c r="DO46541" s="303" t="s">
        <v>232</v>
      </c>
    </row>
    <row r="46542" spans="119:119" x14ac:dyDescent="0.2">
      <c r="DO46542" s="303" t="s">
        <v>232</v>
      </c>
    </row>
    <row r="46543" spans="119:119" x14ac:dyDescent="0.2">
      <c r="DO46543" s="303" t="s">
        <v>232</v>
      </c>
    </row>
    <row r="46544" spans="119:119" x14ac:dyDescent="0.2">
      <c r="DO46544" s="303" t="s">
        <v>232</v>
      </c>
    </row>
    <row r="46545" spans="119:119" x14ac:dyDescent="0.2">
      <c r="DO46545" s="303" t="s">
        <v>232</v>
      </c>
    </row>
    <row r="46546" spans="119:119" x14ac:dyDescent="0.2">
      <c r="DO46546" s="303" t="s">
        <v>232</v>
      </c>
    </row>
    <row r="46547" spans="119:119" x14ac:dyDescent="0.2">
      <c r="DO46547" s="303" t="s">
        <v>232</v>
      </c>
    </row>
    <row r="46548" spans="119:119" x14ac:dyDescent="0.2">
      <c r="DO46548" s="303" t="s">
        <v>232</v>
      </c>
    </row>
    <row r="46549" spans="119:119" x14ac:dyDescent="0.2">
      <c r="DO46549" s="303" t="s">
        <v>232</v>
      </c>
    </row>
    <row r="46550" spans="119:119" x14ac:dyDescent="0.2">
      <c r="DO46550" s="303" t="s">
        <v>232</v>
      </c>
    </row>
    <row r="46551" spans="119:119" x14ac:dyDescent="0.2">
      <c r="DO46551" s="303" t="s">
        <v>232</v>
      </c>
    </row>
    <row r="46552" spans="119:119" x14ac:dyDescent="0.2">
      <c r="DO46552" s="303" t="s">
        <v>232</v>
      </c>
    </row>
    <row r="46553" spans="119:119" x14ac:dyDescent="0.2">
      <c r="DO46553" s="303" t="s">
        <v>232</v>
      </c>
    </row>
    <row r="46554" spans="119:119" x14ac:dyDescent="0.2">
      <c r="DO46554" s="303" t="s">
        <v>232</v>
      </c>
    </row>
    <row r="46555" spans="119:119" x14ac:dyDescent="0.2">
      <c r="DO46555" s="303" t="s">
        <v>232</v>
      </c>
    </row>
    <row r="46556" spans="119:119" x14ac:dyDescent="0.2">
      <c r="DO46556" s="303" t="s">
        <v>232</v>
      </c>
    </row>
    <row r="46557" spans="119:119" x14ac:dyDescent="0.2">
      <c r="DO46557" s="303" t="s">
        <v>232</v>
      </c>
    </row>
    <row r="46558" spans="119:119" x14ac:dyDescent="0.2">
      <c r="DO46558" s="303" t="s">
        <v>232</v>
      </c>
    </row>
    <row r="46559" spans="119:119" x14ac:dyDescent="0.2">
      <c r="DO46559" s="303" t="s">
        <v>232</v>
      </c>
    </row>
    <row r="46560" spans="119:119" x14ac:dyDescent="0.2">
      <c r="DO46560" s="303" t="s">
        <v>232</v>
      </c>
    </row>
    <row r="46561" spans="119:119" x14ac:dyDescent="0.2">
      <c r="DO46561" s="303" t="s">
        <v>232</v>
      </c>
    </row>
    <row r="46562" spans="119:119" x14ac:dyDescent="0.2">
      <c r="DO46562" s="303" t="s">
        <v>232</v>
      </c>
    </row>
    <row r="46563" spans="119:119" x14ac:dyDescent="0.2">
      <c r="DO46563" s="303" t="s">
        <v>232</v>
      </c>
    </row>
    <row r="46564" spans="119:119" x14ac:dyDescent="0.2">
      <c r="DO46564" s="303" t="s">
        <v>232</v>
      </c>
    </row>
    <row r="46565" spans="119:119" x14ac:dyDescent="0.2">
      <c r="DO46565" s="303" t="s">
        <v>232</v>
      </c>
    </row>
    <row r="46566" spans="119:119" x14ac:dyDescent="0.2">
      <c r="DO46566" s="303" t="s">
        <v>232</v>
      </c>
    </row>
    <row r="46567" spans="119:119" x14ac:dyDescent="0.2">
      <c r="DO46567" s="303" t="s">
        <v>232</v>
      </c>
    </row>
    <row r="46568" spans="119:119" x14ac:dyDescent="0.2">
      <c r="DO46568" s="303" t="s">
        <v>232</v>
      </c>
    </row>
    <row r="46569" spans="119:119" x14ac:dyDescent="0.2">
      <c r="DO46569" s="303" t="s">
        <v>232</v>
      </c>
    </row>
    <row r="46570" spans="119:119" x14ac:dyDescent="0.2">
      <c r="DO46570" s="303" t="s">
        <v>232</v>
      </c>
    </row>
    <row r="46571" spans="119:119" x14ac:dyDescent="0.2">
      <c r="DO46571" s="303" t="s">
        <v>232</v>
      </c>
    </row>
    <row r="46572" spans="119:119" x14ac:dyDescent="0.2">
      <c r="DO46572" s="303" t="s">
        <v>232</v>
      </c>
    </row>
    <row r="46573" spans="119:119" x14ac:dyDescent="0.2">
      <c r="DO46573" s="303" t="s">
        <v>232</v>
      </c>
    </row>
    <row r="46574" spans="119:119" x14ac:dyDescent="0.2">
      <c r="DO46574" s="303" t="s">
        <v>232</v>
      </c>
    </row>
    <row r="46575" spans="119:119" x14ac:dyDescent="0.2">
      <c r="DO46575" s="303" t="s">
        <v>232</v>
      </c>
    </row>
    <row r="46576" spans="119:119" x14ac:dyDescent="0.2">
      <c r="DO46576" s="303" t="s">
        <v>232</v>
      </c>
    </row>
    <row r="46577" spans="119:119" x14ac:dyDescent="0.2">
      <c r="DO46577" s="303" t="s">
        <v>232</v>
      </c>
    </row>
    <row r="46578" spans="119:119" x14ac:dyDescent="0.2">
      <c r="DO46578" s="303" t="s">
        <v>232</v>
      </c>
    </row>
    <row r="46579" spans="119:119" x14ac:dyDescent="0.2">
      <c r="DO46579" s="303" t="s">
        <v>232</v>
      </c>
    </row>
    <row r="46580" spans="119:119" x14ac:dyDescent="0.2">
      <c r="DO46580" s="303" t="s">
        <v>232</v>
      </c>
    </row>
    <row r="46581" spans="119:119" x14ac:dyDescent="0.2">
      <c r="DO46581" s="303" t="s">
        <v>232</v>
      </c>
    </row>
    <row r="46582" spans="119:119" x14ac:dyDescent="0.2">
      <c r="DO46582" s="303" t="s">
        <v>232</v>
      </c>
    </row>
    <row r="46583" spans="119:119" x14ac:dyDescent="0.2">
      <c r="DO46583" s="303" t="s">
        <v>232</v>
      </c>
    </row>
    <row r="46584" spans="119:119" x14ac:dyDescent="0.2">
      <c r="DO46584" s="303" t="s">
        <v>232</v>
      </c>
    </row>
    <row r="46585" spans="119:119" x14ac:dyDescent="0.2">
      <c r="DO46585" s="303" t="s">
        <v>232</v>
      </c>
    </row>
    <row r="46586" spans="119:119" x14ac:dyDescent="0.2">
      <c r="DO46586" s="303" t="s">
        <v>232</v>
      </c>
    </row>
    <row r="46587" spans="119:119" x14ac:dyDescent="0.2">
      <c r="DO46587" s="303" t="s">
        <v>232</v>
      </c>
    </row>
    <row r="46588" spans="119:119" x14ac:dyDescent="0.2">
      <c r="DO46588" s="303" t="s">
        <v>232</v>
      </c>
    </row>
    <row r="46589" spans="119:119" x14ac:dyDescent="0.2">
      <c r="DO46589" s="303" t="s">
        <v>232</v>
      </c>
    </row>
    <row r="46590" spans="119:119" x14ac:dyDescent="0.2">
      <c r="DO46590" s="303" t="s">
        <v>232</v>
      </c>
    </row>
    <row r="46591" spans="119:119" x14ac:dyDescent="0.2">
      <c r="DO46591" s="303" t="s">
        <v>232</v>
      </c>
    </row>
    <row r="46592" spans="119:119" x14ac:dyDescent="0.2">
      <c r="DO46592" s="303" t="s">
        <v>232</v>
      </c>
    </row>
    <row r="46593" spans="119:119" x14ac:dyDescent="0.2">
      <c r="DO46593" s="303" t="s">
        <v>232</v>
      </c>
    </row>
    <row r="46594" spans="119:119" x14ac:dyDescent="0.2">
      <c r="DO46594" s="303" t="s">
        <v>232</v>
      </c>
    </row>
    <row r="46595" spans="119:119" x14ac:dyDescent="0.2">
      <c r="DO46595" s="303" t="s">
        <v>232</v>
      </c>
    </row>
    <row r="46596" spans="119:119" x14ac:dyDescent="0.2">
      <c r="DO46596" s="303" t="s">
        <v>232</v>
      </c>
    </row>
    <row r="46597" spans="119:119" x14ac:dyDescent="0.2">
      <c r="DO46597" s="303" t="s">
        <v>232</v>
      </c>
    </row>
    <row r="46598" spans="119:119" x14ac:dyDescent="0.2">
      <c r="DO46598" s="303" t="s">
        <v>232</v>
      </c>
    </row>
    <row r="46599" spans="119:119" x14ac:dyDescent="0.2">
      <c r="DO46599" s="303" t="s">
        <v>232</v>
      </c>
    </row>
    <row r="46600" spans="119:119" x14ac:dyDescent="0.2">
      <c r="DO46600" s="303" t="s">
        <v>232</v>
      </c>
    </row>
    <row r="46601" spans="119:119" x14ac:dyDescent="0.2">
      <c r="DO46601" s="303" t="s">
        <v>232</v>
      </c>
    </row>
    <row r="46602" spans="119:119" x14ac:dyDescent="0.2">
      <c r="DO46602" s="303" t="s">
        <v>232</v>
      </c>
    </row>
    <row r="46603" spans="119:119" x14ac:dyDescent="0.2">
      <c r="DO46603" s="303" t="s">
        <v>232</v>
      </c>
    </row>
    <row r="46604" spans="119:119" x14ac:dyDescent="0.2">
      <c r="DO46604" s="303" t="s">
        <v>232</v>
      </c>
    </row>
    <row r="46605" spans="119:119" x14ac:dyDescent="0.2">
      <c r="DO46605" s="303" t="s">
        <v>232</v>
      </c>
    </row>
    <row r="46606" spans="119:119" x14ac:dyDescent="0.2">
      <c r="DO46606" s="303" t="s">
        <v>232</v>
      </c>
    </row>
    <row r="46607" spans="119:119" x14ac:dyDescent="0.2">
      <c r="DO46607" s="303" t="s">
        <v>232</v>
      </c>
    </row>
    <row r="46608" spans="119:119" x14ac:dyDescent="0.2">
      <c r="DO46608" s="303" t="s">
        <v>232</v>
      </c>
    </row>
    <row r="46609" spans="119:119" x14ac:dyDescent="0.2">
      <c r="DO46609" s="303" t="s">
        <v>232</v>
      </c>
    </row>
    <row r="46610" spans="119:119" x14ac:dyDescent="0.2">
      <c r="DO46610" s="303" t="s">
        <v>232</v>
      </c>
    </row>
    <row r="46611" spans="119:119" x14ac:dyDescent="0.2">
      <c r="DO46611" s="303" t="s">
        <v>232</v>
      </c>
    </row>
    <row r="46612" spans="119:119" x14ac:dyDescent="0.2">
      <c r="DO46612" s="303" t="s">
        <v>232</v>
      </c>
    </row>
    <row r="46613" spans="119:119" x14ac:dyDescent="0.2">
      <c r="DO46613" s="303" t="s">
        <v>232</v>
      </c>
    </row>
    <row r="46614" spans="119:119" x14ac:dyDescent="0.2">
      <c r="DO46614" s="303" t="s">
        <v>232</v>
      </c>
    </row>
    <row r="46615" spans="119:119" x14ac:dyDescent="0.2">
      <c r="DO46615" s="303" t="s">
        <v>232</v>
      </c>
    </row>
    <row r="46616" spans="119:119" x14ac:dyDescent="0.2">
      <c r="DO46616" s="303" t="s">
        <v>232</v>
      </c>
    </row>
    <row r="46617" spans="119:119" x14ac:dyDescent="0.2">
      <c r="DO46617" s="303" t="s">
        <v>232</v>
      </c>
    </row>
    <row r="46618" spans="119:119" x14ac:dyDescent="0.2">
      <c r="DO46618" s="303" t="s">
        <v>232</v>
      </c>
    </row>
    <row r="46619" spans="119:119" x14ac:dyDescent="0.2">
      <c r="DO46619" s="303" t="s">
        <v>232</v>
      </c>
    </row>
    <row r="46620" spans="119:119" x14ac:dyDescent="0.2">
      <c r="DO46620" s="303" t="s">
        <v>232</v>
      </c>
    </row>
    <row r="46621" spans="119:119" x14ac:dyDescent="0.2">
      <c r="DO46621" s="303" t="s">
        <v>232</v>
      </c>
    </row>
    <row r="46622" spans="119:119" x14ac:dyDescent="0.2">
      <c r="DO46622" s="303" t="s">
        <v>232</v>
      </c>
    </row>
    <row r="46623" spans="119:119" x14ac:dyDescent="0.2">
      <c r="DO46623" s="303" t="s">
        <v>232</v>
      </c>
    </row>
    <row r="46624" spans="119:119" x14ac:dyDescent="0.2">
      <c r="DO46624" s="303" t="s">
        <v>232</v>
      </c>
    </row>
    <row r="46625" spans="119:119" x14ac:dyDescent="0.2">
      <c r="DO46625" s="303" t="s">
        <v>232</v>
      </c>
    </row>
    <row r="46626" spans="119:119" x14ac:dyDescent="0.2">
      <c r="DO46626" s="303" t="s">
        <v>232</v>
      </c>
    </row>
    <row r="46627" spans="119:119" x14ac:dyDescent="0.2">
      <c r="DO46627" s="303" t="s">
        <v>232</v>
      </c>
    </row>
    <row r="46628" spans="119:119" x14ac:dyDescent="0.2">
      <c r="DO46628" s="303" t="s">
        <v>232</v>
      </c>
    </row>
    <row r="46629" spans="119:119" x14ac:dyDescent="0.2">
      <c r="DO46629" s="303" t="s">
        <v>232</v>
      </c>
    </row>
    <row r="46630" spans="119:119" x14ac:dyDescent="0.2">
      <c r="DO46630" s="303" t="s">
        <v>232</v>
      </c>
    </row>
    <row r="46631" spans="119:119" x14ac:dyDescent="0.2">
      <c r="DO46631" s="303" t="s">
        <v>232</v>
      </c>
    </row>
    <row r="46632" spans="119:119" x14ac:dyDescent="0.2">
      <c r="DO46632" s="303" t="s">
        <v>232</v>
      </c>
    </row>
    <row r="46633" spans="119:119" x14ac:dyDescent="0.2">
      <c r="DO46633" s="303" t="s">
        <v>232</v>
      </c>
    </row>
    <row r="46634" spans="119:119" x14ac:dyDescent="0.2">
      <c r="DO46634" s="303" t="s">
        <v>232</v>
      </c>
    </row>
    <row r="46635" spans="119:119" x14ac:dyDescent="0.2">
      <c r="DO46635" s="303" t="s">
        <v>232</v>
      </c>
    </row>
    <row r="46636" spans="119:119" x14ac:dyDescent="0.2">
      <c r="DO46636" s="303" t="s">
        <v>232</v>
      </c>
    </row>
    <row r="46637" spans="119:119" x14ac:dyDescent="0.2">
      <c r="DO46637" s="303" t="s">
        <v>232</v>
      </c>
    </row>
    <row r="46638" spans="119:119" x14ac:dyDescent="0.2">
      <c r="DO46638" s="303" t="s">
        <v>232</v>
      </c>
    </row>
    <row r="46639" spans="119:119" x14ac:dyDescent="0.2">
      <c r="DO46639" s="303" t="s">
        <v>232</v>
      </c>
    </row>
    <row r="46640" spans="119:119" x14ac:dyDescent="0.2">
      <c r="DO46640" s="303" t="s">
        <v>232</v>
      </c>
    </row>
    <row r="46641" spans="119:119" x14ac:dyDescent="0.2">
      <c r="DO46641" s="303" t="s">
        <v>232</v>
      </c>
    </row>
    <row r="46642" spans="119:119" x14ac:dyDescent="0.2">
      <c r="DO46642" s="303" t="s">
        <v>232</v>
      </c>
    </row>
    <row r="46643" spans="119:119" x14ac:dyDescent="0.2">
      <c r="DO46643" s="303" t="s">
        <v>232</v>
      </c>
    </row>
    <row r="46644" spans="119:119" x14ac:dyDescent="0.2">
      <c r="DO46644" s="303" t="s">
        <v>232</v>
      </c>
    </row>
    <row r="46645" spans="119:119" x14ac:dyDescent="0.2">
      <c r="DO46645" s="303" t="s">
        <v>232</v>
      </c>
    </row>
    <row r="46646" spans="119:119" x14ac:dyDescent="0.2">
      <c r="DO46646" s="303" t="s">
        <v>232</v>
      </c>
    </row>
    <row r="46647" spans="119:119" x14ac:dyDescent="0.2">
      <c r="DO46647" s="303" t="s">
        <v>232</v>
      </c>
    </row>
    <row r="46648" spans="119:119" x14ac:dyDescent="0.2">
      <c r="DO46648" s="303" t="s">
        <v>232</v>
      </c>
    </row>
    <row r="46649" spans="119:119" x14ac:dyDescent="0.2">
      <c r="DO46649" s="303" t="s">
        <v>232</v>
      </c>
    </row>
    <row r="46650" spans="119:119" x14ac:dyDescent="0.2">
      <c r="DO46650" s="303" t="s">
        <v>232</v>
      </c>
    </row>
    <row r="46651" spans="119:119" x14ac:dyDescent="0.2">
      <c r="DO46651" s="303" t="s">
        <v>232</v>
      </c>
    </row>
    <row r="46652" spans="119:119" x14ac:dyDescent="0.2">
      <c r="DO46652" s="303" t="s">
        <v>232</v>
      </c>
    </row>
    <row r="46653" spans="119:119" x14ac:dyDescent="0.2">
      <c r="DO46653" s="303" t="s">
        <v>232</v>
      </c>
    </row>
    <row r="46654" spans="119:119" x14ac:dyDescent="0.2">
      <c r="DO46654" s="303" t="s">
        <v>232</v>
      </c>
    </row>
    <row r="46655" spans="119:119" x14ac:dyDescent="0.2">
      <c r="DO46655" s="303" t="s">
        <v>232</v>
      </c>
    </row>
    <row r="46656" spans="119:119" x14ac:dyDescent="0.2">
      <c r="DO46656" s="303" t="s">
        <v>232</v>
      </c>
    </row>
    <row r="46657" spans="119:119" x14ac:dyDescent="0.2">
      <c r="DO46657" s="303" t="s">
        <v>232</v>
      </c>
    </row>
    <row r="46658" spans="119:119" x14ac:dyDescent="0.2">
      <c r="DO46658" s="303" t="s">
        <v>232</v>
      </c>
    </row>
    <row r="46659" spans="119:119" x14ac:dyDescent="0.2">
      <c r="DO46659" s="303" t="s">
        <v>232</v>
      </c>
    </row>
    <row r="46660" spans="119:119" x14ac:dyDescent="0.2">
      <c r="DO46660" s="303" t="s">
        <v>232</v>
      </c>
    </row>
    <row r="46661" spans="119:119" x14ac:dyDescent="0.2">
      <c r="DO46661" s="303" t="s">
        <v>232</v>
      </c>
    </row>
    <row r="46662" spans="119:119" x14ac:dyDescent="0.2">
      <c r="DO46662" s="303" t="s">
        <v>232</v>
      </c>
    </row>
    <row r="46663" spans="119:119" x14ac:dyDescent="0.2">
      <c r="DO46663" s="303" t="s">
        <v>232</v>
      </c>
    </row>
    <row r="46664" spans="119:119" x14ac:dyDescent="0.2">
      <c r="DO46664" s="303" t="s">
        <v>232</v>
      </c>
    </row>
    <row r="46665" spans="119:119" x14ac:dyDescent="0.2">
      <c r="DO46665" s="303" t="s">
        <v>232</v>
      </c>
    </row>
    <row r="46666" spans="119:119" x14ac:dyDescent="0.2">
      <c r="DO46666" s="303" t="s">
        <v>232</v>
      </c>
    </row>
    <row r="46667" spans="119:119" x14ac:dyDescent="0.2">
      <c r="DO46667" s="303" t="s">
        <v>232</v>
      </c>
    </row>
    <row r="46668" spans="119:119" x14ac:dyDescent="0.2">
      <c r="DO46668" s="303" t="s">
        <v>232</v>
      </c>
    </row>
    <row r="46669" spans="119:119" x14ac:dyDescent="0.2">
      <c r="DO46669" s="303" t="s">
        <v>232</v>
      </c>
    </row>
    <row r="46670" spans="119:119" x14ac:dyDescent="0.2">
      <c r="DO46670" s="303" t="s">
        <v>232</v>
      </c>
    </row>
    <row r="46671" spans="119:119" x14ac:dyDescent="0.2">
      <c r="DO46671" s="303" t="s">
        <v>232</v>
      </c>
    </row>
    <row r="46672" spans="119:119" x14ac:dyDescent="0.2">
      <c r="DO46672" s="303" t="s">
        <v>232</v>
      </c>
    </row>
    <row r="46673" spans="119:119" x14ac:dyDescent="0.2">
      <c r="DO46673" s="303" t="s">
        <v>232</v>
      </c>
    </row>
    <row r="46674" spans="119:119" x14ac:dyDescent="0.2">
      <c r="DO46674" s="303" t="s">
        <v>232</v>
      </c>
    </row>
    <row r="46675" spans="119:119" x14ac:dyDescent="0.2">
      <c r="DO46675" s="303" t="s">
        <v>232</v>
      </c>
    </row>
    <row r="46676" spans="119:119" x14ac:dyDescent="0.2">
      <c r="DO46676" s="303" t="s">
        <v>232</v>
      </c>
    </row>
    <row r="46677" spans="119:119" x14ac:dyDescent="0.2">
      <c r="DO46677" s="303" t="s">
        <v>232</v>
      </c>
    </row>
    <row r="46678" spans="119:119" x14ac:dyDescent="0.2">
      <c r="DO46678" s="303" t="s">
        <v>232</v>
      </c>
    </row>
    <row r="46679" spans="119:119" x14ac:dyDescent="0.2">
      <c r="DO46679" s="303" t="s">
        <v>232</v>
      </c>
    </row>
    <row r="46680" spans="119:119" x14ac:dyDescent="0.2">
      <c r="DO46680" s="303" t="s">
        <v>232</v>
      </c>
    </row>
    <row r="46681" spans="119:119" x14ac:dyDescent="0.2">
      <c r="DO46681" s="303" t="s">
        <v>232</v>
      </c>
    </row>
    <row r="46682" spans="119:119" x14ac:dyDescent="0.2">
      <c r="DO46682" s="303" t="s">
        <v>232</v>
      </c>
    </row>
    <row r="46683" spans="119:119" x14ac:dyDescent="0.2">
      <c r="DO46683" s="303" t="s">
        <v>232</v>
      </c>
    </row>
    <row r="46684" spans="119:119" x14ac:dyDescent="0.2">
      <c r="DO46684" s="303" t="s">
        <v>232</v>
      </c>
    </row>
    <row r="46685" spans="119:119" x14ac:dyDescent="0.2">
      <c r="DO46685" s="303" t="s">
        <v>232</v>
      </c>
    </row>
    <row r="46686" spans="119:119" x14ac:dyDescent="0.2">
      <c r="DO46686" s="303" t="s">
        <v>232</v>
      </c>
    </row>
    <row r="46687" spans="119:119" x14ac:dyDescent="0.2">
      <c r="DO46687" s="303" t="s">
        <v>232</v>
      </c>
    </row>
    <row r="46688" spans="119:119" x14ac:dyDescent="0.2">
      <c r="DO46688" s="303" t="s">
        <v>232</v>
      </c>
    </row>
    <row r="46689" spans="119:119" x14ac:dyDescent="0.2">
      <c r="DO46689" s="303" t="s">
        <v>232</v>
      </c>
    </row>
    <row r="46690" spans="119:119" x14ac:dyDescent="0.2">
      <c r="DO46690" s="303" t="s">
        <v>232</v>
      </c>
    </row>
    <row r="46691" spans="119:119" x14ac:dyDescent="0.2">
      <c r="DO46691" s="303" t="s">
        <v>232</v>
      </c>
    </row>
    <row r="46692" spans="119:119" x14ac:dyDescent="0.2">
      <c r="DO46692" s="303" t="s">
        <v>232</v>
      </c>
    </row>
    <row r="46693" spans="119:119" x14ac:dyDescent="0.2">
      <c r="DO46693" s="303" t="s">
        <v>232</v>
      </c>
    </row>
    <row r="46694" spans="119:119" x14ac:dyDescent="0.2">
      <c r="DO46694" s="303" t="s">
        <v>232</v>
      </c>
    </row>
    <row r="46695" spans="119:119" x14ac:dyDescent="0.2">
      <c r="DO46695" s="303" t="s">
        <v>232</v>
      </c>
    </row>
    <row r="46696" spans="119:119" x14ac:dyDescent="0.2">
      <c r="DO46696" s="303" t="s">
        <v>232</v>
      </c>
    </row>
    <row r="46697" spans="119:119" x14ac:dyDescent="0.2">
      <c r="DO46697" s="303" t="s">
        <v>232</v>
      </c>
    </row>
    <row r="46698" spans="119:119" x14ac:dyDescent="0.2">
      <c r="DO46698" s="303" t="s">
        <v>232</v>
      </c>
    </row>
    <row r="46699" spans="119:119" x14ac:dyDescent="0.2">
      <c r="DO46699" s="303" t="s">
        <v>232</v>
      </c>
    </row>
    <row r="46700" spans="119:119" x14ac:dyDescent="0.2">
      <c r="DO46700" s="303" t="s">
        <v>232</v>
      </c>
    </row>
    <row r="46701" spans="119:119" x14ac:dyDescent="0.2">
      <c r="DO46701" s="303" t="s">
        <v>232</v>
      </c>
    </row>
    <row r="46702" spans="119:119" x14ac:dyDescent="0.2">
      <c r="DO46702" s="303" t="s">
        <v>232</v>
      </c>
    </row>
    <row r="46703" spans="119:119" x14ac:dyDescent="0.2">
      <c r="DO46703" s="303" t="s">
        <v>232</v>
      </c>
    </row>
    <row r="46704" spans="119:119" x14ac:dyDescent="0.2">
      <c r="DO46704" s="303" t="s">
        <v>232</v>
      </c>
    </row>
    <row r="46705" spans="119:119" x14ac:dyDescent="0.2">
      <c r="DO46705" s="303" t="s">
        <v>232</v>
      </c>
    </row>
    <row r="46706" spans="119:119" x14ac:dyDescent="0.2">
      <c r="DO46706" s="303" t="s">
        <v>232</v>
      </c>
    </row>
    <row r="46707" spans="119:119" x14ac:dyDescent="0.2">
      <c r="DO46707" s="303" t="s">
        <v>232</v>
      </c>
    </row>
    <row r="46708" spans="119:119" x14ac:dyDescent="0.2">
      <c r="DO46708" s="303" t="s">
        <v>232</v>
      </c>
    </row>
    <row r="46709" spans="119:119" x14ac:dyDescent="0.2">
      <c r="DO46709" s="303" t="s">
        <v>232</v>
      </c>
    </row>
    <row r="46710" spans="119:119" x14ac:dyDescent="0.2">
      <c r="DO46710" s="303" t="s">
        <v>232</v>
      </c>
    </row>
    <row r="46711" spans="119:119" x14ac:dyDescent="0.2">
      <c r="DO46711" s="303" t="s">
        <v>232</v>
      </c>
    </row>
    <row r="46712" spans="119:119" x14ac:dyDescent="0.2">
      <c r="DO46712" s="303" t="s">
        <v>232</v>
      </c>
    </row>
    <row r="46713" spans="119:119" x14ac:dyDescent="0.2">
      <c r="DO46713" s="303" t="s">
        <v>232</v>
      </c>
    </row>
    <row r="46714" spans="119:119" x14ac:dyDescent="0.2">
      <c r="DO46714" s="303" t="s">
        <v>232</v>
      </c>
    </row>
    <row r="46715" spans="119:119" x14ac:dyDescent="0.2">
      <c r="DO46715" s="303" t="s">
        <v>232</v>
      </c>
    </row>
    <row r="46716" spans="119:119" x14ac:dyDescent="0.2">
      <c r="DO46716" s="303" t="s">
        <v>232</v>
      </c>
    </row>
    <row r="46717" spans="119:119" x14ac:dyDescent="0.2">
      <c r="DO46717" s="303" t="s">
        <v>232</v>
      </c>
    </row>
    <row r="46718" spans="119:119" x14ac:dyDescent="0.2">
      <c r="DO46718" s="303" t="s">
        <v>232</v>
      </c>
    </row>
    <row r="46719" spans="119:119" x14ac:dyDescent="0.2">
      <c r="DO46719" s="303" t="s">
        <v>232</v>
      </c>
    </row>
    <row r="46720" spans="119:119" x14ac:dyDescent="0.2">
      <c r="DO46720" s="303" t="s">
        <v>232</v>
      </c>
    </row>
    <row r="46721" spans="119:119" x14ac:dyDescent="0.2">
      <c r="DO46721" s="303" t="s">
        <v>232</v>
      </c>
    </row>
    <row r="46722" spans="119:119" x14ac:dyDescent="0.2">
      <c r="DO46722" s="303" t="s">
        <v>232</v>
      </c>
    </row>
    <row r="46723" spans="119:119" x14ac:dyDescent="0.2">
      <c r="DO46723" s="303" t="s">
        <v>232</v>
      </c>
    </row>
    <row r="46724" spans="119:119" x14ac:dyDescent="0.2">
      <c r="DO46724" s="303" t="s">
        <v>232</v>
      </c>
    </row>
    <row r="46725" spans="119:119" x14ac:dyDescent="0.2">
      <c r="DO46725" s="303" t="s">
        <v>232</v>
      </c>
    </row>
    <row r="46726" spans="119:119" x14ac:dyDescent="0.2">
      <c r="DO46726" s="303" t="s">
        <v>232</v>
      </c>
    </row>
    <row r="46727" spans="119:119" x14ac:dyDescent="0.2">
      <c r="DO46727" s="303" t="s">
        <v>232</v>
      </c>
    </row>
    <row r="46728" spans="119:119" x14ac:dyDescent="0.2">
      <c r="DO46728" s="303" t="s">
        <v>232</v>
      </c>
    </row>
    <row r="46729" spans="119:119" x14ac:dyDescent="0.2">
      <c r="DO46729" s="303" t="s">
        <v>232</v>
      </c>
    </row>
    <row r="46730" spans="119:119" x14ac:dyDescent="0.2">
      <c r="DO46730" s="303" t="s">
        <v>232</v>
      </c>
    </row>
    <row r="46731" spans="119:119" x14ac:dyDescent="0.2">
      <c r="DO46731" s="303" t="s">
        <v>232</v>
      </c>
    </row>
    <row r="46732" spans="119:119" x14ac:dyDescent="0.2">
      <c r="DO46732" s="303" t="s">
        <v>232</v>
      </c>
    </row>
    <row r="46733" spans="119:119" x14ac:dyDescent="0.2">
      <c r="DO46733" s="303" t="s">
        <v>232</v>
      </c>
    </row>
    <row r="46734" spans="119:119" x14ac:dyDescent="0.2">
      <c r="DO46734" s="303" t="s">
        <v>232</v>
      </c>
    </row>
    <row r="46735" spans="119:119" x14ac:dyDescent="0.2">
      <c r="DO46735" s="303" t="s">
        <v>232</v>
      </c>
    </row>
    <row r="46736" spans="119:119" x14ac:dyDescent="0.2">
      <c r="DO46736" s="303" t="s">
        <v>232</v>
      </c>
    </row>
    <row r="46737" spans="119:119" x14ac:dyDescent="0.2">
      <c r="DO46737" s="303" t="s">
        <v>232</v>
      </c>
    </row>
    <row r="46738" spans="119:119" x14ac:dyDescent="0.2">
      <c r="DO46738" s="303" t="s">
        <v>232</v>
      </c>
    </row>
    <row r="46739" spans="119:119" x14ac:dyDescent="0.2">
      <c r="DO46739" s="303" t="s">
        <v>232</v>
      </c>
    </row>
    <row r="46740" spans="119:119" x14ac:dyDescent="0.2">
      <c r="DO46740" s="303" t="s">
        <v>232</v>
      </c>
    </row>
    <row r="46741" spans="119:119" x14ac:dyDescent="0.2">
      <c r="DO46741" s="303" t="s">
        <v>232</v>
      </c>
    </row>
    <row r="46742" spans="119:119" x14ac:dyDescent="0.2">
      <c r="DO46742" s="303" t="s">
        <v>232</v>
      </c>
    </row>
    <row r="46743" spans="119:119" x14ac:dyDescent="0.2">
      <c r="DO46743" s="303" t="s">
        <v>232</v>
      </c>
    </row>
    <row r="46744" spans="119:119" x14ac:dyDescent="0.2">
      <c r="DO46744" s="303" t="s">
        <v>232</v>
      </c>
    </row>
    <row r="46745" spans="119:119" x14ac:dyDescent="0.2">
      <c r="DO46745" s="303" t="s">
        <v>232</v>
      </c>
    </row>
    <row r="46746" spans="119:119" x14ac:dyDescent="0.2">
      <c r="DO46746" s="303" t="s">
        <v>232</v>
      </c>
    </row>
    <row r="46747" spans="119:119" x14ac:dyDescent="0.2">
      <c r="DO46747" s="303" t="s">
        <v>232</v>
      </c>
    </row>
    <row r="46748" spans="119:119" x14ac:dyDescent="0.2">
      <c r="DO46748" s="303" t="s">
        <v>232</v>
      </c>
    </row>
    <row r="46749" spans="119:119" x14ac:dyDescent="0.2">
      <c r="DO46749" s="303" t="s">
        <v>232</v>
      </c>
    </row>
    <row r="46750" spans="119:119" x14ac:dyDescent="0.2">
      <c r="DO46750" s="303" t="s">
        <v>232</v>
      </c>
    </row>
    <row r="46751" spans="119:119" x14ac:dyDescent="0.2">
      <c r="DO46751" s="303" t="s">
        <v>232</v>
      </c>
    </row>
    <row r="46752" spans="119:119" x14ac:dyDescent="0.2">
      <c r="DO46752" s="303" t="s">
        <v>232</v>
      </c>
    </row>
    <row r="46753" spans="119:119" x14ac:dyDescent="0.2">
      <c r="DO46753" s="303" t="s">
        <v>232</v>
      </c>
    </row>
    <row r="46754" spans="119:119" x14ac:dyDescent="0.2">
      <c r="DO46754" s="303" t="s">
        <v>232</v>
      </c>
    </row>
    <row r="46755" spans="119:119" x14ac:dyDescent="0.2">
      <c r="DO46755" s="303" t="s">
        <v>232</v>
      </c>
    </row>
    <row r="46756" spans="119:119" x14ac:dyDescent="0.2">
      <c r="DO46756" s="303" t="s">
        <v>232</v>
      </c>
    </row>
    <row r="46757" spans="119:119" x14ac:dyDescent="0.2">
      <c r="DO46757" s="303" t="s">
        <v>232</v>
      </c>
    </row>
    <row r="46758" spans="119:119" x14ac:dyDescent="0.2">
      <c r="DO46758" s="303" t="s">
        <v>232</v>
      </c>
    </row>
    <row r="46759" spans="119:119" x14ac:dyDescent="0.2">
      <c r="DO46759" s="303" t="s">
        <v>232</v>
      </c>
    </row>
    <row r="46760" spans="119:119" x14ac:dyDescent="0.2">
      <c r="DO46760" s="303" t="s">
        <v>232</v>
      </c>
    </row>
    <row r="46761" spans="119:119" x14ac:dyDescent="0.2">
      <c r="DO46761" s="303" t="s">
        <v>232</v>
      </c>
    </row>
    <row r="46762" spans="119:119" x14ac:dyDescent="0.2">
      <c r="DO46762" s="303" t="s">
        <v>232</v>
      </c>
    </row>
    <row r="46763" spans="119:119" x14ac:dyDescent="0.2">
      <c r="DO46763" s="303" t="s">
        <v>232</v>
      </c>
    </row>
    <row r="46764" spans="119:119" x14ac:dyDescent="0.2">
      <c r="DO46764" s="303" t="s">
        <v>232</v>
      </c>
    </row>
    <row r="46765" spans="119:119" x14ac:dyDescent="0.2">
      <c r="DO46765" s="303" t="s">
        <v>232</v>
      </c>
    </row>
    <row r="46766" spans="119:119" x14ac:dyDescent="0.2">
      <c r="DO46766" s="303" t="s">
        <v>232</v>
      </c>
    </row>
    <row r="46767" spans="119:119" x14ac:dyDescent="0.2">
      <c r="DO46767" s="303" t="s">
        <v>232</v>
      </c>
    </row>
    <row r="46768" spans="119:119" x14ac:dyDescent="0.2">
      <c r="DO46768" s="303" t="s">
        <v>232</v>
      </c>
    </row>
    <row r="46769" spans="119:119" x14ac:dyDescent="0.2">
      <c r="DO46769" s="303" t="s">
        <v>232</v>
      </c>
    </row>
    <row r="46770" spans="119:119" x14ac:dyDescent="0.2">
      <c r="DO46770" s="303" t="s">
        <v>232</v>
      </c>
    </row>
    <row r="46771" spans="119:119" x14ac:dyDescent="0.2">
      <c r="DO46771" s="303" t="s">
        <v>232</v>
      </c>
    </row>
    <row r="46772" spans="119:119" x14ac:dyDescent="0.2">
      <c r="DO46772" s="303" t="s">
        <v>232</v>
      </c>
    </row>
    <row r="46773" spans="119:119" x14ac:dyDescent="0.2">
      <c r="DO46773" s="303" t="s">
        <v>232</v>
      </c>
    </row>
    <row r="46774" spans="119:119" x14ac:dyDescent="0.2">
      <c r="DO46774" s="303" t="s">
        <v>232</v>
      </c>
    </row>
    <row r="46775" spans="119:119" x14ac:dyDescent="0.2">
      <c r="DO46775" s="303" t="s">
        <v>232</v>
      </c>
    </row>
    <row r="46776" spans="119:119" x14ac:dyDescent="0.2">
      <c r="DO46776" s="303" t="s">
        <v>232</v>
      </c>
    </row>
    <row r="46777" spans="119:119" x14ac:dyDescent="0.2">
      <c r="DO46777" s="303" t="s">
        <v>232</v>
      </c>
    </row>
    <row r="46778" spans="119:119" x14ac:dyDescent="0.2">
      <c r="DO46778" s="303" t="s">
        <v>232</v>
      </c>
    </row>
    <row r="46779" spans="119:119" x14ac:dyDescent="0.2">
      <c r="DO46779" s="303" t="s">
        <v>232</v>
      </c>
    </row>
    <row r="46780" spans="119:119" x14ac:dyDescent="0.2">
      <c r="DO46780" s="303" t="s">
        <v>232</v>
      </c>
    </row>
    <row r="46781" spans="119:119" x14ac:dyDescent="0.2">
      <c r="DO46781" s="303" t="s">
        <v>232</v>
      </c>
    </row>
    <row r="46782" spans="119:119" x14ac:dyDescent="0.2">
      <c r="DO46782" s="303" t="s">
        <v>232</v>
      </c>
    </row>
    <row r="46783" spans="119:119" x14ac:dyDescent="0.2">
      <c r="DO46783" s="303" t="s">
        <v>232</v>
      </c>
    </row>
    <row r="46784" spans="119:119" x14ac:dyDescent="0.2">
      <c r="DO46784" s="303" t="s">
        <v>232</v>
      </c>
    </row>
    <row r="46785" spans="119:119" x14ac:dyDescent="0.2">
      <c r="DO46785" s="303" t="s">
        <v>232</v>
      </c>
    </row>
    <row r="46786" spans="119:119" x14ac:dyDescent="0.2">
      <c r="DO46786" s="303" t="s">
        <v>232</v>
      </c>
    </row>
    <row r="46787" spans="119:119" x14ac:dyDescent="0.2">
      <c r="DO46787" s="303" t="s">
        <v>232</v>
      </c>
    </row>
    <row r="46788" spans="119:119" x14ac:dyDescent="0.2">
      <c r="DO46788" s="303" t="s">
        <v>232</v>
      </c>
    </row>
    <row r="46789" spans="119:119" x14ac:dyDescent="0.2">
      <c r="DO46789" s="303" t="s">
        <v>232</v>
      </c>
    </row>
    <row r="46790" spans="119:119" x14ac:dyDescent="0.2">
      <c r="DO46790" s="303" t="s">
        <v>232</v>
      </c>
    </row>
    <row r="46791" spans="119:119" x14ac:dyDescent="0.2">
      <c r="DO46791" s="303" t="s">
        <v>232</v>
      </c>
    </row>
    <row r="46792" spans="119:119" x14ac:dyDescent="0.2">
      <c r="DO46792" s="303" t="s">
        <v>232</v>
      </c>
    </row>
    <row r="46793" spans="119:119" x14ac:dyDescent="0.2">
      <c r="DO46793" s="303" t="s">
        <v>232</v>
      </c>
    </row>
    <row r="46794" spans="119:119" x14ac:dyDescent="0.2">
      <c r="DO46794" s="303" t="s">
        <v>232</v>
      </c>
    </row>
    <row r="46795" spans="119:119" x14ac:dyDescent="0.2">
      <c r="DO46795" s="303" t="s">
        <v>232</v>
      </c>
    </row>
    <row r="46796" spans="119:119" x14ac:dyDescent="0.2">
      <c r="DO46796" s="303" t="s">
        <v>232</v>
      </c>
    </row>
    <row r="46797" spans="119:119" x14ac:dyDescent="0.2">
      <c r="DO46797" s="303" t="s">
        <v>232</v>
      </c>
    </row>
    <row r="46798" spans="119:119" x14ac:dyDescent="0.2">
      <c r="DO46798" s="303" t="s">
        <v>232</v>
      </c>
    </row>
    <row r="46799" spans="119:119" x14ac:dyDescent="0.2">
      <c r="DO46799" s="303" t="s">
        <v>232</v>
      </c>
    </row>
    <row r="46800" spans="119:119" x14ac:dyDescent="0.2">
      <c r="DO46800" s="303" t="s">
        <v>232</v>
      </c>
    </row>
    <row r="46801" spans="119:119" x14ac:dyDescent="0.2">
      <c r="DO46801" s="303" t="s">
        <v>232</v>
      </c>
    </row>
    <row r="46802" spans="119:119" x14ac:dyDescent="0.2">
      <c r="DO46802" s="303" t="s">
        <v>232</v>
      </c>
    </row>
    <row r="46803" spans="119:119" x14ac:dyDescent="0.2">
      <c r="DO46803" s="303" t="s">
        <v>232</v>
      </c>
    </row>
    <row r="46804" spans="119:119" x14ac:dyDescent="0.2">
      <c r="DO46804" s="303" t="s">
        <v>232</v>
      </c>
    </row>
    <row r="46805" spans="119:119" x14ac:dyDescent="0.2">
      <c r="DO46805" s="303" t="s">
        <v>232</v>
      </c>
    </row>
    <row r="46806" spans="119:119" x14ac:dyDescent="0.2">
      <c r="DO46806" s="303" t="s">
        <v>232</v>
      </c>
    </row>
    <row r="46807" spans="119:119" x14ac:dyDescent="0.2">
      <c r="DO46807" s="303" t="s">
        <v>232</v>
      </c>
    </row>
    <row r="46808" spans="119:119" x14ac:dyDescent="0.2">
      <c r="DO46808" s="303" t="s">
        <v>232</v>
      </c>
    </row>
    <row r="46809" spans="119:119" x14ac:dyDescent="0.2">
      <c r="DO46809" s="303" t="s">
        <v>232</v>
      </c>
    </row>
    <row r="46810" spans="119:119" x14ac:dyDescent="0.2">
      <c r="DO46810" s="303" t="s">
        <v>232</v>
      </c>
    </row>
    <row r="46811" spans="119:119" x14ac:dyDescent="0.2">
      <c r="DO46811" s="303" t="s">
        <v>232</v>
      </c>
    </row>
    <row r="46812" spans="119:119" x14ac:dyDescent="0.2">
      <c r="DO46812" s="303" t="s">
        <v>232</v>
      </c>
    </row>
    <row r="46813" spans="119:119" x14ac:dyDescent="0.2">
      <c r="DO46813" s="303" t="s">
        <v>232</v>
      </c>
    </row>
    <row r="46814" spans="119:119" x14ac:dyDescent="0.2">
      <c r="DO46814" s="303" t="s">
        <v>232</v>
      </c>
    </row>
    <row r="46815" spans="119:119" x14ac:dyDescent="0.2">
      <c r="DO46815" s="303" t="s">
        <v>232</v>
      </c>
    </row>
    <row r="46816" spans="119:119" x14ac:dyDescent="0.2">
      <c r="DO46816" s="303" t="s">
        <v>232</v>
      </c>
    </row>
    <row r="46817" spans="119:119" x14ac:dyDescent="0.2">
      <c r="DO46817" s="303" t="s">
        <v>232</v>
      </c>
    </row>
    <row r="46818" spans="119:119" x14ac:dyDescent="0.2">
      <c r="DO46818" s="303" t="s">
        <v>232</v>
      </c>
    </row>
    <row r="46819" spans="119:119" x14ac:dyDescent="0.2">
      <c r="DO46819" s="303" t="s">
        <v>232</v>
      </c>
    </row>
    <row r="46820" spans="119:119" x14ac:dyDescent="0.2">
      <c r="DO46820" s="303" t="s">
        <v>232</v>
      </c>
    </row>
    <row r="46821" spans="119:119" x14ac:dyDescent="0.2">
      <c r="DO46821" s="303" t="s">
        <v>232</v>
      </c>
    </row>
    <row r="46822" spans="119:119" x14ac:dyDescent="0.2">
      <c r="DO46822" s="303" t="s">
        <v>232</v>
      </c>
    </row>
    <row r="46823" spans="119:119" x14ac:dyDescent="0.2">
      <c r="DO46823" s="303" t="s">
        <v>232</v>
      </c>
    </row>
    <row r="46824" spans="119:119" x14ac:dyDescent="0.2">
      <c r="DO46824" s="303" t="s">
        <v>232</v>
      </c>
    </row>
    <row r="46825" spans="119:119" x14ac:dyDescent="0.2">
      <c r="DO46825" s="303" t="s">
        <v>232</v>
      </c>
    </row>
    <row r="46826" spans="119:119" x14ac:dyDescent="0.2">
      <c r="DO46826" s="303" t="s">
        <v>232</v>
      </c>
    </row>
    <row r="46827" spans="119:119" x14ac:dyDescent="0.2">
      <c r="DO46827" s="303" t="s">
        <v>232</v>
      </c>
    </row>
    <row r="46828" spans="119:119" x14ac:dyDescent="0.2">
      <c r="DO46828" s="303" t="s">
        <v>232</v>
      </c>
    </row>
    <row r="46829" spans="119:119" x14ac:dyDescent="0.2">
      <c r="DO46829" s="303" t="s">
        <v>232</v>
      </c>
    </row>
    <row r="46830" spans="119:119" x14ac:dyDescent="0.2">
      <c r="DO46830" s="303" t="s">
        <v>232</v>
      </c>
    </row>
    <row r="46831" spans="119:119" x14ac:dyDescent="0.2">
      <c r="DO46831" s="303" t="s">
        <v>232</v>
      </c>
    </row>
    <row r="46832" spans="119:119" x14ac:dyDescent="0.2">
      <c r="DO46832" s="303" t="s">
        <v>232</v>
      </c>
    </row>
    <row r="46833" spans="119:119" x14ac:dyDescent="0.2">
      <c r="DO46833" s="303" t="s">
        <v>232</v>
      </c>
    </row>
    <row r="46834" spans="119:119" x14ac:dyDescent="0.2">
      <c r="DO46834" s="303" t="s">
        <v>232</v>
      </c>
    </row>
    <row r="46835" spans="119:119" x14ac:dyDescent="0.2">
      <c r="DO46835" s="303" t="s">
        <v>232</v>
      </c>
    </row>
    <row r="46836" spans="119:119" x14ac:dyDescent="0.2">
      <c r="DO46836" s="303" t="s">
        <v>232</v>
      </c>
    </row>
    <row r="46837" spans="119:119" x14ac:dyDescent="0.2">
      <c r="DO46837" s="303" t="s">
        <v>232</v>
      </c>
    </row>
    <row r="46838" spans="119:119" x14ac:dyDescent="0.2">
      <c r="DO46838" s="303" t="s">
        <v>232</v>
      </c>
    </row>
    <row r="46839" spans="119:119" x14ac:dyDescent="0.2">
      <c r="DO46839" s="303" t="s">
        <v>232</v>
      </c>
    </row>
    <row r="46840" spans="119:119" x14ac:dyDescent="0.2">
      <c r="DO46840" s="303" t="s">
        <v>232</v>
      </c>
    </row>
    <row r="46841" spans="119:119" x14ac:dyDescent="0.2">
      <c r="DO46841" s="303" t="s">
        <v>232</v>
      </c>
    </row>
    <row r="46842" spans="119:119" x14ac:dyDescent="0.2">
      <c r="DO46842" s="303" t="s">
        <v>232</v>
      </c>
    </row>
    <row r="46843" spans="119:119" x14ac:dyDescent="0.2">
      <c r="DO46843" s="303" t="s">
        <v>232</v>
      </c>
    </row>
    <row r="46844" spans="119:119" x14ac:dyDescent="0.2">
      <c r="DO46844" s="303" t="s">
        <v>232</v>
      </c>
    </row>
    <row r="46845" spans="119:119" x14ac:dyDescent="0.2">
      <c r="DO46845" s="303" t="s">
        <v>232</v>
      </c>
    </row>
    <row r="46846" spans="119:119" x14ac:dyDescent="0.2">
      <c r="DO46846" s="303" t="s">
        <v>232</v>
      </c>
    </row>
    <row r="46847" spans="119:119" x14ac:dyDescent="0.2">
      <c r="DO46847" s="303" t="s">
        <v>232</v>
      </c>
    </row>
    <row r="46848" spans="119:119" x14ac:dyDescent="0.2">
      <c r="DO46848" s="303" t="s">
        <v>232</v>
      </c>
    </row>
    <row r="46849" spans="119:119" x14ac:dyDescent="0.2">
      <c r="DO46849" s="303" t="s">
        <v>232</v>
      </c>
    </row>
    <row r="46850" spans="119:119" x14ac:dyDescent="0.2">
      <c r="DO46850" s="303" t="s">
        <v>232</v>
      </c>
    </row>
    <row r="46851" spans="119:119" x14ac:dyDescent="0.2">
      <c r="DO46851" s="303" t="s">
        <v>232</v>
      </c>
    </row>
    <row r="46852" spans="119:119" x14ac:dyDescent="0.2">
      <c r="DO46852" s="303" t="s">
        <v>232</v>
      </c>
    </row>
    <row r="46853" spans="119:119" x14ac:dyDescent="0.2">
      <c r="DO46853" s="303" t="s">
        <v>232</v>
      </c>
    </row>
    <row r="46854" spans="119:119" x14ac:dyDescent="0.2">
      <c r="DO46854" s="303" t="s">
        <v>232</v>
      </c>
    </row>
    <row r="46855" spans="119:119" x14ac:dyDescent="0.2">
      <c r="DO46855" s="303" t="s">
        <v>232</v>
      </c>
    </row>
    <row r="46856" spans="119:119" x14ac:dyDescent="0.2">
      <c r="DO46856" s="303" t="s">
        <v>232</v>
      </c>
    </row>
    <row r="46857" spans="119:119" x14ac:dyDescent="0.2">
      <c r="DO46857" s="303" t="s">
        <v>232</v>
      </c>
    </row>
    <row r="46858" spans="119:119" x14ac:dyDescent="0.2">
      <c r="DO46858" s="303" t="s">
        <v>232</v>
      </c>
    </row>
    <row r="46859" spans="119:119" x14ac:dyDescent="0.2">
      <c r="DO46859" s="303" t="s">
        <v>232</v>
      </c>
    </row>
    <row r="46860" spans="119:119" x14ac:dyDescent="0.2">
      <c r="DO46860" s="303" t="s">
        <v>232</v>
      </c>
    </row>
    <row r="46861" spans="119:119" x14ac:dyDescent="0.2">
      <c r="DO46861" s="303" t="s">
        <v>232</v>
      </c>
    </row>
    <row r="46862" spans="119:119" x14ac:dyDescent="0.2">
      <c r="DO46862" s="303" t="s">
        <v>232</v>
      </c>
    </row>
    <row r="46863" spans="119:119" x14ac:dyDescent="0.2">
      <c r="DO46863" s="303" t="s">
        <v>232</v>
      </c>
    </row>
    <row r="46864" spans="119:119" x14ac:dyDescent="0.2">
      <c r="DO46864" s="303" t="s">
        <v>232</v>
      </c>
    </row>
    <row r="46865" spans="119:119" x14ac:dyDescent="0.2">
      <c r="DO46865" s="303" t="s">
        <v>232</v>
      </c>
    </row>
    <row r="46866" spans="119:119" x14ac:dyDescent="0.2">
      <c r="DO46866" s="303" t="s">
        <v>232</v>
      </c>
    </row>
    <row r="46867" spans="119:119" x14ac:dyDescent="0.2">
      <c r="DO46867" s="303" t="s">
        <v>232</v>
      </c>
    </row>
    <row r="46868" spans="119:119" x14ac:dyDescent="0.2">
      <c r="DO46868" s="303" t="s">
        <v>232</v>
      </c>
    </row>
    <row r="46869" spans="119:119" x14ac:dyDescent="0.2">
      <c r="DO46869" s="303" t="s">
        <v>232</v>
      </c>
    </row>
    <row r="46870" spans="119:119" x14ac:dyDescent="0.2">
      <c r="DO46870" s="303" t="s">
        <v>232</v>
      </c>
    </row>
    <row r="46871" spans="119:119" x14ac:dyDescent="0.2">
      <c r="DO46871" s="303" t="s">
        <v>232</v>
      </c>
    </row>
    <row r="46872" spans="119:119" x14ac:dyDescent="0.2">
      <c r="DO46872" s="303" t="s">
        <v>232</v>
      </c>
    </row>
    <row r="46873" spans="119:119" x14ac:dyDescent="0.2">
      <c r="DO46873" s="303" t="s">
        <v>232</v>
      </c>
    </row>
    <row r="46874" spans="119:119" x14ac:dyDescent="0.2">
      <c r="DO46874" s="303" t="s">
        <v>232</v>
      </c>
    </row>
    <row r="46875" spans="119:119" x14ac:dyDescent="0.2">
      <c r="DO46875" s="303" t="s">
        <v>232</v>
      </c>
    </row>
    <row r="46876" spans="119:119" x14ac:dyDescent="0.2">
      <c r="DO46876" s="303" t="s">
        <v>232</v>
      </c>
    </row>
    <row r="46877" spans="119:119" x14ac:dyDescent="0.2">
      <c r="DO46877" s="303" t="s">
        <v>232</v>
      </c>
    </row>
    <row r="46878" spans="119:119" x14ac:dyDescent="0.2">
      <c r="DO46878" s="303" t="s">
        <v>232</v>
      </c>
    </row>
    <row r="46879" spans="119:119" x14ac:dyDescent="0.2">
      <c r="DO46879" s="303" t="s">
        <v>232</v>
      </c>
    </row>
    <row r="46880" spans="119:119" x14ac:dyDescent="0.2">
      <c r="DO46880" s="303" t="s">
        <v>232</v>
      </c>
    </row>
    <row r="46881" spans="119:119" x14ac:dyDescent="0.2">
      <c r="DO46881" s="303" t="s">
        <v>232</v>
      </c>
    </row>
    <row r="46882" spans="119:119" x14ac:dyDescent="0.2">
      <c r="DO46882" s="303" t="s">
        <v>232</v>
      </c>
    </row>
    <row r="46883" spans="119:119" x14ac:dyDescent="0.2">
      <c r="DO46883" s="303" t="s">
        <v>232</v>
      </c>
    </row>
    <row r="46884" spans="119:119" x14ac:dyDescent="0.2">
      <c r="DO46884" s="303" t="s">
        <v>232</v>
      </c>
    </row>
    <row r="46885" spans="119:119" x14ac:dyDescent="0.2">
      <c r="DO46885" s="303" t="s">
        <v>232</v>
      </c>
    </row>
    <row r="46886" spans="119:119" x14ac:dyDescent="0.2">
      <c r="DO46886" s="303" t="s">
        <v>232</v>
      </c>
    </row>
    <row r="46887" spans="119:119" x14ac:dyDescent="0.2">
      <c r="DO46887" s="303" t="s">
        <v>232</v>
      </c>
    </row>
    <row r="46888" spans="119:119" x14ac:dyDescent="0.2">
      <c r="DO46888" s="303" t="s">
        <v>232</v>
      </c>
    </row>
    <row r="46889" spans="119:119" x14ac:dyDescent="0.2">
      <c r="DO46889" s="303" t="s">
        <v>232</v>
      </c>
    </row>
    <row r="46890" spans="119:119" x14ac:dyDescent="0.2">
      <c r="DO46890" s="303" t="s">
        <v>232</v>
      </c>
    </row>
    <row r="46891" spans="119:119" x14ac:dyDescent="0.2">
      <c r="DO46891" s="303" t="s">
        <v>232</v>
      </c>
    </row>
    <row r="46892" spans="119:119" x14ac:dyDescent="0.2">
      <c r="DO46892" s="303" t="s">
        <v>232</v>
      </c>
    </row>
    <row r="46893" spans="119:119" x14ac:dyDescent="0.2">
      <c r="DO46893" s="303" t="s">
        <v>232</v>
      </c>
    </row>
    <row r="46894" spans="119:119" x14ac:dyDescent="0.2">
      <c r="DO46894" s="303" t="s">
        <v>232</v>
      </c>
    </row>
    <row r="46895" spans="119:119" x14ac:dyDescent="0.2">
      <c r="DO46895" s="303" t="s">
        <v>232</v>
      </c>
    </row>
    <row r="46896" spans="119:119" x14ac:dyDescent="0.2">
      <c r="DO46896" s="303" t="s">
        <v>232</v>
      </c>
    </row>
    <row r="46897" spans="119:119" x14ac:dyDescent="0.2">
      <c r="DO46897" s="303" t="s">
        <v>232</v>
      </c>
    </row>
    <row r="46898" spans="119:119" x14ac:dyDescent="0.2">
      <c r="DO46898" s="303" t="s">
        <v>232</v>
      </c>
    </row>
    <row r="46899" spans="119:119" x14ac:dyDescent="0.2">
      <c r="DO46899" s="303" t="s">
        <v>232</v>
      </c>
    </row>
    <row r="46900" spans="119:119" x14ac:dyDescent="0.2">
      <c r="DO46900" s="303" t="s">
        <v>232</v>
      </c>
    </row>
    <row r="46901" spans="119:119" x14ac:dyDescent="0.2">
      <c r="DO46901" s="303" t="s">
        <v>232</v>
      </c>
    </row>
    <row r="46902" spans="119:119" x14ac:dyDescent="0.2">
      <c r="DO46902" s="303" t="s">
        <v>232</v>
      </c>
    </row>
    <row r="46903" spans="119:119" x14ac:dyDescent="0.2">
      <c r="DO46903" s="303" t="s">
        <v>232</v>
      </c>
    </row>
    <row r="46904" spans="119:119" x14ac:dyDescent="0.2">
      <c r="DO46904" s="303" t="s">
        <v>232</v>
      </c>
    </row>
    <row r="46905" spans="119:119" x14ac:dyDescent="0.2">
      <c r="DO46905" s="303" t="s">
        <v>232</v>
      </c>
    </row>
    <row r="46906" spans="119:119" x14ac:dyDescent="0.2">
      <c r="DO46906" s="303" t="s">
        <v>232</v>
      </c>
    </row>
    <row r="46907" spans="119:119" x14ac:dyDescent="0.2">
      <c r="DO46907" s="303" t="s">
        <v>232</v>
      </c>
    </row>
    <row r="46908" spans="119:119" x14ac:dyDescent="0.2">
      <c r="DO46908" s="303" t="s">
        <v>232</v>
      </c>
    </row>
    <row r="46909" spans="119:119" x14ac:dyDescent="0.2">
      <c r="DO46909" s="303" t="s">
        <v>232</v>
      </c>
    </row>
    <row r="46910" spans="119:119" x14ac:dyDescent="0.2">
      <c r="DO46910" s="303" t="s">
        <v>232</v>
      </c>
    </row>
    <row r="46911" spans="119:119" x14ac:dyDescent="0.2">
      <c r="DO46911" s="303" t="s">
        <v>232</v>
      </c>
    </row>
    <row r="46912" spans="119:119" x14ac:dyDescent="0.2">
      <c r="DO46912" s="303" t="s">
        <v>232</v>
      </c>
    </row>
    <row r="46913" spans="119:119" x14ac:dyDescent="0.2">
      <c r="DO46913" s="303" t="s">
        <v>232</v>
      </c>
    </row>
    <row r="46914" spans="119:119" x14ac:dyDescent="0.2">
      <c r="DO46914" s="303" t="s">
        <v>232</v>
      </c>
    </row>
    <row r="46915" spans="119:119" x14ac:dyDescent="0.2">
      <c r="DO46915" s="303" t="s">
        <v>232</v>
      </c>
    </row>
    <row r="46916" spans="119:119" x14ac:dyDescent="0.2">
      <c r="DO46916" s="303" t="s">
        <v>232</v>
      </c>
    </row>
    <row r="46917" spans="119:119" x14ac:dyDescent="0.2">
      <c r="DO46917" s="303" t="s">
        <v>232</v>
      </c>
    </row>
    <row r="46918" spans="119:119" x14ac:dyDescent="0.2">
      <c r="DO46918" s="303" t="s">
        <v>232</v>
      </c>
    </row>
    <row r="46919" spans="119:119" x14ac:dyDescent="0.2">
      <c r="DO46919" s="303" t="s">
        <v>232</v>
      </c>
    </row>
    <row r="46920" spans="119:119" x14ac:dyDescent="0.2">
      <c r="DO46920" s="303" t="s">
        <v>232</v>
      </c>
    </row>
    <row r="46921" spans="119:119" x14ac:dyDescent="0.2">
      <c r="DO46921" s="303" t="s">
        <v>232</v>
      </c>
    </row>
    <row r="46922" spans="119:119" x14ac:dyDescent="0.2">
      <c r="DO46922" s="303" t="s">
        <v>232</v>
      </c>
    </row>
    <row r="46923" spans="119:119" x14ac:dyDescent="0.2">
      <c r="DO46923" s="303" t="s">
        <v>232</v>
      </c>
    </row>
    <row r="46924" spans="119:119" x14ac:dyDescent="0.2">
      <c r="DO46924" s="303" t="s">
        <v>232</v>
      </c>
    </row>
    <row r="46925" spans="119:119" x14ac:dyDescent="0.2">
      <c r="DO46925" s="303" t="s">
        <v>232</v>
      </c>
    </row>
    <row r="46926" spans="119:119" x14ac:dyDescent="0.2">
      <c r="DO46926" s="303" t="s">
        <v>232</v>
      </c>
    </row>
    <row r="46927" spans="119:119" x14ac:dyDescent="0.2">
      <c r="DO46927" s="303" t="s">
        <v>232</v>
      </c>
    </row>
    <row r="46928" spans="119:119" x14ac:dyDescent="0.2">
      <c r="DO46928" s="303" t="s">
        <v>232</v>
      </c>
    </row>
    <row r="46929" spans="119:119" x14ac:dyDescent="0.2">
      <c r="DO46929" s="303" t="s">
        <v>232</v>
      </c>
    </row>
    <row r="46930" spans="119:119" x14ac:dyDescent="0.2">
      <c r="DO46930" s="303" t="s">
        <v>232</v>
      </c>
    </row>
    <row r="46931" spans="119:119" x14ac:dyDescent="0.2">
      <c r="DO46931" s="303" t="s">
        <v>232</v>
      </c>
    </row>
    <row r="46932" spans="119:119" x14ac:dyDescent="0.2">
      <c r="DO46932" s="303" t="s">
        <v>232</v>
      </c>
    </row>
    <row r="46933" spans="119:119" x14ac:dyDescent="0.2">
      <c r="DO46933" s="303" t="s">
        <v>232</v>
      </c>
    </row>
    <row r="46934" spans="119:119" x14ac:dyDescent="0.2">
      <c r="DO46934" s="303" t="s">
        <v>232</v>
      </c>
    </row>
    <row r="46935" spans="119:119" x14ac:dyDescent="0.2">
      <c r="DO46935" s="303" t="s">
        <v>232</v>
      </c>
    </row>
    <row r="46936" spans="119:119" x14ac:dyDescent="0.2">
      <c r="DO46936" s="303" t="s">
        <v>232</v>
      </c>
    </row>
    <row r="46937" spans="119:119" x14ac:dyDescent="0.2">
      <c r="DO46937" s="303" t="s">
        <v>232</v>
      </c>
    </row>
    <row r="46938" spans="119:119" x14ac:dyDescent="0.2">
      <c r="DO46938" s="303" t="s">
        <v>232</v>
      </c>
    </row>
    <row r="46939" spans="119:119" x14ac:dyDescent="0.2">
      <c r="DO46939" s="303" t="s">
        <v>232</v>
      </c>
    </row>
    <row r="46940" spans="119:119" x14ac:dyDescent="0.2">
      <c r="DO46940" s="303" t="s">
        <v>232</v>
      </c>
    </row>
    <row r="46941" spans="119:119" x14ac:dyDescent="0.2">
      <c r="DO46941" s="303" t="s">
        <v>232</v>
      </c>
    </row>
    <row r="46942" spans="119:119" x14ac:dyDescent="0.2">
      <c r="DO46942" s="303" t="s">
        <v>232</v>
      </c>
    </row>
    <row r="46943" spans="119:119" x14ac:dyDescent="0.2">
      <c r="DO46943" s="303" t="s">
        <v>232</v>
      </c>
    </row>
    <row r="46944" spans="119:119" x14ac:dyDescent="0.2">
      <c r="DO46944" s="303" t="s">
        <v>232</v>
      </c>
    </row>
    <row r="46945" spans="119:119" x14ac:dyDescent="0.2">
      <c r="DO46945" s="303" t="s">
        <v>232</v>
      </c>
    </row>
    <row r="46946" spans="119:119" x14ac:dyDescent="0.2">
      <c r="DO46946" s="303" t="s">
        <v>232</v>
      </c>
    </row>
    <row r="46947" spans="119:119" x14ac:dyDescent="0.2">
      <c r="DO46947" s="303" t="s">
        <v>232</v>
      </c>
    </row>
    <row r="46948" spans="119:119" x14ac:dyDescent="0.2">
      <c r="DO46948" s="303" t="s">
        <v>232</v>
      </c>
    </row>
    <row r="46949" spans="119:119" x14ac:dyDescent="0.2">
      <c r="DO46949" s="303" t="s">
        <v>232</v>
      </c>
    </row>
    <row r="46950" spans="119:119" x14ac:dyDescent="0.2">
      <c r="DO46950" s="303" t="s">
        <v>232</v>
      </c>
    </row>
    <row r="46951" spans="119:119" x14ac:dyDescent="0.2">
      <c r="DO46951" s="303" t="s">
        <v>232</v>
      </c>
    </row>
    <row r="46952" spans="119:119" x14ac:dyDescent="0.2">
      <c r="DO46952" s="303" t="s">
        <v>232</v>
      </c>
    </row>
    <row r="46953" spans="119:119" x14ac:dyDescent="0.2">
      <c r="DO46953" s="303" t="s">
        <v>232</v>
      </c>
    </row>
    <row r="46954" spans="119:119" x14ac:dyDescent="0.2">
      <c r="DO46954" s="303" t="s">
        <v>232</v>
      </c>
    </row>
    <row r="46955" spans="119:119" x14ac:dyDescent="0.2">
      <c r="DO46955" s="303" t="s">
        <v>232</v>
      </c>
    </row>
    <row r="46956" spans="119:119" x14ac:dyDescent="0.2">
      <c r="DO46956" s="303" t="s">
        <v>232</v>
      </c>
    </row>
    <row r="46957" spans="119:119" x14ac:dyDescent="0.2">
      <c r="DO46957" s="303" t="s">
        <v>232</v>
      </c>
    </row>
    <row r="46958" spans="119:119" x14ac:dyDescent="0.2">
      <c r="DO46958" s="303" t="s">
        <v>232</v>
      </c>
    </row>
    <row r="46959" spans="119:119" x14ac:dyDescent="0.2">
      <c r="DO46959" s="303" t="s">
        <v>232</v>
      </c>
    </row>
    <row r="46960" spans="119:119" x14ac:dyDescent="0.2">
      <c r="DO46960" s="303" t="s">
        <v>232</v>
      </c>
    </row>
    <row r="46961" spans="119:119" x14ac:dyDescent="0.2">
      <c r="DO46961" s="303" t="s">
        <v>232</v>
      </c>
    </row>
    <row r="46962" spans="119:119" x14ac:dyDescent="0.2">
      <c r="DO46962" s="303" t="s">
        <v>232</v>
      </c>
    </row>
    <row r="46963" spans="119:119" x14ac:dyDescent="0.2">
      <c r="DO46963" s="303" t="s">
        <v>232</v>
      </c>
    </row>
    <row r="46964" spans="119:119" x14ac:dyDescent="0.2">
      <c r="DO46964" s="303" t="s">
        <v>232</v>
      </c>
    </row>
    <row r="46965" spans="119:119" x14ac:dyDescent="0.2">
      <c r="DO46965" s="303" t="s">
        <v>232</v>
      </c>
    </row>
    <row r="46966" spans="119:119" x14ac:dyDescent="0.2">
      <c r="DO46966" s="303" t="s">
        <v>232</v>
      </c>
    </row>
    <row r="46967" spans="119:119" x14ac:dyDescent="0.2">
      <c r="DO46967" s="303" t="s">
        <v>232</v>
      </c>
    </row>
    <row r="46968" spans="119:119" x14ac:dyDescent="0.2">
      <c r="DO46968" s="303" t="s">
        <v>232</v>
      </c>
    </row>
    <row r="46969" spans="119:119" x14ac:dyDescent="0.2">
      <c r="DO46969" s="303" t="s">
        <v>232</v>
      </c>
    </row>
    <row r="46970" spans="119:119" x14ac:dyDescent="0.2">
      <c r="DO46970" s="303" t="s">
        <v>232</v>
      </c>
    </row>
    <row r="46971" spans="119:119" x14ac:dyDescent="0.2">
      <c r="DO46971" s="303" t="s">
        <v>232</v>
      </c>
    </row>
    <row r="46972" spans="119:119" x14ac:dyDescent="0.2">
      <c r="DO46972" s="303" t="s">
        <v>232</v>
      </c>
    </row>
    <row r="46973" spans="119:119" x14ac:dyDescent="0.2">
      <c r="DO46973" s="303" t="s">
        <v>232</v>
      </c>
    </row>
    <row r="46974" spans="119:119" x14ac:dyDescent="0.2">
      <c r="DO46974" s="303" t="s">
        <v>232</v>
      </c>
    </row>
    <row r="46975" spans="119:119" x14ac:dyDescent="0.2">
      <c r="DO46975" s="303" t="s">
        <v>232</v>
      </c>
    </row>
    <row r="46976" spans="119:119" x14ac:dyDescent="0.2">
      <c r="DO46976" s="303" t="s">
        <v>232</v>
      </c>
    </row>
    <row r="46977" spans="119:119" x14ac:dyDescent="0.2">
      <c r="DO46977" s="303" t="s">
        <v>232</v>
      </c>
    </row>
    <row r="46978" spans="119:119" x14ac:dyDescent="0.2">
      <c r="DO46978" s="303" t="s">
        <v>232</v>
      </c>
    </row>
    <row r="46979" spans="119:119" x14ac:dyDescent="0.2">
      <c r="DO46979" s="303" t="s">
        <v>232</v>
      </c>
    </row>
    <row r="46980" spans="119:119" x14ac:dyDescent="0.2">
      <c r="DO46980" s="303" t="s">
        <v>232</v>
      </c>
    </row>
    <row r="46981" spans="119:119" x14ac:dyDescent="0.2">
      <c r="DO46981" s="303" t="s">
        <v>232</v>
      </c>
    </row>
    <row r="46982" spans="119:119" x14ac:dyDescent="0.2">
      <c r="DO46982" s="303" t="s">
        <v>232</v>
      </c>
    </row>
    <row r="46983" spans="119:119" x14ac:dyDescent="0.2">
      <c r="DO46983" s="303" t="s">
        <v>232</v>
      </c>
    </row>
    <row r="46984" spans="119:119" x14ac:dyDescent="0.2">
      <c r="DO46984" s="303" t="s">
        <v>232</v>
      </c>
    </row>
    <row r="46985" spans="119:119" x14ac:dyDescent="0.2">
      <c r="DO46985" s="303" t="s">
        <v>232</v>
      </c>
    </row>
    <row r="46986" spans="119:119" x14ac:dyDescent="0.2">
      <c r="DO46986" s="303" t="s">
        <v>232</v>
      </c>
    </row>
    <row r="46987" spans="119:119" x14ac:dyDescent="0.2">
      <c r="DO46987" s="303" t="s">
        <v>232</v>
      </c>
    </row>
    <row r="46988" spans="119:119" x14ac:dyDescent="0.2">
      <c r="DO46988" s="303" t="s">
        <v>232</v>
      </c>
    </row>
    <row r="46989" spans="119:119" x14ac:dyDescent="0.2">
      <c r="DO46989" s="303" t="s">
        <v>232</v>
      </c>
    </row>
    <row r="46990" spans="119:119" x14ac:dyDescent="0.2">
      <c r="DO46990" s="303" t="s">
        <v>232</v>
      </c>
    </row>
    <row r="46991" spans="119:119" x14ac:dyDescent="0.2">
      <c r="DO46991" s="303" t="s">
        <v>232</v>
      </c>
    </row>
    <row r="46992" spans="119:119" x14ac:dyDescent="0.2">
      <c r="DO46992" s="303" t="s">
        <v>232</v>
      </c>
    </row>
    <row r="46993" spans="119:119" x14ac:dyDescent="0.2">
      <c r="DO46993" s="303" t="s">
        <v>232</v>
      </c>
    </row>
    <row r="46994" spans="119:119" x14ac:dyDescent="0.2">
      <c r="DO46994" s="303" t="s">
        <v>232</v>
      </c>
    </row>
    <row r="46995" spans="119:119" x14ac:dyDescent="0.2">
      <c r="DO46995" s="303" t="s">
        <v>232</v>
      </c>
    </row>
    <row r="46996" spans="119:119" x14ac:dyDescent="0.2">
      <c r="DO46996" s="303" t="s">
        <v>232</v>
      </c>
    </row>
    <row r="46997" spans="119:119" x14ac:dyDescent="0.2">
      <c r="DO46997" s="303" t="s">
        <v>232</v>
      </c>
    </row>
    <row r="46998" spans="119:119" x14ac:dyDescent="0.2">
      <c r="DO46998" s="303" t="s">
        <v>232</v>
      </c>
    </row>
    <row r="46999" spans="119:119" x14ac:dyDescent="0.2">
      <c r="DO46999" s="303" t="s">
        <v>232</v>
      </c>
    </row>
    <row r="47000" spans="119:119" x14ac:dyDescent="0.2">
      <c r="DO47000" s="303" t="s">
        <v>232</v>
      </c>
    </row>
    <row r="47001" spans="119:119" x14ac:dyDescent="0.2">
      <c r="DO47001" s="303" t="s">
        <v>232</v>
      </c>
    </row>
    <row r="47002" spans="119:119" x14ac:dyDescent="0.2">
      <c r="DO47002" s="303" t="s">
        <v>232</v>
      </c>
    </row>
    <row r="47003" spans="119:119" x14ac:dyDescent="0.2">
      <c r="DO47003" s="303" t="s">
        <v>232</v>
      </c>
    </row>
    <row r="47004" spans="119:119" x14ac:dyDescent="0.2">
      <c r="DO47004" s="303" t="s">
        <v>232</v>
      </c>
    </row>
    <row r="47005" spans="119:119" x14ac:dyDescent="0.2">
      <c r="DO47005" s="303" t="s">
        <v>232</v>
      </c>
    </row>
    <row r="47006" spans="119:119" x14ac:dyDescent="0.2">
      <c r="DO47006" s="303" t="s">
        <v>232</v>
      </c>
    </row>
    <row r="47007" spans="119:119" x14ac:dyDescent="0.2">
      <c r="DO47007" s="303" t="s">
        <v>232</v>
      </c>
    </row>
    <row r="47008" spans="119:119" x14ac:dyDescent="0.2">
      <c r="DO47008" s="303" t="s">
        <v>232</v>
      </c>
    </row>
    <row r="47009" spans="119:119" x14ac:dyDescent="0.2">
      <c r="DO47009" s="303" t="s">
        <v>232</v>
      </c>
    </row>
    <row r="47010" spans="119:119" x14ac:dyDescent="0.2">
      <c r="DO47010" s="303" t="s">
        <v>232</v>
      </c>
    </row>
    <row r="47011" spans="119:119" x14ac:dyDescent="0.2">
      <c r="DO47011" s="303" t="s">
        <v>232</v>
      </c>
    </row>
    <row r="47012" spans="119:119" x14ac:dyDescent="0.2">
      <c r="DO47012" s="303" t="s">
        <v>232</v>
      </c>
    </row>
    <row r="47013" spans="119:119" x14ac:dyDescent="0.2">
      <c r="DO47013" s="303" t="s">
        <v>232</v>
      </c>
    </row>
    <row r="47014" spans="119:119" x14ac:dyDescent="0.2">
      <c r="DO47014" s="303" t="s">
        <v>232</v>
      </c>
    </row>
    <row r="47015" spans="119:119" x14ac:dyDescent="0.2">
      <c r="DO47015" s="303" t="s">
        <v>232</v>
      </c>
    </row>
    <row r="47016" spans="119:119" x14ac:dyDescent="0.2">
      <c r="DO47016" s="303" t="s">
        <v>232</v>
      </c>
    </row>
    <row r="47017" spans="119:119" x14ac:dyDescent="0.2">
      <c r="DO47017" s="303" t="s">
        <v>232</v>
      </c>
    </row>
    <row r="47018" spans="119:119" x14ac:dyDescent="0.2">
      <c r="DO47018" s="303" t="s">
        <v>232</v>
      </c>
    </row>
    <row r="47019" spans="119:119" x14ac:dyDescent="0.2">
      <c r="DO47019" s="303" t="s">
        <v>232</v>
      </c>
    </row>
    <row r="47020" spans="119:119" x14ac:dyDescent="0.2">
      <c r="DO47020" s="303" t="s">
        <v>232</v>
      </c>
    </row>
    <row r="47021" spans="119:119" x14ac:dyDescent="0.2">
      <c r="DO47021" s="303" t="s">
        <v>232</v>
      </c>
    </row>
    <row r="47022" spans="119:119" x14ac:dyDescent="0.2">
      <c r="DO47022" s="303" t="s">
        <v>232</v>
      </c>
    </row>
    <row r="47023" spans="119:119" x14ac:dyDescent="0.2">
      <c r="DO47023" s="303" t="s">
        <v>232</v>
      </c>
    </row>
    <row r="47024" spans="119:119" x14ac:dyDescent="0.2">
      <c r="DO47024" s="303" t="s">
        <v>232</v>
      </c>
    </row>
    <row r="47025" spans="119:119" x14ac:dyDescent="0.2">
      <c r="DO47025" s="303" t="s">
        <v>232</v>
      </c>
    </row>
    <row r="47026" spans="119:119" x14ac:dyDescent="0.2">
      <c r="DO47026" s="303" t="s">
        <v>232</v>
      </c>
    </row>
    <row r="47027" spans="119:119" x14ac:dyDescent="0.2">
      <c r="DO47027" s="303" t="s">
        <v>232</v>
      </c>
    </row>
    <row r="47028" spans="119:119" x14ac:dyDescent="0.2">
      <c r="DO47028" s="303" t="s">
        <v>232</v>
      </c>
    </row>
    <row r="47029" spans="119:119" x14ac:dyDescent="0.2">
      <c r="DO47029" s="303" t="s">
        <v>232</v>
      </c>
    </row>
    <row r="47030" spans="119:119" x14ac:dyDescent="0.2">
      <c r="DO47030" s="303" t="s">
        <v>232</v>
      </c>
    </row>
    <row r="47031" spans="119:119" x14ac:dyDescent="0.2">
      <c r="DO47031" s="303" t="s">
        <v>232</v>
      </c>
    </row>
    <row r="47032" spans="119:119" x14ac:dyDescent="0.2">
      <c r="DO47032" s="303" t="s">
        <v>232</v>
      </c>
    </row>
    <row r="47033" spans="119:119" x14ac:dyDescent="0.2">
      <c r="DO47033" s="303" t="s">
        <v>232</v>
      </c>
    </row>
    <row r="47034" spans="119:119" x14ac:dyDescent="0.2">
      <c r="DO47034" s="303" t="s">
        <v>232</v>
      </c>
    </row>
    <row r="47035" spans="119:119" x14ac:dyDescent="0.2">
      <c r="DO47035" s="303" t="s">
        <v>232</v>
      </c>
    </row>
    <row r="47036" spans="119:119" x14ac:dyDescent="0.2">
      <c r="DO47036" s="303" t="s">
        <v>232</v>
      </c>
    </row>
    <row r="47037" spans="119:119" x14ac:dyDescent="0.2">
      <c r="DO47037" s="303" t="s">
        <v>232</v>
      </c>
    </row>
    <row r="47038" spans="119:119" x14ac:dyDescent="0.2">
      <c r="DO47038" s="303" t="s">
        <v>232</v>
      </c>
    </row>
    <row r="47039" spans="119:119" x14ac:dyDescent="0.2">
      <c r="DO47039" s="303" t="s">
        <v>232</v>
      </c>
    </row>
    <row r="47040" spans="119:119" x14ac:dyDescent="0.2">
      <c r="DO47040" s="303" t="s">
        <v>232</v>
      </c>
    </row>
    <row r="47041" spans="119:119" x14ac:dyDescent="0.2">
      <c r="DO47041" s="303" t="s">
        <v>232</v>
      </c>
    </row>
    <row r="47042" spans="119:119" x14ac:dyDescent="0.2">
      <c r="DO47042" s="303" t="s">
        <v>232</v>
      </c>
    </row>
    <row r="47043" spans="119:119" x14ac:dyDescent="0.2">
      <c r="DO47043" s="303" t="s">
        <v>232</v>
      </c>
    </row>
    <row r="47044" spans="119:119" x14ac:dyDescent="0.2">
      <c r="DO47044" s="303" t="s">
        <v>232</v>
      </c>
    </row>
    <row r="47045" spans="119:119" x14ac:dyDescent="0.2">
      <c r="DO47045" s="303" t="s">
        <v>232</v>
      </c>
    </row>
    <row r="47046" spans="119:119" x14ac:dyDescent="0.2">
      <c r="DO47046" s="303" t="s">
        <v>232</v>
      </c>
    </row>
    <row r="47047" spans="119:119" x14ac:dyDescent="0.2">
      <c r="DO47047" s="303" t="s">
        <v>232</v>
      </c>
    </row>
    <row r="47048" spans="119:119" x14ac:dyDescent="0.2">
      <c r="DO47048" s="303" t="s">
        <v>232</v>
      </c>
    </row>
    <row r="47049" spans="119:119" x14ac:dyDescent="0.2">
      <c r="DO47049" s="303" t="s">
        <v>232</v>
      </c>
    </row>
    <row r="47050" spans="119:119" x14ac:dyDescent="0.2">
      <c r="DO47050" s="303" t="s">
        <v>232</v>
      </c>
    </row>
    <row r="47051" spans="119:119" x14ac:dyDescent="0.2">
      <c r="DO47051" s="303" t="s">
        <v>232</v>
      </c>
    </row>
    <row r="47052" spans="119:119" x14ac:dyDescent="0.2">
      <c r="DO47052" s="303" t="s">
        <v>232</v>
      </c>
    </row>
    <row r="47053" spans="119:119" x14ac:dyDescent="0.2">
      <c r="DO47053" s="303" t="s">
        <v>232</v>
      </c>
    </row>
    <row r="47054" spans="119:119" x14ac:dyDescent="0.2">
      <c r="DO47054" s="303" t="s">
        <v>232</v>
      </c>
    </row>
    <row r="47055" spans="119:119" x14ac:dyDescent="0.2">
      <c r="DO47055" s="303" t="s">
        <v>232</v>
      </c>
    </row>
    <row r="47056" spans="119:119" x14ac:dyDescent="0.2">
      <c r="DO47056" s="303" t="s">
        <v>232</v>
      </c>
    </row>
    <row r="47057" spans="119:119" x14ac:dyDescent="0.2">
      <c r="DO47057" s="303" t="s">
        <v>232</v>
      </c>
    </row>
    <row r="47058" spans="119:119" x14ac:dyDescent="0.2">
      <c r="DO47058" s="303" t="s">
        <v>232</v>
      </c>
    </row>
    <row r="47059" spans="119:119" x14ac:dyDescent="0.2">
      <c r="DO47059" s="303" t="s">
        <v>232</v>
      </c>
    </row>
    <row r="47060" spans="119:119" x14ac:dyDescent="0.2">
      <c r="DO47060" s="303" t="s">
        <v>232</v>
      </c>
    </row>
    <row r="47061" spans="119:119" x14ac:dyDescent="0.2">
      <c r="DO47061" s="303" t="s">
        <v>232</v>
      </c>
    </row>
    <row r="47062" spans="119:119" x14ac:dyDescent="0.2">
      <c r="DO47062" s="303" t="s">
        <v>232</v>
      </c>
    </row>
    <row r="47063" spans="119:119" x14ac:dyDescent="0.2">
      <c r="DO47063" s="303" t="s">
        <v>232</v>
      </c>
    </row>
    <row r="47064" spans="119:119" x14ac:dyDescent="0.2">
      <c r="DO47064" s="303" t="s">
        <v>232</v>
      </c>
    </row>
    <row r="47065" spans="119:119" x14ac:dyDescent="0.2">
      <c r="DO47065" s="303" t="s">
        <v>232</v>
      </c>
    </row>
    <row r="47066" spans="119:119" x14ac:dyDescent="0.2">
      <c r="DO47066" s="303" t="s">
        <v>232</v>
      </c>
    </row>
    <row r="47067" spans="119:119" x14ac:dyDescent="0.2">
      <c r="DO47067" s="303" t="s">
        <v>232</v>
      </c>
    </row>
    <row r="47068" spans="119:119" x14ac:dyDescent="0.2">
      <c r="DO47068" s="303" t="s">
        <v>232</v>
      </c>
    </row>
    <row r="47069" spans="119:119" x14ac:dyDescent="0.2">
      <c r="DO47069" s="303" t="s">
        <v>232</v>
      </c>
    </row>
    <row r="47070" spans="119:119" x14ac:dyDescent="0.2">
      <c r="DO47070" s="303" t="s">
        <v>232</v>
      </c>
    </row>
    <row r="47071" spans="119:119" x14ac:dyDescent="0.2">
      <c r="DO47071" s="303" t="s">
        <v>232</v>
      </c>
    </row>
    <row r="47072" spans="119:119" x14ac:dyDescent="0.2">
      <c r="DO47072" s="303" t="s">
        <v>232</v>
      </c>
    </row>
    <row r="47073" spans="119:119" x14ac:dyDescent="0.2">
      <c r="DO47073" s="303" t="s">
        <v>232</v>
      </c>
    </row>
    <row r="47074" spans="119:119" x14ac:dyDescent="0.2">
      <c r="DO47074" s="303" t="s">
        <v>232</v>
      </c>
    </row>
    <row r="47075" spans="119:119" x14ac:dyDescent="0.2">
      <c r="DO47075" s="303" t="s">
        <v>232</v>
      </c>
    </row>
    <row r="47076" spans="119:119" x14ac:dyDescent="0.2">
      <c r="DO47076" s="303" t="s">
        <v>232</v>
      </c>
    </row>
    <row r="47077" spans="119:119" x14ac:dyDescent="0.2">
      <c r="DO47077" s="303" t="s">
        <v>232</v>
      </c>
    </row>
    <row r="47078" spans="119:119" x14ac:dyDescent="0.2">
      <c r="DO47078" s="303" t="s">
        <v>232</v>
      </c>
    </row>
    <row r="47079" spans="119:119" x14ac:dyDescent="0.2">
      <c r="DO47079" s="303" t="s">
        <v>232</v>
      </c>
    </row>
    <row r="47080" spans="119:119" x14ac:dyDescent="0.2">
      <c r="DO47080" s="303" t="s">
        <v>232</v>
      </c>
    </row>
    <row r="47081" spans="119:119" x14ac:dyDescent="0.2">
      <c r="DO47081" s="303" t="s">
        <v>232</v>
      </c>
    </row>
    <row r="47082" spans="119:119" x14ac:dyDescent="0.2">
      <c r="DO47082" s="303" t="s">
        <v>232</v>
      </c>
    </row>
    <row r="47083" spans="119:119" x14ac:dyDescent="0.2">
      <c r="DO47083" s="303" t="s">
        <v>232</v>
      </c>
    </row>
    <row r="47084" spans="119:119" x14ac:dyDescent="0.2">
      <c r="DO47084" s="303" t="s">
        <v>232</v>
      </c>
    </row>
    <row r="47085" spans="119:119" x14ac:dyDescent="0.2">
      <c r="DO47085" s="303" t="s">
        <v>232</v>
      </c>
    </row>
    <row r="47086" spans="119:119" x14ac:dyDescent="0.2">
      <c r="DO47086" s="303" t="s">
        <v>232</v>
      </c>
    </row>
    <row r="47087" spans="119:119" x14ac:dyDescent="0.2">
      <c r="DO47087" s="303" t="s">
        <v>232</v>
      </c>
    </row>
    <row r="47088" spans="119:119" x14ac:dyDescent="0.2">
      <c r="DO47088" s="303" t="s">
        <v>232</v>
      </c>
    </row>
    <row r="47089" spans="119:119" x14ac:dyDescent="0.2">
      <c r="DO47089" s="303" t="s">
        <v>232</v>
      </c>
    </row>
    <row r="47090" spans="119:119" x14ac:dyDescent="0.2">
      <c r="DO47090" s="303" t="s">
        <v>232</v>
      </c>
    </row>
    <row r="47091" spans="119:119" x14ac:dyDescent="0.2">
      <c r="DO47091" s="303" t="s">
        <v>232</v>
      </c>
    </row>
    <row r="47092" spans="119:119" x14ac:dyDescent="0.2">
      <c r="DO47092" s="303" t="s">
        <v>232</v>
      </c>
    </row>
    <row r="47093" spans="119:119" x14ac:dyDescent="0.2">
      <c r="DO47093" s="303" t="s">
        <v>232</v>
      </c>
    </row>
    <row r="47094" spans="119:119" x14ac:dyDescent="0.2">
      <c r="DO47094" s="303" t="s">
        <v>232</v>
      </c>
    </row>
    <row r="47095" spans="119:119" x14ac:dyDescent="0.2">
      <c r="DO47095" s="303" t="s">
        <v>232</v>
      </c>
    </row>
    <row r="47096" spans="119:119" x14ac:dyDescent="0.2">
      <c r="DO47096" s="303" t="s">
        <v>232</v>
      </c>
    </row>
    <row r="47097" spans="119:119" x14ac:dyDescent="0.2">
      <c r="DO47097" s="303" t="s">
        <v>232</v>
      </c>
    </row>
    <row r="47098" spans="119:119" x14ac:dyDescent="0.2">
      <c r="DO47098" s="303" t="s">
        <v>232</v>
      </c>
    </row>
    <row r="47099" spans="119:119" x14ac:dyDescent="0.2">
      <c r="DO47099" s="303" t="s">
        <v>232</v>
      </c>
    </row>
    <row r="47100" spans="119:119" x14ac:dyDescent="0.2">
      <c r="DO47100" s="303" t="s">
        <v>232</v>
      </c>
    </row>
    <row r="47101" spans="119:119" x14ac:dyDescent="0.2">
      <c r="DO47101" s="303" t="s">
        <v>232</v>
      </c>
    </row>
    <row r="47102" spans="119:119" x14ac:dyDescent="0.2">
      <c r="DO47102" s="303" t="s">
        <v>232</v>
      </c>
    </row>
    <row r="47103" spans="119:119" x14ac:dyDescent="0.2">
      <c r="DO47103" s="303" t="s">
        <v>232</v>
      </c>
    </row>
    <row r="47104" spans="119:119" x14ac:dyDescent="0.2">
      <c r="DO47104" s="303" t="s">
        <v>232</v>
      </c>
    </row>
    <row r="47105" spans="119:119" x14ac:dyDescent="0.2">
      <c r="DO47105" s="303" t="s">
        <v>232</v>
      </c>
    </row>
    <row r="47106" spans="119:119" x14ac:dyDescent="0.2">
      <c r="DO47106" s="303" t="s">
        <v>232</v>
      </c>
    </row>
    <row r="47107" spans="119:119" x14ac:dyDescent="0.2">
      <c r="DO47107" s="303" t="s">
        <v>232</v>
      </c>
    </row>
    <row r="47108" spans="119:119" x14ac:dyDescent="0.2">
      <c r="DO47108" s="303" t="s">
        <v>232</v>
      </c>
    </row>
    <row r="47109" spans="119:119" x14ac:dyDescent="0.2">
      <c r="DO47109" s="303" t="s">
        <v>232</v>
      </c>
    </row>
    <row r="47110" spans="119:119" x14ac:dyDescent="0.2">
      <c r="DO47110" s="303" t="s">
        <v>232</v>
      </c>
    </row>
    <row r="47111" spans="119:119" x14ac:dyDescent="0.2">
      <c r="DO47111" s="303" t="s">
        <v>232</v>
      </c>
    </row>
    <row r="47112" spans="119:119" x14ac:dyDescent="0.2">
      <c r="DO47112" s="303" t="s">
        <v>232</v>
      </c>
    </row>
    <row r="47113" spans="119:119" x14ac:dyDescent="0.2">
      <c r="DO47113" s="303" t="s">
        <v>232</v>
      </c>
    </row>
    <row r="47114" spans="119:119" x14ac:dyDescent="0.2">
      <c r="DO47114" s="303" t="s">
        <v>232</v>
      </c>
    </row>
    <row r="47115" spans="119:119" x14ac:dyDescent="0.2">
      <c r="DO47115" s="303" t="s">
        <v>232</v>
      </c>
    </row>
    <row r="47116" spans="119:119" x14ac:dyDescent="0.2">
      <c r="DO47116" s="303" t="s">
        <v>232</v>
      </c>
    </row>
    <row r="47117" spans="119:119" x14ac:dyDescent="0.2">
      <c r="DO47117" s="303" t="s">
        <v>232</v>
      </c>
    </row>
    <row r="47118" spans="119:119" x14ac:dyDescent="0.2">
      <c r="DO47118" s="303" t="s">
        <v>232</v>
      </c>
    </row>
    <row r="47119" spans="119:119" x14ac:dyDescent="0.2">
      <c r="DO47119" s="303" t="s">
        <v>232</v>
      </c>
    </row>
    <row r="47120" spans="119:119" x14ac:dyDescent="0.2">
      <c r="DO47120" s="303" t="s">
        <v>232</v>
      </c>
    </row>
    <row r="47121" spans="119:119" x14ac:dyDescent="0.2">
      <c r="DO47121" s="303" t="s">
        <v>232</v>
      </c>
    </row>
    <row r="47122" spans="119:119" x14ac:dyDescent="0.2">
      <c r="DO47122" s="303" t="s">
        <v>232</v>
      </c>
    </row>
    <row r="47123" spans="119:119" x14ac:dyDescent="0.2">
      <c r="DO47123" s="303" t="s">
        <v>232</v>
      </c>
    </row>
    <row r="47124" spans="119:119" x14ac:dyDescent="0.2">
      <c r="DO47124" s="303" t="s">
        <v>232</v>
      </c>
    </row>
    <row r="47125" spans="119:119" x14ac:dyDescent="0.2">
      <c r="DO47125" s="303" t="s">
        <v>232</v>
      </c>
    </row>
    <row r="47126" spans="119:119" x14ac:dyDescent="0.2">
      <c r="DO47126" s="303" t="s">
        <v>232</v>
      </c>
    </row>
    <row r="47127" spans="119:119" x14ac:dyDescent="0.2">
      <c r="DO47127" s="303" t="s">
        <v>232</v>
      </c>
    </row>
    <row r="47128" spans="119:119" x14ac:dyDescent="0.2">
      <c r="DO47128" s="303" t="s">
        <v>232</v>
      </c>
    </row>
    <row r="47129" spans="119:119" x14ac:dyDescent="0.2">
      <c r="DO47129" s="303" t="s">
        <v>232</v>
      </c>
    </row>
    <row r="47130" spans="119:119" x14ac:dyDescent="0.2">
      <c r="DO47130" s="303" t="s">
        <v>232</v>
      </c>
    </row>
    <row r="47131" spans="119:119" x14ac:dyDescent="0.2">
      <c r="DO47131" s="303" t="s">
        <v>232</v>
      </c>
    </row>
    <row r="47132" spans="119:119" x14ac:dyDescent="0.2">
      <c r="DO47132" s="303" t="s">
        <v>232</v>
      </c>
    </row>
    <row r="47133" spans="119:119" x14ac:dyDescent="0.2">
      <c r="DO47133" s="303" t="s">
        <v>232</v>
      </c>
    </row>
    <row r="47134" spans="119:119" x14ac:dyDescent="0.2">
      <c r="DO47134" s="303" t="s">
        <v>232</v>
      </c>
    </row>
    <row r="47135" spans="119:119" x14ac:dyDescent="0.2">
      <c r="DO47135" s="303" t="s">
        <v>232</v>
      </c>
    </row>
    <row r="47136" spans="119:119" x14ac:dyDescent="0.2">
      <c r="DO47136" s="303" t="s">
        <v>232</v>
      </c>
    </row>
    <row r="47137" spans="119:119" x14ac:dyDescent="0.2">
      <c r="DO47137" s="303" t="s">
        <v>232</v>
      </c>
    </row>
    <row r="47138" spans="119:119" x14ac:dyDescent="0.2">
      <c r="DO47138" s="303" t="s">
        <v>232</v>
      </c>
    </row>
    <row r="47139" spans="119:119" x14ac:dyDescent="0.2">
      <c r="DO47139" s="303" t="s">
        <v>232</v>
      </c>
    </row>
    <row r="47140" spans="119:119" x14ac:dyDescent="0.2">
      <c r="DO47140" s="303" t="s">
        <v>232</v>
      </c>
    </row>
    <row r="47141" spans="119:119" x14ac:dyDescent="0.2">
      <c r="DO47141" s="303" t="s">
        <v>232</v>
      </c>
    </row>
    <row r="47142" spans="119:119" x14ac:dyDescent="0.2">
      <c r="DO47142" s="303" t="s">
        <v>232</v>
      </c>
    </row>
    <row r="47143" spans="119:119" x14ac:dyDescent="0.2">
      <c r="DO47143" s="303" t="s">
        <v>232</v>
      </c>
    </row>
    <row r="47144" spans="119:119" x14ac:dyDescent="0.2">
      <c r="DO47144" s="303" t="s">
        <v>232</v>
      </c>
    </row>
    <row r="47145" spans="119:119" x14ac:dyDescent="0.2">
      <c r="DO47145" s="303" t="s">
        <v>232</v>
      </c>
    </row>
    <row r="47146" spans="119:119" x14ac:dyDescent="0.2">
      <c r="DO47146" s="303" t="s">
        <v>232</v>
      </c>
    </row>
    <row r="47147" spans="119:119" x14ac:dyDescent="0.2">
      <c r="DO47147" s="303" t="s">
        <v>232</v>
      </c>
    </row>
    <row r="47148" spans="119:119" x14ac:dyDescent="0.2">
      <c r="DO47148" s="303" t="s">
        <v>232</v>
      </c>
    </row>
    <row r="47149" spans="119:119" x14ac:dyDescent="0.2">
      <c r="DO47149" s="303" t="s">
        <v>232</v>
      </c>
    </row>
    <row r="47150" spans="119:119" x14ac:dyDescent="0.2">
      <c r="DO47150" s="303" t="s">
        <v>232</v>
      </c>
    </row>
    <row r="47151" spans="119:119" x14ac:dyDescent="0.2">
      <c r="DO47151" s="303" t="s">
        <v>232</v>
      </c>
    </row>
    <row r="47152" spans="119:119" x14ac:dyDescent="0.2">
      <c r="DO47152" s="303" t="s">
        <v>232</v>
      </c>
    </row>
    <row r="47153" spans="119:119" x14ac:dyDescent="0.2">
      <c r="DO47153" s="303" t="s">
        <v>232</v>
      </c>
    </row>
    <row r="47154" spans="119:119" x14ac:dyDescent="0.2">
      <c r="DO47154" s="303" t="s">
        <v>232</v>
      </c>
    </row>
    <row r="47155" spans="119:119" x14ac:dyDescent="0.2">
      <c r="DO47155" s="303" t="s">
        <v>232</v>
      </c>
    </row>
    <row r="47156" spans="119:119" x14ac:dyDescent="0.2">
      <c r="DO47156" s="303" t="s">
        <v>232</v>
      </c>
    </row>
    <row r="47157" spans="119:119" x14ac:dyDescent="0.2">
      <c r="DO47157" s="303" t="s">
        <v>232</v>
      </c>
    </row>
    <row r="47158" spans="119:119" x14ac:dyDescent="0.2">
      <c r="DO47158" s="303" t="s">
        <v>232</v>
      </c>
    </row>
    <row r="47159" spans="119:119" x14ac:dyDescent="0.2">
      <c r="DO47159" s="303" t="s">
        <v>232</v>
      </c>
    </row>
    <row r="47160" spans="119:119" x14ac:dyDescent="0.2">
      <c r="DO47160" s="303" t="s">
        <v>232</v>
      </c>
    </row>
    <row r="47161" spans="119:119" x14ac:dyDescent="0.2">
      <c r="DO47161" s="303" t="s">
        <v>232</v>
      </c>
    </row>
    <row r="47162" spans="119:119" x14ac:dyDescent="0.2">
      <c r="DO47162" s="303" t="s">
        <v>232</v>
      </c>
    </row>
    <row r="47163" spans="119:119" x14ac:dyDescent="0.2">
      <c r="DO47163" s="303" t="s">
        <v>232</v>
      </c>
    </row>
    <row r="47164" spans="119:119" x14ac:dyDescent="0.2">
      <c r="DO47164" s="303" t="s">
        <v>232</v>
      </c>
    </row>
    <row r="47165" spans="119:119" x14ac:dyDescent="0.2">
      <c r="DO47165" s="303" t="s">
        <v>232</v>
      </c>
    </row>
    <row r="47166" spans="119:119" x14ac:dyDescent="0.2">
      <c r="DO47166" s="303" t="s">
        <v>232</v>
      </c>
    </row>
    <row r="47167" spans="119:119" x14ac:dyDescent="0.2">
      <c r="DO47167" s="303" t="s">
        <v>232</v>
      </c>
    </row>
    <row r="47168" spans="119:119" x14ac:dyDescent="0.2">
      <c r="DO47168" s="303" t="s">
        <v>232</v>
      </c>
    </row>
    <row r="47169" spans="119:119" x14ac:dyDescent="0.2">
      <c r="DO47169" s="303" t="s">
        <v>232</v>
      </c>
    </row>
    <row r="47170" spans="119:119" x14ac:dyDescent="0.2">
      <c r="DO47170" s="303" t="s">
        <v>232</v>
      </c>
    </row>
    <row r="47171" spans="119:119" x14ac:dyDescent="0.2">
      <c r="DO47171" s="303" t="s">
        <v>232</v>
      </c>
    </row>
    <row r="47172" spans="119:119" x14ac:dyDescent="0.2">
      <c r="DO47172" s="303" t="s">
        <v>232</v>
      </c>
    </row>
    <row r="47173" spans="119:119" x14ac:dyDescent="0.2">
      <c r="DO47173" s="303" t="s">
        <v>232</v>
      </c>
    </row>
    <row r="47174" spans="119:119" x14ac:dyDescent="0.2">
      <c r="DO47174" s="303" t="s">
        <v>232</v>
      </c>
    </row>
    <row r="47175" spans="119:119" x14ac:dyDescent="0.2">
      <c r="DO47175" s="303" t="s">
        <v>232</v>
      </c>
    </row>
    <row r="47176" spans="119:119" x14ac:dyDescent="0.2">
      <c r="DO47176" s="303" t="s">
        <v>232</v>
      </c>
    </row>
    <row r="47177" spans="119:119" x14ac:dyDescent="0.2">
      <c r="DO47177" s="303" t="s">
        <v>232</v>
      </c>
    </row>
    <row r="47178" spans="119:119" x14ac:dyDescent="0.2">
      <c r="DO47178" s="303" t="s">
        <v>232</v>
      </c>
    </row>
    <row r="47179" spans="119:119" x14ac:dyDescent="0.2">
      <c r="DO47179" s="303" t="s">
        <v>232</v>
      </c>
    </row>
    <row r="47180" spans="119:119" x14ac:dyDescent="0.2">
      <c r="DO47180" s="303" t="s">
        <v>232</v>
      </c>
    </row>
    <row r="47181" spans="119:119" x14ac:dyDescent="0.2">
      <c r="DO47181" s="303" t="s">
        <v>232</v>
      </c>
    </row>
    <row r="47182" spans="119:119" x14ac:dyDescent="0.2">
      <c r="DO47182" s="303" t="s">
        <v>232</v>
      </c>
    </row>
    <row r="47183" spans="119:119" x14ac:dyDescent="0.2">
      <c r="DO47183" s="303" t="s">
        <v>232</v>
      </c>
    </row>
    <row r="47184" spans="119:119" x14ac:dyDescent="0.2">
      <c r="DO47184" s="303" t="s">
        <v>232</v>
      </c>
    </row>
    <row r="47185" spans="119:119" x14ac:dyDescent="0.2">
      <c r="DO47185" s="303" t="s">
        <v>232</v>
      </c>
    </row>
    <row r="47186" spans="119:119" x14ac:dyDescent="0.2">
      <c r="DO47186" s="303" t="s">
        <v>232</v>
      </c>
    </row>
    <row r="47187" spans="119:119" x14ac:dyDescent="0.2">
      <c r="DO47187" s="303" t="s">
        <v>232</v>
      </c>
    </row>
    <row r="47188" spans="119:119" x14ac:dyDescent="0.2">
      <c r="DO47188" s="303" t="s">
        <v>232</v>
      </c>
    </row>
    <row r="47189" spans="119:119" x14ac:dyDescent="0.2">
      <c r="DO47189" s="303" t="s">
        <v>232</v>
      </c>
    </row>
    <row r="47190" spans="119:119" x14ac:dyDescent="0.2">
      <c r="DO47190" s="303" t="s">
        <v>232</v>
      </c>
    </row>
    <row r="47191" spans="119:119" x14ac:dyDescent="0.2">
      <c r="DO47191" s="303" t="s">
        <v>232</v>
      </c>
    </row>
    <row r="47192" spans="119:119" x14ac:dyDescent="0.2">
      <c r="DO47192" s="303" t="s">
        <v>232</v>
      </c>
    </row>
    <row r="47193" spans="119:119" x14ac:dyDescent="0.2">
      <c r="DO47193" s="303" t="s">
        <v>232</v>
      </c>
    </row>
    <row r="47194" spans="119:119" x14ac:dyDescent="0.2">
      <c r="DO47194" s="303" t="s">
        <v>232</v>
      </c>
    </row>
    <row r="47195" spans="119:119" x14ac:dyDescent="0.2">
      <c r="DO47195" s="303" t="s">
        <v>232</v>
      </c>
    </row>
    <row r="47196" spans="119:119" x14ac:dyDescent="0.2">
      <c r="DO47196" s="303" t="s">
        <v>232</v>
      </c>
    </row>
    <row r="47197" spans="119:119" x14ac:dyDescent="0.2">
      <c r="DO47197" s="303" t="s">
        <v>232</v>
      </c>
    </row>
    <row r="47198" spans="119:119" x14ac:dyDescent="0.2">
      <c r="DO47198" s="303" t="s">
        <v>232</v>
      </c>
    </row>
    <row r="47199" spans="119:119" x14ac:dyDescent="0.2">
      <c r="DO47199" s="303" t="s">
        <v>232</v>
      </c>
    </row>
    <row r="47200" spans="119:119" x14ac:dyDescent="0.2">
      <c r="DO47200" s="303" t="s">
        <v>232</v>
      </c>
    </row>
    <row r="47201" spans="119:119" x14ac:dyDescent="0.2">
      <c r="DO47201" s="303" t="s">
        <v>232</v>
      </c>
    </row>
    <row r="47202" spans="119:119" x14ac:dyDescent="0.2">
      <c r="DO47202" s="303" t="s">
        <v>232</v>
      </c>
    </row>
    <row r="47203" spans="119:119" x14ac:dyDescent="0.2">
      <c r="DO47203" s="303" t="s">
        <v>232</v>
      </c>
    </row>
    <row r="47204" spans="119:119" x14ac:dyDescent="0.2">
      <c r="DO47204" s="303" t="s">
        <v>232</v>
      </c>
    </row>
    <row r="47205" spans="119:119" x14ac:dyDescent="0.2">
      <c r="DO47205" s="303" t="s">
        <v>232</v>
      </c>
    </row>
    <row r="47206" spans="119:119" x14ac:dyDescent="0.2">
      <c r="DO47206" s="303" t="s">
        <v>232</v>
      </c>
    </row>
    <row r="47207" spans="119:119" x14ac:dyDescent="0.2">
      <c r="DO47207" s="303" t="s">
        <v>232</v>
      </c>
    </row>
    <row r="47208" spans="119:119" x14ac:dyDescent="0.2">
      <c r="DO47208" s="303" t="s">
        <v>232</v>
      </c>
    </row>
    <row r="47209" spans="119:119" x14ac:dyDescent="0.2">
      <c r="DO47209" s="303" t="s">
        <v>232</v>
      </c>
    </row>
    <row r="47210" spans="119:119" x14ac:dyDescent="0.2">
      <c r="DO47210" s="303" t="s">
        <v>232</v>
      </c>
    </row>
    <row r="47211" spans="119:119" x14ac:dyDescent="0.2">
      <c r="DO47211" s="303" t="s">
        <v>232</v>
      </c>
    </row>
    <row r="47212" spans="119:119" x14ac:dyDescent="0.2">
      <c r="DO47212" s="303" t="s">
        <v>232</v>
      </c>
    </row>
    <row r="47213" spans="119:119" x14ac:dyDescent="0.2">
      <c r="DO47213" s="303" t="s">
        <v>232</v>
      </c>
    </row>
    <row r="47214" spans="119:119" x14ac:dyDescent="0.2">
      <c r="DO47214" s="303" t="s">
        <v>232</v>
      </c>
    </row>
    <row r="47215" spans="119:119" x14ac:dyDescent="0.2">
      <c r="DO47215" s="303" t="s">
        <v>232</v>
      </c>
    </row>
    <row r="47216" spans="119:119" x14ac:dyDescent="0.2">
      <c r="DO47216" s="303" t="s">
        <v>232</v>
      </c>
    </row>
    <row r="47217" spans="119:119" x14ac:dyDescent="0.2">
      <c r="DO47217" s="303" t="s">
        <v>232</v>
      </c>
    </row>
    <row r="47218" spans="119:119" x14ac:dyDescent="0.2">
      <c r="DO47218" s="303" t="s">
        <v>232</v>
      </c>
    </row>
    <row r="47219" spans="119:119" x14ac:dyDescent="0.2">
      <c r="DO47219" s="303" t="s">
        <v>232</v>
      </c>
    </row>
    <row r="47220" spans="119:119" x14ac:dyDescent="0.2">
      <c r="DO47220" s="303" t="s">
        <v>232</v>
      </c>
    </row>
    <row r="47221" spans="119:119" x14ac:dyDescent="0.2">
      <c r="DO47221" s="303" t="s">
        <v>232</v>
      </c>
    </row>
    <row r="47222" spans="119:119" x14ac:dyDescent="0.2">
      <c r="DO47222" s="303" t="s">
        <v>232</v>
      </c>
    </row>
    <row r="47223" spans="119:119" x14ac:dyDescent="0.2">
      <c r="DO47223" s="303" t="s">
        <v>232</v>
      </c>
    </row>
    <row r="47224" spans="119:119" x14ac:dyDescent="0.2">
      <c r="DO47224" s="303" t="s">
        <v>232</v>
      </c>
    </row>
    <row r="47225" spans="119:119" x14ac:dyDescent="0.2">
      <c r="DO47225" s="303" t="s">
        <v>232</v>
      </c>
    </row>
    <row r="47226" spans="119:119" x14ac:dyDescent="0.2">
      <c r="DO47226" s="303" t="s">
        <v>232</v>
      </c>
    </row>
    <row r="47227" spans="119:119" x14ac:dyDescent="0.2">
      <c r="DO47227" s="303" t="s">
        <v>232</v>
      </c>
    </row>
    <row r="47228" spans="119:119" x14ac:dyDescent="0.2">
      <c r="DO47228" s="303" t="s">
        <v>232</v>
      </c>
    </row>
    <row r="47229" spans="119:119" x14ac:dyDescent="0.2">
      <c r="DO47229" s="303" t="s">
        <v>232</v>
      </c>
    </row>
    <row r="47230" spans="119:119" x14ac:dyDescent="0.2">
      <c r="DO47230" s="303" t="s">
        <v>232</v>
      </c>
    </row>
    <row r="47231" spans="119:119" x14ac:dyDescent="0.2">
      <c r="DO47231" s="303" t="s">
        <v>232</v>
      </c>
    </row>
    <row r="47232" spans="119:119" x14ac:dyDescent="0.2">
      <c r="DO47232" s="303" t="s">
        <v>232</v>
      </c>
    </row>
    <row r="47233" spans="119:119" x14ac:dyDescent="0.2">
      <c r="DO47233" s="303" t="s">
        <v>232</v>
      </c>
    </row>
    <row r="47234" spans="119:119" x14ac:dyDescent="0.2">
      <c r="DO47234" s="303" t="s">
        <v>232</v>
      </c>
    </row>
    <row r="47235" spans="119:119" x14ac:dyDescent="0.2">
      <c r="DO47235" s="303" t="s">
        <v>232</v>
      </c>
    </row>
    <row r="47236" spans="119:119" x14ac:dyDescent="0.2">
      <c r="DO47236" s="303" t="s">
        <v>232</v>
      </c>
    </row>
    <row r="47237" spans="119:119" x14ac:dyDescent="0.2">
      <c r="DO47237" s="303" t="s">
        <v>232</v>
      </c>
    </row>
    <row r="47238" spans="119:119" x14ac:dyDescent="0.2">
      <c r="DO47238" s="303" t="s">
        <v>232</v>
      </c>
    </row>
    <row r="47239" spans="119:119" x14ac:dyDescent="0.2">
      <c r="DO47239" s="303" t="s">
        <v>232</v>
      </c>
    </row>
    <row r="47240" spans="119:119" x14ac:dyDescent="0.2">
      <c r="DO47240" s="303" t="s">
        <v>232</v>
      </c>
    </row>
    <row r="47241" spans="119:119" x14ac:dyDescent="0.2">
      <c r="DO47241" s="303" t="s">
        <v>232</v>
      </c>
    </row>
    <row r="47242" spans="119:119" x14ac:dyDescent="0.2">
      <c r="DO47242" s="303" t="s">
        <v>232</v>
      </c>
    </row>
    <row r="47243" spans="119:119" x14ac:dyDescent="0.2">
      <c r="DO47243" s="303" t="s">
        <v>232</v>
      </c>
    </row>
    <row r="47244" spans="119:119" x14ac:dyDescent="0.2">
      <c r="DO47244" s="303" t="s">
        <v>232</v>
      </c>
    </row>
    <row r="47245" spans="119:119" x14ac:dyDescent="0.2">
      <c r="DO47245" s="303" t="s">
        <v>232</v>
      </c>
    </row>
    <row r="47246" spans="119:119" x14ac:dyDescent="0.2">
      <c r="DO47246" s="303" t="s">
        <v>232</v>
      </c>
    </row>
    <row r="47247" spans="119:119" x14ac:dyDescent="0.2">
      <c r="DO47247" s="303" t="s">
        <v>232</v>
      </c>
    </row>
    <row r="47248" spans="119:119" x14ac:dyDescent="0.2">
      <c r="DO47248" s="303" t="s">
        <v>232</v>
      </c>
    </row>
    <row r="47249" spans="119:119" x14ac:dyDescent="0.2">
      <c r="DO47249" s="303" t="s">
        <v>232</v>
      </c>
    </row>
    <row r="47250" spans="119:119" x14ac:dyDescent="0.2">
      <c r="DO47250" s="303" t="s">
        <v>232</v>
      </c>
    </row>
    <row r="47251" spans="119:119" x14ac:dyDescent="0.2">
      <c r="DO47251" s="303" t="s">
        <v>232</v>
      </c>
    </row>
    <row r="47252" spans="119:119" x14ac:dyDescent="0.2">
      <c r="DO47252" s="303" t="s">
        <v>232</v>
      </c>
    </row>
    <row r="47253" spans="119:119" x14ac:dyDescent="0.2">
      <c r="DO47253" s="303" t="s">
        <v>232</v>
      </c>
    </row>
    <row r="47254" spans="119:119" x14ac:dyDescent="0.2">
      <c r="DO47254" s="303" t="s">
        <v>232</v>
      </c>
    </row>
    <row r="47255" spans="119:119" x14ac:dyDescent="0.2">
      <c r="DO47255" s="303" t="s">
        <v>232</v>
      </c>
    </row>
    <row r="47256" spans="119:119" x14ac:dyDescent="0.2">
      <c r="DO47256" s="303" t="s">
        <v>232</v>
      </c>
    </row>
    <row r="47257" spans="119:119" x14ac:dyDescent="0.2">
      <c r="DO47257" s="303" t="s">
        <v>232</v>
      </c>
    </row>
    <row r="47258" spans="119:119" x14ac:dyDescent="0.2">
      <c r="DO47258" s="303" t="s">
        <v>232</v>
      </c>
    </row>
    <row r="47259" spans="119:119" x14ac:dyDescent="0.2">
      <c r="DO47259" s="303" t="s">
        <v>232</v>
      </c>
    </row>
    <row r="47260" spans="119:119" x14ac:dyDescent="0.2">
      <c r="DO47260" s="303" t="s">
        <v>232</v>
      </c>
    </row>
    <row r="47261" spans="119:119" x14ac:dyDescent="0.2">
      <c r="DO47261" s="303" t="s">
        <v>232</v>
      </c>
    </row>
    <row r="47262" spans="119:119" x14ac:dyDescent="0.2">
      <c r="DO47262" s="303" t="s">
        <v>232</v>
      </c>
    </row>
    <row r="47263" spans="119:119" x14ac:dyDescent="0.2">
      <c r="DO47263" s="303" t="s">
        <v>232</v>
      </c>
    </row>
    <row r="47264" spans="119:119" x14ac:dyDescent="0.2">
      <c r="DO47264" s="303" t="s">
        <v>232</v>
      </c>
    </row>
    <row r="47265" spans="119:119" x14ac:dyDescent="0.2">
      <c r="DO47265" s="303" t="s">
        <v>232</v>
      </c>
    </row>
    <row r="47266" spans="119:119" x14ac:dyDescent="0.2">
      <c r="DO47266" s="303" t="s">
        <v>232</v>
      </c>
    </row>
    <row r="47267" spans="119:119" x14ac:dyDescent="0.2">
      <c r="DO47267" s="303" t="s">
        <v>232</v>
      </c>
    </row>
    <row r="47268" spans="119:119" x14ac:dyDescent="0.2">
      <c r="DO47268" s="303" t="s">
        <v>232</v>
      </c>
    </row>
    <row r="47269" spans="119:119" x14ac:dyDescent="0.2">
      <c r="DO47269" s="303" t="s">
        <v>232</v>
      </c>
    </row>
    <row r="47270" spans="119:119" x14ac:dyDescent="0.2">
      <c r="DO47270" s="303" t="s">
        <v>232</v>
      </c>
    </row>
    <row r="47271" spans="119:119" x14ac:dyDescent="0.2">
      <c r="DO47271" s="303" t="s">
        <v>232</v>
      </c>
    </row>
    <row r="47272" spans="119:119" x14ac:dyDescent="0.2">
      <c r="DO47272" s="303" t="s">
        <v>232</v>
      </c>
    </row>
    <row r="47273" spans="119:119" x14ac:dyDescent="0.2">
      <c r="DO47273" s="303" t="s">
        <v>232</v>
      </c>
    </row>
    <row r="47274" spans="119:119" x14ac:dyDescent="0.2">
      <c r="DO47274" s="303" t="s">
        <v>232</v>
      </c>
    </row>
    <row r="47275" spans="119:119" x14ac:dyDescent="0.2">
      <c r="DO47275" s="303" t="s">
        <v>232</v>
      </c>
    </row>
    <row r="47276" spans="119:119" x14ac:dyDescent="0.2">
      <c r="DO47276" s="303" t="s">
        <v>232</v>
      </c>
    </row>
    <row r="47277" spans="119:119" x14ac:dyDescent="0.2">
      <c r="DO47277" s="303" t="s">
        <v>232</v>
      </c>
    </row>
    <row r="47278" spans="119:119" x14ac:dyDescent="0.2">
      <c r="DO47278" s="303" t="s">
        <v>232</v>
      </c>
    </row>
    <row r="47279" spans="119:119" x14ac:dyDescent="0.2">
      <c r="DO47279" s="303" t="s">
        <v>232</v>
      </c>
    </row>
    <row r="47280" spans="119:119" x14ac:dyDescent="0.2">
      <c r="DO47280" s="303" t="s">
        <v>232</v>
      </c>
    </row>
    <row r="47281" spans="119:119" x14ac:dyDescent="0.2">
      <c r="DO47281" s="303" t="s">
        <v>232</v>
      </c>
    </row>
    <row r="47282" spans="119:119" x14ac:dyDescent="0.2">
      <c r="DO47282" s="303" t="s">
        <v>232</v>
      </c>
    </row>
    <row r="47283" spans="119:119" x14ac:dyDescent="0.2">
      <c r="DO47283" s="303" t="s">
        <v>232</v>
      </c>
    </row>
    <row r="47284" spans="119:119" x14ac:dyDescent="0.2">
      <c r="DO47284" s="303" t="s">
        <v>232</v>
      </c>
    </row>
    <row r="47285" spans="119:119" x14ac:dyDescent="0.2">
      <c r="DO47285" s="303" t="s">
        <v>232</v>
      </c>
    </row>
    <row r="47286" spans="119:119" x14ac:dyDescent="0.2">
      <c r="DO47286" s="303" t="s">
        <v>232</v>
      </c>
    </row>
    <row r="47287" spans="119:119" x14ac:dyDescent="0.2">
      <c r="DO47287" s="303" t="s">
        <v>232</v>
      </c>
    </row>
    <row r="47288" spans="119:119" x14ac:dyDescent="0.2">
      <c r="DO47288" s="303" t="s">
        <v>232</v>
      </c>
    </row>
    <row r="47289" spans="119:119" x14ac:dyDescent="0.2">
      <c r="DO47289" s="303" t="s">
        <v>232</v>
      </c>
    </row>
    <row r="47290" spans="119:119" x14ac:dyDescent="0.2">
      <c r="DO47290" s="303" t="s">
        <v>232</v>
      </c>
    </row>
    <row r="47291" spans="119:119" x14ac:dyDescent="0.2">
      <c r="DO47291" s="303" t="s">
        <v>232</v>
      </c>
    </row>
    <row r="47292" spans="119:119" x14ac:dyDescent="0.2">
      <c r="DO47292" s="303" t="s">
        <v>232</v>
      </c>
    </row>
    <row r="47293" spans="119:119" x14ac:dyDescent="0.2">
      <c r="DO47293" s="303" t="s">
        <v>232</v>
      </c>
    </row>
    <row r="47294" spans="119:119" x14ac:dyDescent="0.2">
      <c r="DO47294" s="303" t="s">
        <v>232</v>
      </c>
    </row>
    <row r="47295" spans="119:119" x14ac:dyDescent="0.2">
      <c r="DO47295" s="303" t="s">
        <v>232</v>
      </c>
    </row>
    <row r="47296" spans="119:119" x14ac:dyDescent="0.2">
      <c r="DO47296" s="303" t="s">
        <v>232</v>
      </c>
    </row>
    <row r="47297" spans="119:119" x14ac:dyDescent="0.2">
      <c r="DO47297" s="303" t="s">
        <v>232</v>
      </c>
    </row>
    <row r="47298" spans="119:119" x14ac:dyDescent="0.2">
      <c r="DO47298" s="303" t="s">
        <v>232</v>
      </c>
    </row>
    <row r="47299" spans="119:119" x14ac:dyDescent="0.2">
      <c r="DO47299" s="303" t="s">
        <v>232</v>
      </c>
    </row>
    <row r="47300" spans="119:119" x14ac:dyDescent="0.2">
      <c r="DO47300" s="303" t="s">
        <v>232</v>
      </c>
    </row>
    <row r="47301" spans="119:119" x14ac:dyDescent="0.2">
      <c r="DO47301" s="303" t="s">
        <v>232</v>
      </c>
    </row>
    <row r="47302" spans="119:119" x14ac:dyDescent="0.2">
      <c r="DO47302" s="303" t="s">
        <v>232</v>
      </c>
    </row>
    <row r="47303" spans="119:119" x14ac:dyDescent="0.2">
      <c r="DO47303" s="303" t="s">
        <v>232</v>
      </c>
    </row>
    <row r="47304" spans="119:119" x14ac:dyDescent="0.2">
      <c r="DO47304" s="303" t="s">
        <v>232</v>
      </c>
    </row>
    <row r="47305" spans="119:119" x14ac:dyDescent="0.2">
      <c r="DO47305" s="303" t="s">
        <v>232</v>
      </c>
    </row>
    <row r="47306" spans="119:119" x14ac:dyDescent="0.2">
      <c r="DO47306" s="303" t="s">
        <v>232</v>
      </c>
    </row>
    <row r="47307" spans="119:119" x14ac:dyDescent="0.2">
      <c r="DO47307" s="303" t="s">
        <v>232</v>
      </c>
    </row>
    <row r="47308" spans="119:119" x14ac:dyDescent="0.2">
      <c r="DO47308" s="303" t="s">
        <v>232</v>
      </c>
    </row>
    <row r="47309" spans="119:119" x14ac:dyDescent="0.2">
      <c r="DO47309" s="303" t="s">
        <v>232</v>
      </c>
    </row>
    <row r="47310" spans="119:119" x14ac:dyDescent="0.2">
      <c r="DO47310" s="303" t="s">
        <v>232</v>
      </c>
    </row>
    <row r="47311" spans="119:119" x14ac:dyDescent="0.2">
      <c r="DO47311" s="303" t="s">
        <v>232</v>
      </c>
    </row>
    <row r="47312" spans="119:119" x14ac:dyDescent="0.2">
      <c r="DO47312" s="303" t="s">
        <v>232</v>
      </c>
    </row>
    <row r="47313" spans="119:119" x14ac:dyDescent="0.2">
      <c r="DO47313" s="303" t="s">
        <v>232</v>
      </c>
    </row>
    <row r="47314" spans="119:119" x14ac:dyDescent="0.2">
      <c r="DO47314" s="303" t="s">
        <v>232</v>
      </c>
    </row>
    <row r="47315" spans="119:119" x14ac:dyDescent="0.2">
      <c r="DO47315" s="303" t="s">
        <v>232</v>
      </c>
    </row>
    <row r="47316" spans="119:119" x14ac:dyDescent="0.2">
      <c r="DO47316" s="303" t="s">
        <v>232</v>
      </c>
    </row>
    <row r="47317" spans="119:119" x14ac:dyDescent="0.2">
      <c r="DO47317" s="303" t="s">
        <v>232</v>
      </c>
    </row>
    <row r="47318" spans="119:119" x14ac:dyDescent="0.2">
      <c r="DO47318" s="303" t="s">
        <v>232</v>
      </c>
    </row>
    <row r="47319" spans="119:119" x14ac:dyDescent="0.2">
      <c r="DO47319" s="303" t="s">
        <v>232</v>
      </c>
    </row>
    <row r="47320" spans="119:119" x14ac:dyDescent="0.2">
      <c r="DO47320" s="303" t="s">
        <v>232</v>
      </c>
    </row>
    <row r="47321" spans="119:119" x14ac:dyDescent="0.2">
      <c r="DO47321" s="303" t="s">
        <v>232</v>
      </c>
    </row>
    <row r="47322" spans="119:119" x14ac:dyDescent="0.2">
      <c r="DO47322" s="303" t="s">
        <v>232</v>
      </c>
    </row>
    <row r="47323" spans="119:119" x14ac:dyDescent="0.2">
      <c r="DO47323" s="303" t="s">
        <v>232</v>
      </c>
    </row>
    <row r="47324" spans="119:119" x14ac:dyDescent="0.2">
      <c r="DO47324" s="303" t="s">
        <v>232</v>
      </c>
    </row>
    <row r="47325" spans="119:119" x14ac:dyDescent="0.2">
      <c r="DO47325" s="303" t="s">
        <v>232</v>
      </c>
    </row>
    <row r="47326" spans="119:119" x14ac:dyDescent="0.2">
      <c r="DO47326" s="303" t="s">
        <v>232</v>
      </c>
    </row>
    <row r="47327" spans="119:119" x14ac:dyDescent="0.2">
      <c r="DO47327" s="303" t="s">
        <v>232</v>
      </c>
    </row>
    <row r="47328" spans="119:119" x14ac:dyDescent="0.2">
      <c r="DO47328" s="303" t="s">
        <v>232</v>
      </c>
    </row>
    <row r="47329" spans="119:119" x14ac:dyDescent="0.2">
      <c r="DO47329" s="303" t="s">
        <v>232</v>
      </c>
    </row>
    <row r="47330" spans="119:119" x14ac:dyDescent="0.2">
      <c r="DO47330" s="303" t="s">
        <v>232</v>
      </c>
    </row>
    <row r="47331" spans="119:119" x14ac:dyDescent="0.2">
      <c r="DO47331" s="303" t="s">
        <v>232</v>
      </c>
    </row>
    <row r="47332" spans="119:119" x14ac:dyDescent="0.2">
      <c r="DO47332" s="303" t="s">
        <v>232</v>
      </c>
    </row>
    <row r="47333" spans="119:119" x14ac:dyDescent="0.2">
      <c r="DO47333" s="303" t="s">
        <v>232</v>
      </c>
    </row>
    <row r="47334" spans="119:119" x14ac:dyDescent="0.2">
      <c r="DO47334" s="303" t="s">
        <v>232</v>
      </c>
    </row>
    <row r="47335" spans="119:119" x14ac:dyDescent="0.2">
      <c r="DO47335" s="303" t="s">
        <v>232</v>
      </c>
    </row>
    <row r="47336" spans="119:119" x14ac:dyDescent="0.2">
      <c r="DO47336" s="303" t="s">
        <v>232</v>
      </c>
    </row>
    <row r="47337" spans="119:119" x14ac:dyDescent="0.2">
      <c r="DO47337" s="303" t="s">
        <v>232</v>
      </c>
    </row>
    <row r="47338" spans="119:119" x14ac:dyDescent="0.2">
      <c r="DO47338" s="303" t="s">
        <v>232</v>
      </c>
    </row>
    <row r="47339" spans="119:119" x14ac:dyDescent="0.2">
      <c r="DO47339" s="303" t="s">
        <v>232</v>
      </c>
    </row>
    <row r="47340" spans="119:119" x14ac:dyDescent="0.2">
      <c r="DO47340" s="303" t="s">
        <v>232</v>
      </c>
    </row>
    <row r="47341" spans="119:119" x14ac:dyDescent="0.2">
      <c r="DO47341" s="303" t="s">
        <v>232</v>
      </c>
    </row>
    <row r="47342" spans="119:119" x14ac:dyDescent="0.2">
      <c r="DO47342" s="303" t="s">
        <v>232</v>
      </c>
    </row>
    <row r="47343" spans="119:119" x14ac:dyDescent="0.2">
      <c r="DO47343" s="303" t="s">
        <v>232</v>
      </c>
    </row>
    <row r="47344" spans="119:119" x14ac:dyDescent="0.2">
      <c r="DO47344" s="303" t="s">
        <v>232</v>
      </c>
    </row>
    <row r="47345" spans="119:119" x14ac:dyDescent="0.2">
      <c r="DO47345" s="303" t="s">
        <v>232</v>
      </c>
    </row>
    <row r="47346" spans="119:119" x14ac:dyDescent="0.2">
      <c r="DO47346" s="303" t="s">
        <v>232</v>
      </c>
    </row>
    <row r="47347" spans="119:119" x14ac:dyDescent="0.2">
      <c r="DO47347" s="303" t="s">
        <v>232</v>
      </c>
    </row>
    <row r="47348" spans="119:119" x14ac:dyDescent="0.2">
      <c r="DO47348" s="303" t="s">
        <v>232</v>
      </c>
    </row>
    <row r="47349" spans="119:119" x14ac:dyDescent="0.2">
      <c r="DO47349" s="303" t="s">
        <v>232</v>
      </c>
    </row>
    <row r="47350" spans="119:119" x14ac:dyDescent="0.2">
      <c r="DO47350" s="303" t="s">
        <v>232</v>
      </c>
    </row>
    <row r="47351" spans="119:119" x14ac:dyDescent="0.2">
      <c r="DO47351" s="303" t="s">
        <v>232</v>
      </c>
    </row>
    <row r="47352" spans="119:119" x14ac:dyDescent="0.2">
      <c r="DO47352" s="303" t="s">
        <v>232</v>
      </c>
    </row>
    <row r="47353" spans="119:119" x14ac:dyDescent="0.2">
      <c r="DO47353" s="303" t="s">
        <v>232</v>
      </c>
    </row>
    <row r="47354" spans="119:119" x14ac:dyDescent="0.2">
      <c r="DO47354" s="303" t="s">
        <v>232</v>
      </c>
    </row>
    <row r="47355" spans="119:119" x14ac:dyDescent="0.2">
      <c r="DO47355" s="303" t="s">
        <v>232</v>
      </c>
    </row>
    <row r="47356" spans="119:119" x14ac:dyDescent="0.2">
      <c r="DO47356" s="303" t="s">
        <v>232</v>
      </c>
    </row>
    <row r="47357" spans="119:119" x14ac:dyDescent="0.2">
      <c r="DO47357" s="303" t="s">
        <v>232</v>
      </c>
    </row>
    <row r="47358" spans="119:119" x14ac:dyDescent="0.2">
      <c r="DO47358" s="303" t="s">
        <v>232</v>
      </c>
    </row>
    <row r="47359" spans="119:119" x14ac:dyDescent="0.2">
      <c r="DO47359" s="303" t="s">
        <v>232</v>
      </c>
    </row>
    <row r="47360" spans="119:119" x14ac:dyDescent="0.2">
      <c r="DO47360" s="303" t="s">
        <v>232</v>
      </c>
    </row>
    <row r="47361" spans="119:119" x14ac:dyDescent="0.2">
      <c r="DO47361" s="303" t="s">
        <v>232</v>
      </c>
    </row>
    <row r="47362" spans="119:119" x14ac:dyDescent="0.2">
      <c r="DO47362" s="303" t="s">
        <v>232</v>
      </c>
    </row>
    <row r="47363" spans="119:119" x14ac:dyDescent="0.2">
      <c r="DO47363" s="303" t="s">
        <v>232</v>
      </c>
    </row>
    <row r="47364" spans="119:119" x14ac:dyDescent="0.2">
      <c r="DO47364" s="303" t="s">
        <v>232</v>
      </c>
    </row>
    <row r="47365" spans="119:119" x14ac:dyDescent="0.2">
      <c r="DO47365" s="303" t="s">
        <v>232</v>
      </c>
    </row>
    <row r="47366" spans="119:119" x14ac:dyDescent="0.2">
      <c r="DO47366" s="303" t="s">
        <v>232</v>
      </c>
    </row>
    <row r="47367" spans="119:119" x14ac:dyDescent="0.2">
      <c r="DO47367" s="303" t="s">
        <v>232</v>
      </c>
    </row>
    <row r="47368" spans="119:119" x14ac:dyDescent="0.2">
      <c r="DO47368" s="303" t="s">
        <v>232</v>
      </c>
    </row>
    <row r="47369" spans="119:119" x14ac:dyDescent="0.2">
      <c r="DO47369" s="303" t="s">
        <v>232</v>
      </c>
    </row>
    <row r="47370" spans="119:119" x14ac:dyDescent="0.2">
      <c r="DO47370" s="303" t="s">
        <v>232</v>
      </c>
    </row>
    <row r="47371" spans="119:119" x14ac:dyDescent="0.2">
      <c r="DO47371" s="303" t="s">
        <v>232</v>
      </c>
    </row>
    <row r="47372" spans="119:119" x14ac:dyDescent="0.2">
      <c r="DO47372" s="303" t="s">
        <v>232</v>
      </c>
    </row>
    <row r="47373" spans="119:119" x14ac:dyDescent="0.2">
      <c r="DO47373" s="303" t="s">
        <v>232</v>
      </c>
    </row>
    <row r="47374" spans="119:119" x14ac:dyDescent="0.2">
      <c r="DO47374" s="303" t="s">
        <v>232</v>
      </c>
    </row>
    <row r="47375" spans="119:119" x14ac:dyDescent="0.2">
      <c r="DO47375" s="303" t="s">
        <v>232</v>
      </c>
    </row>
    <row r="47376" spans="119:119" x14ac:dyDescent="0.2">
      <c r="DO47376" s="303" t="s">
        <v>232</v>
      </c>
    </row>
    <row r="47377" spans="119:119" x14ac:dyDescent="0.2">
      <c r="DO47377" s="303" t="s">
        <v>232</v>
      </c>
    </row>
    <row r="47378" spans="119:119" x14ac:dyDescent="0.2">
      <c r="DO47378" s="303" t="s">
        <v>232</v>
      </c>
    </row>
    <row r="47379" spans="119:119" x14ac:dyDescent="0.2">
      <c r="DO47379" s="303" t="s">
        <v>232</v>
      </c>
    </row>
    <row r="47380" spans="119:119" x14ac:dyDescent="0.2">
      <c r="DO47380" s="303" t="s">
        <v>232</v>
      </c>
    </row>
    <row r="47381" spans="119:119" x14ac:dyDescent="0.2">
      <c r="DO47381" s="303" t="s">
        <v>232</v>
      </c>
    </row>
    <row r="47382" spans="119:119" x14ac:dyDescent="0.2">
      <c r="DO47382" s="303" t="s">
        <v>232</v>
      </c>
    </row>
    <row r="47383" spans="119:119" x14ac:dyDescent="0.2">
      <c r="DO47383" s="303" t="s">
        <v>232</v>
      </c>
    </row>
    <row r="47384" spans="119:119" x14ac:dyDescent="0.2">
      <c r="DO47384" s="303" t="s">
        <v>232</v>
      </c>
    </row>
    <row r="47385" spans="119:119" x14ac:dyDescent="0.2">
      <c r="DO47385" s="303" t="s">
        <v>232</v>
      </c>
    </row>
    <row r="47386" spans="119:119" x14ac:dyDescent="0.2">
      <c r="DO47386" s="303" t="s">
        <v>232</v>
      </c>
    </row>
    <row r="47387" spans="119:119" x14ac:dyDescent="0.2">
      <c r="DO47387" s="303" t="s">
        <v>232</v>
      </c>
    </row>
    <row r="47388" spans="119:119" x14ac:dyDescent="0.2">
      <c r="DO47388" s="303" t="s">
        <v>232</v>
      </c>
    </row>
    <row r="47389" spans="119:119" x14ac:dyDescent="0.2">
      <c r="DO47389" s="303" t="s">
        <v>232</v>
      </c>
    </row>
    <row r="47390" spans="119:119" x14ac:dyDescent="0.2">
      <c r="DO47390" s="303" t="s">
        <v>232</v>
      </c>
    </row>
    <row r="47391" spans="119:119" x14ac:dyDescent="0.2">
      <c r="DO47391" s="303" t="s">
        <v>232</v>
      </c>
    </row>
    <row r="47392" spans="119:119" x14ac:dyDescent="0.2">
      <c r="DO47392" s="303" t="s">
        <v>232</v>
      </c>
    </row>
    <row r="47393" spans="119:119" x14ac:dyDescent="0.2">
      <c r="DO47393" s="303" t="s">
        <v>232</v>
      </c>
    </row>
    <row r="47394" spans="119:119" x14ac:dyDescent="0.2">
      <c r="DO47394" s="303" t="s">
        <v>232</v>
      </c>
    </row>
    <row r="47395" spans="119:119" x14ac:dyDescent="0.2">
      <c r="DO47395" s="303" t="s">
        <v>232</v>
      </c>
    </row>
    <row r="47396" spans="119:119" x14ac:dyDescent="0.2">
      <c r="DO47396" s="303" t="s">
        <v>232</v>
      </c>
    </row>
    <row r="47397" spans="119:119" x14ac:dyDescent="0.2">
      <c r="DO47397" s="303" t="s">
        <v>232</v>
      </c>
    </row>
    <row r="47398" spans="119:119" x14ac:dyDescent="0.2">
      <c r="DO47398" s="303" t="s">
        <v>232</v>
      </c>
    </row>
    <row r="47399" spans="119:119" x14ac:dyDescent="0.2">
      <c r="DO47399" s="303" t="s">
        <v>232</v>
      </c>
    </row>
    <row r="47400" spans="119:119" x14ac:dyDescent="0.2">
      <c r="DO47400" s="303" t="s">
        <v>232</v>
      </c>
    </row>
    <row r="47401" spans="119:119" x14ac:dyDescent="0.2">
      <c r="DO47401" s="303" t="s">
        <v>232</v>
      </c>
    </row>
    <row r="47402" spans="119:119" x14ac:dyDescent="0.2">
      <c r="DO47402" s="303" t="s">
        <v>232</v>
      </c>
    </row>
    <row r="47403" spans="119:119" x14ac:dyDescent="0.2">
      <c r="DO47403" s="303" t="s">
        <v>232</v>
      </c>
    </row>
    <row r="47404" spans="119:119" x14ac:dyDescent="0.2">
      <c r="DO47404" s="303" t="s">
        <v>232</v>
      </c>
    </row>
    <row r="47405" spans="119:119" x14ac:dyDescent="0.2">
      <c r="DO47405" s="303" t="s">
        <v>232</v>
      </c>
    </row>
    <row r="47406" spans="119:119" x14ac:dyDescent="0.2">
      <c r="DO47406" s="303" t="s">
        <v>232</v>
      </c>
    </row>
    <row r="47407" spans="119:119" x14ac:dyDescent="0.2">
      <c r="DO47407" s="303" t="s">
        <v>232</v>
      </c>
    </row>
    <row r="47408" spans="119:119" x14ac:dyDescent="0.2">
      <c r="DO47408" s="303" t="s">
        <v>232</v>
      </c>
    </row>
    <row r="47409" spans="119:119" x14ac:dyDescent="0.2">
      <c r="DO47409" s="303" t="s">
        <v>232</v>
      </c>
    </row>
    <row r="47410" spans="119:119" x14ac:dyDescent="0.2">
      <c r="DO47410" s="303" t="s">
        <v>232</v>
      </c>
    </row>
    <row r="47411" spans="119:119" x14ac:dyDescent="0.2">
      <c r="DO47411" s="303" t="s">
        <v>232</v>
      </c>
    </row>
    <row r="47412" spans="119:119" x14ac:dyDescent="0.2">
      <c r="DO47412" s="303" t="s">
        <v>232</v>
      </c>
    </row>
    <row r="47413" spans="119:119" x14ac:dyDescent="0.2">
      <c r="DO47413" s="303" t="s">
        <v>232</v>
      </c>
    </row>
    <row r="47414" spans="119:119" x14ac:dyDescent="0.2">
      <c r="DO47414" s="303" t="s">
        <v>232</v>
      </c>
    </row>
    <row r="47415" spans="119:119" x14ac:dyDescent="0.2">
      <c r="DO47415" s="303" t="s">
        <v>232</v>
      </c>
    </row>
    <row r="47416" spans="119:119" x14ac:dyDescent="0.2">
      <c r="DO47416" s="303" t="s">
        <v>232</v>
      </c>
    </row>
    <row r="47417" spans="119:119" x14ac:dyDescent="0.2">
      <c r="DO47417" s="303" t="s">
        <v>232</v>
      </c>
    </row>
    <row r="47418" spans="119:119" x14ac:dyDescent="0.2">
      <c r="DO47418" s="303" t="s">
        <v>232</v>
      </c>
    </row>
    <row r="47419" spans="119:119" x14ac:dyDescent="0.2">
      <c r="DO47419" s="303" t="s">
        <v>232</v>
      </c>
    </row>
    <row r="47420" spans="119:119" x14ac:dyDescent="0.2">
      <c r="DO47420" s="303" t="s">
        <v>232</v>
      </c>
    </row>
    <row r="47421" spans="119:119" x14ac:dyDescent="0.2">
      <c r="DO47421" s="303" t="s">
        <v>232</v>
      </c>
    </row>
    <row r="47422" spans="119:119" x14ac:dyDescent="0.2">
      <c r="DO47422" s="303" t="s">
        <v>232</v>
      </c>
    </row>
    <row r="47423" spans="119:119" x14ac:dyDescent="0.2">
      <c r="DO47423" s="303" t="s">
        <v>232</v>
      </c>
    </row>
    <row r="47424" spans="119:119" x14ac:dyDescent="0.2">
      <c r="DO47424" s="303" t="s">
        <v>232</v>
      </c>
    </row>
    <row r="47425" spans="119:119" x14ac:dyDescent="0.2">
      <c r="DO47425" s="303" t="s">
        <v>232</v>
      </c>
    </row>
    <row r="47426" spans="119:119" x14ac:dyDescent="0.2">
      <c r="DO47426" s="303" t="s">
        <v>232</v>
      </c>
    </row>
    <row r="47427" spans="119:119" x14ac:dyDescent="0.2">
      <c r="DO47427" s="303" t="s">
        <v>232</v>
      </c>
    </row>
    <row r="47428" spans="119:119" x14ac:dyDescent="0.2">
      <c r="DO47428" s="303" t="s">
        <v>232</v>
      </c>
    </row>
    <row r="47429" spans="119:119" x14ac:dyDescent="0.2">
      <c r="DO47429" s="303" t="s">
        <v>232</v>
      </c>
    </row>
    <row r="47430" spans="119:119" x14ac:dyDescent="0.2">
      <c r="DO47430" s="303" t="s">
        <v>232</v>
      </c>
    </row>
    <row r="47431" spans="119:119" x14ac:dyDescent="0.2">
      <c r="DO47431" s="303" t="s">
        <v>232</v>
      </c>
    </row>
    <row r="47432" spans="119:119" x14ac:dyDescent="0.2">
      <c r="DO47432" s="303" t="s">
        <v>232</v>
      </c>
    </row>
    <row r="47433" spans="119:119" x14ac:dyDescent="0.2">
      <c r="DO47433" s="303" t="s">
        <v>232</v>
      </c>
    </row>
    <row r="47434" spans="119:119" x14ac:dyDescent="0.2">
      <c r="DO47434" s="303" t="s">
        <v>232</v>
      </c>
    </row>
    <row r="47435" spans="119:119" x14ac:dyDescent="0.2">
      <c r="DO47435" s="303" t="s">
        <v>232</v>
      </c>
    </row>
    <row r="47436" spans="119:119" x14ac:dyDescent="0.2">
      <c r="DO47436" s="303" t="s">
        <v>232</v>
      </c>
    </row>
    <row r="47437" spans="119:119" x14ac:dyDescent="0.2">
      <c r="DO47437" s="303" t="s">
        <v>232</v>
      </c>
    </row>
    <row r="47438" spans="119:119" x14ac:dyDescent="0.2">
      <c r="DO47438" s="303" t="s">
        <v>232</v>
      </c>
    </row>
    <row r="47439" spans="119:119" x14ac:dyDescent="0.2">
      <c r="DO47439" s="303" t="s">
        <v>232</v>
      </c>
    </row>
    <row r="47440" spans="119:119" x14ac:dyDescent="0.2">
      <c r="DO47440" s="303" t="s">
        <v>232</v>
      </c>
    </row>
    <row r="47441" spans="119:119" x14ac:dyDescent="0.2">
      <c r="DO47441" s="303" t="s">
        <v>232</v>
      </c>
    </row>
    <row r="47442" spans="119:119" x14ac:dyDescent="0.2">
      <c r="DO47442" s="303" t="s">
        <v>232</v>
      </c>
    </row>
    <row r="47443" spans="119:119" x14ac:dyDescent="0.2">
      <c r="DO47443" s="303" t="s">
        <v>232</v>
      </c>
    </row>
    <row r="47444" spans="119:119" x14ac:dyDescent="0.2">
      <c r="DO47444" s="303" t="s">
        <v>232</v>
      </c>
    </row>
    <row r="47445" spans="119:119" x14ac:dyDescent="0.2">
      <c r="DO47445" s="303" t="s">
        <v>232</v>
      </c>
    </row>
    <row r="47446" spans="119:119" x14ac:dyDescent="0.2">
      <c r="DO47446" s="303" t="s">
        <v>232</v>
      </c>
    </row>
    <row r="47447" spans="119:119" x14ac:dyDescent="0.2">
      <c r="DO47447" s="303" t="s">
        <v>232</v>
      </c>
    </row>
    <row r="47448" spans="119:119" x14ac:dyDescent="0.2">
      <c r="DO47448" s="303" t="s">
        <v>232</v>
      </c>
    </row>
    <row r="47449" spans="119:119" x14ac:dyDescent="0.2">
      <c r="DO47449" s="303" t="s">
        <v>232</v>
      </c>
    </row>
    <row r="47450" spans="119:119" x14ac:dyDescent="0.2">
      <c r="DO47450" s="303" t="s">
        <v>232</v>
      </c>
    </row>
    <row r="47451" spans="119:119" x14ac:dyDescent="0.2">
      <c r="DO47451" s="303" t="s">
        <v>232</v>
      </c>
    </row>
    <row r="47452" spans="119:119" x14ac:dyDescent="0.2">
      <c r="DO47452" s="303" t="s">
        <v>232</v>
      </c>
    </row>
    <row r="47453" spans="119:119" x14ac:dyDescent="0.2">
      <c r="DO47453" s="303" t="s">
        <v>232</v>
      </c>
    </row>
    <row r="47454" spans="119:119" x14ac:dyDescent="0.2">
      <c r="DO47454" s="303" t="s">
        <v>232</v>
      </c>
    </row>
    <row r="47455" spans="119:119" x14ac:dyDescent="0.2">
      <c r="DO47455" s="303" t="s">
        <v>232</v>
      </c>
    </row>
    <row r="47456" spans="119:119" x14ac:dyDescent="0.2">
      <c r="DO47456" s="303" t="s">
        <v>232</v>
      </c>
    </row>
    <row r="47457" spans="119:119" x14ac:dyDescent="0.2">
      <c r="DO47457" s="303" t="s">
        <v>232</v>
      </c>
    </row>
    <row r="47458" spans="119:119" x14ac:dyDescent="0.2">
      <c r="DO47458" s="303" t="s">
        <v>232</v>
      </c>
    </row>
    <row r="47459" spans="119:119" x14ac:dyDescent="0.2">
      <c r="DO47459" s="303" t="s">
        <v>232</v>
      </c>
    </row>
    <row r="47460" spans="119:119" x14ac:dyDescent="0.2">
      <c r="DO47460" s="303" t="s">
        <v>232</v>
      </c>
    </row>
    <row r="47461" spans="119:119" x14ac:dyDescent="0.2">
      <c r="DO47461" s="303" t="s">
        <v>232</v>
      </c>
    </row>
    <row r="47462" spans="119:119" x14ac:dyDescent="0.2">
      <c r="DO47462" s="303" t="s">
        <v>232</v>
      </c>
    </row>
    <row r="47463" spans="119:119" x14ac:dyDescent="0.2">
      <c r="DO47463" s="303" t="s">
        <v>232</v>
      </c>
    </row>
    <row r="47464" spans="119:119" x14ac:dyDescent="0.2">
      <c r="DO47464" s="303" t="s">
        <v>232</v>
      </c>
    </row>
    <row r="47465" spans="119:119" x14ac:dyDescent="0.2">
      <c r="DO47465" s="303" t="s">
        <v>232</v>
      </c>
    </row>
    <row r="47466" spans="119:119" x14ac:dyDescent="0.2">
      <c r="DO47466" s="303" t="s">
        <v>232</v>
      </c>
    </row>
    <row r="47467" spans="119:119" x14ac:dyDescent="0.2">
      <c r="DO47467" s="303" t="s">
        <v>232</v>
      </c>
    </row>
    <row r="47468" spans="119:119" x14ac:dyDescent="0.2">
      <c r="DO47468" s="303" t="s">
        <v>232</v>
      </c>
    </row>
    <row r="47469" spans="119:119" x14ac:dyDescent="0.2">
      <c r="DO47469" s="303" t="s">
        <v>232</v>
      </c>
    </row>
    <row r="47470" spans="119:119" x14ac:dyDescent="0.2">
      <c r="DO47470" s="303" t="s">
        <v>232</v>
      </c>
    </row>
    <row r="47471" spans="119:119" x14ac:dyDescent="0.2">
      <c r="DO47471" s="303" t="s">
        <v>232</v>
      </c>
    </row>
    <row r="47472" spans="119:119" x14ac:dyDescent="0.2">
      <c r="DO47472" s="303" t="s">
        <v>232</v>
      </c>
    </row>
    <row r="47473" spans="119:119" x14ac:dyDescent="0.2">
      <c r="DO47473" s="303" t="s">
        <v>232</v>
      </c>
    </row>
    <row r="47474" spans="119:119" x14ac:dyDescent="0.2">
      <c r="DO47474" s="303" t="s">
        <v>232</v>
      </c>
    </row>
    <row r="47475" spans="119:119" x14ac:dyDescent="0.2">
      <c r="DO47475" s="303" t="s">
        <v>232</v>
      </c>
    </row>
    <row r="47476" spans="119:119" x14ac:dyDescent="0.2">
      <c r="DO47476" s="303" t="s">
        <v>232</v>
      </c>
    </row>
    <row r="47477" spans="119:119" x14ac:dyDescent="0.2">
      <c r="DO47477" s="303" t="s">
        <v>232</v>
      </c>
    </row>
    <row r="47478" spans="119:119" x14ac:dyDescent="0.2">
      <c r="DO47478" s="303" t="s">
        <v>232</v>
      </c>
    </row>
    <row r="47479" spans="119:119" x14ac:dyDescent="0.2">
      <c r="DO47479" s="303" t="s">
        <v>232</v>
      </c>
    </row>
    <row r="47480" spans="119:119" x14ac:dyDescent="0.2">
      <c r="DO47480" s="303" t="s">
        <v>232</v>
      </c>
    </row>
    <row r="47481" spans="119:119" x14ac:dyDescent="0.2">
      <c r="DO47481" s="303" t="s">
        <v>232</v>
      </c>
    </row>
    <row r="47482" spans="119:119" x14ac:dyDescent="0.2">
      <c r="DO47482" s="303" t="s">
        <v>232</v>
      </c>
    </row>
    <row r="47483" spans="119:119" x14ac:dyDescent="0.2">
      <c r="DO47483" s="303" t="s">
        <v>232</v>
      </c>
    </row>
    <row r="47484" spans="119:119" x14ac:dyDescent="0.2">
      <c r="DO47484" s="303" t="s">
        <v>232</v>
      </c>
    </row>
    <row r="47485" spans="119:119" x14ac:dyDescent="0.2">
      <c r="DO47485" s="303" t="s">
        <v>232</v>
      </c>
    </row>
    <row r="47486" spans="119:119" x14ac:dyDescent="0.2">
      <c r="DO47486" s="303" t="s">
        <v>232</v>
      </c>
    </row>
    <row r="47487" spans="119:119" x14ac:dyDescent="0.2">
      <c r="DO47487" s="303" t="s">
        <v>232</v>
      </c>
    </row>
    <row r="47488" spans="119:119" x14ac:dyDescent="0.2">
      <c r="DO47488" s="303" t="s">
        <v>232</v>
      </c>
    </row>
    <row r="47489" spans="119:119" x14ac:dyDescent="0.2">
      <c r="DO47489" s="303" t="s">
        <v>232</v>
      </c>
    </row>
    <row r="47490" spans="119:119" x14ac:dyDescent="0.2">
      <c r="DO47490" s="303" t="s">
        <v>232</v>
      </c>
    </row>
    <row r="47491" spans="119:119" x14ac:dyDescent="0.2">
      <c r="DO47491" s="303" t="s">
        <v>232</v>
      </c>
    </row>
    <row r="47492" spans="119:119" x14ac:dyDescent="0.2">
      <c r="DO47492" s="303" t="s">
        <v>232</v>
      </c>
    </row>
    <row r="47493" spans="119:119" x14ac:dyDescent="0.2">
      <c r="DO47493" s="303" t="s">
        <v>232</v>
      </c>
    </row>
    <row r="47494" spans="119:119" x14ac:dyDescent="0.2">
      <c r="DO47494" s="303" t="s">
        <v>232</v>
      </c>
    </row>
    <row r="47495" spans="119:119" x14ac:dyDescent="0.2">
      <c r="DO47495" s="303" t="s">
        <v>232</v>
      </c>
    </row>
    <row r="47496" spans="119:119" x14ac:dyDescent="0.2">
      <c r="DO47496" s="303" t="s">
        <v>232</v>
      </c>
    </row>
    <row r="47497" spans="119:119" x14ac:dyDescent="0.2">
      <c r="DO47497" s="303" t="s">
        <v>232</v>
      </c>
    </row>
    <row r="47498" spans="119:119" x14ac:dyDescent="0.2">
      <c r="DO47498" s="303" t="s">
        <v>232</v>
      </c>
    </row>
    <row r="47499" spans="119:119" x14ac:dyDescent="0.2">
      <c r="DO47499" s="303" t="s">
        <v>232</v>
      </c>
    </row>
    <row r="47500" spans="119:119" x14ac:dyDescent="0.2">
      <c r="DO47500" s="303" t="s">
        <v>232</v>
      </c>
    </row>
    <row r="47501" spans="119:119" x14ac:dyDescent="0.2">
      <c r="DO47501" s="303" t="s">
        <v>232</v>
      </c>
    </row>
    <row r="47502" spans="119:119" x14ac:dyDescent="0.2">
      <c r="DO47502" s="303" t="s">
        <v>232</v>
      </c>
    </row>
    <row r="47503" spans="119:119" x14ac:dyDescent="0.2">
      <c r="DO47503" s="303" t="s">
        <v>232</v>
      </c>
    </row>
    <row r="47504" spans="119:119" x14ac:dyDescent="0.2">
      <c r="DO47504" s="303" t="s">
        <v>232</v>
      </c>
    </row>
    <row r="47505" spans="119:119" x14ac:dyDescent="0.2">
      <c r="DO47505" s="303" t="s">
        <v>232</v>
      </c>
    </row>
    <row r="47506" spans="119:119" x14ac:dyDescent="0.2">
      <c r="DO47506" s="303" t="s">
        <v>232</v>
      </c>
    </row>
    <row r="47507" spans="119:119" x14ac:dyDescent="0.2">
      <c r="DO47507" s="303" t="s">
        <v>232</v>
      </c>
    </row>
    <row r="47508" spans="119:119" x14ac:dyDescent="0.2">
      <c r="DO47508" s="303" t="s">
        <v>232</v>
      </c>
    </row>
    <row r="47509" spans="119:119" x14ac:dyDescent="0.2">
      <c r="DO47509" s="303" t="s">
        <v>232</v>
      </c>
    </row>
    <row r="47510" spans="119:119" x14ac:dyDescent="0.2">
      <c r="DO47510" s="303" t="s">
        <v>232</v>
      </c>
    </row>
    <row r="47511" spans="119:119" x14ac:dyDescent="0.2">
      <c r="DO47511" s="303" t="s">
        <v>232</v>
      </c>
    </row>
    <row r="47512" spans="119:119" x14ac:dyDescent="0.2">
      <c r="DO47512" s="303" t="s">
        <v>232</v>
      </c>
    </row>
    <row r="47513" spans="119:119" x14ac:dyDescent="0.2">
      <c r="DO47513" s="303" t="s">
        <v>232</v>
      </c>
    </row>
    <row r="47514" spans="119:119" x14ac:dyDescent="0.2">
      <c r="DO47514" s="303" t="s">
        <v>232</v>
      </c>
    </row>
    <row r="47515" spans="119:119" x14ac:dyDescent="0.2">
      <c r="DO47515" s="303" t="s">
        <v>232</v>
      </c>
    </row>
    <row r="47516" spans="119:119" x14ac:dyDescent="0.2">
      <c r="DO47516" s="303" t="s">
        <v>232</v>
      </c>
    </row>
    <row r="47517" spans="119:119" x14ac:dyDescent="0.2">
      <c r="DO47517" s="303" t="s">
        <v>232</v>
      </c>
    </row>
    <row r="47518" spans="119:119" x14ac:dyDescent="0.2">
      <c r="DO47518" s="303" t="s">
        <v>232</v>
      </c>
    </row>
    <row r="47519" spans="119:119" x14ac:dyDescent="0.2">
      <c r="DO47519" s="303" t="s">
        <v>232</v>
      </c>
    </row>
    <row r="47520" spans="119:119" x14ac:dyDescent="0.2">
      <c r="DO47520" s="303" t="s">
        <v>232</v>
      </c>
    </row>
    <row r="47521" spans="119:119" x14ac:dyDescent="0.2">
      <c r="DO47521" s="303" t="s">
        <v>232</v>
      </c>
    </row>
    <row r="47522" spans="119:119" x14ac:dyDescent="0.2">
      <c r="DO47522" s="303" t="s">
        <v>232</v>
      </c>
    </row>
    <row r="47523" spans="119:119" x14ac:dyDescent="0.2">
      <c r="DO47523" s="303" t="s">
        <v>232</v>
      </c>
    </row>
    <row r="47524" spans="119:119" x14ac:dyDescent="0.2">
      <c r="DO47524" s="303" t="s">
        <v>232</v>
      </c>
    </row>
    <row r="47525" spans="119:119" x14ac:dyDescent="0.2">
      <c r="DO47525" s="303" t="s">
        <v>232</v>
      </c>
    </row>
    <row r="47526" spans="119:119" x14ac:dyDescent="0.2">
      <c r="DO47526" s="303" t="s">
        <v>232</v>
      </c>
    </row>
    <row r="47527" spans="119:119" x14ac:dyDescent="0.2">
      <c r="DO47527" s="303" t="s">
        <v>232</v>
      </c>
    </row>
    <row r="47528" spans="119:119" x14ac:dyDescent="0.2">
      <c r="DO47528" s="303" t="s">
        <v>232</v>
      </c>
    </row>
    <row r="47529" spans="119:119" x14ac:dyDescent="0.2">
      <c r="DO47529" s="303" t="s">
        <v>232</v>
      </c>
    </row>
    <row r="47530" spans="119:119" x14ac:dyDescent="0.2">
      <c r="DO47530" s="303" t="s">
        <v>232</v>
      </c>
    </row>
    <row r="47531" spans="119:119" x14ac:dyDescent="0.2">
      <c r="DO47531" s="303" t="s">
        <v>232</v>
      </c>
    </row>
    <row r="47532" spans="119:119" x14ac:dyDescent="0.2">
      <c r="DO47532" s="303" t="s">
        <v>232</v>
      </c>
    </row>
    <row r="47533" spans="119:119" x14ac:dyDescent="0.2">
      <c r="DO47533" s="303" t="s">
        <v>232</v>
      </c>
    </row>
    <row r="47534" spans="119:119" x14ac:dyDescent="0.2">
      <c r="DO47534" s="303" t="s">
        <v>232</v>
      </c>
    </row>
    <row r="47535" spans="119:119" x14ac:dyDescent="0.2">
      <c r="DO47535" s="303" t="s">
        <v>232</v>
      </c>
    </row>
    <row r="47536" spans="119:119" x14ac:dyDescent="0.2">
      <c r="DO47536" s="303" t="s">
        <v>232</v>
      </c>
    </row>
    <row r="47537" spans="119:119" x14ac:dyDescent="0.2">
      <c r="DO47537" s="303" t="s">
        <v>232</v>
      </c>
    </row>
    <row r="47538" spans="119:119" x14ac:dyDescent="0.2">
      <c r="DO47538" s="303" t="s">
        <v>232</v>
      </c>
    </row>
    <row r="47539" spans="119:119" x14ac:dyDescent="0.2">
      <c r="DO47539" s="303" t="s">
        <v>232</v>
      </c>
    </row>
    <row r="47540" spans="119:119" x14ac:dyDescent="0.2">
      <c r="DO47540" s="303" t="s">
        <v>232</v>
      </c>
    </row>
    <row r="47541" spans="119:119" x14ac:dyDescent="0.2">
      <c r="DO47541" s="303" t="s">
        <v>232</v>
      </c>
    </row>
    <row r="47542" spans="119:119" x14ac:dyDescent="0.2">
      <c r="DO47542" s="303" t="s">
        <v>232</v>
      </c>
    </row>
    <row r="47543" spans="119:119" x14ac:dyDescent="0.2">
      <c r="DO47543" s="303" t="s">
        <v>232</v>
      </c>
    </row>
    <row r="47544" spans="119:119" x14ac:dyDescent="0.2">
      <c r="DO47544" s="303" t="s">
        <v>232</v>
      </c>
    </row>
    <row r="47545" spans="119:119" x14ac:dyDescent="0.2">
      <c r="DO47545" s="303" t="s">
        <v>232</v>
      </c>
    </row>
    <row r="47546" spans="119:119" x14ac:dyDescent="0.2">
      <c r="DO47546" s="303" t="s">
        <v>232</v>
      </c>
    </row>
    <row r="47547" spans="119:119" x14ac:dyDescent="0.2">
      <c r="DO47547" s="303" t="s">
        <v>232</v>
      </c>
    </row>
    <row r="47548" spans="119:119" x14ac:dyDescent="0.2">
      <c r="DO47548" s="303" t="s">
        <v>232</v>
      </c>
    </row>
    <row r="47549" spans="119:119" x14ac:dyDescent="0.2">
      <c r="DO47549" s="303" t="s">
        <v>232</v>
      </c>
    </row>
    <row r="47550" spans="119:119" x14ac:dyDescent="0.2">
      <c r="DO47550" s="303" t="s">
        <v>232</v>
      </c>
    </row>
    <row r="47551" spans="119:119" x14ac:dyDescent="0.2">
      <c r="DO47551" s="303" t="s">
        <v>232</v>
      </c>
    </row>
    <row r="47552" spans="119:119" x14ac:dyDescent="0.2">
      <c r="DO47552" s="303" t="s">
        <v>232</v>
      </c>
    </row>
    <row r="47553" spans="119:119" x14ac:dyDescent="0.2">
      <c r="DO47553" s="303" t="s">
        <v>232</v>
      </c>
    </row>
    <row r="47554" spans="119:119" x14ac:dyDescent="0.2">
      <c r="DO47554" s="303" t="s">
        <v>232</v>
      </c>
    </row>
    <row r="47555" spans="119:119" x14ac:dyDescent="0.2">
      <c r="DO47555" s="303" t="s">
        <v>232</v>
      </c>
    </row>
    <row r="47556" spans="119:119" x14ac:dyDescent="0.2">
      <c r="DO47556" s="303" t="s">
        <v>232</v>
      </c>
    </row>
    <row r="47557" spans="119:119" x14ac:dyDescent="0.2">
      <c r="DO47557" s="303" t="s">
        <v>232</v>
      </c>
    </row>
    <row r="47558" spans="119:119" x14ac:dyDescent="0.2">
      <c r="DO47558" s="303" t="s">
        <v>232</v>
      </c>
    </row>
    <row r="47559" spans="119:119" x14ac:dyDescent="0.2">
      <c r="DO47559" s="303" t="s">
        <v>232</v>
      </c>
    </row>
    <row r="47560" spans="119:119" x14ac:dyDescent="0.2">
      <c r="DO47560" s="303" t="s">
        <v>232</v>
      </c>
    </row>
    <row r="47561" spans="119:119" x14ac:dyDescent="0.2">
      <c r="DO47561" s="303" t="s">
        <v>232</v>
      </c>
    </row>
    <row r="47562" spans="119:119" x14ac:dyDescent="0.2">
      <c r="DO47562" s="303" t="s">
        <v>232</v>
      </c>
    </row>
    <row r="47563" spans="119:119" x14ac:dyDescent="0.2">
      <c r="DO47563" s="303" t="s">
        <v>232</v>
      </c>
    </row>
    <row r="47564" spans="119:119" x14ac:dyDescent="0.2">
      <c r="DO47564" s="303" t="s">
        <v>232</v>
      </c>
    </row>
    <row r="47565" spans="119:119" x14ac:dyDescent="0.2">
      <c r="DO47565" s="303" t="s">
        <v>232</v>
      </c>
    </row>
    <row r="47566" spans="119:119" x14ac:dyDescent="0.2">
      <c r="DO47566" s="303" t="s">
        <v>232</v>
      </c>
    </row>
    <row r="47567" spans="119:119" x14ac:dyDescent="0.2">
      <c r="DO47567" s="303" t="s">
        <v>232</v>
      </c>
    </row>
    <row r="47568" spans="119:119" x14ac:dyDescent="0.2">
      <c r="DO47568" s="303" t="s">
        <v>232</v>
      </c>
    </row>
    <row r="47569" spans="119:119" x14ac:dyDescent="0.2">
      <c r="DO47569" s="303" t="s">
        <v>232</v>
      </c>
    </row>
    <row r="47570" spans="119:119" x14ac:dyDescent="0.2">
      <c r="DO47570" s="303" t="s">
        <v>232</v>
      </c>
    </row>
    <row r="47571" spans="119:119" x14ac:dyDescent="0.2">
      <c r="DO47571" s="303" t="s">
        <v>232</v>
      </c>
    </row>
    <row r="47572" spans="119:119" x14ac:dyDescent="0.2">
      <c r="DO47572" s="303" t="s">
        <v>232</v>
      </c>
    </row>
    <row r="47573" spans="119:119" x14ac:dyDescent="0.2">
      <c r="DO47573" s="303" t="s">
        <v>232</v>
      </c>
    </row>
    <row r="47574" spans="119:119" x14ac:dyDescent="0.2">
      <c r="DO47574" s="303" t="s">
        <v>232</v>
      </c>
    </row>
    <row r="47575" spans="119:119" x14ac:dyDescent="0.2">
      <c r="DO47575" s="303" t="s">
        <v>232</v>
      </c>
    </row>
    <row r="47576" spans="119:119" x14ac:dyDescent="0.2">
      <c r="DO47576" s="303" t="s">
        <v>232</v>
      </c>
    </row>
    <row r="47577" spans="119:119" x14ac:dyDescent="0.2">
      <c r="DO47577" s="303" t="s">
        <v>232</v>
      </c>
    </row>
    <row r="47578" spans="119:119" x14ac:dyDescent="0.2">
      <c r="DO47578" s="303" t="s">
        <v>232</v>
      </c>
    </row>
    <row r="47579" spans="119:119" x14ac:dyDescent="0.2">
      <c r="DO47579" s="303" t="s">
        <v>232</v>
      </c>
    </row>
    <row r="47580" spans="119:119" x14ac:dyDescent="0.2">
      <c r="DO47580" s="303" t="s">
        <v>232</v>
      </c>
    </row>
    <row r="47581" spans="119:119" x14ac:dyDescent="0.2">
      <c r="DO47581" s="303" t="s">
        <v>232</v>
      </c>
    </row>
    <row r="47582" spans="119:119" x14ac:dyDescent="0.2">
      <c r="DO47582" s="303" t="s">
        <v>232</v>
      </c>
    </row>
    <row r="47583" spans="119:119" x14ac:dyDescent="0.2">
      <c r="DO47583" s="303" t="s">
        <v>232</v>
      </c>
    </row>
    <row r="47584" spans="119:119" x14ac:dyDescent="0.2">
      <c r="DO47584" s="303" t="s">
        <v>232</v>
      </c>
    </row>
    <row r="47585" spans="119:119" x14ac:dyDescent="0.2">
      <c r="DO47585" s="303" t="s">
        <v>232</v>
      </c>
    </row>
    <row r="47586" spans="119:119" x14ac:dyDescent="0.2">
      <c r="DO47586" s="303" t="s">
        <v>232</v>
      </c>
    </row>
    <row r="47587" spans="119:119" x14ac:dyDescent="0.2">
      <c r="DO47587" s="303" t="s">
        <v>232</v>
      </c>
    </row>
    <row r="47588" spans="119:119" x14ac:dyDescent="0.2">
      <c r="DO47588" s="303" t="s">
        <v>232</v>
      </c>
    </row>
    <row r="47589" spans="119:119" x14ac:dyDescent="0.2">
      <c r="DO47589" s="303" t="s">
        <v>232</v>
      </c>
    </row>
    <row r="47590" spans="119:119" x14ac:dyDescent="0.2">
      <c r="DO47590" s="303" t="s">
        <v>232</v>
      </c>
    </row>
    <row r="47591" spans="119:119" x14ac:dyDescent="0.2">
      <c r="DO47591" s="303" t="s">
        <v>232</v>
      </c>
    </row>
    <row r="47592" spans="119:119" x14ac:dyDescent="0.2">
      <c r="DO47592" s="303" t="s">
        <v>232</v>
      </c>
    </row>
    <row r="47593" spans="119:119" x14ac:dyDescent="0.2">
      <c r="DO47593" s="303" t="s">
        <v>232</v>
      </c>
    </row>
    <row r="47594" spans="119:119" x14ac:dyDescent="0.2">
      <c r="DO47594" s="303" t="s">
        <v>232</v>
      </c>
    </row>
    <row r="47595" spans="119:119" x14ac:dyDescent="0.2">
      <c r="DO47595" s="303" t="s">
        <v>232</v>
      </c>
    </row>
    <row r="47596" spans="119:119" x14ac:dyDescent="0.2">
      <c r="DO47596" s="303" t="s">
        <v>232</v>
      </c>
    </row>
    <row r="47597" spans="119:119" x14ac:dyDescent="0.2">
      <c r="DO47597" s="303" t="s">
        <v>232</v>
      </c>
    </row>
    <row r="47598" spans="119:119" x14ac:dyDescent="0.2">
      <c r="DO47598" s="303" t="s">
        <v>232</v>
      </c>
    </row>
    <row r="47599" spans="119:119" x14ac:dyDescent="0.2">
      <c r="DO47599" s="303" t="s">
        <v>232</v>
      </c>
    </row>
    <row r="47600" spans="119:119" x14ac:dyDescent="0.2">
      <c r="DO47600" s="303" t="s">
        <v>232</v>
      </c>
    </row>
    <row r="47601" spans="119:119" x14ac:dyDescent="0.2">
      <c r="DO47601" s="303" t="s">
        <v>232</v>
      </c>
    </row>
    <row r="47602" spans="119:119" x14ac:dyDescent="0.2">
      <c r="DO47602" s="303" t="s">
        <v>232</v>
      </c>
    </row>
    <row r="47603" spans="119:119" x14ac:dyDescent="0.2">
      <c r="DO47603" s="303" t="s">
        <v>232</v>
      </c>
    </row>
    <row r="47604" spans="119:119" x14ac:dyDescent="0.2">
      <c r="DO47604" s="303" t="s">
        <v>232</v>
      </c>
    </row>
    <row r="47605" spans="119:119" x14ac:dyDescent="0.2">
      <c r="DO47605" s="303" t="s">
        <v>232</v>
      </c>
    </row>
    <row r="47606" spans="119:119" x14ac:dyDescent="0.2">
      <c r="DO47606" s="303" t="s">
        <v>232</v>
      </c>
    </row>
    <row r="47607" spans="119:119" x14ac:dyDescent="0.2">
      <c r="DO47607" s="303" t="s">
        <v>232</v>
      </c>
    </row>
    <row r="47608" spans="119:119" x14ac:dyDescent="0.2">
      <c r="DO47608" s="303" t="s">
        <v>232</v>
      </c>
    </row>
    <row r="47609" spans="119:119" x14ac:dyDescent="0.2">
      <c r="DO47609" s="303" t="s">
        <v>232</v>
      </c>
    </row>
    <row r="47610" spans="119:119" x14ac:dyDescent="0.2">
      <c r="DO47610" s="303" t="s">
        <v>232</v>
      </c>
    </row>
    <row r="47611" spans="119:119" x14ac:dyDescent="0.2">
      <c r="DO47611" s="303" t="s">
        <v>232</v>
      </c>
    </row>
    <row r="47612" spans="119:119" x14ac:dyDescent="0.2">
      <c r="DO47612" s="303" t="s">
        <v>232</v>
      </c>
    </row>
    <row r="47613" spans="119:119" x14ac:dyDescent="0.2">
      <c r="DO47613" s="303" t="s">
        <v>232</v>
      </c>
    </row>
    <row r="47614" spans="119:119" x14ac:dyDescent="0.2">
      <c r="DO47614" s="303" t="s">
        <v>232</v>
      </c>
    </row>
    <row r="47615" spans="119:119" x14ac:dyDescent="0.2">
      <c r="DO47615" s="303" t="s">
        <v>232</v>
      </c>
    </row>
    <row r="47616" spans="119:119" x14ac:dyDescent="0.2">
      <c r="DO47616" s="303" t="s">
        <v>232</v>
      </c>
    </row>
    <row r="47617" spans="119:119" x14ac:dyDescent="0.2">
      <c r="DO47617" s="303" t="s">
        <v>232</v>
      </c>
    </row>
    <row r="47618" spans="119:119" x14ac:dyDescent="0.2">
      <c r="DO47618" s="303" t="s">
        <v>232</v>
      </c>
    </row>
    <row r="47619" spans="119:119" x14ac:dyDescent="0.2">
      <c r="DO47619" s="303" t="s">
        <v>232</v>
      </c>
    </row>
    <row r="47620" spans="119:119" x14ac:dyDescent="0.2">
      <c r="DO47620" s="303" t="s">
        <v>232</v>
      </c>
    </row>
    <row r="47621" spans="119:119" x14ac:dyDescent="0.2">
      <c r="DO47621" s="303" t="s">
        <v>232</v>
      </c>
    </row>
    <row r="47622" spans="119:119" x14ac:dyDescent="0.2">
      <c r="DO47622" s="303" t="s">
        <v>232</v>
      </c>
    </row>
    <row r="47623" spans="119:119" x14ac:dyDescent="0.2">
      <c r="DO47623" s="303" t="s">
        <v>232</v>
      </c>
    </row>
    <row r="47624" spans="119:119" x14ac:dyDescent="0.2">
      <c r="DO47624" s="303" t="s">
        <v>232</v>
      </c>
    </row>
    <row r="47625" spans="119:119" x14ac:dyDescent="0.2">
      <c r="DO47625" s="303" t="s">
        <v>232</v>
      </c>
    </row>
    <row r="47626" spans="119:119" x14ac:dyDescent="0.2">
      <c r="DO47626" s="303" t="s">
        <v>232</v>
      </c>
    </row>
    <row r="47627" spans="119:119" x14ac:dyDescent="0.2">
      <c r="DO47627" s="303" t="s">
        <v>232</v>
      </c>
    </row>
    <row r="47628" spans="119:119" x14ac:dyDescent="0.2">
      <c r="DO47628" s="303" t="s">
        <v>232</v>
      </c>
    </row>
    <row r="47629" spans="119:119" x14ac:dyDescent="0.2">
      <c r="DO47629" s="303" t="s">
        <v>232</v>
      </c>
    </row>
    <row r="47630" spans="119:119" x14ac:dyDescent="0.2">
      <c r="DO47630" s="303" t="s">
        <v>232</v>
      </c>
    </row>
    <row r="47631" spans="119:119" x14ac:dyDescent="0.2">
      <c r="DO47631" s="303" t="s">
        <v>232</v>
      </c>
    </row>
    <row r="47632" spans="119:119" x14ac:dyDescent="0.2">
      <c r="DO47632" s="303" t="s">
        <v>232</v>
      </c>
    </row>
    <row r="47633" spans="119:119" x14ac:dyDescent="0.2">
      <c r="DO47633" s="303" t="s">
        <v>232</v>
      </c>
    </row>
    <row r="47634" spans="119:119" x14ac:dyDescent="0.2">
      <c r="DO47634" s="303" t="s">
        <v>232</v>
      </c>
    </row>
    <row r="47635" spans="119:119" x14ac:dyDescent="0.2">
      <c r="DO47635" s="303" t="s">
        <v>232</v>
      </c>
    </row>
    <row r="47636" spans="119:119" x14ac:dyDescent="0.2">
      <c r="DO47636" s="303" t="s">
        <v>232</v>
      </c>
    </row>
    <row r="47637" spans="119:119" x14ac:dyDescent="0.2">
      <c r="DO47637" s="303" t="s">
        <v>232</v>
      </c>
    </row>
    <row r="47638" spans="119:119" x14ac:dyDescent="0.2">
      <c r="DO47638" s="303" t="s">
        <v>232</v>
      </c>
    </row>
    <row r="47639" spans="119:119" x14ac:dyDescent="0.2">
      <c r="DO47639" s="303" t="s">
        <v>232</v>
      </c>
    </row>
    <row r="47640" spans="119:119" x14ac:dyDescent="0.2">
      <c r="DO47640" s="303" t="s">
        <v>232</v>
      </c>
    </row>
    <row r="47641" spans="119:119" x14ac:dyDescent="0.2">
      <c r="DO47641" s="303" t="s">
        <v>232</v>
      </c>
    </row>
    <row r="47642" spans="119:119" x14ac:dyDescent="0.2">
      <c r="DO47642" s="303" t="s">
        <v>232</v>
      </c>
    </row>
    <row r="47643" spans="119:119" x14ac:dyDescent="0.2">
      <c r="DO47643" s="303" t="s">
        <v>232</v>
      </c>
    </row>
    <row r="47644" spans="119:119" x14ac:dyDescent="0.2">
      <c r="DO47644" s="303" t="s">
        <v>232</v>
      </c>
    </row>
    <row r="47645" spans="119:119" x14ac:dyDescent="0.2">
      <c r="DO47645" s="303" t="s">
        <v>232</v>
      </c>
    </row>
    <row r="47646" spans="119:119" x14ac:dyDescent="0.2">
      <c r="DO47646" s="303" t="s">
        <v>232</v>
      </c>
    </row>
    <row r="47647" spans="119:119" x14ac:dyDescent="0.2">
      <c r="DO47647" s="303" t="s">
        <v>232</v>
      </c>
    </row>
    <row r="47648" spans="119:119" x14ac:dyDescent="0.2">
      <c r="DO47648" s="303" t="s">
        <v>232</v>
      </c>
    </row>
    <row r="47649" spans="119:119" x14ac:dyDescent="0.2">
      <c r="DO47649" s="303" t="s">
        <v>232</v>
      </c>
    </row>
    <row r="47650" spans="119:119" x14ac:dyDescent="0.2">
      <c r="DO47650" s="303" t="s">
        <v>232</v>
      </c>
    </row>
    <row r="47651" spans="119:119" x14ac:dyDescent="0.2">
      <c r="DO47651" s="303" t="s">
        <v>232</v>
      </c>
    </row>
    <row r="47652" spans="119:119" x14ac:dyDescent="0.2">
      <c r="DO47652" s="303" t="s">
        <v>232</v>
      </c>
    </row>
    <row r="47653" spans="119:119" x14ac:dyDescent="0.2">
      <c r="DO47653" s="303" t="s">
        <v>232</v>
      </c>
    </row>
    <row r="47654" spans="119:119" x14ac:dyDescent="0.2">
      <c r="DO47654" s="303" t="s">
        <v>232</v>
      </c>
    </row>
    <row r="47655" spans="119:119" x14ac:dyDescent="0.2">
      <c r="DO47655" s="303" t="s">
        <v>232</v>
      </c>
    </row>
    <row r="47656" spans="119:119" x14ac:dyDescent="0.2">
      <c r="DO47656" s="303" t="s">
        <v>232</v>
      </c>
    </row>
    <row r="47657" spans="119:119" x14ac:dyDescent="0.2">
      <c r="DO47657" s="303" t="s">
        <v>232</v>
      </c>
    </row>
    <row r="47658" spans="119:119" x14ac:dyDescent="0.2">
      <c r="DO47658" s="303" t="s">
        <v>232</v>
      </c>
    </row>
    <row r="47659" spans="119:119" x14ac:dyDescent="0.2">
      <c r="DO47659" s="303" t="s">
        <v>232</v>
      </c>
    </row>
    <row r="47660" spans="119:119" x14ac:dyDescent="0.2">
      <c r="DO47660" s="303" t="s">
        <v>232</v>
      </c>
    </row>
    <row r="47661" spans="119:119" x14ac:dyDescent="0.2">
      <c r="DO47661" s="303" t="s">
        <v>232</v>
      </c>
    </row>
    <row r="47662" spans="119:119" x14ac:dyDescent="0.2">
      <c r="DO47662" s="303" t="s">
        <v>232</v>
      </c>
    </row>
    <row r="47663" spans="119:119" x14ac:dyDescent="0.2">
      <c r="DO47663" s="303" t="s">
        <v>232</v>
      </c>
    </row>
    <row r="47664" spans="119:119" x14ac:dyDescent="0.2">
      <c r="DO47664" s="303" t="s">
        <v>232</v>
      </c>
    </row>
    <row r="47665" spans="119:119" x14ac:dyDescent="0.2">
      <c r="DO47665" s="303" t="s">
        <v>232</v>
      </c>
    </row>
    <row r="47666" spans="119:119" x14ac:dyDescent="0.2">
      <c r="DO47666" s="303" t="s">
        <v>232</v>
      </c>
    </row>
    <row r="47667" spans="119:119" x14ac:dyDescent="0.2">
      <c r="DO47667" s="303" t="s">
        <v>232</v>
      </c>
    </row>
    <row r="47668" spans="119:119" x14ac:dyDescent="0.2">
      <c r="DO47668" s="303" t="s">
        <v>232</v>
      </c>
    </row>
    <row r="47669" spans="119:119" x14ac:dyDescent="0.2">
      <c r="DO47669" s="303" t="s">
        <v>232</v>
      </c>
    </row>
    <row r="47670" spans="119:119" x14ac:dyDescent="0.2">
      <c r="DO47670" s="303" t="s">
        <v>232</v>
      </c>
    </row>
    <row r="47671" spans="119:119" x14ac:dyDescent="0.2">
      <c r="DO47671" s="303" t="s">
        <v>232</v>
      </c>
    </row>
    <row r="47672" spans="119:119" x14ac:dyDescent="0.2">
      <c r="DO47672" s="303" t="s">
        <v>232</v>
      </c>
    </row>
    <row r="47673" spans="119:119" x14ac:dyDescent="0.2">
      <c r="DO47673" s="303" t="s">
        <v>232</v>
      </c>
    </row>
    <row r="47674" spans="119:119" x14ac:dyDescent="0.2">
      <c r="DO47674" s="303" t="s">
        <v>232</v>
      </c>
    </row>
    <row r="47675" spans="119:119" x14ac:dyDescent="0.2">
      <c r="DO47675" s="303" t="s">
        <v>232</v>
      </c>
    </row>
    <row r="47676" spans="119:119" x14ac:dyDescent="0.2">
      <c r="DO47676" s="303" t="s">
        <v>232</v>
      </c>
    </row>
    <row r="47677" spans="119:119" x14ac:dyDescent="0.2">
      <c r="DO47677" s="303" t="s">
        <v>232</v>
      </c>
    </row>
    <row r="47678" spans="119:119" x14ac:dyDescent="0.2">
      <c r="DO47678" s="303" t="s">
        <v>232</v>
      </c>
    </row>
    <row r="47679" spans="119:119" x14ac:dyDescent="0.2">
      <c r="DO47679" s="303" t="s">
        <v>232</v>
      </c>
    </row>
    <row r="47680" spans="119:119" x14ac:dyDescent="0.2">
      <c r="DO47680" s="303" t="s">
        <v>232</v>
      </c>
    </row>
    <row r="47681" spans="119:119" x14ac:dyDescent="0.2">
      <c r="DO47681" s="303" t="s">
        <v>232</v>
      </c>
    </row>
    <row r="47682" spans="119:119" x14ac:dyDescent="0.2">
      <c r="DO47682" s="303" t="s">
        <v>232</v>
      </c>
    </row>
    <row r="47683" spans="119:119" x14ac:dyDescent="0.2">
      <c r="DO47683" s="303" t="s">
        <v>232</v>
      </c>
    </row>
    <row r="47684" spans="119:119" x14ac:dyDescent="0.2">
      <c r="DO47684" s="303" t="s">
        <v>232</v>
      </c>
    </row>
    <row r="47685" spans="119:119" x14ac:dyDescent="0.2">
      <c r="DO47685" s="303" t="s">
        <v>232</v>
      </c>
    </row>
    <row r="47686" spans="119:119" x14ac:dyDescent="0.2">
      <c r="DO47686" s="303" t="s">
        <v>232</v>
      </c>
    </row>
    <row r="47687" spans="119:119" x14ac:dyDescent="0.2">
      <c r="DO47687" s="303" t="s">
        <v>232</v>
      </c>
    </row>
    <row r="47688" spans="119:119" x14ac:dyDescent="0.2">
      <c r="DO47688" s="303" t="s">
        <v>232</v>
      </c>
    </row>
    <row r="47689" spans="119:119" x14ac:dyDescent="0.2">
      <c r="DO47689" s="303" t="s">
        <v>232</v>
      </c>
    </row>
    <row r="47690" spans="119:119" x14ac:dyDescent="0.2">
      <c r="DO47690" s="303" t="s">
        <v>232</v>
      </c>
    </row>
    <row r="47691" spans="119:119" x14ac:dyDescent="0.2">
      <c r="DO47691" s="303" t="s">
        <v>232</v>
      </c>
    </row>
    <row r="47692" spans="119:119" x14ac:dyDescent="0.2">
      <c r="DO47692" s="303" t="s">
        <v>232</v>
      </c>
    </row>
    <row r="47693" spans="119:119" x14ac:dyDescent="0.2">
      <c r="DO47693" s="303" t="s">
        <v>232</v>
      </c>
    </row>
    <row r="47694" spans="119:119" x14ac:dyDescent="0.2">
      <c r="DO47694" s="303" t="s">
        <v>232</v>
      </c>
    </row>
    <row r="47695" spans="119:119" x14ac:dyDescent="0.2">
      <c r="DO47695" s="303" t="s">
        <v>232</v>
      </c>
    </row>
    <row r="47696" spans="119:119" x14ac:dyDescent="0.2">
      <c r="DO47696" s="303" t="s">
        <v>232</v>
      </c>
    </row>
    <row r="47697" spans="119:119" x14ac:dyDescent="0.2">
      <c r="DO47697" s="303" t="s">
        <v>232</v>
      </c>
    </row>
    <row r="47698" spans="119:119" x14ac:dyDescent="0.2">
      <c r="DO47698" s="303" t="s">
        <v>232</v>
      </c>
    </row>
    <row r="47699" spans="119:119" x14ac:dyDescent="0.2">
      <c r="DO47699" s="303" t="s">
        <v>232</v>
      </c>
    </row>
    <row r="47700" spans="119:119" x14ac:dyDescent="0.2">
      <c r="DO47700" s="303" t="s">
        <v>232</v>
      </c>
    </row>
    <row r="47701" spans="119:119" x14ac:dyDescent="0.2">
      <c r="DO47701" s="303" t="s">
        <v>232</v>
      </c>
    </row>
    <row r="47702" spans="119:119" x14ac:dyDescent="0.2">
      <c r="DO47702" s="303" t="s">
        <v>232</v>
      </c>
    </row>
    <row r="47703" spans="119:119" x14ac:dyDescent="0.2">
      <c r="DO47703" s="303" t="s">
        <v>232</v>
      </c>
    </row>
    <row r="47704" spans="119:119" x14ac:dyDescent="0.2">
      <c r="DO47704" s="303" t="s">
        <v>232</v>
      </c>
    </row>
    <row r="47705" spans="119:119" x14ac:dyDescent="0.2">
      <c r="DO47705" s="303" t="s">
        <v>232</v>
      </c>
    </row>
    <row r="47706" spans="119:119" x14ac:dyDescent="0.2">
      <c r="DO47706" s="303" t="s">
        <v>232</v>
      </c>
    </row>
    <row r="47707" spans="119:119" x14ac:dyDescent="0.2">
      <c r="DO47707" s="303" t="s">
        <v>232</v>
      </c>
    </row>
    <row r="47708" spans="119:119" x14ac:dyDescent="0.2">
      <c r="DO47708" s="303" t="s">
        <v>232</v>
      </c>
    </row>
    <row r="47709" spans="119:119" x14ac:dyDescent="0.2">
      <c r="DO47709" s="303" t="s">
        <v>232</v>
      </c>
    </row>
    <row r="47710" spans="119:119" x14ac:dyDescent="0.2">
      <c r="DO47710" s="303" t="s">
        <v>232</v>
      </c>
    </row>
    <row r="47711" spans="119:119" x14ac:dyDescent="0.2">
      <c r="DO47711" s="303" t="s">
        <v>232</v>
      </c>
    </row>
    <row r="47712" spans="119:119" x14ac:dyDescent="0.2">
      <c r="DO47712" s="303" t="s">
        <v>232</v>
      </c>
    </row>
    <row r="47713" spans="119:119" x14ac:dyDescent="0.2">
      <c r="DO47713" s="303" t="s">
        <v>232</v>
      </c>
    </row>
    <row r="47714" spans="119:119" x14ac:dyDescent="0.2">
      <c r="DO47714" s="303" t="s">
        <v>232</v>
      </c>
    </row>
    <row r="47715" spans="119:119" x14ac:dyDescent="0.2">
      <c r="DO47715" s="303" t="s">
        <v>232</v>
      </c>
    </row>
    <row r="47716" spans="119:119" x14ac:dyDescent="0.2">
      <c r="DO47716" s="303" t="s">
        <v>232</v>
      </c>
    </row>
    <row r="47717" spans="119:119" x14ac:dyDescent="0.2">
      <c r="DO47717" s="303" t="s">
        <v>232</v>
      </c>
    </row>
    <row r="47718" spans="119:119" x14ac:dyDescent="0.2">
      <c r="DO47718" s="303" t="s">
        <v>232</v>
      </c>
    </row>
    <row r="47719" spans="119:119" x14ac:dyDescent="0.2">
      <c r="DO47719" s="303" t="s">
        <v>232</v>
      </c>
    </row>
    <row r="47720" spans="119:119" x14ac:dyDescent="0.2">
      <c r="DO47720" s="303" t="s">
        <v>232</v>
      </c>
    </row>
    <row r="47721" spans="119:119" x14ac:dyDescent="0.2">
      <c r="DO47721" s="303" t="s">
        <v>232</v>
      </c>
    </row>
    <row r="47722" spans="119:119" x14ac:dyDescent="0.2">
      <c r="DO47722" s="303" t="s">
        <v>232</v>
      </c>
    </row>
    <row r="47723" spans="119:119" x14ac:dyDescent="0.2">
      <c r="DO47723" s="303" t="s">
        <v>232</v>
      </c>
    </row>
    <row r="47724" spans="119:119" x14ac:dyDescent="0.2">
      <c r="DO47724" s="303" t="s">
        <v>232</v>
      </c>
    </row>
    <row r="47725" spans="119:119" x14ac:dyDescent="0.2">
      <c r="DO47725" s="303" t="s">
        <v>232</v>
      </c>
    </row>
    <row r="47726" spans="119:119" x14ac:dyDescent="0.2">
      <c r="DO47726" s="303" t="s">
        <v>232</v>
      </c>
    </row>
    <row r="47727" spans="119:119" x14ac:dyDescent="0.2">
      <c r="DO47727" s="303" t="s">
        <v>232</v>
      </c>
    </row>
    <row r="47728" spans="119:119" x14ac:dyDescent="0.2">
      <c r="DO47728" s="303" t="s">
        <v>232</v>
      </c>
    </row>
    <row r="47729" spans="119:119" x14ac:dyDescent="0.2">
      <c r="DO47729" s="303" t="s">
        <v>232</v>
      </c>
    </row>
    <row r="47730" spans="119:119" x14ac:dyDescent="0.2">
      <c r="DO47730" s="303" t="s">
        <v>232</v>
      </c>
    </row>
    <row r="47731" spans="119:119" x14ac:dyDescent="0.2">
      <c r="DO47731" s="303" t="s">
        <v>232</v>
      </c>
    </row>
    <row r="47732" spans="119:119" x14ac:dyDescent="0.2">
      <c r="DO47732" s="303" t="s">
        <v>232</v>
      </c>
    </row>
    <row r="47733" spans="119:119" x14ac:dyDescent="0.2">
      <c r="DO47733" s="303" t="s">
        <v>232</v>
      </c>
    </row>
    <row r="47734" spans="119:119" x14ac:dyDescent="0.2">
      <c r="DO47734" s="303" t="s">
        <v>232</v>
      </c>
    </row>
    <row r="47735" spans="119:119" x14ac:dyDescent="0.2">
      <c r="DO47735" s="303" t="s">
        <v>232</v>
      </c>
    </row>
    <row r="47736" spans="119:119" x14ac:dyDescent="0.2">
      <c r="DO47736" s="303" t="s">
        <v>232</v>
      </c>
    </row>
    <row r="47737" spans="119:119" x14ac:dyDescent="0.2">
      <c r="DO47737" s="303" t="s">
        <v>232</v>
      </c>
    </row>
    <row r="47738" spans="119:119" x14ac:dyDescent="0.2">
      <c r="DO47738" s="303" t="s">
        <v>232</v>
      </c>
    </row>
    <row r="47739" spans="119:119" x14ac:dyDescent="0.2">
      <c r="DO47739" s="303" t="s">
        <v>232</v>
      </c>
    </row>
    <row r="47740" spans="119:119" x14ac:dyDescent="0.2">
      <c r="DO47740" s="303" t="s">
        <v>232</v>
      </c>
    </row>
    <row r="47741" spans="119:119" x14ac:dyDescent="0.2">
      <c r="DO47741" s="303" t="s">
        <v>232</v>
      </c>
    </row>
    <row r="47742" spans="119:119" x14ac:dyDescent="0.2">
      <c r="DO47742" s="303" t="s">
        <v>232</v>
      </c>
    </row>
    <row r="47743" spans="119:119" x14ac:dyDescent="0.2">
      <c r="DO47743" s="303" t="s">
        <v>232</v>
      </c>
    </row>
    <row r="47744" spans="119:119" x14ac:dyDescent="0.2">
      <c r="DO47744" s="303" t="s">
        <v>232</v>
      </c>
    </row>
    <row r="47745" spans="119:119" x14ac:dyDescent="0.2">
      <c r="DO47745" s="303" t="s">
        <v>232</v>
      </c>
    </row>
    <row r="47746" spans="119:119" x14ac:dyDescent="0.2">
      <c r="DO47746" s="303" t="s">
        <v>232</v>
      </c>
    </row>
    <row r="47747" spans="119:119" x14ac:dyDescent="0.2">
      <c r="DO47747" s="303" t="s">
        <v>232</v>
      </c>
    </row>
    <row r="47748" spans="119:119" x14ac:dyDescent="0.2">
      <c r="DO47748" s="303" t="s">
        <v>232</v>
      </c>
    </row>
    <row r="47749" spans="119:119" x14ac:dyDescent="0.2">
      <c r="DO47749" s="303" t="s">
        <v>232</v>
      </c>
    </row>
    <row r="47750" spans="119:119" x14ac:dyDescent="0.2">
      <c r="DO47750" s="303" t="s">
        <v>232</v>
      </c>
    </row>
    <row r="47751" spans="119:119" x14ac:dyDescent="0.2">
      <c r="DO47751" s="303" t="s">
        <v>232</v>
      </c>
    </row>
    <row r="47752" spans="119:119" x14ac:dyDescent="0.2">
      <c r="DO47752" s="303" t="s">
        <v>232</v>
      </c>
    </row>
    <row r="47753" spans="119:119" x14ac:dyDescent="0.2">
      <c r="DO47753" s="303" t="s">
        <v>232</v>
      </c>
    </row>
    <row r="47754" spans="119:119" x14ac:dyDescent="0.2">
      <c r="DO47754" s="303" t="s">
        <v>232</v>
      </c>
    </row>
    <row r="47755" spans="119:119" x14ac:dyDescent="0.2">
      <c r="DO47755" s="303" t="s">
        <v>232</v>
      </c>
    </row>
    <row r="47756" spans="119:119" x14ac:dyDescent="0.2">
      <c r="DO47756" s="303" t="s">
        <v>232</v>
      </c>
    </row>
    <row r="47757" spans="119:119" x14ac:dyDescent="0.2">
      <c r="DO47757" s="303" t="s">
        <v>232</v>
      </c>
    </row>
    <row r="47758" spans="119:119" x14ac:dyDescent="0.2">
      <c r="DO47758" s="303" t="s">
        <v>232</v>
      </c>
    </row>
    <row r="47759" spans="119:119" x14ac:dyDescent="0.2">
      <c r="DO47759" s="303" t="s">
        <v>232</v>
      </c>
    </row>
    <row r="47760" spans="119:119" x14ac:dyDescent="0.2">
      <c r="DO47760" s="303" t="s">
        <v>232</v>
      </c>
    </row>
    <row r="47761" spans="119:119" x14ac:dyDescent="0.2">
      <c r="DO47761" s="303" t="s">
        <v>232</v>
      </c>
    </row>
    <row r="47762" spans="119:119" x14ac:dyDescent="0.2">
      <c r="DO47762" s="303" t="s">
        <v>232</v>
      </c>
    </row>
    <row r="47763" spans="119:119" x14ac:dyDescent="0.2">
      <c r="DO47763" s="303" t="s">
        <v>232</v>
      </c>
    </row>
    <row r="47764" spans="119:119" x14ac:dyDescent="0.2">
      <c r="DO47764" s="303" t="s">
        <v>232</v>
      </c>
    </row>
    <row r="47765" spans="119:119" x14ac:dyDescent="0.2">
      <c r="DO47765" s="303" t="s">
        <v>232</v>
      </c>
    </row>
    <row r="47766" spans="119:119" x14ac:dyDescent="0.2">
      <c r="DO47766" s="303" t="s">
        <v>232</v>
      </c>
    </row>
    <row r="47767" spans="119:119" x14ac:dyDescent="0.2">
      <c r="DO47767" s="303" t="s">
        <v>232</v>
      </c>
    </row>
    <row r="47768" spans="119:119" x14ac:dyDescent="0.2">
      <c r="DO47768" s="303" t="s">
        <v>232</v>
      </c>
    </row>
    <row r="47769" spans="119:119" x14ac:dyDescent="0.2">
      <c r="DO47769" s="303" t="s">
        <v>232</v>
      </c>
    </row>
    <row r="47770" spans="119:119" x14ac:dyDescent="0.2">
      <c r="DO47770" s="303" t="s">
        <v>232</v>
      </c>
    </row>
    <row r="47771" spans="119:119" x14ac:dyDescent="0.2">
      <c r="DO47771" s="303" t="s">
        <v>232</v>
      </c>
    </row>
    <row r="47772" spans="119:119" x14ac:dyDescent="0.2">
      <c r="DO47772" s="303" t="s">
        <v>232</v>
      </c>
    </row>
    <row r="47773" spans="119:119" x14ac:dyDescent="0.2">
      <c r="DO47773" s="303" t="s">
        <v>232</v>
      </c>
    </row>
    <row r="47774" spans="119:119" x14ac:dyDescent="0.2">
      <c r="DO47774" s="303" t="s">
        <v>232</v>
      </c>
    </row>
    <row r="47775" spans="119:119" x14ac:dyDescent="0.2">
      <c r="DO47775" s="303" t="s">
        <v>232</v>
      </c>
    </row>
    <row r="47776" spans="119:119" x14ac:dyDescent="0.2">
      <c r="DO47776" s="303" t="s">
        <v>232</v>
      </c>
    </row>
    <row r="47777" spans="119:119" x14ac:dyDescent="0.2">
      <c r="DO47777" s="303" t="s">
        <v>232</v>
      </c>
    </row>
    <row r="47778" spans="119:119" x14ac:dyDescent="0.2">
      <c r="DO47778" s="303" t="s">
        <v>232</v>
      </c>
    </row>
    <row r="47779" spans="119:119" x14ac:dyDescent="0.2">
      <c r="DO47779" s="303" t="s">
        <v>232</v>
      </c>
    </row>
    <row r="47780" spans="119:119" x14ac:dyDescent="0.2">
      <c r="DO47780" s="303" t="s">
        <v>232</v>
      </c>
    </row>
    <row r="47781" spans="119:119" x14ac:dyDescent="0.2">
      <c r="DO47781" s="303" t="s">
        <v>232</v>
      </c>
    </row>
    <row r="47782" spans="119:119" x14ac:dyDescent="0.2">
      <c r="DO47782" s="303" t="s">
        <v>232</v>
      </c>
    </row>
    <row r="47783" spans="119:119" x14ac:dyDescent="0.2">
      <c r="DO47783" s="303" t="s">
        <v>232</v>
      </c>
    </row>
    <row r="47784" spans="119:119" x14ac:dyDescent="0.2">
      <c r="DO47784" s="303" t="s">
        <v>232</v>
      </c>
    </row>
    <row r="47785" spans="119:119" x14ac:dyDescent="0.2">
      <c r="DO47785" s="303" t="s">
        <v>232</v>
      </c>
    </row>
    <row r="47786" spans="119:119" x14ac:dyDescent="0.2">
      <c r="DO47786" s="303" t="s">
        <v>232</v>
      </c>
    </row>
    <row r="47787" spans="119:119" x14ac:dyDescent="0.2">
      <c r="DO47787" s="303" t="s">
        <v>232</v>
      </c>
    </row>
    <row r="47788" spans="119:119" x14ac:dyDescent="0.2">
      <c r="DO47788" s="303" t="s">
        <v>232</v>
      </c>
    </row>
    <row r="47789" spans="119:119" x14ac:dyDescent="0.2">
      <c r="DO47789" s="303" t="s">
        <v>232</v>
      </c>
    </row>
    <row r="47790" spans="119:119" x14ac:dyDescent="0.2">
      <c r="DO47790" s="303" t="s">
        <v>232</v>
      </c>
    </row>
    <row r="47791" spans="119:119" x14ac:dyDescent="0.2">
      <c r="DO47791" s="303" t="s">
        <v>232</v>
      </c>
    </row>
    <row r="47792" spans="119:119" x14ac:dyDescent="0.2">
      <c r="DO47792" s="303" t="s">
        <v>232</v>
      </c>
    </row>
    <row r="47793" spans="119:119" x14ac:dyDescent="0.2">
      <c r="DO47793" s="303" t="s">
        <v>232</v>
      </c>
    </row>
    <row r="47794" spans="119:119" x14ac:dyDescent="0.2">
      <c r="DO47794" s="303" t="s">
        <v>232</v>
      </c>
    </row>
    <row r="47795" spans="119:119" x14ac:dyDescent="0.2">
      <c r="DO47795" s="303" t="s">
        <v>232</v>
      </c>
    </row>
    <row r="47796" spans="119:119" x14ac:dyDescent="0.2">
      <c r="DO47796" s="303" t="s">
        <v>232</v>
      </c>
    </row>
    <row r="47797" spans="119:119" x14ac:dyDescent="0.2">
      <c r="DO47797" s="303" t="s">
        <v>232</v>
      </c>
    </row>
    <row r="47798" spans="119:119" x14ac:dyDescent="0.2">
      <c r="DO47798" s="303" t="s">
        <v>232</v>
      </c>
    </row>
    <row r="47799" spans="119:119" x14ac:dyDescent="0.2">
      <c r="DO47799" s="303" t="s">
        <v>232</v>
      </c>
    </row>
    <row r="47800" spans="119:119" x14ac:dyDescent="0.2">
      <c r="DO47800" s="303" t="s">
        <v>232</v>
      </c>
    </row>
    <row r="47801" spans="119:119" x14ac:dyDescent="0.2">
      <c r="DO47801" s="303" t="s">
        <v>232</v>
      </c>
    </row>
    <row r="47802" spans="119:119" x14ac:dyDescent="0.2">
      <c r="DO47802" s="303" t="s">
        <v>232</v>
      </c>
    </row>
    <row r="47803" spans="119:119" x14ac:dyDescent="0.2">
      <c r="DO47803" s="303" t="s">
        <v>232</v>
      </c>
    </row>
    <row r="47804" spans="119:119" x14ac:dyDescent="0.2">
      <c r="DO47804" s="303" t="s">
        <v>232</v>
      </c>
    </row>
    <row r="47805" spans="119:119" x14ac:dyDescent="0.2">
      <c r="DO47805" s="303" t="s">
        <v>232</v>
      </c>
    </row>
    <row r="47806" spans="119:119" x14ac:dyDescent="0.2">
      <c r="DO47806" s="303" t="s">
        <v>232</v>
      </c>
    </row>
    <row r="47807" spans="119:119" x14ac:dyDescent="0.2">
      <c r="DO47807" s="303" t="s">
        <v>232</v>
      </c>
    </row>
    <row r="47808" spans="119:119" x14ac:dyDescent="0.2">
      <c r="DO47808" s="303" t="s">
        <v>232</v>
      </c>
    </row>
    <row r="47809" spans="119:119" x14ac:dyDescent="0.2">
      <c r="DO47809" s="303" t="s">
        <v>232</v>
      </c>
    </row>
    <row r="47810" spans="119:119" x14ac:dyDescent="0.2">
      <c r="DO47810" s="303" t="s">
        <v>232</v>
      </c>
    </row>
    <row r="47811" spans="119:119" x14ac:dyDescent="0.2">
      <c r="DO47811" s="303" t="s">
        <v>232</v>
      </c>
    </row>
    <row r="47812" spans="119:119" x14ac:dyDescent="0.2">
      <c r="DO47812" s="303" t="s">
        <v>232</v>
      </c>
    </row>
    <row r="47813" spans="119:119" x14ac:dyDescent="0.2">
      <c r="DO47813" s="303" t="s">
        <v>232</v>
      </c>
    </row>
    <row r="47814" spans="119:119" x14ac:dyDescent="0.2">
      <c r="DO47814" s="303" t="s">
        <v>232</v>
      </c>
    </row>
    <row r="47815" spans="119:119" x14ac:dyDescent="0.2">
      <c r="DO47815" s="303" t="s">
        <v>232</v>
      </c>
    </row>
    <row r="47816" spans="119:119" x14ac:dyDescent="0.2">
      <c r="DO47816" s="303" t="s">
        <v>232</v>
      </c>
    </row>
    <row r="47817" spans="119:119" x14ac:dyDescent="0.2">
      <c r="DO47817" s="303" t="s">
        <v>232</v>
      </c>
    </row>
    <row r="47818" spans="119:119" x14ac:dyDescent="0.2">
      <c r="DO47818" s="303" t="s">
        <v>232</v>
      </c>
    </row>
    <row r="47819" spans="119:119" x14ac:dyDescent="0.2">
      <c r="DO47819" s="303" t="s">
        <v>232</v>
      </c>
    </row>
    <row r="47820" spans="119:119" x14ac:dyDescent="0.2">
      <c r="DO47820" s="303" t="s">
        <v>232</v>
      </c>
    </row>
    <row r="47821" spans="119:119" x14ac:dyDescent="0.2">
      <c r="DO47821" s="303" t="s">
        <v>232</v>
      </c>
    </row>
    <row r="47822" spans="119:119" x14ac:dyDescent="0.2">
      <c r="DO47822" s="303" t="s">
        <v>232</v>
      </c>
    </row>
    <row r="47823" spans="119:119" x14ac:dyDescent="0.2">
      <c r="DO47823" s="303" t="s">
        <v>232</v>
      </c>
    </row>
    <row r="47824" spans="119:119" x14ac:dyDescent="0.2">
      <c r="DO47824" s="303" t="s">
        <v>232</v>
      </c>
    </row>
    <row r="47825" spans="119:119" x14ac:dyDescent="0.2">
      <c r="DO47825" s="303" t="s">
        <v>232</v>
      </c>
    </row>
    <row r="47826" spans="119:119" x14ac:dyDescent="0.2">
      <c r="DO47826" s="303" t="s">
        <v>232</v>
      </c>
    </row>
    <row r="47827" spans="119:119" x14ac:dyDescent="0.2">
      <c r="DO47827" s="303" t="s">
        <v>232</v>
      </c>
    </row>
    <row r="47828" spans="119:119" x14ac:dyDescent="0.2">
      <c r="DO47828" s="303" t="s">
        <v>232</v>
      </c>
    </row>
    <row r="47829" spans="119:119" x14ac:dyDescent="0.2">
      <c r="DO47829" s="303" t="s">
        <v>232</v>
      </c>
    </row>
    <row r="47830" spans="119:119" x14ac:dyDescent="0.2">
      <c r="DO47830" s="303" t="s">
        <v>232</v>
      </c>
    </row>
    <row r="47831" spans="119:119" x14ac:dyDescent="0.2">
      <c r="DO47831" s="303" t="s">
        <v>232</v>
      </c>
    </row>
    <row r="47832" spans="119:119" x14ac:dyDescent="0.2">
      <c r="DO47832" s="303" t="s">
        <v>232</v>
      </c>
    </row>
    <row r="47833" spans="119:119" x14ac:dyDescent="0.2">
      <c r="DO47833" s="303" t="s">
        <v>232</v>
      </c>
    </row>
    <row r="47834" spans="119:119" x14ac:dyDescent="0.2">
      <c r="DO47834" s="303" t="s">
        <v>232</v>
      </c>
    </row>
    <row r="47835" spans="119:119" x14ac:dyDescent="0.2">
      <c r="DO47835" s="303" t="s">
        <v>232</v>
      </c>
    </row>
    <row r="47836" spans="119:119" x14ac:dyDescent="0.2">
      <c r="DO47836" s="303" t="s">
        <v>232</v>
      </c>
    </row>
    <row r="47837" spans="119:119" x14ac:dyDescent="0.2">
      <c r="DO47837" s="303" t="s">
        <v>232</v>
      </c>
    </row>
    <row r="47838" spans="119:119" x14ac:dyDescent="0.2">
      <c r="DO47838" s="303" t="s">
        <v>232</v>
      </c>
    </row>
    <row r="47839" spans="119:119" x14ac:dyDescent="0.2">
      <c r="DO47839" s="303" t="s">
        <v>232</v>
      </c>
    </row>
    <row r="47840" spans="119:119" x14ac:dyDescent="0.2">
      <c r="DO47840" s="303" t="s">
        <v>232</v>
      </c>
    </row>
    <row r="47841" spans="119:119" x14ac:dyDescent="0.2">
      <c r="DO47841" s="303" t="s">
        <v>232</v>
      </c>
    </row>
    <row r="47842" spans="119:119" x14ac:dyDescent="0.2">
      <c r="DO47842" s="303" t="s">
        <v>232</v>
      </c>
    </row>
    <row r="47843" spans="119:119" x14ac:dyDescent="0.2">
      <c r="DO47843" s="303" t="s">
        <v>232</v>
      </c>
    </row>
    <row r="47844" spans="119:119" x14ac:dyDescent="0.2">
      <c r="DO47844" s="303" t="s">
        <v>232</v>
      </c>
    </row>
    <row r="47845" spans="119:119" x14ac:dyDescent="0.2">
      <c r="DO47845" s="303" t="s">
        <v>232</v>
      </c>
    </row>
    <row r="47846" spans="119:119" x14ac:dyDescent="0.2">
      <c r="DO47846" s="303" t="s">
        <v>232</v>
      </c>
    </row>
    <row r="47847" spans="119:119" x14ac:dyDescent="0.2">
      <c r="DO47847" s="303" t="s">
        <v>232</v>
      </c>
    </row>
    <row r="47848" spans="119:119" x14ac:dyDescent="0.2">
      <c r="DO47848" s="303" t="s">
        <v>232</v>
      </c>
    </row>
    <row r="47849" spans="119:119" x14ac:dyDescent="0.2">
      <c r="DO47849" s="303" t="s">
        <v>232</v>
      </c>
    </row>
    <row r="47850" spans="119:119" x14ac:dyDescent="0.2">
      <c r="DO47850" s="303" t="s">
        <v>232</v>
      </c>
    </row>
    <row r="47851" spans="119:119" x14ac:dyDescent="0.2">
      <c r="DO47851" s="303" t="s">
        <v>232</v>
      </c>
    </row>
    <row r="47852" spans="119:119" x14ac:dyDescent="0.2">
      <c r="DO47852" s="303" t="s">
        <v>232</v>
      </c>
    </row>
    <row r="47853" spans="119:119" x14ac:dyDescent="0.2">
      <c r="DO47853" s="303" t="s">
        <v>232</v>
      </c>
    </row>
    <row r="47854" spans="119:119" x14ac:dyDescent="0.2">
      <c r="DO47854" s="303" t="s">
        <v>232</v>
      </c>
    </row>
    <row r="47855" spans="119:119" x14ac:dyDescent="0.2">
      <c r="DO47855" s="303" t="s">
        <v>232</v>
      </c>
    </row>
    <row r="47856" spans="119:119" x14ac:dyDescent="0.2">
      <c r="DO47856" s="303" t="s">
        <v>232</v>
      </c>
    </row>
    <row r="47857" spans="119:119" x14ac:dyDescent="0.2">
      <c r="DO47857" s="303" t="s">
        <v>232</v>
      </c>
    </row>
    <row r="47858" spans="119:119" x14ac:dyDescent="0.2">
      <c r="DO47858" s="303" t="s">
        <v>232</v>
      </c>
    </row>
    <row r="47859" spans="119:119" x14ac:dyDescent="0.2">
      <c r="DO47859" s="303" t="s">
        <v>232</v>
      </c>
    </row>
    <row r="47860" spans="119:119" x14ac:dyDescent="0.2">
      <c r="DO47860" s="303" t="s">
        <v>232</v>
      </c>
    </row>
    <row r="47861" spans="119:119" x14ac:dyDescent="0.2">
      <c r="DO47861" s="303" t="s">
        <v>232</v>
      </c>
    </row>
    <row r="47862" spans="119:119" x14ac:dyDescent="0.2">
      <c r="DO47862" s="303" t="s">
        <v>232</v>
      </c>
    </row>
    <row r="47863" spans="119:119" x14ac:dyDescent="0.2">
      <c r="DO47863" s="303" t="s">
        <v>232</v>
      </c>
    </row>
    <row r="47864" spans="119:119" x14ac:dyDescent="0.2">
      <c r="DO47864" s="303" t="s">
        <v>232</v>
      </c>
    </row>
    <row r="47865" spans="119:119" x14ac:dyDescent="0.2">
      <c r="DO47865" s="303" t="s">
        <v>232</v>
      </c>
    </row>
    <row r="47866" spans="119:119" x14ac:dyDescent="0.2">
      <c r="DO47866" s="303" t="s">
        <v>232</v>
      </c>
    </row>
    <row r="47867" spans="119:119" x14ac:dyDescent="0.2">
      <c r="DO47867" s="303" t="s">
        <v>232</v>
      </c>
    </row>
    <row r="47868" spans="119:119" x14ac:dyDescent="0.2">
      <c r="DO47868" s="303" t="s">
        <v>232</v>
      </c>
    </row>
    <row r="47869" spans="119:119" x14ac:dyDescent="0.2">
      <c r="DO47869" s="303" t="s">
        <v>232</v>
      </c>
    </row>
    <row r="47870" spans="119:119" x14ac:dyDescent="0.2">
      <c r="DO47870" s="303" t="s">
        <v>232</v>
      </c>
    </row>
    <row r="47871" spans="119:119" x14ac:dyDescent="0.2">
      <c r="DO47871" s="303" t="s">
        <v>232</v>
      </c>
    </row>
    <row r="47872" spans="119:119" x14ac:dyDescent="0.2">
      <c r="DO47872" s="303" t="s">
        <v>232</v>
      </c>
    </row>
    <row r="47873" spans="119:119" x14ac:dyDescent="0.2">
      <c r="DO47873" s="303" t="s">
        <v>232</v>
      </c>
    </row>
    <row r="47874" spans="119:119" x14ac:dyDescent="0.2">
      <c r="DO47874" s="303" t="s">
        <v>232</v>
      </c>
    </row>
    <row r="47875" spans="119:119" x14ac:dyDescent="0.2">
      <c r="DO47875" s="303" t="s">
        <v>232</v>
      </c>
    </row>
    <row r="47876" spans="119:119" x14ac:dyDescent="0.2">
      <c r="DO47876" s="303" t="s">
        <v>232</v>
      </c>
    </row>
    <row r="47877" spans="119:119" x14ac:dyDescent="0.2">
      <c r="DO47877" s="303" t="s">
        <v>232</v>
      </c>
    </row>
    <row r="47878" spans="119:119" x14ac:dyDescent="0.2">
      <c r="DO47878" s="303" t="s">
        <v>232</v>
      </c>
    </row>
    <row r="47879" spans="119:119" x14ac:dyDescent="0.2">
      <c r="DO47879" s="303" t="s">
        <v>232</v>
      </c>
    </row>
    <row r="47880" spans="119:119" x14ac:dyDescent="0.2">
      <c r="DO47880" s="303" t="s">
        <v>232</v>
      </c>
    </row>
    <row r="47881" spans="119:119" x14ac:dyDescent="0.2">
      <c r="DO47881" s="303" t="s">
        <v>232</v>
      </c>
    </row>
    <row r="47882" spans="119:119" x14ac:dyDescent="0.2">
      <c r="DO47882" s="303" t="s">
        <v>232</v>
      </c>
    </row>
    <row r="47883" spans="119:119" x14ac:dyDescent="0.2">
      <c r="DO47883" s="303" t="s">
        <v>232</v>
      </c>
    </row>
    <row r="47884" spans="119:119" x14ac:dyDescent="0.2">
      <c r="DO47884" s="303" t="s">
        <v>232</v>
      </c>
    </row>
    <row r="47885" spans="119:119" x14ac:dyDescent="0.2">
      <c r="DO47885" s="303" t="s">
        <v>232</v>
      </c>
    </row>
    <row r="47886" spans="119:119" x14ac:dyDescent="0.2">
      <c r="DO47886" s="303" t="s">
        <v>232</v>
      </c>
    </row>
    <row r="47887" spans="119:119" x14ac:dyDescent="0.2">
      <c r="DO47887" s="303" t="s">
        <v>232</v>
      </c>
    </row>
    <row r="47888" spans="119:119" x14ac:dyDescent="0.2">
      <c r="DO47888" s="303" t="s">
        <v>232</v>
      </c>
    </row>
    <row r="47889" spans="119:119" x14ac:dyDescent="0.2">
      <c r="DO47889" s="303" t="s">
        <v>232</v>
      </c>
    </row>
    <row r="47890" spans="119:119" x14ac:dyDescent="0.2">
      <c r="DO47890" s="303" t="s">
        <v>232</v>
      </c>
    </row>
    <row r="47891" spans="119:119" x14ac:dyDescent="0.2">
      <c r="DO47891" s="303" t="s">
        <v>232</v>
      </c>
    </row>
    <row r="47892" spans="119:119" x14ac:dyDescent="0.2">
      <c r="DO47892" s="303" t="s">
        <v>232</v>
      </c>
    </row>
    <row r="47893" spans="119:119" x14ac:dyDescent="0.2">
      <c r="DO47893" s="303" t="s">
        <v>232</v>
      </c>
    </row>
    <row r="47894" spans="119:119" x14ac:dyDescent="0.2">
      <c r="DO47894" s="303" t="s">
        <v>232</v>
      </c>
    </row>
    <row r="47895" spans="119:119" x14ac:dyDescent="0.2">
      <c r="DO47895" s="303" t="s">
        <v>232</v>
      </c>
    </row>
    <row r="47896" spans="119:119" x14ac:dyDescent="0.2">
      <c r="DO47896" s="303" t="s">
        <v>232</v>
      </c>
    </row>
    <row r="47897" spans="119:119" x14ac:dyDescent="0.2">
      <c r="DO47897" s="303" t="s">
        <v>232</v>
      </c>
    </row>
    <row r="47898" spans="119:119" x14ac:dyDescent="0.2">
      <c r="DO47898" s="303" t="s">
        <v>232</v>
      </c>
    </row>
    <row r="47899" spans="119:119" x14ac:dyDescent="0.2">
      <c r="DO47899" s="303" t="s">
        <v>232</v>
      </c>
    </row>
    <row r="47900" spans="119:119" x14ac:dyDescent="0.2">
      <c r="DO47900" s="303" t="s">
        <v>232</v>
      </c>
    </row>
    <row r="47901" spans="119:119" x14ac:dyDescent="0.2">
      <c r="DO47901" s="303" t="s">
        <v>232</v>
      </c>
    </row>
    <row r="47902" spans="119:119" x14ac:dyDescent="0.2">
      <c r="DO47902" s="303" t="s">
        <v>232</v>
      </c>
    </row>
    <row r="47903" spans="119:119" x14ac:dyDescent="0.2">
      <c r="DO47903" s="303" t="s">
        <v>232</v>
      </c>
    </row>
    <row r="47904" spans="119:119" x14ac:dyDescent="0.2">
      <c r="DO47904" s="303" t="s">
        <v>232</v>
      </c>
    </row>
    <row r="47905" spans="119:119" x14ac:dyDescent="0.2">
      <c r="DO47905" s="303" t="s">
        <v>232</v>
      </c>
    </row>
    <row r="47906" spans="119:119" x14ac:dyDescent="0.2">
      <c r="DO47906" s="303" t="s">
        <v>232</v>
      </c>
    </row>
    <row r="47907" spans="119:119" x14ac:dyDescent="0.2">
      <c r="DO47907" s="303" t="s">
        <v>232</v>
      </c>
    </row>
    <row r="47908" spans="119:119" x14ac:dyDescent="0.2">
      <c r="DO47908" s="303" t="s">
        <v>232</v>
      </c>
    </row>
    <row r="47909" spans="119:119" x14ac:dyDescent="0.2">
      <c r="DO47909" s="303" t="s">
        <v>232</v>
      </c>
    </row>
    <row r="47910" spans="119:119" x14ac:dyDescent="0.2">
      <c r="DO47910" s="303" t="s">
        <v>232</v>
      </c>
    </row>
    <row r="47911" spans="119:119" x14ac:dyDescent="0.2">
      <c r="DO47911" s="303" t="s">
        <v>232</v>
      </c>
    </row>
    <row r="47912" spans="119:119" x14ac:dyDescent="0.2">
      <c r="DO47912" s="303" t="s">
        <v>232</v>
      </c>
    </row>
    <row r="47913" spans="119:119" x14ac:dyDescent="0.2">
      <c r="DO47913" s="303" t="s">
        <v>232</v>
      </c>
    </row>
    <row r="47914" spans="119:119" x14ac:dyDescent="0.2">
      <c r="DO47914" s="303" t="s">
        <v>232</v>
      </c>
    </row>
    <row r="47915" spans="119:119" x14ac:dyDescent="0.2">
      <c r="DO47915" s="303" t="s">
        <v>232</v>
      </c>
    </row>
    <row r="47916" spans="119:119" x14ac:dyDescent="0.2">
      <c r="DO47916" s="303" t="s">
        <v>232</v>
      </c>
    </row>
    <row r="47917" spans="119:119" x14ac:dyDescent="0.2">
      <c r="DO47917" s="303" t="s">
        <v>232</v>
      </c>
    </row>
    <row r="47918" spans="119:119" x14ac:dyDescent="0.2">
      <c r="DO47918" s="303" t="s">
        <v>232</v>
      </c>
    </row>
    <row r="47919" spans="119:119" x14ac:dyDescent="0.2">
      <c r="DO47919" s="303" t="s">
        <v>232</v>
      </c>
    </row>
    <row r="47920" spans="119:119" x14ac:dyDescent="0.2">
      <c r="DO47920" s="303" t="s">
        <v>232</v>
      </c>
    </row>
    <row r="47921" spans="119:119" x14ac:dyDescent="0.2">
      <c r="DO47921" s="303" t="s">
        <v>232</v>
      </c>
    </row>
    <row r="47922" spans="119:119" x14ac:dyDescent="0.2">
      <c r="DO47922" s="303" t="s">
        <v>232</v>
      </c>
    </row>
    <row r="47923" spans="119:119" x14ac:dyDescent="0.2">
      <c r="DO47923" s="303" t="s">
        <v>232</v>
      </c>
    </row>
    <row r="47924" spans="119:119" x14ac:dyDescent="0.2">
      <c r="DO47924" s="303" t="s">
        <v>232</v>
      </c>
    </row>
    <row r="47925" spans="119:119" x14ac:dyDescent="0.2">
      <c r="DO47925" s="303" t="s">
        <v>232</v>
      </c>
    </row>
    <row r="47926" spans="119:119" x14ac:dyDescent="0.2">
      <c r="DO47926" s="303" t="s">
        <v>232</v>
      </c>
    </row>
    <row r="47927" spans="119:119" x14ac:dyDescent="0.2">
      <c r="DO47927" s="303" t="s">
        <v>232</v>
      </c>
    </row>
    <row r="47928" spans="119:119" x14ac:dyDescent="0.2">
      <c r="DO47928" s="303" t="s">
        <v>232</v>
      </c>
    </row>
    <row r="47929" spans="119:119" x14ac:dyDescent="0.2">
      <c r="DO47929" s="303" t="s">
        <v>232</v>
      </c>
    </row>
    <row r="47930" spans="119:119" x14ac:dyDescent="0.2">
      <c r="DO47930" s="303" t="s">
        <v>232</v>
      </c>
    </row>
    <row r="47931" spans="119:119" x14ac:dyDescent="0.2">
      <c r="DO47931" s="303" t="s">
        <v>232</v>
      </c>
    </row>
    <row r="47932" spans="119:119" x14ac:dyDescent="0.2">
      <c r="DO47932" s="303" t="s">
        <v>232</v>
      </c>
    </row>
    <row r="47933" spans="119:119" x14ac:dyDescent="0.2">
      <c r="DO47933" s="303" t="s">
        <v>232</v>
      </c>
    </row>
    <row r="47934" spans="119:119" x14ac:dyDescent="0.2">
      <c r="DO47934" s="303" t="s">
        <v>232</v>
      </c>
    </row>
    <row r="47935" spans="119:119" x14ac:dyDescent="0.2">
      <c r="DO47935" s="303" t="s">
        <v>232</v>
      </c>
    </row>
    <row r="47936" spans="119:119" x14ac:dyDescent="0.2">
      <c r="DO47936" s="303" t="s">
        <v>232</v>
      </c>
    </row>
    <row r="47937" spans="119:119" x14ac:dyDescent="0.2">
      <c r="DO47937" s="303" t="s">
        <v>232</v>
      </c>
    </row>
    <row r="47938" spans="119:119" x14ac:dyDescent="0.2">
      <c r="DO47938" s="303" t="s">
        <v>232</v>
      </c>
    </row>
    <row r="47939" spans="119:119" x14ac:dyDescent="0.2">
      <c r="DO47939" s="303" t="s">
        <v>232</v>
      </c>
    </row>
    <row r="47940" spans="119:119" x14ac:dyDescent="0.2">
      <c r="DO47940" s="303" t="s">
        <v>232</v>
      </c>
    </row>
    <row r="47941" spans="119:119" x14ac:dyDescent="0.2">
      <c r="DO47941" s="303" t="s">
        <v>232</v>
      </c>
    </row>
    <row r="47942" spans="119:119" x14ac:dyDescent="0.2">
      <c r="DO47942" s="303" t="s">
        <v>232</v>
      </c>
    </row>
    <row r="47943" spans="119:119" x14ac:dyDescent="0.2">
      <c r="DO47943" s="303" t="s">
        <v>232</v>
      </c>
    </row>
    <row r="47944" spans="119:119" x14ac:dyDescent="0.2">
      <c r="DO47944" s="303" t="s">
        <v>232</v>
      </c>
    </row>
    <row r="47945" spans="119:119" x14ac:dyDescent="0.2">
      <c r="DO47945" s="303" t="s">
        <v>232</v>
      </c>
    </row>
    <row r="47946" spans="119:119" x14ac:dyDescent="0.2">
      <c r="DO47946" s="303" t="s">
        <v>232</v>
      </c>
    </row>
    <row r="47947" spans="119:119" x14ac:dyDescent="0.2">
      <c r="DO47947" s="303" t="s">
        <v>232</v>
      </c>
    </row>
    <row r="47948" spans="119:119" x14ac:dyDescent="0.2">
      <c r="DO47948" s="303" t="s">
        <v>232</v>
      </c>
    </row>
    <row r="47949" spans="119:119" x14ac:dyDescent="0.2">
      <c r="DO47949" s="303" t="s">
        <v>232</v>
      </c>
    </row>
    <row r="47950" spans="119:119" x14ac:dyDescent="0.2">
      <c r="DO47950" s="303" t="s">
        <v>232</v>
      </c>
    </row>
    <row r="47951" spans="119:119" x14ac:dyDescent="0.2">
      <c r="DO47951" s="303" t="s">
        <v>232</v>
      </c>
    </row>
    <row r="47952" spans="119:119" x14ac:dyDescent="0.2">
      <c r="DO47952" s="303" t="s">
        <v>232</v>
      </c>
    </row>
    <row r="47953" spans="119:119" x14ac:dyDescent="0.2">
      <c r="DO47953" s="303" t="s">
        <v>232</v>
      </c>
    </row>
    <row r="47954" spans="119:119" x14ac:dyDescent="0.2">
      <c r="DO47954" s="303" t="s">
        <v>232</v>
      </c>
    </row>
    <row r="47955" spans="119:119" x14ac:dyDescent="0.2">
      <c r="DO47955" s="303" t="s">
        <v>232</v>
      </c>
    </row>
    <row r="47956" spans="119:119" x14ac:dyDescent="0.2">
      <c r="DO47956" s="303" t="s">
        <v>232</v>
      </c>
    </row>
    <row r="47957" spans="119:119" x14ac:dyDescent="0.2">
      <c r="DO47957" s="303" t="s">
        <v>232</v>
      </c>
    </row>
    <row r="47958" spans="119:119" x14ac:dyDescent="0.2">
      <c r="DO47958" s="303" t="s">
        <v>232</v>
      </c>
    </row>
    <row r="47959" spans="119:119" x14ac:dyDescent="0.2">
      <c r="DO47959" s="303" t="s">
        <v>232</v>
      </c>
    </row>
    <row r="47960" spans="119:119" x14ac:dyDescent="0.2">
      <c r="DO47960" s="303" t="s">
        <v>232</v>
      </c>
    </row>
    <row r="47961" spans="119:119" x14ac:dyDescent="0.2">
      <c r="DO47961" s="303" t="s">
        <v>232</v>
      </c>
    </row>
    <row r="47962" spans="119:119" x14ac:dyDescent="0.2">
      <c r="DO47962" s="303" t="s">
        <v>232</v>
      </c>
    </row>
    <row r="47963" spans="119:119" x14ac:dyDescent="0.2">
      <c r="DO47963" s="303" t="s">
        <v>232</v>
      </c>
    </row>
    <row r="47964" spans="119:119" x14ac:dyDescent="0.2">
      <c r="DO47964" s="303" t="s">
        <v>232</v>
      </c>
    </row>
    <row r="47965" spans="119:119" x14ac:dyDescent="0.2">
      <c r="DO47965" s="303" t="s">
        <v>232</v>
      </c>
    </row>
    <row r="47966" spans="119:119" x14ac:dyDescent="0.2">
      <c r="DO47966" s="303" t="s">
        <v>232</v>
      </c>
    </row>
    <row r="47967" spans="119:119" x14ac:dyDescent="0.2">
      <c r="DO47967" s="303" t="s">
        <v>232</v>
      </c>
    </row>
    <row r="47968" spans="119:119" x14ac:dyDescent="0.2">
      <c r="DO47968" s="303" t="s">
        <v>232</v>
      </c>
    </row>
    <row r="47969" spans="119:119" x14ac:dyDescent="0.2">
      <c r="DO47969" s="303" t="s">
        <v>232</v>
      </c>
    </row>
    <row r="47970" spans="119:119" x14ac:dyDescent="0.2">
      <c r="DO47970" s="303" t="s">
        <v>232</v>
      </c>
    </row>
    <row r="47971" spans="119:119" x14ac:dyDescent="0.2">
      <c r="DO47971" s="303" t="s">
        <v>232</v>
      </c>
    </row>
    <row r="47972" spans="119:119" x14ac:dyDescent="0.2">
      <c r="DO47972" s="303" t="s">
        <v>232</v>
      </c>
    </row>
    <row r="47973" spans="119:119" x14ac:dyDescent="0.2">
      <c r="DO47973" s="303" t="s">
        <v>232</v>
      </c>
    </row>
    <row r="47974" spans="119:119" x14ac:dyDescent="0.2">
      <c r="DO47974" s="303" t="s">
        <v>232</v>
      </c>
    </row>
    <row r="47975" spans="119:119" x14ac:dyDescent="0.2">
      <c r="DO47975" s="303" t="s">
        <v>232</v>
      </c>
    </row>
    <row r="47976" spans="119:119" x14ac:dyDescent="0.2">
      <c r="DO47976" s="303" t="s">
        <v>232</v>
      </c>
    </row>
    <row r="47977" spans="119:119" x14ac:dyDescent="0.2">
      <c r="DO47977" s="303" t="s">
        <v>232</v>
      </c>
    </row>
    <row r="47978" spans="119:119" x14ac:dyDescent="0.2">
      <c r="DO47978" s="303" t="s">
        <v>232</v>
      </c>
    </row>
    <row r="47979" spans="119:119" x14ac:dyDescent="0.2">
      <c r="DO47979" s="303" t="s">
        <v>232</v>
      </c>
    </row>
    <row r="47980" spans="119:119" x14ac:dyDescent="0.2">
      <c r="DO47980" s="303" t="s">
        <v>232</v>
      </c>
    </row>
    <row r="47981" spans="119:119" x14ac:dyDescent="0.2">
      <c r="DO47981" s="303" t="s">
        <v>232</v>
      </c>
    </row>
    <row r="47982" spans="119:119" x14ac:dyDescent="0.2">
      <c r="DO47982" s="303" t="s">
        <v>232</v>
      </c>
    </row>
    <row r="47983" spans="119:119" x14ac:dyDescent="0.2">
      <c r="DO47983" s="303" t="s">
        <v>232</v>
      </c>
    </row>
    <row r="47984" spans="119:119" x14ac:dyDescent="0.2">
      <c r="DO47984" s="303" t="s">
        <v>232</v>
      </c>
    </row>
    <row r="47985" spans="119:119" x14ac:dyDescent="0.2">
      <c r="DO47985" s="303" t="s">
        <v>232</v>
      </c>
    </row>
    <row r="47986" spans="119:119" x14ac:dyDescent="0.2">
      <c r="DO47986" s="303" t="s">
        <v>232</v>
      </c>
    </row>
    <row r="47987" spans="119:119" x14ac:dyDescent="0.2">
      <c r="DO47987" s="303" t="s">
        <v>232</v>
      </c>
    </row>
    <row r="47988" spans="119:119" x14ac:dyDescent="0.2">
      <c r="DO47988" s="303" t="s">
        <v>232</v>
      </c>
    </row>
    <row r="47989" spans="119:119" x14ac:dyDescent="0.2">
      <c r="DO47989" s="303" t="s">
        <v>232</v>
      </c>
    </row>
    <row r="47990" spans="119:119" x14ac:dyDescent="0.2">
      <c r="DO47990" s="303" t="s">
        <v>232</v>
      </c>
    </row>
    <row r="47991" spans="119:119" x14ac:dyDescent="0.2">
      <c r="DO47991" s="303" t="s">
        <v>232</v>
      </c>
    </row>
    <row r="47992" spans="119:119" x14ac:dyDescent="0.2">
      <c r="DO47992" s="303" t="s">
        <v>232</v>
      </c>
    </row>
    <row r="47993" spans="119:119" x14ac:dyDescent="0.2">
      <c r="DO47993" s="303" t="s">
        <v>232</v>
      </c>
    </row>
    <row r="47994" spans="119:119" x14ac:dyDescent="0.2">
      <c r="DO47994" s="303" t="s">
        <v>232</v>
      </c>
    </row>
    <row r="47995" spans="119:119" x14ac:dyDescent="0.2">
      <c r="DO47995" s="303" t="s">
        <v>232</v>
      </c>
    </row>
    <row r="47996" spans="119:119" x14ac:dyDescent="0.2">
      <c r="DO47996" s="303" t="s">
        <v>232</v>
      </c>
    </row>
    <row r="47997" spans="119:119" x14ac:dyDescent="0.2">
      <c r="DO47997" s="303" t="s">
        <v>232</v>
      </c>
    </row>
    <row r="47998" spans="119:119" x14ac:dyDescent="0.2">
      <c r="DO47998" s="303" t="s">
        <v>232</v>
      </c>
    </row>
    <row r="47999" spans="119:119" x14ac:dyDescent="0.2">
      <c r="DO47999" s="303" t="s">
        <v>232</v>
      </c>
    </row>
    <row r="48000" spans="119:119" x14ac:dyDescent="0.2">
      <c r="DO48000" s="303" t="s">
        <v>232</v>
      </c>
    </row>
    <row r="48001" spans="119:119" x14ac:dyDescent="0.2">
      <c r="DO48001" s="303" t="s">
        <v>232</v>
      </c>
    </row>
    <row r="48002" spans="119:119" x14ac:dyDescent="0.2">
      <c r="DO48002" s="303" t="s">
        <v>232</v>
      </c>
    </row>
    <row r="48003" spans="119:119" x14ac:dyDescent="0.2">
      <c r="DO48003" s="303" t="s">
        <v>232</v>
      </c>
    </row>
    <row r="48004" spans="119:119" x14ac:dyDescent="0.2">
      <c r="DO48004" s="303" t="s">
        <v>232</v>
      </c>
    </row>
    <row r="48005" spans="119:119" x14ac:dyDescent="0.2">
      <c r="DO48005" s="303" t="s">
        <v>232</v>
      </c>
    </row>
    <row r="48006" spans="119:119" x14ac:dyDescent="0.2">
      <c r="DO48006" s="303" t="s">
        <v>232</v>
      </c>
    </row>
    <row r="48007" spans="119:119" x14ac:dyDescent="0.2">
      <c r="DO48007" s="303" t="s">
        <v>232</v>
      </c>
    </row>
    <row r="48008" spans="119:119" x14ac:dyDescent="0.2">
      <c r="DO48008" s="303" t="s">
        <v>232</v>
      </c>
    </row>
    <row r="48009" spans="119:119" x14ac:dyDescent="0.2">
      <c r="DO48009" s="303" t="s">
        <v>232</v>
      </c>
    </row>
    <row r="48010" spans="119:119" x14ac:dyDescent="0.2">
      <c r="DO48010" s="303" t="s">
        <v>232</v>
      </c>
    </row>
    <row r="48011" spans="119:119" x14ac:dyDescent="0.2">
      <c r="DO48011" s="303" t="s">
        <v>232</v>
      </c>
    </row>
    <row r="48012" spans="119:119" x14ac:dyDescent="0.2">
      <c r="DO48012" s="303" t="s">
        <v>232</v>
      </c>
    </row>
    <row r="48013" spans="119:119" x14ac:dyDescent="0.2">
      <c r="DO48013" s="303" t="s">
        <v>232</v>
      </c>
    </row>
    <row r="48014" spans="119:119" x14ac:dyDescent="0.2">
      <c r="DO48014" s="303" t="s">
        <v>232</v>
      </c>
    </row>
    <row r="48015" spans="119:119" x14ac:dyDescent="0.2">
      <c r="DO48015" s="303" t="s">
        <v>232</v>
      </c>
    </row>
    <row r="48016" spans="119:119" x14ac:dyDescent="0.2">
      <c r="DO48016" s="303" t="s">
        <v>232</v>
      </c>
    </row>
    <row r="48017" spans="119:119" x14ac:dyDescent="0.2">
      <c r="DO48017" s="303" t="s">
        <v>232</v>
      </c>
    </row>
    <row r="48018" spans="119:119" x14ac:dyDescent="0.2">
      <c r="DO48018" s="303" t="s">
        <v>232</v>
      </c>
    </row>
    <row r="48019" spans="119:119" x14ac:dyDescent="0.2">
      <c r="DO48019" s="303" t="s">
        <v>232</v>
      </c>
    </row>
    <row r="48020" spans="119:119" x14ac:dyDescent="0.2">
      <c r="DO48020" s="303" t="s">
        <v>232</v>
      </c>
    </row>
    <row r="48021" spans="119:119" x14ac:dyDescent="0.2">
      <c r="DO48021" s="303" t="s">
        <v>232</v>
      </c>
    </row>
    <row r="48022" spans="119:119" x14ac:dyDescent="0.2">
      <c r="DO48022" s="303" t="s">
        <v>232</v>
      </c>
    </row>
    <row r="48023" spans="119:119" x14ac:dyDescent="0.2">
      <c r="DO48023" s="303" t="s">
        <v>232</v>
      </c>
    </row>
    <row r="48024" spans="119:119" x14ac:dyDescent="0.2">
      <c r="DO48024" s="303" t="s">
        <v>232</v>
      </c>
    </row>
    <row r="48025" spans="119:119" x14ac:dyDescent="0.2">
      <c r="DO48025" s="303" t="s">
        <v>232</v>
      </c>
    </row>
    <row r="48026" spans="119:119" x14ac:dyDescent="0.2">
      <c r="DO48026" s="303" t="s">
        <v>232</v>
      </c>
    </row>
    <row r="48027" spans="119:119" x14ac:dyDescent="0.2">
      <c r="DO48027" s="303" t="s">
        <v>232</v>
      </c>
    </row>
    <row r="48028" spans="119:119" x14ac:dyDescent="0.2">
      <c r="DO48028" s="303" t="s">
        <v>232</v>
      </c>
    </row>
    <row r="48029" spans="119:119" x14ac:dyDescent="0.2">
      <c r="DO48029" s="303" t="s">
        <v>232</v>
      </c>
    </row>
    <row r="48030" spans="119:119" x14ac:dyDescent="0.2">
      <c r="DO48030" s="303" t="s">
        <v>232</v>
      </c>
    </row>
    <row r="48031" spans="119:119" x14ac:dyDescent="0.2">
      <c r="DO48031" s="303" t="s">
        <v>232</v>
      </c>
    </row>
    <row r="48032" spans="119:119" x14ac:dyDescent="0.2">
      <c r="DO48032" s="303" t="s">
        <v>232</v>
      </c>
    </row>
    <row r="48033" spans="119:119" x14ac:dyDescent="0.2">
      <c r="DO48033" s="303" t="s">
        <v>232</v>
      </c>
    </row>
    <row r="48034" spans="119:119" x14ac:dyDescent="0.2">
      <c r="DO48034" s="303" t="s">
        <v>232</v>
      </c>
    </row>
    <row r="48035" spans="119:119" x14ac:dyDescent="0.2">
      <c r="DO48035" s="303" t="s">
        <v>232</v>
      </c>
    </row>
    <row r="48036" spans="119:119" x14ac:dyDescent="0.2">
      <c r="DO48036" s="303" t="s">
        <v>232</v>
      </c>
    </row>
    <row r="48037" spans="119:119" x14ac:dyDescent="0.2">
      <c r="DO48037" s="303" t="s">
        <v>232</v>
      </c>
    </row>
    <row r="48038" spans="119:119" x14ac:dyDescent="0.2">
      <c r="DO48038" s="303" t="s">
        <v>232</v>
      </c>
    </row>
    <row r="48039" spans="119:119" x14ac:dyDescent="0.2">
      <c r="DO48039" s="303" t="s">
        <v>232</v>
      </c>
    </row>
    <row r="48040" spans="119:119" x14ac:dyDescent="0.2">
      <c r="DO48040" s="303" t="s">
        <v>232</v>
      </c>
    </row>
    <row r="48041" spans="119:119" x14ac:dyDescent="0.2">
      <c r="DO48041" s="303" t="s">
        <v>232</v>
      </c>
    </row>
    <row r="48042" spans="119:119" x14ac:dyDescent="0.2">
      <c r="DO48042" s="303" t="s">
        <v>232</v>
      </c>
    </row>
    <row r="48043" spans="119:119" x14ac:dyDescent="0.2">
      <c r="DO48043" s="303" t="s">
        <v>232</v>
      </c>
    </row>
    <row r="48044" spans="119:119" x14ac:dyDescent="0.2">
      <c r="DO48044" s="303" t="s">
        <v>232</v>
      </c>
    </row>
    <row r="48045" spans="119:119" x14ac:dyDescent="0.2">
      <c r="DO48045" s="303" t="s">
        <v>232</v>
      </c>
    </row>
    <row r="48046" spans="119:119" x14ac:dyDescent="0.2">
      <c r="DO48046" s="303" t="s">
        <v>232</v>
      </c>
    </row>
    <row r="48047" spans="119:119" x14ac:dyDescent="0.2">
      <c r="DO48047" s="303" t="s">
        <v>232</v>
      </c>
    </row>
    <row r="48048" spans="119:119" x14ac:dyDescent="0.2">
      <c r="DO48048" s="303" t="s">
        <v>232</v>
      </c>
    </row>
    <row r="48049" spans="119:119" x14ac:dyDescent="0.2">
      <c r="DO48049" s="303" t="s">
        <v>232</v>
      </c>
    </row>
    <row r="48050" spans="119:119" x14ac:dyDescent="0.2">
      <c r="DO48050" s="303" t="s">
        <v>232</v>
      </c>
    </row>
    <row r="48051" spans="119:119" x14ac:dyDescent="0.2">
      <c r="DO48051" s="303" t="s">
        <v>232</v>
      </c>
    </row>
    <row r="48052" spans="119:119" x14ac:dyDescent="0.2">
      <c r="DO48052" s="303" t="s">
        <v>232</v>
      </c>
    </row>
    <row r="48053" spans="119:119" x14ac:dyDescent="0.2">
      <c r="DO48053" s="303" t="s">
        <v>232</v>
      </c>
    </row>
    <row r="48054" spans="119:119" x14ac:dyDescent="0.2">
      <c r="DO48054" s="303" t="s">
        <v>232</v>
      </c>
    </row>
    <row r="48055" spans="119:119" x14ac:dyDescent="0.2">
      <c r="DO48055" s="303" t="s">
        <v>232</v>
      </c>
    </row>
    <row r="48056" spans="119:119" x14ac:dyDescent="0.2">
      <c r="DO48056" s="303" t="s">
        <v>232</v>
      </c>
    </row>
    <row r="48057" spans="119:119" x14ac:dyDescent="0.2">
      <c r="DO48057" s="303" t="s">
        <v>232</v>
      </c>
    </row>
    <row r="48058" spans="119:119" x14ac:dyDescent="0.2">
      <c r="DO48058" s="303" t="s">
        <v>232</v>
      </c>
    </row>
    <row r="48059" spans="119:119" x14ac:dyDescent="0.2">
      <c r="DO48059" s="303" t="s">
        <v>232</v>
      </c>
    </row>
    <row r="48060" spans="119:119" x14ac:dyDescent="0.2">
      <c r="DO48060" s="303" t="s">
        <v>232</v>
      </c>
    </row>
    <row r="48061" spans="119:119" x14ac:dyDescent="0.2">
      <c r="DO48061" s="303" t="s">
        <v>232</v>
      </c>
    </row>
    <row r="48062" spans="119:119" x14ac:dyDescent="0.2">
      <c r="DO48062" s="303" t="s">
        <v>232</v>
      </c>
    </row>
    <row r="48063" spans="119:119" x14ac:dyDescent="0.2">
      <c r="DO48063" s="303" t="s">
        <v>232</v>
      </c>
    </row>
    <row r="48064" spans="119:119" x14ac:dyDescent="0.2">
      <c r="DO48064" s="303" t="s">
        <v>232</v>
      </c>
    </row>
    <row r="48065" spans="119:119" x14ac:dyDescent="0.2">
      <c r="DO48065" s="303" t="s">
        <v>232</v>
      </c>
    </row>
    <row r="48066" spans="119:119" x14ac:dyDescent="0.2">
      <c r="DO48066" s="303" t="s">
        <v>232</v>
      </c>
    </row>
    <row r="48067" spans="119:119" x14ac:dyDescent="0.2">
      <c r="DO48067" s="303" t="s">
        <v>232</v>
      </c>
    </row>
    <row r="48068" spans="119:119" x14ac:dyDescent="0.2">
      <c r="DO48068" s="303" t="s">
        <v>232</v>
      </c>
    </row>
    <row r="48069" spans="119:119" x14ac:dyDescent="0.2">
      <c r="DO48069" s="303" t="s">
        <v>232</v>
      </c>
    </row>
    <row r="48070" spans="119:119" x14ac:dyDescent="0.2">
      <c r="DO48070" s="303" t="s">
        <v>232</v>
      </c>
    </row>
    <row r="48071" spans="119:119" x14ac:dyDescent="0.2">
      <c r="DO48071" s="303" t="s">
        <v>232</v>
      </c>
    </row>
    <row r="48072" spans="119:119" x14ac:dyDescent="0.2">
      <c r="DO48072" s="303" t="s">
        <v>232</v>
      </c>
    </row>
    <row r="48073" spans="119:119" x14ac:dyDescent="0.2">
      <c r="DO48073" s="303" t="s">
        <v>232</v>
      </c>
    </row>
    <row r="48074" spans="119:119" x14ac:dyDescent="0.2">
      <c r="DO48074" s="303" t="s">
        <v>232</v>
      </c>
    </row>
    <row r="48075" spans="119:119" x14ac:dyDescent="0.2">
      <c r="DO48075" s="303" t="s">
        <v>232</v>
      </c>
    </row>
    <row r="48076" spans="119:119" x14ac:dyDescent="0.2">
      <c r="DO48076" s="303" t="s">
        <v>232</v>
      </c>
    </row>
    <row r="48077" spans="119:119" x14ac:dyDescent="0.2">
      <c r="DO48077" s="303" t="s">
        <v>232</v>
      </c>
    </row>
    <row r="48078" spans="119:119" x14ac:dyDescent="0.2">
      <c r="DO48078" s="303" t="s">
        <v>232</v>
      </c>
    </row>
    <row r="48079" spans="119:119" x14ac:dyDescent="0.2">
      <c r="DO48079" s="303" t="s">
        <v>232</v>
      </c>
    </row>
    <row r="48080" spans="119:119" x14ac:dyDescent="0.2">
      <c r="DO48080" s="303" t="s">
        <v>232</v>
      </c>
    </row>
    <row r="48081" spans="119:119" x14ac:dyDescent="0.2">
      <c r="DO48081" s="303" t="s">
        <v>232</v>
      </c>
    </row>
    <row r="48082" spans="119:119" x14ac:dyDescent="0.2">
      <c r="DO48082" s="303" t="s">
        <v>232</v>
      </c>
    </row>
    <row r="48083" spans="119:119" x14ac:dyDescent="0.2">
      <c r="DO48083" s="303" t="s">
        <v>232</v>
      </c>
    </row>
    <row r="48084" spans="119:119" x14ac:dyDescent="0.2">
      <c r="DO48084" s="303" t="s">
        <v>232</v>
      </c>
    </row>
    <row r="48085" spans="119:119" x14ac:dyDescent="0.2">
      <c r="DO48085" s="303" t="s">
        <v>232</v>
      </c>
    </row>
    <row r="48086" spans="119:119" x14ac:dyDescent="0.2">
      <c r="DO48086" s="303" t="s">
        <v>232</v>
      </c>
    </row>
    <row r="48087" spans="119:119" x14ac:dyDescent="0.2">
      <c r="DO48087" s="303" t="s">
        <v>232</v>
      </c>
    </row>
    <row r="48088" spans="119:119" x14ac:dyDescent="0.2">
      <c r="DO48088" s="303" t="s">
        <v>232</v>
      </c>
    </row>
    <row r="48089" spans="119:119" x14ac:dyDescent="0.2">
      <c r="DO48089" s="303" t="s">
        <v>232</v>
      </c>
    </row>
    <row r="48090" spans="119:119" x14ac:dyDescent="0.2">
      <c r="DO48090" s="303" t="s">
        <v>232</v>
      </c>
    </row>
    <row r="48091" spans="119:119" x14ac:dyDescent="0.2">
      <c r="DO48091" s="303" t="s">
        <v>232</v>
      </c>
    </row>
    <row r="48092" spans="119:119" x14ac:dyDescent="0.2">
      <c r="DO48092" s="303" t="s">
        <v>232</v>
      </c>
    </row>
    <row r="48093" spans="119:119" x14ac:dyDescent="0.2">
      <c r="DO48093" s="303" t="s">
        <v>232</v>
      </c>
    </row>
    <row r="48094" spans="119:119" x14ac:dyDescent="0.2">
      <c r="DO48094" s="303" t="s">
        <v>232</v>
      </c>
    </row>
    <row r="48095" spans="119:119" x14ac:dyDescent="0.2">
      <c r="DO48095" s="303" t="s">
        <v>232</v>
      </c>
    </row>
    <row r="48096" spans="119:119" x14ac:dyDescent="0.2">
      <c r="DO48096" s="303" t="s">
        <v>232</v>
      </c>
    </row>
    <row r="48097" spans="119:119" x14ac:dyDescent="0.2">
      <c r="DO48097" s="303" t="s">
        <v>232</v>
      </c>
    </row>
    <row r="48098" spans="119:119" x14ac:dyDescent="0.2">
      <c r="DO48098" s="303" t="s">
        <v>232</v>
      </c>
    </row>
    <row r="48099" spans="119:119" x14ac:dyDescent="0.2">
      <c r="DO48099" s="303" t="s">
        <v>232</v>
      </c>
    </row>
    <row r="48100" spans="119:119" x14ac:dyDescent="0.2">
      <c r="DO48100" s="303" t="s">
        <v>232</v>
      </c>
    </row>
    <row r="48101" spans="119:119" x14ac:dyDescent="0.2">
      <c r="DO48101" s="303" t="s">
        <v>232</v>
      </c>
    </row>
    <row r="48102" spans="119:119" x14ac:dyDescent="0.2">
      <c r="DO48102" s="303" t="s">
        <v>232</v>
      </c>
    </row>
    <row r="48103" spans="119:119" x14ac:dyDescent="0.2">
      <c r="DO48103" s="303" t="s">
        <v>232</v>
      </c>
    </row>
    <row r="48104" spans="119:119" x14ac:dyDescent="0.2">
      <c r="DO48104" s="303" t="s">
        <v>232</v>
      </c>
    </row>
    <row r="48105" spans="119:119" x14ac:dyDescent="0.2">
      <c r="DO48105" s="303" t="s">
        <v>232</v>
      </c>
    </row>
    <row r="48106" spans="119:119" x14ac:dyDescent="0.2">
      <c r="DO48106" s="303" t="s">
        <v>232</v>
      </c>
    </row>
    <row r="48107" spans="119:119" x14ac:dyDescent="0.2">
      <c r="DO48107" s="303" t="s">
        <v>232</v>
      </c>
    </row>
    <row r="48108" spans="119:119" x14ac:dyDescent="0.2">
      <c r="DO48108" s="303" t="s">
        <v>232</v>
      </c>
    </row>
    <row r="48109" spans="119:119" x14ac:dyDescent="0.2">
      <c r="DO48109" s="303" t="s">
        <v>232</v>
      </c>
    </row>
    <row r="48110" spans="119:119" x14ac:dyDescent="0.2">
      <c r="DO48110" s="303" t="s">
        <v>232</v>
      </c>
    </row>
    <row r="48111" spans="119:119" x14ac:dyDescent="0.2">
      <c r="DO48111" s="303" t="s">
        <v>232</v>
      </c>
    </row>
    <row r="48112" spans="119:119" x14ac:dyDescent="0.2">
      <c r="DO48112" s="303" t="s">
        <v>232</v>
      </c>
    </row>
    <row r="48113" spans="119:119" x14ac:dyDescent="0.2">
      <c r="DO48113" s="303" t="s">
        <v>232</v>
      </c>
    </row>
    <row r="48114" spans="119:119" x14ac:dyDescent="0.2">
      <c r="DO48114" s="303" t="s">
        <v>232</v>
      </c>
    </row>
    <row r="48115" spans="119:119" x14ac:dyDescent="0.2">
      <c r="DO48115" s="303" t="s">
        <v>232</v>
      </c>
    </row>
    <row r="48116" spans="119:119" x14ac:dyDescent="0.2">
      <c r="DO48116" s="303" t="s">
        <v>232</v>
      </c>
    </row>
    <row r="48117" spans="119:119" x14ac:dyDescent="0.2">
      <c r="DO48117" s="303" t="s">
        <v>232</v>
      </c>
    </row>
    <row r="48118" spans="119:119" x14ac:dyDescent="0.2">
      <c r="DO48118" s="303" t="s">
        <v>232</v>
      </c>
    </row>
    <row r="48119" spans="119:119" x14ac:dyDescent="0.2">
      <c r="DO48119" s="303" t="s">
        <v>232</v>
      </c>
    </row>
    <row r="48120" spans="119:119" x14ac:dyDescent="0.2">
      <c r="DO48120" s="303" t="s">
        <v>232</v>
      </c>
    </row>
    <row r="48121" spans="119:119" x14ac:dyDescent="0.2">
      <c r="DO48121" s="303" t="s">
        <v>232</v>
      </c>
    </row>
    <row r="48122" spans="119:119" x14ac:dyDescent="0.2">
      <c r="DO48122" s="303" t="s">
        <v>232</v>
      </c>
    </row>
    <row r="48123" spans="119:119" x14ac:dyDescent="0.2">
      <c r="DO48123" s="303" t="s">
        <v>232</v>
      </c>
    </row>
    <row r="48124" spans="119:119" x14ac:dyDescent="0.2">
      <c r="DO48124" s="303" t="s">
        <v>232</v>
      </c>
    </row>
    <row r="48125" spans="119:119" x14ac:dyDescent="0.2">
      <c r="DO48125" s="303" t="s">
        <v>232</v>
      </c>
    </row>
    <row r="48126" spans="119:119" x14ac:dyDescent="0.2">
      <c r="DO48126" s="303" t="s">
        <v>232</v>
      </c>
    </row>
    <row r="48127" spans="119:119" x14ac:dyDescent="0.2">
      <c r="DO48127" s="303" t="s">
        <v>232</v>
      </c>
    </row>
    <row r="48128" spans="119:119" x14ac:dyDescent="0.2">
      <c r="DO48128" s="303" t="s">
        <v>232</v>
      </c>
    </row>
    <row r="48129" spans="119:119" x14ac:dyDescent="0.2">
      <c r="DO48129" s="303" t="s">
        <v>232</v>
      </c>
    </row>
    <row r="48130" spans="119:119" x14ac:dyDescent="0.2">
      <c r="DO48130" s="303" t="s">
        <v>232</v>
      </c>
    </row>
    <row r="48131" spans="119:119" x14ac:dyDescent="0.2">
      <c r="DO48131" s="303" t="s">
        <v>232</v>
      </c>
    </row>
    <row r="48132" spans="119:119" x14ac:dyDescent="0.2">
      <c r="DO48132" s="303" t="s">
        <v>232</v>
      </c>
    </row>
    <row r="48133" spans="119:119" x14ac:dyDescent="0.2">
      <c r="DO48133" s="303" t="s">
        <v>232</v>
      </c>
    </row>
    <row r="48134" spans="119:119" x14ac:dyDescent="0.2">
      <c r="DO48134" s="303" t="s">
        <v>232</v>
      </c>
    </row>
    <row r="48135" spans="119:119" x14ac:dyDescent="0.2">
      <c r="DO48135" s="303" t="s">
        <v>232</v>
      </c>
    </row>
    <row r="48136" spans="119:119" x14ac:dyDescent="0.2">
      <c r="DO48136" s="303" t="s">
        <v>232</v>
      </c>
    </row>
    <row r="48137" spans="119:119" x14ac:dyDescent="0.2">
      <c r="DO48137" s="303" t="s">
        <v>232</v>
      </c>
    </row>
    <row r="48138" spans="119:119" x14ac:dyDescent="0.2">
      <c r="DO48138" s="303" t="s">
        <v>232</v>
      </c>
    </row>
    <row r="48139" spans="119:119" x14ac:dyDescent="0.2">
      <c r="DO48139" s="303" t="s">
        <v>232</v>
      </c>
    </row>
    <row r="48140" spans="119:119" x14ac:dyDescent="0.2">
      <c r="DO48140" s="303" t="s">
        <v>232</v>
      </c>
    </row>
    <row r="48141" spans="119:119" x14ac:dyDescent="0.2">
      <c r="DO48141" s="303" t="s">
        <v>232</v>
      </c>
    </row>
    <row r="48142" spans="119:119" x14ac:dyDescent="0.2">
      <c r="DO48142" s="303" t="s">
        <v>232</v>
      </c>
    </row>
    <row r="48143" spans="119:119" x14ac:dyDescent="0.2">
      <c r="DO48143" s="303" t="s">
        <v>232</v>
      </c>
    </row>
    <row r="48144" spans="119:119" x14ac:dyDescent="0.2">
      <c r="DO48144" s="303" t="s">
        <v>232</v>
      </c>
    </row>
    <row r="48145" spans="119:119" x14ac:dyDescent="0.2">
      <c r="DO48145" s="303" t="s">
        <v>232</v>
      </c>
    </row>
    <row r="48146" spans="119:119" x14ac:dyDescent="0.2">
      <c r="DO48146" s="303" t="s">
        <v>232</v>
      </c>
    </row>
    <row r="48147" spans="119:119" x14ac:dyDescent="0.2">
      <c r="DO48147" s="303" t="s">
        <v>232</v>
      </c>
    </row>
    <row r="48148" spans="119:119" x14ac:dyDescent="0.2">
      <c r="DO48148" s="303" t="s">
        <v>232</v>
      </c>
    </row>
    <row r="48149" spans="119:119" x14ac:dyDescent="0.2">
      <c r="DO48149" s="303" t="s">
        <v>232</v>
      </c>
    </row>
    <row r="48150" spans="119:119" x14ac:dyDescent="0.2">
      <c r="DO48150" s="303" t="s">
        <v>232</v>
      </c>
    </row>
    <row r="48151" spans="119:119" x14ac:dyDescent="0.2">
      <c r="DO48151" s="303" t="s">
        <v>232</v>
      </c>
    </row>
    <row r="48152" spans="119:119" x14ac:dyDescent="0.2">
      <c r="DO48152" s="303" t="s">
        <v>232</v>
      </c>
    </row>
    <row r="48153" spans="119:119" x14ac:dyDescent="0.2">
      <c r="DO48153" s="303" t="s">
        <v>232</v>
      </c>
    </row>
    <row r="48154" spans="119:119" x14ac:dyDescent="0.2">
      <c r="DO48154" s="303" t="s">
        <v>232</v>
      </c>
    </row>
    <row r="48155" spans="119:119" x14ac:dyDescent="0.2">
      <c r="DO48155" s="303" t="s">
        <v>232</v>
      </c>
    </row>
    <row r="48156" spans="119:119" x14ac:dyDescent="0.2">
      <c r="DO48156" s="303" t="s">
        <v>232</v>
      </c>
    </row>
    <row r="48157" spans="119:119" x14ac:dyDescent="0.2">
      <c r="DO48157" s="303" t="s">
        <v>232</v>
      </c>
    </row>
    <row r="48158" spans="119:119" x14ac:dyDescent="0.2">
      <c r="DO48158" s="303" t="s">
        <v>232</v>
      </c>
    </row>
    <row r="48159" spans="119:119" x14ac:dyDescent="0.2">
      <c r="DO48159" s="303" t="s">
        <v>232</v>
      </c>
    </row>
    <row r="48160" spans="119:119" x14ac:dyDescent="0.2">
      <c r="DO48160" s="303" t="s">
        <v>232</v>
      </c>
    </row>
    <row r="48161" spans="119:119" x14ac:dyDescent="0.2">
      <c r="DO48161" s="303" t="s">
        <v>232</v>
      </c>
    </row>
    <row r="48162" spans="119:119" x14ac:dyDescent="0.2">
      <c r="DO48162" s="303" t="s">
        <v>232</v>
      </c>
    </row>
    <row r="48163" spans="119:119" x14ac:dyDescent="0.2">
      <c r="DO48163" s="303" t="s">
        <v>232</v>
      </c>
    </row>
    <row r="48164" spans="119:119" x14ac:dyDescent="0.2">
      <c r="DO48164" s="303" t="s">
        <v>232</v>
      </c>
    </row>
    <row r="48165" spans="119:119" x14ac:dyDescent="0.2">
      <c r="DO48165" s="303" t="s">
        <v>232</v>
      </c>
    </row>
    <row r="48166" spans="119:119" x14ac:dyDescent="0.2">
      <c r="DO48166" s="303" t="s">
        <v>232</v>
      </c>
    </row>
    <row r="48167" spans="119:119" x14ac:dyDescent="0.2">
      <c r="DO48167" s="303" t="s">
        <v>232</v>
      </c>
    </row>
    <row r="48168" spans="119:119" x14ac:dyDescent="0.2">
      <c r="DO48168" s="303" t="s">
        <v>232</v>
      </c>
    </row>
    <row r="48169" spans="119:119" x14ac:dyDescent="0.2">
      <c r="DO48169" s="303" t="s">
        <v>232</v>
      </c>
    </row>
    <row r="48170" spans="119:119" x14ac:dyDescent="0.2">
      <c r="DO48170" s="303" t="s">
        <v>232</v>
      </c>
    </row>
    <row r="48171" spans="119:119" x14ac:dyDescent="0.2">
      <c r="DO48171" s="303" t="s">
        <v>232</v>
      </c>
    </row>
    <row r="48172" spans="119:119" x14ac:dyDescent="0.2">
      <c r="DO48172" s="303" t="s">
        <v>232</v>
      </c>
    </row>
    <row r="48173" spans="119:119" x14ac:dyDescent="0.2">
      <c r="DO48173" s="303" t="s">
        <v>232</v>
      </c>
    </row>
    <row r="48174" spans="119:119" x14ac:dyDescent="0.2">
      <c r="DO48174" s="303" t="s">
        <v>232</v>
      </c>
    </row>
    <row r="48175" spans="119:119" x14ac:dyDescent="0.2">
      <c r="DO48175" s="303" t="s">
        <v>232</v>
      </c>
    </row>
    <row r="48176" spans="119:119" x14ac:dyDescent="0.2">
      <c r="DO48176" s="303" t="s">
        <v>232</v>
      </c>
    </row>
    <row r="48177" spans="119:119" x14ac:dyDescent="0.2">
      <c r="DO48177" s="303" t="s">
        <v>232</v>
      </c>
    </row>
    <row r="48178" spans="119:119" x14ac:dyDescent="0.2">
      <c r="DO48178" s="303" t="s">
        <v>232</v>
      </c>
    </row>
    <row r="48179" spans="119:119" x14ac:dyDescent="0.2">
      <c r="DO48179" s="303" t="s">
        <v>232</v>
      </c>
    </row>
    <row r="48180" spans="119:119" x14ac:dyDescent="0.2">
      <c r="DO48180" s="303" t="s">
        <v>232</v>
      </c>
    </row>
    <row r="48181" spans="119:119" x14ac:dyDescent="0.2">
      <c r="DO48181" s="303" t="s">
        <v>232</v>
      </c>
    </row>
    <row r="48182" spans="119:119" x14ac:dyDescent="0.2">
      <c r="DO48182" s="303" t="s">
        <v>232</v>
      </c>
    </row>
    <row r="48183" spans="119:119" x14ac:dyDescent="0.2">
      <c r="DO48183" s="303" t="s">
        <v>232</v>
      </c>
    </row>
    <row r="48184" spans="119:119" x14ac:dyDescent="0.2">
      <c r="DO48184" s="303" t="s">
        <v>232</v>
      </c>
    </row>
    <row r="48185" spans="119:119" x14ac:dyDescent="0.2">
      <c r="DO48185" s="303" t="s">
        <v>232</v>
      </c>
    </row>
    <row r="48186" spans="119:119" x14ac:dyDescent="0.2">
      <c r="DO48186" s="303" t="s">
        <v>232</v>
      </c>
    </row>
    <row r="48187" spans="119:119" x14ac:dyDescent="0.2">
      <c r="DO48187" s="303" t="s">
        <v>232</v>
      </c>
    </row>
    <row r="48188" spans="119:119" x14ac:dyDescent="0.2">
      <c r="DO48188" s="303" t="s">
        <v>232</v>
      </c>
    </row>
    <row r="48189" spans="119:119" x14ac:dyDescent="0.2">
      <c r="DO48189" s="303" t="s">
        <v>232</v>
      </c>
    </row>
    <row r="48190" spans="119:119" x14ac:dyDescent="0.2">
      <c r="DO48190" s="303" t="s">
        <v>232</v>
      </c>
    </row>
    <row r="48191" spans="119:119" x14ac:dyDescent="0.2">
      <c r="DO48191" s="303" t="s">
        <v>232</v>
      </c>
    </row>
    <row r="48192" spans="119:119" x14ac:dyDescent="0.2">
      <c r="DO48192" s="303" t="s">
        <v>232</v>
      </c>
    </row>
    <row r="48193" spans="119:119" x14ac:dyDescent="0.2">
      <c r="DO48193" s="303" t="s">
        <v>232</v>
      </c>
    </row>
    <row r="48194" spans="119:119" x14ac:dyDescent="0.2">
      <c r="DO48194" s="303" t="s">
        <v>232</v>
      </c>
    </row>
    <row r="48195" spans="119:119" x14ac:dyDescent="0.2">
      <c r="DO48195" s="303" t="s">
        <v>232</v>
      </c>
    </row>
    <row r="48196" spans="119:119" x14ac:dyDescent="0.2">
      <c r="DO48196" s="303" t="s">
        <v>232</v>
      </c>
    </row>
    <row r="48197" spans="119:119" x14ac:dyDescent="0.2">
      <c r="DO48197" s="303" t="s">
        <v>232</v>
      </c>
    </row>
    <row r="48198" spans="119:119" x14ac:dyDescent="0.2">
      <c r="DO48198" s="303" t="s">
        <v>232</v>
      </c>
    </row>
    <row r="48199" spans="119:119" x14ac:dyDescent="0.2">
      <c r="DO48199" s="303" t="s">
        <v>232</v>
      </c>
    </row>
    <row r="48200" spans="119:119" x14ac:dyDescent="0.2">
      <c r="DO48200" s="303" t="s">
        <v>232</v>
      </c>
    </row>
    <row r="48201" spans="119:119" x14ac:dyDescent="0.2">
      <c r="DO48201" s="303" t="s">
        <v>232</v>
      </c>
    </row>
    <row r="48202" spans="119:119" x14ac:dyDescent="0.2">
      <c r="DO48202" s="303" t="s">
        <v>232</v>
      </c>
    </row>
    <row r="48203" spans="119:119" x14ac:dyDescent="0.2">
      <c r="DO48203" s="303" t="s">
        <v>232</v>
      </c>
    </row>
    <row r="48204" spans="119:119" x14ac:dyDescent="0.2">
      <c r="DO48204" s="303" t="s">
        <v>232</v>
      </c>
    </row>
    <row r="48205" spans="119:119" x14ac:dyDescent="0.2">
      <c r="DO48205" s="303" t="s">
        <v>232</v>
      </c>
    </row>
    <row r="48206" spans="119:119" x14ac:dyDescent="0.2">
      <c r="DO48206" s="303" t="s">
        <v>232</v>
      </c>
    </row>
    <row r="48207" spans="119:119" x14ac:dyDescent="0.2">
      <c r="DO48207" s="303" t="s">
        <v>232</v>
      </c>
    </row>
    <row r="48208" spans="119:119" x14ac:dyDescent="0.2">
      <c r="DO48208" s="303" t="s">
        <v>232</v>
      </c>
    </row>
    <row r="48209" spans="119:119" x14ac:dyDescent="0.2">
      <c r="DO48209" s="303" t="s">
        <v>232</v>
      </c>
    </row>
    <row r="48210" spans="119:119" x14ac:dyDescent="0.2">
      <c r="DO48210" s="303" t="s">
        <v>232</v>
      </c>
    </row>
    <row r="48211" spans="119:119" x14ac:dyDescent="0.2">
      <c r="DO48211" s="303" t="s">
        <v>232</v>
      </c>
    </row>
    <row r="48212" spans="119:119" x14ac:dyDescent="0.2">
      <c r="DO48212" s="303" t="s">
        <v>232</v>
      </c>
    </row>
    <row r="48213" spans="119:119" x14ac:dyDescent="0.2">
      <c r="DO48213" s="303" t="s">
        <v>232</v>
      </c>
    </row>
    <row r="48214" spans="119:119" x14ac:dyDescent="0.2">
      <c r="DO48214" s="303" t="s">
        <v>232</v>
      </c>
    </row>
    <row r="48215" spans="119:119" x14ac:dyDescent="0.2">
      <c r="DO48215" s="303" t="s">
        <v>232</v>
      </c>
    </row>
    <row r="48216" spans="119:119" x14ac:dyDescent="0.2">
      <c r="DO48216" s="303" t="s">
        <v>232</v>
      </c>
    </row>
    <row r="48217" spans="119:119" x14ac:dyDescent="0.2">
      <c r="DO48217" s="303" t="s">
        <v>232</v>
      </c>
    </row>
    <row r="48218" spans="119:119" x14ac:dyDescent="0.2">
      <c r="DO48218" s="303" t="s">
        <v>232</v>
      </c>
    </row>
    <row r="48219" spans="119:119" x14ac:dyDescent="0.2">
      <c r="DO48219" s="303" t="s">
        <v>232</v>
      </c>
    </row>
    <row r="48220" spans="119:119" x14ac:dyDescent="0.2">
      <c r="DO48220" s="303" t="s">
        <v>232</v>
      </c>
    </row>
    <row r="48221" spans="119:119" x14ac:dyDescent="0.2">
      <c r="DO48221" s="303" t="s">
        <v>232</v>
      </c>
    </row>
    <row r="48222" spans="119:119" x14ac:dyDescent="0.2">
      <c r="DO48222" s="303" t="s">
        <v>232</v>
      </c>
    </row>
    <row r="48223" spans="119:119" x14ac:dyDescent="0.2">
      <c r="DO48223" s="303" t="s">
        <v>232</v>
      </c>
    </row>
    <row r="48224" spans="119:119" x14ac:dyDescent="0.2">
      <c r="DO48224" s="303" t="s">
        <v>232</v>
      </c>
    </row>
    <row r="48225" spans="119:119" x14ac:dyDescent="0.2">
      <c r="DO48225" s="303" t="s">
        <v>232</v>
      </c>
    </row>
    <row r="48226" spans="119:119" x14ac:dyDescent="0.2">
      <c r="DO48226" s="303" t="s">
        <v>232</v>
      </c>
    </row>
    <row r="48227" spans="119:119" x14ac:dyDescent="0.2">
      <c r="DO48227" s="303" t="s">
        <v>232</v>
      </c>
    </row>
    <row r="48228" spans="119:119" x14ac:dyDescent="0.2">
      <c r="DO48228" s="303" t="s">
        <v>232</v>
      </c>
    </row>
    <row r="48229" spans="119:119" x14ac:dyDescent="0.2">
      <c r="DO48229" s="303" t="s">
        <v>232</v>
      </c>
    </row>
    <row r="48230" spans="119:119" x14ac:dyDescent="0.2">
      <c r="DO48230" s="303" t="s">
        <v>232</v>
      </c>
    </row>
    <row r="48231" spans="119:119" x14ac:dyDescent="0.2">
      <c r="DO48231" s="303" t="s">
        <v>232</v>
      </c>
    </row>
    <row r="48232" spans="119:119" x14ac:dyDescent="0.2">
      <c r="DO48232" s="303" t="s">
        <v>232</v>
      </c>
    </row>
    <row r="48233" spans="119:119" x14ac:dyDescent="0.2">
      <c r="DO48233" s="303" t="s">
        <v>232</v>
      </c>
    </row>
    <row r="48234" spans="119:119" x14ac:dyDescent="0.2">
      <c r="DO48234" s="303" t="s">
        <v>232</v>
      </c>
    </row>
    <row r="48235" spans="119:119" x14ac:dyDescent="0.2">
      <c r="DO48235" s="303" t="s">
        <v>232</v>
      </c>
    </row>
    <row r="48236" spans="119:119" x14ac:dyDescent="0.2">
      <c r="DO48236" s="303" t="s">
        <v>232</v>
      </c>
    </row>
    <row r="48237" spans="119:119" x14ac:dyDescent="0.2">
      <c r="DO48237" s="303" t="s">
        <v>232</v>
      </c>
    </row>
    <row r="48238" spans="119:119" x14ac:dyDescent="0.2">
      <c r="DO48238" s="303" t="s">
        <v>232</v>
      </c>
    </row>
    <row r="48239" spans="119:119" x14ac:dyDescent="0.2">
      <c r="DO48239" s="303" t="s">
        <v>232</v>
      </c>
    </row>
    <row r="48240" spans="119:119" x14ac:dyDescent="0.2">
      <c r="DO48240" s="303" t="s">
        <v>232</v>
      </c>
    </row>
    <row r="48241" spans="119:119" x14ac:dyDescent="0.2">
      <c r="DO48241" s="303" t="s">
        <v>232</v>
      </c>
    </row>
    <row r="48242" spans="119:119" x14ac:dyDescent="0.2">
      <c r="DO48242" s="303" t="s">
        <v>232</v>
      </c>
    </row>
    <row r="48243" spans="119:119" x14ac:dyDescent="0.2">
      <c r="DO48243" s="303" t="s">
        <v>232</v>
      </c>
    </row>
    <row r="48244" spans="119:119" x14ac:dyDescent="0.2">
      <c r="DO48244" s="303" t="s">
        <v>232</v>
      </c>
    </row>
    <row r="48245" spans="119:119" x14ac:dyDescent="0.2">
      <c r="DO48245" s="303" t="s">
        <v>232</v>
      </c>
    </row>
    <row r="48246" spans="119:119" x14ac:dyDescent="0.2">
      <c r="DO48246" s="303" t="s">
        <v>232</v>
      </c>
    </row>
    <row r="48247" spans="119:119" x14ac:dyDescent="0.2">
      <c r="DO48247" s="303" t="s">
        <v>232</v>
      </c>
    </row>
    <row r="48248" spans="119:119" x14ac:dyDescent="0.2">
      <c r="DO48248" s="303" t="s">
        <v>232</v>
      </c>
    </row>
    <row r="48249" spans="119:119" x14ac:dyDescent="0.2">
      <c r="DO48249" s="303" t="s">
        <v>232</v>
      </c>
    </row>
    <row r="48250" spans="119:119" x14ac:dyDescent="0.2">
      <c r="DO48250" s="303" t="s">
        <v>232</v>
      </c>
    </row>
    <row r="48251" spans="119:119" x14ac:dyDescent="0.2">
      <c r="DO48251" s="303" t="s">
        <v>232</v>
      </c>
    </row>
    <row r="48252" spans="119:119" x14ac:dyDescent="0.2">
      <c r="DO48252" s="303" t="s">
        <v>232</v>
      </c>
    </row>
    <row r="48253" spans="119:119" x14ac:dyDescent="0.2">
      <c r="DO48253" s="303" t="s">
        <v>232</v>
      </c>
    </row>
    <row r="48254" spans="119:119" x14ac:dyDescent="0.2">
      <c r="DO48254" s="303" t="s">
        <v>232</v>
      </c>
    </row>
    <row r="48255" spans="119:119" x14ac:dyDescent="0.2">
      <c r="DO48255" s="303" t="s">
        <v>232</v>
      </c>
    </row>
    <row r="48256" spans="119:119" x14ac:dyDescent="0.2">
      <c r="DO48256" s="303" t="s">
        <v>232</v>
      </c>
    </row>
    <row r="48257" spans="119:119" x14ac:dyDescent="0.2">
      <c r="DO48257" s="303" t="s">
        <v>232</v>
      </c>
    </row>
    <row r="48258" spans="119:119" x14ac:dyDescent="0.2">
      <c r="DO48258" s="303" t="s">
        <v>232</v>
      </c>
    </row>
    <row r="48259" spans="119:119" x14ac:dyDescent="0.2">
      <c r="DO48259" s="303" t="s">
        <v>232</v>
      </c>
    </row>
    <row r="48260" spans="119:119" x14ac:dyDescent="0.2">
      <c r="DO48260" s="303" t="s">
        <v>232</v>
      </c>
    </row>
    <row r="48261" spans="119:119" x14ac:dyDescent="0.2">
      <c r="DO48261" s="303" t="s">
        <v>232</v>
      </c>
    </row>
    <row r="48262" spans="119:119" x14ac:dyDescent="0.2">
      <c r="DO48262" s="303" t="s">
        <v>232</v>
      </c>
    </row>
    <row r="48263" spans="119:119" x14ac:dyDescent="0.2">
      <c r="DO48263" s="303" t="s">
        <v>232</v>
      </c>
    </row>
    <row r="48264" spans="119:119" x14ac:dyDescent="0.2">
      <c r="DO48264" s="303" t="s">
        <v>232</v>
      </c>
    </row>
    <row r="48265" spans="119:119" x14ac:dyDescent="0.2">
      <c r="DO48265" s="303" t="s">
        <v>232</v>
      </c>
    </row>
    <row r="48266" spans="119:119" x14ac:dyDescent="0.2">
      <c r="DO48266" s="303" t="s">
        <v>232</v>
      </c>
    </row>
    <row r="48267" spans="119:119" x14ac:dyDescent="0.2">
      <c r="DO48267" s="303" t="s">
        <v>232</v>
      </c>
    </row>
    <row r="48268" spans="119:119" x14ac:dyDescent="0.2">
      <c r="DO48268" s="303" t="s">
        <v>232</v>
      </c>
    </row>
    <row r="48269" spans="119:119" x14ac:dyDescent="0.2">
      <c r="DO48269" s="303" t="s">
        <v>232</v>
      </c>
    </row>
    <row r="48270" spans="119:119" x14ac:dyDescent="0.2">
      <c r="DO48270" s="303" t="s">
        <v>232</v>
      </c>
    </row>
    <row r="48271" spans="119:119" x14ac:dyDescent="0.2">
      <c r="DO48271" s="303" t="s">
        <v>232</v>
      </c>
    </row>
    <row r="48272" spans="119:119" x14ac:dyDescent="0.2">
      <c r="DO48272" s="303" t="s">
        <v>232</v>
      </c>
    </row>
    <row r="48273" spans="119:119" x14ac:dyDescent="0.2">
      <c r="DO48273" s="303" t="s">
        <v>232</v>
      </c>
    </row>
    <row r="48274" spans="119:119" x14ac:dyDescent="0.2">
      <c r="DO48274" s="303" t="s">
        <v>232</v>
      </c>
    </row>
    <row r="48275" spans="119:119" x14ac:dyDescent="0.2">
      <c r="DO48275" s="303" t="s">
        <v>232</v>
      </c>
    </row>
    <row r="48276" spans="119:119" x14ac:dyDescent="0.2">
      <c r="DO48276" s="303" t="s">
        <v>232</v>
      </c>
    </row>
    <row r="48277" spans="119:119" x14ac:dyDescent="0.2">
      <c r="DO48277" s="303" t="s">
        <v>232</v>
      </c>
    </row>
    <row r="48278" spans="119:119" x14ac:dyDescent="0.2">
      <c r="DO48278" s="303" t="s">
        <v>232</v>
      </c>
    </row>
    <row r="48279" spans="119:119" x14ac:dyDescent="0.2">
      <c r="DO48279" s="303" t="s">
        <v>232</v>
      </c>
    </row>
    <row r="48280" spans="119:119" x14ac:dyDescent="0.2">
      <c r="DO48280" s="303" t="s">
        <v>232</v>
      </c>
    </row>
    <row r="48281" spans="119:119" x14ac:dyDescent="0.2">
      <c r="DO48281" s="303" t="s">
        <v>232</v>
      </c>
    </row>
    <row r="48282" spans="119:119" x14ac:dyDescent="0.2">
      <c r="DO48282" s="303" t="s">
        <v>232</v>
      </c>
    </row>
    <row r="48283" spans="119:119" x14ac:dyDescent="0.2">
      <c r="DO48283" s="303" t="s">
        <v>232</v>
      </c>
    </row>
    <row r="48284" spans="119:119" x14ac:dyDescent="0.2">
      <c r="DO48284" s="303" t="s">
        <v>232</v>
      </c>
    </row>
    <row r="48285" spans="119:119" x14ac:dyDescent="0.2">
      <c r="DO48285" s="303" t="s">
        <v>232</v>
      </c>
    </row>
    <row r="48286" spans="119:119" x14ac:dyDescent="0.2">
      <c r="DO48286" s="303" t="s">
        <v>232</v>
      </c>
    </row>
    <row r="48287" spans="119:119" x14ac:dyDescent="0.2">
      <c r="DO48287" s="303" t="s">
        <v>232</v>
      </c>
    </row>
    <row r="48288" spans="119:119" x14ac:dyDescent="0.2">
      <c r="DO48288" s="303" t="s">
        <v>232</v>
      </c>
    </row>
    <row r="48289" spans="119:119" x14ac:dyDescent="0.2">
      <c r="DO48289" s="303" t="s">
        <v>232</v>
      </c>
    </row>
    <row r="48290" spans="119:119" x14ac:dyDescent="0.2">
      <c r="DO48290" s="303" t="s">
        <v>232</v>
      </c>
    </row>
    <row r="48291" spans="119:119" x14ac:dyDescent="0.2">
      <c r="DO48291" s="303" t="s">
        <v>232</v>
      </c>
    </row>
    <row r="48292" spans="119:119" x14ac:dyDescent="0.2">
      <c r="DO48292" s="303" t="s">
        <v>232</v>
      </c>
    </row>
    <row r="48293" spans="119:119" x14ac:dyDescent="0.2">
      <c r="DO48293" s="303" t="s">
        <v>232</v>
      </c>
    </row>
    <row r="48294" spans="119:119" x14ac:dyDescent="0.2">
      <c r="DO48294" s="303" t="s">
        <v>232</v>
      </c>
    </row>
    <row r="48295" spans="119:119" x14ac:dyDescent="0.2">
      <c r="DO48295" s="303" t="s">
        <v>232</v>
      </c>
    </row>
    <row r="48296" spans="119:119" x14ac:dyDescent="0.2">
      <c r="DO48296" s="303" t="s">
        <v>232</v>
      </c>
    </row>
    <row r="48297" spans="119:119" x14ac:dyDescent="0.2">
      <c r="DO48297" s="303" t="s">
        <v>232</v>
      </c>
    </row>
    <row r="48298" spans="119:119" x14ac:dyDescent="0.2">
      <c r="DO48298" s="303" t="s">
        <v>232</v>
      </c>
    </row>
    <row r="48299" spans="119:119" x14ac:dyDescent="0.2">
      <c r="DO48299" s="303" t="s">
        <v>232</v>
      </c>
    </row>
    <row r="48300" spans="119:119" x14ac:dyDescent="0.2">
      <c r="DO48300" s="303" t="s">
        <v>232</v>
      </c>
    </row>
    <row r="48301" spans="119:119" x14ac:dyDescent="0.2">
      <c r="DO48301" s="303" t="s">
        <v>232</v>
      </c>
    </row>
    <row r="48302" spans="119:119" x14ac:dyDescent="0.2">
      <c r="DO48302" s="303" t="s">
        <v>232</v>
      </c>
    </row>
    <row r="48303" spans="119:119" x14ac:dyDescent="0.2">
      <c r="DO48303" s="303" t="s">
        <v>232</v>
      </c>
    </row>
    <row r="48304" spans="119:119" x14ac:dyDescent="0.2">
      <c r="DO48304" s="303" t="s">
        <v>232</v>
      </c>
    </row>
    <row r="48305" spans="119:119" x14ac:dyDescent="0.2">
      <c r="DO48305" s="303" t="s">
        <v>232</v>
      </c>
    </row>
    <row r="48306" spans="119:119" x14ac:dyDescent="0.2">
      <c r="DO48306" s="303" t="s">
        <v>232</v>
      </c>
    </row>
    <row r="48307" spans="119:119" x14ac:dyDescent="0.2">
      <c r="DO48307" s="303" t="s">
        <v>232</v>
      </c>
    </row>
    <row r="48308" spans="119:119" x14ac:dyDescent="0.2">
      <c r="DO48308" s="303" t="s">
        <v>232</v>
      </c>
    </row>
    <row r="48309" spans="119:119" x14ac:dyDescent="0.2">
      <c r="DO48309" s="303" t="s">
        <v>232</v>
      </c>
    </row>
    <row r="48310" spans="119:119" x14ac:dyDescent="0.2">
      <c r="DO48310" s="303" t="s">
        <v>232</v>
      </c>
    </row>
    <row r="48311" spans="119:119" x14ac:dyDescent="0.2">
      <c r="DO48311" s="303" t="s">
        <v>232</v>
      </c>
    </row>
    <row r="48312" spans="119:119" x14ac:dyDescent="0.2">
      <c r="DO48312" s="303" t="s">
        <v>232</v>
      </c>
    </row>
    <row r="48313" spans="119:119" x14ac:dyDescent="0.2">
      <c r="DO48313" s="303" t="s">
        <v>232</v>
      </c>
    </row>
    <row r="48314" spans="119:119" x14ac:dyDescent="0.2">
      <c r="DO48314" s="303" t="s">
        <v>232</v>
      </c>
    </row>
    <row r="48315" spans="119:119" x14ac:dyDescent="0.2">
      <c r="DO48315" s="303" t="s">
        <v>232</v>
      </c>
    </row>
    <row r="48316" spans="119:119" x14ac:dyDescent="0.2">
      <c r="DO48316" s="303" t="s">
        <v>232</v>
      </c>
    </row>
    <row r="48317" spans="119:119" x14ac:dyDescent="0.2">
      <c r="DO48317" s="303" t="s">
        <v>232</v>
      </c>
    </row>
    <row r="48318" spans="119:119" x14ac:dyDescent="0.2">
      <c r="DO48318" s="303" t="s">
        <v>232</v>
      </c>
    </row>
    <row r="48319" spans="119:119" x14ac:dyDescent="0.2">
      <c r="DO48319" s="303" t="s">
        <v>232</v>
      </c>
    </row>
    <row r="48320" spans="119:119" x14ac:dyDescent="0.2">
      <c r="DO48320" s="303" t="s">
        <v>232</v>
      </c>
    </row>
    <row r="48321" spans="119:119" x14ac:dyDescent="0.2">
      <c r="DO48321" s="303" t="s">
        <v>232</v>
      </c>
    </row>
    <row r="48322" spans="119:119" x14ac:dyDescent="0.2">
      <c r="DO48322" s="303" t="s">
        <v>232</v>
      </c>
    </row>
    <row r="48323" spans="119:119" x14ac:dyDescent="0.2">
      <c r="DO48323" s="303" t="s">
        <v>232</v>
      </c>
    </row>
    <row r="48324" spans="119:119" x14ac:dyDescent="0.2">
      <c r="DO48324" s="303" t="s">
        <v>232</v>
      </c>
    </row>
    <row r="48325" spans="119:119" x14ac:dyDescent="0.2">
      <c r="DO48325" s="303" t="s">
        <v>232</v>
      </c>
    </row>
    <row r="48326" spans="119:119" x14ac:dyDescent="0.2">
      <c r="DO48326" s="303" t="s">
        <v>232</v>
      </c>
    </row>
    <row r="48327" spans="119:119" x14ac:dyDescent="0.2">
      <c r="DO48327" s="303" t="s">
        <v>232</v>
      </c>
    </row>
    <row r="48328" spans="119:119" x14ac:dyDescent="0.2">
      <c r="DO48328" s="303" t="s">
        <v>232</v>
      </c>
    </row>
    <row r="48329" spans="119:119" x14ac:dyDescent="0.2">
      <c r="DO48329" s="303" t="s">
        <v>232</v>
      </c>
    </row>
    <row r="48330" spans="119:119" x14ac:dyDescent="0.2">
      <c r="DO48330" s="303" t="s">
        <v>232</v>
      </c>
    </row>
    <row r="48331" spans="119:119" x14ac:dyDescent="0.2">
      <c r="DO48331" s="303" t="s">
        <v>232</v>
      </c>
    </row>
    <row r="48332" spans="119:119" x14ac:dyDescent="0.2">
      <c r="DO48332" s="303" t="s">
        <v>232</v>
      </c>
    </row>
    <row r="48333" spans="119:119" x14ac:dyDescent="0.2">
      <c r="DO48333" s="303" t="s">
        <v>232</v>
      </c>
    </row>
    <row r="48334" spans="119:119" x14ac:dyDescent="0.2">
      <c r="DO48334" s="303" t="s">
        <v>232</v>
      </c>
    </row>
    <row r="48335" spans="119:119" x14ac:dyDescent="0.2">
      <c r="DO48335" s="303" t="s">
        <v>232</v>
      </c>
    </row>
    <row r="48336" spans="119:119" x14ac:dyDescent="0.2">
      <c r="DO48336" s="303" t="s">
        <v>232</v>
      </c>
    </row>
    <row r="48337" spans="119:119" x14ac:dyDescent="0.2">
      <c r="DO48337" s="303" t="s">
        <v>232</v>
      </c>
    </row>
    <row r="48338" spans="119:119" x14ac:dyDescent="0.2">
      <c r="DO48338" s="303" t="s">
        <v>232</v>
      </c>
    </row>
    <row r="48339" spans="119:119" x14ac:dyDescent="0.2">
      <c r="DO48339" s="303" t="s">
        <v>232</v>
      </c>
    </row>
    <row r="48340" spans="119:119" x14ac:dyDescent="0.2">
      <c r="DO48340" s="303" t="s">
        <v>232</v>
      </c>
    </row>
    <row r="48341" spans="119:119" x14ac:dyDescent="0.2">
      <c r="DO48341" s="303" t="s">
        <v>232</v>
      </c>
    </row>
    <row r="48342" spans="119:119" x14ac:dyDescent="0.2">
      <c r="DO48342" s="303" t="s">
        <v>232</v>
      </c>
    </row>
    <row r="48343" spans="119:119" x14ac:dyDescent="0.2">
      <c r="DO48343" s="303" t="s">
        <v>232</v>
      </c>
    </row>
    <row r="48344" spans="119:119" x14ac:dyDescent="0.2">
      <c r="DO48344" s="303" t="s">
        <v>232</v>
      </c>
    </row>
    <row r="48345" spans="119:119" x14ac:dyDescent="0.2">
      <c r="DO48345" s="303" t="s">
        <v>232</v>
      </c>
    </row>
    <row r="48346" spans="119:119" x14ac:dyDescent="0.2">
      <c r="DO48346" s="303" t="s">
        <v>232</v>
      </c>
    </row>
    <row r="48347" spans="119:119" x14ac:dyDescent="0.2">
      <c r="DO48347" s="303" t="s">
        <v>232</v>
      </c>
    </row>
    <row r="48348" spans="119:119" x14ac:dyDescent="0.2">
      <c r="DO48348" s="303" t="s">
        <v>232</v>
      </c>
    </row>
    <row r="48349" spans="119:119" x14ac:dyDescent="0.2">
      <c r="DO48349" s="303" t="s">
        <v>232</v>
      </c>
    </row>
    <row r="48350" spans="119:119" x14ac:dyDescent="0.2">
      <c r="DO48350" s="303" t="s">
        <v>232</v>
      </c>
    </row>
    <row r="48351" spans="119:119" x14ac:dyDescent="0.2">
      <c r="DO48351" s="303" t="s">
        <v>232</v>
      </c>
    </row>
    <row r="48352" spans="119:119" x14ac:dyDescent="0.2">
      <c r="DO48352" s="303" t="s">
        <v>232</v>
      </c>
    </row>
    <row r="48353" spans="119:119" x14ac:dyDescent="0.2">
      <c r="DO48353" s="303" t="s">
        <v>232</v>
      </c>
    </row>
    <row r="48354" spans="119:119" x14ac:dyDescent="0.2">
      <c r="DO48354" s="303" t="s">
        <v>232</v>
      </c>
    </row>
    <row r="48355" spans="119:119" x14ac:dyDescent="0.2">
      <c r="DO48355" s="303" t="s">
        <v>232</v>
      </c>
    </row>
    <row r="48356" spans="119:119" x14ac:dyDescent="0.2">
      <c r="DO48356" s="303" t="s">
        <v>232</v>
      </c>
    </row>
    <row r="48357" spans="119:119" x14ac:dyDescent="0.2">
      <c r="DO48357" s="303" t="s">
        <v>232</v>
      </c>
    </row>
    <row r="48358" spans="119:119" x14ac:dyDescent="0.2">
      <c r="DO48358" s="303" t="s">
        <v>232</v>
      </c>
    </row>
    <row r="48359" spans="119:119" x14ac:dyDescent="0.2">
      <c r="DO48359" s="303" t="s">
        <v>232</v>
      </c>
    </row>
    <row r="48360" spans="119:119" x14ac:dyDescent="0.2">
      <c r="DO48360" s="303" t="s">
        <v>232</v>
      </c>
    </row>
    <row r="48361" spans="119:119" x14ac:dyDescent="0.2">
      <c r="DO48361" s="303" t="s">
        <v>232</v>
      </c>
    </row>
    <row r="48362" spans="119:119" x14ac:dyDescent="0.2">
      <c r="DO48362" s="303" t="s">
        <v>232</v>
      </c>
    </row>
    <row r="48363" spans="119:119" x14ac:dyDescent="0.2">
      <c r="DO48363" s="303" t="s">
        <v>232</v>
      </c>
    </row>
    <row r="48364" spans="119:119" x14ac:dyDescent="0.2">
      <c r="DO48364" s="303" t="s">
        <v>232</v>
      </c>
    </row>
    <row r="48365" spans="119:119" x14ac:dyDescent="0.2">
      <c r="DO48365" s="303" t="s">
        <v>232</v>
      </c>
    </row>
    <row r="48366" spans="119:119" x14ac:dyDescent="0.2">
      <c r="DO48366" s="303" t="s">
        <v>232</v>
      </c>
    </row>
    <row r="48367" spans="119:119" x14ac:dyDescent="0.2">
      <c r="DO48367" s="303" t="s">
        <v>232</v>
      </c>
    </row>
    <row r="48368" spans="119:119" x14ac:dyDescent="0.2">
      <c r="DO48368" s="303" t="s">
        <v>232</v>
      </c>
    </row>
    <row r="48369" spans="119:119" x14ac:dyDescent="0.2">
      <c r="DO48369" s="303" t="s">
        <v>232</v>
      </c>
    </row>
    <row r="48370" spans="119:119" x14ac:dyDescent="0.2">
      <c r="DO48370" s="303" t="s">
        <v>232</v>
      </c>
    </row>
    <row r="48371" spans="119:119" x14ac:dyDescent="0.2">
      <c r="DO48371" s="303" t="s">
        <v>232</v>
      </c>
    </row>
    <row r="48372" spans="119:119" x14ac:dyDescent="0.2">
      <c r="DO48372" s="303" t="s">
        <v>232</v>
      </c>
    </row>
    <row r="48373" spans="119:119" x14ac:dyDescent="0.2">
      <c r="DO48373" s="303" t="s">
        <v>232</v>
      </c>
    </row>
    <row r="48374" spans="119:119" x14ac:dyDescent="0.2">
      <c r="DO48374" s="303" t="s">
        <v>232</v>
      </c>
    </row>
    <row r="48375" spans="119:119" x14ac:dyDescent="0.2">
      <c r="DO48375" s="303" t="s">
        <v>232</v>
      </c>
    </row>
    <row r="48376" spans="119:119" x14ac:dyDescent="0.2">
      <c r="DO48376" s="303" t="s">
        <v>232</v>
      </c>
    </row>
    <row r="48377" spans="119:119" x14ac:dyDescent="0.2">
      <c r="DO48377" s="303" t="s">
        <v>232</v>
      </c>
    </row>
    <row r="48378" spans="119:119" x14ac:dyDescent="0.2">
      <c r="DO48378" s="303" t="s">
        <v>232</v>
      </c>
    </row>
    <row r="48379" spans="119:119" x14ac:dyDescent="0.2">
      <c r="DO48379" s="303" t="s">
        <v>232</v>
      </c>
    </row>
    <row r="48380" spans="119:119" x14ac:dyDescent="0.2">
      <c r="DO48380" s="303" t="s">
        <v>232</v>
      </c>
    </row>
    <row r="48381" spans="119:119" x14ac:dyDescent="0.2">
      <c r="DO48381" s="303" t="s">
        <v>232</v>
      </c>
    </row>
    <row r="48382" spans="119:119" x14ac:dyDescent="0.2">
      <c r="DO48382" s="303" t="s">
        <v>232</v>
      </c>
    </row>
    <row r="48383" spans="119:119" x14ac:dyDescent="0.2">
      <c r="DO48383" s="303" t="s">
        <v>232</v>
      </c>
    </row>
    <row r="48384" spans="119:119" x14ac:dyDescent="0.2">
      <c r="DO48384" s="303" t="s">
        <v>232</v>
      </c>
    </row>
    <row r="48385" spans="119:119" x14ac:dyDescent="0.2">
      <c r="DO48385" s="303" t="s">
        <v>232</v>
      </c>
    </row>
    <row r="48386" spans="119:119" x14ac:dyDescent="0.2">
      <c r="DO48386" s="303" t="s">
        <v>232</v>
      </c>
    </row>
    <row r="48387" spans="119:119" x14ac:dyDescent="0.2">
      <c r="DO48387" s="303" t="s">
        <v>232</v>
      </c>
    </row>
    <row r="48388" spans="119:119" x14ac:dyDescent="0.2">
      <c r="DO48388" s="303" t="s">
        <v>232</v>
      </c>
    </row>
    <row r="48389" spans="119:119" x14ac:dyDescent="0.2">
      <c r="DO48389" s="303" t="s">
        <v>232</v>
      </c>
    </row>
    <row r="48390" spans="119:119" x14ac:dyDescent="0.2">
      <c r="DO48390" s="303" t="s">
        <v>232</v>
      </c>
    </row>
    <row r="48391" spans="119:119" x14ac:dyDescent="0.2">
      <c r="DO48391" s="303" t="s">
        <v>232</v>
      </c>
    </row>
    <row r="48392" spans="119:119" x14ac:dyDescent="0.2">
      <c r="DO48392" s="303" t="s">
        <v>232</v>
      </c>
    </row>
    <row r="48393" spans="119:119" x14ac:dyDescent="0.2">
      <c r="DO48393" s="303" t="s">
        <v>232</v>
      </c>
    </row>
    <row r="48394" spans="119:119" x14ac:dyDescent="0.2">
      <c r="DO48394" s="303" t="s">
        <v>232</v>
      </c>
    </row>
    <row r="48395" spans="119:119" x14ac:dyDescent="0.2">
      <c r="DO48395" s="303" t="s">
        <v>232</v>
      </c>
    </row>
    <row r="48396" spans="119:119" x14ac:dyDescent="0.2">
      <c r="DO48396" s="303" t="s">
        <v>232</v>
      </c>
    </row>
    <row r="48397" spans="119:119" x14ac:dyDescent="0.2">
      <c r="DO48397" s="303" t="s">
        <v>232</v>
      </c>
    </row>
    <row r="48398" spans="119:119" x14ac:dyDescent="0.2">
      <c r="DO48398" s="303" t="s">
        <v>232</v>
      </c>
    </row>
    <row r="48399" spans="119:119" x14ac:dyDescent="0.2">
      <c r="DO48399" s="303" t="s">
        <v>232</v>
      </c>
    </row>
    <row r="48400" spans="119:119" x14ac:dyDescent="0.2">
      <c r="DO48400" s="303" t="s">
        <v>232</v>
      </c>
    </row>
    <row r="48401" spans="119:119" x14ac:dyDescent="0.2">
      <c r="DO48401" s="303" t="s">
        <v>232</v>
      </c>
    </row>
    <row r="48402" spans="119:119" x14ac:dyDescent="0.2">
      <c r="DO48402" s="303" t="s">
        <v>232</v>
      </c>
    </row>
    <row r="48403" spans="119:119" x14ac:dyDescent="0.2">
      <c r="DO48403" s="303" t="s">
        <v>232</v>
      </c>
    </row>
    <row r="48404" spans="119:119" x14ac:dyDescent="0.2">
      <c r="DO48404" s="303" t="s">
        <v>232</v>
      </c>
    </row>
    <row r="48405" spans="119:119" x14ac:dyDescent="0.2">
      <c r="DO48405" s="303" t="s">
        <v>232</v>
      </c>
    </row>
    <row r="48406" spans="119:119" x14ac:dyDescent="0.2">
      <c r="DO48406" s="303" t="s">
        <v>232</v>
      </c>
    </row>
    <row r="48407" spans="119:119" x14ac:dyDescent="0.2">
      <c r="DO48407" s="303" t="s">
        <v>232</v>
      </c>
    </row>
    <row r="48408" spans="119:119" x14ac:dyDescent="0.2">
      <c r="DO48408" s="303" t="s">
        <v>232</v>
      </c>
    </row>
    <row r="48409" spans="119:119" x14ac:dyDescent="0.2">
      <c r="DO48409" s="303" t="s">
        <v>232</v>
      </c>
    </row>
    <row r="48410" spans="119:119" x14ac:dyDescent="0.2">
      <c r="DO48410" s="303" t="s">
        <v>232</v>
      </c>
    </row>
    <row r="48411" spans="119:119" x14ac:dyDescent="0.2">
      <c r="DO48411" s="303" t="s">
        <v>232</v>
      </c>
    </row>
    <row r="48412" spans="119:119" x14ac:dyDescent="0.2">
      <c r="DO48412" s="303" t="s">
        <v>232</v>
      </c>
    </row>
    <row r="48413" spans="119:119" x14ac:dyDescent="0.2">
      <c r="DO48413" s="303" t="s">
        <v>232</v>
      </c>
    </row>
    <row r="48414" spans="119:119" x14ac:dyDescent="0.2">
      <c r="DO48414" s="303" t="s">
        <v>232</v>
      </c>
    </row>
    <row r="48415" spans="119:119" x14ac:dyDescent="0.2">
      <c r="DO48415" s="303" t="s">
        <v>232</v>
      </c>
    </row>
    <row r="48416" spans="119:119" x14ac:dyDescent="0.2">
      <c r="DO48416" s="303" t="s">
        <v>232</v>
      </c>
    </row>
    <row r="48417" spans="119:119" x14ac:dyDescent="0.2">
      <c r="DO48417" s="303" t="s">
        <v>232</v>
      </c>
    </row>
    <row r="48418" spans="119:119" x14ac:dyDescent="0.2">
      <c r="DO48418" s="303" t="s">
        <v>232</v>
      </c>
    </row>
    <row r="48419" spans="119:119" x14ac:dyDescent="0.2">
      <c r="DO48419" s="303" t="s">
        <v>232</v>
      </c>
    </row>
    <row r="48420" spans="119:119" x14ac:dyDescent="0.2">
      <c r="DO48420" s="303" t="s">
        <v>232</v>
      </c>
    </row>
    <row r="48421" spans="119:119" x14ac:dyDescent="0.2">
      <c r="DO48421" s="303" t="s">
        <v>232</v>
      </c>
    </row>
    <row r="48422" spans="119:119" x14ac:dyDescent="0.2">
      <c r="DO48422" s="303" t="s">
        <v>232</v>
      </c>
    </row>
    <row r="48423" spans="119:119" x14ac:dyDescent="0.2">
      <c r="DO48423" s="303" t="s">
        <v>232</v>
      </c>
    </row>
    <row r="48424" spans="119:119" x14ac:dyDescent="0.2">
      <c r="DO48424" s="303" t="s">
        <v>232</v>
      </c>
    </row>
    <row r="48425" spans="119:119" x14ac:dyDescent="0.2">
      <c r="DO48425" s="303" t="s">
        <v>232</v>
      </c>
    </row>
    <row r="48426" spans="119:119" x14ac:dyDescent="0.2">
      <c r="DO48426" s="303" t="s">
        <v>232</v>
      </c>
    </row>
    <row r="48427" spans="119:119" x14ac:dyDescent="0.2">
      <c r="DO48427" s="303" t="s">
        <v>232</v>
      </c>
    </row>
    <row r="48428" spans="119:119" x14ac:dyDescent="0.2">
      <c r="DO48428" s="303" t="s">
        <v>232</v>
      </c>
    </row>
    <row r="48429" spans="119:119" x14ac:dyDescent="0.2">
      <c r="DO48429" s="303" t="s">
        <v>232</v>
      </c>
    </row>
    <row r="48430" spans="119:119" x14ac:dyDescent="0.2">
      <c r="DO48430" s="303" t="s">
        <v>232</v>
      </c>
    </row>
    <row r="48431" spans="119:119" x14ac:dyDescent="0.2">
      <c r="DO48431" s="303" t="s">
        <v>232</v>
      </c>
    </row>
    <row r="48432" spans="119:119" x14ac:dyDescent="0.2">
      <c r="DO48432" s="303" t="s">
        <v>232</v>
      </c>
    </row>
    <row r="48433" spans="119:119" x14ac:dyDescent="0.2">
      <c r="DO48433" s="303" t="s">
        <v>232</v>
      </c>
    </row>
    <row r="48434" spans="119:119" x14ac:dyDescent="0.2">
      <c r="DO48434" s="303" t="s">
        <v>232</v>
      </c>
    </row>
    <row r="48435" spans="119:119" x14ac:dyDescent="0.2">
      <c r="DO48435" s="303" t="s">
        <v>232</v>
      </c>
    </row>
    <row r="48436" spans="119:119" x14ac:dyDescent="0.2">
      <c r="DO48436" s="303" t="s">
        <v>232</v>
      </c>
    </row>
    <row r="48437" spans="119:119" x14ac:dyDescent="0.2">
      <c r="DO48437" s="303" t="s">
        <v>232</v>
      </c>
    </row>
    <row r="48438" spans="119:119" x14ac:dyDescent="0.2">
      <c r="DO48438" s="303" t="s">
        <v>232</v>
      </c>
    </row>
    <row r="48439" spans="119:119" x14ac:dyDescent="0.2">
      <c r="DO48439" s="303" t="s">
        <v>232</v>
      </c>
    </row>
    <row r="48440" spans="119:119" x14ac:dyDescent="0.2">
      <c r="DO48440" s="303" t="s">
        <v>232</v>
      </c>
    </row>
    <row r="48441" spans="119:119" x14ac:dyDescent="0.2">
      <c r="DO48441" s="303" t="s">
        <v>232</v>
      </c>
    </row>
    <row r="48442" spans="119:119" x14ac:dyDescent="0.2">
      <c r="DO48442" s="303" t="s">
        <v>232</v>
      </c>
    </row>
    <row r="48443" spans="119:119" x14ac:dyDescent="0.2">
      <c r="DO48443" s="303" t="s">
        <v>232</v>
      </c>
    </row>
    <row r="48444" spans="119:119" x14ac:dyDescent="0.2">
      <c r="DO48444" s="303" t="s">
        <v>232</v>
      </c>
    </row>
    <row r="48445" spans="119:119" x14ac:dyDescent="0.2">
      <c r="DO48445" s="303" t="s">
        <v>232</v>
      </c>
    </row>
    <row r="48446" spans="119:119" x14ac:dyDescent="0.2">
      <c r="DO48446" s="303" t="s">
        <v>232</v>
      </c>
    </row>
    <row r="48447" spans="119:119" x14ac:dyDescent="0.2">
      <c r="DO48447" s="303" t="s">
        <v>232</v>
      </c>
    </row>
    <row r="48448" spans="119:119" x14ac:dyDescent="0.2">
      <c r="DO48448" s="303" t="s">
        <v>232</v>
      </c>
    </row>
    <row r="48449" spans="119:119" x14ac:dyDescent="0.2">
      <c r="DO48449" s="303" t="s">
        <v>232</v>
      </c>
    </row>
    <row r="48450" spans="119:119" x14ac:dyDescent="0.2">
      <c r="DO48450" s="303" t="s">
        <v>232</v>
      </c>
    </row>
    <row r="48451" spans="119:119" x14ac:dyDescent="0.2">
      <c r="DO48451" s="303" t="s">
        <v>232</v>
      </c>
    </row>
    <row r="48452" spans="119:119" x14ac:dyDescent="0.2">
      <c r="DO48452" s="303" t="s">
        <v>232</v>
      </c>
    </row>
    <row r="48453" spans="119:119" x14ac:dyDescent="0.2">
      <c r="DO48453" s="303" t="s">
        <v>232</v>
      </c>
    </row>
    <row r="48454" spans="119:119" x14ac:dyDescent="0.2">
      <c r="DO48454" s="303" t="s">
        <v>232</v>
      </c>
    </row>
    <row r="48455" spans="119:119" x14ac:dyDescent="0.2">
      <c r="DO48455" s="303" t="s">
        <v>232</v>
      </c>
    </row>
    <row r="48456" spans="119:119" x14ac:dyDescent="0.2">
      <c r="DO48456" s="303" t="s">
        <v>232</v>
      </c>
    </row>
    <row r="48457" spans="119:119" x14ac:dyDescent="0.2">
      <c r="DO48457" s="303" t="s">
        <v>232</v>
      </c>
    </row>
    <row r="48458" spans="119:119" x14ac:dyDescent="0.2">
      <c r="DO48458" s="303" t="s">
        <v>232</v>
      </c>
    </row>
    <row r="48459" spans="119:119" x14ac:dyDescent="0.2">
      <c r="DO48459" s="303" t="s">
        <v>232</v>
      </c>
    </row>
    <row r="48460" spans="119:119" x14ac:dyDescent="0.2">
      <c r="DO48460" s="303" t="s">
        <v>232</v>
      </c>
    </row>
    <row r="48461" spans="119:119" x14ac:dyDescent="0.2">
      <c r="DO48461" s="303" t="s">
        <v>232</v>
      </c>
    </row>
    <row r="48462" spans="119:119" x14ac:dyDescent="0.2">
      <c r="DO48462" s="303" t="s">
        <v>232</v>
      </c>
    </row>
    <row r="48463" spans="119:119" x14ac:dyDescent="0.2">
      <c r="DO48463" s="303" t="s">
        <v>232</v>
      </c>
    </row>
    <row r="48464" spans="119:119" x14ac:dyDescent="0.2">
      <c r="DO48464" s="303" t="s">
        <v>232</v>
      </c>
    </row>
    <row r="48465" spans="119:119" x14ac:dyDescent="0.2">
      <c r="DO48465" s="303" t="s">
        <v>232</v>
      </c>
    </row>
    <row r="48466" spans="119:119" x14ac:dyDescent="0.2">
      <c r="DO48466" s="303" t="s">
        <v>232</v>
      </c>
    </row>
    <row r="48467" spans="119:119" x14ac:dyDescent="0.2">
      <c r="DO48467" s="303" t="s">
        <v>232</v>
      </c>
    </row>
    <row r="48468" spans="119:119" x14ac:dyDescent="0.2">
      <c r="DO48468" s="303" t="s">
        <v>232</v>
      </c>
    </row>
    <row r="48469" spans="119:119" x14ac:dyDescent="0.2">
      <c r="DO48469" s="303" t="s">
        <v>232</v>
      </c>
    </row>
    <row r="48470" spans="119:119" x14ac:dyDescent="0.2">
      <c r="DO48470" s="303" t="s">
        <v>232</v>
      </c>
    </row>
    <row r="48471" spans="119:119" x14ac:dyDescent="0.2">
      <c r="DO48471" s="303" t="s">
        <v>232</v>
      </c>
    </row>
    <row r="48472" spans="119:119" x14ac:dyDescent="0.2">
      <c r="DO48472" s="303" t="s">
        <v>232</v>
      </c>
    </row>
    <row r="48473" spans="119:119" x14ac:dyDescent="0.2">
      <c r="DO48473" s="303" t="s">
        <v>232</v>
      </c>
    </row>
    <row r="48474" spans="119:119" x14ac:dyDescent="0.2">
      <c r="DO48474" s="303" t="s">
        <v>232</v>
      </c>
    </row>
    <row r="48475" spans="119:119" x14ac:dyDescent="0.2">
      <c r="DO48475" s="303" t="s">
        <v>232</v>
      </c>
    </row>
    <row r="48476" spans="119:119" x14ac:dyDescent="0.2">
      <c r="DO48476" s="303" t="s">
        <v>232</v>
      </c>
    </row>
    <row r="48477" spans="119:119" x14ac:dyDescent="0.2">
      <c r="DO48477" s="303" t="s">
        <v>232</v>
      </c>
    </row>
    <row r="48478" spans="119:119" x14ac:dyDescent="0.2">
      <c r="DO48478" s="303" t="s">
        <v>232</v>
      </c>
    </row>
    <row r="48479" spans="119:119" x14ac:dyDescent="0.2">
      <c r="DO48479" s="303" t="s">
        <v>232</v>
      </c>
    </row>
    <row r="48480" spans="119:119" x14ac:dyDescent="0.2">
      <c r="DO48480" s="303" t="s">
        <v>232</v>
      </c>
    </row>
    <row r="48481" spans="119:119" x14ac:dyDescent="0.2">
      <c r="DO48481" s="303" t="s">
        <v>232</v>
      </c>
    </row>
    <row r="48482" spans="119:119" x14ac:dyDescent="0.2">
      <c r="DO48482" s="303" t="s">
        <v>232</v>
      </c>
    </row>
    <row r="48483" spans="119:119" x14ac:dyDescent="0.2">
      <c r="DO48483" s="303" t="s">
        <v>232</v>
      </c>
    </row>
    <row r="48484" spans="119:119" x14ac:dyDescent="0.2">
      <c r="DO48484" s="303" t="s">
        <v>232</v>
      </c>
    </row>
    <row r="48485" spans="119:119" x14ac:dyDescent="0.2">
      <c r="DO48485" s="303" t="s">
        <v>232</v>
      </c>
    </row>
    <row r="48486" spans="119:119" x14ac:dyDescent="0.2">
      <c r="DO48486" s="303" t="s">
        <v>232</v>
      </c>
    </row>
    <row r="48487" spans="119:119" x14ac:dyDescent="0.2">
      <c r="DO48487" s="303" t="s">
        <v>232</v>
      </c>
    </row>
    <row r="48488" spans="119:119" x14ac:dyDescent="0.2">
      <c r="DO48488" s="303" t="s">
        <v>232</v>
      </c>
    </row>
    <row r="48489" spans="119:119" x14ac:dyDescent="0.2">
      <c r="DO48489" s="303" t="s">
        <v>232</v>
      </c>
    </row>
    <row r="48490" spans="119:119" x14ac:dyDescent="0.2">
      <c r="DO48490" s="303" t="s">
        <v>232</v>
      </c>
    </row>
    <row r="48491" spans="119:119" x14ac:dyDescent="0.2">
      <c r="DO48491" s="303" t="s">
        <v>232</v>
      </c>
    </row>
    <row r="48492" spans="119:119" x14ac:dyDescent="0.2">
      <c r="DO48492" s="303" t="s">
        <v>232</v>
      </c>
    </row>
    <row r="48493" spans="119:119" x14ac:dyDescent="0.2">
      <c r="DO48493" s="303" t="s">
        <v>232</v>
      </c>
    </row>
    <row r="48494" spans="119:119" x14ac:dyDescent="0.2">
      <c r="DO48494" s="303" t="s">
        <v>232</v>
      </c>
    </row>
    <row r="48495" spans="119:119" x14ac:dyDescent="0.2">
      <c r="DO48495" s="303" t="s">
        <v>232</v>
      </c>
    </row>
    <row r="48496" spans="119:119" x14ac:dyDescent="0.2">
      <c r="DO48496" s="303" t="s">
        <v>232</v>
      </c>
    </row>
    <row r="48497" spans="119:119" x14ac:dyDescent="0.2">
      <c r="DO48497" s="303" t="s">
        <v>232</v>
      </c>
    </row>
    <row r="48498" spans="119:119" x14ac:dyDescent="0.2">
      <c r="DO48498" s="303" t="s">
        <v>232</v>
      </c>
    </row>
    <row r="48499" spans="119:119" x14ac:dyDescent="0.2">
      <c r="DO48499" s="303" t="s">
        <v>232</v>
      </c>
    </row>
    <row r="48500" spans="119:119" x14ac:dyDescent="0.2">
      <c r="DO48500" s="303" t="s">
        <v>232</v>
      </c>
    </row>
    <row r="48501" spans="119:119" x14ac:dyDescent="0.2">
      <c r="DO48501" s="303" t="s">
        <v>232</v>
      </c>
    </row>
    <row r="48502" spans="119:119" x14ac:dyDescent="0.2">
      <c r="DO48502" s="303" t="s">
        <v>232</v>
      </c>
    </row>
    <row r="48503" spans="119:119" x14ac:dyDescent="0.2">
      <c r="DO48503" s="303" t="s">
        <v>232</v>
      </c>
    </row>
    <row r="48504" spans="119:119" x14ac:dyDescent="0.2">
      <c r="DO48504" s="303" t="s">
        <v>232</v>
      </c>
    </row>
    <row r="48505" spans="119:119" x14ac:dyDescent="0.2">
      <c r="DO48505" s="303" t="s">
        <v>232</v>
      </c>
    </row>
    <row r="48506" spans="119:119" x14ac:dyDescent="0.2">
      <c r="DO48506" s="303" t="s">
        <v>232</v>
      </c>
    </row>
    <row r="48507" spans="119:119" x14ac:dyDescent="0.2">
      <c r="DO48507" s="303" t="s">
        <v>232</v>
      </c>
    </row>
    <row r="48508" spans="119:119" x14ac:dyDescent="0.2">
      <c r="DO48508" s="303" t="s">
        <v>232</v>
      </c>
    </row>
    <row r="48509" spans="119:119" x14ac:dyDescent="0.2">
      <c r="DO48509" s="303" t="s">
        <v>232</v>
      </c>
    </row>
    <row r="48510" spans="119:119" x14ac:dyDescent="0.2">
      <c r="DO48510" s="303" t="s">
        <v>232</v>
      </c>
    </row>
    <row r="48511" spans="119:119" x14ac:dyDescent="0.2">
      <c r="DO48511" s="303" t="s">
        <v>232</v>
      </c>
    </row>
    <row r="48512" spans="119:119" x14ac:dyDescent="0.2">
      <c r="DO48512" s="303" t="s">
        <v>232</v>
      </c>
    </row>
    <row r="48513" spans="119:119" x14ac:dyDescent="0.2">
      <c r="DO48513" s="303" t="s">
        <v>232</v>
      </c>
    </row>
    <row r="48514" spans="119:119" x14ac:dyDescent="0.2">
      <c r="DO48514" s="303" t="s">
        <v>232</v>
      </c>
    </row>
    <row r="48515" spans="119:119" x14ac:dyDescent="0.2">
      <c r="DO48515" s="303" t="s">
        <v>232</v>
      </c>
    </row>
    <row r="48516" spans="119:119" x14ac:dyDescent="0.2">
      <c r="DO48516" s="303" t="s">
        <v>232</v>
      </c>
    </row>
    <row r="48517" spans="119:119" x14ac:dyDescent="0.2">
      <c r="DO48517" s="303" t="s">
        <v>232</v>
      </c>
    </row>
    <row r="48518" spans="119:119" x14ac:dyDescent="0.2">
      <c r="DO48518" s="303" t="s">
        <v>232</v>
      </c>
    </row>
    <row r="48519" spans="119:119" x14ac:dyDescent="0.2">
      <c r="DO48519" s="303" t="s">
        <v>232</v>
      </c>
    </row>
    <row r="48520" spans="119:119" x14ac:dyDescent="0.2">
      <c r="DO48520" s="303" t="s">
        <v>232</v>
      </c>
    </row>
    <row r="48521" spans="119:119" x14ac:dyDescent="0.2">
      <c r="DO48521" s="303" t="s">
        <v>232</v>
      </c>
    </row>
    <row r="48522" spans="119:119" x14ac:dyDescent="0.2">
      <c r="DO48522" s="303" t="s">
        <v>232</v>
      </c>
    </row>
    <row r="48523" spans="119:119" x14ac:dyDescent="0.2">
      <c r="DO48523" s="303" t="s">
        <v>232</v>
      </c>
    </row>
    <row r="48524" spans="119:119" x14ac:dyDescent="0.2">
      <c r="DO48524" s="303" t="s">
        <v>232</v>
      </c>
    </row>
    <row r="48525" spans="119:119" x14ac:dyDescent="0.2">
      <c r="DO48525" s="303" t="s">
        <v>232</v>
      </c>
    </row>
    <row r="48526" spans="119:119" x14ac:dyDescent="0.2">
      <c r="DO48526" s="303" t="s">
        <v>232</v>
      </c>
    </row>
    <row r="48527" spans="119:119" x14ac:dyDescent="0.2">
      <c r="DO48527" s="303" t="s">
        <v>232</v>
      </c>
    </row>
    <row r="48528" spans="119:119" x14ac:dyDescent="0.2">
      <c r="DO48528" s="303" t="s">
        <v>232</v>
      </c>
    </row>
    <row r="48529" spans="119:119" x14ac:dyDescent="0.2">
      <c r="DO48529" s="303" t="s">
        <v>232</v>
      </c>
    </row>
    <row r="48530" spans="119:119" x14ac:dyDescent="0.2">
      <c r="DO48530" s="303" t="s">
        <v>232</v>
      </c>
    </row>
    <row r="48531" spans="119:119" x14ac:dyDescent="0.2">
      <c r="DO48531" s="303" t="s">
        <v>232</v>
      </c>
    </row>
    <row r="48532" spans="119:119" x14ac:dyDescent="0.2">
      <c r="DO48532" s="303" t="s">
        <v>232</v>
      </c>
    </row>
    <row r="48533" spans="119:119" x14ac:dyDescent="0.2">
      <c r="DO48533" s="303" t="s">
        <v>232</v>
      </c>
    </row>
    <row r="48534" spans="119:119" x14ac:dyDescent="0.2">
      <c r="DO48534" s="303" t="s">
        <v>232</v>
      </c>
    </row>
    <row r="48535" spans="119:119" x14ac:dyDescent="0.2">
      <c r="DO48535" s="303" t="s">
        <v>232</v>
      </c>
    </row>
    <row r="48536" spans="119:119" x14ac:dyDescent="0.2">
      <c r="DO48536" s="303" t="s">
        <v>232</v>
      </c>
    </row>
    <row r="48537" spans="119:119" x14ac:dyDescent="0.2">
      <c r="DO48537" s="303" t="s">
        <v>232</v>
      </c>
    </row>
    <row r="48538" spans="119:119" x14ac:dyDescent="0.2">
      <c r="DO48538" s="303" t="s">
        <v>232</v>
      </c>
    </row>
    <row r="48539" spans="119:119" x14ac:dyDescent="0.2">
      <c r="DO48539" s="303" t="s">
        <v>232</v>
      </c>
    </row>
    <row r="48540" spans="119:119" x14ac:dyDescent="0.2">
      <c r="DO48540" s="303" t="s">
        <v>232</v>
      </c>
    </row>
    <row r="48541" spans="119:119" x14ac:dyDescent="0.2">
      <c r="DO48541" s="303" t="s">
        <v>232</v>
      </c>
    </row>
    <row r="48542" spans="119:119" x14ac:dyDescent="0.2">
      <c r="DO48542" s="303" t="s">
        <v>232</v>
      </c>
    </row>
    <row r="48543" spans="119:119" x14ac:dyDescent="0.2">
      <c r="DO48543" s="303" t="s">
        <v>232</v>
      </c>
    </row>
    <row r="48544" spans="119:119" x14ac:dyDescent="0.2">
      <c r="DO48544" s="303" t="s">
        <v>232</v>
      </c>
    </row>
    <row r="48545" spans="119:119" x14ac:dyDescent="0.2">
      <c r="DO48545" s="303" t="s">
        <v>232</v>
      </c>
    </row>
    <row r="48546" spans="119:119" x14ac:dyDescent="0.2">
      <c r="DO48546" s="303" t="s">
        <v>232</v>
      </c>
    </row>
    <row r="48547" spans="119:119" x14ac:dyDescent="0.2">
      <c r="DO48547" s="303" t="s">
        <v>232</v>
      </c>
    </row>
    <row r="48548" spans="119:119" x14ac:dyDescent="0.2">
      <c r="DO48548" s="303" t="s">
        <v>232</v>
      </c>
    </row>
    <row r="48549" spans="119:119" x14ac:dyDescent="0.2">
      <c r="DO48549" s="303" t="s">
        <v>232</v>
      </c>
    </row>
    <row r="48550" spans="119:119" x14ac:dyDescent="0.2">
      <c r="DO48550" s="303" t="s">
        <v>232</v>
      </c>
    </row>
    <row r="48551" spans="119:119" x14ac:dyDescent="0.2">
      <c r="DO48551" s="303" t="s">
        <v>232</v>
      </c>
    </row>
    <row r="48552" spans="119:119" x14ac:dyDescent="0.2">
      <c r="DO48552" s="303" t="s">
        <v>232</v>
      </c>
    </row>
    <row r="48553" spans="119:119" x14ac:dyDescent="0.2">
      <c r="DO48553" s="303" t="s">
        <v>232</v>
      </c>
    </row>
    <row r="48554" spans="119:119" x14ac:dyDescent="0.2">
      <c r="DO48554" s="303" t="s">
        <v>232</v>
      </c>
    </row>
    <row r="48555" spans="119:119" x14ac:dyDescent="0.2">
      <c r="DO48555" s="303" t="s">
        <v>232</v>
      </c>
    </row>
    <row r="48556" spans="119:119" x14ac:dyDescent="0.2">
      <c r="DO48556" s="303" t="s">
        <v>232</v>
      </c>
    </row>
    <row r="48557" spans="119:119" x14ac:dyDescent="0.2">
      <c r="DO48557" s="303" t="s">
        <v>232</v>
      </c>
    </row>
    <row r="48558" spans="119:119" x14ac:dyDescent="0.2">
      <c r="DO48558" s="303" t="s">
        <v>232</v>
      </c>
    </row>
    <row r="48559" spans="119:119" x14ac:dyDescent="0.2">
      <c r="DO48559" s="303" t="s">
        <v>232</v>
      </c>
    </row>
    <row r="48560" spans="119:119" x14ac:dyDescent="0.2">
      <c r="DO48560" s="303" t="s">
        <v>232</v>
      </c>
    </row>
    <row r="48561" spans="119:119" x14ac:dyDescent="0.2">
      <c r="DO48561" s="303" t="s">
        <v>232</v>
      </c>
    </row>
    <row r="48562" spans="119:119" x14ac:dyDescent="0.2">
      <c r="DO48562" s="303" t="s">
        <v>232</v>
      </c>
    </row>
    <row r="48563" spans="119:119" x14ac:dyDescent="0.2">
      <c r="DO48563" s="303" t="s">
        <v>232</v>
      </c>
    </row>
    <row r="48564" spans="119:119" x14ac:dyDescent="0.2">
      <c r="DO48564" s="303" t="s">
        <v>232</v>
      </c>
    </row>
    <row r="48565" spans="119:119" x14ac:dyDescent="0.2">
      <c r="DO48565" s="303" t="s">
        <v>232</v>
      </c>
    </row>
    <row r="48566" spans="119:119" x14ac:dyDescent="0.2">
      <c r="DO48566" s="303" t="s">
        <v>232</v>
      </c>
    </row>
    <row r="48567" spans="119:119" x14ac:dyDescent="0.2">
      <c r="DO48567" s="303" t="s">
        <v>232</v>
      </c>
    </row>
    <row r="48568" spans="119:119" x14ac:dyDescent="0.2">
      <c r="DO48568" s="303" t="s">
        <v>232</v>
      </c>
    </row>
    <row r="48569" spans="119:119" x14ac:dyDescent="0.2">
      <c r="DO48569" s="303" t="s">
        <v>232</v>
      </c>
    </row>
    <row r="48570" spans="119:119" x14ac:dyDescent="0.2">
      <c r="DO48570" s="303" t="s">
        <v>232</v>
      </c>
    </row>
    <row r="48571" spans="119:119" x14ac:dyDescent="0.2">
      <c r="DO48571" s="303" t="s">
        <v>232</v>
      </c>
    </row>
    <row r="48572" spans="119:119" x14ac:dyDescent="0.2">
      <c r="DO48572" s="303" t="s">
        <v>232</v>
      </c>
    </row>
    <row r="48573" spans="119:119" x14ac:dyDescent="0.2">
      <c r="DO48573" s="303" t="s">
        <v>232</v>
      </c>
    </row>
    <row r="48574" spans="119:119" x14ac:dyDescent="0.2">
      <c r="DO48574" s="303" t="s">
        <v>232</v>
      </c>
    </row>
    <row r="48575" spans="119:119" x14ac:dyDescent="0.2">
      <c r="DO48575" s="303" t="s">
        <v>232</v>
      </c>
    </row>
    <row r="48576" spans="119:119" x14ac:dyDescent="0.2">
      <c r="DO48576" s="303" t="s">
        <v>232</v>
      </c>
    </row>
    <row r="48577" spans="119:119" x14ac:dyDescent="0.2">
      <c r="DO48577" s="303" t="s">
        <v>232</v>
      </c>
    </row>
    <row r="48578" spans="119:119" x14ac:dyDescent="0.2">
      <c r="DO48578" s="303" t="s">
        <v>232</v>
      </c>
    </row>
    <row r="48579" spans="119:119" x14ac:dyDescent="0.2">
      <c r="DO48579" s="303" t="s">
        <v>232</v>
      </c>
    </row>
    <row r="48580" spans="119:119" x14ac:dyDescent="0.2">
      <c r="DO48580" s="303" t="s">
        <v>232</v>
      </c>
    </row>
    <row r="48581" spans="119:119" x14ac:dyDescent="0.2">
      <c r="DO48581" s="303" t="s">
        <v>232</v>
      </c>
    </row>
    <row r="48582" spans="119:119" x14ac:dyDescent="0.2">
      <c r="DO48582" s="303" t="s">
        <v>232</v>
      </c>
    </row>
    <row r="48583" spans="119:119" x14ac:dyDescent="0.2">
      <c r="DO48583" s="303" t="s">
        <v>232</v>
      </c>
    </row>
    <row r="48584" spans="119:119" x14ac:dyDescent="0.2">
      <c r="DO48584" s="303" t="s">
        <v>232</v>
      </c>
    </row>
    <row r="48585" spans="119:119" x14ac:dyDescent="0.2">
      <c r="DO48585" s="303" t="s">
        <v>232</v>
      </c>
    </row>
    <row r="48586" spans="119:119" x14ac:dyDescent="0.2">
      <c r="DO48586" s="303" t="s">
        <v>232</v>
      </c>
    </row>
    <row r="48587" spans="119:119" x14ac:dyDescent="0.2">
      <c r="DO48587" s="303" t="s">
        <v>232</v>
      </c>
    </row>
    <row r="48588" spans="119:119" x14ac:dyDescent="0.2">
      <c r="DO48588" s="303" t="s">
        <v>232</v>
      </c>
    </row>
    <row r="48589" spans="119:119" x14ac:dyDescent="0.2">
      <c r="DO48589" s="303" t="s">
        <v>232</v>
      </c>
    </row>
    <row r="48590" spans="119:119" x14ac:dyDescent="0.2">
      <c r="DO48590" s="303" t="s">
        <v>232</v>
      </c>
    </row>
    <row r="48591" spans="119:119" x14ac:dyDescent="0.2">
      <c r="DO48591" s="303" t="s">
        <v>232</v>
      </c>
    </row>
    <row r="48592" spans="119:119" x14ac:dyDescent="0.2">
      <c r="DO48592" s="303" t="s">
        <v>232</v>
      </c>
    </row>
    <row r="48593" spans="119:119" x14ac:dyDescent="0.2">
      <c r="DO48593" s="303" t="s">
        <v>232</v>
      </c>
    </row>
    <row r="48594" spans="119:119" x14ac:dyDescent="0.2">
      <c r="DO48594" s="303" t="s">
        <v>232</v>
      </c>
    </row>
    <row r="48595" spans="119:119" x14ac:dyDescent="0.2">
      <c r="DO48595" s="303" t="s">
        <v>232</v>
      </c>
    </row>
    <row r="48596" spans="119:119" x14ac:dyDescent="0.2">
      <c r="DO48596" s="303" t="s">
        <v>232</v>
      </c>
    </row>
    <row r="48597" spans="119:119" x14ac:dyDescent="0.2">
      <c r="DO48597" s="303" t="s">
        <v>232</v>
      </c>
    </row>
    <row r="48598" spans="119:119" x14ac:dyDescent="0.2">
      <c r="DO48598" s="303" t="s">
        <v>232</v>
      </c>
    </row>
    <row r="48599" spans="119:119" x14ac:dyDescent="0.2">
      <c r="DO48599" s="303" t="s">
        <v>232</v>
      </c>
    </row>
    <row r="48600" spans="119:119" x14ac:dyDescent="0.2">
      <c r="DO48600" s="303" t="s">
        <v>232</v>
      </c>
    </row>
    <row r="48601" spans="119:119" x14ac:dyDescent="0.2">
      <c r="DO48601" s="303" t="s">
        <v>232</v>
      </c>
    </row>
    <row r="48602" spans="119:119" x14ac:dyDescent="0.2">
      <c r="DO48602" s="303" t="s">
        <v>232</v>
      </c>
    </row>
    <row r="48603" spans="119:119" x14ac:dyDescent="0.2">
      <c r="DO48603" s="303" t="s">
        <v>232</v>
      </c>
    </row>
    <row r="48604" spans="119:119" x14ac:dyDescent="0.2">
      <c r="DO48604" s="303" t="s">
        <v>232</v>
      </c>
    </row>
    <row r="48605" spans="119:119" x14ac:dyDescent="0.2">
      <c r="DO48605" s="303" t="s">
        <v>232</v>
      </c>
    </row>
    <row r="48606" spans="119:119" x14ac:dyDescent="0.2">
      <c r="DO48606" s="303" t="s">
        <v>232</v>
      </c>
    </row>
    <row r="48607" spans="119:119" x14ac:dyDescent="0.2">
      <c r="DO48607" s="303" t="s">
        <v>232</v>
      </c>
    </row>
    <row r="48608" spans="119:119" x14ac:dyDescent="0.2">
      <c r="DO48608" s="303" t="s">
        <v>232</v>
      </c>
    </row>
    <row r="48609" spans="119:119" x14ac:dyDescent="0.2">
      <c r="DO48609" s="303" t="s">
        <v>232</v>
      </c>
    </row>
    <row r="48610" spans="119:119" x14ac:dyDescent="0.2">
      <c r="DO48610" s="303" t="s">
        <v>232</v>
      </c>
    </row>
    <row r="48611" spans="119:119" x14ac:dyDescent="0.2">
      <c r="DO48611" s="303" t="s">
        <v>232</v>
      </c>
    </row>
    <row r="48612" spans="119:119" x14ac:dyDescent="0.2">
      <c r="DO48612" s="303" t="s">
        <v>232</v>
      </c>
    </row>
    <row r="48613" spans="119:119" x14ac:dyDescent="0.2">
      <c r="DO48613" s="303" t="s">
        <v>232</v>
      </c>
    </row>
    <row r="48614" spans="119:119" x14ac:dyDescent="0.2">
      <c r="DO48614" s="303" t="s">
        <v>232</v>
      </c>
    </row>
    <row r="48615" spans="119:119" x14ac:dyDescent="0.2">
      <c r="DO48615" s="303" t="s">
        <v>232</v>
      </c>
    </row>
    <row r="48616" spans="119:119" x14ac:dyDescent="0.2">
      <c r="DO48616" s="303" t="s">
        <v>232</v>
      </c>
    </row>
    <row r="48617" spans="119:119" x14ac:dyDescent="0.2">
      <c r="DO48617" s="303" t="s">
        <v>232</v>
      </c>
    </row>
    <row r="48618" spans="119:119" x14ac:dyDescent="0.2">
      <c r="DO48618" s="303" t="s">
        <v>232</v>
      </c>
    </row>
    <row r="48619" spans="119:119" x14ac:dyDescent="0.2">
      <c r="DO48619" s="303" t="s">
        <v>232</v>
      </c>
    </row>
    <row r="48620" spans="119:119" x14ac:dyDescent="0.2">
      <c r="DO48620" s="303" t="s">
        <v>232</v>
      </c>
    </row>
    <row r="48621" spans="119:119" x14ac:dyDescent="0.2">
      <c r="DO48621" s="303" t="s">
        <v>232</v>
      </c>
    </row>
    <row r="48622" spans="119:119" x14ac:dyDescent="0.2">
      <c r="DO48622" s="303" t="s">
        <v>232</v>
      </c>
    </row>
    <row r="48623" spans="119:119" x14ac:dyDescent="0.2">
      <c r="DO48623" s="303" t="s">
        <v>232</v>
      </c>
    </row>
    <row r="48624" spans="119:119" x14ac:dyDescent="0.2">
      <c r="DO48624" s="303" t="s">
        <v>232</v>
      </c>
    </row>
    <row r="48625" spans="119:119" x14ac:dyDescent="0.2">
      <c r="DO48625" s="303" t="s">
        <v>232</v>
      </c>
    </row>
    <row r="48626" spans="119:119" x14ac:dyDescent="0.2">
      <c r="DO48626" s="303" t="s">
        <v>232</v>
      </c>
    </row>
    <row r="48627" spans="119:119" x14ac:dyDescent="0.2">
      <c r="DO48627" s="303" t="s">
        <v>232</v>
      </c>
    </row>
    <row r="48628" spans="119:119" x14ac:dyDescent="0.2">
      <c r="DO48628" s="303" t="s">
        <v>232</v>
      </c>
    </row>
    <row r="48629" spans="119:119" x14ac:dyDescent="0.2">
      <c r="DO48629" s="303" t="s">
        <v>232</v>
      </c>
    </row>
    <row r="48630" spans="119:119" x14ac:dyDescent="0.2">
      <c r="DO48630" s="303" t="s">
        <v>232</v>
      </c>
    </row>
    <row r="48631" spans="119:119" x14ac:dyDescent="0.2">
      <c r="DO48631" s="303" t="s">
        <v>232</v>
      </c>
    </row>
    <row r="48632" spans="119:119" x14ac:dyDescent="0.2">
      <c r="DO48632" s="303" t="s">
        <v>232</v>
      </c>
    </row>
    <row r="48633" spans="119:119" x14ac:dyDescent="0.2">
      <c r="DO48633" s="303" t="s">
        <v>232</v>
      </c>
    </row>
    <row r="48634" spans="119:119" x14ac:dyDescent="0.2">
      <c r="DO48634" s="303" t="s">
        <v>232</v>
      </c>
    </row>
    <row r="48635" spans="119:119" x14ac:dyDescent="0.2">
      <c r="DO48635" s="303" t="s">
        <v>232</v>
      </c>
    </row>
    <row r="48636" spans="119:119" x14ac:dyDescent="0.2">
      <c r="DO48636" s="303" t="s">
        <v>232</v>
      </c>
    </row>
    <row r="48637" spans="119:119" x14ac:dyDescent="0.2">
      <c r="DO48637" s="303" t="s">
        <v>232</v>
      </c>
    </row>
    <row r="48638" spans="119:119" x14ac:dyDescent="0.2">
      <c r="DO48638" s="303" t="s">
        <v>232</v>
      </c>
    </row>
    <row r="48639" spans="119:119" x14ac:dyDescent="0.2">
      <c r="DO48639" s="303" t="s">
        <v>232</v>
      </c>
    </row>
    <row r="48640" spans="119:119" x14ac:dyDescent="0.2">
      <c r="DO48640" s="303" t="s">
        <v>232</v>
      </c>
    </row>
    <row r="48641" spans="119:119" x14ac:dyDescent="0.2">
      <c r="DO48641" s="303" t="s">
        <v>232</v>
      </c>
    </row>
    <row r="48642" spans="119:119" x14ac:dyDescent="0.2">
      <c r="DO48642" s="303" t="s">
        <v>232</v>
      </c>
    </row>
    <row r="48643" spans="119:119" x14ac:dyDescent="0.2">
      <c r="DO48643" s="303" t="s">
        <v>232</v>
      </c>
    </row>
    <row r="48644" spans="119:119" x14ac:dyDescent="0.2">
      <c r="DO48644" s="303" t="s">
        <v>232</v>
      </c>
    </row>
    <row r="48645" spans="119:119" x14ac:dyDescent="0.2">
      <c r="DO48645" s="303" t="s">
        <v>232</v>
      </c>
    </row>
    <row r="48646" spans="119:119" x14ac:dyDescent="0.2">
      <c r="DO48646" s="303" t="s">
        <v>232</v>
      </c>
    </row>
    <row r="48647" spans="119:119" x14ac:dyDescent="0.2">
      <c r="DO48647" s="303" t="s">
        <v>232</v>
      </c>
    </row>
    <row r="48648" spans="119:119" x14ac:dyDescent="0.2">
      <c r="DO48648" s="303" t="s">
        <v>232</v>
      </c>
    </row>
    <row r="48649" spans="119:119" x14ac:dyDescent="0.2">
      <c r="DO48649" s="303" t="s">
        <v>232</v>
      </c>
    </row>
    <row r="48650" spans="119:119" x14ac:dyDescent="0.2">
      <c r="DO48650" s="303" t="s">
        <v>232</v>
      </c>
    </row>
    <row r="48651" spans="119:119" x14ac:dyDescent="0.2">
      <c r="DO48651" s="303" t="s">
        <v>232</v>
      </c>
    </row>
    <row r="48652" spans="119:119" x14ac:dyDescent="0.2">
      <c r="DO48652" s="303" t="s">
        <v>232</v>
      </c>
    </row>
    <row r="48653" spans="119:119" x14ac:dyDescent="0.2">
      <c r="DO48653" s="303" t="s">
        <v>232</v>
      </c>
    </row>
    <row r="48654" spans="119:119" x14ac:dyDescent="0.2">
      <c r="DO48654" s="303" t="s">
        <v>232</v>
      </c>
    </row>
    <row r="48655" spans="119:119" x14ac:dyDescent="0.2">
      <c r="DO48655" s="303" t="s">
        <v>232</v>
      </c>
    </row>
    <row r="48656" spans="119:119" x14ac:dyDescent="0.2">
      <c r="DO48656" s="303" t="s">
        <v>232</v>
      </c>
    </row>
    <row r="48657" spans="119:119" x14ac:dyDescent="0.2">
      <c r="DO48657" s="303" t="s">
        <v>232</v>
      </c>
    </row>
    <row r="48658" spans="119:119" x14ac:dyDescent="0.2">
      <c r="DO48658" s="303" t="s">
        <v>232</v>
      </c>
    </row>
    <row r="48659" spans="119:119" x14ac:dyDescent="0.2">
      <c r="DO48659" s="303" t="s">
        <v>232</v>
      </c>
    </row>
    <row r="48660" spans="119:119" x14ac:dyDescent="0.2">
      <c r="DO48660" s="303" t="s">
        <v>232</v>
      </c>
    </row>
    <row r="48661" spans="119:119" x14ac:dyDescent="0.2">
      <c r="DO48661" s="303" t="s">
        <v>232</v>
      </c>
    </row>
    <row r="48662" spans="119:119" x14ac:dyDescent="0.2">
      <c r="DO48662" s="303" t="s">
        <v>232</v>
      </c>
    </row>
    <row r="48663" spans="119:119" x14ac:dyDescent="0.2">
      <c r="DO48663" s="303" t="s">
        <v>232</v>
      </c>
    </row>
    <row r="48664" spans="119:119" x14ac:dyDescent="0.2">
      <c r="DO48664" s="303" t="s">
        <v>232</v>
      </c>
    </row>
    <row r="48665" spans="119:119" x14ac:dyDescent="0.2">
      <c r="DO48665" s="303" t="s">
        <v>232</v>
      </c>
    </row>
    <row r="48666" spans="119:119" x14ac:dyDescent="0.2">
      <c r="DO48666" s="303" t="s">
        <v>232</v>
      </c>
    </row>
    <row r="48667" spans="119:119" x14ac:dyDescent="0.2">
      <c r="DO48667" s="303" t="s">
        <v>232</v>
      </c>
    </row>
    <row r="48668" spans="119:119" x14ac:dyDescent="0.2">
      <c r="DO48668" s="303" t="s">
        <v>232</v>
      </c>
    </row>
    <row r="48669" spans="119:119" x14ac:dyDescent="0.2">
      <c r="DO48669" s="303" t="s">
        <v>232</v>
      </c>
    </row>
    <row r="48670" spans="119:119" x14ac:dyDescent="0.2">
      <c r="DO48670" s="303" t="s">
        <v>232</v>
      </c>
    </row>
    <row r="48671" spans="119:119" x14ac:dyDescent="0.2">
      <c r="DO48671" s="303" t="s">
        <v>232</v>
      </c>
    </row>
    <row r="48672" spans="119:119" x14ac:dyDescent="0.2">
      <c r="DO48672" s="303" t="s">
        <v>232</v>
      </c>
    </row>
    <row r="48673" spans="119:119" x14ac:dyDescent="0.2">
      <c r="DO48673" s="303" t="s">
        <v>232</v>
      </c>
    </row>
    <row r="48674" spans="119:119" x14ac:dyDescent="0.2">
      <c r="DO48674" s="303" t="s">
        <v>232</v>
      </c>
    </row>
    <row r="48675" spans="119:119" x14ac:dyDescent="0.2">
      <c r="DO48675" s="303" t="s">
        <v>232</v>
      </c>
    </row>
    <row r="48676" spans="119:119" x14ac:dyDescent="0.2">
      <c r="DO48676" s="303" t="s">
        <v>232</v>
      </c>
    </row>
    <row r="48677" spans="119:119" x14ac:dyDescent="0.2">
      <c r="DO48677" s="303" t="s">
        <v>232</v>
      </c>
    </row>
    <row r="48678" spans="119:119" x14ac:dyDescent="0.2">
      <c r="DO48678" s="303" t="s">
        <v>232</v>
      </c>
    </row>
    <row r="48679" spans="119:119" x14ac:dyDescent="0.2">
      <c r="DO48679" s="303" t="s">
        <v>232</v>
      </c>
    </row>
    <row r="48680" spans="119:119" x14ac:dyDescent="0.2">
      <c r="DO48680" s="303" t="s">
        <v>232</v>
      </c>
    </row>
    <row r="48681" spans="119:119" x14ac:dyDescent="0.2">
      <c r="DO48681" s="303" t="s">
        <v>232</v>
      </c>
    </row>
    <row r="48682" spans="119:119" x14ac:dyDescent="0.2">
      <c r="DO48682" s="303" t="s">
        <v>232</v>
      </c>
    </row>
    <row r="48683" spans="119:119" x14ac:dyDescent="0.2">
      <c r="DO48683" s="303" t="s">
        <v>232</v>
      </c>
    </row>
    <row r="48684" spans="119:119" x14ac:dyDescent="0.2">
      <c r="DO48684" s="303" t="s">
        <v>232</v>
      </c>
    </row>
    <row r="48685" spans="119:119" x14ac:dyDescent="0.2">
      <c r="DO48685" s="303" t="s">
        <v>232</v>
      </c>
    </row>
    <row r="48686" spans="119:119" x14ac:dyDescent="0.2">
      <c r="DO48686" s="303" t="s">
        <v>232</v>
      </c>
    </row>
    <row r="48687" spans="119:119" x14ac:dyDescent="0.2">
      <c r="DO48687" s="303" t="s">
        <v>232</v>
      </c>
    </row>
    <row r="48688" spans="119:119" x14ac:dyDescent="0.2">
      <c r="DO48688" s="303" t="s">
        <v>232</v>
      </c>
    </row>
    <row r="48689" spans="119:119" x14ac:dyDescent="0.2">
      <c r="DO48689" s="303" t="s">
        <v>232</v>
      </c>
    </row>
    <row r="48690" spans="119:119" x14ac:dyDescent="0.2">
      <c r="DO48690" s="303" t="s">
        <v>232</v>
      </c>
    </row>
    <row r="48691" spans="119:119" x14ac:dyDescent="0.2">
      <c r="DO48691" s="303" t="s">
        <v>232</v>
      </c>
    </row>
    <row r="48692" spans="119:119" x14ac:dyDescent="0.2">
      <c r="DO48692" s="303" t="s">
        <v>232</v>
      </c>
    </row>
    <row r="48693" spans="119:119" x14ac:dyDescent="0.2">
      <c r="DO48693" s="303" t="s">
        <v>232</v>
      </c>
    </row>
    <row r="48694" spans="119:119" x14ac:dyDescent="0.2">
      <c r="DO48694" s="303" t="s">
        <v>232</v>
      </c>
    </row>
    <row r="48695" spans="119:119" x14ac:dyDescent="0.2">
      <c r="DO48695" s="303" t="s">
        <v>232</v>
      </c>
    </row>
    <row r="48696" spans="119:119" x14ac:dyDescent="0.2">
      <c r="DO48696" s="303" t="s">
        <v>232</v>
      </c>
    </row>
    <row r="48697" spans="119:119" x14ac:dyDescent="0.2">
      <c r="DO48697" s="303" t="s">
        <v>232</v>
      </c>
    </row>
    <row r="48698" spans="119:119" x14ac:dyDescent="0.2">
      <c r="DO48698" s="303" t="s">
        <v>232</v>
      </c>
    </row>
    <row r="48699" spans="119:119" x14ac:dyDescent="0.2">
      <c r="DO48699" s="303" t="s">
        <v>232</v>
      </c>
    </row>
    <row r="48700" spans="119:119" x14ac:dyDescent="0.2">
      <c r="DO48700" s="303" t="s">
        <v>232</v>
      </c>
    </row>
    <row r="48701" spans="119:119" x14ac:dyDescent="0.2">
      <c r="DO48701" s="303" t="s">
        <v>232</v>
      </c>
    </row>
    <row r="48702" spans="119:119" x14ac:dyDescent="0.2">
      <c r="DO48702" s="303" t="s">
        <v>232</v>
      </c>
    </row>
    <row r="48703" spans="119:119" x14ac:dyDescent="0.2">
      <c r="DO48703" s="303" t="s">
        <v>232</v>
      </c>
    </row>
    <row r="48704" spans="119:119" x14ac:dyDescent="0.2">
      <c r="DO48704" s="303" t="s">
        <v>232</v>
      </c>
    </row>
    <row r="48705" spans="119:119" x14ac:dyDescent="0.2">
      <c r="DO48705" s="303" t="s">
        <v>232</v>
      </c>
    </row>
    <row r="48706" spans="119:119" x14ac:dyDescent="0.2">
      <c r="DO48706" s="303" t="s">
        <v>232</v>
      </c>
    </row>
    <row r="48707" spans="119:119" x14ac:dyDescent="0.2">
      <c r="DO48707" s="303" t="s">
        <v>232</v>
      </c>
    </row>
    <row r="48708" spans="119:119" x14ac:dyDescent="0.2">
      <c r="DO48708" s="303" t="s">
        <v>232</v>
      </c>
    </row>
    <row r="48709" spans="119:119" x14ac:dyDescent="0.2">
      <c r="DO48709" s="303" t="s">
        <v>232</v>
      </c>
    </row>
    <row r="48710" spans="119:119" x14ac:dyDescent="0.2">
      <c r="DO48710" s="303" t="s">
        <v>232</v>
      </c>
    </row>
    <row r="48711" spans="119:119" x14ac:dyDescent="0.2">
      <c r="DO48711" s="303" t="s">
        <v>232</v>
      </c>
    </row>
    <row r="48712" spans="119:119" x14ac:dyDescent="0.2">
      <c r="DO48712" s="303" t="s">
        <v>232</v>
      </c>
    </row>
    <row r="48713" spans="119:119" x14ac:dyDescent="0.2">
      <c r="DO48713" s="303" t="s">
        <v>232</v>
      </c>
    </row>
    <row r="48714" spans="119:119" x14ac:dyDescent="0.2">
      <c r="DO48714" s="303" t="s">
        <v>232</v>
      </c>
    </row>
    <row r="48715" spans="119:119" x14ac:dyDescent="0.2">
      <c r="DO48715" s="303" t="s">
        <v>232</v>
      </c>
    </row>
    <row r="48716" spans="119:119" x14ac:dyDescent="0.2">
      <c r="DO48716" s="303" t="s">
        <v>232</v>
      </c>
    </row>
    <row r="48717" spans="119:119" x14ac:dyDescent="0.2">
      <c r="DO48717" s="303" t="s">
        <v>232</v>
      </c>
    </row>
    <row r="48718" spans="119:119" x14ac:dyDescent="0.2">
      <c r="DO48718" s="303" t="s">
        <v>232</v>
      </c>
    </row>
    <row r="48719" spans="119:119" x14ac:dyDescent="0.2">
      <c r="DO48719" s="303" t="s">
        <v>232</v>
      </c>
    </row>
    <row r="48720" spans="119:119" x14ac:dyDescent="0.2">
      <c r="DO48720" s="303" t="s">
        <v>232</v>
      </c>
    </row>
    <row r="48721" spans="119:119" x14ac:dyDescent="0.2">
      <c r="DO48721" s="303" t="s">
        <v>232</v>
      </c>
    </row>
    <row r="48722" spans="119:119" x14ac:dyDescent="0.2">
      <c r="DO48722" s="303" t="s">
        <v>232</v>
      </c>
    </row>
    <row r="48723" spans="119:119" x14ac:dyDescent="0.2">
      <c r="DO48723" s="303" t="s">
        <v>232</v>
      </c>
    </row>
    <row r="48724" spans="119:119" x14ac:dyDescent="0.2">
      <c r="DO48724" s="303" t="s">
        <v>232</v>
      </c>
    </row>
    <row r="48725" spans="119:119" x14ac:dyDescent="0.2">
      <c r="DO48725" s="303" t="s">
        <v>232</v>
      </c>
    </row>
    <row r="48726" spans="119:119" x14ac:dyDescent="0.2">
      <c r="DO48726" s="303" t="s">
        <v>232</v>
      </c>
    </row>
    <row r="48727" spans="119:119" x14ac:dyDescent="0.2">
      <c r="DO48727" s="303" t="s">
        <v>232</v>
      </c>
    </row>
    <row r="48728" spans="119:119" x14ac:dyDescent="0.2">
      <c r="DO48728" s="303" t="s">
        <v>232</v>
      </c>
    </row>
    <row r="48729" spans="119:119" x14ac:dyDescent="0.2">
      <c r="DO48729" s="303" t="s">
        <v>232</v>
      </c>
    </row>
    <row r="48730" spans="119:119" x14ac:dyDescent="0.2">
      <c r="DO48730" s="303" t="s">
        <v>232</v>
      </c>
    </row>
    <row r="48731" spans="119:119" x14ac:dyDescent="0.2">
      <c r="DO48731" s="303" t="s">
        <v>232</v>
      </c>
    </row>
    <row r="48732" spans="119:119" x14ac:dyDescent="0.2">
      <c r="DO48732" s="303" t="s">
        <v>232</v>
      </c>
    </row>
    <row r="48733" spans="119:119" x14ac:dyDescent="0.2">
      <c r="DO48733" s="303" t="s">
        <v>232</v>
      </c>
    </row>
    <row r="48734" spans="119:119" x14ac:dyDescent="0.2">
      <c r="DO48734" s="303" t="s">
        <v>232</v>
      </c>
    </row>
    <row r="48735" spans="119:119" x14ac:dyDescent="0.2">
      <c r="DO48735" s="303" t="s">
        <v>232</v>
      </c>
    </row>
    <row r="48736" spans="119:119" x14ac:dyDescent="0.2">
      <c r="DO48736" s="303" t="s">
        <v>232</v>
      </c>
    </row>
    <row r="48737" spans="119:119" x14ac:dyDescent="0.2">
      <c r="DO48737" s="303" t="s">
        <v>232</v>
      </c>
    </row>
    <row r="48738" spans="119:119" x14ac:dyDescent="0.2">
      <c r="DO48738" s="303" t="s">
        <v>232</v>
      </c>
    </row>
    <row r="48739" spans="119:119" x14ac:dyDescent="0.2">
      <c r="DO48739" s="303" t="s">
        <v>232</v>
      </c>
    </row>
    <row r="48740" spans="119:119" x14ac:dyDescent="0.2">
      <c r="DO48740" s="303" t="s">
        <v>232</v>
      </c>
    </row>
    <row r="48741" spans="119:119" x14ac:dyDescent="0.2">
      <c r="DO48741" s="303" t="s">
        <v>232</v>
      </c>
    </row>
    <row r="48742" spans="119:119" x14ac:dyDescent="0.2">
      <c r="DO48742" s="303" t="s">
        <v>232</v>
      </c>
    </row>
    <row r="48743" spans="119:119" x14ac:dyDescent="0.2">
      <c r="DO48743" s="303" t="s">
        <v>232</v>
      </c>
    </row>
    <row r="48744" spans="119:119" x14ac:dyDescent="0.2">
      <c r="DO48744" s="303" t="s">
        <v>232</v>
      </c>
    </row>
    <row r="48745" spans="119:119" x14ac:dyDescent="0.2">
      <c r="DO48745" s="303" t="s">
        <v>232</v>
      </c>
    </row>
    <row r="48746" spans="119:119" x14ac:dyDescent="0.2">
      <c r="DO48746" s="303" t="s">
        <v>232</v>
      </c>
    </row>
    <row r="48747" spans="119:119" x14ac:dyDescent="0.2">
      <c r="DO48747" s="303" t="s">
        <v>232</v>
      </c>
    </row>
    <row r="48748" spans="119:119" x14ac:dyDescent="0.2">
      <c r="DO48748" s="303" t="s">
        <v>232</v>
      </c>
    </row>
    <row r="48749" spans="119:119" x14ac:dyDescent="0.2">
      <c r="DO48749" s="303" t="s">
        <v>232</v>
      </c>
    </row>
    <row r="48750" spans="119:119" x14ac:dyDescent="0.2">
      <c r="DO48750" s="303" t="s">
        <v>232</v>
      </c>
    </row>
    <row r="48751" spans="119:119" x14ac:dyDescent="0.2">
      <c r="DO48751" s="303" t="s">
        <v>232</v>
      </c>
    </row>
    <row r="48752" spans="119:119" x14ac:dyDescent="0.2">
      <c r="DO48752" s="303" t="s">
        <v>232</v>
      </c>
    </row>
    <row r="48753" spans="119:119" x14ac:dyDescent="0.2">
      <c r="DO48753" s="303" t="s">
        <v>232</v>
      </c>
    </row>
    <row r="48754" spans="119:119" x14ac:dyDescent="0.2">
      <c r="DO48754" s="303" t="s">
        <v>232</v>
      </c>
    </row>
    <row r="48755" spans="119:119" x14ac:dyDescent="0.2">
      <c r="DO48755" s="303" t="s">
        <v>232</v>
      </c>
    </row>
    <row r="48756" spans="119:119" x14ac:dyDescent="0.2">
      <c r="DO48756" s="303" t="s">
        <v>232</v>
      </c>
    </row>
    <row r="48757" spans="119:119" x14ac:dyDescent="0.2">
      <c r="DO48757" s="303" t="s">
        <v>232</v>
      </c>
    </row>
    <row r="48758" spans="119:119" x14ac:dyDescent="0.2">
      <c r="DO48758" s="303" t="s">
        <v>232</v>
      </c>
    </row>
    <row r="48759" spans="119:119" x14ac:dyDescent="0.2">
      <c r="DO48759" s="303" t="s">
        <v>232</v>
      </c>
    </row>
    <row r="48760" spans="119:119" x14ac:dyDescent="0.2">
      <c r="DO48760" s="303" t="s">
        <v>232</v>
      </c>
    </row>
    <row r="48761" spans="119:119" x14ac:dyDescent="0.2">
      <c r="DO48761" s="303" t="s">
        <v>232</v>
      </c>
    </row>
    <row r="48762" spans="119:119" x14ac:dyDescent="0.2">
      <c r="DO48762" s="303" t="s">
        <v>232</v>
      </c>
    </row>
    <row r="48763" spans="119:119" x14ac:dyDescent="0.2">
      <c r="DO48763" s="303" t="s">
        <v>232</v>
      </c>
    </row>
    <row r="48764" spans="119:119" x14ac:dyDescent="0.2">
      <c r="DO48764" s="303" t="s">
        <v>232</v>
      </c>
    </row>
    <row r="48765" spans="119:119" x14ac:dyDescent="0.2">
      <c r="DO48765" s="303" t="s">
        <v>232</v>
      </c>
    </row>
    <row r="48766" spans="119:119" x14ac:dyDescent="0.2">
      <c r="DO48766" s="303" t="s">
        <v>232</v>
      </c>
    </row>
    <row r="48767" spans="119:119" x14ac:dyDescent="0.2">
      <c r="DO48767" s="303" t="s">
        <v>232</v>
      </c>
    </row>
    <row r="48768" spans="119:119" x14ac:dyDescent="0.2">
      <c r="DO48768" s="303" t="s">
        <v>232</v>
      </c>
    </row>
    <row r="48769" spans="119:119" x14ac:dyDescent="0.2">
      <c r="DO48769" s="303" t="s">
        <v>232</v>
      </c>
    </row>
    <row r="48770" spans="119:119" x14ac:dyDescent="0.2">
      <c r="DO48770" s="303" t="s">
        <v>232</v>
      </c>
    </row>
    <row r="48771" spans="119:119" x14ac:dyDescent="0.2">
      <c r="DO48771" s="303" t="s">
        <v>232</v>
      </c>
    </row>
    <row r="48772" spans="119:119" x14ac:dyDescent="0.2">
      <c r="DO48772" s="303" t="s">
        <v>232</v>
      </c>
    </row>
    <row r="48773" spans="119:119" x14ac:dyDescent="0.2">
      <c r="DO48773" s="303" t="s">
        <v>232</v>
      </c>
    </row>
    <row r="48774" spans="119:119" x14ac:dyDescent="0.2">
      <c r="DO48774" s="303" t="s">
        <v>232</v>
      </c>
    </row>
    <row r="48775" spans="119:119" x14ac:dyDescent="0.2">
      <c r="DO48775" s="303" t="s">
        <v>232</v>
      </c>
    </row>
    <row r="48776" spans="119:119" x14ac:dyDescent="0.2">
      <c r="DO48776" s="303" t="s">
        <v>232</v>
      </c>
    </row>
    <row r="48777" spans="119:119" x14ac:dyDescent="0.2">
      <c r="DO48777" s="303" t="s">
        <v>232</v>
      </c>
    </row>
    <row r="48778" spans="119:119" x14ac:dyDescent="0.2">
      <c r="DO48778" s="303" t="s">
        <v>232</v>
      </c>
    </row>
    <row r="48779" spans="119:119" x14ac:dyDescent="0.2">
      <c r="DO48779" s="303" t="s">
        <v>232</v>
      </c>
    </row>
    <row r="48780" spans="119:119" x14ac:dyDescent="0.2">
      <c r="DO48780" s="303" t="s">
        <v>232</v>
      </c>
    </row>
    <row r="48781" spans="119:119" x14ac:dyDescent="0.2">
      <c r="DO48781" s="303" t="s">
        <v>232</v>
      </c>
    </row>
    <row r="48782" spans="119:119" x14ac:dyDescent="0.2">
      <c r="DO48782" s="303" t="s">
        <v>232</v>
      </c>
    </row>
    <row r="48783" spans="119:119" x14ac:dyDescent="0.2">
      <c r="DO48783" s="303" t="s">
        <v>232</v>
      </c>
    </row>
    <row r="48784" spans="119:119" x14ac:dyDescent="0.2">
      <c r="DO48784" s="303" t="s">
        <v>232</v>
      </c>
    </row>
    <row r="48785" spans="119:119" x14ac:dyDescent="0.2">
      <c r="DO48785" s="303" t="s">
        <v>232</v>
      </c>
    </row>
    <row r="48786" spans="119:119" x14ac:dyDescent="0.2">
      <c r="DO48786" s="303" t="s">
        <v>232</v>
      </c>
    </row>
    <row r="48787" spans="119:119" x14ac:dyDescent="0.2">
      <c r="DO48787" s="303" t="s">
        <v>232</v>
      </c>
    </row>
    <row r="48788" spans="119:119" x14ac:dyDescent="0.2">
      <c r="DO48788" s="303" t="s">
        <v>232</v>
      </c>
    </row>
    <row r="48789" spans="119:119" x14ac:dyDescent="0.2">
      <c r="DO48789" s="303" t="s">
        <v>232</v>
      </c>
    </row>
    <row r="48790" spans="119:119" x14ac:dyDescent="0.2">
      <c r="DO48790" s="303" t="s">
        <v>232</v>
      </c>
    </row>
    <row r="48791" spans="119:119" x14ac:dyDescent="0.2">
      <c r="DO48791" s="303" t="s">
        <v>232</v>
      </c>
    </row>
    <row r="48792" spans="119:119" x14ac:dyDescent="0.2">
      <c r="DO48792" s="303" t="s">
        <v>232</v>
      </c>
    </row>
    <row r="48793" spans="119:119" x14ac:dyDescent="0.2">
      <c r="DO48793" s="303" t="s">
        <v>232</v>
      </c>
    </row>
    <row r="48794" spans="119:119" x14ac:dyDescent="0.2">
      <c r="DO48794" s="303" t="s">
        <v>232</v>
      </c>
    </row>
    <row r="48795" spans="119:119" x14ac:dyDescent="0.2">
      <c r="DO48795" s="303" t="s">
        <v>232</v>
      </c>
    </row>
    <row r="48796" spans="119:119" x14ac:dyDescent="0.2">
      <c r="DO48796" s="303" t="s">
        <v>232</v>
      </c>
    </row>
    <row r="48797" spans="119:119" x14ac:dyDescent="0.2">
      <c r="DO48797" s="303" t="s">
        <v>232</v>
      </c>
    </row>
    <row r="48798" spans="119:119" x14ac:dyDescent="0.2">
      <c r="DO48798" s="303" t="s">
        <v>232</v>
      </c>
    </row>
    <row r="48799" spans="119:119" x14ac:dyDescent="0.2">
      <c r="DO48799" s="303" t="s">
        <v>232</v>
      </c>
    </row>
    <row r="48800" spans="119:119" x14ac:dyDescent="0.2">
      <c r="DO48800" s="303" t="s">
        <v>232</v>
      </c>
    </row>
    <row r="48801" spans="119:119" x14ac:dyDescent="0.2">
      <c r="DO48801" s="303" t="s">
        <v>232</v>
      </c>
    </row>
    <row r="48802" spans="119:119" x14ac:dyDescent="0.2">
      <c r="DO48802" s="303" t="s">
        <v>232</v>
      </c>
    </row>
    <row r="48803" spans="119:119" x14ac:dyDescent="0.2">
      <c r="DO48803" s="303" t="s">
        <v>232</v>
      </c>
    </row>
    <row r="48804" spans="119:119" x14ac:dyDescent="0.2">
      <c r="DO48804" s="303" t="s">
        <v>232</v>
      </c>
    </row>
    <row r="48805" spans="119:119" x14ac:dyDescent="0.2">
      <c r="DO48805" s="303" t="s">
        <v>232</v>
      </c>
    </row>
    <row r="48806" spans="119:119" x14ac:dyDescent="0.2">
      <c r="DO48806" s="303" t="s">
        <v>232</v>
      </c>
    </row>
    <row r="48807" spans="119:119" x14ac:dyDescent="0.2">
      <c r="DO48807" s="303" t="s">
        <v>232</v>
      </c>
    </row>
    <row r="48808" spans="119:119" x14ac:dyDescent="0.2">
      <c r="DO48808" s="303" t="s">
        <v>232</v>
      </c>
    </row>
    <row r="48809" spans="119:119" x14ac:dyDescent="0.2">
      <c r="DO48809" s="303" t="s">
        <v>232</v>
      </c>
    </row>
    <row r="48810" spans="119:119" x14ac:dyDescent="0.2">
      <c r="DO48810" s="303" t="s">
        <v>232</v>
      </c>
    </row>
    <row r="48811" spans="119:119" x14ac:dyDescent="0.2">
      <c r="DO48811" s="303" t="s">
        <v>232</v>
      </c>
    </row>
    <row r="48812" spans="119:119" x14ac:dyDescent="0.2">
      <c r="DO48812" s="303" t="s">
        <v>232</v>
      </c>
    </row>
    <row r="48813" spans="119:119" x14ac:dyDescent="0.2">
      <c r="DO48813" s="303" t="s">
        <v>232</v>
      </c>
    </row>
    <row r="48814" spans="119:119" x14ac:dyDescent="0.2">
      <c r="DO48814" s="303" t="s">
        <v>232</v>
      </c>
    </row>
    <row r="48815" spans="119:119" x14ac:dyDescent="0.2">
      <c r="DO48815" s="303" t="s">
        <v>232</v>
      </c>
    </row>
    <row r="48816" spans="119:119" x14ac:dyDescent="0.2">
      <c r="DO48816" s="303" t="s">
        <v>232</v>
      </c>
    </row>
    <row r="48817" spans="119:119" x14ac:dyDescent="0.2">
      <c r="DO48817" s="303" t="s">
        <v>232</v>
      </c>
    </row>
    <row r="48818" spans="119:119" x14ac:dyDescent="0.2">
      <c r="DO48818" s="303" t="s">
        <v>232</v>
      </c>
    </row>
    <row r="48819" spans="119:119" x14ac:dyDescent="0.2">
      <c r="DO48819" s="303" t="s">
        <v>232</v>
      </c>
    </row>
    <row r="48820" spans="119:119" x14ac:dyDescent="0.2">
      <c r="DO48820" s="303" t="s">
        <v>232</v>
      </c>
    </row>
    <row r="48821" spans="119:119" x14ac:dyDescent="0.2">
      <c r="DO48821" s="303" t="s">
        <v>232</v>
      </c>
    </row>
    <row r="48822" spans="119:119" x14ac:dyDescent="0.2">
      <c r="DO48822" s="303" t="s">
        <v>232</v>
      </c>
    </row>
    <row r="48823" spans="119:119" x14ac:dyDescent="0.2">
      <c r="DO48823" s="303" t="s">
        <v>232</v>
      </c>
    </row>
    <row r="48824" spans="119:119" x14ac:dyDescent="0.2">
      <c r="DO48824" s="303" t="s">
        <v>232</v>
      </c>
    </row>
    <row r="48825" spans="119:119" x14ac:dyDescent="0.2">
      <c r="DO48825" s="303" t="s">
        <v>232</v>
      </c>
    </row>
    <row r="48826" spans="119:119" x14ac:dyDescent="0.2">
      <c r="DO48826" s="303" t="s">
        <v>232</v>
      </c>
    </row>
    <row r="48827" spans="119:119" x14ac:dyDescent="0.2">
      <c r="DO48827" s="303" t="s">
        <v>232</v>
      </c>
    </row>
    <row r="48828" spans="119:119" x14ac:dyDescent="0.2">
      <c r="DO48828" s="303" t="s">
        <v>232</v>
      </c>
    </row>
    <row r="48829" spans="119:119" x14ac:dyDescent="0.2">
      <c r="DO48829" s="303" t="s">
        <v>232</v>
      </c>
    </row>
    <row r="48830" spans="119:119" x14ac:dyDescent="0.2">
      <c r="DO48830" s="303" t="s">
        <v>232</v>
      </c>
    </row>
    <row r="48831" spans="119:119" x14ac:dyDescent="0.2">
      <c r="DO48831" s="303" t="s">
        <v>232</v>
      </c>
    </row>
    <row r="48832" spans="119:119" x14ac:dyDescent="0.2">
      <c r="DO48832" s="303" t="s">
        <v>232</v>
      </c>
    </row>
    <row r="48833" spans="119:119" x14ac:dyDescent="0.2">
      <c r="DO48833" s="303" t="s">
        <v>232</v>
      </c>
    </row>
    <row r="48834" spans="119:119" x14ac:dyDescent="0.2">
      <c r="DO48834" s="303" t="s">
        <v>232</v>
      </c>
    </row>
    <row r="48835" spans="119:119" x14ac:dyDescent="0.2">
      <c r="DO48835" s="303" t="s">
        <v>232</v>
      </c>
    </row>
    <row r="48836" spans="119:119" x14ac:dyDescent="0.2">
      <c r="DO48836" s="303" t="s">
        <v>232</v>
      </c>
    </row>
    <row r="48837" spans="119:119" x14ac:dyDescent="0.2">
      <c r="DO48837" s="303" t="s">
        <v>232</v>
      </c>
    </row>
    <row r="48838" spans="119:119" x14ac:dyDescent="0.2">
      <c r="DO48838" s="303" t="s">
        <v>232</v>
      </c>
    </row>
    <row r="48839" spans="119:119" x14ac:dyDescent="0.2">
      <c r="DO48839" s="303" t="s">
        <v>232</v>
      </c>
    </row>
    <row r="48840" spans="119:119" x14ac:dyDescent="0.2">
      <c r="DO48840" s="303" t="s">
        <v>232</v>
      </c>
    </row>
    <row r="48841" spans="119:119" x14ac:dyDescent="0.2">
      <c r="DO48841" s="303" t="s">
        <v>232</v>
      </c>
    </row>
    <row r="48842" spans="119:119" x14ac:dyDescent="0.2">
      <c r="DO48842" s="303" t="s">
        <v>232</v>
      </c>
    </row>
    <row r="48843" spans="119:119" x14ac:dyDescent="0.2">
      <c r="DO48843" s="303" t="s">
        <v>232</v>
      </c>
    </row>
    <row r="48844" spans="119:119" x14ac:dyDescent="0.2">
      <c r="DO48844" s="303" t="s">
        <v>232</v>
      </c>
    </row>
    <row r="48845" spans="119:119" x14ac:dyDescent="0.2">
      <c r="DO48845" s="303" t="s">
        <v>232</v>
      </c>
    </row>
    <row r="48846" spans="119:119" x14ac:dyDescent="0.2">
      <c r="DO48846" s="303" t="s">
        <v>232</v>
      </c>
    </row>
    <row r="48847" spans="119:119" x14ac:dyDescent="0.2">
      <c r="DO48847" s="303" t="s">
        <v>232</v>
      </c>
    </row>
    <row r="48848" spans="119:119" x14ac:dyDescent="0.2">
      <c r="DO48848" s="303" t="s">
        <v>232</v>
      </c>
    </row>
    <row r="48849" spans="119:119" x14ac:dyDescent="0.2">
      <c r="DO48849" s="303" t="s">
        <v>232</v>
      </c>
    </row>
    <row r="48850" spans="119:119" x14ac:dyDescent="0.2">
      <c r="DO48850" s="303" t="s">
        <v>232</v>
      </c>
    </row>
    <row r="48851" spans="119:119" x14ac:dyDescent="0.2">
      <c r="DO48851" s="303" t="s">
        <v>232</v>
      </c>
    </row>
    <row r="48852" spans="119:119" x14ac:dyDescent="0.2">
      <c r="DO48852" s="303" t="s">
        <v>232</v>
      </c>
    </row>
    <row r="48853" spans="119:119" x14ac:dyDescent="0.2">
      <c r="DO48853" s="303" t="s">
        <v>232</v>
      </c>
    </row>
    <row r="48854" spans="119:119" x14ac:dyDescent="0.2">
      <c r="DO48854" s="303" t="s">
        <v>232</v>
      </c>
    </row>
    <row r="48855" spans="119:119" x14ac:dyDescent="0.2">
      <c r="DO48855" s="303" t="s">
        <v>232</v>
      </c>
    </row>
    <row r="48856" spans="119:119" x14ac:dyDescent="0.2">
      <c r="DO48856" s="303" t="s">
        <v>232</v>
      </c>
    </row>
    <row r="48857" spans="119:119" x14ac:dyDescent="0.2">
      <c r="DO48857" s="303" t="s">
        <v>232</v>
      </c>
    </row>
    <row r="48858" spans="119:119" x14ac:dyDescent="0.2">
      <c r="DO48858" s="303" t="s">
        <v>232</v>
      </c>
    </row>
    <row r="48859" spans="119:119" x14ac:dyDescent="0.2">
      <c r="DO48859" s="303" t="s">
        <v>232</v>
      </c>
    </row>
    <row r="48860" spans="119:119" x14ac:dyDescent="0.2">
      <c r="DO48860" s="303" t="s">
        <v>232</v>
      </c>
    </row>
    <row r="48861" spans="119:119" x14ac:dyDescent="0.2">
      <c r="DO48861" s="303" t="s">
        <v>232</v>
      </c>
    </row>
    <row r="48862" spans="119:119" x14ac:dyDescent="0.2">
      <c r="DO48862" s="303" t="s">
        <v>232</v>
      </c>
    </row>
    <row r="48863" spans="119:119" x14ac:dyDescent="0.2">
      <c r="DO48863" s="303" t="s">
        <v>232</v>
      </c>
    </row>
    <row r="48864" spans="119:119" x14ac:dyDescent="0.2">
      <c r="DO48864" s="303" t="s">
        <v>232</v>
      </c>
    </row>
    <row r="48865" spans="119:119" x14ac:dyDescent="0.2">
      <c r="DO48865" s="303" t="s">
        <v>232</v>
      </c>
    </row>
    <row r="48866" spans="119:119" x14ac:dyDescent="0.2">
      <c r="DO48866" s="303" t="s">
        <v>232</v>
      </c>
    </row>
    <row r="48867" spans="119:119" x14ac:dyDescent="0.2">
      <c r="DO48867" s="303" t="s">
        <v>232</v>
      </c>
    </row>
    <row r="48868" spans="119:119" x14ac:dyDescent="0.2">
      <c r="DO48868" s="303" t="s">
        <v>232</v>
      </c>
    </row>
    <row r="48869" spans="119:119" x14ac:dyDescent="0.2">
      <c r="DO48869" s="303" t="s">
        <v>232</v>
      </c>
    </row>
    <row r="48870" spans="119:119" x14ac:dyDescent="0.2">
      <c r="DO48870" s="303" t="s">
        <v>232</v>
      </c>
    </row>
    <row r="48871" spans="119:119" x14ac:dyDescent="0.2">
      <c r="DO48871" s="303" t="s">
        <v>232</v>
      </c>
    </row>
    <row r="48872" spans="119:119" x14ac:dyDescent="0.2">
      <c r="DO48872" s="303" t="s">
        <v>232</v>
      </c>
    </row>
    <row r="48873" spans="119:119" x14ac:dyDescent="0.2">
      <c r="DO48873" s="303" t="s">
        <v>232</v>
      </c>
    </row>
    <row r="48874" spans="119:119" x14ac:dyDescent="0.2">
      <c r="DO48874" s="303" t="s">
        <v>232</v>
      </c>
    </row>
    <row r="48875" spans="119:119" x14ac:dyDescent="0.2">
      <c r="DO48875" s="303" t="s">
        <v>232</v>
      </c>
    </row>
    <row r="48876" spans="119:119" x14ac:dyDescent="0.2">
      <c r="DO48876" s="303" t="s">
        <v>232</v>
      </c>
    </row>
    <row r="48877" spans="119:119" x14ac:dyDescent="0.2">
      <c r="DO48877" s="303" t="s">
        <v>232</v>
      </c>
    </row>
    <row r="48878" spans="119:119" x14ac:dyDescent="0.2">
      <c r="DO48878" s="303" t="s">
        <v>232</v>
      </c>
    </row>
    <row r="48879" spans="119:119" x14ac:dyDescent="0.2">
      <c r="DO48879" s="303" t="s">
        <v>232</v>
      </c>
    </row>
    <row r="48880" spans="119:119" x14ac:dyDescent="0.2">
      <c r="DO48880" s="303" t="s">
        <v>232</v>
      </c>
    </row>
    <row r="48881" spans="119:119" x14ac:dyDescent="0.2">
      <c r="DO48881" s="303" t="s">
        <v>232</v>
      </c>
    </row>
    <row r="48882" spans="119:119" x14ac:dyDescent="0.2">
      <c r="DO48882" s="303" t="s">
        <v>232</v>
      </c>
    </row>
    <row r="48883" spans="119:119" x14ac:dyDescent="0.2">
      <c r="DO48883" s="303" t="s">
        <v>232</v>
      </c>
    </row>
    <row r="48884" spans="119:119" x14ac:dyDescent="0.2">
      <c r="DO48884" s="303" t="s">
        <v>232</v>
      </c>
    </row>
    <row r="48885" spans="119:119" x14ac:dyDescent="0.2">
      <c r="DO48885" s="303" t="s">
        <v>232</v>
      </c>
    </row>
    <row r="48886" spans="119:119" x14ac:dyDescent="0.2">
      <c r="DO48886" s="303" t="s">
        <v>232</v>
      </c>
    </row>
    <row r="48887" spans="119:119" x14ac:dyDescent="0.2">
      <c r="DO48887" s="303" t="s">
        <v>232</v>
      </c>
    </row>
    <row r="48888" spans="119:119" x14ac:dyDescent="0.2">
      <c r="DO48888" s="303" t="s">
        <v>232</v>
      </c>
    </row>
    <row r="48889" spans="119:119" x14ac:dyDescent="0.2">
      <c r="DO48889" s="303" t="s">
        <v>232</v>
      </c>
    </row>
    <row r="48890" spans="119:119" x14ac:dyDescent="0.2">
      <c r="DO48890" s="303" t="s">
        <v>232</v>
      </c>
    </row>
    <row r="48891" spans="119:119" x14ac:dyDescent="0.2">
      <c r="DO48891" s="303" t="s">
        <v>232</v>
      </c>
    </row>
    <row r="48892" spans="119:119" x14ac:dyDescent="0.2">
      <c r="DO48892" s="303" t="s">
        <v>232</v>
      </c>
    </row>
    <row r="48893" spans="119:119" x14ac:dyDescent="0.2">
      <c r="DO48893" s="303" t="s">
        <v>232</v>
      </c>
    </row>
    <row r="48894" spans="119:119" x14ac:dyDescent="0.2">
      <c r="DO48894" s="303" t="s">
        <v>232</v>
      </c>
    </row>
    <row r="48895" spans="119:119" x14ac:dyDescent="0.2">
      <c r="DO48895" s="303" t="s">
        <v>232</v>
      </c>
    </row>
    <row r="48896" spans="119:119" x14ac:dyDescent="0.2">
      <c r="DO48896" s="303" t="s">
        <v>232</v>
      </c>
    </row>
    <row r="48897" spans="119:119" x14ac:dyDescent="0.2">
      <c r="DO48897" s="303" t="s">
        <v>232</v>
      </c>
    </row>
    <row r="48898" spans="119:119" x14ac:dyDescent="0.2">
      <c r="DO48898" s="303" t="s">
        <v>232</v>
      </c>
    </row>
    <row r="48899" spans="119:119" x14ac:dyDescent="0.2">
      <c r="DO48899" s="303" t="s">
        <v>232</v>
      </c>
    </row>
    <row r="48900" spans="119:119" x14ac:dyDescent="0.2">
      <c r="DO48900" s="303" t="s">
        <v>232</v>
      </c>
    </row>
    <row r="48901" spans="119:119" x14ac:dyDescent="0.2">
      <c r="DO48901" s="303" t="s">
        <v>232</v>
      </c>
    </row>
    <row r="48902" spans="119:119" x14ac:dyDescent="0.2">
      <c r="DO48902" s="303" t="s">
        <v>232</v>
      </c>
    </row>
    <row r="48903" spans="119:119" x14ac:dyDescent="0.2">
      <c r="DO48903" s="303" t="s">
        <v>232</v>
      </c>
    </row>
    <row r="48904" spans="119:119" x14ac:dyDescent="0.2">
      <c r="DO48904" s="303" t="s">
        <v>232</v>
      </c>
    </row>
    <row r="48905" spans="119:119" x14ac:dyDescent="0.2">
      <c r="DO48905" s="303" t="s">
        <v>232</v>
      </c>
    </row>
    <row r="48906" spans="119:119" x14ac:dyDescent="0.2">
      <c r="DO48906" s="303" t="s">
        <v>232</v>
      </c>
    </row>
    <row r="48907" spans="119:119" x14ac:dyDescent="0.2">
      <c r="DO48907" s="303" t="s">
        <v>232</v>
      </c>
    </row>
    <row r="48908" spans="119:119" x14ac:dyDescent="0.2">
      <c r="DO48908" s="303" t="s">
        <v>232</v>
      </c>
    </row>
    <row r="48909" spans="119:119" x14ac:dyDescent="0.2">
      <c r="DO48909" s="303" t="s">
        <v>232</v>
      </c>
    </row>
    <row r="48910" spans="119:119" x14ac:dyDescent="0.2">
      <c r="DO48910" s="303" t="s">
        <v>232</v>
      </c>
    </row>
    <row r="48911" spans="119:119" x14ac:dyDescent="0.2">
      <c r="DO48911" s="303" t="s">
        <v>232</v>
      </c>
    </row>
    <row r="48912" spans="119:119" x14ac:dyDescent="0.2">
      <c r="DO48912" s="303" t="s">
        <v>232</v>
      </c>
    </row>
    <row r="48913" spans="119:119" x14ac:dyDescent="0.2">
      <c r="DO48913" s="303" t="s">
        <v>232</v>
      </c>
    </row>
    <row r="48914" spans="119:119" x14ac:dyDescent="0.2">
      <c r="DO48914" s="303" t="s">
        <v>232</v>
      </c>
    </row>
    <row r="48915" spans="119:119" x14ac:dyDescent="0.2">
      <c r="DO48915" s="303" t="s">
        <v>232</v>
      </c>
    </row>
    <row r="48916" spans="119:119" x14ac:dyDescent="0.2">
      <c r="DO48916" s="303" t="s">
        <v>232</v>
      </c>
    </row>
    <row r="48917" spans="119:119" x14ac:dyDescent="0.2">
      <c r="DO48917" s="303" t="s">
        <v>232</v>
      </c>
    </row>
    <row r="48918" spans="119:119" x14ac:dyDescent="0.2">
      <c r="DO48918" s="303" t="s">
        <v>232</v>
      </c>
    </row>
    <row r="48919" spans="119:119" x14ac:dyDescent="0.2">
      <c r="DO48919" s="303" t="s">
        <v>232</v>
      </c>
    </row>
    <row r="48920" spans="119:119" x14ac:dyDescent="0.2">
      <c r="DO48920" s="303" t="s">
        <v>232</v>
      </c>
    </row>
    <row r="48921" spans="119:119" x14ac:dyDescent="0.2">
      <c r="DO48921" s="303" t="s">
        <v>232</v>
      </c>
    </row>
    <row r="48922" spans="119:119" x14ac:dyDescent="0.2">
      <c r="DO48922" s="303" t="s">
        <v>232</v>
      </c>
    </row>
    <row r="48923" spans="119:119" x14ac:dyDescent="0.2">
      <c r="DO48923" s="303" t="s">
        <v>232</v>
      </c>
    </row>
    <row r="48924" spans="119:119" x14ac:dyDescent="0.2">
      <c r="DO48924" s="303" t="s">
        <v>232</v>
      </c>
    </row>
    <row r="48925" spans="119:119" x14ac:dyDescent="0.2">
      <c r="DO48925" s="303" t="s">
        <v>232</v>
      </c>
    </row>
    <row r="48926" spans="119:119" x14ac:dyDescent="0.2">
      <c r="DO48926" s="303" t="s">
        <v>232</v>
      </c>
    </row>
    <row r="48927" spans="119:119" x14ac:dyDescent="0.2">
      <c r="DO48927" s="303" t="s">
        <v>232</v>
      </c>
    </row>
    <row r="48928" spans="119:119" x14ac:dyDescent="0.2">
      <c r="DO48928" s="303" t="s">
        <v>232</v>
      </c>
    </row>
    <row r="48929" spans="119:119" x14ac:dyDescent="0.2">
      <c r="DO48929" s="303" t="s">
        <v>232</v>
      </c>
    </row>
    <row r="48930" spans="119:119" x14ac:dyDescent="0.2">
      <c r="DO48930" s="303" t="s">
        <v>232</v>
      </c>
    </row>
    <row r="48931" spans="119:119" x14ac:dyDescent="0.2">
      <c r="DO48931" s="303" t="s">
        <v>232</v>
      </c>
    </row>
    <row r="48932" spans="119:119" x14ac:dyDescent="0.2">
      <c r="DO48932" s="303" t="s">
        <v>232</v>
      </c>
    </row>
    <row r="48933" spans="119:119" x14ac:dyDescent="0.2">
      <c r="DO48933" s="303" t="s">
        <v>232</v>
      </c>
    </row>
    <row r="48934" spans="119:119" x14ac:dyDescent="0.2">
      <c r="DO48934" s="303" t="s">
        <v>232</v>
      </c>
    </row>
    <row r="48935" spans="119:119" x14ac:dyDescent="0.2">
      <c r="DO48935" s="303" t="s">
        <v>232</v>
      </c>
    </row>
    <row r="48936" spans="119:119" x14ac:dyDescent="0.2">
      <c r="DO48936" s="303" t="s">
        <v>232</v>
      </c>
    </row>
    <row r="48937" spans="119:119" x14ac:dyDescent="0.2">
      <c r="DO48937" s="303" t="s">
        <v>232</v>
      </c>
    </row>
    <row r="48938" spans="119:119" x14ac:dyDescent="0.2">
      <c r="DO48938" s="303" t="s">
        <v>232</v>
      </c>
    </row>
    <row r="48939" spans="119:119" x14ac:dyDescent="0.2">
      <c r="DO48939" s="303" t="s">
        <v>232</v>
      </c>
    </row>
    <row r="48940" spans="119:119" x14ac:dyDescent="0.2">
      <c r="DO48940" s="303" t="s">
        <v>232</v>
      </c>
    </row>
    <row r="48941" spans="119:119" x14ac:dyDescent="0.2">
      <c r="DO48941" s="303" t="s">
        <v>232</v>
      </c>
    </row>
    <row r="48942" spans="119:119" x14ac:dyDescent="0.2">
      <c r="DO48942" s="303" t="s">
        <v>232</v>
      </c>
    </row>
    <row r="48943" spans="119:119" x14ac:dyDescent="0.2">
      <c r="DO48943" s="303" t="s">
        <v>232</v>
      </c>
    </row>
    <row r="48944" spans="119:119" x14ac:dyDescent="0.2">
      <c r="DO48944" s="303" t="s">
        <v>232</v>
      </c>
    </row>
    <row r="48945" spans="119:119" x14ac:dyDescent="0.2">
      <c r="DO48945" s="303" t="s">
        <v>232</v>
      </c>
    </row>
    <row r="48946" spans="119:119" x14ac:dyDescent="0.2">
      <c r="DO48946" s="303" t="s">
        <v>232</v>
      </c>
    </row>
    <row r="48947" spans="119:119" x14ac:dyDescent="0.2">
      <c r="DO48947" s="303" t="s">
        <v>232</v>
      </c>
    </row>
    <row r="48948" spans="119:119" x14ac:dyDescent="0.2">
      <c r="DO48948" s="303" t="s">
        <v>232</v>
      </c>
    </row>
    <row r="48949" spans="119:119" x14ac:dyDescent="0.2">
      <c r="DO48949" s="303" t="s">
        <v>232</v>
      </c>
    </row>
    <row r="48950" spans="119:119" x14ac:dyDescent="0.2">
      <c r="DO48950" s="303" t="s">
        <v>232</v>
      </c>
    </row>
    <row r="48951" spans="119:119" x14ac:dyDescent="0.2">
      <c r="DO48951" s="303" t="s">
        <v>232</v>
      </c>
    </row>
    <row r="48952" spans="119:119" x14ac:dyDescent="0.2">
      <c r="DO48952" s="303" t="s">
        <v>232</v>
      </c>
    </row>
    <row r="48953" spans="119:119" x14ac:dyDescent="0.2">
      <c r="DO48953" s="303" t="s">
        <v>232</v>
      </c>
    </row>
    <row r="48954" spans="119:119" x14ac:dyDescent="0.2">
      <c r="DO48954" s="303" t="s">
        <v>232</v>
      </c>
    </row>
    <row r="48955" spans="119:119" x14ac:dyDescent="0.2">
      <c r="DO48955" s="303" t="s">
        <v>232</v>
      </c>
    </row>
    <row r="48956" spans="119:119" x14ac:dyDescent="0.2">
      <c r="DO48956" s="303" t="s">
        <v>232</v>
      </c>
    </row>
    <row r="48957" spans="119:119" x14ac:dyDescent="0.2">
      <c r="DO48957" s="303" t="s">
        <v>232</v>
      </c>
    </row>
    <row r="48958" spans="119:119" x14ac:dyDescent="0.2">
      <c r="DO48958" s="303" t="s">
        <v>232</v>
      </c>
    </row>
    <row r="48959" spans="119:119" x14ac:dyDescent="0.2">
      <c r="DO48959" s="303" t="s">
        <v>232</v>
      </c>
    </row>
    <row r="48960" spans="119:119" x14ac:dyDescent="0.2">
      <c r="DO48960" s="303" t="s">
        <v>232</v>
      </c>
    </row>
    <row r="48961" spans="119:119" x14ac:dyDescent="0.2">
      <c r="DO48961" s="303" t="s">
        <v>232</v>
      </c>
    </row>
    <row r="48962" spans="119:119" x14ac:dyDescent="0.2">
      <c r="DO48962" s="303" t="s">
        <v>232</v>
      </c>
    </row>
    <row r="48963" spans="119:119" x14ac:dyDescent="0.2">
      <c r="DO48963" s="303" t="s">
        <v>232</v>
      </c>
    </row>
    <row r="48964" spans="119:119" x14ac:dyDescent="0.2">
      <c r="DO48964" s="303" t="s">
        <v>232</v>
      </c>
    </row>
    <row r="48965" spans="119:119" x14ac:dyDescent="0.2">
      <c r="DO48965" s="303" t="s">
        <v>232</v>
      </c>
    </row>
    <row r="48966" spans="119:119" x14ac:dyDescent="0.2">
      <c r="DO48966" s="303" t="s">
        <v>232</v>
      </c>
    </row>
    <row r="48967" spans="119:119" x14ac:dyDescent="0.2">
      <c r="DO48967" s="303" t="s">
        <v>232</v>
      </c>
    </row>
    <row r="48968" spans="119:119" x14ac:dyDescent="0.2">
      <c r="DO48968" s="303" t="s">
        <v>232</v>
      </c>
    </row>
    <row r="48969" spans="119:119" x14ac:dyDescent="0.2">
      <c r="DO48969" s="303" t="s">
        <v>232</v>
      </c>
    </row>
    <row r="48970" spans="119:119" x14ac:dyDescent="0.2">
      <c r="DO48970" s="303" t="s">
        <v>232</v>
      </c>
    </row>
    <row r="48971" spans="119:119" x14ac:dyDescent="0.2">
      <c r="DO48971" s="303" t="s">
        <v>232</v>
      </c>
    </row>
    <row r="48972" spans="119:119" x14ac:dyDescent="0.2">
      <c r="DO48972" s="303" t="s">
        <v>232</v>
      </c>
    </row>
    <row r="48973" spans="119:119" x14ac:dyDescent="0.2">
      <c r="DO48973" s="303" t="s">
        <v>232</v>
      </c>
    </row>
    <row r="48974" spans="119:119" x14ac:dyDescent="0.2">
      <c r="DO48974" s="303" t="s">
        <v>232</v>
      </c>
    </row>
    <row r="48975" spans="119:119" x14ac:dyDescent="0.2">
      <c r="DO48975" s="303" t="s">
        <v>232</v>
      </c>
    </row>
    <row r="48976" spans="119:119" x14ac:dyDescent="0.2">
      <c r="DO48976" s="303" t="s">
        <v>232</v>
      </c>
    </row>
    <row r="48977" spans="119:119" x14ac:dyDescent="0.2">
      <c r="DO48977" s="303" t="s">
        <v>232</v>
      </c>
    </row>
    <row r="48978" spans="119:119" x14ac:dyDescent="0.2">
      <c r="DO48978" s="303" t="s">
        <v>232</v>
      </c>
    </row>
    <row r="48979" spans="119:119" x14ac:dyDescent="0.2">
      <c r="DO48979" s="303" t="s">
        <v>232</v>
      </c>
    </row>
    <row r="48980" spans="119:119" x14ac:dyDescent="0.2">
      <c r="DO48980" s="303" t="s">
        <v>232</v>
      </c>
    </row>
    <row r="48981" spans="119:119" x14ac:dyDescent="0.2">
      <c r="DO48981" s="303" t="s">
        <v>232</v>
      </c>
    </row>
    <row r="48982" spans="119:119" x14ac:dyDescent="0.2">
      <c r="DO48982" s="303" t="s">
        <v>232</v>
      </c>
    </row>
    <row r="48983" spans="119:119" x14ac:dyDescent="0.2">
      <c r="DO48983" s="303" t="s">
        <v>232</v>
      </c>
    </row>
    <row r="48984" spans="119:119" x14ac:dyDescent="0.2">
      <c r="DO48984" s="303" t="s">
        <v>232</v>
      </c>
    </row>
    <row r="48985" spans="119:119" x14ac:dyDescent="0.2">
      <c r="DO48985" s="303" t="s">
        <v>232</v>
      </c>
    </row>
    <row r="48986" spans="119:119" x14ac:dyDescent="0.2">
      <c r="DO48986" s="303" t="s">
        <v>232</v>
      </c>
    </row>
    <row r="48987" spans="119:119" x14ac:dyDescent="0.2">
      <c r="DO48987" s="303" t="s">
        <v>232</v>
      </c>
    </row>
    <row r="48988" spans="119:119" x14ac:dyDescent="0.2">
      <c r="DO48988" s="303" t="s">
        <v>232</v>
      </c>
    </row>
    <row r="48989" spans="119:119" x14ac:dyDescent="0.2">
      <c r="DO48989" s="303" t="s">
        <v>232</v>
      </c>
    </row>
    <row r="48990" spans="119:119" x14ac:dyDescent="0.2">
      <c r="DO48990" s="303" t="s">
        <v>232</v>
      </c>
    </row>
    <row r="48991" spans="119:119" x14ac:dyDescent="0.2">
      <c r="DO48991" s="303" t="s">
        <v>232</v>
      </c>
    </row>
    <row r="48992" spans="119:119" x14ac:dyDescent="0.2">
      <c r="DO48992" s="303" t="s">
        <v>232</v>
      </c>
    </row>
    <row r="48993" spans="119:119" x14ac:dyDescent="0.2">
      <c r="DO48993" s="303" t="s">
        <v>232</v>
      </c>
    </row>
    <row r="48994" spans="119:119" x14ac:dyDescent="0.2">
      <c r="DO48994" s="303" t="s">
        <v>232</v>
      </c>
    </row>
    <row r="48995" spans="119:119" x14ac:dyDescent="0.2">
      <c r="DO48995" s="303" t="s">
        <v>232</v>
      </c>
    </row>
    <row r="48996" spans="119:119" x14ac:dyDescent="0.2">
      <c r="DO48996" s="303" t="s">
        <v>232</v>
      </c>
    </row>
    <row r="48997" spans="119:119" x14ac:dyDescent="0.2">
      <c r="DO48997" s="303" t="s">
        <v>232</v>
      </c>
    </row>
    <row r="48998" spans="119:119" x14ac:dyDescent="0.2">
      <c r="DO48998" s="303" t="s">
        <v>232</v>
      </c>
    </row>
    <row r="48999" spans="119:119" x14ac:dyDescent="0.2">
      <c r="DO48999" s="303" t="s">
        <v>232</v>
      </c>
    </row>
    <row r="49000" spans="119:119" x14ac:dyDescent="0.2">
      <c r="DO49000" s="303" t="s">
        <v>232</v>
      </c>
    </row>
    <row r="49001" spans="119:119" x14ac:dyDescent="0.2">
      <c r="DO49001" s="303" t="s">
        <v>232</v>
      </c>
    </row>
    <row r="49002" spans="119:119" x14ac:dyDescent="0.2">
      <c r="DO49002" s="303" t="s">
        <v>232</v>
      </c>
    </row>
    <row r="49003" spans="119:119" x14ac:dyDescent="0.2">
      <c r="DO49003" s="303" t="s">
        <v>232</v>
      </c>
    </row>
    <row r="49004" spans="119:119" x14ac:dyDescent="0.2">
      <c r="DO49004" s="303" t="s">
        <v>232</v>
      </c>
    </row>
    <row r="49005" spans="119:119" x14ac:dyDescent="0.2">
      <c r="DO49005" s="303" t="s">
        <v>232</v>
      </c>
    </row>
    <row r="49006" spans="119:119" x14ac:dyDescent="0.2">
      <c r="DO49006" s="303" t="s">
        <v>232</v>
      </c>
    </row>
    <row r="49007" spans="119:119" x14ac:dyDescent="0.2">
      <c r="DO49007" s="303" t="s">
        <v>232</v>
      </c>
    </row>
    <row r="49008" spans="119:119" x14ac:dyDescent="0.2">
      <c r="DO49008" s="303" t="s">
        <v>232</v>
      </c>
    </row>
    <row r="49009" spans="119:119" x14ac:dyDescent="0.2">
      <c r="DO49009" s="303" t="s">
        <v>232</v>
      </c>
    </row>
    <row r="49010" spans="119:119" x14ac:dyDescent="0.2">
      <c r="DO49010" s="303" t="s">
        <v>232</v>
      </c>
    </row>
    <row r="49011" spans="119:119" x14ac:dyDescent="0.2">
      <c r="DO49011" s="303" t="s">
        <v>232</v>
      </c>
    </row>
    <row r="49012" spans="119:119" x14ac:dyDescent="0.2">
      <c r="DO49012" s="303" t="s">
        <v>232</v>
      </c>
    </row>
    <row r="49013" spans="119:119" x14ac:dyDescent="0.2">
      <c r="DO49013" s="303" t="s">
        <v>232</v>
      </c>
    </row>
    <row r="49014" spans="119:119" x14ac:dyDescent="0.2">
      <c r="DO49014" s="303" t="s">
        <v>232</v>
      </c>
    </row>
    <row r="49015" spans="119:119" x14ac:dyDescent="0.2">
      <c r="DO49015" s="303" t="s">
        <v>232</v>
      </c>
    </row>
    <row r="49016" spans="119:119" x14ac:dyDescent="0.2">
      <c r="DO49016" s="303" t="s">
        <v>232</v>
      </c>
    </row>
    <row r="49017" spans="119:119" x14ac:dyDescent="0.2">
      <c r="DO49017" s="303" t="s">
        <v>232</v>
      </c>
    </row>
    <row r="49018" spans="119:119" x14ac:dyDescent="0.2">
      <c r="DO49018" s="303" t="s">
        <v>232</v>
      </c>
    </row>
    <row r="49019" spans="119:119" x14ac:dyDescent="0.2">
      <c r="DO49019" s="303" t="s">
        <v>232</v>
      </c>
    </row>
    <row r="49020" spans="119:119" x14ac:dyDescent="0.2">
      <c r="DO49020" s="303" t="s">
        <v>232</v>
      </c>
    </row>
    <row r="49021" spans="119:119" x14ac:dyDescent="0.2">
      <c r="DO49021" s="303" t="s">
        <v>232</v>
      </c>
    </row>
    <row r="49022" spans="119:119" x14ac:dyDescent="0.2">
      <c r="DO49022" s="303" t="s">
        <v>232</v>
      </c>
    </row>
    <row r="49023" spans="119:119" x14ac:dyDescent="0.2">
      <c r="DO49023" s="303" t="s">
        <v>232</v>
      </c>
    </row>
    <row r="49024" spans="119:119" x14ac:dyDescent="0.2">
      <c r="DO49024" s="303" t="s">
        <v>232</v>
      </c>
    </row>
    <row r="49025" spans="119:119" x14ac:dyDescent="0.2">
      <c r="DO49025" s="303" t="s">
        <v>232</v>
      </c>
    </row>
    <row r="49026" spans="119:119" x14ac:dyDescent="0.2">
      <c r="DO49026" s="303" t="s">
        <v>232</v>
      </c>
    </row>
    <row r="49027" spans="119:119" x14ac:dyDescent="0.2">
      <c r="DO49027" s="303" t="s">
        <v>232</v>
      </c>
    </row>
    <row r="49028" spans="119:119" x14ac:dyDescent="0.2">
      <c r="DO49028" s="303" t="s">
        <v>232</v>
      </c>
    </row>
    <row r="49029" spans="119:119" x14ac:dyDescent="0.2">
      <c r="DO49029" s="303" t="s">
        <v>232</v>
      </c>
    </row>
    <row r="49030" spans="119:119" x14ac:dyDescent="0.2">
      <c r="DO49030" s="303" t="s">
        <v>232</v>
      </c>
    </row>
    <row r="49031" spans="119:119" x14ac:dyDescent="0.2">
      <c r="DO49031" s="303" t="s">
        <v>232</v>
      </c>
    </row>
    <row r="49032" spans="119:119" x14ac:dyDescent="0.2">
      <c r="DO49032" s="303" t="s">
        <v>232</v>
      </c>
    </row>
    <row r="49033" spans="119:119" x14ac:dyDescent="0.2">
      <c r="DO49033" s="303" t="s">
        <v>232</v>
      </c>
    </row>
    <row r="49034" spans="119:119" x14ac:dyDescent="0.2">
      <c r="DO49034" s="303" t="s">
        <v>232</v>
      </c>
    </row>
    <row r="49035" spans="119:119" x14ac:dyDescent="0.2">
      <c r="DO49035" s="303" t="s">
        <v>232</v>
      </c>
    </row>
    <row r="49036" spans="119:119" x14ac:dyDescent="0.2">
      <c r="DO49036" s="303" t="s">
        <v>232</v>
      </c>
    </row>
    <row r="49037" spans="119:119" x14ac:dyDescent="0.2">
      <c r="DO49037" s="303" t="s">
        <v>232</v>
      </c>
    </row>
    <row r="49038" spans="119:119" x14ac:dyDescent="0.2">
      <c r="DO49038" s="303" t="s">
        <v>232</v>
      </c>
    </row>
    <row r="49039" spans="119:119" x14ac:dyDescent="0.2">
      <c r="DO49039" s="303" t="s">
        <v>232</v>
      </c>
    </row>
    <row r="49040" spans="119:119" x14ac:dyDescent="0.2">
      <c r="DO49040" s="303" t="s">
        <v>232</v>
      </c>
    </row>
    <row r="49041" spans="119:119" x14ac:dyDescent="0.2">
      <c r="DO49041" s="303" t="s">
        <v>232</v>
      </c>
    </row>
    <row r="49042" spans="119:119" x14ac:dyDescent="0.2">
      <c r="DO49042" s="303" t="s">
        <v>232</v>
      </c>
    </row>
    <row r="49043" spans="119:119" x14ac:dyDescent="0.2">
      <c r="DO49043" s="303" t="s">
        <v>232</v>
      </c>
    </row>
    <row r="49044" spans="119:119" x14ac:dyDescent="0.2">
      <c r="DO49044" s="303" t="s">
        <v>232</v>
      </c>
    </row>
    <row r="49045" spans="119:119" x14ac:dyDescent="0.2">
      <c r="DO49045" s="303" t="s">
        <v>232</v>
      </c>
    </row>
    <row r="49046" spans="119:119" x14ac:dyDescent="0.2">
      <c r="DO49046" s="303" t="s">
        <v>232</v>
      </c>
    </row>
    <row r="49047" spans="119:119" x14ac:dyDescent="0.2">
      <c r="DO49047" s="303" t="s">
        <v>232</v>
      </c>
    </row>
    <row r="49048" spans="119:119" x14ac:dyDescent="0.2">
      <c r="DO49048" s="303" t="s">
        <v>232</v>
      </c>
    </row>
    <row r="49049" spans="119:119" x14ac:dyDescent="0.2">
      <c r="DO49049" s="303" t="s">
        <v>232</v>
      </c>
    </row>
    <row r="49050" spans="119:119" x14ac:dyDescent="0.2">
      <c r="DO49050" s="303" t="s">
        <v>232</v>
      </c>
    </row>
    <row r="49051" spans="119:119" x14ac:dyDescent="0.2">
      <c r="DO49051" s="303" t="s">
        <v>232</v>
      </c>
    </row>
    <row r="49052" spans="119:119" x14ac:dyDescent="0.2">
      <c r="DO49052" s="303" t="s">
        <v>232</v>
      </c>
    </row>
    <row r="49053" spans="119:119" x14ac:dyDescent="0.2">
      <c r="DO49053" s="303" t="s">
        <v>232</v>
      </c>
    </row>
    <row r="49054" spans="119:119" x14ac:dyDescent="0.2">
      <c r="DO49054" s="303" t="s">
        <v>232</v>
      </c>
    </row>
    <row r="49055" spans="119:119" x14ac:dyDescent="0.2">
      <c r="DO49055" s="303" t="s">
        <v>232</v>
      </c>
    </row>
    <row r="49056" spans="119:119" x14ac:dyDescent="0.2">
      <c r="DO49056" s="303" t="s">
        <v>232</v>
      </c>
    </row>
    <row r="49057" spans="119:119" x14ac:dyDescent="0.2">
      <c r="DO49057" s="303" t="s">
        <v>232</v>
      </c>
    </row>
    <row r="49058" spans="119:119" x14ac:dyDescent="0.2">
      <c r="DO49058" s="303" t="s">
        <v>232</v>
      </c>
    </row>
    <row r="49059" spans="119:119" x14ac:dyDescent="0.2">
      <c r="DO49059" s="303" t="s">
        <v>232</v>
      </c>
    </row>
    <row r="49060" spans="119:119" x14ac:dyDescent="0.2">
      <c r="DO49060" s="303" t="s">
        <v>232</v>
      </c>
    </row>
    <row r="49061" spans="119:119" x14ac:dyDescent="0.2">
      <c r="DO49061" s="303" t="s">
        <v>232</v>
      </c>
    </row>
    <row r="49062" spans="119:119" x14ac:dyDescent="0.2">
      <c r="DO49062" s="303" t="s">
        <v>232</v>
      </c>
    </row>
    <row r="49063" spans="119:119" x14ac:dyDescent="0.2">
      <c r="DO49063" s="303" t="s">
        <v>232</v>
      </c>
    </row>
    <row r="49064" spans="119:119" x14ac:dyDescent="0.2">
      <c r="DO49064" s="303" t="s">
        <v>232</v>
      </c>
    </row>
    <row r="49065" spans="119:119" x14ac:dyDescent="0.2">
      <c r="DO49065" s="303" t="s">
        <v>232</v>
      </c>
    </row>
    <row r="49066" spans="119:119" x14ac:dyDescent="0.2">
      <c r="DO49066" s="303" t="s">
        <v>232</v>
      </c>
    </row>
    <row r="49067" spans="119:119" x14ac:dyDescent="0.2">
      <c r="DO49067" s="303" t="s">
        <v>232</v>
      </c>
    </row>
    <row r="49068" spans="119:119" x14ac:dyDescent="0.2">
      <c r="DO49068" s="303" t="s">
        <v>232</v>
      </c>
    </row>
    <row r="49069" spans="119:119" x14ac:dyDescent="0.2">
      <c r="DO49069" s="303" t="s">
        <v>232</v>
      </c>
    </row>
    <row r="49070" spans="119:119" x14ac:dyDescent="0.2">
      <c r="DO49070" s="303" t="s">
        <v>232</v>
      </c>
    </row>
    <row r="49071" spans="119:119" x14ac:dyDescent="0.2">
      <c r="DO49071" s="303" t="s">
        <v>232</v>
      </c>
    </row>
    <row r="49072" spans="119:119" x14ac:dyDescent="0.2">
      <c r="DO49072" s="303" t="s">
        <v>232</v>
      </c>
    </row>
    <row r="49073" spans="119:119" x14ac:dyDescent="0.2">
      <c r="DO49073" s="303" t="s">
        <v>232</v>
      </c>
    </row>
    <row r="49074" spans="119:119" x14ac:dyDescent="0.2">
      <c r="DO49074" s="303" t="s">
        <v>232</v>
      </c>
    </row>
    <row r="49075" spans="119:119" x14ac:dyDescent="0.2">
      <c r="DO49075" s="303" t="s">
        <v>232</v>
      </c>
    </row>
    <row r="49076" spans="119:119" x14ac:dyDescent="0.2">
      <c r="DO49076" s="303" t="s">
        <v>232</v>
      </c>
    </row>
    <row r="49077" spans="119:119" x14ac:dyDescent="0.2">
      <c r="DO49077" s="303" t="s">
        <v>232</v>
      </c>
    </row>
    <row r="49078" spans="119:119" x14ac:dyDescent="0.2">
      <c r="DO49078" s="303" t="s">
        <v>232</v>
      </c>
    </row>
    <row r="49079" spans="119:119" x14ac:dyDescent="0.2">
      <c r="DO49079" s="303" t="s">
        <v>232</v>
      </c>
    </row>
    <row r="49080" spans="119:119" x14ac:dyDescent="0.2">
      <c r="DO49080" s="303" t="s">
        <v>232</v>
      </c>
    </row>
    <row r="49081" spans="119:119" x14ac:dyDescent="0.2">
      <c r="DO49081" s="303" t="s">
        <v>232</v>
      </c>
    </row>
    <row r="49082" spans="119:119" x14ac:dyDescent="0.2">
      <c r="DO49082" s="303" t="s">
        <v>232</v>
      </c>
    </row>
    <row r="49083" spans="119:119" x14ac:dyDescent="0.2">
      <c r="DO49083" s="303" t="s">
        <v>232</v>
      </c>
    </row>
    <row r="49084" spans="119:119" x14ac:dyDescent="0.2">
      <c r="DO49084" s="303" t="s">
        <v>232</v>
      </c>
    </row>
    <row r="49085" spans="119:119" x14ac:dyDescent="0.2">
      <c r="DO49085" s="303" t="s">
        <v>232</v>
      </c>
    </row>
    <row r="49086" spans="119:119" x14ac:dyDescent="0.2">
      <c r="DO49086" s="303" t="s">
        <v>232</v>
      </c>
    </row>
    <row r="49087" spans="119:119" x14ac:dyDescent="0.2">
      <c r="DO49087" s="303" t="s">
        <v>232</v>
      </c>
    </row>
    <row r="49088" spans="119:119" x14ac:dyDescent="0.2">
      <c r="DO49088" s="303" t="s">
        <v>232</v>
      </c>
    </row>
    <row r="49089" spans="119:119" x14ac:dyDescent="0.2">
      <c r="DO49089" s="303" t="s">
        <v>232</v>
      </c>
    </row>
    <row r="49090" spans="119:119" x14ac:dyDescent="0.2">
      <c r="DO49090" s="303" t="s">
        <v>232</v>
      </c>
    </row>
    <row r="49091" spans="119:119" x14ac:dyDescent="0.2">
      <c r="DO49091" s="303" t="s">
        <v>232</v>
      </c>
    </row>
    <row r="49092" spans="119:119" x14ac:dyDescent="0.2">
      <c r="DO49092" s="303" t="s">
        <v>232</v>
      </c>
    </row>
    <row r="49093" spans="119:119" x14ac:dyDescent="0.2">
      <c r="DO49093" s="303" t="s">
        <v>232</v>
      </c>
    </row>
    <row r="49094" spans="119:119" x14ac:dyDescent="0.2">
      <c r="DO49094" s="303" t="s">
        <v>232</v>
      </c>
    </row>
    <row r="49095" spans="119:119" x14ac:dyDescent="0.2">
      <c r="DO49095" s="303" t="s">
        <v>232</v>
      </c>
    </row>
    <row r="49096" spans="119:119" x14ac:dyDescent="0.2">
      <c r="DO49096" s="303" t="s">
        <v>232</v>
      </c>
    </row>
    <row r="49097" spans="119:119" x14ac:dyDescent="0.2">
      <c r="DO49097" s="303" t="s">
        <v>232</v>
      </c>
    </row>
    <row r="49098" spans="119:119" x14ac:dyDescent="0.2">
      <c r="DO49098" s="303" t="s">
        <v>232</v>
      </c>
    </row>
    <row r="49099" spans="119:119" x14ac:dyDescent="0.2">
      <c r="DO49099" s="303" t="s">
        <v>232</v>
      </c>
    </row>
    <row r="49100" spans="119:119" x14ac:dyDescent="0.2">
      <c r="DO49100" s="303" t="s">
        <v>232</v>
      </c>
    </row>
    <row r="49101" spans="119:119" x14ac:dyDescent="0.2">
      <c r="DO49101" s="303" t="s">
        <v>232</v>
      </c>
    </row>
    <row r="49102" spans="119:119" x14ac:dyDescent="0.2">
      <c r="DO49102" s="303" t="s">
        <v>232</v>
      </c>
    </row>
    <row r="49103" spans="119:119" x14ac:dyDescent="0.2">
      <c r="DO49103" s="303" t="s">
        <v>232</v>
      </c>
    </row>
    <row r="49104" spans="119:119" x14ac:dyDescent="0.2">
      <c r="DO49104" s="303" t="s">
        <v>232</v>
      </c>
    </row>
    <row r="49105" spans="119:119" x14ac:dyDescent="0.2">
      <c r="DO49105" s="303" t="s">
        <v>232</v>
      </c>
    </row>
    <row r="49106" spans="119:119" x14ac:dyDescent="0.2">
      <c r="DO49106" s="303" t="s">
        <v>232</v>
      </c>
    </row>
    <row r="49107" spans="119:119" x14ac:dyDescent="0.2">
      <c r="DO49107" s="303" t="s">
        <v>232</v>
      </c>
    </row>
    <row r="49108" spans="119:119" x14ac:dyDescent="0.2">
      <c r="DO49108" s="303" t="s">
        <v>232</v>
      </c>
    </row>
    <row r="49109" spans="119:119" x14ac:dyDescent="0.2">
      <c r="DO49109" s="303" t="s">
        <v>232</v>
      </c>
    </row>
    <row r="49110" spans="119:119" x14ac:dyDescent="0.2">
      <c r="DO49110" s="303" t="s">
        <v>232</v>
      </c>
    </row>
    <row r="49111" spans="119:119" x14ac:dyDescent="0.2">
      <c r="DO49111" s="303" t="s">
        <v>232</v>
      </c>
    </row>
    <row r="49112" spans="119:119" x14ac:dyDescent="0.2">
      <c r="DO49112" s="303" t="s">
        <v>232</v>
      </c>
    </row>
    <row r="49113" spans="119:119" x14ac:dyDescent="0.2">
      <c r="DO49113" s="303" t="s">
        <v>232</v>
      </c>
    </row>
    <row r="49114" spans="119:119" x14ac:dyDescent="0.2">
      <c r="DO49114" s="303" t="s">
        <v>232</v>
      </c>
    </row>
    <row r="49115" spans="119:119" x14ac:dyDescent="0.2">
      <c r="DO49115" s="303" t="s">
        <v>232</v>
      </c>
    </row>
    <row r="49116" spans="119:119" x14ac:dyDescent="0.2">
      <c r="DO49116" s="303" t="s">
        <v>232</v>
      </c>
    </row>
    <row r="49117" spans="119:119" x14ac:dyDescent="0.2">
      <c r="DO49117" s="303" t="s">
        <v>232</v>
      </c>
    </row>
    <row r="49118" spans="119:119" x14ac:dyDescent="0.2">
      <c r="DO49118" s="303" t="s">
        <v>232</v>
      </c>
    </row>
    <row r="49119" spans="119:119" x14ac:dyDescent="0.2">
      <c r="DO49119" s="303" t="s">
        <v>232</v>
      </c>
    </row>
    <row r="49120" spans="119:119" x14ac:dyDescent="0.2">
      <c r="DO49120" s="303" t="s">
        <v>232</v>
      </c>
    </row>
    <row r="49121" spans="119:119" x14ac:dyDescent="0.2">
      <c r="DO49121" s="303" t="s">
        <v>232</v>
      </c>
    </row>
    <row r="49122" spans="119:119" x14ac:dyDescent="0.2">
      <c r="DO49122" s="303" t="s">
        <v>232</v>
      </c>
    </row>
    <row r="49123" spans="119:119" x14ac:dyDescent="0.2">
      <c r="DO49123" s="303" t="s">
        <v>232</v>
      </c>
    </row>
    <row r="49124" spans="119:119" x14ac:dyDescent="0.2">
      <c r="DO49124" s="303" t="s">
        <v>232</v>
      </c>
    </row>
    <row r="49125" spans="119:119" x14ac:dyDescent="0.2">
      <c r="DO49125" s="303" t="s">
        <v>232</v>
      </c>
    </row>
    <row r="49126" spans="119:119" x14ac:dyDescent="0.2">
      <c r="DO49126" s="303" t="s">
        <v>232</v>
      </c>
    </row>
    <row r="49127" spans="119:119" x14ac:dyDescent="0.2">
      <c r="DO49127" s="303" t="s">
        <v>232</v>
      </c>
    </row>
    <row r="49128" spans="119:119" x14ac:dyDescent="0.2">
      <c r="DO49128" s="303" t="s">
        <v>232</v>
      </c>
    </row>
    <row r="49129" spans="119:119" x14ac:dyDescent="0.2">
      <c r="DO49129" s="303" t="s">
        <v>232</v>
      </c>
    </row>
    <row r="49130" spans="119:119" x14ac:dyDescent="0.2">
      <c r="DO49130" s="303" t="s">
        <v>232</v>
      </c>
    </row>
    <row r="49131" spans="119:119" x14ac:dyDescent="0.2">
      <c r="DO49131" s="303" t="s">
        <v>232</v>
      </c>
    </row>
    <row r="49132" spans="119:119" x14ac:dyDescent="0.2">
      <c r="DO49132" s="303" t="s">
        <v>232</v>
      </c>
    </row>
    <row r="49133" spans="119:119" x14ac:dyDescent="0.2">
      <c r="DO49133" s="303" t="s">
        <v>232</v>
      </c>
    </row>
    <row r="49134" spans="119:119" x14ac:dyDescent="0.2">
      <c r="DO49134" s="303" t="s">
        <v>232</v>
      </c>
    </row>
    <row r="49135" spans="119:119" x14ac:dyDescent="0.2">
      <c r="DO49135" s="303" t="s">
        <v>232</v>
      </c>
    </row>
    <row r="49136" spans="119:119" x14ac:dyDescent="0.2">
      <c r="DO49136" s="303" t="s">
        <v>232</v>
      </c>
    </row>
    <row r="49137" spans="119:119" x14ac:dyDescent="0.2">
      <c r="DO49137" s="303" t="s">
        <v>232</v>
      </c>
    </row>
    <row r="49138" spans="119:119" x14ac:dyDescent="0.2">
      <c r="DO49138" s="303" t="s">
        <v>232</v>
      </c>
    </row>
    <row r="49139" spans="119:119" x14ac:dyDescent="0.2">
      <c r="DO49139" s="303" t="s">
        <v>232</v>
      </c>
    </row>
    <row r="49140" spans="119:119" x14ac:dyDescent="0.2">
      <c r="DO49140" s="303" t="s">
        <v>232</v>
      </c>
    </row>
    <row r="49141" spans="119:119" x14ac:dyDescent="0.2">
      <c r="DO49141" s="303" t="s">
        <v>232</v>
      </c>
    </row>
    <row r="49142" spans="119:119" x14ac:dyDescent="0.2">
      <c r="DO49142" s="303" t="s">
        <v>232</v>
      </c>
    </row>
    <row r="49143" spans="119:119" x14ac:dyDescent="0.2">
      <c r="DO49143" s="303" t="s">
        <v>232</v>
      </c>
    </row>
    <row r="49144" spans="119:119" x14ac:dyDescent="0.2">
      <c r="DO49144" s="303" t="s">
        <v>232</v>
      </c>
    </row>
    <row r="49145" spans="119:119" x14ac:dyDescent="0.2">
      <c r="DO49145" s="303" t="s">
        <v>232</v>
      </c>
    </row>
    <row r="49146" spans="119:119" x14ac:dyDescent="0.2">
      <c r="DO49146" s="303" t="s">
        <v>232</v>
      </c>
    </row>
    <row r="49147" spans="119:119" x14ac:dyDescent="0.2">
      <c r="DO49147" s="303" t="s">
        <v>232</v>
      </c>
    </row>
    <row r="49148" spans="119:119" x14ac:dyDescent="0.2">
      <c r="DO49148" s="303" t="s">
        <v>232</v>
      </c>
    </row>
    <row r="49149" spans="119:119" x14ac:dyDescent="0.2">
      <c r="DO49149" s="303" t="s">
        <v>232</v>
      </c>
    </row>
    <row r="49150" spans="119:119" x14ac:dyDescent="0.2">
      <c r="DO49150" s="303" t="s">
        <v>232</v>
      </c>
    </row>
    <row r="49151" spans="119:119" x14ac:dyDescent="0.2">
      <c r="DO49151" s="303" t="s">
        <v>232</v>
      </c>
    </row>
    <row r="49152" spans="119:119" x14ac:dyDescent="0.2">
      <c r="DO49152" s="303" t="s">
        <v>232</v>
      </c>
    </row>
    <row r="49153" spans="119:119" x14ac:dyDescent="0.2">
      <c r="DO49153" s="303" t="s">
        <v>232</v>
      </c>
    </row>
    <row r="49154" spans="119:119" x14ac:dyDescent="0.2">
      <c r="DO49154" s="303" t="s">
        <v>232</v>
      </c>
    </row>
    <row r="49155" spans="119:119" x14ac:dyDescent="0.2">
      <c r="DO49155" s="303" t="s">
        <v>232</v>
      </c>
    </row>
    <row r="49156" spans="119:119" x14ac:dyDescent="0.2">
      <c r="DO49156" s="303" t="s">
        <v>232</v>
      </c>
    </row>
    <row r="49157" spans="119:119" x14ac:dyDescent="0.2">
      <c r="DO49157" s="303" t="s">
        <v>232</v>
      </c>
    </row>
    <row r="49158" spans="119:119" x14ac:dyDescent="0.2">
      <c r="DO49158" s="303" t="s">
        <v>232</v>
      </c>
    </row>
    <row r="49159" spans="119:119" x14ac:dyDescent="0.2">
      <c r="DO49159" s="303" t="s">
        <v>232</v>
      </c>
    </row>
    <row r="49160" spans="119:119" x14ac:dyDescent="0.2">
      <c r="DO49160" s="303" t="s">
        <v>232</v>
      </c>
    </row>
    <row r="49161" spans="119:119" x14ac:dyDescent="0.2">
      <c r="DO49161" s="303" t="s">
        <v>232</v>
      </c>
    </row>
    <row r="49162" spans="119:119" x14ac:dyDescent="0.2">
      <c r="DO49162" s="303" t="s">
        <v>232</v>
      </c>
    </row>
    <row r="49163" spans="119:119" x14ac:dyDescent="0.2">
      <c r="DO49163" s="303" t="s">
        <v>232</v>
      </c>
    </row>
    <row r="49164" spans="119:119" x14ac:dyDescent="0.2">
      <c r="DO49164" s="303" t="s">
        <v>232</v>
      </c>
    </row>
    <row r="49165" spans="119:119" x14ac:dyDescent="0.2">
      <c r="DO49165" s="303" t="s">
        <v>232</v>
      </c>
    </row>
    <row r="49166" spans="119:119" x14ac:dyDescent="0.2">
      <c r="DO49166" s="303" t="s">
        <v>232</v>
      </c>
    </row>
    <row r="49167" spans="119:119" x14ac:dyDescent="0.2">
      <c r="DO49167" s="303" t="s">
        <v>232</v>
      </c>
    </row>
    <row r="49168" spans="119:119" x14ac:dyDescent="0.2">
      <c r="DO49168" s="303" t="s">
        <v>232</v>
      </c>
    </row>
    <row r="49169" spans="119:119" x14ac:dyDescent="0.2">
      <c r="DO49169" s="303" t="s">
        <v>232</v>
      </c>
    </row>
    <row r="49170" spans="119:119" x14ac:dyDescent="0.2">
      <c r="DO49170" s="303" t="s">
        <v>232</v>
      </c>
    </row>
    <row r="49171" spans="119:119" x14ac:dyDescent="0.2">
      <c r="DO49171" s="303" t="s">
        <v>232</v>
      </c>
    </row>
    <row r="49172" spans="119:119" x14ac:dyDescent="0.2">
      <c r="DO49172" s="303" t="s">
        <v>232</v>
      </c>
    </row>
    <row r="49173" spans="119:119" x14ac:dyDescent="0.2">
      <c r="DO49173" s="303" t="s">
        <v>232</v>
      </c>
    </row>
    <row r="49174" spans="119:119" x14ac:dyDescent="0.2">
      <c r="DO49174" s="303" t="s">
        <v>232</v>
      </c>
    </row>
    <row r="49175" spans="119:119" x14ac:dyDescent="0.2">
      <c r="DO49175" s="303" t="s">
        <v>232</v>
      </c>
    </row>
    <row r="49176" spans="119:119" x14ac:dyDescent="0.2">
      <c r="DO49176" s="303" t="s">
        <v>232</v>
      </c>
    </row>
    <row r="49177" spans="119:119" x14ac:dyDescent="0.2">
      <c r="DO49177" s="303" t="s">
        <v>232</v>
      </c>
    </row>
    <row r="49178" spans="119:119" x14ac:dyDescent="0.2">
      <c r="DO49178" s="303" t="s">
        <v>232</v>
      </c>
    </row>
    <row r="49179" spans="119:119" x14ac:dyDescent="0.2">
      <c r="DO49179" s="303" t="s">
        <v>232</v>
      </c>
    </row>
    <row r="49180" spans="119:119" x14ac:dyDescent="0.2">
      <c r="DO49180" s="303" t="s">
        <v>232</v>
      </c>
    </row>
    <row r="49181" spans="119:119" x14ac:dyDescent="0.2">
      <c r="DO49181" s="303" t="s">
        <v>232</v>
      </c>
    </row>
    <row r="49182" spans="119:119" x14ac:dyDescent="0.2">
      <c r="DO49182" s="303" t="s">
        <v>232</v>
      </c>
    </row>
    <row r="49183" spans="119:119" x14ac:dyDescent="0.2">
      <c r="DO49183" s="303" t="s">
        <v>232</v>
      </c>
    </row>
    <row r="49184" spans="119:119" x14ac:dyDescent="0.2">
      <c r="DO49184" s="303" t="s">
        <v>232</v>
      </c>
    </row>
    <row r="49185" spans="119:119" x14ac:dyDescent="0.2">
      <c r="DO49185" s="303" t="s">
        <v>232</v>
      </c>
    </row>
    <row r="49186" spans="119:119" x14ac:dyDescent="0.2">
      <c r="DO49186" s="303" t="s">
        <v>232</v>
      </c>
    </row>
    <row r="49187" spans="119:119" x14ac:dyDescent="0.2">
      <c r="DO49187" s="303" t="s">
        <v>232</v>
      </c>
    </row>
    <row r="49188" spans="119:119" x14ac:dyDescent="0.2">
      <c r="DO49188" s="303" t="s">
        <v>232</v>
      </c>
    </row>
    <row r="49189" spans="119:119" x14ac:dyDescent="0.2">
      <c r="DO49189" s="303" t="s">
        <v>232</v>
      </c>
    </row>
    <row r="49190" spans="119:119" x14ac:dyDescent="0.2">
      <c r="DO49190" s="303" t="s">
        <v>232</v>
      </c>
    </row>
    <row r="49191" spans="119:119" x14ac:dyDescent="0.2">
      <c r="DO49191" s="303" t="s">
        <v>232</v>
      </c>
    </row>
    <row r="49192" spans="119:119" x14ac:dyDescent="0.2">
      <c r="DO49192" s="303" t="s">
        <v>232</v>
      </c>
    </row>
    <row r="49193" spans="119:119" x14ac:dyDescent="0.2">
      <c r="DO49193" s="303" t="s">
        <v>232</v>
      </c>
    </row>
    <row r="49194" spans="119:119" x14ac:dyDescent="0.2">
      <c r="DO49194" s="303" t="s">
        <v>232</v>
      </c>
    </row>
    <row r="49195" spans="119:119" x14ac:dyDescent="0.2">
      <c r="DO49195" s="303" t="s">
        <v>232</v>
      </c>
    </row>
    <row r="49196" spans="119:119" x14ac:dyDescent="0.2">
      <c r="DO49196" s="303" t="s">
        <v>232</v>
      </c>
    </row>
    <row r="49197" spans="119:119" x14ac:dyDescent="0.2">
      <c r="DO49197" s="303" t="s">
        <v>232</v>
      </c>
    </row>
    <row r="49198" spans="119:119" x14ac:dyDescent="0.2">
      <c r="DO49198" s="303" t="s">
        <v>232</v>
      </c>
    </row>
    <row r="49199" spans="119:119" x14ac:dyDescent="0.2">
      <c r="DO49199" s="303" t="s">
        <v>232</v>
      </c>
    </row>
    <row r="49200" spans="119:119" x14ac:dyDescent="0.2">
      <c r="DO49200" s="303" t="s">
        <v>232</v>
      </c>
    </row>
    <row r="49201" spans="119:119" x14ac:dyDescent="0.2">
      <c r="DO49201" s="303" t="s">
        <v>232</v>
      </c>
    </row>
    <row r="49202" spans="119:119" x14ac:dyDescent="0.2">
      <c r="DO49202" s="303" t="s">
        <v>232</v>
      </c>
    </row>
    <row r="49203" spans="119:119" x14ac:dyDescent="0.2">
      <c r="DO49203" s="303" t="s">
        <v>232</v>
      </c>
    </row>
    <row r="49204" spans="119:119" x14ac:dyDescent="0.2">
      <c r="DO49204" s="303" t="s">
        <v>232</v>
      </c>
    </row>
    <row r="49205" spans="119:119" x14ac:dyDescent="0.2">
      <c r="DO49205" s="303" t="s">
        <v>232</v>
      </c>
    </row>
    <row r="49206" spans="119:119" x14ac:dyDescent="0.2">
      <c r="DO49206" s="303" t="s">
        <v>232</v>
      </c>
    </row>
    <row r="49207" spans="119:119" x14ac:dyDescent="0.2">
      <c r="DO49207" s="303" t="s">
        <v>232</v>
      </c>
    </row>
    <row r="49208" spans="119:119" x14ac:dyDescent="0.2">
      <c r="DO49208" s="303" t="s">
        <v>232</v>
      </c>
    </row>
    <row r="49209" spans="119:119" x14ac:dyDescent="0.2">
      <c r="DO49209" s="303" t="s">
        <v>232</v>
      </c>
    </row>
    <row r="49210" spans="119:119" x14ac:dyDescent="0.2">
      <c r="DO49210" s="303" t="s">
        <v>232</v>
      </c>
    </row>
    <row r="49211" spans="119:119" x14ac:dyDescent="0.2">
      <c r="DO49211" s="303" t="s">
        <v>232</v>
      </c>
    </row>
    <row r="49212" spans="119:119" x14ac:dyDescent="0.2">
      <c r="DO49212" s="303" t="s">
        <v>232</v>
      </c>
    </row>
    <row r="49213" spans="119:119" x14ac:dyDescent="0.2">
      <c r="DO49213" s="303" t="s">
        <v>232</v>
      </c>
    </row>
    <row r="49214" spans="119:119" x14ac:dyDescent="0.2">
      <c r="DO49214" s="303" t="s">
        <v>232</v>
      </c>
    </row>
    <row r="49215" spans="119:119" x14ac:dyDescent="0.2">
      <c r="DO49215" s="303" t="s">
        <v>232</v>
      </c>
    </row>
    <row r="49216" spans="119:119" x14ac:dyDescent="0.2">
      <c r="DO49216" s="303" t="s">
        <v>232</v>
      </c>
    </row>
    <row r="49217" spans="119:119" x14ac:dyDescent="0.2">
      <c r="DO49217" s="303" t="s">
        <v>232</v>
      </c>
    </row>
    <row r="49218" spans="119:119" x14ac:dyDescent="0.2">
      <c r="DO49218" s="303" t="s">
        <v>232</v>
      </c>
    </row>
    <row r="49219" spans="119:119" x14ac:dyDescent="0.2">
      <c r="DO49219" s="303" t="s">
        <v>232</v>
      </c>
    </row>
    <row r="49220" spans="119:119" x14ac:dyDescent="0.2">
      <c r="DO49220" s="303" t="s">
        <v>232</v>
      </c>
    </row>
    <row r="49221" spans="119:119" x14ac:dyDescent="0.2">
      <c r="DO49221" s="303" t="s">
        <v>232</v>
      </c>
    </row>
    <row r="49222" spans="119:119" x14ac:dyDescent="0.2">
      <c r="DO49222" s="303" t="s">
        <v>232</v>
      </c>
    </row>
    <row r="49223" spans="119:119" x14ac:dyDescent="0.2">
      <c r="DO49223" s="303" t="s">
        <v>232</v>
      </c>
    </row>
    <row r="49224" spans="119:119" x14ac:dyDescent="0.2">
      <c r="DO49224" s="303" t="s">
        <v>232</v>
      </c>
    </row>
    <row r="49225" spans="119:119" x14ac:dyDescent="0.2">
      <c r="DO49225" s="303" t="s">
        <v>232</v>
      </c>
    </row>
    <row r="49226" spans="119:119" x14ac:dyDescent="0.2">
      <c r="DO49226" s="303" t="s">
        <v>232</v>
      </c>
    </row>
    <row r="49227" spans="119:119" x14ac:dyDescent="0.2">
      <c r="DO49227" s="303" t="s">
        <v>232</v>
      </c>
    </row>
    <row r="49228" spans="119:119" x14ac:dyDescent="0.2">
      <c r="DO49228" s="303" t="s">
        <v>232</v>
      </c>
    </row>
    <row r="49229" spans="119:119" x14ac:dyDescent="0.2">
      <c r="DO49229" s="303" t="s">
        <v>232</v>
      </c>
    </row>
    <row r="49230" spans="119:119" x14ac:dyDescent="0.2">
      <c r="DO49230" s="303" t="s">
        <v>232</v>
      </c>
    </row>
    <row r="49231" spans="119:119" x14ac:dyDescent="0.2">
      <c r="DO49231" s="303" t="s">
        <v>232</v>
      </c>
    </row>
    <row r="49232" spans="119:119" x14ac:dyDescent="0.2">
      <c r="DO49232" s="303" t="s">
        <v>232</v>
      </c>
    </row>
    <row r="49233" spans="119:119" x14ac:dyDescent="0.2">
      <c r="DO49233" s="303" t="s">
        <v>232</v>
      </c>
    </row>
    <row r="49234" spans="119:119" x14ac:dyDescent="0.2">
      <c r="DO49234" s="303" t="s">
        <v>232</v>
      </c>
    </row>
    <row r="49235" spans="119:119" x14ac:dyDescent="0.2">
      <c r="DO49235" s="303" t="s">
        <v>232</v>
      </c>
    </row>
    <row r="49236" spans="119:119" x14ac:dyDescent="0.2">
      <c r="DO49236" s="303" t="s">
        <v>232</v>
      </c>
    </row>
    <row r="49237" spans="119:119" x14ac:dyDescent="0.2">
      <c r="DO49237" s="303" t="s">
        <v>232</v>
      </c>
    </row>
    <row r="49238" spans="119:119" x14ac:dyDescent="0.2">
      <c r="DO49238" s="303" t="s">
        <v>232</v>
      </c>
    </row>
    <row r="49239" spans="119:119" x14ac:dyDescent="0.2">
      <c r="DO49239" s="303" t="s">
        <v>232</v>
      </c>
    </row>
    <row r="49240" spans="119:119" x14ac:dyDescent="0.2">
      <c r="DO49240" s="303" t="s">
        <v>232</v>
      </c>
    </row>
    <row r="49241" spans="119:119" x14ac:dyDescent="0.2">
      <c r="DO49241" s="303" t="s">
        <v>232</v>
      </c>
    </row>
    <row r="49242" spans="119:119" x14ac:dyDescent="0.2">
      <c r="DO49242" s="303" t="s">
        <v>232</v>
      </c>
    </row>
    <row r="49243" spans="119:119" x14ac:dyDescent="0.2">
      <c r="DO49243" s="303" t="s">
        <v>232</v>
      </c>
    </row>
    <row r="49244" spans="119:119" x14ac:dyDescent="0.2">
      <c r="DO49244" s="303" t="s">
        <v>232</v>
      </c>
    </row>
    <row r="49245" spans="119:119" x14ac:dyDescent="0.2">
      <c r="DO49245" s="303" t="s">
        <v>232</v>
      </c>
    </row>
    <row r="49246" spans="119:119" x14ac:dyDescent="0.2">
      <c r="DO49246" s="303" t="s">
        <v>232</v>
      </c>
    </row>
    <row r="49247" spans="119:119" x14ac:dyDescent="0.2">
      <c r="DO49247" s="303" t="s">
        <v>232</v>
      </c>
    </row>
    <row r="49248" spans="119:119" x14ac:dyDescent="0.2">
      <c r="DO49248" s="303" t="s">
        <v>232</v>
      </c>
    </row>
    <row r="49249" spans="119:119" x14ac:dyDescent="0.2">
      <c r="DO49249" s="303" t="s">
        <v>232</v>
      </c>
    </row>
    <row r="49250" spans="119:119" x14ac:dyDescent="0.2">
      <c r="DO49250" s="303" t="s">
        <v>232</v>
      </c>
    </row>
    <row r="49251" spans="119:119" x14ac:dyDescent="0.2">
      <c r="DO49251" s="303" t="s">
        <v>232</v>
      </c>
    </row>
    <row r="49252" spans="119:119" x14ac:dyDescent="0.2">
      <c r="DO49252" s="303" t="s">
        <v>232</v>
      </c>
    </row>
    <row r="49253" spans="119:119" x14ac:dyDescent="0.2">
      <c r="DO49253" s="303" t="s">
        <v>232</v>
      </c>
    </row>
    <row r="49254" spans="119:119" x14ac:dyDescent="0.2">
      <c r="DO49254" s="303" t="s">
        <v>232</v>
      </c>
    </row>
    <row r="49255" spans="119:119" x14ac:dyDescent="0.2">
      <c r="DO49255" s="303" t="s">
        <v>232</v>
      </c>
    </row>
    <row r="49256" spans="119:119" x14ac:dyDescent="0.2">
      <c r="DO49256" s="303" t="s">
        <v>232</v>
      </c>
    </row>
    <row r="49257" spans="119:119" x14ac:dyDescent="0.2">
      <c r="DO49257" s="303" t="s">
        <v>232</v>
      </c>
    </row>
    <row r="49258" spans="119:119" x14ac:dyDescent="0.2">
      <c r="DO49258" s="303" t="s">
        <v>232</v>
      </c>
    </row>
    <row r="49259" spans="119:119" x14ac:dyDescent="0.2">
      <c r="DO49259" s="303" t="s">
        <v>232</v>
      </c>
    </row>
    <row r="49260" spans="119:119" x14ac:dyDescent="0.2">
      <c r="DO49260" s="303" t="s">
        <v>232</v>
      </c>
    </row>
    <row r="49261" spans="119:119" x14ac:dyDescent="0.2">
      <c r="DO49261" s="303" t="s">
        <v>232</v>
      </c>
    </row>
    <row r="49262" spans="119:119" x14ac:dyDescent="0.2">
      <c r="DO49262" s="303" t="s">
        <v>232</v>
      </c>
    </row>
    <row r="49263" spans="119:119" x14ac:dyDescent="0.2">
      <c r="DO49263" s="303" t="s">
        <v>232</v>
      </c>
    </row>
    <row r="49264" spans="119:119" x14ac:dyDescent="0.2">
      <c r="DO49264" s="303" t="s">
        <v>232</v>
      </c>
    </row>
    <row r="49265" spans="119:119" x14ac:dyDescent="0.2">
      <c r="DO49265" s="303" t="s">
        <v>232</v>
      </c>
    </row>
    <row r="49266" spans="119:119" x14ac:dyDescent="0.2">
      <c r="DO49266" s="303" t="s">
        <v>232</v>
      </c>
    </row>
    <row r="49267" spans="119:119" x14ac:dyDescent="0.2">
      <c r="DO49267" s="303" t="s">
        <v>232</v>
      </c>
    </row>
    <row r="49268" spans="119:119" x14ac:dyDescent="0.2">
      <c r="DO49268" s="303" t="s">
        <v>232</v>
      </c>
    </row>
    <row r="49269" spans="119:119" x14ac:dyDescent="0.2">
      <c r="DO49269" s="303" t="s">
        <v>232</v>
      </c>
    </row>
    <row r="49270" spans="119:119" x14ac:dyDescent="0.2">
      <c r="DO49270" s="303" t="s">
        <v>232</v>
      </c>
    </row>
    <row r="49271" spans="119:119" x14ac:dyDescent="0.2">
      <c r="DO49271" s="303" t="s">
        <v>232</v>
      </c>
    </row>
    <row r="49272" spans="119:119" x14ac:dyDescent="0.2">
      <c r="DO49272" s="303" t="s">
        <v>232</v>
      </c>
    </row>
    <row r="49273" spans="119:119" x14ac:dyDescent="0.2">
      <c r="DO49273" s="303" t="s">
        <v>232</v>
      </c>
    </row>
    <row r="49274" spans="119:119" x14ac:dyDescent="0.2">
      <c r="DO49274" s="303" t="s">
        <v>232</v>
      </c>
    </row>
    <row r="49275" spans="119:119" x14ac:dyDescent="0.2">
      <c r="DO49275" s="303" t="s">
        <v>232</v>
      </c>
    </row>
    <row r="49276" spans="119:119" x14ac:dyDescent="0.2">
      <c r="DO49276" s="303" t="s">
        <v>232</v>
      </c>
    </row>
    <row r="49277" spans="119:119" x14ac:dyDescent="0.2">
      <c r="DO49277" s="303" t="s">
        <v>232</v>
      </c>
    </row>
    <row r="49278" spans="119:119" x14ac:dyDescent="0.2">
      <c r="DO49278" s="303" t="s">
        <v>232</v>
      </c>
    </row>
    <row r="49279" spans="119:119" x14ac:dyDescent="0.2">
      <c r="DO49279" s="303" t="s">
        <v>232</v>
      </c>
    </row>
    <row r="49280" spans="119:119" x14ac:dyDescent="0.2">
      <c r="DO49280" s="303" t="s">
        <v>232</v>
      </c>
    </row>
    <row r="49281" spans="119:119" x14ac:dyDescent="0.2">
      <c r="DO49281" s="303" t="s">
        <v>232</v>
      </c>
    </row>
    <row r="49282" spans="119:119" x14ac:dyDescent="0.2">
      <c r="DO49282" s="303" t="s">
        <v>232</v>
      </c>
    </row>
    <row r="49283" spans="119:119" x14ac:dyDescent="0.2">
      <c r="DO49283" s="303" t="s">
        <v>232</v>
      </c>
    </row>
    <row r="49284" spans="119:119" x14ac:dyDescent="0.2">
      <c r="DO49284" s="303" t="s">
        <v>232</v>
      </c>
    </row>
    <row r="49285" spans="119:119" x14ac:dyDescent="0.2">
      <c r="DO49285" s="303" t="s">
        <v>232</v>
      </c>
    </row>
    <row r="49286" spans="119:119" x14ac:dyDescent="0.2">
      <c r="DO49286" s="303" t="s">
        <v>232</v>
      </c>
    </row>
    <row r="49287" spans="119:119" x14ac:dyDescent="0.2">
      <c r="DO49287" s="303" t="s">
        <v>232</v>
      </c>
    </row>
    <row r="49288" spans="119:119" x14ac:dyDescent="0.2">
      <c r="DO49288" s="303" t="s">
        <v>232</v>
      </c>
    </row>
    <row r="49289" spans="119:119" x14ac:dyDescent="0.2">
      <c r="DO49289" s="303" t="s">
        <v>232</v>
      </c>
    </row>
    <row r="49290" spans="119:119" x14ac:dyDescent="0.2">
      <c r="DO49290" s="303" t="s">
        <v>232</v>
      </c>
    </row>
    <row r="49291" spans="119:119" x14ac:dyDescent="0.2">
      <c r="DO49291" s="303" t="s">
        <v>232</v>
      </c>
    </row>
    <row r="49292" spans="119:119" x14ac:dyDescent="0.2">
      <c r="DO49292" s="303" t="s">
        <v>232</v>
      </c>
    </row>
    <row r="49293" spans="119:119" x14ac:dyDescent="0.2">
      <c r="DO49293" s="303" t="s">
        <v>232</v>
      </c>
    </row>
    <row r="49294" spans="119:119" x14ac:dyDescent="0.2">
      <c r="DO49294" s="303" t="s">
        <v>232</v>
      </c>
    </row>
    <row r="49295" spans="119:119" x14ac:dyDescent="0.2">
      <c r="DO49295" s="303" t="s">
        <v>232</v>
      </c>
    </row>
    <row r="49296" spans="119:119" x14ac:dyDescent="0.2">
      <c r="DO49296" s="303" t="s">
        <v>232</v>
      </c>
    </row>
    <row r="49297" spans="119:119" x14ac:dyDescent="0.2">
      <c r="DO49297" s="303" t="s">
        <v>232</v>
      </c>
    </row>
    <row r="49298" spans="119:119" x14ac:dyDescent="0.2">
      <c r="DO49298" s="303" t="s">
        <v>232</v>
      </c>
    </row>
    <row r="49299" spans="119:119" x14ac:dyDescent="0.2">
      <c r="DO49299" s="303" t="s">
        <v>232</v>
      </c>
    </row>
    <row r="49300" spans="119:119" x14ac:dyDescent="0.2">
      <c r="DO49300" s="303" t="s">
        <v>232</v>
      </c>
    </row>
    <row r="49301" spans="119:119" x14ac:dyDescent="0.2">
      <c r="DO49301" s="303" t="s">
        <v>232</v>
      </c>
    </row>
    <row r="49302" spans="119:119" x14ac:dyDescent="0.2">
      <c r="DO49302" s="303" t="s">
        <v>232</v>
      </c>
    </row>
    <row r="49303" spans="119:119" x14ac:dyDescent="0.2">
      <c r="DO49303" s="303" t="s">
        <v>232</v>
      </c>
    </row>
    <row r="49304" spans="119:119" x14ac:dyDescent="0.2">
      <c r="DO49304" s="303" t="s">
        <v>232</v>
      </c>
    </row>
    <row r="49305" spans="119:119" x14ac:dyDescent="0.2">
      <c r="DO49305" s="303" t="s">
        <v>232</v>
      </c>
    </row>
    <row r="49306" spans="119:119" x14ac:dyDescent="0.2">
      <c r="DO49306" s="303" t="s">
        <v>232</v>
      </c>
    </row>
    <row r="49307" spans="119:119" x14ac:dyDescent="0.2">
      <c r="DO49307" s="303" t="s">
        <v>232</v>
      </c>
    </row>
    <row r="49308" spans="119:119" x14ac:dyDescent="0.2">
      <c r="DO49308" s="303" t="s">
        <v>232</v>
      </c>
    </row>
    <row r="49309" spans="119:119" x14ac:dyDescent="0.2">
      <c r="DO49309" s="303" t="s">
        <v>232</v>
      </c>
    </row>
    <row r="49310" spans="119:119" x14ac:dyDescent="0.2">
      <c r="DO49310" s="303" t="s">
        <v>232</v>
      </c>
    </row>
    <row r="49311" spans="119:119" x14ac:dyDescent="0.2">
      <c r="DO49311" s="303" t="s">
        <v>232</v>
      </c>
    </row>
    <row r="49312" spans="119:119" x14ac:dyDescent="0.2">
      <c r="DO49312" s="303" t="s">
        <v>232</v>
      </c>
    </row>
    <row r="49313" spans="119:119" x14ac:dyDescent="0.2">
      <c r="DO49313" s="303" t="s">
        <v>232</v>
      </c>
    </row>
    <row r="49314" spans="119:119" x14ac:dyDescent="0.2">
      <c r="DO49314" s="303" t="s">
        <v>232</v>
      </c>
    </row>
    <row r="49315" spans="119:119" x14ac:dyDescent="0.2">
      <c r="DO49315" s="303" t="s">
        <v>232</v>
      </c>
    </row>
    <row r="49316" spans="119:119" x14ac:dyDescent="0.2">
      <c r="DO49316" s="303" t="s">
        <v>232</v>
      </c>
    </row>
    <row r="49317" spans="119:119" x14ac:dyDescent="0.2">
      <c r="DO49317" s="303" t="s">
        <v>232</v>
      </c>
    </row>
    <row r="49318" spans="119:119" x14ac:dyDescent="0.2">
      <c r="DO49318" s="303" t="s">
        <v>232</v>
      </c>
    </row>
    <row r="49319" spans="119:119" x14ac:dyDescent="0.2">
      <c r="DO49319" s="303" t="s">
        <v>232</v>
      </c>
    </row>
    <row r="49320" spans="119:119" x14ac:dyDescent="0.2">
      <c r="DO49320" s="303" t="s">
        <v>232</v>
      </c>
    </row>
    <row r="49321" spans="119:119" x14ac:dyDescent="0.2">
      <c r="DO49321" s="303" t="s">
        <v>232</v>
      </c>
    </row>
    <row r="49322" spans="119:119" x14ac:dyDescent="0.2">
      <c r="DO49322" s="303" t="s">
        <v>232</v>
      </c>
    </row>
    <row r="49323" spans="119:119" x14ac:dyDescent="0.2">
      <c r="DO49323" s="303" t="s">
        <v>232</v>
      </c>
    </row>
    <row r="49324" spans="119:119" x14ac:dyDescent="0.2">
      <c r="DO49324" s="303" t="s">
        <v>232</v>
      </c>
    </row>
    <row r="49325" spans="119:119" x14ac:dyDescent="0.2">
      <c r="DO49325" s="303" t="s">
        <v>232</v>
      </c>
    </row>
    <row r="49326" spans="119:119" x14ac:dyDescent="0.2">
      <c r="DO49326" s="303" t="s">
        <v>232</v>
      </c>
    </row>
    <row r="49327" spans="119:119" x14ac:dyDescent="0.2">
      <c r="DO49327" s="303" t="s">
        <v>232</v>
      </c>
    </row>
    <row r="49328" spans="119:119" x14ac:dyDescent="0.2">
      <c r="DO49328" s="303" t="s">
        <v>232</v>
      </c>
    </row>
    <row r="49329" spans="119:119" x14ac:dyDescent="0.2">
      <c r="DO49329" s="303" t="s">
        <v>232</v>
      </c>
    </row>
    <row r="49330" spans="119:119" x14ac:dyDescent="0.2">
      <c r="DO49330" s="303" t="s">
        <v>232</v>
      </c>
    </row>
    <row r="49331" spans="119:119" x14ac:dyDescent="0.2">
      <c r="DO49331" s="303" t="s">
        <v>232</v>
      </c>
    </row>
    <row r="49332" spans="119:119" x14ac:dyDescent="0.2">
      <c r="DO49332" s="303" t="s">
        <v>232</v>
      </c>
    </row>
    <row r="49333" spans="119:119" x14ac:dyDescent="0.2">
      <c r="DO49333" s="303" t="s">
        <v>232</v>
      </c>
    </row>
    <row r="49334" spans="119:119" x14ac:dyDescent="0.2">
      <c r="DO49334" s="303" t="s">
        <v>232</v>
      </c>
    </row>
    <row r="49335" spans="119:119" x14ac:dyDescent="0.2">
      <c r="DO49335" s="303" t="s">
        <v>232</v>
      </c>
    </row>
    <row r="49336" spans="119:119" x14ac:dyDescent="0.2">
      <c r="DO49336" s="303" t="s">
        <v>232</v>
      </c>
    </row>
    <row r="49337" spans="119:119" x14ac:dyDescent="0.2">
      <c r="DO49337" s="303" t="s">
        <v>232</v>
      </c>
    </row>
    <row r="49338" spans="119:119" x14ac:dyDescent="0.2">
      <c r="DO49338" s="303" t="s">
        <v>232</v>
      </c>
    </row>
    <row r="49339" spans="119:119" x14ac:dyDescent="0.2">
      <c r="DO49339" s="303" t="s">
        <v>232</v>
      </c>
    </row>
    <row r="49340" spans="119:119" x14ac:dyDescent="0.2">
      <c r="DO49340" s="303" t="s">
        <v>232</v>
      </c>
    </row>
    <row r="49341" spans="119:119" x14ac:dyDescent="0.2">
      <c r="DO49341" s="303" t="s">
        <v>232</v>
      </c>
    </row>
    <row r="49342" spans="119:119" x14ac:dyDescent="0.2">
      <c r="DO49342" s="303" t="s">
        <v>232</v>
      </c>
    </row>
    <row r="49343" spans="119:119" x14ac:dyDescent="0.2">
      <c r="DO49343" s="303" t="s">
        <v>232</v>
      </c>
    </row>
    <row r="49344" spans="119:119" x14ac:dyDescent="0.2">
      <c r="DO49344" s="303" t="s">
        <v>232</v>
      </c>
    </row>
    <row r="49345" spans="119:119" x14ac:dyDescent="0.2">
      <c r="DO49345" s="303" t="s">
        <v>232</v>
      </c>
    </row>
    <row r="49346" spans="119:119" x14ac:dyDescent="0.2">
      <c r="DO49346" s="303" t="s">
        <v>232</v>
      </c>
    </row>
    <row r="49347" spans="119:119" x14ac:dyDescent="0.2">
      <c r="DO49347" s="303" t="s">
        <v>232</v>
      </c>
    </row>
    <row r="49348" spans="119:119" x14ac:dyDescent="0.2">
      <c r="DO49348" s="303" t="s">
        <v>232</v>
      </c>
    </row>
    <row r="49349" spans="119:119" x14ac:dyDescent="0.2">
      <c r="DO49349" s="303" t="s">
        <v>232</v>
      </c>
    </row>
    <row r="49350" spans="119:119" x14ac:dyDescent="0.2">
      <c r="DO49350" s="303" t="s">
        <v>232</v>
      </c>
    </row>
    <row r="49351" spans="119:119" x14ac:dyDescent="0.2">
      <c r="DO49351" s="303" t="s">
        <v>232</v>
      </c>
    </row>
    <row r="49352" spans="119:119" x14ac:dyDescent="0.2">
      <c r="DO49352" s="303" t="s">
        <v>232</v>
      </c>
    </row>
    <row r="49353" spans="119:119" x14ac:dyDescent="0.2">
      <c r="DO49353" s="303" t="s">
        <v>232</v>
      </c>
    </row>
    <row r="49354" spans="119:119" x14ac:dyDescent="0.2">
      <c r="DO49354" s="303" t="s">
        <v>232</v>
      </c>
    </row>
    <row r="49355" spans="119:119" x14ac:dyDescent="0.2">
      <c r="DO49355" s="303" t="s">
        <v>232</v>
      </c>
    </row>
    <row r="49356" spans="119:119" x14ac:dyDescent="0.2">
      <c r="DO49356" s="303" t="s">
        <v>232</v>
      </c>
    </row>
    <row r="49357" spans="119:119" x14ac:dyDescent="0.2">
      <c r="DO49357" s="303" t="s">
        <v>232</v>
      </c>
    </row>
    <row r="49358" spans="119:119" x14ac:dyDescent="0.2">
      <c r="DO49358" s="303" t="s">
        <v>232</v>
      </c>
    </row>
    <row r="49359" spans="119:119" x14ac:dyDescent="0.2">
      <c r="DO49359" s="303" t="s">
        <v>232</v>
      </c>
    </row>
    <row r="49360" spans="119:119" x14ac:dyDescent="0.2">
      <c r="DO49360" s="303" t="s">
        <v>232</v>
      </c>
    </row>
    <row r="49361" spans="119:119" x14ac:dyDescent="0.2">
      <c r="DO49361" s="303" t="s">
        <v>232</v>
      </c>
    </row>
    <row r="49362" spans="119:119" x14ac:dyDescent="0.2">
      <c r="DO49362" s="303" t="s">
        <v>232</v>
      </c>
    </row>
    <row r="49363" spans="119:119" x14ac:dyDescent="0.2">
      <c r="DO49363" s="303" t="s">
        <v>232</v>
      </c>
    </row>
    <row r="49364" spans="119:119" x14ac:dyDescent="0.2">
      <c r="DO49364" s="303" t="s">
        <v>232</v>
      </c>
    </row>
    <row r="49365" spans="119:119" x14ac:dyDescent="0.2">
      <c r="DO49365" s="303" t="s">
        <v>232</v>
      </c>
    </row>
    <row r="49366" spans="119:119" x14ac:dyDescent="0.2">
      <c r="DO49366" s="303" t="s">
        <v>232</v>
      </c>
    </row>
    <row r="49367" spans="119:119" x14ac:dyDescent="0.2">
      <c r="DO49367" s="303" t="s">
        <v>232</v>
      </c>
    </row>
    <row r="49368" spans="119:119" x14ac:dyDescent="0.2">
      <c r="DO49368" s="303" t="s">
        <v>232</v>
      </c>
    </row>
    <row r="49369" spans="119:119" x14ac:dyDescent="0.2">
      <c r="DO49369" s="303" t="s">
        <v>232</v>
      </c>
    </row>
    <row r="49370" spans="119:119" x14ac:dyDescent="0.2">
      <c r="DO49370" s="303" t="s">
        <v>232</v>
      </c>
    </row>
    <row r="49371" spans="119:119" x14ac:dyDescent="0.2">
      <c r="DO49371" s="303" t="s">
        <v>232</v>
      </c>
    </row>
    <row r="49372" spans="119:119" x14ac:dyDescent="0.2">
      <c r="DO49372" s="303" t="s">
        <v>232</v>
      </c>
    </row>
    <row r="49373" spans="119:119" x14ac:dyDescent="0.2">
      <c r="DO49373" s="303" t="s">
        <v>232</v>
      </c>
    </row>
    <row r="49374" spans="119:119" x14ac:dyDescent="0.2">
      <c r="DO49374" s="303" t="s">
        <v>232</v>
      </c>
    </row>
    <row r="49375" spans="119:119" x14ac:dyDescent="0.2">
      <c r="DO49375" s="303" t="s">
        <v>232</v>
      </c>
    </row>
    <row r="49376" spans="119:119" x14ac:dyDescent="0.2">
      <c r="DO49376" s="303" t="s">
        <v>232</v>
      </c>
    </row>
    <row r="49377" spans="119:119" x14ac:dyDescent="0.2">
      <c r="DO49377" s="303" t="s">
        <v>232</v>
      </c>
    </row>
    <row r="49378" spans="119:119" x14ac:dyDescent="0.2">
      <c r="DO49378" s="303" t="s">
        <v>232</v>
      </c>
    </row>
    <row r="49379" spans="119:119" x14ac:dyDescent="0.2">
      <c r="DO49379" s="303" t="s">
        <v>232</v>
      </c>
    </row>
    <row r="49380" spans="119:119" x14ac:dyDescent="0.2">
      <c r="DO49380" s="303" t="s">
        <v>232</v>
      </c>
    </row>
    <row r="49381" spans="119:119" x14ac:dyDescent="0.2">
      <c r="DO49381" s="303" t="s">
        <v>232</v>
      </c>
    </row>
    <row r="49382" spans="119:119" x14ac:dyDescent="0.2">
      <c r="DO49382" s="303" t="s">
        <v>232</v>
      </c>
    </row>
    <row r="49383" spans="119:119" x14ac:dyDescent="0.2">
      <c r="DO49383" s="303" t="s">
        <v>232</v>
      </c>
    </row>
    <row r="49384" spans="119:119" x14ac:dyDescent="0.2">
      <c r="DO49384" s="303" t="s">
        <v>232</v>
      </c>
    </row>
    <row r="49385" spans="119:119" x14ac:dyDescent="0.2">
      <c r="DO49385" s="303" t="s">
        <v>232</v>
      </c>
    </row>
    <row r="49386" spans="119:119" x14ac:dyDescent="0.2">
      <c r="DO49386" s="303" t="s">
        <v>232</v>
      </c>
    </row>
    <row r="49387" spans="119:119" x14ac:dyDescent="0.2">
      <c r="DO49387" s="303" t="s">
        <v>232</v>
      </c>
    </row>
    <row r="49388" spans="119:119" x14ac:dyDescent="0.2">
      <c r="DO49388" s="303" t="s">
        <v>232</v>
      </c>
    </row>
    <row r="49389" spans="119:119" x14ac:dyDescent="0.2">
      <c r="DO49389" s="303" t="s">
        <v>232</v>
      </c>
    </row>
    <row r="49390" spans="119:119" x14ac:dyDescent="0.2">
      <c r="DO49390" s="303" t="s">
        <v>232</v>
      </c>
    </row>
    <row r="49391" spans="119:119" x14ac:dyDescent="0.2">
      <c r="DO49391" s="303" t="s">
        <v>232</v>
      </c>
    </row>
    <row r="49392" spans="119:119" x14ac:dyDescent="0.2">
      <c r="DO49392" s="303" t="s">
        <v>232</v>
      </c>
    </row>
    <row r="49393" spans="119:119" x14ac:dyDescent="0.2">
      <c r="DO49393" s="303" t="s">
        <v>232</v>
      </c>
    </row>
    <row r="49394" spans="119:119" x14ac:dyDescent="0.2">
      <c r="DO49394" s="303" t="s">
        <v>232</v>
      </c>
    </row>
    <row r="49395" spans="119:119" x14ac:dyDescent="0.2">
      <c r="DO49395" s="303" t="s">
        <v>232</v>
      </c>
    </row>
    <row r="49396" spans="119:119" x14ac:dyDescent="0.2">
      <c r="DO49396" s="303" t="s">
        <v>232</v>
      </c>
    </row>
    <row r="49397" spans="119:119" x14ac:dyDescent="0.2">
      <c r="DO49397" s="303" t="s">
        <v>232</v>
      </c>
    </row>
    <row r="49398" spans="119:119" x14ac:dyDescent="0.2">
      <c r="DO49398" s="303" t="s">
        <v>232</v>
      </c>
    </row>
    <row r="49399" spans="119:119" x14ac:dyDescent="0.2">
      <c r="DO49399" s="303" t="s">
        <v>232</v>
      </c>
    </row>
    <row r="49400" spans="119:119" x14ac:dyDescent="0.2">
      <c r="DO49400" s="303" t="s">
        <v>232</v>
      </c>
    </row>
    <row r="49401" spans="119:119" x14ac:dyDescent="0.2">
      <c r="DO49401" s="303" t="s">
        <v>232</v>
      </c>
    </row>
    <row r="49402" spans="119:119" x14ac:dyDescent="0.2">
      <c r="DO49402" s="303" t="s">
        <v>232</v>
      </c>
    </row>
    <row r="49403" spans="119:119" x14ac:dyDescent="0.2">
      <c r="DO49403" s="303" t="s">
        <v>232</v>
      </c>
    </row>
    <row r="49404" spans="119:119" x14ac:dyDescent="0.2">
      <c r="DO49404" s="303" t="s">
        <v>232</v>
      </c>
    </row>
    <row r="49405" spans="119:119" x14ac:dyDescent="0.2">
      <c r="DO49405" s="303" t="s">
        <v>232</v>
      </c>
    </row>
    <row r="49406" spans="119:119" x14ac:dyDescent="0.2">
      <c r="DO49406" s="303" t="s">
        <v>232</v>
      </c>
    </row>
    <row r="49407" spans="119:119" x14ac:dyDescent="0.2">
      <c r="DO49407" s="303" t="s">
        <v>232</v>
      </c>
    </row>
    <row r="49408" spans="119:119" x14ac:dyDescent="0.2">
      <c r="DO49408" s="303" t="s">
        <v>232</v>
      </c>
    </row>
    <row r="49409" spans="119:119" x14ac:dyDescent="0.2">
      <c r="DO49409" s="303" t="s">
        <v>232</v>
      </c>
    </row>
    <row r="49410" spans="119:119" x14ac:dyDescent="0.2">
      <c r="DO49410" s="303" t="s">
        <v>232</v>
      </c>
    </row>
    <row r="49411" spans="119:119" x14ac:dyDescent="0.2">
      <c r="DO49411" s="303" t="s">
        <v>232</v>
      </c>
    </row>
    <row r="49412" spans="119:119" x14ac:dyDescent="0.2">
      <c r="DO49412" s="303" t="s">
        <v>232</v>
      </c>
    </row>
    <row r="49413" spans="119:119" x14ac:dyDescent="0.2">
      <c r="DO49413" s="303" t="s">
        <v>232</v>
      </c>
    </row>
    <row r="49414" spans="119:119" x14ac:dyDescent="0.2">
      <c r="DO49414" s="303" t="s">
        <v>232</v>
      </c>
    </row>
    <row r="49415" spans="119:119" x14ac:dyDescent="0.2">
      <c r="DO49415" s="303" t="s">
        <v>232</v>
      </c>
    </row>
    <row r="49416" spans="119:119" x14ac:dyDescent="0.2">
      <c r="DO49416" s="303" t="s">
        <v>232</v>
      </c>
    </row>
    <row r="49417" spans="119:119" x14ac:dyDescent="0.2">
      <c r="DO49417" s="303" t="s">
        <v>232</v>
      </c>
    </row>
    <row r="49418" spans="119:119" x14ac:dyDescent="0.2">
      <c r="DO49418" s="303" t="s">
        <v>232</v>
      </c>
    </row>
    <row r="49419" spans="119:119" x14ac:dyDescent="0.2">
      <c r="DO49419" s="303" t="s">
        <v>232</v>
      </c>
    </row>
    <row r="49420" spans="119:119" x14ac:dyDescent="0.2">
      <c r="DO49420" s="303" t="s">
        <v>232</v>
      </c>
    </row>
    <row r="49421" spans="119:119" x14ac:dyDescent="0.2">
      <c r="DO49421" s="303" t="s">
        <v>232</v>
      </c>
    </row>
    <row r="49422" spans="119:119" x14ac:dyDescent="0.2">
      <c r="DO49422" s="303" t="s">
        <v>232</v>
      </c>
    </row>
    <row r="49423" spans="119:119" x14ac:dyDescent="0.2">
      <c r="DO49423" s="303" t="s">
        <v>232</v>
      </c>
    </row>
    <row r="49424" spans="119:119" x14ac:dyDescent="0.2">
      <c r="DO49424" s="303" t="s">
        <v>232</v>
      </c>
    </row>
    <row r="49425" spans="119:119" x14ac:dyDescent="0.2">
      <c r="DO49425" s="303" t="s">
        <v>232</v>
      </c>
    </row>
    <row r="49426" spans="119:119" x14ac:dyDescent="0.2">
      <c r="DO49426" s="303" t="s">
        <v>232</v>
      </c>
    </row>
    <row r="49427" spans="119:119" x14ac:dyDescent="0.2">
      <c r="DO49427" s="303" t="s">
        <v>232</v>
      </c>
    </row>
    <row r="49428" spans="119:119" x14ac:dyDescent="0.2">
      <c r="DO49428" s="303" t="s">
        <v>232</v>
      </c>
    </row>
    <row r="49429" spans="119:119" x14ac:dyDescent="0.2">
      <c r="DO49429" s="303" t="s">
        <v>232</v>
      </c>
    </row>
    <row r="49430" spans="119:119" x14ac:dyDescent="0.2">
      <c r="DO49430" s="303" t="s">
        <v>232</v>
      </c>
    </row>
    <row r="49431" spans="119:119" x14ac:dyDescent="0.2">
      <c r="DO49431" s="303" t="s">
        <v>232</v>
      </c>
    </row>
    <row r="49432" spans="119:119" x14ac:dyDescent="0.2">
      <c r="DO49432" s="303" t="s">
        <v>232</v>
      </c>
    </row>
    <row r="49433" spans="119:119" x14ac:dyDescent="0.2">
      <c r="DO49433" s="303" t="s">
        <v>232</v>
      </c>
    </row>
    <row r="49434" spans="119:119" x14ac:dyDescent="0.2">
      <c r="DO49434" s="303" t="s">
        <v>232</v>
      </c>
    </row>
    <row r="49435" spans="119:119" x14ac:dyDescent="0.2">
      <c r="DO49435" s="303" t="s">
        <v>232</v>
      </c>
    </row>
    <row r="49436" spans="119:119" x14ac:dyDescent="0.2">
      <c r="DO49436" s="303" t="s">
        <v>232</v>
      </c>
    </row>
    <row r="49437" spans="119:119" x14ac:dyDescent="0.2">
      <c r="DO49437" s="303" t="s">
        <v>232</v>
      </c>
    </row>
    <row r="49438" spans="119:119" x14ac:dyDescent="0.2">
      <c r="DO49438" s="303" t="s">
        <v>232</v>
      </c>
    </row>
    <row r="49439" spans="119:119" x14ac:dyDescent="0.2">
      <c r="DO49439" s="303" t="s">
        <v>232</v>
      </c>
    </row>
    <row r="49440" spans="119:119" x14ac:dyDescent="0.2">
      <c r="DO49440" s="303" t="s">
        <v>232</v>
      </c>
    </row>
    <row r="49441" spans="119:119" x14ac:dyDescent="0.2">
      <c r="DO49441" s="303" t="s">
        <v>232</v>
      </c>
    </row>
    <row r="49442" spans="119:119" x14ac:dyDescent="0.2">
      <c r="DO49442" s="303" t="s">
        <v>232</v>
      </c>
    </row>
    <row r="49443" spans="119:119" x14ac:dyDescent="0.2">
      <c r="DO49443" s="303" t="s">
        <v>232</v>
      </c>
    </row>
    <row r="49444" spans="119:119" x14ac:dyDescent="0.2">
      <c r="DO49444" s="303" t="s">
        <v>232</v>
      </c>
    </row>
    <row r="49445" spans="119:119" x14ac:dyDescent="0.2">
      <c r="DO49445" s="303" t="s">
        <v>232</v>
      </c>
    </row>
    <row r="49446" spans="119:119" x14ac:dyDescent="0.2">
      <c r="DO49446" s="303" t="s">
        <v>232</v>
      </c>
    </row>
    <row r="49447" spans="119:119" x14ac:dyDescent="0.2">
      <c r="DO49447" s="303" t="s">
        <v>232</v>
      </c>
    </row>
    <row r="49448" spans="119:119" x14ac:dyDescent="0.2">
      <c r="DO49448" s="303" t="s">
        <v>232</v>
      </c>
    </row>
    <row r="49449" spans="119:119" x14ac:dyDescent="0.2">
      <c r="DO49449" s="303" t="s">
        <v>232</v>
      </c>
    </row>
    <row r="49450" spans="119:119" x14ac:dyDescent="0.2">
      <c r="DO49450" s="303" t="s">
        <v>232</v>
      </c>
    </row>
    <row r="49451" spans="119:119" x14ac:dyDescent="0.2">
      <c r="DO49451" s="303" t="s">
        <v>232</v>
      </c>
    </row>
    <row r="49452" spans="119:119" x14ac:dyDescent="0.2">
      <c r="DO49452" s="303" t="s">
        <v>232</v>
      </c>
    </row>
    <row r="49453" spans="119:119" x14ac:dyDescent="0.2">
      <c r="DO49453" s="303" t="s">
        <v>232</v>
      </c>
    </row>
    <row r="49454" spans="119:119" x14ac:dyDescent="0.2">
      <c r="DO49454" s="303" t="s">
        <v>232</v>
      </c>
    </row>
    <row r="49455" spans="119:119" x14ac:dyDescent="0.2">
      <c r="DO49455" s="303" t="s">
        <v>232</v>
      </c>
    </row>
    <row r="49456" spans="119:119" x14ac:dyDescent="0.2">
      <c r="DO49456" s="303" t="s">
        <v>232</v>
      </c>
    </row>
    <row r="49457" spans="119:119" x14ac:dyDescent="0.2">
      <c r="DO49457" s="303" t="s">
        <v>232</v>
      </c>
    </row>
    <row r="49458" spans="119:119" x14ac:dyDescent="0.2">
      <c r="DO49458" s="303" t="s">
        <v>232</v>
      </c>
    </row>
    <row r="49459" spans="119:119" x14ac:dyDescent="0.2">
      <c r="DO49459" s="303" t="s">
        <v>232</v>
      </c>
    </row>
    <row r="49460" spans="119:119" x14ac:dyDescent="0.2">
      <c r="DO49460" s="303" t="s">
        <v>232</v>
      </c>
    </row>
    <row r="49461" spans="119:119" x14ac:dyDescent="0.2">
      <c r="DO49461" s="303" t="s">
        <v>232</v>
      </c>
    </row>
    <row r="49462" spans="119:119" x14ac:dyDescent="0.2">
      <c r="DO49462" s="303" t="s">
        <v>232</v>
      </c>
    </row>
    <row r="49463" spans="119:119" x14ac:dyDescent="0.2">
      <c r="DO49463" s="303" t="s">
        <v>232</v>
      </c>
    </row>
    <row r="49464" spans="119:119" x14ac:dyDescent="0.2">
      <c r="DO49464" s="303" t="s">
        <v>232</v>
      </c>
    </row>
    <row r="49465" spans="119:119" x14ac:dyDescent="0.2">
      <c r="DO49465" s="303" t="s">
        <v>232</v>
      </c>
    </row>
    <row r="49466" spans="119:119" x14ac:dyDescent="0.2">
      <c r="DO49466" s="303" t="s">
        <v>232</v>
      </c>
    </row>
    <row r="49467" spans="119:119" x14ac:dyDescent="0.2">
      <c r="DO49467" s="303" t="s">
        <v>232</v>
      </c>
    </row>
    <row r="49468" spans="119:119" x14ac:dyDescent="0.2">
      <c r="DO49468" s="303" t="s">
        <v>232</v>
      </c>
    </row>
    <row r="49469" spans="119:119" x14ac:dyDescent="0.2">
      <c r="DO49469" s="303" t="s">
        <v>232</v>
      </c>
    </row>
    <row r="49470" spans="119:119" x14ac:dyDescent="0.2">
      <c r="DO49470" s="303" t="s">
        <v>232</v>
      </c>
    </row>
    <row r="49471" spans="119:119" x14ac:dyDescent="0.2">
      <c r="DO49471" s="303" t="s">
        <v>232</v>
      </c>
    </row>
    <row r="49472" spans="119:119" x14ac:dyDescent="0.2">
      <c r="DO49472" s="303" t="s">
        <v>232</v>
      </c>
    </row>
    <row r="49473" spans="119:119" x14ac:dyDescent="0.2">
      <c r="DO49473" s="303" t="s">
        <v>232</v>
      </c>
    </row>
    <row r="49474" spans="119:119" x14ac:dyDescent="0.2">
      <c r="DO49474" s="303" t="s">
        <v>232</v>
      </c>
    </row>
    <row r="49475" spans="119:119" x14ac:dyDescent="0.2">
      <c r="DO49475" s="303" t="s">
        <v>232</v>
      </c>
    </row>
    <row r="49476" spans="119:119" x14ac:dyDescent="0.2">
      <c r="DO49476" s="303" t="s">
        <v>232</v>
      </c>
    </row>
    <row r="49477" spans="119:119" x14ac:dyDescent="0.2">
      <c r="DO49477" s="303" t="s">
        <v>232</v>
      </c>
    </row>
    <row r="49478" spans="119:119" x14ac:dyDescent="0.2">
      <c r="DO49478" s="303" t="s">
        <v>232</v>
      </c>
    </row>
    <row r="49479" spans="119:119" x14ac:dyDescent="0.2">
      <c r="DO49479" s="303" t="s">
        <v>232</v>
      </c>
    </row>
    <row r="49480" spans="119:119" x14ac:dyDescent="0.2">
      <c r="DO49480" s="303" t="s">
        <v>232</v>
      </c>
    </row>
    <row r="49481" spans="119:119" x14ac:dyDescent="0.2">
      <c r="DO49481" s="303" t="s">
        <v>232</v>
      </c>
    </row>
    <row r="49482" spans="119:119" x14ac:dyDescent="0.2">
      <c r="DO49482" s="303" t="s">
        <v>232</v>
      </c>
    </row>
    <row r="49483" spans="119:119" x14ac:dyDescent="0.2">
      <c r="DO49483" s="303" t="s">
        <v>232</v>
      </c>
    </row>
    <row r="49484" spans="119:119" x14ac:dyDescent="0.2">
      <c r="DO49484" s="303" t="s">
        <v>232</v>
      </c>
    </row>
    <row r="49485" spans="119:119" x14ac:dyDescent="0.2">
      <c r="DO49485" s="303" t="s">
        <v>232</v>
      </c>
    </row>
    <row r="49486" spans="119:119" x14ac:dyDescent="0.2">
      <c r="DO49486" s="303" t="s">
        <v>232</v>
      </c>
    </row>
    <row r="49487" spans="119:119" x14ac:dyDescent="0.2">
      <c r="DO49487" s="303" t="s">
        <v>232</v>
      </c>
    </row>
    <row r="49488" spans="119:119" x14ac:dyDescent="0.2">
      <c r="DO49488" s="303" t="s">
        <v>232</v>
      </c>
    </row>
    <row r="49489" spans="119:119" x14ac:dyDescent="0.2">
      <c r="DO49489" s="303" t="s">
        <v>232</v>
      </c>
    </row>
    <row r="49490" spans="119:119" x14ac:dyDescent="0.2">
      <c r="DO49490" s="303" t="s">
        <v>232</v>
      </c>
    </row>
    <row r="49491" spans="119:119" x14ac:dyDescent="0.2">
      <c r="DO49491" s="303" t="s">
        <v>232</v>
      </c>
    </row>
    <row r="49492" spans="119:119" x14ac:dyDescent="0.2">
      <c r="DO49492" s="303" t="s">
        <v>232</v>
      </c>
    </row>
    <row r="49493" spans="119:119" x14ac:dyDescent="0.2">
      <c r="DO49493" s="303" t="s">
        <v>232</v>
      </c>
    </row>
    <row r="49494" spans="119:119" x14ac:dyDescent="0.2">
      <c r="DO49494" s="303" t="s">
        <v>232</v>
      </c>
    </row>
    <row r="49495" spans="119:119" x14ac:dyDescent="0.2">
      <c r="DO49495" s="303" t="s">
        <v>232</v>
      </c>
    </row>
    <row r="49496" spans="119:119" x14ac:dyDescent="0.2">
      <c r="DO49496" s="303" t="s">
        <v>232</v>
      </c>
    </row>
    <row r="49497" spans="119:119" x14ac:dyDescent="0.2">
      <c r="DO49497" s="303" t="s">
        <v>232</v>
      </c>
    </row>
    <row r="49498" spans="119:119" x14ac:dyDescent="0.2">
      <c r="DO49498" s="303" t="s">
        <v>232</v>
      </c>
    </row>
    <row r="49499" spans="119:119" x14ac:dyDescent="0.2">
      <c r="DO49499" s="303" t="s">
        <v>232</v>
      </c>
    </row>
    <row r="49500" spans="119:119" x14ac:dyDescent="0.2">
      <c r="DO49500" s="303" t="s">
        <v>232</v>
      </c>
    </row>
    <row r="49501" spans="119:119" x14ac:dyDescent="0.2">
      <c r="DO49501" s="303" t="s">
        <v>232</v>
      </c>
    </row>
    <row r="49502" spans="119:119" x14ac:dyDescent="0.2">
      <c r="DO49502" s="303" t="s">
        <v>232</v>
      </c>
    </row>
    <row r="49503" spans="119:119" x14ac:dyDescent="0.2">
      <c r="DO49503" s="303" t="s">
        <v>232</v>
      </c>
    </row>
    <row r="49504" spans="119:119" x14ac:dyDescent="0.2">
      <c r="DO49504" s="303" t="s">
        <v>232</v>
      </c>
    </row>
    <row r="49505" spans="119:119" x14ac:dyDescent="0.2">
      <c r="DO49505" s="303" t="s">
        <v>232</v>
      </c>
    </row>
    <row r="49506" spans="119:119" x14ac:dyDescent="0.2">
      <c r="DO49506" s="303" t="s">
        <v>232</v>
      </c>
    </row>
    <row r="49507" spans="119:119" x14ac:dyDescent="0.2">
      <c r="DO49507" s="303" t="s">
        <v>232</v>
      </c>
    </row>
    <row r="49508" spans="119:119" x14ac:dyDescent="0.2">
      <c r="DO49508" s="303" t="s">
        <v>232</v>
      </c>
    </row>
    <row r="49509" spans="119:119" x14ac:dyDescent="0.2">
      <c r="DO49509" s="303" t="s">
        <v>232</v>
      </c>
    </row>
    <row r="49510" spans="119:119" x14ac:dyDescent="0.2">
      <c r="DO49510" s="303" t="s">
        <v>232</v>
      </c>
    </row>
    <row r="49511" spans="119:119" x14ac:dyDescent="0.2">
      <c r="DO49511" s="303" t="s">
        <v>232</v>
      </c>
    </row>
    <row r="49512" spans="119:119" x14ac:dyDescent="0.2">
      <c r="DO49512" s="303" t="s">
        <v>232</v>
      </c>
    </row>
    <row r="49513" spans="119:119" x14ac:dyDescent="0.2">
      <c r="DO49513" s="303" t="s">
        <v>232</v>
      </c>
    </row>
    <row r="49514" spans="119:119" x14ac:dyDescent="0.2">
      <c r="DO49514" s="303" t="s">
        <v>232</v>
      </c>
    </row>
    <row r="49515" spans="119:119" x14ac:dyDescent="0.2">
      <c r="DO49515" s="303" t="s">
        <v>232</v>
      </c>
    </row>
    <row r="49516" spans="119:119" x14ac:dyDescent="0.2">
      <c r="DO49516" s="303" t="s">
        <v>232</v>
      </c>
    </row>
    <row r="49517" spans="119:119" x14ac:dyDescent="0.2">
      <c r="DO49517" s="303" t="s">
        <v>232</v>
      </c>
    </row>
    <row r="49518" spans="119:119" x14ac:dyDescent="0.2">
      <c r="DO49518" s="303" t="s">
        <v>232</v>
      </c>
    </row>
    <row r="49519" spans="119:119" x14ac:dyDescent="0.2">
      <c r="DO49519" s="303" t="s">
        <v>232</v>
      </c>
    </row>
    <row r="49520" spans="119:119" x14ac:dyDescent="0.2">
      <c r="DO49520" s="303" t="s">
        <v>232</v>
      </c>
    </row>
    <row r="49521" spans="119:119" x14ac:dyDescent="0.2">
      <c r="DO49521" s="303" t="s">
        <v>232</v>
      </c>
    </row>
    <row r="49522" spans="119:119" x14ac:dyDescent="0.2">
      <c r="DO49522" s="303" t="s">
        <v>232</v>
      </c>
    </row>
    <row r="49523" spans="119:119" x14ac:dyDescent="0.2">
      <c r="DO49523" s="303" t="s">
        <v>232</v>
      </c>
    </row>
    <row r="49524" spans="119:119" x14ac:dyDescent="0.2">
      <c r="DO49524" s="303" t="s">
        <v>232</v>
      </c>
    </row>
    <row r="49525" spans="119:119" x14ac:dyDescent="0.2">
      <c r="DO49525" s="303" t="s">
        <v>232</v>
      </c>
    </row>
    <row r="49526" spans="119:119" x14ac:dyDescent="0.2">
      <c r="DO49526" s="303" t="s">
        <v>232</v>
      </c>
    </row>
    <row r="49527" spans="119:119" x14ac:dyDescent="0.2">
      <c r="DO49527" s="303" t="s">
        <v>232</v>
      </c>
    </row>
    <row r="49528" spans="119:119" x14ac:dyDescent="0.2">
      <c r="DO49528" s="303" t="s">
        <v>232</v>
      </c>
    </row>
    <row r="49529" spans="119:119" x14ac:dyDescent="0.2">
      <c r="DO49529" s="303" t="s">
        <v>232</v>
      </c>
    </row>
    <row r="49530" spans="119:119" x14ac:dyDescent="0.2">
      <c r="DO49530" s="303" t="s">
        <v>232</v>
      </c>
    </row>
    <row r="49531" spans="119:119" x14ac:dyDescent="0.2">
      <c r="DO49531" s="303" t="s">
        <v>232</v>
      </c>
    </row>
    <row r="49532" spans="119:119" x14ac:dyDescent="0.2">
      <c r="DO49532" s="303" t="s">
        <v>232</v>
      </c>
    </row>
    <row r="49533" spans="119:119" x14ac:dyDescent="0.2">
      <c r="DO49533" s="303" t="s">
        <v>232</v>
      </c>
    </row>
    <row r="49534" spans="119:119" x14ac:dyDescent="0.2">
      <c r="DO49534" s="303" t="s">
        <v>232</v>
      </c>
    </row>
    <row r="49535" spans="119:119" x14ac:dyDescent="0.2">
      <c r="DO49535" s="303" t="s">
        <v>232</v>
      </c>
    </row>
    <row r="49536" spans="119:119" x14ac:dyDescent="0.2">
      <c r="DO49536" s="303" t="s">
        <v>232</v>
      </c>
    </row>
    <row r="49537" spans="119:119" x14ac:dyDescent="0.2">
      <c r="DO49537" s="303" t="s">
        <v>232</v>
      </c>
    </row>
    <row r="49538" spans="119:119" x14ac:dyDescent="0.2">
      <c r="DO49538" s="303" t="s">
        <v>232</v>
      </c>
    </row>
    <row r="49539" spans="119:119" x14ac:dyDescent="0.2">
      <c r="DO49539" s="303" t="s">
        <v>232</v>
      </c>
    </row>
    <row r="49540" spans="119:119" x14ac:dyDescent="0.2">
      <c r="DO49540" s="303" t="s">
        <v>232</v>
      </c>
    </row>
    <row r="49541" spans="119:119" x14ac:dyDescent="0.2">
      <c r="DO49541" s="303" t="s">
        <v>232</v>
      </c>
    </row>
    <row r="49542" spans="119:119" x14ac:dyDescent="0.2">
      <c r="DO49542" s="303" t="s">
        <v>232</v>
      </c>
    </row>
    <row r="49543" spans="119:119" x14ac:dyDescent="0.2">
      <c r="DO49543" s="303" t="s">
        <v>232</v>
      </c>
    </row>
    <row r="49544" spans="119:119" x14ac:dyDescent="0.2">
      <c r="DO49544" s="303" t="s">
        <v>232</v>
      </c>
    </row>
    <row r="49545" spans="119:119" x14ac:dyDescent="0.2">
      <c r="DO49545" s="303" t="s">
        <v>232</v>
      </c>
    </row>
    <row r="49546" spans="119:119" x14ac:dyDescent="0.2">
      <c r="DO49546" s="303" t="s">
        <v>232</v>
      </c>
    </row>
    <row r="49547" spans="119:119" x14ac:dyDescent="0.2">
      <c r="DO49547" s="303" t="s">
        <v>232</v>
      </c>
    </row>
    <row r="49548" spans="119:119" x14ac:dyDescent="0.2">
      <c r="DO49548" s="303" t="s">
        <v>232</v>
      </c>
    </row>
    <row r="49549" spans="119:119" x14ac:dyDescent="0.2">
      <c r="DO49549" s="303" t="s">
        <v>232</v>
      </c>
    </row>
    <row r="49550" spans="119:119" x14ac:dyDescent="0.2">
      <c r="DO49550" s="303" t="s">
        <v>232</v>
      </c>
    </row>
    <row r="49551" spans="119:119" x14ac:dyDescent="0.2">
      <c r="DO49551" s="303" t="s">
        <v>232</v>
      </c>
    </row>
    <row r="49552" spans="119:119" x14ac:dyDescent="0.2">
      <c r="DO49552" s="303" t="s">
        <v>232</v>
      </c>
    </row>
    <row r="49553" spans="119:119" x14ac:dyDescent="0.2">
      <c r="DO49553" s="303" t="s">
        <v>232</v>
      </c>
    </row>
    <row r="49554" spans="119:119" x14ac:dyDescent="0.2">
      <c r="DO49554" s="303" t="s">
        <v>232</v>
      </c>
    </row>
    <row r="49555" spans="119:119" x14ac:dyDescent="0.2">
      <c r="DO49555" s="303" t="s">
        <v>232</v>
      </c>
    </row>
    <row r="49556" spans="119:119" x14ac:dyDescent="0.2">
      <c r="DO49556" s="303" t="s">
        <v>232</v>
      </c>
    </row>
    <row r="49557" spans="119:119" x14ac:dyDescent="0.2">
      <c r="DO49557" s="303" t="s">
        <v>232</v>
      </c>
    </row>
    <row r="49558" spans="119:119" x14ac:dyDescent="0.2">
      <c r="DO49558" s="303" t="s">
        <v>232</v>
      </c>
    </row>
    <row r="49559" spans="119:119" x14ac:dyDescent="0.2">
      <c r="DO49559" s="303" t="s">
        <v>232</v>
      </c>
    </row>
    <row r="49560" spans="119:119" x14ac:dyDescent="0.2">
      <c r="DO49560" s="303" t="s">
        <v>232</v>
      </c>
    </row>
    <row r="49561" spans="119:119" x14ac:dyDescent="0.2">
      <c r="DO49561" s="303" t="s">
        <v>232</v>
      </c>
    </row>
    <row r="49562" spans="119:119" x14ac:dyDescent="0.2">
      <c r="DO49562" s="303" t="s">
        <v>232</v>
      </c>
    </row>
    <row r="49563" spans="119:119" x14ac:dyDescent="0.2">
      <c r="DO49563" s="303" t="s">
        <v>232</v>
      </c>
    </row>
    <row r="49564" spans="119:119" x14ac:dyDescent="0.2">
      <c r="DO49564" s="303" t="s">
        <v>232</v>
      </c>
    </row>
    <row r="49565" spans="119:119" x14ac:dyDescent="0.2">
      <c r="DO49565" s="303" t="s">
        <v>232</v>
      </c>
    </row>
    <row r="49566" spans="119:119" x14ac:dyDescent="0.2">
      <c r="DO49566" s="303" t="s">
        <v>232</v>
      </c>
    </row>
    <row r="49567" spans="119:119" x14ac:dyDescent="0.2">
      <c r="DO49567" s="303" t="s">
        <v>232</v>
      </c>
    </row>
    <row r="49568" spans="119:119" x14ac:dyDescent="0.2">
      <c r="DO49568" s="303" t="s">
        <v>232</v>
      </c>
    </row>
    <row r="49569" spans="119:119" x14ac:dyDescent="0.2">
      <c r="DO49569" s="303" t="s">
        <v>232</v>
      </c>
    </row>
    <row r="49570" spans="119:119" x14ac:dyDescent="0.2">
      <c r="DO49570" s="303" t="s">
        <v>232</v>
      </c>
    </row>
    <row r="49571" spans="119:119" x14ac:dyDescent="0.2">
      <c r="DO49571" s="303" t="s">
        <v>232</v>
      </c>
    </row>
    <row r="49572" spans="119:119" x14ac:dyDescent="0.2">
      <c r="DO49572" s="303" t="s">
        <v>232</v>
      </c>
    </row>
    <row r="49573" spans="119:119" x14ac:dyDescent="0.2">
      <c r="DO49573" s="303" t="s">
        <v>232</v>
      </c>
    </row>
    <row r="49574" spans="119:119" x14ac:dyDescent="0.2">
      <c r="DO49574" s="303" t="s">
        <v>232</v>
      </c>
    </row>
    <row r="49575" spans="119:119" x14ac:dyDescent="0.2">
      <c r="DO49575" s="303" t="s">
        <v>232</v>
      </c>
    </row>
    <row r="49576" spans="119:119" x14ac:dyDescent="0.2">
      <c r="DO49576" s="303" t="s">
        <v>232</v>
      </c>
    </row>
    <row r="49577" spans="119:119" x14ac:dyDescent="0.2">
      <c r="DO49577" s="303" t="s">
        <v>232</v>
      </c>
    </row>
    <row r="49578" spans="119:119" x14ac:dyDescent="0.2">
      <c r="DO49578" s="303" t="s">
        <v>232</v>
      </c>
    </row>
    <row r="49579" spans="119:119" x14ac:dyDescent="0.2">
      <c r="DO49579" s="303" t="s">
        <v>232</v>
      </c>
    </row>
    <row r="49580" spans="119:119" x14ac:dyDescent="0.2">
      <c r="DO49580" s="303" t="s">
        <v>232</v>
      </c>
    </row>
    <row r="49581" spans="119:119" x14ac:dyDescent="0.2">
      <c r="DO49581" s="303" t="s">
        <v>232</v>
      </c>
    </row>
    <row r="49582" spans="119:119" x14ac:dyDescent="0.2">
      <c r="DO49582" s="303" t="s">
        <v>232</v>
      </c>
    </row>
    <row r="49583" spans="119:119" x14ac:dyDescent="0.2">
      <c r="DO49583" s="303" t="s">
        <v>232</v>
      </c>
    </row>
    <row r="49584" spans="119:119" x14ac:dyDescent="0.2">
      <c r="DO49584" s="303" t="s">
        <v>232</v>
      </c>
    </row>
    <row r="49585" spans="119:119" x14ac:dyDescent="0.2">
      <c r="DO49585" s="303" t="s">
        <v>232</v>
      </c>
    </row>
    <row r="49586" spans="119:119" x14ac:dyDescent="0.2">
      <c r="DO49586" s="303" t="s">
        <v>232</v>
      </c>
    </row>
    <row r="49587" spans="119:119" x14ac:dyDescent="0.2">
      <c r="DO49587" s="303" t="s">
        <v>232</v>
      </c>
    </row>
    <row r="49588" spans="119:119" x14ac:dyDescent="0.2">
      <c r="DO49588" s="303" t="s">
        <v>232</v>
      </c>
    </row>
    <row r="49589" spans="119:119" x14ac:dyDescent="0.2">
      <c r="DO49589" s="303" t="s">
        <v>232</v>
      </c>
    </row>
    <row r="49590" spans="119:119" x14ac:dyDescent="0.2">
      <c r="DO49590" s="303" t="s">
        <v>232</v>
      </c>
    </row>
    <row r="49591" spans="119:119" x14ac:dyDescent="0.2">
      <c r="DO49591" s="303" t="s">
        <v>232</v>
      </c>
    </row>
    <row r="49592" spans="119:119" x14ac:dyDescent="0.2">
      <c r="DO49592" s="303" t="s">
        <v>232</v>
      </c>
    </row>
    <row r="49593" spans="119:119" x14ac:dyDescent="0.2">
      <c r="DO49593" s="303" t="s">
        <v>232</v>
      </c>
    </row>
    <row r="49594" spans="119:119" x14ac:dyDescent="0.2">
      <c r="DO49594" s="303" t="s">
        <v>232</v>
      </c>
    </row>
    <row r="49595" spans="119:119" x14ac:dyDescent="0.2">
      <c r="DO49595" s="303" t="s">
        <v>232</v>
      </c>
    </row>
    <row r="49596" spans="119:119" x14ac:dyDescent="0.2">
      <c r="DO49596" s="303" t="s">
        <v>232</v>
      </c>
    </row>
    <row r="49597" spans="119:119" x14ac:dyDescent="0.2">
      <c r="DO49597" s="303" t="s">
        <v>232</v>
      </c>
    </row>
    <row r="49598" spans="119:119" x14ac:dyDescent="0.2">
      <c r="DO49598" s="303" t="s">
        <v>232</v>
      </c>
    </row>
    <row r="49599" spans="119:119" x14ac:dyDescent="0.2">
      <c r="DO49599" s="303" t="s">
        <v>232</v>
      </c>
    </row>
    <row r="49600" spans="119:119" x14ac:dyDescent="0.2">
      <c r="DO49600" s="303" t="s">
        <v>232</v>
      </c>
    </row>
    <row r="49601" spans="119:119" x14ac:dyDescent="0.2">
      <c r="DO49601" s="303" t="s">
        <v>232</v>
      </c>
    </row>
    <row r="49602" spans="119:119" x14ac:dyDescent="0.2">
      <c r="DO49602" s="303" t="s">
        <v>232</v>
      </c>
    </row>
    <row r="49603" spans="119:119" x14ac:dyDescent="0.2">
      <c r="DO49603" s="303" t="s">
        <v>232</v>
      </c>
    </row>
    <row r="49604" spans="119:119" x14ac:dyDescent="0.2">
      <c r="DO49604" s="303" t="s">
        <v>232</v>
      </c>
    </row>
    <row r="49605" spans="119:119" x14ac:dyDescent="0.2">
      <c r="DO49605" s="303" t="s">
        <v>232</v>
      </c>
    </row>
    <row r="49606" spans="119:119" x14ac:dyDescent="0.2">
      <c r="DO49606" s="303" t="s">
        <v>232</v>
      </c>
    </row>
    <row r="49607" spans="119:119" x14ac:dyDescent="0.2">
      <c r="DO49607" s="303" t="s">
        <v>232</v>
      </c>
    </row>
    <row r="49608" spans="119:119" x14ac:dyDescent="0.2">
      <c r="DO49608" s="303" t="s">
        <v>232</v>
      </c>
    </row>
    <row r="49609" spans="119:119" x14ac:dyDescent="0.2">
      <c r="DO49609" s="303" t="s">
        <v>232</v>
      </c>
    </row>
    <row r="49610" spans="119:119" x14ac:dyDescent="0.2">
      <c r="DO49610" s="303" t="s">
        <v>232</v>
      </c>
    </row>
    <row r="49611" spans="119:119" x14ac:dyDescent="0.2">
      <c r="DO49611" s="303" t="s">
        <v>232</v>
      </c>
    </row>
    <row r="49612" spans="119:119" x14ac:dyDescent="0.2">
      <c r="DO49612" s="303" t="s">
        <v>232</v>
      </c>
    </row>
    <row r="49613" spans="119:119" x14ac:dyDescent="0.2">
      <c r="DO49613" s="303" t="s">
        <v>232</v>
      </c>
    </row>
    <row r="49614" spans="119:119" x14ac:dyDescent="0.2">
      <c r="DO49614" s="303" t="s">
        <v>232</v>
      </c>
    </row>
    <row r="49615" spans="119:119" x14ac:dyDescent="0.2">
      <c r="DO49615" s="303" t="s">
        <v>232</v>
      </c>
    </row>
    <row r="49616" spans="119:119" x14ac:dyDescent="0.2">
      <c r="DO49616" s="303" t="s">
        <v>232</v>
      </c>
    </row>
    <row r="49617" spans="119:119" x14ac:dyDescent="0.2">
      <c r="DO49617" s="303" t="s">
        <v>232</v>
      </c>
    </row>
    <row r="49618" spans="119:119" x14ac:dyDescent="0.2">
      <c r="DO49618" s="303" t="s">
        <v>232</v>
      </c>
    </row>
    <row r="49619" spans="119:119" x14ac:dyDescent="0.2">
      <c r="DO49619" s="303" t="s">
        <v>232</v>
      </c>
    </row>
    <row r="49620" spans="119:119" x14ac:dyDescent="0.2">
      <c r="DO49620" s="303" t="s">
        <v>232</v>
      </c>
    </row>
    <row r="49621" spans="119:119" x14ac:dyDescent="0.2">
      <c r="DO49621" s="303" t="s">
        <v>232</v>
      </c>
    </row>
    <row r="49622" spans="119:119" x14ac:dyDescent="0.2">
      <c r="DO49622" s="303" t="s">
        <v>232</v>
      </c>
    </row>
    <row r="49623" spans="119:119" x14ac:dyDescent="0.2">
      <c r="DO49623" s="303" t="s">
        <v>232</v>
      </c>
    </row>
    <row r="49624" spans="119:119" x14ac:dyDescent="0.2">
      <c r="DO49624" s="303" t="s">
        <v>232</v>
      </c>
    </row>
    <row r="49625" spans="119:119" x14ac:dyDescent="0.2">
      <c r="DO49625" s="303" t="s">
        <v>232</v>
      </c>
    </row>
    <row r="49626" spans="119:119" x14ac:dyDescent="0.2">
      <c r="DO49626" s="303" t="s">
        <v>232</v>
      </c>
    </row>
    <row r="49627" spans="119:119" x14ac:dyDescent="0.2">
      <c r="DO49627" s="303" t="s">
        <v>232</v>
      </c>
    </row>
    <row r="49628" spans="119:119" x14ac:dyDescent="0.2">
      <c r="DO49628" s="303" t="s">
        <v>232</v>
      </c>
    </row>
    <row r="49629" spans="119:119" x14ac:dyDescent="0.2">
      <c r="DO49629" s="303" t="s">
        <v>232</v>
      </c>
    </row>
    <row r="49630" spans="119:119" x14ac:dyDescent="0.2">
      <c r="DO49630" s="303" t="s">
        <v>232</v>
      </c>
    </row>
    <row r="49631" spans="119:119" x14ac:dyDescent="0.2">
      <c r="DO49631" s="303" t="s">
        <v>232</v>
      </c>
    </row>
    <row r="49632" spans="119:119" x14ac:dyDescent="0.2">
      <c r="DO49632" s="303" t="s">
        <v>232</v>
      </c>
    </row>
    <row r="49633" spans="119:119" x14ac:dyDescent="0.2">
      <c r="DO49633" s="303" t="s">
        <v>232</v>
      </c>
    </row>
    <row r="49634" spans="119:119" x14ac:dyDescent="0.2">
      <c r="DO49634" s="303" t="s">
        <v>232</v>
      </c>
    </row>
    <row r="49635" spans="119:119" x14ac:dyDescent="0.2">
      <c r="DO49635" s="303" t="s">
        <v>232</v>
      </c>
    </row>
    <row r="49636" spans="119:119" x14ac:dyDescent="0.2">
      <c r="DO49636" s="303" t="s">
        <v>232</v>
      </c>
    </row>
    <row r="49637" spans="119:119" x14ac:dyDescent="0.2">
      <c r="DO49637" s="303" t="s">
        <v>232</v>
      </c>
    </row>
    <row r="49638" spans="119:119" x14ac:dyDescent="0.2">
      <c r="DO49638" s="303" t="s">
        <v>232</v>
      </c>
    </row>
    <row r="49639" spans="119:119" x14ac:dyDescent="0.2">
      <c r="DO49639" s="303" t="s">
        <v>232</v>
      </c>
    </row>
    <row r="49640" spans="119:119" x14ac:dyDescent="0.2">
      <c r="DO49640" s="303" t="s">
        <v>232</v>
      </c>
    </row>
    <row r="49641" spans="119:119" x14ac:dyDescent="0.2">
      <c r="DO49641" s="303" t="s">
        <v>232</v>
      </c>
    </row>
    <row r="49642" spans="119:119" x14ac:dyDescent="0.2">
      <c r="DO49642" s="303" t="s">
        <v>232</v>
      </c>
    </row>
    <row r="49643" spans="119:119" x14ac:dyDescent="0.2">
      <c r="DO49643" s="303" t="s">
        <v>232</v>
      </c>
    </row>
    <row r="49644" spans="119:119" x14ac:dyDescent="0.2">
      <c r="DO49644" s="303" t="s">
        <v>232</v>
      </c>
    </row>
    <row r="49645" spans="119:119" x14ac:dyDescent="0.2">
      <c r="DO49645" s="303" t="s">
        <v>232</v>
      </c>
    </row>
    <row r="49646" spans="119:119" x14ac:dyDescent="0.2">
      <c r="DO49646" s="303" t="s">
        <v>232</v>
      </c>
    </row>
    <row r="49647" spans="119:119" x14ac:dyDescent="0.2">
      <c r="DO49647" s="303" t="s">
        <v>232</v>
      </c>
    </row>
    <row r="49648" spans="119:119" x14ac:dyDescent="0.2">
      <c r="DO49648" s="303" t="s">
        <v>232</v>
      </c>
    </row>
    <row r="49649" spans="119:119" x14ac:dyDescent="0.2">
      <c r="DO49649" s="303" t="s">
        <v>232</v>
      </c>
    </row>
    <row r="49650" spans="119:119" x14ac:dyDescent="0.2">
      <c r="DO49650" s="303" t="s">
        <v>232</v>
      </c>
    </row>
    <row r="49651" spans="119:119" x14ac:dyDescent="0.2">
      <c r="DO49651" s="303" t="s">
        <v>232</v>
      </c>
    </row>
    <row r="49652" spans="119:119" x14ac:dyDescent="0.2">
      <c r="DO49652" s="303" t="s">
        <v>232</v>
      </c>
    </row>
    <row r="49653" spans="119:119" x14ac:dyDescent="0.2">
      <c r="DO49653" s="303" t="s">
        <v>232</v>
      </c>
    </row>
    <row r="49654" spans="119:119" x14ac:dyDescent="0.2">
      <c r="DO49654" s="303" t="s">
        <v>232</v>
      </c>
    </row>
    <row r="49655" spans="119:119" x14ac:dyDescent="0.2">
      <c r="DO49655" s="303" t="s">
        <v>232</v>
      </c>
    </row>
    <row r="49656" spans="119:119" x14ac:dyDescent="0.2">
      <c r="DO49656" s="303" t="s">
        <v>232</v>
      </c>
    </row>
    <row r="49657" spans="119:119" x14ac:dyDescent="0.2">
      <c r="DO49657" s="303" t="s">
        <v>232</v>
      </c>
    </row>
    <row r="49658" spans="119:119" x14ac:dyDescent="0.2">
      <c r="DO49658" s="303" t="s">
        <v>232</v>
      </c>
    </row>
    <row r="49659" spans="119:119" x14ac:dyDescent="0.2">
      <c r="DO49659" s="303" t="s">
        <v>232</v>
      </c>
    </row>
    <row r="49660" spans="119:119" x14ac:dyDescent="0.2">
      <c r="DO49660" s="303" t="s">
        <v>232</v>
      </c>
    </row>
    <row r="49661" spans="119:119" x14ac:dyDescent="0.2">
      <c r="DO49661" s="303" t="s">
        <v>232</v>
      </c>
    </row>
    <row r="49662" spans="119:119" x14ac:dyDescent="0.2">
      <c r="DO49662" s="303" t="s">
        <v>232</v>
      </c>
    </row>
    <row r="49663" spans="119:119" x14ac:dyDescent="0.2">
      <c r="DO49663" s="303" t="s">
        <v>232</v>
      </c>
    </row>
    <row r="49664" spans="119:119" x14ac:dyDescent="0.2">
      <c r="DO49664" s="303" t="s">
        <v>232</v>
      </c>
    </row>
    <row r="49665" spans="119:119" x14ac:dyDescent="0.2">
      <c r="DO49665" s="303" t="s">
        <v>232</v>
      </c>
    </row>
    <row r="49666" spans="119:119" x14ac:dyDescent="0.2">
      <c r="DO49666" s="303" t="s">
        <v>232</v>
      </c>
    </row>
    <row r="49667" spans="119:119" x14ac:dyDescent="0.2">
      <c r="DO49667" s="303" t="s">
        <v>232</v>
      </c>
    </row>
    <row r="49668" spans="119:119" x14ac:dyDescent="0.2">
      <c r="DO49668" s="303" t="s">
        <v>232</v>
      </c>
    </row>
    <row r="49669" spans="119:119" x14ac:dyDescent="0.2">
      <c r="DO49669" s="303" t="s">
        <v>232</v>
      </c>
    </row>
    <row r="49670" spans="119:119" x14ac:dyDescent="0.2">
      <c r="DO49670" s="303" t="s">
        <v>232</v>
      </c>
    </row>
    <row r="49671" spans="119:119" x14ac:dyDescent="0.2">
      <c r="DO49671" s="303" t="s">
        <v>232</v>
      </c>
    </row>
    <row r="49672" spans="119:119" x14ac:dyDescent="0.2">
      <c r="DO49672" s="303" t="s">
        <v>232</v>
      </c>
    </row>
    <row r="49673" spans="119:119" x14ac:dyDescent="0.2">
      <c r="DO49673" s="303" t="s">
        <v>232</v>
      </c>
    </row>
    <row r="49674" spans="119:119" x14ac:dyDescent="0.2">
      <c r="DO49674" s="303" t="s">
        <v>232</v>
      </c>
    </row>
    <row r="49675" spans="119:119" x14ac:dyDescent="0.2">
      <c r="DO49675" s="303" t="s">
        <v>232</v>
      </c>
    </row>
    <row r="49676" spans="119:119" x14ac:dyDescent="0.2">
      <c r="DO49676" s="303" t="s">
        <v>232</v>
      </c>
    </row>
    <row r="49677" spans="119:119" x14ac:dyDescent="0.2">
      <c r="DO49677" s="303" t="s">
        <v>232</v>
      </c>
    </row>
    <row r="49678" spans="119:119" x14ac:dyDescent="0.2">
      <c r="DO49678" s="303" t="s">
        <v>232</v>
      </c>
    </row>
    <row r="49679" spans="119:119" x14ac:dyDescent="0.2">
      <c r="DO49679" s="303" t="s">
        <v>232</v>
      </c>
    </row>
    <row r="49680" spans="119:119" x14ac:dyDescent="0.2">
      <c r="DO49680" s="303" t="s">
        <v>232</v>
      </c>
    </row>
    <row r="49681" spans="119:119" x14ac:dyDescent="0.2">
      <c r="DO49681" s="303" t="s">
        <v>232</v>
      </c>
    </row>
    <row r="49682" spans="119:119" x14ac:dyDescent="0.2">
      <c r="DO49682" s="303" t="s">
        <v>232</v>
      </c>
    </row>
    <row r="49683" spans="119:119" x14ac:dyDescent="0.2">
      <c r="DO49683" s="303" t="s">
        <v>232</v>
      </c>
    </row>
    <row r="49684" spans="119:119" x14ac:dyDescent="0.2">
      <c r="DO49684" s="303" t="s">
        <v>232</v>
      </c>
    </row>
    <row r="49685" spans="119:119" x14ac:dyDescent="0.2">
      <c r="DO49685" s="303" t="s">
        <v>232</v>
      </c>
    </row>
    <row r="49686" spans="119:119" x14ac:dyDescent="0.2">
      <c r="DO49686" s="303" t="s">
        <v>232</v>
      </c>
    </row>
    <row r="49687" spans="119:119" x14ac:dyDescent="0.2">
      <c r="DO49687" s="303" t="s">
        <v>232</v>
      </c>
    </row>
    <row r="49688" spans="119:119" x14ac:dyDescent="0.2">
      <c r="DO49688" s="303" t="s">
        <v>232</v>
      </c>
    </row>
    <row r="49689" spans="119:119" x14ac:dyDescent="0.2">
      <c r="DO49689" s="303" t="s">
        <v>232</v>
      </c>
    </row>
    <row r="49690" spans="119:119" x14ac:dyDescent="0.2">
      <c r="DO49690" s="303" t="s">
        <v>232</v>
      </c>
    </row>
    <row r="49691" spans="119:119" x14ac:dyDescent="0.2">
      <c r="DO49691" s="303" t="s">
        <v>232</v>
      </c>
    </row>
    <row r="49692" spans="119:119" x14ac:dyDescent="0.2">
      <c r="DO49692" s="303" t="s">
        <v>232</v>
      </c>
    </row>
    <row r="49693" spans="119:119" x14ac:dyDescent="0.2">
      <c r="DO49693" s="303" t="s">
        <v>232</v>
      </c>
    </row>
    <row r="49694" spans="119:119" x14ac:dyDescent="0.2">
      <c r="DO49694" s="303" t="s">
        <v>232</v>
      </c>
    </row>
    <row r="49695" spans="119:119" x14ac:dyDescent="0.2">
      <c r="DO49695" s="303" t="s">
        <v>232</v>
      </c>
    </row>
    <row r="49696" spans="119:119" x14ac:dyDescent="0.2">
      <c r="DO49696" s="303" t="s">
        <v>232</v>
      </c>
    </row>
    <row r="49697" spans="119:119" x14ac:dyDescent="0.2">
      <c r="DO49697" s="303" t="s">
        <v>232</v>
      </c>
    </row>
    <row r="49698" spans="119:119" x14ac:dyDescent="0.2">
      <c r="DO49698" s="303" t="s">
        <v>232</v>
      </c>
    </row>
    <row r="49699" spans="119:119" x14ac:dyDescent="0.2">
      <c r="DO49699" s="303" t="s">
        <v>232</v>
      </c>
    </row>
    <row r="49700" spans="119:119" x14ac:dyDescent="0.2">
      <c r="DO49700" s="303" t="s">
        <v>232</v>
      </c>
    </row>
    <row r="49701" spans="119:119" x14ac:dyDescent="0.2">
      <c r="DO49701" s="303" t="s">
        <v>232</v>
      </c>
    </row>
    <row r="49702" spans="119:119" x14ac:dyDescent="0.2">
      <c r="DO49702" s="303" t="s">
        <v>232</v>
      </c>
    </row>
    <row r="49703" spans="119:119" x14ac:dyDescent="0.2">
      <c r="DO49703" s="303" t="s">
        <v>232</v>
      </c>
    </row>
    <row r="49704" spans="119:119" x14ac:dyDescent="0.2">
      <c r="DO49704" s="303" t="s">
        <v>232</v>
      </c>
    </row>
    <row r="49705" spans="119:119" x14ac:dyDescent="0.2">
      <c r="DO49705" s="303" t="s">
        <v>232</v>
      </c>
    </row>
    <row r="49706" spans="119:119" x14ac:dyDescent="0.2">
      <c r="DO49706" s="303" t="s">
        <v>232</v>
      </c>
    </row>
    <row r="49707" spans="119:119" x14ac:dyDescent="0.2">
      <c r="DO49707" s="303" t="s">
        <v>232</v>
      </c>
    </row>
    <row r="49708" spans="119:119" x14ac:dyDescent="0.2">
      <c r="DO49708" s="303" t="s">
        <v>232</v>
      </c>
    </row>
    <row r="49709" spans="119:119" x14ac:dyDescent="0.2">
      <c r="DO49709" s="303" t="s">
        <v>232</v>
      </c>
    </row>
    <row r="49710" spans="119:119" x14ac:dyDescent="0.2">
      <c r="DO49710" s="303" t="s">
        <v>232</v>
      </c>
    </row>
    <row r="49711" spans="119:119" x14ac:dyDescent="0.2">
      <c r="DO49711" s="303" t="s">
        <v>232</v>
      </c>
    </row>
    <row r="49712" spans="119:119" x14ac:dyDescent="0.2">
      <c r="DO49712" s="303" t="s">
        <v>232</v>
      </c>
    </row>
    <row r="49713" spans="119:119" x14ac:dyDescent="0.2">
      <c r="DO49713" s="303" t="s">
        <v>232</v>
      </c>
    </row>
    <row r="49714" spans="119:119" x14ac:dyDescent="0.2">
      <c r="DO49714" s="303" t="s">
        <v>232</v>
      </c>
    </row>
    <row r="49715" spans="119:119" x14ac:dyDescent="0.2">
      <c r="DO49715" s="303" t="s">
        <v>232</v>
      </c>
    </row>
    <row r="49716" spans="119:119" x14ac:dyDescent="0.2">
      <c r="DO49716" s="303" t="s">
        <v>232</v>
      </c>
    </row>
    <row r="49717" spans="119:119" x14ac:dyDescent="0.2">
      <c r="DO49717" s="303" t="s">
        <v>232</v>
      </c>
    </row>
    <row r="49718" spans="119:119" x14ac:dyDescent="0.2">
      <c r="DO49718" s="303" t="s">
        <v>232</v>
      </c>
    </row>
    <row r="49719" spans="119:119" x14ac:dyDescent="0.2">
      <c r="DO49719" s="303" t="s">
        <v>232</v>
      </c>
    </row>
    <row r="49720" spans="119:119" x14ac:dyDescent="0.2">
      <c r="DO49720" s="303" t="s">
        <v>232</v>
      </c>
    </row>
    <row r="49721" spans="119:119" x14ac:dyDescent="0.2">
      <c r="DO49721" s="303" t="s">
        <v>232</v>
      </c>
    </row>
    <row r="49722" spans="119:119" x14ac:dyDescent="0.2">
      <c r="DO49722" s="303" t="s">
        <v>232</v>
      </c>
    </row>
    <row r="49723" spans="119:119" x14ac:dyDescent="0.2">
      <c r="DO49723" s="303" t="s">
        <v>232</v>
      </c>
    </row>
    <row r="49724" spans="119:119" x14ac:dyDescent="0.2">
      <c r="DO49724" s="303" t="s">
        <v>232</v>
      </c>
    </row>
    <row r="49725" spans="119:119" x14ac:dyDescent="0.2">
      <c r="DO49725" s="303" t="s">
        <v>232</v>
      </c>
    </row>
    <row r="49726" spans="119:119" x14ac:dyDescent="0.2">
      <c r="DO49726" s="303" t="s">
        <v>232</v>
      </c>
    </row>
    <row r="49727" spans="119:119" x14ac:dyDescent="0.2">
      <c r="DO49727" s="303" t="s">
        <v>232</v>
      </c>
    </row>
    <row r="49728" spans="119:119" x14ac:dyDescent="0.2">
      <c r="DO49728" s="303" t="s">
        <v>232</v>
      </c>
    </row>
    <row r="49729" spans="119:119" x14ac:dyDescent="0.2">
      <c r="DO49729" s="303" t="s">
        <v>232</v>
      </c>
    </row>
    <row r="49730" spans="119:119" x14ac:dyDescent="0.2">
      <c r="DO49730" s="303" t="s">
        <v>232</v>
      </c>
    </row>
    <row r="49731" spans="119:119" x14ac:dyDescent="0.2">
      <c r="DO49731" s="303" t="s">
        <v>232</v>
      </c>
    </row>
    <row r="49732" spans="119:119" x14ac:dyDescent="0.2">
      <c r="DO49732" s="303" t="s">
        <v>232</v>
      </c>
    </row>
    <row r="49733" spans="119:119" x14ac:dyDescent="0.2">
      <c r="DO49733" s="303" t="s">
        <v>232</v>
      </c>
    </row>
    <row r="49734" spans="119:119" x14ac:dyDescent="0.2">
      <c r="DO49734" s="303" t="s">
        <v>232</v>
      </c>
    </row>
    <row r="49735" spans="119:119" x14ac:dyDescent="0.2">
      <c r="DO49735" s="303" t="s">
        <v>232</v>
      </c>
    </row>
    <row r="49736" spans="119:119" x14ac:dyDescent="0.2">
      <c r="DO49736" s="303" t="s">
        <v>232</v>
      </c>
    </row>
    <row r="49737" spans="119:119" x14ac:dyDescent="0.2">
      <c r="DO49737" s="303" t="s">
        <v>232</v>
      </c>
    </row>
    <row r="49738" spans="119:119" x14ac:dyDescent="0.2">
      <c r="DO49738" s="303" t="s">
        <v>232</v>
      </c>
    </row>
    <row r="49739" spans="119:119" x14ac:dyDescent="0.2">
      <c r="DO49739" s="303" t="s">
        <v>232</v>
      </c>
    </row>
    <row r="49740" spans="119:119" x14ac:dyDescent="0.2">
      <c r="DO49740" s="303" t="s">
        <v>232</v>
      </c>
    </row>
    <row r="49741" spans="119:119" x14ac:dyDescent="0.2">
      <c r="DO49741" s="303" t="s">
        <v>232</v>
      </c>
    </row>
    <row r="49742" spans="119:119" x14ac:dyDescent="0.2">
      <c r="DO49742" s="303" t="s">
        <v>232</v>
      </c>
    </row>
    <row r="49743" spans="119:119" x14ac:dyDescent="0.2">
      <c r="DO49743" s="303" t="s">
        <v>232</v>
      </c>
    </row>
    <row r="49744" spans="119:119" x14ac:dyDescent="0.2">
      <c r="DO49744" s="303" t="s">
        <v>232</v>
      </c>
    </row>
    <row r="49745" spans="119:119" x14ac:dyDescent="0.2">
      <c r="DO49745" s="303" t="s">
        <v>232</v>
      </c>
    </row>
    <row r="49746" spans="119:119" x14ac:dyDescent="0.2">
      <c r="DO49746" s="303" t="s">
        <v>232</v>
      </c>
    </row>
    <row r="49747" spans="119:119" x14ac:dyDescent="0.2">
      <c r="DO49747" s="303" t="s">
        <v>232</v>
      </c>
    </row>
    <row r="49748" spans="119:119" x14ac:dyDescent="0.2">
      <c r="DO49748" s="303" t="s">
        <v>232</v>
      </c>
    </row>
    <row r="49749" spans="119:119" x14ac:dyDescent="0.2">
      <c r="DO49749" s="303" t="s">
        <v>232</v>
      </c>
    </row>
    <row r="49750" spans="119:119" x14ac:dyDescent="0.2">
      <c r="DO49750" s="303" t="s">
        <v>232</v>
      </c>
    </row>
    <row r="49751" spans="119:119" x14ac:dyDescent="0.2">
      <c r="DO49751" s="303" t="s">
        <v>232</v>
      </c>
    </row>
    <row r="49752" spans="119:119" x14ac:dyDescent="0.2">
      <c r="DO49752" s="303" t="s">
        <v>232</v>
      </c>
    </row>
    <row r="49753" spans="119:119" x14ac:dyDescent="0.2">
      <c r="DO49753" s="303" t="s">
        <v>232</v>
      </c>
    </row>
    <row r="49754" spans="119:119" x14ac:dyDescent="0.2">
      <c r="DO49754" s="303" t="s">
        <v>232</v>
      </c>
    </row>
    <row r="49755" spans="119:119" x14ac:dyDescent="0.2">
      <c r="DO49755" s="303" t="s">
        <v>232</v>
      </c>
    </row>
    <row r="49756" spans="119:119" x14ac:dyDescent="0.2">
      <c r="DO49756" s="303" t="s">
        <v>232</v>
      </c>
    </row>
    <row r="49757" spans="119:119" x14ac:dyDescent="0.2">
      <c r="DO49757" s="303" t="s">
        <v>232</v>
      </c>
    </row>
    <row r="49758" spans="119:119" x14ac:dyDescent="0.2">
      <c r="DO49758" s="303" t="s">
        <v>232</v>
      </c>
    </row>
    <row r="49759" spans="119:119" x14ac:dyDescent="0.2">
      <c r="DO49759" s="303" t="s">
        <v>232</v>
      </c>
    </row>
    <row r="49760" spans="119:119" x14ac:dyDescent="0.2">
      <c r="DO49760" s="303" t="s">
        <v>232</v>
      </c>
    </row>
    <row r="49761" spans="119:119" x14ac:dyDescent="0.2">
      <c r="DO49761" s="303" t="s">
        <v>232</v>
      </c>
    </row>
    <row r="49762" spans="119:119" x14ac:dyDescent="0.2">
      <c r="DO49762" s="303" t="s">
        <v>232</v>
      </c>
    </row>
    <row r="49763" spans="119:119" x14ac:dyDescent="0.2">
      <c r="DO49763" s="303" t="s">
        <v>232</v>
      </c>
    </row>
    <row r="49764" spans="119:119" x14ac:dyDescent="0.2">
      <c r="DO49764" s="303" t="s">
        <v>232</v>
      </c>
    </row>
    <row r="49765" spans="119:119" x14ac:dyDescent="0.2">
      <c r="DO49765" s="303" t="s">
        <v>232</v>
      </c>
    </row>
    <row r="49766" spans="119:119" x14ac:dyDescent="0.2">
      <c r="DO49766" s="303" t="s">
        <v>232</v>
      </c>
    </row>
    <row r="49767" spans="119:119" x14ac:dyDescent="0.2">
      <c r="DO49767" s="303" t="s">
        <v>232</v>
      </c>
    </row>
    <row r="49768" spans="119:119" x14ac:dyDescent="0.2">
      <c r="DO49768" s="303" t="s">
        <v>232</v>
      </c>
    </row>
    <row r="49769" spans="119:119" x14ac:dyDescent="0.2">
      <c r="DO49769" s="303" t="s">
        <v>232</v>
      </c>
    </row>
    <row r="49770" spans="119:119" x14ac:dyDescent="0.2">
      <c r="DO49770" s="303" t="s">
        <v>232</v>
      </c>
    </row>
    <row r="49771" spans="119:119" x14ac:dyDescent="0.2">
      <c r="DO49771" s="303" t="s">
        <v>232</v>
      </c>
    </row>
    <row r="49772" spans="119:119" x14ac:dyDescent="0.2">
      <c r="DO49772" s="303" t="s">
        <v>232</v>
      </c>
    </row>
    <row r="49773" spans="119:119" x14ac:dyDescent="0.2">
      <c r="DO49773" s="303" t="s">
        <v>232</v>
      </c>
    </row>
    <row r="49774" spans="119:119" x14ac:dyDescent="0.2">
      <c r="DO49774" s="303" t="s">
        <v>232</v>
      </c>
    </row>
    <row r="49775" spans="119:119" x14ac:dyDescent="0.2">
      <c r="DO49775" s="303" t="s">
        <v>232</v>
      </c>
    </row>
    <row r="49776" spans="119:119" x14ac:dyDescent="0.2">
      <c r="DO49776" s="303" t="s">
        <v>232</v>
      </c>
    </row>
    <row r="49777" spans="119:119" x14ac:dyDescent="0.2">
      <c r="DO49777" s="303" t="s">
        <v>232</v>
      </c>
    </row>
    <row r="49778" spans="119:119" x14ac:dyDescent="0.2">
      <c r="DO49778" s="303" t="s">
        <v>232</v>
      </c>
    </row>
    <row r="49779" spans="119:119" x14ac:dyDescent="0.2">
      <c r="DO49779" s="303" t="s">
        <v>232</v>
      </c>
    </row>
    <row r="49780" spans="119:119" x14ac:dyDescent="0.2">
      <c r="DO49780" s="303" t="s">
        <v>232</v>
      </c>
    </row>
    <row r="49781" spans="119:119" x14ac:dyDescent="0.2">
      <c r="DO49781" s="303" t="s">
        <v>232</v>
      </c>
    </row>
    <row r="49782" spans="119:119" x14ac:dyDescent="0.2">
      <c r="DO49782" s="303" t="s">
        <v>232</v>
      </c>
    </row>
    <row r="49783" spans="119:119" x14ac:dyDescent="0.2">
      <c r="DO49783" s="303" t="s">
        <v>232</v>
      </c>
    </row>
    <row r="49784" spans="119:119" x14ac:dyDescent="0.2">
      <c r="DO49784" s="303" t="s">
        <v>232</v>
      </c>
    </row>
    <row r="49785" spans="119:119" x14ac:dyDescent="0.2">
      <c r="DO49785" s="303" t="s">
        <v>232</v>
      </c>
    </row>
    <row r="49786" spans="119:119" x14ac:dyDescent="0.2">
      <c r="DO49786" s="303" t="s">
        <v>232</v>
      </c>
    </row>
    <row r="49787" spans="119:119" x14ac:dyDescent="0.2">
      <c r="DO49787" s="303" t="s">
        <v>232</v>
      </c>
    </row>
    <row r="49788" spans="119:119" x14ac:dyDescent="0.2">
      <c r="DO49788" s="303" t="s">
        <v>232</v>
      </c>
    </row>
    <row r="49789" spans="119:119" x14ac:dyDescent="0.2">
      <c r="DO49789" s="303" t="s">
        <v>232</v>
      </c>
    </row>
    <row r="49790" spans="119:119" x14ac:dyDescent="0.2">
      <c r="DO49790" s="303" t="s">
        <v>232</v>
      </c>
    </row>
    <row r="49791" spans="119:119" x14ac:dyDescent="0.2">
      <c r="DO49791" s="303" t="s">
        <v>232</v>
      </c>
    </row>
    <row r="49792" spans="119:119" x14ac:dyDescent="0.2">
      <c r="DO49792" s="303" t="s">
        <v>232</v>
      </c>
    </row>
    <row r="49793" spans="119:119" x14ac:dyDescent="0.2">
      <c r="DO49793" s="303" t="s">
        <v>232</v>
      </c>
    </row>
    <row r="49794" spans="119:119" x14ac:dyDescent="0.2">
      <c r="DO49794" s="303" t="s">
        <v>232</v>
      </c>
    </row>
    <row r="49795" spans="119:119" x14ac:dyDescent="0.2">
      <c r="DO49795" s="303" t="s">
        <v>232</v>
      </c>
    </row>
    <row r="49796" spans="119:119" x14ac:dyDescent="0.2">
      <c r="DO49796" s="303" t="s">
        <v>232</v>
      </c>
    </row>
    <row r="49797" spans="119:119" x14ac:dyDescent="0.2">
      <c r="DO49797" s="303" t="s">
        <v>232</v>
      </c>
    </row>
    <row r="49798" spans="119:119" x14ac:dyDescent="0.2">
      <c r="DO49798" s="303" t="s">
        <v>232</v>
      </c>
    </row>
    <row r="49799" spans="119:119" x14ac:dyDescent="0.2">
      <c r="DO49799" s="303" t="s">
        <v>232</v>
      </c>
    </row>
    <row r="49800" spans="119:119" x14ac:dyDescent="0.2">
      <c r="DO49800" s="303" t="s">
        <v>232</v>
      </c>
    </row>
    <row r="49801" spans="119:119" x14ac:dyDescent="0.2">
      <c r="DO49801" s="303" t="s">
        <v>232</v>
      </c>
    </row>
    <row r="49802" spans="119:119" x14ac:dyDescent="0.2">
      <c r="DO49802" s="303" t="s">
        <v>232</v>
      </c>
    </row>
    <row r="49803" spans="119:119" x14ac:dyDescent="0.2">
      <c r="DO49803" s="303" t="s">
        <v>232</v>
      </c>
    </row>
    <row r="49804" spans="119:119" x14ac:dyDescent="0.2">
      <c r="DO49804" s="303" t="s">
        <v>232</v>
      </c>
    </row>
    <row r="49805" spans="119:119" x14ac:dyDescent="0.2">
      <c r="DO49805" s="303" t="s">
        <v>232</v>
      </c>
    </row>
    <row r="49806" spans="119:119" x14ac:dyDescent="0.2">
      <c r="DO49806" s="303" t="s">
        <v>232</v>
      </c>
    </row>
    <row r="49807" spans="119:119" x14ac:dyDescent="0.2">
      <c r="DO49807" s="303" t="s">
        <v>232</v>
      </c>
    </row>
    <row r="49808" spans="119:119" x14ac:dyDescent="0.2">
      <c r="DO49808" s="303" t="s">
        <v>232</v>
      </c>
    </row>
    <row r="49809" spans="119:119" x14ac:dyDescent="0.2">
      <c r="DO49809" s="303" t="s">
        <v>232</v>
      </c>
    </row>
    <row r="49810" spans="119:119" x14ac:dyDescent="0.2">
      <c r="DO49810" s="303" t="s">
        <v>232</v>
      </c>
    </row>
    <row r="49811" spans="119:119" x14ac:dyDescent="0.2">
      <c r="DO49811" s="303" t="s">
        <v>232</v>
      </c>
    </row>
    <row r="49812" spans="119:119" x14ac:dyDescent="0.2">
      <c r="DO49812" s="303" t="s">
        <v>232</v>
      </c>
    </row>
    <row r="49813" spans="119:119" x14ac:dyDescent="0.2">
      <c r="DO49813" s="303" t="s">
        <v>232</v>
      </c>
    </row>
    <row r="49814" spans="119:119" x14ac:dyDescent="0.2">
      <c r="DO49814" s="303" t="s">
        <v>232</v>
      </c>
    </row>
    <row r="49815" spans="119:119" x14ac:dyDescent="0.2">
      <c r="DO49815" s="303" t="s">
        <v>232</v>
      </c>
    </row>
    <row r="49816" spans="119:119" x14ac:dyDescent="0.2">
      <c r="DO49816" s="303" t="s">
        <v>232</v>
      </c>
    </row>
    <row r="49817" spans="119:119" x14ac:dyDescent="0.2">
      <c r="DO49817" s="303" t="s">
        <v>232</v>
      </c>
    </row>
    <row r="49818" spans="119:119" x14ac:dyDescent="0.2">
      <c r="DO49818" s="303" t="s">
        <v>232</v>
      </c>
    </row>
    <row r="49819" spans="119:119" x14ac:dyDescent="0.2">
      <c r="DO49819" s="303" t="s">
        <v>232</v>
      </c>
    </row>
    <row r="49820" spans="119:119" x14ac:dyDescent="0.2">
      <c r="DO49820" s="303" t="s">
        <v>232</v>
      </c>
    </row>
    <row r="49821" spans="119:119" x14ac:dyDescent="0.2">
      <c r="DO49821" s="303" t="s">
        <v>232</v>
      </c>
    </row>
    <row r="49822" spans="119:119" x14ac:dyDescent="0.2">
      <c r="DO49822" s="303" t="s">
        <v>232</v>
      </c>
    </row>
    <row r="49823" spans="119:119" x14ac:dyDescent="0.2">
      <c r="DO49823" s="303" t="s">
        <v>232</v>
      </c>
    </row>
    <row r="49824" spans="119:119" x14ac:dyDescent="0.2">
      <c r="DO49824" s="303" t="s">
        <v>232</v>
      </c>
    </row>
    <row r="49825" spans="119:119" x14ac:dyDescent="0.2">
      <c r="DO49825" s="303" t="s">
        <v>232</v>
      </c>
    </row>
    <row r="49826" spans="119:119" x14ac:dyDescent="0.2">
      <c r="DO49826" s="303" t="s">
        <v>232</v>
      </c>
    </row>
    <row r="49827" spans="119:119" x14ac:dyDescent="0.2">
      <c r="DO49827" s="303" t="s">
        <v>232</v>
      </c>
    </row>
    <row r="49828" spans="119:119" x14ac:dyDescent="0.2">
      <c r="DO49828" s="303" t="s">
        <v>232</v>
      </c>
    </row>
    <row r="49829" spans="119:119" x14ac:dyDescent="0.2">
      <c r="DO49829" s="303" t="s">
        <v>232</v>
      </c>
    </row>
    <row r="49830" spans="119:119" x14ac:dyDescent="0.2">
      <c r="DO49830" s="303" t="s">
        <v>232</v>
      </c>
    </row>
    <row r="49831" spans="119:119" x14ac:dyDescent="0.2">
      <c r="DO49831" s="303" t="s">
        <v>232</v>
      </c>
    </row>
    <row r="49832" spans="119:119" x14ac:dyDescent="0.2">
      <c r="DO49832" s="303" t="s">
        <v>232</v>
      </c>
    </row>
    <row r="49833" spans="119:119" x14ac:dyDescent="0.2">
      <c r="DO49833" s="303" t="s">
        <v>232</v>
      </c>
    </row>
    <row r="49834" spans="119:119" x14ac:dyDescent="0.2">
      <c r="DO49834" s="303" t="s">
        <v>232</v>
      </c>
    </row>
    <row r="49835" spans="119:119" x14ac:dyDescent="0.2">
      <c r="DO49835" s="303" t="s">
        <v>232</v>
      </c>
    </row>
    <row r="49836" spans="119:119" x14ac:dyDescent="0.2">
      <c r="DO49836" s="303" t="s">
        <v>232</v>
      </c>
    </row>
    <row r="49837" spans="119:119" x14ac:dyDescent="0.2">
      <c r="DO49837" s="303" t="s">
        <v>232</v>
      </c>
    </row>
    <row r="49838" spans="119:119" x14ac:dyDescent="0.2">
      <c r="DO49838" s="303" t="s">
        <v>232</v>
      </c>
    </row>
    <row r="49839" spans="119:119" x14ac:dyDescent="0.2">
      <c r="DO49839" s="303" t="s">
        <v>232</v>
      </c>
    </row>
    <row r="49840" spans="119:119" x14ac:dyDescent="0.2">
      <c r="DO49840" s="303" t="s">
        <v>232</v>
      </c>
    </row>
    <row r="49841" spans="119:119" x14ac:dyDescent="0.2">
      <c r="DO49841" s="303" t="s">
        <v>232</v>
      </c>
    </row>
    <row r="49842" spans="119:119" x14ac:dyDescent="0.2">
      <c r="DO49842" s="303" t="s">
        <v>232</v>
      </c>
    </row>
    <row r="49843" spans="119:119" x14ac:dyDescent="0.2">
      <c r="DO49843" s="303" t="s">
        <v>232</v>
      </c>
    </row>
    <row r="49844" spans="119:119" x14ac:dyDescent="0.2">
      <c r="DO49844" s="303" t="s">
        <v>232</v>
      </c>
    </row>
    <row r="49845" spans="119:119" x14ac:dyDescent="0.2">
      <c r="DO49845" s="303" t="s">
        <v>232</v>
      </c>
    </row>
    <row r="49846" spans="119:119" x14ac:dyDescent="0.2">
      <c r="DO49846" s="303" t="s">
        <v>232</v>
      </c>
    </row>
    <row r="49847" spans="119:119" x14ac:dyDescent="0.2">
      <c r="DO49847" s="303" t="s">
        <v>232</v>
      </c>
    </row>
    <row r="49848" spans="119:119" x14ac:dyDescent="0.2">
      <c r="DO49848" s="303" t="s">
        <v>232</v>
      </c>
    </row>
    <row r="49849" spans="119:119" x14ac:dyDescent="0.2">
      <c r="DO49849" s="303" t="s">
        <v>232</v>
      </c>
    </row>
    <row r="49850" spans="119:119" x14ac:dyDescent="0.2">
      <c r="DO49850" s="303" t="s">
        <v>232</v>
      </c>
    </row>
    <row r="49851" spans="119:119" x14ac:dyDescent="0.2">
      <c r="DO49851" s="303" t="s">
        <v>232</v>
      </c>
    </row>
    <row r="49852" spans="119:119" x14ac:dyDescent="0.2">
      <c r="DO49852" s="303" t="s">
        <v>232</v>
      </c>
    </row>
    <row r="49853" spans="119:119" x14ac:dyDescent="0.2">
      <c r="DO49853" s="303" t="s">
        <v>232</v>
      </c>
    </row>
    <row r="49854" spans="119:119" x14ac:dyDescent="0.2">
      <c r="DO49854" s="303" t="s">
        <v>232</v>
      </c>
    </row>
    <row r="49855" spans="119:119" x14ac:dyDescent="0.2">
      <c r="DO49855" s="303" t="s">
        <v>232</v>
      </c>
    </row>
    <row r="49856" spans="119:119" x14ac:dyDescent="0.2">
      <c r="DO49856" s="303" t="s">
        <v>232</v>
      </c>
    </row>
    <row r="49857" spans="119:119" x14ac:dyDescent="0.2">
      <c r="DO49857" s="303" t="s">
        <v>232</v>
      </c>
    </row>
    <row r="49858" spans="119:119" x14ac:dyDescent="0.2">
      <c r="DO49858" s="303" t="s">
        <v>232</v>
      </c>
    </row>
    <row r="49859" spans="119:119" x14ac:dyDescent="0.2">
      <c r="DO49859" s="303" t="s">
        <v>232</v>
      </c>
    </row>
    <row r="49860" spans="119:119" x14ac:dyDescent="0.2">
      <c r="DO49860" s="303" t="s">
        <v>232</v>
      </c>
    </row>
    <row r="49861" spans="119:119" x14ac:dyDescent="0.2">
      <c r="DO49861" s="303" t="s">
        <v>232</v>
      </c>
    </row>
    <row r="49862" spans="119:119" x14ac:dyDescent="0.2">
      <c r="DO49862" s="303" t="s">
        <v>232</v>
      </c>
    </row>
    <row r="49863" spans="119:119" x14ac:dyDescent="0.2">
      <c r="DO49863" s="303" t="s">
        <v>232</v>
      </c>
    </row>
    <row r="49864" spans="119:119" x14ac:dyDescent="0.2">
      <c r="DO49864" s="303" t="s">
        <v>232</v>
      </c>
    </row>
    <row r="49865" spans="119:119" x14ac:dyDescent="0.2">
      <c r="DO49865" s="303" t="s">
        <v>232</v>
      </c>
    </row>
    <row r="49866" spans="119:119" x14ac:dyDescent="0.2">
      <c r="DO49866" s="303" t="s">
        <v>232</v>
      </c>
    </row>
    <row r="49867" spans="119:119" x14ac:dyDescent="0.2">
      <c r="DO49867" s="303" t="s">
        <v>232</v>
      </c>
    </row>
    <row r="49868" spans="119:119" x14ac:dyDescent="0.2">
      <c r="DO49868" s="303" t="s">
        <v>232</v>
      </c>
    </row>
    <row r="49869" spans="119:119" x14ac:dyDescent="0.2">
      <c r="DO49869" s="303" t="s">
        <v>232</v>
      </c>
    </row>
    <row r="49870" spans="119:119" x14ac:dyDescent="0.2">
      <c r="DO49870" s="303" t="s">
        <v>232</v>
      </c>
    </row>
    <row r="49871" spans="119:119" x14ac:dyDescent="0.2">
      <c r="DO49871" s="303" t="s">
        <v>232</v>
      </c>
    </row>
    <row r="49872" spans="119:119" x14ac:dyDescent="0.2">
      <c r="DO49872" s="303" t="s">
        <v>232</v>
      </c>
    </row>
    <row r="49873" spans="119:119" x14ac:dyDescent="0.2">
      <c r="DO49873" s="303" t="s">
        <v>232</v>
      </c>
    </row>
    <row r="49874" spans="119:119" x14ac:dyDescent="0.2">
      <c r="DO49874" s="303" t="s">
        <v>232</v>
      </c>
    </row>
    <row r="49875" spans="119:119" x14ac:dyDescent="0.2">
      <c r="DO49875" s="303" t="s">
        <v>232</v>
      </c>
    </row>
    <row r="49876" spans="119:119" x14ac:dyDescent="0.2">
      <c r="DO49876" s="303" t="s">
        <v>232</v>
      </c>
    </row>
    <row r="49877" spans="119:119" x14ac:dyDescent="0.2">
      <c r="DO49877" s="303" t="s">
        <v>232</v>
      </c>
    </row>
    <row r="49878" spans="119:119" x14ac:dyDescent="0.2">
      <c r="DO49878" s="303" t="s">
        <v>232</v>
      </c>
    </row>
    <row r="49879" spans="119:119" x14ac:dyDescent="0.2">
      <c r="DO49879" s="303" t="s">
        <v>232</v>
      </c>
    </row>
    <row r="49880" spans="119:119" x14ac:dyDescent="0.2">
      <c r="DO49880" s="303" t="s">
        <v>232</v>
      </c>
    </row>
    <row r="49881" spans="119:119" x14ac:dyDescent="0.2">
      <c r="DO49881" s="303" t="s">
        <v>232</v>
      </c>
    </row>
    <row r="49882" spans="119:119" x14ac:dyDescent="0.2">
      <c r="DO49882" s="303" t="s">
        <v>232</v>
      </c>
    </row>
    <row r="49883" spans="119:119" x14ac:dyDescent="0.2">
      <c r="DO49883" s="303" t="s">
        <v>232</v>
      </c>
    </row>
    <row r="49884" spans="119:119" x14ac:dyDescent="0.2">
      <c r="DO49884" s="303" t="s">
        <v>232</v>
      </c>
    </row>
    <row r="49885" spans="119:119" x14ac:dyDescent="0.2">
      <c r="DO49885" s="303" t="s">
        <v>232</v>
      </c>
    </row>
    <row r="49886" spans="119:119" x14ac:dyDescent="0.2">
      <c r="DO49886" s="303" t="s">
        <v>232</v>
      </c>
    </row>
    <row r="49887" spans="119:119" x14ac:dyDescent="0.2">
      <c r="DO49887" s="303" t="s">
        <v>232</v>
      </c>
    </row>
    <row r="49888" spans="119:119" x14ac:dyDescent="0.2">
      <c r="DO49888" s="303" t="s">
        <v>232</v>
      </c>
    </row>
    <row r="49889" spans="119:119" x14ac:dyDescent="0.2">
      <c r="DO49889" s="303" t="s">
        <v>232</v>
      </c>
    </row>
    <row r="49890" spans="119:119" x14ac:dyDescent="0.2">
      <c r="DO49890" s="303" t="s">
        <v>232</v>
      </c>
    </row>
    <row r="49891" spans="119:119" x14ac:dyDescent="0.2">
      <c r="DO49891" s="303" t="s">
        <v>232</v>
      </c>
    </row>
    <row r="49892" spans="119:119" x14ac:dyDescent="0.2">
      <c r="DO49892" s="303" t="s">
        <v>232</v>
      </c>
    </row>
    <row r="49893" spans="119:119" x14ac:dyDescent="0.2">
      <c r="DO49893" s="303" t="s">
        <v>232</v>
      </c>
    </row>
    <row r="49894" spans="119:119" x14ac:dyDescent="0.2">
      <c r="DO49894" s="303" t="s">
        <v>232</v>
      </c>
    </row>
    <row r="49895" spans="119:119" x14ac:dyDescent="0.2">
      <c r="DO49895" s="303" t="s">
        <v>232</v>
      </c>
    </row>
    <row r="49896" spans="119:119" x14ac:dyDescent="0.2">
      <c r="DO49896" s="303" t="s">
        <v>232</v>
      </c>
    </row>
    <row r="49897" spans="119:119" x14ac:dyDescent="0.2">
      <c r="DO49897" s="303" t="s">
        <v>232</v>
      </c>
    </row>
    <row r="49898" spans="119:119" x14ac:dyDescent="0.2">
      <c r="DO49898" s="303" t="s">
        <v>232</v>
      </c>
    </row>
    <row r="49899" spans="119:119" x14ac:dyDescent="0.2">
      <c r="DO49899" s="303" t="s">
        <v>232</v>
      </c>
    </row>
    <row r="49900" spans="119:119" x14ac:dyDescent="0.2">
      <c r="DO49900" s="303" t="s">
        <v>232</v>
      </c>
    </row>
    <row r="49901" spans="119:119" x14ac:dyDescent="0.2">
      <c r="DO49901" s="303" t="s">
        <v>232</v>
      </c>
    </row>
    <row r="49902" spans="119:119" x14ac:dyDescent="0.2">
      <c r="DO49902" s="303" t="s">
        <v>232</v>
      </c>
    </row>
    <row r="49903" spans="119:119" x14ac:dyDescent="0.2">
      <c r="DO49903" s="303" t="s">
        <v>232</v>
      </c>
    </row>
    <row r="49904" spans="119:119" x14ac:dyDescent="0.2">
      <c r="DO49904" s="303" t="s">
        <v>232</v>
      </c>
    </row>
    <row r="49905" spans="119:119" x14ac:dyDescent="0.2">
      <c r="DO49905" s="303" t="s">
        <v>232</v>
      </c>
    </row>
    <row r="49906" spans="119:119" x14ac:dyDescent="0.2">
      <c r="DO49906" s="303" t="s">
        <v>232</v>
      </c>
    </row>
    <row r="49907" spans="119:119" x14ac:dyDescent="0.2">
      <c r="DO49907" s="303" t="s">
        <v>232</v>
      </c>
    </row>
    <row r="49908" spans="119:119" x14ac:dyDescent="0.2">
      <c r="DO49908" s="303" t="s">
        <v>232</v>
      </c>
    </row>
    <row r="49909" spans="119:119" x14ac:dyDescent="0.2">
      <c r="DO49909" s="303" t="s">
        <v>232</v>
      </c>
    </row>
    <row r="49910" spans="119:119" x14ac:dyDescent="0.2">
      <c r="DO49910" s="303" t="s">
        <v>232</v>
      </c>
    </row>
    <row r="49911" spans="119:119" x14ac:dyDescent="0.2">
      <c r="DO49911" s="303" t="s">
        <v>232</v>
      </c>
    </row>
    <row r="49912" spans="119:119" x14ac:dyDescent="0.2">
      <c r="DO49912" s="303" t="s">
        <v>232</v>
      </c>
    </row>
    <row r="49913" spans="119:119" x14ac:dyDescent="0.2">
      <c r="DO49913" s="303" t="s">
        <v>232</v>
      </c>
    </row>
    <row r="49914" spans="119:119" x14ac:dyDescent="0.2">
      <c r="DO49914" s="303" t="s">
        <v>232</v>
      </c>
    </row>
    <row r="49915" spans="119:119" x14ac:dyDescent="0.2">
      <c r="DO49915" s="303" t="s">
        <v>232</v>
      </c>
    </row>
    <row r="49916" spans="119:119" x14ac:dyDescent="0.2">
      <c r="DO49916" s="303" t="s">
        <v>232</v>
      </c>
    </row>
    <row r="49917" spans="119:119" x14ac:dyDescent="0.2">
      <c r="DO49917" s="303" t="s">
        <v>232</v>
      </c>
    </row>
    <row r="49918" spans="119:119" x14ac:dyDescent="0.2">
      <c r="DO49918" s="303" t="s">
        <v>232</v>
      </c>
    </row>
    <row r="49919" spans="119:119" x14ac:dyDescent="0.2">
      <c r="DO49919" s="303" t="s">
        <v>232</v>
      </c>
    </row>
    <row r="49920" spans="119:119" x14ac:dyDescent="0.2">
      <c r="DO49920" s="303" t="s">
        <v>232</v>
      </c>
    </row>
    <row r="49921" spans="119:119" x14ac:dyDescent="0.2">
      <c r="DO49921" s="303" t="s">
        <v>232</v>
      </c>
    </row>
    <row r="49922" spans="119:119" x14ac:dyDescent="0.2">
      <c r="DO49922" s="303" t="s">
        <v>232</v>
      </c>
    </row>
    <row r="49923" spans="119:119" x14ac:dyDescent="0.2">
      <c r="DO49923" s="303" t="s">
        <v>232</v>
      </c>
    </row>
    <row r="49924" spans="119:119" x14ac:dyDescent="0.2">
      <c r="DO49924" s="303" t="s">
        <v>232</v>
      </c>
    </row>
    <row r="49925" spans="119:119" x14ac:dyDescent="0.2">
      <c r="DO49925" s="303" t="s">
        <v>232</v>
      </c>
    </row>
    <row r="49926" spans="119:119" x14ac:dyDescent="0.2">
      <c r="DO49926" s="303" t="s">
        <v>232</v>
      </c>
    </row>
    <row r="49927" spans="119:119" x14ac:dyDescent="0.2">
      <c r="DO49927" s="303" t="s">
        <v>232</v>
      </c>
    </row>
    <row r="49928" spans="119:119" x14ac:dyDescent="0.2">
      <c r="DO49928" s="303" t="s">
        <v>232</v>
      </c>
    </row>
    <row r="49929" spans="119:119" x14ac:dyDescent="0.2">
      <c r="DO49929" s="303" t="s">
        <v>232</v>
      </c>
    </row>
    <row r="49930" spans="119:119" x14ac:dyDescent="0.2">
      <c r="DO49930" s="303" t="s">
        <v>232</v>
      </c>
    </row>
    <row r="49931" spans="119:119" x14ac:dyDescent="0.2">
      <c r="DO49931" s="303" t="s">
        <v>232</v>
      </c>
    </row>
    <row r="49932" spans="119:119" x14ac:dyDescent="0.2">
      <c r="DO49932" s="303" t="s">
        <v>232</v>
      </c>
    </row>
    <row r="49933" spans="119:119" x14ac:dyDescent="0.2">
      <c r="DO49933" s="303" t="s">
        <v>232</v>
      </c>
    </row>
    <row r="49934" spans="119:119" x14ac:dyDescent="0.2">
      <c r="DO49934" s="303" t="s">
        <v>232</v>
      </c>
    </row>
    <row r="49935" spans="119:119" x14ac:dyDescent="0.2">
      <c r="DO49935" s="303" t="s">
        <v>232</v>
      </c>
    </row>
    <row r="49936" spans="119:119" x14ac:dyDescent="0.2">
      <c r="DO49936" s="303" t="s">
        <v>232</v>
      </c>
    </row>
    <row r="49937" spans="119:119" x14ac:dyDescent="0.2">
      <c r="DO49937" s="303" t="s">
        <v>232</v>
      </c>
    </row>
    <row r="49938" spans="119:119" x14ac:dyDescent="0.2">
      <c r="DO49938" s="303" t="s">
        <v>232</v>
      </c>
    </row>
    <row r="49939" spans="119:119" x14ac:dyDescent="0.2">
      <c r="DO49939" s="303" t="s">
        <v>232</v>
      </c>
    </row>
    <row r="49940" spans="119:119" x14ac:dyDescent="0.2">
      <c r="DO49940" s="303" t="s">
        <v>232</v>
      </c>
    </row>
    <row r="49941" spans="119:119" x14ac:dyDescent="0.2">
      <c r="DO49941" s="303" t="s">
        <v>232</v>
      </c>
    </row>
    <row r="49942" spans="119:119" x14ac:dyDescent="0.2">
      <c r="DO49942" s="303" t="s">
        <v>232</v>
      </c>
    </row>
    <row r="49943" spans="119:119" x14ac:dyDescent="0.2">
      <c r="DO49943" s="303" t="s">
        <v>232</v>
      </c>
    </row>
    <row r="49944" spans="119:119" x14ac:dyDescent="0.2">
      <c r="DO49944" s="303" t="s">
        <v>232</v>
      </c>
    </row>
    <row r="49945" spans="119:119" x14ac:dyDescent="0.2">
      <c r="DO49945" s="303" t="s">
        <v>232</v>
      </c>
    </row>
    <row r="49946" spans="119:119" x14ac:dyDescent="0.2">
      <c r="DO49946" s="303" t="s">
        <v>232</v>
      </c>
    </row>
    <row r="49947" spans="119:119" x14ac:dyDescent="0.2">
      <c r="DO49947" s="303" t="s">
        <v>232</v>
      </c>
    </row>
    <row r="49948" spans="119:119" x14ac:dyDescent="0.2">
      <c r="DO49948" s="303" t="s">
        <v>232</v>
      </c>
    </row>
    <row r="49949" spans="119:119" x14ac:dyDescent="0.2">
      <c r="DO49949" s="303" t="s">
        <v>232</v>
      </c>
    </row>
    <row r="49950" spans="119:119" x14ac:dyDescent="0.2">
      <c r="DO49950" s="303" t="s">
        <v>232</v>
      </c>
    </row>
    <row r="49951" spans="119:119" x14ac:dyDescent="0.2">
      <c r="DO49951" s="303" t="s">
        <v>232</v>
      </c>
    </row>
    <row r="49952" spans="119:119" x14ac:dyDescent="0.2">
      <c r="DO49952" s="303" t="s">
        <v>232</v>
      </c>
    </row>
    <row r="49953" spans="119:119" x14ac:dyDescent="0.2">
      <c r="DO49953" s="303" t="s">
        <v>232</v>
      </c>
    </row>
    <row r="49954" spans="119:119" x14ac:dyDescent="0.2">
      <c r="DO49954" s="303" t="s">
        <v>232</v>
      </c>
    </row>
    <row r="49955" spans="119:119" x14ac:dyDescent="0.2">
      <c r="DO49955" s="303" t="s">
        <v>232</v>
      </c>
    </row>
    <row r="49956" spans="119:119" x14ac:dyDescent="0.2">
      <c r="DO49956" s="303" t="s">
        <v>232</v>
      </c>
    </row>
    <row r="49957" spans="119:119" x14ac:dyDescent="0.2">
      <c r="DO49957" s="303" t="s">
        <v>232</v>
      </c>
    </row>
    <row r="49958" spans="119:119" x14ac:dyDescent="0.2">
      <c r="DO49958" s="303" t="s">
        <v>232</v>
      </c>
    </row>
    <row r="49959" spans="119:119" x14ac:dyDescent="0.2">
      <c r="DO49959" s="303" t="s">
        <v>232</v>
      </c>
    </row>
    <row r="49960" spans="119:119" x14ac:dyDescent="0.2">
      <c r="DO49960" s="303" t="s">
        <v>232</v>
      </c>
    </row>
    <row r="49961" spans="119:119" x14ac:dyDescent="0.2">
      <c r="DO49961" s="303" t="s">
        <v>232</v>
      </c>
    </row>
    <row r="49962" spans="119:119" x14ac:dyDescent="0.2">
      <c r="DO49962" s="303" t="s">
        <v>232</v>
      </c>
    </row>
    <row r="49963" spans="119:119" x14ac:dyDescent="0.2">
      <c r="DO49963" s="303" t="s">
        <v>232</v>
      </c>
    </row>
    <row r="49964" spans="119:119" x14ac:dyDescent="0.2">
      <c r="DO49964" s="303" t="s">
        <v>232</v>
      </c>
    </row>
    <row r="49965" spans="119:119" x14ac:dyDescent="0.2">
      <c r="DO49965" s="303" t="s">
        <v>232</v>
      </c>
    </row>
    <row r="49966" spans="119:119" x14ac:dyDescent="0.2">
      <c r="DO49966" s="303" t="s">
        <v>232</v>
      </c>
    </row>
    <row r="49967" spans="119:119" x14ac:dyDescent="0.2">
      <c r="DO49967" s="303" t="s">
        <v>232</v>
      </c>
    </row>
    <row r="49968" spans="119:119" x14ac:dyDescent="0.2">
      <c r="DO49968" s="303" t="s">
        <v>232</v>
      </c>
    </row>
    <row r="49969" spans="119:119" x14ac:dyDescent="0.2">
      <c r="DO49969" s="303" t="s">
        <v>232</v>
      </c>
    </row>
    <row r="49970" spans="119:119" x14ac:dyDescent="0.2">
      <c r="DO49970" s="303" t="s">
        <v>232</v>
      </c>
    </row>
    <row r="49971" spans="119:119" x14ac:dyDescent="0.2">
      <c r="DO49971" s="303" t="s">
        <v>232</v>
      </c>
    </row>
    <row r="49972" spans="119:119" x14ac:dyDescent="0.2">
      <c r="DO49972" s="303" t="s">
        <v>232</v>
      </c>
    </row>
    <row r="49973" spans="119:119" x14ac:dyDescent="0.2">
      <c r="DO49973" s="303" t="s">
        <v>232</v>
      </c>
    </row>
    <row r="49974" spans="119:119" x14ac:dyDescent="0.2">
      <c r="DO49974" s="303" t="s">
        <v>232</v>
      </c>
    </row>
    <row r="49975" spans="119:119" x14ac:dyDescent="0.2">
      <c r="DO49975" s="303" t="s">
        <v>232</v>
      </c>
    </row>
    <row r="49976" spans="119:119" x14ac:dyDescent="0.2">
      <c r="DO49976" s="303" t="s">
        <v>232</v>
      </c>
    </row>
    <row r="49977" spans="119:119" x14ac:dyDescent="0.2">
      <c r="DO49977" s="303" t="s">
        <v>232</v>
      </c>
    </row>
    <row r="49978" spans="119:119" x14ac:dyDescent="0.2">
      <c r="DO49978" s="303" t="s">
        <v>232</v>
      </c>
    </row>
    <row r="49979" spans="119:119" x14ac:dyDescent="0.2">
      <c r="DO49979" s="303" t="s">
        <v>232</v>
      </c>
    </row>
    <row r="49980" spans="119:119" x14ac:dyDescent="0.2">
      <c r="DO49980" s="303" t="s">
        <v>232</v>
      </c>
    </row>
    <row r="49981" spans="119:119" x14ac:dyDescent="0.2">
      <c r="DO49981" s="303" t="s">
        <v>232</v>
      </c>
    </row>
    <row r="49982" spans="119:119" x14ac:dyDescent="0.2">
      <c r="DO49982" s="303" t="s">
        <v>232</v>
      </c>
    </row>
    <row r="49983" spans="119:119" x14ac:dyDescent="0.2">
      <c r="DO49983" s="303" t="s">
        <v>232</v>
      </c>
    </row>
    <row r="49984" spans="119:119" x14ac:dyDescent="0.2">
      <c r="DO49984" s="303" t="s">
        <v>232</v>
      </c>
    </row>
    <row r="49985" spans="119:119" x14ac:dyDescent="0.2">
      <c r="DO49985" s="303" t="s">
        <v>232</v>
      </c>
    </row>
    <row r="49986" spans="119:119" x14ac:dyDescent="0.2">
      <c r="DO49986" s="303" t="s">
        <v>232</v>
      </c>
    </row>
    <row r="49987" spans="119:119" x14ac:dyDescent="0.2">
      <c r="DO49987" s="303" t="s">
        <v>232</v>
      </c>
    </row>
    <row r="49988" spans="119:119" x14ac:dyDescent="0.2">
      <c r="DO49988" s="303" t="s">
        <v>232</v>
      </c>
    </row>
    <row r="49989" spans="119:119" x14ac:dyDescent="0.2">
      <c r="DO49989" s="303" t="s">
        <v>232</v>
      </c>
    </row>
    <row r="49990" spans="119:119" x14ac:dyDescent="0.2">
      <c r="DO49990" s="303" t="s">
        <v>232</v>
      </c>
    </row>
    <row r="49991" spans="119:119" x14ac:dyDescent="0.2">
      <c r="DO49991" s="303" t="s">
        <v>232</v>
      </c>
    </row>
    <row r="49992" spans="119:119" x14ac:dyDescent="0.2">
      <c r="DO49992" s="303" t="s">
        <v>232</v>
      </c>
    </row>
    <row r="49993" spans="119:119" x14ac:dyDescent="0.2">
      <c r="DO49993" s="303" t="s">
        <v>232</v>
      </c>
    </row>
    <row r="49994" spans="119:119" x14ac:dyDescent="0.2">
      <c r="DO49994" s="303" t="s">
        <v>232</v>
      </c>
    </row>
    <row r="49995" spans="119:119" x14ac:dyDescent="0.2">
      <c r="DO49995" s="303" t="s">
        <v>232</v>
      </c>
    </row>
    <row r="49996" spans="119:119" x14ac:dyDescent="0.2">
      <c r="DO49996" s="303" t="s">
        <v>232</v>
      </c>
    </row>
    <row r="49997" spans="119:119" x14ac:dyDescent="0.2">
      <c r="DO49997" s="303" t="s">
        <v>232</v>
      </c>
    </row>
    <row r="49998" spans="119:119" x14ac:dyDescent="0.2">
      <c r="DO49998" s="303" t="s">
        <v>232</v>
      </c>
    </row>
    <row r="49999" spans="119:119" x14ac:dyDescent="0.2">
      <c r="DO49999" s="303" t="s">
        <v>232</v>
      </c>
    </row>
    <row r="50000" spans="119:119" x14ac:dyDescent="0.2">
      <c r="DO50000" s="303" t="s">
        <v>232</v>
      </c>
    </row>
    <row r="50001" spans="119:119" x14ac:dyDescent="0.2">
      <c r="DO50001" s="303" t="s">
        <v>232</v>
      </c>
    </row>
    <row r="50002" spans="119:119" x14ac:dyDescent="0.2">
      <c r="DO50002" s="303" t="s">
        <v>232</v>
      </c>
    </row>
    <row r="50003" spans="119:119" x14ac:dyDescent="0.2">
      <c r="DO50003" s="303" t="s">
        <v>232</v>
      </c>
    </row>
    <row r="50004" spans="119:119" x14ac:dyDescent="0.2">
      <c r="DO50004" s="303" t="s">
        <v>232</v>
      </c>
    </row>
    <row r="50005" spans="119:119" x14ac:dyDescent="0.2">
      <c r="DO50005" s="303" t="s">
        <v>232</v>
      </c>
    </row>
    <row r="50006" spans="119:119" x14ac:dyDescent="0.2">
      <c r="DO50006" s="303" t="s">
        <v>232</v>
      </c>
    </row>
    <row r="50007" spans="119:119" x14ac:dyDescent="0.2">
      <c r="DO50007" s="303" t="s">
        <v>232</v>
      </c>
    </row>
    <row r="50008" spans="119:119" x14ac:dyDescent="0.2">
      <c r="DO50008" s="303" t="s">
        <v>232</v>
      </c>
    </row>
    <row r="50009" spans="119:119" x14ac:dyDescent="0.2">
      <c r="DO50009" s="303" t="s">
        <v>232</v>
      </c>
    </row>
    <row r="50010" spans="119:119" x14ac:dyDescent="0.2">
      <c r="DO50010" s="303" t="s">
        <v>232</v>
      </c>
    </row>
    <row r="50011" spans="119:119" x14ac:dyDescent="0.2">
      <c r="DO50011" s="303" t="s">
        <v>232</v>
      </c>
    </row>
    <row r="50012" spans="119:119" x14ac:dyDescent="0.2">
      <c r="DO50012" s="303" t="s">
        <v>232</v>
      </c>
    </row>
    <row r="50013" spans="119:119" x14ac:dyDescent="0.2">
      <c r="DO50013" s="303" t="s">
        <v>232</v>
      </c>
    </row>
    <row r="50014" spans="119:119" x14ac:dyDescent="0.2">
      <c r="DO50014" s="303" t="s">
        <v>232</v>
      </c>
    </row>
    <row r="50015" spans="119:119" x14ac:dyDescent="0.2">
      <c r="DO50015" s="303" t="s">
        <v>232</v>
      </c>
    </row>
    <row r="50016" spans="119:119" x14ac:dyDescent="0.2">
      <c r="DO50016" s="303" t="s">
        <v>232</v>
      </c>
    </row>
    <row r="50017" spans="119:119" x14ac:dyDescent="0.2">
      <c r="DO50017" s="303" t="s">
        <v>232</v>
      </c>
    </row>
    <row r="50018" spans="119:119" x14ac:dyDescent="0.2">
      <c r="DO50018" s="303" t="s">
        <v>232</v>
      </c>
    </row>
    <row r="50019" spans="119:119" x14ac:dyDescent="0.2">
      <c r="DO50019" s="303" t="s">
        <v>232</v>
      </c>
    </row>
    <row r="50020" spans="119:119" x14ac:dyDescent="0.2">
      <c r="DO50020" s="303" t="s">
        <v>232</v>
      </c>
    </row>
    <row r="50021" spans="119:119" x14ac:dyDescent="0.2">
      <c r="DO50021" s="303" t="s">
        <v>232</v>
      </c>
    </row>
    <row r="50022" spans="119:119" x14ac:dyDescent="0.2">
      <c r="DO50022" s="303" t="s">
        <v>232</v>
      </c>
    </row>
    <row r="50023" spans="119:119" x14ac:dyDescent="0.2">
      <c r="DO50023" s="303" t="s">
        <v>232</v>
      </c>
    </row>
    <row r="50024" spans="119:119" x14ac:dyDescent="0.2">
      <c r="DO50024" s="303" t="s">
        <v>232</v>
      </c>
    </row>
    <row r="50025" spans="119:119" x14ac:dyDescent="0.2">
      <c r="DO50025" s="303" t="s">
        <v>232</v>
      </c>
    </row>
    <row r="50026" spans="119:119" x14ac:dyDescent="0.2">
      <c r="DO50026" s="303" t="s">
        <v>232</v>
      </c>
    </row>
    <row r="50027" spans="119:119" x14ac:dyDescent="0.2">
      <c r="DO50027" s="303" t="s">
        <v>232</v>
      </c>
    </row>
    <row r="50028" spans="119:119" x14ac:dyDescent="0.2">
      <c r="DO50028" s="303" t="s">
        <v>232</v>
      </c>
    </row>
    <row r="50029" spans="119:119" x14ac:dyDescent="0.2">
      <c r="DO50029" s="303" t="s">
        <v>232</v>
      </c>
    </row>
    <row r="50030" spans="119:119" x14ac:dyDescent="0.2">
      <c r="DO50030" s="303" t="s">
        <v>232</v>
      </c>
    </row>
    <row r="50031" spans="119:119" x14ac:dyDescent="0.2">
      <c r="DO50031" s="303" t="s">
        <v>232</v>
      </c>
    </row>
    <row r="50032" spans="119:119" x14ac:dyDescent="0.2">
      <c r="DO50032" s="303" t="s">
        <v>232</v>
      </c>
    </row>
    <row r="50033" spans="119:119" x14ac:dyDescent="0.2">
      <c r="DO50033" s="303" t="s">
        <v>232</v>
      </c>
    </row>
    <row r="50034" spans="119:119" x14ac:dyDescent="0.2">
      <c r="DO50034" s="303" t="s">
        <v>232</v>
      </c>
    </row>
    <row r="50035" spans="119:119" x14ac:dyDescent="0.2">
      <c r="DO50035" s="303" t="s">
        <v>232</v>
      </c>
    </row>
    <row r="50036" spans="119:119" x14ac:dyDescent="0.2">
      <c r="DO50036" s="303" t="s">
        <v>232</v>
      </c>
    </row>
    <row r="50037" spans="119:119" x14ac:dyDescent="0.2">
      <c r="DO50037" s="303" t="s">
        <v>232</v>
      </c>
    </row>
    <row r="50038" spans="119:119" x14ac:dyDescent="0.2">
      <c r="DO50038" s="303" t="s">
        <v>232</v>
      </c>
    </row>
    <row r="50039" spans="119:119" x14ac:dyDescent="0.2">
      <c r="DO50039" s="303" t="s">
        <v>232</v>
      </c>
    </row>
    <row r="50040" spans="119:119" x14ac:dyDescent="0.2">
      <c r="DO50040" s="303" t="s">
        <v>232</v>
      </c>
    </row>
    <row r="50041" spans="119:119" x14ac:dyDescent="0.2">
      <c r="DO50041" s="303" t="s">
        <v>232</v>
      </c>
    </row>
    <row r="50042" spans="119:119" x14ac:dyDescent="0.2">
      <c r="DO50042" s="303" t="s">
        <v>232</v>
      </c>
    </row>
    <row r="50043" spans="119:119" x14ac:dyDescent="0.2">
      <c r="DO50043" s="303" t="s">
        <v>232</v>
      </c>
    </row>
    <row r="50044" spans="119:119" x14ac:dyDescent="0.2">
      <c r="DO50044" s="303" t="s">
        <v>232</v>
      </c>
    </row>
    <row r="50045" spans="119:119" x14ac:dyDescent="0.2">
      <c r="DO50045" s="303" t="s">
        <v>232</v>
      </c>
    </row>
    <row r="50046" spans="119:119" x14ac:dyDescent="0.2">
      <c r="DO50046" s="303" t="s">
        <v>232</v>
      </c>
    </row>
    <row r="50047" spans="119:119" x14ac:dyDescent="0.2">
      <c r="DO50047" s="303" t="s">
        <v>232</v>
      </c>
    </row>
    <row r="50048" spans="119:119" x14ac:dyDescent="0.2">
      <c r="DO50048" s="303" t="s">
        <v>232</v>
      </c>
    </row>
    <row r="50049" spans="119:119" x14ac:dyDescent="0.2">
      <c r="DO50049" s="303" t="s">
        <v>232</v>
      </c>
    </row>
    <row r="50050" spans="119:119" x14ac:dyDescent="0.2">
      <c r="DO50050" s="303" t="s">
        <v>232</v>
      </c>
    </row>
    <row r="50051" spans="119:119" x14ac:dyDescent="0.2">
      <c r="DO50051" s="303" t="s">
        <v>232</v>
      </c>
    </row>
    <row r="50052" spans="119:119" x14ac:dyDescent="0.2">
      <c r="DO50052" s="303" t="s">
        <v>232</v>
      </c>
    </row>
    <row r="50053" spans="119:119" x14ac:dyDescent="0.2">
      <c r="DO50053" s="303" t="s">
        <v>232</v>
      </c>
    </row>
    <row r="50054" spans="119:119" x14ac:dyDescent="0.2">
      <c r="DO50054" s="303" t="s">
        <v>232</v>
      </c>
    </row>
    <row r="50055" spans="119:119" x14ac:dyDescent="0.2">
      <c r="DO50055" s="303" t="s">
        <v>232</v>
      </c>
    </row>
    <row r="50056" spans="119:119" x14ac:dyDescent="0.2">
      <c r="DO50056" s="303" t="s">
        <v>232</v>
      </c>
    </row>
    <row r="50057" spans="119:119" x14ac:dyDescent="0.2">
      <c r="DO50057" s="303" t="s">
        <v>232</v>
      </c>
    </row>
    <row r="50058" spans="119:119" x14ac:dyDescent="0.2">
      <c r="DO50058" s="303" t="s">
        <v>232</v>
      </c>
    </row>
    <row r="50059" spans="119:119" x14ac:dyDescent="0.2">
      <c r="DO50059" s="303" t="s">
        <v>232</v>
      </c>
    </row>
    <row r="50060" spans="119:119" x14ac:dyDescent="0.2">
      <c r="DO50060" s="303" t="s">
        <v>232</v>
      </c>
    </row>
    <row r="50061" spans="119:119" x14ac:dyDescent="0.2">
      <c r="DO50061" s="303" t="s">
        <v>232</v>
      </c>
    </row>
    <row r="50062" spans="119:119" x14ac:dyDescent="0.2">
      <c r="DO50062" s="303" t="s">
        <v>232</v>
      </c>
    </row>
    <row r="50063" spans="119:119" x14ac:dyDescent="0.2">
      <c r="DO50063" s="303" t="s">
        <v>232</v>
      </c>
    </row>
    <row r="50064" spans="119:119" x14ac:dyDescent="0.2">
      <c r="DO50064" s="303" t="s">
        <v>232</v>
      </c>
    </row>
    <row r="50065" spans="119:119" x14ac:dyDescent="0.2">
      <c r="DO50065" s="303" t="s">
        <v>232</v>
      </c>
    </row>
    <row r="50066" spans="119:119" x14ac:dyDescent="0.2">
      <c r="DO50066" s="303" t="s">
        <v>232</v>
      </c>
    </row>
    <row r="50067" spans="119:119" x14ac:dyDescent="0.2">
      <c r="DO50067" s="303" t="s">
        <v>232</v>
      </c>
    </row>
    <row r="50068" spans="119:119" x14ac:dyDescent="0.2">
      <c r="DO50068" s="303" t="s">
        <v>232</v>
      </c>
    </row>
    <row r="50069" spans="119:119" x14ac:dyDescent="0.2">
      <c r="DO50069" s="303" t="s">
        <v>232</v>
      </c>
    </row>
    <row r="50070" spans="119:119" x14ac:dyDescent="0.2">
      <c r="DO50070" s="303" t="s">
        <v>232</v>
      </c>
    </row>
    <row r="50071" spans="119:119" x14ac:dyDescent="0.2">
      <c r="DO50071" s="303" t="s">
        <v>232</v>
      </c>
    </row>
    <row r="50072" spans="119:119" x14ac:dyDescent="0.2">
      <c r="DO50072" s="303" t="s">
        <v>232</v>
      </c>
    </row>
    <row r="50073" spans="119:119" x14ac:dyDescent="0.2">
      <c r="DO50073" s="303" t="s">
        <v>232</v>
      </c>
    </row>
    <row r="50074" spans="119:119" x14ac:dyDescent="0.2">
      <c r="DO50074" s="303" t="s">
        <v>232</v>
      </c>
    </row>
    <row r="50075" spans="119:119" x14ac:dyDescent="0.2">
      <c r="DO50075" s="303" t="s">
        <v>232</v>
      </c>
    </row>
    <row r="50076" spans="119:119" x14ac:dyDescent="0.2">
      <c r="DO50076" s="303" t="s">
        <v>232</v>
      </c>
    </row>
    <row r="50077" spans="119:119" x14ac:dyDescent="0.2">
      <c r="DO50077" s="303" t="s">
        <v>232</v>
      </c>
    </row>
    <row r="50078" spans="119:119" x14ac:dyDescent="0.2">
      <c r="DO50078" s="303" t="s">
        <v>232</v>
      </c>
    </row>
    <row r="50079" spans="119:119" x14ac:dyDescent="0.2">
      <c r="DO50079" s="303" t="s">
        <v>232</v>
      </c>
    </row>
    <row r="50080" spans="119:119" x14ac:dyDescent="0.2">
      <c r="DO50080" s="303" t="s">
        <v>232</v>
      </c>
    </row>
    <row r="50081" spans="119:119" x14ac:dyDescent="0.2">
      <c r="DO50081" s="303" t="s">
        <v>232</v>
      </c>
    </row>
    <row r="50082" spans="119:119" x14ac:dyDescent="0.2">
      <c r="DO50082" s="303" t="s">
        <v>232</v>
      </c>
    </row>
    <row r="50083" spans="119:119" x14ac:dyDescent="0.2">
      <c r="DO50083" s="303" t="s">
        <v>232</v>
      </c>
    </row>
    <row r="50084" spans="119:119" x14ac:dyDescent="0.2">
      <c r="DO50084" s="303" t="s">
        <v>232</v>
      </c>
    </row>
    <row r="50085" spans="119:119" x14ac:dyDescent="0.2">
      <c r="DO50085" s="303" t="s">
        <v>232</v>
      </c>
    </row>
    <row r="50086" spans="119:119" x14ac:dyDescent="0.2">
      <c r="DO50086" s="303" t="s">
        <v>232</v>
      </c>
    </row>
    <row r="50087" spans="119:119" x14ac:dyDescent="0.2">
      <c r="DO50087" s="303" t="s">
        <v>232</v>
      </c>
    </row>
    <row r="50088" spans="119:119" x14ac:dyDescent="0.2">
      <c r="DO50088" s="303" t="s">
        <v>232</v>
      </c>
    </row>
    <row r="50089" spans="119:119" x14ac:dyDescent="0.2">
      <c r="DO50089" s="303" t="s">
        <v>232</v>
      </c>
    </row>
    <row r="50090" spans="119:119" x14ac:dyDescent="0.2">
      <c r="DO50090" s="303" t="s">
        <v>232</v>
      </c>
    </row>
    <row r="50091" spans="119:119" x14ac:dyDescent="0.2">
      <c r="DO50091" s="303" t="s">
        <v>232</v>
      </c>
    </row>
    <row r="50092" spans="119:119" x14ac:dyDescent="0.2">
      <c r="DO50092" s="303" t="s">
        <v>232</v>
      </c>
    </row>
    <row r="50093" spans="119:119" x14ac:dyDescent="0.2">
      <c r="DO50093" s="303" t="s">
        <v>232</v>
      </c>
    </row>
    <row r="50094" spans="119:119" x14ac:dyDescent="0.2">
      <c r="DO50094" s="303" t="s">
        <v>232</v>
      </c>
    </row>
    <row r="50095" spans="119:119" x14ac:dyDescent="0.2">
      <c r="DO50095" s="303" t="s">
        <v>232</v>
      </c>
    </row>
    <row r="50096" spans="119:119" x14ac:dyDescent="0.2">
      <c r="DO50096" s="303" t="s">
        <v>232</v>
      </c>
    </row>
    <row r="50097" spans="119:119" x14ac:dyDescent="0.2">
      <c r="DO50097" s="303" t="s">
        <v>232</v>
      </c>
    </row>
    <row r="50098" spans="119:119" x14ac:dyDescent="0.2">
      <c r="DO50098" s="303" t="s">
        <v>232</v>
      </c>
    </row>
    <row r="50099" spans="119:119" x14ac:dyDescent="0.2">
      <c r="DO50099" s="303" t="s">
        <v>232</v>
      </c>
    </row>
    <row r="50100" spans="119:119" x14ac:dyDescent="0.2">
      <c r="DO50100" s="303" t="s">
        <v>232</v>
      </c>
    </row>
    <row r="50101" spans="119:119" x14ac:dyDescent="0.2">
      <c r="DO50101" s="303" t="s">
        <v>232</v>
      </c>
    </row>
    <row r="50102" spans="119:119" x14ac:dyDescent="0.2">
      <c r="DO50102" s="303" t="s">
        <v>232</v>
      </c>
    </row>
    <row r="50103" spans="119:119" x14ac:dyDescent="0.2">
      <c r="DO50103" s="303" t="s">
        <v>232</v>
      </c>
    </row>
    <row r="50104" spans="119:119" x14ac:dyDescent="0.2">
      <c r="DO50104" s="303" t="s">
        <v>232</v>
      </c>
    </row>
    <row r="50105" spans="119:119" x14ac:dyDescent="0.2">
      <c r="DO50105" s="303" t="s">
        <v>232</v>
      </c>
    </row>
    <row r="50106" spans="119:119" x14ac:dyDescent="0.2">
      <c r="DO50106" s="303" t="s">
        <v>232</v>
      </c>
    </row>
    <row r="50107" spans="119:119" x14ac:dyDescent="0.2">
      <c r="DO50107" s="303" t="s">
        <v>232</v>
      </c>
    </row>
    <row r="50108" spans="119:119" x14ac:dyDescent="0.2">
      <c r="DO50108" s="303" t="s">
        <v>232</v>
      </c>
    </row>
    <row r="50109" spans="119:119" x14ac:dyDescent="0.2">
      <c r="DO50109" s="303" t="s">
        <v>232</v>
      </c>
    </row>
    <row r="50110" spans="119:119" x14ac:dyDescent="0.2">
      <c r="DO50110" s="303" t="s">
        <v>232</v>
      </c>
    </row>
    <row r="50111" spans="119:119" x14ac:dyDescent="0.2">
      <c r="DO50111" s="303" t="s">
        <v>232</v>
      </c>
    </row>
    <row r="50112" spans="119:119" x14ac:dyDescent="0.2">
      <c r="DO50112" s="303" t="s">
        <v>232</v>
      </c>
    </row>
    <row r="50113" spans="119:119" x14ac:dyDescent="0.2">
      <c r="DO50113" s="303" t="s">
        <v>232</v>
      </c>
    </row>
    <row r="50114" spans="119:119" x14ac:dyDescent="0.2">
      <c r="DO50114" s="303" t="s">
        <v>232</v>
      </c>
    </row>
    <row r="50115" spans="119:119" x14ac:dyDescent="0.2">
      <c r="DO50115" s="303" t="s">
        <v>232</v>
      </c>
    </row>
    <row r="50116" spans="119:119" x14ac:dyDescent="0.2">
      <c r="DO50116" s="303" t="s">
        <v>232</v>
      </c>
    </row>
    <row r="50117" spans="119:119" x14ac:dyDescent="0.2">
      <c r="DO50117" s="303" t="s">
        <v>232</v>
      </c>
    </row>
    <row r="50118" spans="119:119" x14ac:dyDescent="0.2">
      <c r="DO50118" s="303" t="s">
        <v>232</v>
      </c>
    </row>
    <row r="50119" spans="119:119" x14ac:dyDescent="0.2">
      <c r="DO50119" s="303" t="s">
        <v>232</v>
      </c>
    </row>
    <row r="50120" spans="119:119" x14ac:dyDescent="0.2">
      <c r="DO50120" s="303" t="s">
        <v>232</v>
      </c>
    </row>
    <row r="50121" spans="119:119" x14ac:dyDescent="0.2">
      <c r="DO50121" s="303" t="s">
        <v>232</v>
      </c>
    </row>
    <row r="50122" spans="119:119" x14ac:dyDescent="0.2">
      <c r="DO50122" s="303" t="s">
        <v>232</v>
      </c>
    </row>
    <row r="50123" spans="119:119" x14ac:dyDescent="0.2">
      <c r="DO50123" s="303" t="s">
        <v>232</v>
      </c>
    </row>
    <row r="50124" spans="119:119" x14ac:dyDescent="0.2">
      <c r="DO50124" s="303" t="s">
        <v>232</v>
      </c>
    </row>
    <row r="50125" spans="119:119" x14ac:dyDescent="0.2">
      <c r="DO50125" s="303" t="s">
        <v>232</v>
      </c>
    </row>
    <row r="50126" spans="119:119" x14ac:dyDescent="0.2">
      <c r="DO50126" s="303" t="s">
        <v>232</v>
      </c>
    </row>
    <row r="50127" spans="119:119" x14ac:dyDescent="0.2">
      <c r="DO50127" s="303" t="s">
        <v>232</v>
      </c>
    </row>
    <row r="50128" spans="119:119" x14ac:dyDescent="0.2">
      <c r="DO50128" s="303" t="s">
        <v>232</v>
      </c>
    </row>
    <row r="50129" spans="119:119" x14ac:dyDescent="0.2">
      <c r="DO50129" s="303" t="s">
        <v>232</v>
      </c>
    </row>
    <row r="50130" spans="119:119" x14ac:dyDescent="0.2">
      <c r="DO50130" s="303" t="s">
        <v>232</v>
      </c>
    </row>
    <row r="50131" spans="119:119" x14ac:dyDescent="0.2">
      <c r="DO50131" s="303" t="s">
        <v>232</v>
      </c>
    </row>
    <row r="50132" spans="119:119" x14ac:dyDescent="0.2">
      <c r="DO50132" s="303" t="s">
        <v>232</v>
      </c>
    </row>
    <row r="50133" spans="119:119" x14ac:dyDescent="0.2">
      <c r="DO50133" s="303" t="s">
        <v>232</v>
      </c>
    </row>
    <row r="50134" spans="119:119" x14ac:dyDescent="0.2">
      <c r="DO50134" s="303" t="s">
        <v>232</v>
      </c>
    </row>
    <row r="50135" spans="119:119" x14ac:dyDescent="0.2">
      <c r="DO50135" s="303" t="s">
        <v>232</v>
      </c>
    </row>
    <row r="50136" spans="119:119" x14ac:dyDescent="0.2">
      <c r="DO50136" s="303" t="s">
        <v>232</v>
      </c>
    </row>
    <row r="50137" spans="119:119" x14ac:dyDescent="0.2">
      <c r="DO50137" s="303" t="s">
        <v>232</v>
      </c>
    </row>
    <row r="50138" spans="119:119" x14ac:dyDescent="0.2">
      <c r="DO50138" s="303" t="s">
        <v>232</v>
      </c>
    </row>
    <row r="50139" spans="119:119" x14ac:dyDescent="0.2">
      <c r="DO50139" s="303" t="s">
        <v>232</v>
      </c>
    </row>
    <row r="50140" spans="119:119" x14ac:dyDescent="0.2">
      <c r="DO50140" s="303" t="s">
        <v>232</v>
      </c>
    </row>
    <row r="50141" spans="119:119" x14ac:dyDescent="0.2">
      <c r="DO50141" s="303" t="s">
        <v>232</v>
      </c>
    </row>
    <row r="50142" spans="119:119" x14ac:dyDescent="0.2">
      <c r="DO50142" s="303" t="s">
        <v>232</v>
      </c>
    </row>
    <row r="50143" spans="119:119" x14ac:dyDescent="0.2">
      <c r="DO50143" s="303" t="s">
        <v>232</v>
      </c>
    </row>
    <row r="50144" spans="119:119" x14ac:dyDescent="0.2">
      <c r="DO50144" s="303" t="s">
        <v>232</v>
      </c>
    </row>
    <row r="50145" spans="119:119" x14ac:dyDescent="0.2">
      <c r="DO50145" s="303" t="s">
        <v>232</v>
      </c>
    </row>
    <row r="50146" spans="119:119" x14ac:dyDescent="0.2">
      <c r="DO50146" s="303" t="s">
        <v>232</v>
      </c>
    </row>
    <row r="50147" spans="119:119" x14ac:dyDescent="0.2">
      <c r="DO50147" s="303" t="s">
        <v>232</v>
      </c>
    </row>
    <row r="50148" spans="119:119" x14ac:dyDescent="0.2">
      <c r="DO50148" s="303" t="s">
        <v>232</v>
      </c>
    </row>
    <row r="50149" spans="119:119" x14ac:dyDescent="0.2">
      <c r="DO50149" s="303" t="s">
        <v>232</v>
      </c>
    </row>
    <row r="50150" spans="119:119" x14ac:dyDescent="0.2">
      <c r="DO50150" s="303" t="s">
        <v>232</v>
      </c>
    </row>
    <row r="50151" spans="119:119" x14ac:dyDescent="0.2">
      <c r="DO50151" s="303" t="s">
        <v>232</v>
      </c>
    </row>
    <row r="50152" spans="119:119" x14ac:dyDescent="0.2">
      <c r="DO50152" s="303" t="s">
        <v>232</v>
      </c>
    </row>
    <row r="50153" spans="119:119" x14ac:dyDescent="0.2">
      <c r="DO50153" s="303" t="s">
        <v>232</v>
      </c>
    </row>
    <row r="50154" spans="119:119" x14ac:dyDescent="0.2">
      <c r="DO50154" s="303" t="s">
        <v>232</v>
      </c>
    </row>
    <row r="50155" spans="119:119" x14ac:dyDescent="0.2">
      <c r="DO50155" s="303" t="s">
        <v>232</v>
      </c>
    </row>
    <row r="50156" spans="119:119" x14ac:dyDescent="0.2">
      <c r="DO50156" s="303" t="s">
        <v>232</v>
      </c>
    </row>
    <row r="50157" spans="119:119" x14ac:dyDescent="0.2">
      <c r="DO50157" s="303" t="s">
        <v>232</v>
      </c>
    </row>
    <row r="50158" spans="119:119" x14ac:dyDescent="0.2">
      <c r="DO50158" s="303" t="s">
        <v>232</v>
      </c>
    </row>
    <row r="50159" spans="119:119" x14ac:dyDescent="0.2">
      <c r="DO50159" s="303" t="s">
        <v>232</v>
      </c>
    </row>
    <row r="50160" spans="119:119" x14ac:dyDescent="0.2">
      <c r="DO50160" s="303" t="s">
        <v>232</v>
      </c>
    </row>
    <row r="50161" spans="119:119" x14ac:dyDescent="0.2">
      <c r="DO50161" s="303" t="s">
        <v>232</v>
      </c>
    </row>
    <row r="50162" spans="119:119" x14ac:dyDescent="0.2">
      <c r="DO50162" s="303" t="s">
        <v>232</v>
      </c>
    </row>
    <row r="50163" spans="119:119" x14ac:dyDescent="0.2">
      <c r="DO50163" s="303" t="s">
        <v>232</v>
      </c>
    </row>
    <row r="50164" spans="119:119" x14ac:dyDescent="0.2">
      <c r="DO50164" s="303" t="s">
        <v>232</v>
      </c>
    </row>
    <row r="50165" spans="119:119" x14ac:dyDescent="0.2">
      <c r="DO50165" s="303" t="s">
        <v>232</v>
      </c>
    </row>
    <row r="50166" spans="119:119" x14ac:dyDescent="0.2">
      <c r="DO50166" s="303" t="s">
        <v>232</v>
      </c>
    </row>
    <row r="50167" spans="119:119" x14ac:dyDescent="0.2">
      <c r="DO50167" s="303" t="s">
        <v>232</v>
      </c>
    </row>
    <row r="50168" spans="119:119" x14ac:dyDescent="0.2">
      <c r="DO50168" s="303" t="s">
        <v>232</v>
      </c>
    </row>
    <row r="50169" spans="119:119" x14ac:dyDescent="0.2">
      <c r="DO50169" s="303" t="s">
        <v>232</v>
      </c>
    </row>
    <row r="50170" spans="119:119" x14ac:dyDescent="0.2">
      <c r="DO50170" s="303" t="s">
        <v>232</v>
      </c>
    </row>
    <row r="50171" spans="119:119" x14ac:dyDescent="0.2">
      <c r="DO50171" s="303" t="s">
        <v>232</v>
      </c>
    </row>
    <row r="50172" spans="119:119" x14ac:dyDescent="0.2">
      <c r="DO50172" s="303" t="s">
        <v>232</v>
      </c>
    </row>
    <row r="50173" spans="119:119" x14ac:dyDescent="0.2">
      <c r="DO50173" s="303" t="s">
        <v>232</v>
      </c>
    </row>
    <row r="50174" spans="119:119" x14ac:dyDescent="0.2">
      <c r="DO50174" s="303" t="s">
        <v>232</v>
      </c>
    </row>
    <row r="50175" spans="119:119" x14ac:dyDescent="0.2">
      <c r="DO50175" s="303" t="s">
        <v>232</v>
      </c>
    </row>
    <row r="50176" spans="119:119" x14ac:dyDescent="0.2">
      <c r="DO50176" s="303" t="s">
        <v>232</v>
      </c>
    </row>
    <row r="50177" spans="119:119" x14ac:dyDescent="0.2">
      <c r="DO50177" s="303" t="s">
        <v>232</v>
      </c>
    </row>
    <row r="50178" spans="119:119" x14ac:dyDescent="0.2">
      <c r="DO50178" s="303" t="s">
        <v>232</v>
      </c>
    </row>
    <row r="50179" spans="119:119" x14ac:dyDescent="0.2">
      <c r="DO50179" s="303" t="s">
        <v>232</v>
      </c>
    </row>
    <row r="50180" spans="119:119" x14ac:dyDescent="0.2">
      <c r="DO50180" s="303" t="s">
        <v>232</v>
      </c>
    </row>
    <row r="50181" spans="119:119" x14ac:dyDescent="0.2">
      <c r="DO50181" s="303" t="s">
        <v>232</v>
      </c>
    </row>
    <row r="50182" spans="119:119" x14ac:dyDescent="0.2">
      <c r="DO50182" s="303" t="s">
        <v>232</v>
      </c>
    </row>
    <row r="50183" spans="119:119" x14ac:dyDescent="0.2">
      <c r="DO50183" s="303" t="s">
        <v>232</v>
      </c>
    </row>
    <row r="50184" spans="119:119" x14ac:dyDescent="0.2">
      <c r="DO50184" s="303" t="s">
        <v>232</v>
      </c>
    </row>
    <row r="50185" spans="119:119" x14ac:dyDescent="0.2">
      <c r="DO50185" s="303" t="s">
        <v>232</v>
      </c>
    </row>
    <row r="50186" spans="119:119" x14ac:dyDescent="0.2">
      <c r="DO50186" s="303" t="s">
        <v>232</v>
      </c>
    </row>
    <row r="50187" spans="119:119" x14ac:dyDescent="0.2">
      <c r="DO50187" s="303" t="s">
        <v>232</v>
      </c>
    </row>
    <row r="50188" spans="119:119" x14ac:dyDescent="0.2">
      <c r="DO50188" s="303" t="s">
        <v>232</v>
      </c>
    </row>
    <row r="50189" spans="119:119" x14ac:dyDescent="0.2">
      <c r="DO50189" s="303" t="s">
        <v>232</v>
      </c>
    </row>
    <row r="50190" spans="119:119" x14ac:dyDescent="0.2">
      <c r="DO50190" s="303" t="s">
        <v>232</v>
      </c>
    </row>
    <row r="50191" spans="119:119" x14ac:dyDescent="0.2">
      <c r="DO50191" s="303" t="s">
        <v>232</v>
      </c>
    </row>
    <row r="50192" spans="119:119" x14ac:dyDescent="0.2">
      <c r="DO50192" s="303" t="s">
        <v>232</v>
      </c>
    </row>
    <row r="50193" spans="119:119" x14ac:dyDescent="0.2">
      <c r="DO50193" s="303" t="s">
        <v>232</v>
      </c>
    </row>
    <row r="50194" spans="119:119" x14ac:dyDescent="0.2">
      <c r="DO50194" s="303" t="s">
        <v>232</v>
      </c>
    </row>
    <row r="50195" spans="119:119" x14ac:dyDescent="0.2">
      <c r="DO50195" s="303" t="s">
        <v>232</v>
      </c>
    </row>
    <row r="50196" spans="119:119" x14ac:dyDescent="0.2">
      <c r="DO50196" s="303" t="s">
        <v>232</v>
      </c>
    </row>
    <row r="50197" spans="119:119" x14ac:dyDescent="0.2">
      <c r="DO50197" s="303" t="s">
        <v>232</v>
      </c>
    </row>
    <row r="50198" spans="119:119" x14ac:dyDescent="0.2">
      <c r="DO50198" s="303" t="s">
        <v>232</v>
      </c>
    </row>
    <row r="50199" spans="119:119" x14ac:dyDescent="0.2">
      <c r="DO50199" s="303" t="s">
        <v>232</v>
      </c>
    </row>
    <row r="50200" spans="119:119" x14ac:dyDescent="0.2">
      <c r="DO50200" s="303" t="s">
        <v>232</v>
      </c>
    </row>
    <row r="50201" spans="119:119" x14ac:dyDescent="0.2">
      <c r="DO50201" s="303" t="s">
        <v>232</v>
      </c>
    </row>
    <row r="50202" spans="119:119" x14ac:dyDescent="0.2">
      <c r="DO50202" s="303" t="s">
        <v>232</v>
      </c>
    </row>
    <row r="50203" spans="119:119" x14ac:dyDescent="0.2">
      <c r="DO50203" s="303" t="s">
        <v>232</v>
      </c>
    </row>
    <row r="50204" spans="119:119" x14ac:dyDescent="0.2">
      <c r="DO50204" s="303" t="s">
        <v>232</v>
      </c>
    </row>
    <row r="50205" spans="119:119" x14ac:dyDescent="0.2">
      <c r="DO50205" s="303" t="s">
        <v>232</v>
      </c>
    </row>
    <row r="50206" spans="119:119" x14ac:dyDescent="0.2">
      <c r="DO50206" s="303" t="s">
        <v>232</v>
      </c>
    </row>
    <row r="50207" spans="119:119" x14ac:dyDescent="0.2">
      <c r="DO50207" s="303" t="s">
        <v>232</v>
      </c>
    </row>
    <row r="50208" spans="119:119" x14ac:dyDescent="0.2">
      <c r="DO50208" s="303" t="s">
        <v>232</v>
      </c>
    </row>
    <row r="50209" spans="119:119" x14ac:dyDescent="0.2">
      <c r="DO50209" s="303" t="s">
        <v>232</v>
      </c>
    </row>
    <row r="50210" spans="119:119" x14ac:dyDescent="0.2">
      <c r="DO50210" s="303" t="s">
        <v>232</v>
      </c>
    </row>
    <row r="50211" spans="119:119" x14ac:dyDescent="0.2">
      <c r="DO50211" s="303" t="s">
        <v>232</v>
      </c>
    </row>
    <row r="50212" spans="119:119" x14ac:dyDescent="0.2">
      <c r="DO50212" s="303" t="s">
        <v>232</v>
      </c>
    </row>
    <row r="50213" spans="119:119" x14ac:dyDescent="0.2">
      <c r="DO50213" s="303" t="s">
        <v>232</v>
      </c>
    </row>
    <row r="50214" spans="119:119" x14ac:dyDescent="0.2">
      <c r="DO50214" s="303" t="s">
        <v>232</v>
      </c>
    </row>
    <row r="50215" spans="119:119" x14ac:dyDescent="0.2">
      <c r="DO50215" s="303" t="s">
        <v>232</v>
      </c>
    </row>
    <row r="50216" spans="119:119" x14ac:dyDescent="0.2">
      <c r="DO50216" s="303" t="s">
        <v>232</v>
      </c>
    </row>
    <row r="50217" spans="119:119" x14ac:dyDescent="0.2">
      <c r="DO50217" s="303" t="s">
        <v>232</v>
      </c>
    </row>
    <row r="50218" spans="119:119" x14ac:dyDescent="0.2">
      <c r="DO50218" s="303" t="s">
        <v>232</v>
      </c>
    </row>
    <row r="50219" spans="119:119" x14ac:dyDescent="0.2">
      <c r="DO50219" s="303" t="s">
        <v>232</v>
      </c>
    </row>
    <row r="50220" spans="119:119" x14ac:dyDescent="0.2">
      <c r="DO50220" s="303" t="s">
        <v>232</v>
      </c>
    </row>
    <row r="50221" spans="119:119" x14ac:dyDescent="0.2">
      <c r="DO50221" s="303" t="s">
        <v>232</v>
      </c>
    </row>
    <row r="50222" spans="119:119" x14ac:dyDescent="0.2">
      <c r="DO50222" s="303" t="s">
        <v>232</v>
      </c>
    </row>
    <row r="50223" spans="119:119" x14ac:dyDescent="0.2">
      <c r="DO50223" s="303" t="s">
        <v>232</v>
      </c>
    </row>
    <row r="50224" spans="119:119" x14ac:dyDescent="0.2">
      <c r="DO50224" s="303" t="s">
        <v>232</v>
      </c>
    </row>
    <row r="50225" spans="119:119" x14ac:dyDescent="0.2">
      <c r="DO50225" s="303" t="s">
        <v>232</v>
      </c>
    </row>
    <row r="50226" spans="119:119" x14ac:dyDescent="0.2">
      <c r="DO50226" s="303" t="s">
        <v>232</v>
      </c>
    </row>
    <row r="50227" spans="119:119" x14ac:dyDescent="0.2">
      <c r="DO50227" s="303" t="s">
        <v>232</v>
      </c>
    </row>
    <row r="50228" spans="119:119" x14ac:dyDescent="0.2">
      <c r="DO50228" s="303" t="s">
        <v>232</v>
      </c>
    </row>
    <row r="50229" spans="119:119" x14ac:dyDescent="0.2">
      <c r="DO50229" s="303" t="s">
        <v>232</v>
      </c>
    </row>
    <row r="50230" spans="119:119" x14ac:dyDescent="0.2">
      <c r="DO50230" s="303" t="s">
        <v>232</v>
      </c>
    </row>
    <row r="50231" spans="119:119" x14ac:dyDescent="0.2">
      <c r="DO50231" s="303" t="s">
        <v>232</v>
      </c>
    </row>
    <row r="50232" spans="119:119" x14ac:dyDescent="0.2">
      <c r="DO50232" s="303" t="s">
        <v>232</v>
      </c>
    </row>
    <row r="50233" spans="119:119" x14ac:dyDescent="0.2">
      <c r="DO50233" s="303" t="s">
        <v>232</v>
      </c>
    </row>
    <row r="50234" spans="119:119" x14ac:dyDescent="0.2">
      <c r="DO50234" s="303" t="s">
        <v>232</v>
      </c>
    </row>
    <row r="50235" spans="119:119" x14ac:dyDescent="0.2">
      <c r="DO50235" s="303" t="s">
        <v>232</v>
      </c>
    </row>
    <row r="50236" spans="119:119" x14ac:dyDescent="0.2">
      <c r="DO50236" s="303" t="s">
        <v>232</v>
      </c>
    </row>
    <row r="50237" spans="119:119" x14ac:dyDescent="0.2">
      <c r="DO50237" s="303" t="s">
        <v>232</v>
      </c>
    </row>
    <row r="50238" spans="119:119" x14ac:dyDescent="0.2">
      <c r="DO50238" s="303" t="s">
        <v>232</v>
      </c>
    </row>
    <row r="50239" spans="119:119" x14ac:dyDescent="0.2">
      <c r="DO50239" s="303" t="s">
        <v>232</v>
      </c>
    </row>
    <row r="50240" spans="119:119" x14ac:dyDescent="0.2">
      <c r="DO50240" s="303" t="s">
        <v>232</v>
      </c>
    </row>
    <row r="50241" spans="119:119" x14ac:dyDescent="0.2">
      <c r="DO50241" s="303" t="s">
        <v>232</v>
      </c>
    </row>
    <row r="50242" spans="119:119" x14ac:dyDescent="0.2">
      <c r="DO50242" s="303" t="s">
        <v>232</v>
      </c>
    </row>
    <row r="50243" spans="119:119" x14ac:dyDescent="0.2">
      <c r="DO50243" s="303" t="s">
        <v>232</v>
      </c>
    </row>
    <row r="50244" spans="119:119" x14ac:dyDescent="0.2">
      <c r="DO50244" s="303" t="s">
        <v>232</v>
      </c>
    </row>
    <row r="50245" spans="119:119" x14ac:dyDescent="0.2">
      <c r="DO50245" s="303" t="s">
        <v>232</v>
      </c>
    </row>
    <row r="50246" spans="119:119" x14ac:dyDescent="0.2">
      <c r="DO50246" s="303" t="s">
        <v>232</v>
      </c>
    </row>
    <row r="50247" spans="119:119" x14ac:dyDescent="0.2">
      <c r="DO50247" s="303" t="s">
        <v>232</v>
      </c>
    </row>
    <row r="50248" spans="119:119" x14ac:dyDescent="0.2">
      <c r="DO50248" s="303" t="s">
        <v>232</v>
      </c>
    </row>
    <row r="50249" spans="119:119" x14ac:dyDescent="0.2">
      <c r="DO50249" s="303" t="s">
        <v>232</v>
      </c>
    </row>
    <row r="50250" spans="119:119" x14ac:dyDescent="0.2">
      <c r="DO50250" s="303" t="s">
        <v>232</v>
      </c>
    </row>
    <row r="50251" spans="119:119" x14ac:dyDescent="0.2">
      <c r="DO50251" s="303" t="s">
        <v>232</v>
      </c>
    </row>
    <row r="50252" spans="119:119" x14ac:dyDescent="0.2">
      <c r="DO50252" s="303" t="s">
        <v>232</v>
      </c>
    </row>
    <row r="50253" spans="119:119" x14ac:dyDescent="0.2">
      <c r="DO50253" s="303" t="s">
        <v>232</v>
      </c>
    </row>
    <row r="50254" spans="119:119" x14ac:dyDescent="0.2">
      <c r="DO50254" s="303" t="s">
        <v>232</v>
      </c>
    </row>
    <row r="50255" spans="119:119" x14ac:dyDescent="0.2">
      <c r="DO50255" s="303" t="s">
        <v>232</v>
      </c>
    </row>
    <row r="50256" spans="119:119" x14ac:dyDescent="0.2">
      <c r="DO50256" s="303" t="s">
        <v>232</v>
      </c>
    </row>
    <row r="50257" spans="119:119" x14ac:dyDescent="0.2">
      <c r="DO50257" s="303" t="s">
        <v>232</v>
      </c>
    </row>
    <row r="50258" spans="119:119" x14ac:dyDescent="0.2">
      <c r="DO50258" s="303" t="s">
        <v>232</v>
      </c>
    </row>
    <row r="50259" spans="119:119" x14ac:dyDescent="0.2">
      <c r="DO50259" s="303" t="s">
        <v>232</v>
      </c>
    </row>
    <row r="50260" spans="119:119" x14ac:dyDescent="0.2">
      <c r="DO50260" s="303" t="s">
        <v>232</v>
      </c>
    </row>
    <row r="50261" spans="119:119" x14ac:dyDescent="0.2">
      <c r="DO50261" s="303" t="s">
        <v>232</v>
      </c>
    </row>
    <row r="50262" spans="119:119" x14ac:dyDescent="0.2">
      <c r="DO50262" s="303" t="s">
        <v>232</v>
      </c>
    </row>
    <row r="50263" spans="119:119" x14ac:dyDescent="0.2">
      <c r="DO50263" s="303" t="s">
        <v>232</v>
      </c>
    </row>
    <row r="50264" spans="119:119" x14ac:dyDescent="0.2">
      <c r="DO50264" s="303" t="s">
        <v>232</v>
      </c>
    </row>
    <row r="50265" spans="119:119" x14ac:dyDescent="0.2">
      <c r="DO50265" s="303" t="s">
        <v>232</v>
      </c>
    </row>
    <row r="50266" spans="119:119" x14ac:dyDescent="0.2">
      <c r="DO50266" s="303" t="s">
        <v>232</v>
      </c>
    </row>
    <row r="50267" spans="119:119" x14ac:dyDescent="0.2">
      <c r="DO50267" s="303" t="s">
        <v>232</v>
      </c>
    </row>
    <row r="50268" spans="119:119" x14ac:dyDescent="0.2">
      <c r="DO50268" s="303" t="s">
        <v>232</v>
      </c>
    </row>
    <row r="50269" spans="119:119" x14ac:dyDescent="0.2">
      <c r="DO50269" s="303" t="s">
        <v>232</v>
      </c>
    </row>
    <row r="50270" spans="119:119" x14ac:dyDescent="0.2">
      <c r="DO50270" s="303" t="s">
        <v>232</v>
      </c>
    </row>
    <row r="50271" spans="119:119" x14ac:dyDescent="0.2">
      <c r="DO50271" s="303" t="s">
        <v>232</v>
      </c>
    </row>
    <row r="50272" spans="119:119" x14ac:dyDescent="0.2">
      <c r="DO50272" s="303" t="s">
        <v>232</v>
      </c>
    </row>
    <row r="50273" spans="119:119" x14ac:dyDescent="0.2">
      <c r="DO50273" s="303" t="s">
        <v>232</v>
      </c>
    </row>
    <row r="50274" spans="119:119" x14ac:dyDescent="0.2">
      <c r="DO50274" s="303" t="s">
        <v>232</v>
      </c>
    </row>
    <row r="50275" spans="119:119" x14ac:dyDescent="0.2">
      <c r="DO50275" s="303" t="s">
        <v>232</v>
      </c>
    </row>
    <row r="50276" spans="119:119" x14ac:dyDescent="0.2">
      <c r="DO50276" s="303" t="s">
        <v>232</v>
      </c>
    </row>
    <row r="50277" spans="119:119" x14ac:dyDescent="0.2">
      <c r="DO50277" s="303" t="s">
        <v>232</v>
      </c>
    </row>
    <row r="50278" spans="119:119" x14ac:dyDescent="0.2">
      <c r="DO50278" s="303" t="s">
        <v>232</v>
      </c>
    </row>
    <row r="50279" spans="119:119" x14ac:dyDescent="0.2">
      <c r="DO50279" s="303" t="s">
        <v>232</v>
      </c>
    </row>
    <row r="50280" spans="119:119" x14ac:dyDescent="0.2">
      <c r="DO50280" s="303" t="s">
        <v>232</v>
      </c>
    </row>
    <row r="50281" spans="119:119" x14ac:dyDescent="0.2">
      <c r="DO50281" s="303" t="s">
        <v>232</v>
      </c>
    </row>
    <row r="50282" spans="119:119" x14ac:dyDescent="0.2">
      <c r="DO50282" s="303" t="s">
        <v>232</v>
      </c>
    </row>
    <row r="50283" spans="119:119" x14ac:dyDescent="0.2">
      <c r="DO50283" s="303" t="s">
        <v>232</v>
      </c>
    </row>
    <row r="50284" spans="119:119" x14ac:dyDescent="0.2">
      <c r="DO50284" s="303" t="s">
        <v>232</v>
      </c>
    </row>
    <row r="50285" spans="119:119" x14ac:dyDescent="0.2">
      <c r="DO50285" s="303" t="s">
        <v>232</v>
      </c>
    </row>
    <row r="50286" spans="119:119" x14ac:dyDescent="0.2">
      <c r="DO50286" s="303" t="s">
        <v>232</v>
      </c>
    </row>
    <row r="50287" spans="119:119" x14ac:dyDescent="0.2">
      <c r="DO50287" s="303" t="s">
        <v>232</v>
      </c>
    </row>
    <row r="50288" spans="119:119" x14ac:dyDescent="0.2">
      <c r="DO50288" s="303" t="s">
        <v>232</v>
      </c>
    </row>
    <row r="50289" spans="119:119" x14ac:dyDescent="0.2">
      <c r="DO50289" s="303" t="s">
        <v>232</v>
      </c>
    </row>
    <row r="50290" spans="119:119" x14ac:dyDescent="0.2">
      <c r="DO50290" s="303" t="s">
        <v>232</v>
      </c>
    </row>
    <row r="50291" spans="119:119" x14ac:dyDescent="0.2">
      <c r="DO50291" s="303" t="s">
        <v>232</v>
      </c>
    </row>
    <row r="50292" spans="119:119" x14ac:dyDescent="0.2">
      <c r="DO50292" s="303" t="s">
        <v>232</v>
      </c>
    </row>
    <row r="50293" spans="119:119" x14ac:dyDescent="0.2">
      <c r="DO50293" s="303" t="s">
        <v>232</v>
      </c>
    </row>
    <row r="50294" spans="119:119" x14ac:dyDescent="0.2">
      <c r="DO50294" s="303" t="s">
        <v>232</v>
      </c>
    </row>
    <row r="50295" spans="119:119" x14ac:dyDescent="0.2">
      <c r="DO50295" s="303" t="s">
        <v>232</v>
      </c>
    </row>
    <row r="50296" spans="119:119" x14ac:dyDescent="0.2">
      <c r="DO50296" s="303" t="s">
        <v>232</v>
      </c>
    </row>
    <row r="50297" spans="119:119" x14ac:dyDescent="0.2">
      <c r="DO50297" s="303" t="s">
        <v>232</v>
      </c>
    </row>
    <row r="50298" spans="119:119" x14ac:dyDescent="0.2">
      <c r="DO50298" s="303" t="s">
        <v>232</v>
      </c>
    </row>
    <row r="50299" spans="119:119" x14ac:dyDescent="0.2">
      <c r="DO50299" s="303" t="s">
        <v>232</v>
      </c>
    </row>
    <row r="50300" spans="119:119" x14ac:dyDescent="0.2">
      <c r="DO50300" s="303" t="s">
        <v>232</v>
      </c>
    </row>
    <row r="50301" spans="119:119" x14ac:dyDescent="0.2">
      <c r="DO50301" s="303" t="s">
        <v>232</v>
      </c>
    </row>
    <row r="50302" spans="119:119" x14ac:dyDescent="0.2">
      <c r="DO50302" s="303" t="s">
        <v>232</v>
      </c>
    </row>
    <row r="50303" spans="119:119" x14ac:dyDescent="0.2">
      <c r="DO50303" s="303" t="s">
        <v>232</v>
      </c>
    </row>
    <row r="50304" spans="119:119" x14ac:dyDescent="0.2">
      <c r="DO50304" s="303" t="s">
        <v>232</v>
      </c>
    </row>
    <row r="50305" spans="119:119" x14ac:dyDescent="0.2">
      <c r="DO50305" s="303" t="s">
        <v>232</v>
      </c>
    </row>
    <row r="50306" spans="119:119" x14ac:dyDescent="0.2">
      <c r="DO50306" s="303" t="s">
        <v>232</v>
      </c>
    </row>
    <row r="50307" spans="119:119" x14ac:dyDescent="0.2">
      <c r="DO50307" s="303" t="s">
        <v>232</v>
      </c>
    </row>
    <row r="50308" spans="119:119" x14ac:dyDescent="0.2">
      <c r="DO50308" s="303" t="s">
        <v>232</v>
      </c>
    </row>
    <row r="50309" spans="119:119" x14ac:dyDescent="0.2">
      <c r="DO50309" s="303" t="s">
        <v>232</v>
      </c>
    </row>
    <row r="50310" spans="119:119" x14ac:dyDescent="0.2">
      <c r="DO50310" s="303" t="s">
        <v>232</v>
      </c>
    </row>
    <row r="50311" spans="119:119" x14ac:dyDescent="0.2">
      <c r="DO50311" s="303" t="s">
        <v>232</v>
      </c>
    </row>
    <row r="50312" spans="119:119" x14ac:dyDescent="0.2">
      <c r="DO50312" s="303" t="s">
        <v>232</v>
      </c>
    </row>
    <row r="50313" spans="119:119" x14ac:dyDescent="0.2">
      <c r="DO50313" s="303" t="s">
        <v>232</v>
      </c>
    </row>
    <row r="50314" spans="119:119" x14ac:dyDescent="0.2">
      <c r="DO50314" s="303" t="s">
        <v>232</v>
      </c>
    </row>
    <row r="50315" spans="119:119" x14ac:dyDescent="0.2">
      <c r="DO50315" s="303" t="s">
        <v>232</v>
      </c>
    </row>
    <row r="50316" spans="119:119" x14ac:dyDescent="0.2">
      <c r="DO50316" s="303" t="s">
        <v>232</v>
      </c>
    </row>
    <row r="50317" spans="119:119" x14ac:dyDescent="0.2">
      <c r="DO50317" s="303" t="s">
        <v>232</v>
      </c>
    </row>
    <row r="50318" spans="119:119" x14ac:dyDescent="0.2">
      <c r="DO50318" s="303" t="s">
        <v>232</v>
      </c>
    </row>
    <row r="50319" spans="119:119" x14ac:dyDescent="0.2">
      <c r="DO50319" s="303" t="s">
        <v>232</v>
      </c>
    </row>
    <row r="50320" spans="119:119" x14ac:dyDescent="0.2">
      <c r="DO50320" s="303" t="s">
        <v>232</v>
      </c>
    </row>
    <row r="50321" spans="119:119" x14ac:dyDescent="0.2">
      <c r="DO50321" s="303" t="s">
        <v>232</v>
      </c>
    </row>
    <row r="50322" spans="119:119" x14ac:dyDescent="0.2">
      <c r="DO50322" s="303" t="s">
        <v>232</v>
      </c>
    </row>
    <row r="50323" spans="119:119" x14ac:dyDescent="0.2">
      <c r="DO50323" s="303" t="s">
        <v>232</v>
      </c>
    </row>
    <row r="50324" spans="119:119" x14ac:dyDescent="0.2">
      <c r="DO50324" s="303" t="s">
        <v>232</v>
      </c>
    </row>
    <row r="50325" spans="119:119" x14ac:dyDescent="0.2">
      <c r="DO50325" s="303" t="s">
        <v>232</v>
      </c>
    </row>
    <row r="50326" spans="119:119" x14ac:dyDescent="0.2">
      <c r="DO50326" s="303" t="s">
        <v>232</v>
      </c>
    </row>
    <row r="50327" spans="119:119" x14ac:dyDescent="0.2">
      <c r="DO50327" s="303" t="s">
        <v>232</v>
      </c>
    </row>
    <row r="50328" spans="119:119" x14ac:dyDescent="0.2">
      <c r="DO50328" s="303" t="s">
        <v>232</v>
      </c>
    </row>
    <row r="50329" spans="119:119" x14ac:dyDescent="0.2">
      <c r="DO50329" s="303" t="s">
        <v>232</v>
      </c>
    </row>
    <row r="50330" spans="119:119" x14ac:dyDescent="0.2">
      <c r="DO50330" s="303" t="s">
        <v>232</v>
      </c>
    </row>
    <row r="50331" spans="119:119" x14ac:dyDescent="0.2">
      <c r="DO50331" s="303" t="s">
        <v>232</v>
      </c>
    </row>
    <row r="50332" spans="119:119" x14ac:dyDescent="0.2">
      <c r="DO50332" s="303" t="s">
        <v>232</v>
      </c>
    </row>
    <row r="50333" spans="119:119" x14ac:dyDescent="0.2">
      <c r="DO50333" s="303" t="s">
        <v>232</v>
      </c>
    </row>
    <row r="50334" spans="119:119" x14ac:dyDescent="0.2">
      <c r="DO50334" s="303" t="s">
        <v>232</v>
      </c>
    </row>
    <row r="50335" spans="119:119" x14ac:dyDescent="0.2">
      <c r="DO50335" s="303" t="s">
        <v>232</v>
      </c>
    </row>
    <row r="50336" spans="119:119" x14ac:dyDescent="0.2">
      <c r="DO50336" s="303" t="s">
        <v>232</v>
      </c>
    </row>
    <row r="50337" spans="119:119" x14ac:dyDescent="0.2">
      <c r="DO50337" s="303" t="s">
        <v>232</v>
      </c>
    </row>
    <row r="50338" spans="119:119" x14ac:dyDescent="0.2">
      <c r="DO50338" s="303" t="s">
        <v>232</v>
      </c>
    </row>
    <row r="50339" spans="119:119" x14ac:dyDescent="0.2">
      <c r="DO50339" s="303" t="s">
        <v>232</v>
      </c>
    </row>
    <row r="50340" spans="119:119" x14ac:dyDescent="0.2">
      <c r="DO50340" s="303" t="s">
        <v>232</v>
      </c>
    </row>
    <row r="50341" spans="119:119" x14ac:dyDescent="0.2">
      <c r="DO50341" s="303" t="s">
        <v>232</v>
      </c>
    </row>
    <row r="50342" spans="119:119" x14ac:dyDescent="0.2">
      <c r="DO50342" s="303" t="s">
        <v>232</v>
      </c>
    </row>
    <row r="50343" spans="119:119" x14ac:dyDescent="0.2">
      <c r="DO50343" s="303" t="s">
        <v>232</v>
      </c>
    </row>
    <row r="50344" spans="119:119" x14ac:dyDescent="0.2">
      <c r="DO50344" s="303" t="s">
        <v>232</v>
      </c>
    </row>
    <row r="50345" spans="119:119" x14ac:dyDescent="0.2">
      <c r="DO50345" s="303" t="s">
        <v>232</v>
      </c>
    </row>
    <row r="50346" spans="119:119" x14ac:dyDescent="0.2">
      <c r="DO50346" s="303" t="s">
        <v>232</v>
      </c>
    </row>
    <row r="50347" spans="119:119" x14ac:dyDescent="0.2">
      <c r="DO50347" s="303" t="s">
        <v>232</v>
      </c>
    </row>
    <row r="50348" spans="119:119" x14ac:dyDescent="0.2">
      <c r="DO50348" s="303" t="s">
        <v>232</v>
      </c>
    </row>
    <row r="50349" spans="119:119" x14ac:dyDescent="0.2">
      <c r="DO50349" s="303" t="s">
        <v>232</v>
      </c>
    </row>
    <row r="50350" spans="119:119" x14ac:dyDescent="0.2">
      <c r="DO50350" s="303" t="s">
        <v>232</v>
      </c>
    </row>
    <row r="50351" spans="119:119" x14ac:dyDescent="0.2">
      <c r="DO50351" s="303" t="s">
        <v>232</v>
      </c>
    </row>
    <row r="50352" spans="119:119" x14ac:dyDescent="0.2">
      <c r="DO50352" s="303" t="s">
        <v>232</v>
      </c>
    </row>
    <row r="50353" spans="119:119" x14ac:dyDescent="0.2">
      <c r="DO50353" s="303" t="s">
        <v>232</v>
      </c>
    </row>
    <row r="50354" spans="119:119" x14ac:dyDescent="0.2">
      <c r="DO50354" s="303" t="s">
        <v>232</v>
      </c>
    </row>
    <row r="50355" spans="119:119" x14ac:dyDescent="0.2">
      <c r="DO50355" s="303" t="s">
        <v>232</v>
      </c>
    </row>
    <row r="50356" spans="119:119" x14ac:dyDescent="0.2">
      <c r="DO50356" s="303" t="s">
        <v>232</v>
      </c>
    </row>
    <row r="50357" spans="119:119" x14ac:dyDescent="0.2">
      <c r="DO50357" s="303" t="s">
        <v>232</v>
      </c>
    </row>
    <row r="50358" spans="119:119" x14ac:dyDescent="0.2">
      <c r="DO50358" s="303" t="s">
        <v>232</v>
      </c>
    </row>
    <row r="50359" spans="119:119" x14ac:dyDescent="0.2">
      <c r="DO50359" s="303" t="s">
        <v>232</v>
      </c>
    </row>
    <row r="50360" spans="119:119" x14ac:dyDescent="0.2">
      <c r="DO50360" s="303" t="s">
        <v>232</v>
      </c>
    </row>
    <row r="50361" spans="119:119" x14ac:dyDescent="0.2">
      <c r="DO50361" s="303" t="s">
        <v>232</v>
      </c>
    </row>
    <row r="50362" spans="119:119" x14ac:dyDescent="0.2">
      <c r="DO50362" s="303" t="s">
        <v>232</v>
      </c>
    </row>
    <row r="50363" spans="119:119" x14ac:dyDescent="0.2">
      <c r="DO50363" s="303" t="s">
        <v>232</v>
      </c>
    </row>
    <row r="50364" spans="119:119" x14ac:dyDescent="0.2">
      <c r="DO50364" s="303" t="s">
        <v>232</v>
      </c>
    </row>
    <row r="50365" spans="119:119" x14ac:dyDescent="0.2">
      <c r="DO50365" s="303" t="s">
        <v>232</v>
      </c>
    </row>
    <row r="50366" spans="119:119" x14ac:dyDescent="0.2">
      <c r="DO50366" s="303" t="s">
        <v>232</v>
      </c>
    </row>
    <row r="50367" spans="119:119" x14ac:dyDescent="0.2">
      <c r="DO50367" s="303" t="s">
        <v>232</v>
      </c>
    </row>
    <row r="50368" spans="119:119" x14ac:dyDescent="0.2">
      <c r="DO50368" s="303" t="s">
        <v>232</v>
      </c>
    </row>
    <row r="50369" spans="119:119" x14ac:dyDescent="0.2">
      <c r="DO50369" s="303" t="s">
        <v>232</v>
      </c>
    </row>
    <row r="50370" spans="119:119" x14ac:dyDescent="0.2">
      <c r="DO50370" s="303" t="s">
        <v>232</v>
      </c>
    </row>
    <row r="50371" spans="119:119" x14ac:dyDescent="0.2">
      <c r="DO50371" s="303" t="s">
        <v>232</v>
      </c>
    </row>
    <row r="50372" spans="119:119" x14ac:dyDescent="0.2">
      <c r="DO50372" s="303" t="s">
        <v>232</v>
      </c>
    </row>
    <row r="50373" spans="119:119" x14ac:dyDescent="0.2">
      <c r="DO50373" s="303" t="s">
        <v>232</v>
      </c>
    </row>
    <row r="50374" spans="119:119" x14ac:dyDescent="0.2">
      <c r="DO50374" s="303" t="s">
        <v>232</v>
      </c>
    </row>
    <row r="50375" spans="119:119" x14ac:dyDescent="0.2">
      <c r="DO50375" s="303" t="s">
        <v>232</v>
      </c>
    </row>
    <row r="50376" spans="119:119" x14ac:dyDescent="0.2">
      <c r="DO50376" s="303" t="s">
        <v>232</v>
      </c>
    </row>
    <row r="50377" spans="119:119" x14ac:dyDescent="0.2">
      <c r="DO50377" s="303" t="s">
        <v>232</v>
      </c>
    </row>
    <row r="50378" spans="119:119" x14ac:dyDescent="0.2">
      <c r="DO50378" s="303" t="s">
        <v>232</v>
      </c>
    </row>
    <row r="50379" spans="119:119" x14ac:dyDescent="0.2">
      <c r="DO50379" s="303" t="s">
        <v>232</v>
      </c>
    </row>
    <row r="50380" spans="119:119" x14ac:dyDescent="0.2">
      <c r="DO50380" s="303" t="s">
        <v>232</v>
      </c>
    </row>
    <row r="50381" spans="119:119" x14ac:dyDescent="0.2">
      <c r="DO50381" s="303" t="s">
        <v>232</v>
      </c>
    </row>
    <row r="50382" spans="119:119" x14ac:dyDescent="0.2">
      <c r="DO50382" s="303" t="s">
        <v>232</v>
      </c>
    </row>
    <row r="50383" spans="119:119" x14ac:dyDescent="0.2">
      <c r="DO50383" s="303" t="s">
        <v>232</v>
      </c>
    </row>
    <row r="50384" spans="119:119" x14ac:dyDescent="0.2">
      <c r="DO50384" s="303" t="s">
        <v>232</v>
      </c>
    </row>
    <row r="50385" spans="119:119" x14ac:dyDescent="0.2">
      <c r="DO50385" s="303" t="s">
        <v>232</v>
      </c>
    </row>
    <row r="50386" spans="119:119" x14ac:dyDescent="0.2">
      <c r="DO50386" s="303" t="s">
        <v>232</v>
      </c>
    </row>
    <row r="50387" spans="119:119" x14ac:dyDescent="0.2">
      <c r="DO50387" s="303" t="s">
        <v>232</v>
      </c>
    </row>
    <row r="50388" spans="119:119" x14ac:dyDescent="0.2">
      <c r="DO50388" s="303" t="s">
        <v>232</v>
      </c>
    </row>
    <row r="50389" spans="119:119" x14ac:dyDescent="0.2">
      <c r="DO50389" s="303" t="s">
        <v>232</v>
      </c>
    </row>
    <row r="50390" spans="119:119" x14ac:dyDescent="0.2">
      <c r="DO50390" s="303" t="s">
        <v>232</v>
      </c>
    </row>
    <row r="50391" spans="119:119" x14ac:dyDescent="0.2">
      <c r="DO50391" s="303" t="s">
        <v>232</v>
      </c>
    </row>
    <row r="50392" spans="119:119" x14ac:dyDescent="0.2">
      <c r="DO50392" s="303" t="s">
        <v>232</v>
      </c>
    </row>
    <row r="50393" spans="119:119" x14ac:dyDescent="0.2">
      <c r="DO50393" s="303" t="s">
        <v>232</v>
      </c>
    </row>
    <row r="50394" spans="119:119" x14ac:dyDescent="0.2">
      <c r="DO50394" s="303" t="s">
        <v>232</v>
      </c>
    </row>
    <row r="50395" spans="119:119" x14ac:dyDescent="0.2">
      <c r="DO50395" s="303" t="s">
        <v>232</v>
      </c>
    </row>
    <row r="50396" spans="119:119" x14ac:dyDescent="0.2">
      <c r="DO50396" s="303" t="s">
        <v>232</v>
      </c>
    </row>
    <row r="50397" spans="119:119" x14ac:dyDescent="0.2">
      <c r="DO50397" s="303" t="s">
        <v>232</v>
      </c>
    </row>
    <row r="50398" spans="119:119" x14ac:dyDescent="0.2">
      <c r="DO50398" s="303" t="s">
        <v>232</v>
      </c>
    </row>
    <row r="50399" spans="119:119" x14ac:dyDescent="0.2">
      <c r="DO50399" s="303" t="s">
        <v>232</v>
      </c>
    </row>
    <row r="50400" spans="119:119" x14ac:dyDescent="0.2">
      <c r="DO50400" s="303" t="s">
        <v>232</v>
      </c>
    </row>
    <row r="50401" spans="119:119" x14ac:dyDescent="0.2">
      <c r="DO50401" s="303" t="s">
        <v>232</v>
      </c>
    </row>
    <row r="50402" spans="119:119" x14ac:dyDescent="0.2">
      <c r="DO50402" s="303" t="s">
        <v>232</v>
      </c>
    </row>
    <row r="50403" spans="119:119" x14ac:dyDescent="0.2">
      <c r="DO50403" s="303" t="s">
        <v>232</v>
      </c>
    </row>
    <row r="50404" spans="119:119" x14ac:dyDescent="0.2">
      <c r="DO50404" s="303" t="s">
        <v>232</v>
      </c>
    </row>
    <row r="50405" spans="119:119" x14ac:dyDescent="0.2">
      <c r="DO50405" s="303" t="s">
        <v>232</v>
      </c>
    </row>
    <row r="50406" spans="119:119" x14ac:dyDescent="0.2">
      <c r="DO50406" s="303" t="s">
        <v>232</v>
      </c>
    </row>
    <row r="50407" spans="119:119" x14ac:dyDescent="0.2">
      <c r="DO50407" s="303" t="s">
        <v>232</v>
      </c>
    </row>
    <row r="50408" spans="119:119" x14ac:dyDescent="0.2">
      <c r="DO50408" s="303" t="s">
        <v>232</v>
      </c>
    </row>
    <row r="50409" spans="119:119" x14ac:dyDescent="0.2">
      <c r="DO50409" s="303" t="s">
        <v>232</v>
      </c>
    </row>
    <row r="50410" spans="119:119" x14ac:dyDescent="0.2">
      <c r="DO50410" s="303" t="s">
        <v>232</v>
      </c>
    </row>
    <row r="50411" spans="119:119" x14ac:dyDescent="0.2">
      <c r="DO50411" s="303" t="s">
        <v>232</v>
      </c>
    </row>
    <row r="50412" spans="119:119" x14ac:dyDescent="0.2">
      <c r="DO50412" s="303" t="s">
        <v>232</v>
      </c>
    </row>
    <row r="50413" spans="119:119" x14ac:dyDescent="0.2">
      <c r="DO50413" s="303" t="s">
        <v>232</v>
      </c>
    </row>
    <row r="50414" spans="119:119" x14ac:dyDescent="0.2">
      <c r="DO50414" s="303" t="s">
        <v>232</v>
      </c>
    </row>
    <row r="50415" spans="119:119" x14ac:dyDescent="0.2">
      <c r="DO50415" s="303" t="s">
        <v>232</v>
      </c>
    </row>
    <row r="50416" spans="119:119" x14ac:dyDescent="0.2">
      <c r="DO50416" s="303" t="s">
        <v>232</v>
      </c>
    </row>
    <row r="50417" spans="119:119" x14ac:dyDescent="0.2">
      <c r="DO50417" s="303" t="s">
        <v>232</v>
      </c>
    </row>
    <row r="50418" spans="119:119" x14ac:dyDescent="0.2">
      <c r="DO50418" s="303" t="s">
        <v>232</v>
      </c>
    </row>
    <row r="50419" spans="119:119" x14ac:dyDescent="0.2">
      <c r="DO50419" s="303" t="s">
        <v>232</v>
      </c>
    </row>
    <row r="50420" spans="119:119" x14ac:dyDescent="0.2">
      <c r="DO50420" s="303" t="s">
        <v>232</v>
      </c>
    </row>
    <row r="50421" spans="119:119" x14ac:dyDescent="0.2">
      <c r="DO50421" s="303" t="s">
        <v>232</v>
      </c>
    </row>
    <row r="50422" spans="119:119" x14ac:dyDescent="0.2">
      <c r="DO50422" s="303" t="s">
        <v>232</v>
      </c>
    </row>
    <row r="50423" spans="119:119" x14ac:dyDescent="0.2">
      <c r="DO50423" s="303" t="s">
        <v>232</v>
      </c>
    </row>
    <row r="50424" spans="119:119" x14ac:dyDescent="0.2">
      <c r="DO50424" s="303" t="s">
        <v>232</v>
      </c>
    </row>
    <row r="50425" spans="119:119" x14ac:dyDescent="0.2">
      <c r="DO50425" s="303" t="s">
        <v>232</v>
      </c>
    </row>
    <row r="50426" spans="119:119" x14ac:dyDescent="0.2">
      <c r="DO50426" s="303" t="s">
        <v>232</v>
      </c>
    </row>
    <row r="50427" spans="119:119" x14ac:dyDescent="0.2">
      <c r="DO50427" s="303" t="s">
        <v>232</v>
      </c>
    </row>
    <row r="50428" spans="119:119" x14ac:dyDescent="0.2">
      <c r="DO50428" s="303" t="s">
        <v>232</v>
      </c>
    </row>
    <row r="50429" spans="119:119" x14ac:dyDescent="0.2">
      <c r="DO50429" s="303" t="s">
        <v>232</v>
      </c>
    </row>
    <row r="50430" spans="119:119" x14ac:dyDescent="0.2">
      <c r="DO50430" s="303" t="s">
        <v>232</v>
      </c>
    </row>
    <row r="50431" spans="119:119" x14ac:dyDescent="0.2">
      <c r="DO50431" s="303" t="s">
        <v>232</v>
      </c>
    </row>
    <row r="50432" spans="119:119" x14ac:dyDescent="0.2">
      <c r="DO50432" s="303" t="s">
        <v>232</v>
      </c>
    </row>
    <row r="50433" spans="119:119" x14ac:dyDescent="0.2">
      <c r="DO50433" s="303" t="s">
        <v>232</v>
      </c>
    </row>
    <row r="50434" spans="119:119" x14ac:dyDescent="0.2">
      <c r="DO50434" s="303" t="s">
        <v>232</v>
      </c>
    </row>
    <row r="50435" spans="119:119" x14ac:dyDescent="0.2">
      <c r="DO50435" s="303" t="s">
        <v>232</v>
      </c>
    </row>
    <row r="50436" spans="119:119" x14ac:dyDescent="0.2">
      <c r="DO50436" s="303" t="s">
        <v>232</v>
      </c>
    </row>
    <row r="50437" spans="119:119" x14ac:dyDescent="0.2">
      <c r="DO50437" s="303" t="s">
        <v>232</v>
      </c>
    </row>
    <row r="50438" spans="119:119" x14ac:dyDescent="0.2">
      <c r="DO50438" s="303" t="s">
        <v>232</v>
      </c>
    </row>
    <row r="50439" spans="119:119" x14ac:dyDescent="0.2">
      <c r="DO50439" s="303" t="s">
        <v>232</v>
      </c>
    </row>
    <row r="50440" spans="119:119" x14ac:dyDescent="0.2">
      <c r="DO50440" s="303" t="s">
        <v>232</v>
      </c>
    </row>
    <row r="50441" spans="119:119" x14ac:dyDescent="0.2">
      <c r="DO50441" s="303" t="s">
        <v>232</v>
      </c>
    </row>
    <row r="50442" spans="119:119" x14ac:dyDescent="0.2">
      <c r="DO50442" s="303" t="s">
        <v>232</v>
      </c>
    </row>
    <row r="50443" spans="119:119" x14ac:dyDescent="0.2">
      <c r="DO50443" s="303" t="s">
        <v>232</v>
      </c>
    </row>
    <row r="50444" spans="119:119" x14ac:dyDescent="0.2">
      <c r="DO50444" s="303" t="s">
        <v>232</v>
      </c>
    </row>
    <row r="50445" spans="119:119" x14ac:dyDescent="0.2">
      <c r="DO50445" s="303" t="s">
        <v>232</v>
      </c>
    </row>
    <row r="50446" spans="119:119" x14ac:dyDescent="0.2">
      <c r="DO50446" s="303" t="s">
        <v>232</v>
      </c>
    </row>
    <row r="50447" spans="119:119" x14ac:dyDescent="0.2">
      <c r="DO50447" s="303" t="s">
        <v>232</v>
      </c>
    </row>
    <row r="50448" spans="119:119" x14ac:dyDescent="0.2">
      <c r="DO50448" s="303" t="s">
        <v>232</v>
      </c>
    </row>
    <row r="50449" spans="119:119" x14ac:dyDescent="0.2">
      <c r="DO50449" s="303" t="s">
        <v>232</v>
      </c>
    </row>
    <row r="50450" spans="119:119" x14ac:dyDescent="0.2">
      <c r="DO50450" s="303" t="s">
        <v>232</v>
      </c>
    </row>
    <row r="50451" spans="119:119" x14ac:dyDescent="0.2">
      <c r="DO50451" s="303" t="s">
        <v>232</v>
      </c>
    </row>
    <row r="50452" spans="119:119" x14ac:dyDescent="0.2">
      <c r="DO50452" s="303" t="s">
        <v>232</v>
      </c>
    </row>
    <row r="50453" spans="119:119" x14ac:dyDescent="0.2">
      <c r="DO50453" s="303" t="s">
        <v>232</v>
      </c>
    </row>
    <row r="50454" spans="119:119" x14ac:dyDescent="0.2">
      <c r="DO50454" s="303" t="s">
        <v>232</v>
      </c>
    </row>
    <row r="50455" spans="119:119" x14ac:dyDescent="0.2">
      <c r="DO50455" s="303" t="s">
        <v>232</v>
      </c>
    </row>
    <row r="50456" spans="119:119" x14ac:dyDescent="0.2">
      <c r="DO50456" s="303" t="s">
        <v>232</v>
      </c>
    </row>
    <row r="50457" spans="119:119" x14ac:dyDescent="0.2">
      <c r="DO50457" s="303" t="s">
        <v>232</v>
      </c>
    </row>
    <row r="50458" spans="119:119" x14ac:dyDescent="0.2">
      <c r="DO50458" s="303" t="s">
        <v>232</v>
      </c>
    </row>
    <row r="50459" spans="119:119" x14ac:dyDescent="0.2">
      <c r="DO50459" s="303" t="s">
        <v>232</v>
      </c>
    </row>
    <row r="50460" spans="119:119" x14ac:dyDescent="0.2">
      <c r="DO50460" s="303" t="s">
        <v>232</v>
      </c>
    </row>
    <row r="50461" spans="119:119" x14ac:dyDescent="0.2">
      <c r="DO50461" s="303" t="s">
        <v>232</v>
      </c>
    </row>
    <row r="50462" spans="119:119" x14ac:dyDescent="0.2">
      <c r="DO50462" s="303" t="s">
        <v>232</v>
      </c>
    </row>
    <row r="50463" spans="119:119" x14ac:dyDescent="0.2">
      <c r="DO50463" s="303" t="s">
        <v>232</v>
      </c>
    </row>
    <row r="50464" spans="119:119" x14ac:dyDescent="0.2">
      <c r="DO50464" s="303" t="s">
        <v>232</v>
      </c>
    </row>
    <row r="50465" spans="119:119" x14ac:dyDescent="0.2">
      <c r="DO50465" s="303" t="s">
        <v>232</v>
      </c>
    </row>
    <row r="50466" spans="119:119" x14ac:dyDescent="0.2">
      <c r="DO50466" s="303" t="s">
        <v>232</v>
      </c>
    </row>
    <row r="50467" spans="119:119" x14ac:dyDescent="0.2">
      <c r="DO50467" s="303" t="s">
        <v>232</v>
      </c>
    </row>
    <row r="50468" spans="119:119" x14ac:dyDescent="0.2">
      <c r="DO50468" s="303" t="s">
        <v>232</v>
      </c>
    </row>
    <row r="50469" spans="119:119" x14ac:dyDescent="0.2">
      <c r="DO50469" s="303" t="s">
        <v>232</v>
      </c>
    </row>
    <row r="50470" spans="119:119" x14ac:dyDescent="0.2">
      <c r="DO50470" s="303" t="s">
        <v>232</v>
      </c>
    </row>
    <row r="50471" spans="119:119" x14ac:dyDescent="0.2">
      <c r="DO50471" s="303" t="s">
        <v>232</v>
      </c>
    </row>
    <row r="50472" spans="119:119" x14ac:dyDescent="0.2">
      <c r="DO50472" s="303" t="s">
        <v>232</v>
      </c>
    </row>
    <row r="50473" spans="119:119" x14ac:dyDescent="0.2">
      <c r="DO50473" s="303" t="s">
        <v>232</v>
      </c>
    </row>
    <row r="50474" spans="119:119" x14ac:dyDescent="0.2">
      <c r="DO50474" s="303" t="s">
        <v>232</v>
      </c>
    </row>
    <row r="50475" spans="119:119" x14ac:dyDescent="0.2">
      <c r="DO50475" s="303" t="s">
        <v>232</v>
      </c>
    </row>
    <row r="50476" spans="119:119" x14ac:dyDescent="0.2">
      <c r="DO50476" s="303" t="s">
        <v>232</v>
      </c>
    </row>
    <row r="50477" spans="119:119" x14ac:dyDescent="0.2">
      <c r="DO50477" s="303" t="s">
        <v>232</v>
      </c>
    </row>
    <row r="50478" spans="119:119" x14ac:dyDescent="0.2">
      <c r="DO50478" s="303" t="s">
        <v>232</v>
      </c>
    </row>
    <row r="50479" spans="119:119" x14ac:dyDescent="0.2">
      <c r="DO50479" s="303" t="s">
        <v>232</v>
      </c>
    </row>
    <row r="50480" spans="119:119" x14ac:dyDescent="0.2">
      <c r="DO50480" s="303" t="s">
        <v>232</v>
      </c>
    </row>
    <row r="50481" spans="119:119" x14ac:dyDescent="0.2">
      <c r="DO50481" s="303" t="s">
        <v>232</v>
      </c>
    </row>
    <row r="50482" spans="119:119" x14ac:dyDescent="0.2">
      <c r="DO50482" s="303" t="s">
        <v>232</v>
      </c>
    </row>
    <row r="50483" spans="119:119" x14ac:dyDescent="0.2">
      <c r="DO50483" s="303" t="s">
        <v>232</v>
      </c>
    </row>
    <row r="50484" spans="119:119" x14ac:dyDescent="0.2">
      <c r="DO50484" s="303" t="s">
        <v>232</v>
      </c>
    </row>
    <row r="50485" spans="119:119" x14ac:dyDescent="0.2">
      <c r="DO50485" s="303" t="s">
        <v>232</v>
      </c>
    </row>
    <row r="50486" spans="119:119" x14ac:dyDescent="0.2">
      <c r="DO50486" s="303" t="s">
        <v>232</v>
      </c>
    </row>
    <row r="50487" spans="119:119" x14ac:dyDescent="0.2">
      <c r="DO50487" s="303" t="s">
        <v>232</v>
      </c>
    </row>
    <row r="50488" spans="119:119" x14ac:dyDescent="0.2">
      <c r="DO50488" s="303" t="s">
        <v>232</v>
      </c>
    </row>
    <row r="50489" spans="119:119" x14ac:dyDescent="0.2">
      <c r="DO50489" s="303" t="s">
        <v>232</v>
      </c>
    </row>
    <row r="50490" spans="119:119" x14ac:dyDescent="0.2">
      <c r="DO50490" s="303" t="s">
        <v>232</v>
      </c>
    </row>
    <row r="50491" spans="119:119" x14ac:dyDescent="0.2">
      <c r="DO50491" s="303" t="s">
        <v>232</v>
      </c>
    </row>
    <row r="50492" spans="119:119" x14ac:dyDescent="0.2">
      <c r="DO50492" s="303" t="s">
        <v>232</v>
      </c>
    </row>
    <row r="50493" spans="119:119" x14ac:dyDescent="0.2">
      <c r="DO50493" s="303" t="s">
        <v>232</v>
      </c>
    </row>
    <row r="50494" spans="119:119" x14ac:dyDescent="0.2">
      <c r="DO50494" s="303" t="s">
        <v>232</v>
      </c>
    </row>
    <row r="50495" spans="119:119" x14ac:dyDescent="0.2">
      <c r="DO50495" s="303" t="s">
        <v>232</v>
      </c>
    </row>
    <row r="50496" spans="119:119" x14ac:dyDescent="0.2">
      <c r="DO50496" s="303" t="s">
        <v>232</v>
      </c>
    </row>
    <row r="50497" spans="119:119" x14ac:dyDescent="0.2">
      <c r="DO50497" s="303" t="s">
        <v>232</v>
      </c>
    </row>
    <row r="50498" spans="119:119" x14ac:dyDescent="0.2">
      <c r="DO50498" s="303" t="s">
        <v>232</v>
      </c>
    </row>
    <row r="50499" spans="119:119" x14ac:dyDescent="0.2">
      <c r="DO50499" s="303" t="s">
        <v>232</v>
      </c>
    </row>
    <row r="50500" spans="119:119" x14ac:dyDescent="0.2">
      <c r="DO50500" s="303" t="s">
        <v>232</v>
      </c>
    </row>
    <row r="50501" spans="119:119" x14ac:dyDescent="0.2">
      <c r="DO50501" s="303" t="s">
        <v>232</v>
      </c>
    </row>
    <row r="50502" spans="119:119" x14ac:dyDescent="0.2">
      <c r="DO50502" s="303" t="s">
        <v>232</v>
      </c>
    </row>
    <row r="50503" spans="119:119" x14ac:dyDescent="0.2">
      <c r="DO50503" s="303" t="s">
        <v>232</v>
      </c>
    </row>
    <row r="50504" spans="119:119" x14ac:dyDescent="0.2">
      <c r="DO50504" s="303" t="s">
        <v>232</v>
      </c>
    </row>
    <row r="50505" spans="119:119" x14ac:dyDescent="0.2">
      <c r="DO50505" s="303" t="s">
        <v>232</v>
      </c>
    </row>
    <row r="50506" spans="119:119" x14ac:dyDescent="0.2">
      <c r="DO50506" s="303" t="s">
        <v>232</v>
      </c>
    </row>
    <row r="50507" spans="119:119" x14ac:dyDescent="0.2">
      <c r="DO50507" s="303" t="s">
        <v>232</v>
      </c>
    </row>
    <row r="50508" spans="119:119" x14ac:dyDescent="0.2">
      <c r="DO50508" s="303" t="s">
        <v>232</v>
      </c>
    </row>
    <row r="50509" spans="119:119" x14ac:dyDescent="0.2">
      <c r="DO50509" s="303" t="s">
        <v>232</v>
      </c>
    </row>
    <row r="50510" spans="119:119" x14ac:dyDescent="0.2">
      <c r="DO50510" s="303" t="s">
        <v>232</v>
      </c>
    </row>
    <row r="50511" spans="119:119" x14ac:dyDescent="0.2">
      <c r="DO50511" s="303" t="s">
        <v>232</v>
      </c>
    </row>
    <row r="50512" spans="119:119" x14ac:dyDescent="0.2">
      <c r="DO50512" s="303" t="s">
        <v>232</v>
      </c>
    </row>
    <row r="50513" spans="119:119" x14ac:dyDescent="0.2">
      <c r="DO50513" s="303" t="s">
        <v>232</v>
      </c>
    </row>
    <row r="50514" spans="119:119" x14ac:dyDescent="0.2">
      <c r="DO50514" s="303" t="s">
        <v>232</v>
      </c>
    </row>
    <row r="50515" spans="119:119" x14ac:dyDescent="0.2">
      <c r="DO50515" s="303" t="s">
        <v>232</v>
      </c>
    </row>
    <row r="50516" spans="119:119" x14ac:dyDescent="0.2">
      <c r="DO50516" s="303" t="s">
        <v>232</v>
      </c>
    </row>
    <row r="50517" spans="119:119" x14ac:dyDescent="0.2">
      <c r="DO50517" s="303" t="s">
        <v>232</v>
      </c>
    </row>
    <row r="50518" spans="119:119" x14ac:dyDescent="0.2">
      <c r="DO50518" s="303" t="s">
        <v>232</v>
      </c>
    </row>
    <row r="50519" spans="119:119" x14ac:dyDescent="0.2">
      <c r="DO50519" s="303" t="s">
        <v>232</v>
      </c>
    </row>
    <row r="50520" spans="119:119" x14ac:dyDescent="0.2">
      <c r="DO50520" s="303" t="s">
        <v>232</v>
      </c>
    </row>
    <row r="50521" spans="119:119" x14ac:dyDescent="0.2">
      <c r="DO50521" s="303" t="s">
        <v>232</v>
      </c>
    </row>
    <row r="50522" spans="119:119" x14ac:dyDescent="0.2">
      <c r="DO50522" s="303" t="s">
        <v>232</v>
      </c>
    </row>
    <row r="50523" spans="119:119" x14ac:dyDescent="0.2">
      <c r="DO50523" s="303" t="s">
        <v>232</v>
      </c>
    </row>
    <row r="50524" spans="119:119" x14ac:dyDescent="0.2">
      <c r="DO50524" s="303" t="s">
        <v>232</v>
      </c>
    </row>
    <row r="50525" spans="119:119" x14ac:dyDescent="0.2">
      <c r="DO50525" s="303" t="s">
        <v>232</v>
      </c>
    </row>
    <row r="50526" spans="119:119" x14ac:dyDescent="0.2">
      <c r="DO50526" s="303" t="s">
        <v>232</v>
      </c>
    </row>
    <row r="50527" spans="119:119" x14ac:dyDescent="0.2">
      <c r="DO50527" s="303" t="s">
        <v>232</v>
      </c>
    </row>
    <row r="50528" spans="119:119" x14ac:dyDescent="0.2">
      <c r="DO50528" s="303" t="s">
        <v>232</v>
      </c>
    </row>
    <row r="50529" spans="119:119" x14ac:dyDescent="0.2">
      <c r="DO50529" s="303" t="s">
        <v>232</v>
      </c>
    </row>
    <row r="50530" spans="119:119" x14ac:dyDescent="0.2">
      <c r="DO50530" s="303" t="s">
        <v>232</v>
      </c>
    </row>
    <row r="50531" spans="119:119" x14ac:dyDescent="0.2">
      <c r="DO50531" s="303" t="s">
        <v>232</v>
      </c>
    </row>
    <row r="50532" spans="119:119" x14ac:dyDescent="0.2">
      <c r="DO50532" s="303" t="s">
        <v>232</v>
      </c>
    </row>
    <row r="50533" spans="119:119" x14ac:dyDescent="0.2">
      <c r="DO50533" s="303" t="s">
        <v>232</v>
      </c>
    </row>
    <row r="50534" spans="119:119" x14ac:dyDescent="0.2">
      <c r="DO50534" s="303" t="s">
        <v>232</v>
      </c>
    </row>
    <row r="50535" spans="119:119" x14ac:dyDescent="0.2">
      <c r="DO50535" s="303" t="s">
        <v>232</v>
      </c>
    </row>
    <row r="50536" spans="119:119" x14ac:dyDescent="0.2">
      <c r="DO50536" s="303" t="s">
        <v>232</v>
      </c>
    </row>
    <row r="50537" spans="119:119" x14ac:dyDescent="0.2">
      <c r="DO50537" s="303" t="s">
        <v>232</v>
      </c>
    </row>
    <row r="50538" spans="119:119" x14ac:dyDescent="0.2">
      <c r="DO50538" s="303" t="s">
        <v>232</v>
      </c>
    </row>
    <row r="50539" spans="119:119" x14ac:dyDescent="0.2">
      <c r="DO50539" s="303" t="s">
        <v>232</v>
      </c>
    </row>
    <row r="50540" spans="119:119" x14ac:dyDescent="0.2">
      <c r="DO50540" s="303" t="s">
        <v>232</v>
      </c>
    </row>
    <row r="50541" spans="119:119" x14ac:dyDescent="0.2">
      <c r="DO50541" s="303" t="s">
        <v>232</v>
      </c>
    </row>
    <row r="50542" spans="119:119" x14ac:dyDescent="0.2">
      <c r="DO50542" s="303" t="s">
        <v>232</v>
      </c>
    </row>
    <row r="50543" spans="119:119" x14ac:dyDescent="0.2">
      <c r="DO50543" s="303" t="s">
        <v>232</v>
      </c>
    </row>
    <row r="50544" spans="119:119" x14ac:dyDescent="0.2">
      <c r="DO50544" s="303" t="s">
        <v>232</v>
      </c>
    </row>
    <row r="50545" spans="119:119" x14ac:dyDescent="0.2">
      <c r="DO50545" s="303" t="s">
        <v>232</v>
      </c>
    </row>
    <row r="50546" spans="119:119" x14ac:dyDescent="0.2">
      <c r="DO50546" s="303" t="s">
        <v>232</v>
      </c>
    </row>
    <row r="50547" spans="119:119" x14ac:dyDescent="0.2">
      <c r="DO50547" s="303" t="s">
        <v>232</v>
      </c>
    </row>
    <row r="50548" spans="119:119" x14ac:dyDescent="0.2">
      <c r="DO50548" s="303" t="s">
        <v>232</v>
      </c>
    </row>
    <row r="50549" spans="119:119" x14ac:dyDescent="0.2">
      <c r="DO50549" s="303" t="s">
        <v>232</v>
      </c>
    </row>
    <row r="50550" spans="119:119" x14ac:dyDescent="0.2">
      <c r="DO50550" s="303" t="s">
        <v>232</v>
      </c>
    </row>
    <row r="50551" spans="119:119" x14ac:dyDescent="0.2">
      <c r="DO50551" s="303" t="s">
        <v>232</v>
      </c>
    </row>
    <row r="50552" spans="119:119" x14ac:dyDescent="0.2">
      <c r="DO50552" s="303" t="s">
        <v>232</v>
      </c>
    </row>
    <row r="50553" spans="119:119" x14ac:dyDescent="0.2">
      <c r="DO50553" s="303" t="s">
        <v>232</v>
      </c>
    </row>
    <row r="50554" spans="119:119" x14ac:dyDescent="0.2">
      <c r="DO50554" s="303" t="s">
        <v>232</v>
      </c>
    </row>
    <row r="50555" spans="119:119" x14ac:dyDescent="0.2">
      <c r="DO50555" s="303" t="s">
        <v>232</v>
      </c>
    </row>
    <row r="50556" spans="119:119" x14ac:dyDescent="0.2">
      <c r="DO50556" s="303" t="s">
        <v>232</v>
      </c>
    </row>
    <row r="50557" spans="119:119" x14ac:dyDescent="0.2">
      <c r="DO50557" s="303" t="s">
        <v>232</v>
      </c>
    </row>
    <row r="50558" spans="119:119" x14ac:dyDescent="0.2">
      <c r="DO50558" s="303" t="s">
        <v>232</v>
      </c>
    </row>
    <row r="50559" spans="119:119" x14ac:dyDescent="0.2">
      <c r="DO50559" s="303" t="s">
        <v>232</v>
      </c>
    </row>
    <row r="50560" spans="119:119" x14ac:dyDescent="0.2">
      <c r="DO50560" s="303" t="s">
        <v>232</v>
      </c>
    </row>
    <row r="50561" spans="119:119" x14ac:dyDescent="0.2">
      <c r="DO50561" s="303" t="s">
        <v>232</v>
      </c>
    </row>
    <row r="50562" spans="119:119" x14ac:dyDescent="0.2">
      <c r="DO50562" s="303" t="s">
        <v>232</v>
      </c>
    </row>
    <row r="50563" spans="119:119" x14ac:dyDescent="0.2">
      <c r="DO50563" s="303" t="s">
        <v>232</v>
      </c>
    </row>
    <row r="50564" spans="119:119" x14ac:dyDescent="0.2">
      <c r="DO50564" s="303" t="s">
        <v>232</v>
      </c>
    </row>
    <row r="50565" spans="119:119" x14ac:dyDescent="0.2">
      <c r="DO50565" s="303" t="s">
        <v>232</v>
      </c>
    </row>
    <row r="50566" spans="119:119" x14ac:dyDescent="0.2">
      <c r="DO50566" s="303" t="s">
        <v>232</v>
      </c>
    </row>
    <row r="50567" spans="119:119" x14ac:dyDescent="0.2">
      <c r="DO50567" s="303" t="s">
        <v>232</v>
      </c>
    </row>
    <row r="50568" spans="119:119" x14ac:dyDescent="0.2">
      <c r="DO50568" s="303" t="s">
        <v>232</v>
      </c>
    </row>
    <row r="50569" spans="119:119" x14ac:dyDescent="0.2">
      <c r="DO50569" s="303" t="s">
        <v>232</v>
      </c>
    </row>
    <row r="50570" spans="119:119" x14ac:dyDescent="0.2">
      <c r="DO50570" s="303" t="s">
        <v>232</v>
      </c>
    </row>
    <row r="50571" spans="119:119" x14ac:dyDescent="0.2">
      <c r="DO50571" s="303" t="s">
        <v>232</v>
      </c>
    </row>
    <row r="50572" spans="119:119" x14ac:dyDescent="0.2">
      <c r="DO50572" s="303" t="s">
        <v>232</v>
      </c>
    </row>
    <row r="50573" spans="119:119" x14ac:dyDescent="0.2">
      <c r="DO50573" s="303" t="s">
        <v>232</v>
      </c>
    </row>
    <row r="50574" spans="119:119" x14ac:dyDescent="0.2">
      <c r="DO50574" s="303" t="s">
        <v>232</v>
      </c>
    </row>
    <row r="50575" spans="119:119" x14ac:dyDescent="0.2">
      <c r="DO50575" s="303" t="s">
        <v>232</v>
      </c>
    </row>
    <row r="50576" spans="119:119" x14ac:dyDescent="0.2">
      <c r="DO50576" s="303" t="s">
        <v>232</v>
      </c>
    </row>
    <row r="50577" spans="119:119" x14ac:dyDescent="0.2">
      <c r="DO50577" s="303" t="s">
        <v>232</v>
      </c>
    </row>
    <row r="50578" spans="119:119" x14ac:dyDescent="0.2">
      <c r="DO50578" s="303" t="s">
        <v>232</v>
      </c>
    </row>
    <row r="50579" spans="119:119" x14ac:dyDescent="0.2">
      <c r="DO50579" s="303" t="s">
        <v>232</v>
      </c>
    </row>
    <row r="50580" spans="119:119" x14ac:dyDescent="0.2">
      <c r="DO50580" s="303" t="s">
        <v>232</v>
      </c>
    </row>
    <row r="50581" spans="119:119" x14ac:dyDescent="0.2">
      <c r="DO50581" s="303" t="s">
        <v>232</v>
      </c>
    </row>
    <row r="50582" spans="119:119" x14ac:dyDescent="0.2">
      <c r="DO50582" s="303" t="s">
        <v>232</v>
      </c>
    </row>
    <row r="50583" spans="119:119" x14ac:dyDescent="0.2">
      <c r="DO50583" s="303" t="s">
        <v>232</v>
      </c>
    </row>
    <row r="50584" spans="119:119" x14ac:dyDescent="0.2">
      <c r="DO50584" s="303" t="s">
        <v>232</v>
      </c>
    </row>
    <row r="50585" spans="119:119" x14ac:dyDescent="0.2">
      <c r="DO50585" s="303" t="s">
        <v>232</v>
      </c>
    </row>
    <row r="50586" spans="119:119" x14ac:dyDescent="0.2">
      <c r="DO50586" s="303" t="s">
        <v>232</v>
      </c>
    </row>
    <row r="50587" spans="119:119" x14ac:dyDescent="0.2">
      <c r="DO50587" s="303" t="s">
        <v>232</v>
      </c>
    </row>
    <row r="50588" spans="119:119" x14ac:dyDescent="0.2">
      <c r="DO50588" s="303" t="s">
        <v>232</v>
      </c>
    </row>
    <row r="50589" spans="119:119" x14ac:dyDescent="0.2">
      <c r="DO50589" s="303" t="s">
        <v>232</v>
      </c>
    </row>
    <row r="50590" spans="119:119" x14ac:dyDescent="0.2">
      <c r="DO50590" s="303" t="s">
        <v>232</v>
      </c>
    </row>
    <row r="50591" spans="119:119" x14ac:dyDescent="0.2">
      <c r="DO50591" s="303" t="s">
        <v>232</v>
      </c>
    </row>
    <row r="50592" spans="119:119" x14ac:dyDescent="0.2">
      <c r="DO50592" s="303" t="s">
        <v>232</v>
      </c>
    </row>
    <row r="50593" spans="119:119" x14ac:dyDescent="0.2">
      <c r="DO50593" s="303" t="s">
        <v>232</v>
      </c>
    </row>
    <row r="50594" spans="119:119" x14ac:dyDescent="0.2">
      <c r="DO50594" s="303" t="s">
        <v>232</v>
      </c>
    </row>
    <row r="50595" spans="119:119" x14ac:dyDescent="0.2">
      <c r="DO50595" s="303" t="s">
        <v>232</v>
      </c>
    </row>
    <row r="50596" spans="119:119" x14ac:dyDescent="0.2">
      <c r="DO50596" s="303" t="s">
        <v>232</v>
      </c>
    </row>
    <row r="50597" spans="119:119" x14ac:dyDescent="0.2">
      <c r="DO50597" s="303" t="s">
        <v>232</v>
      </c>
    </row>
    <row r="50598" spans="119:119" x14ac:dyDescent="0.2">
      <c r="DO50598" s="303" t="s">
        <v>232</v>
      </c>
    </row>
    <row r="50599" spans="119:119" x14ac:dyDescent="0.2">
      <c r="DO50599" s="303" t="s">
        <v>232</v>
      </c>
    </row>
    <row r="50600" spans="119:119" x14ac:dyDescent="0.2">
      <c r="DO50600" s="303" t="s">
        <v>232</v>
      </c>
    </row>
    <row r="50601" spans="119:119" x14ac:dyDescent="0.2">
      <c r="DO50601" s="303" t="s">
        <v>232</v>
      </c>
    </row>
    <row r="50602" spans="119:119" x14ac:dyDescent="0.2">
      <c r="DO50602" s="303" t="s">
        <v>232</v>
      </c>
    </row>
    <row r="50603" spans="119:119" x14ac:dyDescent="0.2">
      <c r="DO50603" s="303" t="s">
        <v>232</v>
      </c>
    </row>
    <row r="50604" spans="119:119" x14ac:dyDescent="0.2">
      <c r="DO50604" s="303" t="s">
        <v>232</v>
      </c>
    </row>
    <row r="50605" spans="119:119" x14ac:dyDescent="0.2">
      <c r="DO50605" s="303" t="s">
        <v>232</v>
      </c>
    </row>
    <row r="50606" spans="119:119" x14ac:dyDescent="0.2">
      <c r="DO50606" s="303" t="s">
        <v>232</v>
      </c>
    </row>
    <row r="50607" spans="119:119" x14ac:dyDescent="0.2">
      <c r="DO50607" s="303" t="s">
        <v>232</v>
      </c>
    </row>
    <row r="50608" spans="119:119" x14ac:dyDescent="0.2">
      <c r="DO50608" s="303" t="s">
        <v>232</v>
      </c>
    </row>
    <row r="50609" spans="119:119" x14ac:dyDescent="0.2">
      <c r="DO50609" s="303" t="s">
        <v>232</v>
      </c>
    </row>
    <row r="50610" spans="119:119" x14ac:dyDescent="0.2">
      <c r="DO50610" s="303" t="s">
        <v>232</v>
      </c>
    </row>
    <row r="50611" spans="119:119" x14ac:dyDescent="0.2">
      <c r="DO50611" s="303" t="s">
        <v>232</v>
      </c>
    </row>
    <row r="50612" spans="119:119" x14ac:dyDescent="0.2">
      <c r="DO50612" s="303" t="s">
        <v>232</v>
      </c>
    </row>
    <row r="50613" spans="119:119" x14ac:dyDescent="0.2">
      <c r="DO50613" s="303" t="s">
        <v>232</v>
      </c>
    </row>
    <row r="50614" spans="119:119" x14ac:dyDescent="0.2">
      <c r="DO50614" s="303" t="s">
        <v>232</v>
      </c>
    </row>
    <row r="50615" spans="119:119" x14ac:dyDescent="0.2">
      <c r="DO50615" s="303" t="s">
        <v>232</v>
      </c>
    </row>
    <row r="50616" spans="119:119" x14ac:dyDescent="0.2">
      <c r="DO50616" s="303" t="s">
        <v>232</v>
      </c>
    </row>
    <row r="50617" spans="119:119" x14ac:dyDescent="0.2">
      <c r="DO50617" s="303" t="s">
        <v>232</v>
      </c>
    </row>
    <row r="50618" spans="119:119" x14ac:dyDescent="0.2">
      <c r="DO50618" s="303" t="s">
        <v>232</v>
      </c>
    </row>
    <row r="50619" spans="119:119" x14ac:dyDescent="0.2">
      <c r="DO50619" s="303" t="s">
        <v>232</v>
      </c>
    </row>
    <row r="50620" spans="119:119" x14ac:dyDescent="0.2">
      <c r="DO50620" s="303" t="s">
        <v>232</v>
      </c>
    </row>
    <row r="50621" spans="119:119" x14ac:dyDescent="0.2">
      <c r="DO50621" s="303" t="s">
        <v>232</v>
      </c>
    </row>
    <row r="50622" spans="119:119" x14ac:dyDescent="0.2">
      <c r="DO50622" s="303" t="s">
        <v>232</v>
      </c>
    </row>
    <row r="50623" spans="119:119" x14ac:dyDescent="0.2">
      <c r="DO50623" s="303" t="s">
        <v>232</v>
      </c>
    </row>
    <row r="50624" spans="119:119" x14ac:dyDescent="0.2">
      <c r="DO50624" s="303" t="s">
        <v>232</v>
      </c>
    </row>
    <row r="50625" spans="119:119" x14ac:dyDescent="0.2">
      <c r="DO50625" s="303" t="s">
        <v>232</v>
      </c>
    </row>
    <row r="50626" spans="119:119" x14ac:dyDescent="0.2">
      <c r="DO50626" s="303" t="s">
        <v>232</v>
      </c>
    </row>
    <row r="50627" spans="119:119" x14ac:dyDescent="0.2">
      <c r="DO50627" s="303" t="s">
        <v>232</v>
      </c>
    </row>
    <row r="50628" spans="119:119" x14ac:dyDescent="0.2">
      <c r="DO50628" s="303" t="s">
        <v>232</v>
      </c>
    </row>
    <row r="50629" spans="119:119" x14ac:dyDescent="0.2">
      <c r="DO50629" s="303" t="s">
        <v>232</v>
      </c>
    </row>
    <row r="50630" spans="119:119" x14ac:dyDescent="0.2">
      <c r="DO50630" s="303" t="s">
        <v>232</v>
      </c>
    </row>
    <row r="50631" spans="119:119" x14ac:dyDescent="0.2">
      <c r="DO50631" s="303" t="s">
        <v>232</v>
      </c>
    </row>
    <row r="50632" spans="119:119" x14ac:dyDescent="0.2">
      <c r="DO50632" s="303" t="s">
        <v>232</v>
      </c>
    </row>
    <row r="50633" spans="119:119" x14ac:dyDescent="0.2">
      <c r="DO50633" s="303" t="s">
        <v>232</v>
      </c>
    </row>
    <row r="50634" spans="119:119" x14ac:dyDescent="0.2">
      <c r="DO50634" s="303" t="s">
        <v>232</v>
      </c>
    </row>
    <row r="50635" spans="119:119" x14ac:dyDescent="0.2">
      <c r="DO50635" s="303" t="s">
        <v>232</v>
      </c>
    </row>
    <row r="50636" spans="119:119" x14ac:dyDescent="0.2">
      <c r="DO50636" s="303" t="s">
        <v>232</v>
      </c>
    </row>
    <row r="50637" spans="119:119" x14ac:dyDescent="0.2">
      <c r="DO50637" s="303" t="s">
        <v>232</v>
      </c>
    </row>
    <row r="50638" spans="119:119" x14ac:dyDescent="0.2">
      <c r="DO50638" s="303" t="s">
        <v>232</v>
      </c>
    </row>
    <row r="50639" spans="119:119" x14ac:dyDescent="0.2">
      <c r="DO50639" s="303" t="s">
        <v>232</v>
      </c>
    </row>
    <row r="50640" spans="119:119" x14ac:dyDescent="0.2">
      <c r="DO50640" s="303" t="s">
        <v>232</v>
      </c>
    </row>
    <row r="50641" spans="119:119" x14ac:dyDescent="0.2">
      <c r="DO50641" s="303" t="s">
        <v>232</v>
      </c>
    </row>
    <row r="50642" spans="119:119" x14ac:dyDescent="0.2">
      <c r="DO50642" s="303" t="s">
        <v>232</v>
      </c>
    </row>
    <row r="50643" spans="119:119" x14ac:dyDescent="0.2">
      <c r="DO50643" s="303" t="s">
        <v>232</v>
      </c>
    </row>
    <row r="50644" spans="119:119" x14ac:dyDescent="0.2">
      <c r="DO50644" s="303" t="s">
        <v>232</v>
      </c>
    </row>
    <row r="50645" spans="119:119" x14ac:dyDescent="0.2">
      <c r="DO50645" s="303" t="s">
        <v>232</v>
      </c>
    </row>
    <row r="50646" spans="119:119" x14ac:dyDescent="0.2">
      <c r="DO50646" s="303" t="s">
        <v>232</v>
      </c>
    </row>
    <row r="50647" spans="119:119" x14ac:dyDescent="0.2">
      <c r="DO50647" s="303" t="s">
        <v>232</v>
      </c>
    </row>
    <row r="50648" spans="119:119" x14ac:dyDescent="0.2">
      <c r="DO50648" s="303" t="s">
        <v>232</v>
      </c>
    </row>
    <row r="50649" spans="119:119" x14ac:dyDescent="0.2">
      <c r="DO50649" s="303" t="s">
        <v>232</v>
      </c>
    </row>
    <row r="50650" spans="119:119" x14ac:dyDescent="0.2">
      <c r="DO50650" s="303" t="s">
        <v>232</v>
      </c>
    </row>
    <row r="50651" spans="119:119" x14ac:dyDescent="0.2">
      <c r="DO50651" s="303" t="s">
        <v>232</v>
      </c>
    </row>
    <row r="50652" spans="119:119" x14ac:dyDescent="0.2">
      <c r="DO50652" s="303" t="s">
        <v>232</v>
      </c>
    </row>
    <row r="50653" spans="119:119" x14ac:dyDescent="0.2">
      <c r="DO50653" s="303" t="s">
        <v>232</v>
      </c>
    </row>
    <row r="50654" spans="119:119" x14ac:dyDescent="0.2">
      <c r="DO50654" s="303" t="s">
        <v>232</v>
      </c>
    </row>
    <row r="50655" spans="119:119" x14ac:dyDescent="0.2">
      <c r="DO50655" s="303" t="s">
        <v>232</v>
      </c>
    </row>
    <row r="50656" spans="119:119" x14ac:dyDescent="0.2">
      <c r="DO50656" s="303" t="s">
        <v>232</v>
      </c>
    </row>
    <row r="50657" spans="119:119" x14ac:dyDescent="0.2">
      <c r="DO50657" s="303" t="s">
        <v>232</v>
      </c>
    </row>
    <row r="50658" spans="119:119" x14ac:dyDescent="0.2">
      <c r="DO50658" s="303" t="s">
        <v>232</v>
      </c>
    </row>
    <row r="50659" spans="119:119" x14ac:dyDescent="0.2">
      <c r="DO50659" s="303" t="s">
        <v>232</v>
      </c>
    </row>
    <row r="50660" spans="119:119" x14ac:dyDescent="0.2">
      <c r="DO50660" s="303" t="s">
        <v>232</v>
      </c>
    </row>
    <row r="50661" spans="119:119" x14ac:dyDescent="0.2">
      <c r="DO50661" s="303" t="s">
        <v>232</v>
      </c>
    </row>
    <row r="50662" spans="119:119" x14ac:dyDescent="0.2">
      <c r="DO50662" s="303" t="s">
        <v>232</v>
      </c>
    </row>
    <row r="50663" spans="119:119" x14ac:dyDescent="0.2">
      <c r="DO50663" s="303" t="s">
        <v>232</v>
      </c>
    </row>
    <row r="50664" spans="119:119" x14ac:dyDescent="0.2">
      <c r="DO50664" s="303" t="s">
        <v>232</v>
      </c>
    </row>
    <row r="50665" spans="119:119" x14ac:dyDescent="0.2">
      <c r="DO50665" s="303" t="s">
        <v>232</v>
      </c>
    </row>
    <row r="50666" spans="119:119" x14ac:dyDescent="0.2">
      <c r="DO50666" s="303" t="s">
        <v>232</v>
      </c>
    </row>
    <row r="50667" spans="119:119" x14ac:dyDescent="0.2">
      <c r="DO50667" s="303" t="s">
        <v>232</v>
      </c>
    </row>
    <row r="50668" spans="119:119" x14ac:dyDescent="0.2">
      <c r="DO50668" s="303" t="s">
        <v>232</v>
      </c>
    </row>
    <row r="50669" spans="119:119" x14ac:dyDescent="0.2">
      <c r="DO50669" s="303" t="s">
        <v>232</v>
      </c>
    </row>
    <row r="50670" spans="119:119" x14ac:dyDescent="0.2">
      <c r="DO50670" s="303" t="s">
        <v>232</v>
      </c>
    </row>
    <row r="50671" spans="119:119" x14ac:dyDescent="0.2">
      <c r="DO50671" s="303" t="s">
        <v>232</v>
      </c>
    </row>
    <row r="50672" spans="119:119" x14ac:dyDescent="0.2">
      <c r="DO50672" s="303" t="s">
        <v>232</v>
      </c>
    </row>
    <row r="50673" spans="119:119" x14ac:dyDescent="0.2">
      <c r="DO50673" s="303" t="s">
        <v>232</v>
      </c>
    </row>
    <row r="50674" spans="119:119" x14ac:dyDescent="0.2">
      <c r="DO50674" s="303" t="s">
        <v>232</v>
      </c>
    </row>
    <row r="50675" spans="119:119" x14ac:dyDescent="0.2">
      <c r="DO50675" s="303" t="s">
        <v>232</v>
      </c>
    </row>
    <row r="50676" spans="119:119" x14ac:dyDescent="0.2">
      <c r="DO50676" s="303" t="s">
        <v>232</v>
      </c>
    </row>
    <row r="50677" spans="119:119" x14ac:dyDescent="0.2">
      <c r="DO50677" s="303" t="s">
        <v>232</v>
      </c>
    </row>
    <row r="50678" spans="119:119" x14ac:dyDescent="0.2">
      <c r="DO50678" s="303" t="s">
        <v>232</v>
      </c>
    </row>
    <row r="50679" spans="119:119" x14ac:dyDescent="0.2">
      <c r="DO50679" s="303" t="s">
        <v>232</v>
      </c>
    </row>
    <row r="50680" spans="119:119" x14ac:dyDescent="0.2">
      <c r="DO50680" s="303" t="s">
        <v>232</v>
      </c>
    </row>
    <row r="50681" spans="119:119" x14ac:dyDescent="0.2">
      <c r="DO50681" s="303" t="s">
        <v>232</v>
      </c>
    </row>
    <row r="50682" spans="119:119" x14ac:dyDescent="0.2">
      <c r="DO50682" s="303" t="s">
        <v>232</v>
      </c>
    </row>
    <row r="50683" spans="119:119" x14ac:dyDescent="0.2">
      <c r="DO50683" s="303" t="s">
        <v>232</v>
      </c>
    </row>
    <row r="50684" spans="119:119" x14ac:dyDescent="0.2">
      <c r="DO50684" s="303" t="s">
        <v>232</v>
      </c>
    </row>
    <row r="50685" spans="119:119" x14ac:dyDescent="0.2">
      <c r="DO50685" s="303" t="s">
        <v>232</v>
      </c>
    </row>
    <row r="50686" spans="119:119" x14ac:dyDescent="0.2">
      <c r="DO50686" s="303" t="s">
        <v>232</v>
      </c>
    </row>
    <row r="50687" spans="119:119" x14ac:dyDescent="0.2">
      <c r="DO50687" s="303" t="s">
        <v>232</v>
      </c>
    </row>
    <row r="50688" spans="119:119" x14ac:dyDescent="0.2">
      <c r="DO50688" s="303" t="s">
        <v>232</v>
      </c>
    </row>
    <row r="50689" spans="119:119" x14ac:dyDescent="0.2">
      <c r="DO50689" s="303" t="s">
        <v>232</v>
      </c>
    </row>
    <row r="50690" spans="119:119" x14ac:dyDescent="0.2">
      <c r="DO50690" s="303" t="s">
        <v>232</v>
      </c>
    </row>
    <row r="50691" spans="119:119" x14ac:dyDescent="0.2">
      <c r="DO50691" s="303" t="s">
        <v>232</v>
      </c>
    </row>
    <row r="50692" spans="119:119" x14ac:dyDescent="0.2">
      <c r="DO50692" s="303" t="s">
        <v>232</v>
      </c>
    </row>
    <row r="50693" spans="119:119" x14ac:dyDescent="0.2">
      <c r="DO50693" s="303" t="s">
        <v>232</v>
      </c>
    </row>
    <row r="50694" spans="119:119" x14ac:dyDescent="0.2">
      <c r="DO50694" s="303" t="s">
        <v>232</v>
      </c>
    </row>
    <row r="50695" spans="119:119" x14ac:dyDescent="0.2">
      <c r="DO50695" s="303" t="s">
        <v>232</v>
      </c>
    </row>
    <row r="50696" spans="119:119" x14ac:dyDescent="0.2">
      <c r="DO50696" s="303" t="s">
        <v>232</v>
      </c>
    </row>
    <row r="50697" spans="119:119" x14ac:dyDescent="0.2">
      <c r="DO50697" s="303" t="s">
        <v>232</v>
      </c>
    </row>
    <row r="50698" spans="119:119" x14ac:dyDescent="0.2">
      <c r="DO50698" s="303" t="s">
        <v>232</v>
      </c>
    </row>
    <row r="50699" spans="119:119" x14ac:dyDescent="0.2">
      <c r="DO50699" s="303" t="s">
        <v>232</v>
      </c>
    </row>
    <row r="50700" spans="119:119" x14ac:dyDescent="0.2">
      <c r="DO50700" s="303" t="s">
        <v>232</v>
      </c>
    </row>
    <row r="50701" spans="119:119" x14ac:dyDescent="0.2">
      <c r="DO50701" s="303" t="s">
        <v>232</v>
      </c>
    </row>
    <row r="50702" spans="119:119" x14ac:dyDescent="0.2">
      <c r="DO50702" s="303" t="s">
        <v>232</v>
      </c>
    </row>
    <row r="50703" spans="119:119" x14ac:dyDescent="0.2">
      <c r="DO50703" s="303" t="s">
        <v>232</v>
      </c>
    </row>
    <row r="50704" spans="119:119" x14ac:dyDescent="0.2">
      <c r="DO50704" s="303" t="s">
        <v>232</v>
      </c>
    </row>
    <row r="50705" spans="119:119" x14ac:dyDescent="0.2">
      <c r="DO50705" s="303" t="s">
        <v>232</v>
      </c>
    </row>
    <row r="50706" spans="119:119" x14ac:dyDescent="0.2">
      <c r="DO50706" s="303" t="s">
        <v>232</v>
      </c>
    </row>
    <row r="50707" spans="119:119" x14ac:dyDescent="0.2">
      <c r="DO50707" s="303" t="s">
        <v>232</v>
      </c>
    </row>
    <row r="50708" spans="119:119" x14ac:dyDescent="0.2">
      <c r="DO50708" s="303" t="s">
        <v>232</v>
      </c>
    </row>
    <row r="50709" spans="119:119" x14ac:dyDescent="0.2">
      <c r="DO50709" s="303" t="s">
        <v>232</v>
      </c>
    </row>
    <row r="50710" spans="119:119" x14ac:dyDescent="0.2">
      <c r="DO50710" s="303" t="s">
        <v>232</v>
      </c>
    </row>
    <row r="50711" spans="119:119" x14ac:dyDescent="0.2">
      <c r="DO50711" s="303" t="s">
        <v>232</v>
      </c>
    </row>
    <row r="50712" spans="119:119" x14ac:dyDescent="0.2">
      <c r="DO50712" s="303" t="s">
        <v>232</v>
      </c>
    </row>
    <row r="50713" spans="119:119" x14ac:dyDescent="0.2">
      <c r="DO50713" s="303" t="s">
        <v>232</v>
      </c>
    </row>
    <row r="50714" spans="119:119" x14ac:dyDescent="0.2">
      <c r="DO50714" s="303" t="s">
        <v>232</v>
      </c>
    </row>
    <row r="50715" spans="119:119" x14ac:dyDescent="0.2">
      <c r="DO50715" s="303" t="s">
        <v>232</v>
      </c>
    </row>
    <row r="50716" spans="119:119" x14ac:dyDescent="0.2">
      <c r="DO50716" s="303" t="s">
        <v>232</v>
      </c>
    </row>
    <row r="50717" spans="119:119" x14ac:dyDescent="0.2">
      <c r="DO50717" s="303" t="s">
        <v>232</v>
      </c>
    </row>
    <row r="50718" spans="119:119" x14ac:dyDescent="0.2">
      <c r="DO50718" s="303" t="s">
        <v>232</v>
      </c>
    </row>
    <row r="50719" spans="119:119" x14ac:dyDescent="0.2">
      <c r="DO50719" s="303" t="s">
        <v>232</v>
      </c>
    </row>
    <row r="50720" spans="119:119" x14ac:dyDescent="0.2">
      <c r="DO50720" s="303" t="s">
        <v>232</v>
      </c>
    </row>
    <row r="50721" spans="119:119" x14ac:dyDescent="0.2">
      <c r="DO50721" s="303" t="s">
        <v>232</v>
      </c>
    </row>
    <row r="50722" spans="119:119" x14ac:dyDescent="0.2">
      <c r="DO50722" s="303" t="s">
        <v>232</v>
      </c>
    </row>
    <row r="50723" spans="119:119" x14ac:dyDescent="0.2">
      <c r="DO50723" s="303" t="s">
        <v>232</v>
      </c>
    </row>
    <row r="50724" spans="119:119" x14ac:dyDescent="0.2">
      <c r="DO50724" s="303" t="s">
        <v>232</v>
      </c>
    </row>
    <row r="50725" spans="119:119" x14ac:dyDescent="0.2">
      <c r="DO50725" s="303" t="s">
        <v>232</v>
      </c>
    </row>
    <row r="50726" spans="119:119" x14ac:dyDescent="0.2">
      <c r="DO50726" s="303" t="s">
        <v>232</v>
      </c>
    </row>
    <row r="50727" spans="119:119" x14ac:dyDescent="0.2">
      <c r="DO50727" s="303" t="s">
        <v>232</v>
      </c>
    </row>
    <row r="50728" spans="119:119" x14ac:dyDescent="0.2">
      <c r="DO50728" s="303" t="s">
        <v>232</v>
      </c>
    </row>
    <row r="50729" spans="119:119" x14ac:dyDescent="0.2">
      <c r="DO50729" s="303" t="s">
        <v>232</v>
      </c>
    </row>
    <row r="50730" spans="119:119" x14ac:dyDescent="0.2">
      <c r="DO50730" s="303" t="s">
        <v>232</v>
      </c>
    </row>
    <row r="50731" spans="119:119" x14ac:dyDescent="0.2">
      <c r="DO50731" s="303" t="s">
        <v>232</v>
      </c>
    </row>
    <row r="50732" spans="119:119" x14ac:dyDescent="0.2">
      <c r="DO50732" s="303" t="s">
        <v>232</v>
      </c>
    </row>
    <row r="50733" spans="119:119" x14ac:dyDescent="0.2">
      <c r="DO50733" s="303" t="s">
        <v>232</v>
      </c>
    </row>
    <row r="50734" spans="119:119" x14ac:dyDescent="0.2">
      <c r="DO50734" s="303" t="s">
        <v>232</v>
      </c>
    </row>
    <row r="50735" spans="119:119" x14ac:dyDescent="0.2">
      <c r="DO50735" s="303" t="s">
        <v>232</v>
      </c>
    </row>
    <row r="50736" spans="119:119" x14ac:dyDescent="0.2">
      <c r="DO50736" s="303" t="s">
        <v>232</v>
      </c>
    </row>
    <row r="50737" spans="119:119" x14ac:dyDescent="0.2">
      <c r="DO50737" s="303" t="s">
        <v>232</v>
      </c>
    </row>
    <row r="50738" spans="119:119" x14ac:dyDescent="0.2">
      <c r="DO50738" s="303" t="s">
        <v>232</v>
      </c>
    </row>
    <row r="50739" spans="119:119" x14ac:dyDescent="0.2">
      <c r="DO50739" s="303" t="s">
        <v>232</v>
      </c>
    </row>
    <row r="50740" spans="119:119" x14ac:dyDescent="0.2">
      <c r="DO50740" s="303" t="s">
        <v>232</v>
      </c>
    </row>
    <row r="50741" spans="119:119" x14ac:dyDescent="0.2">
      <c r="DO50741" s="303" t="s">
        <v>232</v>
      </c>
    </row>
    <row r="50742" spans="119:119" x14ac:dyDescent="0.2">
      <c r="DO50742" s="303" t="s">
        <v>232</v>
      </c>
    </row>
    <row r="50743" spans="119:119" x14ac:dyDescent="0.2">
      <c r="DO50743" s="303" t="s">
        <v>232</v>
      </c>
    </row>
    <row r="50744" spans="119:119" x14ac:dyDescent="0.2">
      <c r="DO50744" s="303" t="s">
        <v>232</v>
      </c>
    </row>
    <row r="50745" spans="119:119" x14ac:dyDescent="0.2">
      <c r="DO50745" s="303" t="s">
        <v>232</v>
      </c>
    </row>
    <row r="50746" spans="119:119" x14ac:dyDescent="0.2">
      <c r="DO50746" s="303" t="s">
        <v>232</v>
      </c>
    </row>
    <row r="50747" spans="119:119" x14ac:dyDescent="0.2">
      <c r="DO50747" s="303" t="s">
        <v>232</v>
      </c>
    </row>
    <row r="50748" spans="119:119" x14ac:dyDescent="0.2">
      <c r="DO50748" s="303" t="s">
        <v>232</v>
      </c>
    </row>
    <row r="50749" spans="119:119" x14ac:dyDescent="0.2">
      <c r="DO50749" s="303" t="s">
        <v>232</v>
      </c>
    </row>
    <row r="50750" spans="119:119" x14ac:dyDescent="0.2">
      <c r="DO50750" s="303" t="s">
        <v>232</v>
      </c>
    </row>
    <row r="50751" spans="119:119" x14ac:dyDescent="0.2">
      <c r="DO50751" s="303" t="s">
        <v>232</v>
      </c>
    </row>
    <row r="50752" spans="119:119" x14ac:dyDescent="0.2">
      <c r="DO50752" s="303" t="s">
        <v>232</v>
      </c>
    </row>
    <row r="50753" spans="119:119" x14ac:dyDescent="0.2">
      <c r="DO50753" s="303" t="s">
        <v>232</v>
      </c>
    </row>
    <row r="50754" spans="119:119" x14ac:dyDescent="0.2">
      <c r="DO50754" s="303" t="s">
        <v>232</v>
      </c>
    </row>
    <row r="50755" spans="119:119" x14ac:dyDescent="0.2">
      <c r="DO50755" s="303" t="s">
        <v>232</v>
      </c>
    </row>
    <row r="50756" spans="119:119" x14ac:dyDescent="0.2">
      <c r="DO50756" s="303" t="s">
        <v>232</v>
      </c>
    </row>
    <row r="50757" spans="119:119" x14ac:dyDescent="0.2">
      <c r="DO50757" s="303" t="s">
        <v>232</v>
      </c>
    </row>
    <row r="50758" spans="119:119" x14ac:dyDescent="0.2">
      <c r="DO50758" s="303" t="s">
        <v>232</v>
      </c>
    </row>
    <row r="50759" spans="119:119" x14ac:dyDescent="0.2">
      <c r="DO50759" s="303" t="s">
        <v>232</v>
      </c>
    </row>
    <row r="50760" spans="119:119" x14ac:dyDescent="0.2">
      <c r="DO50760" s="303" t="s">
        <v>232</v>
      </c>
    </row>
    <row r="50761" spans="119:119" x14ac:dyDescent="0.2">
      <c r="DO50761" s="303" t="s">
        <v>232</v>
      </c>
    </row>
    <row r="50762" spans="119:119" x14ac:dyDescent="0.2">
      <c r="DO50762" s="303" t="s">
        <v>232</v>
      </c>
    </row>
    <row r="50763" spans="119:119" x14ac:dyDescent="0.2">
      <c r="DO50763" s="303" t="s">
        <v>232</v>
      </c>
    </row>
    <row r="50764" spans="119:119" x14ac:dyDescent="0.2">
      <c r="DO50764" s="303" t="s">
        <v>232</v>
      </c>
    </row>
    <row r="50765" spans="119:119" x14ac:dyDescent="0.2">
      <c r="DO50765" s="303" t="s">
        <v>232</v>
      </c>
    </row>
    <row r="50766" spans="119:119" x14ac:dyDescent="0.2">
      <c r="DO50766" s="303" t="s">
        <v>232</v>
      </c>
    </row>
    <row r="50767" spans="119:119" x14ac:dyDescent="0.2">
      <c r="DO50767" s="303" t="s">
        <v>232</v>
      </c>
    </row>
    <row r="50768" spans="119:119" x14ac:dyDescent="0.2">
      <c r="DO50768" s="303" t="s">
        <v>232</v>
      </c>
    </row>
    <row r="50769" spans="119:119" x14ac:dyDescent="0.2">
      <c r="DO50769" s="303" t="s">
        <v>232</v>
      </c>
    </row>
    <row r="50770" spans="119:119" x14ac:dyDescent="0.2">
      <c r="DO50770" s="303" t="s">
        <v>232</v>
      </c>
    </row>
    <row r="50771" spans="119:119" x14ac:dyDescent="0.2">
      <c r="DO50771" s="303" t="s">
        <v>232</v>
      </c>
    </row>
    <row r="50772" spans="119:119" x14ac:dyDescent="0.2">
      <c r="DO50772" s="303" t="s">
        <v>232</v>
      </c>
    </row>
    <row r="50773" spans="119:119" x14ac:dyDescent="0.2">
      <c r="DO50773" s="303" t="s">
        <v>232</v>
      </c>
    </row>
    <row r="50774" spans="119:119" x14ac:dyDescent="0.2">
      <c r="DO50774" s="303" t="s">
        <v>232</v>
      </c>
    </row>
    <row r="50775" spans="119:119" x14ac:dyDescent="0.2">
      <c r="DO50775" s="303" t="s">
        <v>232</v>
      </c>
    </row>
    <row r="50776" spans="119:119" x14ac:dyDescent="0.2">
      <c r="DO50776" s="303" t="s">
        <v>232</v>
      </c>
    </row>
    <row r="50777" spans="119:119" x14ac:dyDescent="0.2">
      <c r="DO50777" s="303" t="s">
        <v>232</v>
      </c>
    </row>
    <row r="50778" spans="119:119" x14ac:dyDescent="0.2">
      <c r="DO50778" s="303" t="s">
        <v>232</v>
      </c>
    </row>
    <row r="50779" spans="119:119" x14ac:dyDescent="0.2">
      <c r="DO50779" s="303" t="s">
        <v>232</v>
      </c>
    </row>
    <row r="50780" spans="119:119" x14ac:dyDescent="0.2">
      <c r="DO50780" s="303" t="s">
        <v>232</v>
      </c>
    </row>
    <row r="50781" spans="119:119" x14ac:dyDescent="0.2">
      <c r="DO50781" s="303" t="s">
        <v>232</v>
      </c>
    </row>
    <row r="50782" spans="119:119" x14ac:dyDescent="0.2">
      <c r="DO50782" s="303" t="s">
        <v>232</v>
      </c>
    </row>
    <row r="50783" spans="119:119" x14ac:dyDescent="0.2">
      <c r="DO50783" s="303" t="s">
        <v>232</v>
      </c>
    </row>
    <row r="50784" spans="119:119" x14ac:dyDescent="0.2">
      <c r="DO50784" s="303" t="s">
        <v>232</v>
      </c>
    </row>
    <row r="50785" spans="119:119" x14ac:dyDescent="0.2">
      <c r="DO50785" s="303" t="s">
        <v>232</v>
      </c>
    </row>
    <row r="50786" spans="119:119" x14ac:dyDescent="0.2">
      <c r="DO50786" s="303" t="s">
        <v>232</v>
      </c>
    </row>
    <row r="50787" spans="119:119" x14ac:dyDescent="0.2">
      <c r="DO50787" s="303" t="s">
        <v>232</v>
      </c>
    </row>
    <row r="50788" spans="119:119" x14ac:dyDescent="0.2">
      <c r="DO50788" s="303" t="s">
        <v>232</v>
      </c>
    </row>
    <row r="50789" spans="119:119" x14ac:dyDescent="0.2">
      <c r="DO50789" s="303" t="s">
        <v>232</v>
      </c>
    </row>
    <row r="50790" spans="119:119" x14ac:dyDescent="0.2">
      <c r="DO50790" s="303" t="s">
        <v>232</v>
      </c>
    </row>
    <row r="50791" spans="119:119" x14ac:dyDescent="0.2">
      <c r="DO50791" s="303" t="s">
        <v>232</v>
      </c>
    </row>
    <row r="50792" spans="119:119" x14ac:dyDescent="0.2">
      <c r="DO50792" s="303" t="s">
        <v>232</v>
      </c>
    </row>
    <row r="50793" spans="119:119" x14ac:dyDescent="0.2">
      <c r="DO50793" s="303" t="s">
        <v>232</v>
      </c>
    </row>
    <row r="50794" spans="119:119" x14ac:dyDescent="0.2">
      <c r="DO50794" s="303" t="s">
        <v>232</v>
      </c>
    </row>
    <row r="50795" spans="119:119" x14ac:dyDescent="0.2">
      <c r="DO50795" s="303" t="s">
        <v>232</v>
      </c>
    </row>
    <row r="50796" spans="119:119" x14ac:dyDescent="0.2">
      <c r="DO50796" s="303" t="s">
        <v>232</v>
      </c>
    </row>
    <row r="50797" spans="119:119" x14ac:dyDescent="0.2">
      <c r="DO50797" s="303" t="s">
        <v>232</v>
      </c>
    </row>
    <row r="50798" spans="119:119" x14ac:dyDescent="0.2">
      <c r="DO50798" s="303" t="s">
        <v>232</v>
      </c>
    </row>
    <row r="50799" spans="119:119" x14ac:dyDescent="0.2">
      <c r="DO50799" s="303" t="s">
        <v>232</v>
      </c>
    </row>
    <row r="50800" spans="119:119" x14ac:dyDescent="0.2">
      <c r="DO50800" s="303" t="s">
        <v>232</v>
      </c>
    </row>
    <row r="50801" spans="119:119" x14ac:dyDescent="0.2">
      <c r="DO50801" s="303" t="s">
        <v>232</v>
      </c>
    </row>
    <row r="50802" spans="119:119" x14ac:dyDescent="0.2">
      <c r="DO50802" s="303" t="s">
        <v>232</v>
      </c>
    </row>
    <row r="50803" spans="119:119" x14ac:dyDescent="0.2">
      <c r="DO50803" s="303" t="s">
        <v>232</v>
      </c>
    </row>
    <row r="50804" spans="119:119" x14ac:dyDescent="0.2">
      <c r="DO50804" s="303" t="s">
        <v>232</v>
      </c>
    </row>
    <row r="50805" spans="119:119" x14ac:dyDescent="0.2">
      <c r="DO50805" s="303" t="s">
        <v>232</v>
      </c>
    </row>
    <row r="50806" spans="119:119" x14ac:dyDescent="0.2">
      <c r="DO50806" s="303" t="s">
        <v>232</v>
      </c>
    </row>
    <row r="50807" spans="119:119" x14ac:dyDescent="0.2">
      <c r="DO50807" s="303" t="s">
        <v>232</v>
      </c>
    </row>
    <row r="50808" spans="119:119" x14ac:dyDescent="0.2">
      <c r="DO50808" s="303" t="s">
        <v>232</v>
      </c>
    </row>
    <row r="50809" spans="119:119" x14ac:dyDescent="0.2">
      <c r="DO50809" s="303" t="s">
        <v>232</v>
      </c>
    </row>
    <row r="50810" spans="119:119" x14ac:dyDescent="0.2">
      <c r="DO50810" s="303" t="s">
        <v>232</v>
      </c>
    </row>
    <row r="50811" spans="119:119" x14ac:dyDescent="0.2">
      <c r="DO50811" s="303" t="s">
        <v>232</v>
      </c>
    </row>
    <row r="50812" spans="119:119" x14ac:dyDescent="0.2">
      <c r="DO50812" s="303" t="s">
        <v>232</v>
      </c>
    </row>
    <row r="50813" spans="119:119" x14ac:dyDescent="0.2">
      <c r="DO50813" s="303" t="s">
        <v>232</v>
      </c>
    </row>
    <row r="50814" spans="119:119" x14ac:dyDescent="0.2">
      <c r="DO50814" s="303" t="s">
        <v>232</v>
      </c>
    </row>
    <row r="50815" spans="119:119" x14ac:dyDescent="0.2">
      <c r="DO50815" s="303" t="s">
        <v>232</v>
      </c>
    </row>
    <row r="50816" spans="119:119" x14ac:dyDescent="0.2">
      <c r="DO50816" s="303" t="s">
        <v>232</v>
      </c>
    </row>
    <row r="50817" spans="119:119" x14ac:dyDescent="0.2">
      <c r="DO50817" s="303" t="s">
        <v>232</v>
      </c>
    </row>
    <row r="50818" spans="119:119" x14ac:dyDescent="0.2">
      <c r="DO50818" s="303" t="s">
        <v>232</v>
      </c>
    </row>
    <row r="50819" spans="119:119" x14ac:dyDescent="0.2">
      <c r="DO50819" s="303" t="s">
        <v>232</v>
      </c>
    </row>
    <row r="50820" spans="119:119" x14ac:dyDescent="0.2">
      <c r="DO50820" s="303" t="s">
        <v>232</v>
      </c>
    </row>
    <row r="50821" spans="119:119" x14ac:dyDescent="0.2">
      <c r="DO50821" s="303" t="s">
        <v>232</v>
      </c>
    </row>
    <row r="50822" spans="119:119" x14ac:dyDescent="0.2">
      <c r="DO50822" s="303" t="s">
        <v>232</v>
      </c>
    </row>
    <row r="50823" spans="119:119" x14ac:dyDescent="0.2">
      <c r="DO50823" s="303" t="s">
        <v>232</v>
      </c>
    </row>
    <row r="50824" spans="119:119" x14ac:dyDescent="0.2">
      <c r="DO50824" s="303" t="s">
        <v>232</v>
      </c>
    </row>
    <row r="50825" spans="119:119" x14ac:dyDescent="0.2">
      <c r="DO50825" s="303" t="s">
        <v>232</v>
      </c>
    </row>
    <row r="50826" spans="119:119" x14ac:dyDescent="0.2">
      <c r="DO50826" s="303" t="s">
        <v>232</v>
      </c>
    </row>
    <row r="50827" spans="119:119" x14ac:dyDescent="0.2">
      <c r="DO50827" s="303" t="s">
        <v>232</v>
      </c>
    </row>
    <row r="50828" spans="119:119" x14ac:dyDescent="0.2">
      <c r="DO50828" s="303" t="s">
        <v>232</v>
      </c>
    </row>
    <row r="50829" spans="119:119" x14ac:dyDescent="0.2">
      <c r="DO50829" s="303" t="s">
        <v>232</v>
      </c>
    </row>
    <row r="50830" spans="119:119" x14ac:dyDescent="0.2">
      <c r="DO50830" s="303" t="s">
        <v>232</v>
      </c>
    </row>
    <row r="50831" spans="119:119" x14ac:dyDescent="0.2">
      <c r="DO50831" s="303" t="s">
        <v>232</v>
      </c>
    </row>
    <row r="50832" spans="119:119" x14ac:dyDescent="0.2">
      <c r="DO50832" s="303" t="s">
        <v>232</v>
      </c>
    </row>
    <row r="50833" spans="119:119" x14ac:dyDescent="0.2">
      <c r="DO50833" s="303" t="s">
        <v>232</v>
      </c>
    </row>
    <row r="50834" spans="119:119" x14ac:dyDescent="0.2">
      <c r="DO50834" s="303" t="s">
        <v>232</v>
      </c>
    </row>
    <row r="50835" spans="119:119" x14ac:dyDescent="0.2">
      <c r="DO50835" s="303" t="s">
        <v>232</v>
      </c>
    </row>
    <row r="50836" spans="119:119" x14ac:dyDescent="0.2">
      <c r="DO50836" s="303" t="s">
        <v>232</v>
      </c>
    </row>
    <row r="50837" spans="119:119" x14ac:dyDescent="0.2">
      <c r="DO50837" s="303" t="s">
        <v>232</v>
      </c>
    </row>
    <row r="50838" spans="119:119" x14ac:dyDescent="0.2">
      <c r="DO50838" s="303" t="s">
        <v>232</v>
      </c>
    </row>
    <row r="50839" spans="119:119" x14ac:dyDescent="0.2">
      <c r="DO50839" s="303" t="s">
        <v>232</v>
      </c>
    </row>
    <row r="50840" spans="119:119" x14ac:dyDescent="0.2">
      <c r="DO50840" s="303" t="s">
        <v>232</v>
      </c>
    </row>
    <row r="50841" spans="119:119" x14ac:dyDescent="0.2">
      <c r="DO50841" s="303" t="s">
        <v>232</v>
      </c>
    </row>
    <row r="50842" spans="119:119" x14ac:dyDescent="0.2">
      <c r="DO50842" s="303" t="s">
        <v>232</v>
      </c>
    </row>
    <row r="50843" spans="119:119" x14ac:dyDescent="0.2">
      <c r="DO50843" s="303" t="s">
        <v>232</v>
      </c>
    </row>
    <row r="50844" spans="119:119" x14ac:dyDescent="0.2">
      <c r="DO50844" s="303" t="s">
        <v>232</v>
      </c>
    </row>
    <row r="50845" spans="119:119" x14ac:dyDescent="0.2">
      <c r="DO50845" s="303" t="s">
        <v>232</v>
      </c>
    </row>
    <row r="50846" spans="119:119" x14ac:dyDescent="0.2">
      <c r="DO50846" s="303" t="s">
        <v>232</v>
      </c>
    </row>
    <row r="50847" spans="119:119" x14ac:dyDescent="0.2">
      <c r="DO50847" s="303" t="s">
        <v>232</v>
      </c>
    </row>
    <row r="50848" spans="119:119" x14ac:dyDescent="0.2">
      <c r="DO50848" s="303" t="s">
        <v>232</v>
      </c>
    </row>
    <row r="50849" spans="119:119" x14ac:dyDescent="0.2">
      <c r="DO50849" s="303" t="s">
        <v>232</v>
      </c>
    </row>
    <row r="50850" spans="119:119" x14ac:dyDescent="0.2">
      <c r="DO50850" s="303" t="s">
        <v>232</v>
      </c>
    </row>
    <row r="50851" spans="119:119" x14ac:dyDescent="0.2">
      <c r="DO50851" s="303" t="s">
        <v>232</v>
      </c>
    </row>
    <row r="50852" spans="119:119" x14ac:dyDescent="0.2">
      <c r="DO50852" s="303" t="s">
        <v>232</v>
      </c>
    </row>
    <row r="50853" spans="119:119" x14ac:dyDescent="0.2">
      <c r="DO50853" s="303" t="s">
        <v>232</v>
      </c>
    </row>
    <row r="50854" spans="119:119" x14ac:dyDescent="0.2">
      <c r="DO50854" s="303" t="s">
        <v>232</v>
      </c>
    </row>
    <row r="50855" spans="119:119" x14ac:dyDescent="0.2">
      <c r="DO50855" s="303" t="s">
        <v>232</v>
      </c>
    </row>
    <row r="50856" spans="119:119" x14ac:dyDescent="0.2">
      <c r="DO50856" s="303" t="s">
        <v>232</v>
      </c>
    </row>
    <row r="50857" spans="119:119" x14ac:dyDescent="0.2">
      <c r="DO50857" s="303" t="s">
        <v>232</v>
      </c>
    </row>
    <row r="50858" spans="119:119" x14ac:dyDescent="0.2">
      <c r="DO50858" s="303" t="s">
        <v>232</v>
      </c>
    </row>
    <row r="50859" spans="119:119" x14ac:dyDescent="0.2">
      <c r="DO50859" s="303" t="s">
        <v>232</v>
      </c>
    </row>
    <row r="50860" spans="119:119" x14ac:dyDescent="0.2">
      <c r="DO50860" s="303" t="s">
        <v>232</v>
      </c>
    </row>
    <row r="50861" spans="119:119" x14ac:dyDescent="0.2">
      <c r="DO50861" s="303" t="s">
        <v>232</v>
      </c>
    </row>
    <row r="50862" spans="119:119" x14ac:dyDescent="0.2">
      <c r="DO50862" s="303" t="s">
        <v>232</v>
      </c>
    </row>
    <row r="50863" spans="119:119" x14ac:dyDescent="0.2">
      <c r="DO50863" s="303" t="s">
        <v>232</v>
      </c>
    </row>
    <row r="50864" spans="119:119" x14ac:dyDescent="0.2">
      <c r="DO50864" s="303" t="s">
        <v>232</v>
      </c>
    </row>
    <row r="50865" spans="119:119" x14ac:dyDescent="0.2">
      <c r="DO50865" s="303" t="s">
        <v>232</v>
      </c>
    </row>
    <row r="50866" spans="119:119" x14ac:dyDescent="0.2">
      <c r="DO50866" s="303" t="s">
        <v>232</v>
      </c>
    </row>
    <row r="50867" spans="119:119" x14ac:dyDescent="0.2">
      <c r="DO50867" s="303" t="s">
        <v>232</v>
      </c>
    </row>
    <row r="50868" spans="119:119" x14ac:dyDescent="0.2">
      <c r="DO50868" s="303" t="s">
        <v>232</v>
      </c>
    </row>
    <row r="50869" spans="119:119" x14ac:dyDescent="0.2">
      <c r="DO50869" s="303" t="s">
        <v>232</v>
      </c>
    </row>
    <row r="50870" spans="119:119" x14ac:dyDescent="0.2">
      <c r="DO50870" s="303" t="s">
        <v>232</v>
      </c>
    </row>
    <row r="50871" spans="119:119" x14ac:dyDescent="0.2">
      <c r="DO50871" s="303" t="s">
        <v>232</v>
      </c>
    </row>
    <row r="50872" spans="119:119" x14ac:dyDescent="0.2">
      <c r="DO50872" s="303" t="s">
        <v>232</v>
      </c>
    </row>
    <row r="50873" spans="119:119" x14ac:dyDescent="0.2">
      <c r="DO50873" s="303" t="s">
        <v>232</v>
      </c>
    </row>
    <row r="50874" spans="119:119" x14ac:dyDescent="0.2">
      <c r="DO50874" s="303" t="s">
        <v>232</v>
      </c>
    </row>
    <row r="50875" spans="119:119" x14ac:dyDescent="0.2">
      <c r="DO50875" s="303" t="s">
        <v>232</v>
      </c>
    </row>
    <row r="50876" spans="119:119" x14ac:dyDescent="0.2">
      <c r="DO50876" s="303" t="s">
        <v>232</v>
      </c>
    </row>
    <row r="50877" spans="119:119" x14ac:dyDescent="0.2">
      <c r="DO50877" s="303" t="s">
        <v>232</v>
      </c>
    </row>
    <row r="50878" spans="119:119" x14ac:dyDescent="0.2">
      <c r="DO50878" s="303" t="s">
        <v>232</v>
      </c>
    </row>
    <row r="50879" spans="119:119" x14ac:dyDescent="0.2">
      <c r="DO50879" s="303" t="s">
        <v>232</v>
      </c>
    </row>
    <row r="50880" spans="119:119" x14ac:dyDescent="0.2">
      <c r="DO50880" s="303" t="s">
        <v>232</v>
      </c>
    </row>
    <row r="50881" spans="119:119" x14ac:dyDescent="0.2">
      <c r="DO50881" s="303" t="s">
        <v>232</v>
      </c>
    </row>
    <row r="50882" spans="119:119" x14ac:dyDescent="0.2">
      <c r="DO50882" s="303" t="s">
        <v>232</v>
      </c>
    </row>
    <row r="50883" spans="119:119" x14ac:dyDescent="0.2">
      <c r="DO50883" s="303" t="s">
        <v>232</v>
      </c>
    </row>
    <row r="50884" spans="119:119" x14ac:dyDescent="0.2">
      <c r="DO50884" s="303" t="s">
        <v>232</v>
      </c>
    </row>
    <row r="50885" spans="119:119" x14ac:dyDescent="0.2">
      <c r="DO50885" s="303" t="s">
        <v>232</v>
      </c>
    </row>
    <row r="50886" spans="119:119" x14ac:dyDescent="0.2">
      <c r="DO50886" s="303" t="s">
        <v>232</v>
      </c>
    </row>
    <row r="50887" spans="119:119" x14ac:dyDescent="0.2">
      <c r="DO50887" s="303" t="s">
        <v>232</v>
      </c>
    </row>
    <row r="50888" spans="119:119" x14ac:dyDescent="0.2">
      <c r="DO50888" s="303" t="s">
        <v>232</v>
      </c>
    </row>
    <row r="50889" spans="119:119" x14ac:dyDescent="0.2">
      <c r="DO50889" s="303" t="s">
        <v>232</v>
      </c>
    </row>
    <row r="50890" spans="119:119" x14ac:dyDescent="0.2">
      <c r="DO50890" s="303" t="s">
        <v>232</v>
      </c>
    </row>
    <row r="50891" spans="119:119" x14ac:dyDescent="0.2">
      <c r="DO50891" s="303" t="s">
        <v>232</v>
      </c>
    </row>
    <row r="50892" spans="119:119" x14ac:dyDescent="0.2">
      <c r="DO50892" s="303" t="s">
        <v>232</v>
      </c>
    </row>
    <row r="50893" spans="119:119" x14ac:dyDescent="0.2">
      <c r="DO50893" s="303" t="s">
        <v>232</v>
      </c>
    </row>
    <row r="50894" spans="119:119" x14ac:dyDescent="0.2">
      <c r="DO50894" s="303" t="s">
        <v>232</v>
      </c>
    </row>
    <row r="50895" spans="119:119" x14ac:dyDescent="0.2">
      <c r="DO50895" s="303" t="s">
        <v>232</v>
      </c>
    </row>
    <row r="50896" spans="119:119" x14ac:dyDescent="0.2">
      <c r="DO50896" s="303" t="s">
        <v>232</v>
      </c>
    </row>
    <row r="50897" spans="119:119" x14ac:dyDescent="0.2">
      <c r="DO50897" s="303" t="s">
        <v>232</v>
      </c>
    </row>
    <row r="50898" spans="119:119" x14ac:dyDescent="0.2">
      <c r="DO50898" s="303" t="s">
        <v>232</v>
      </c>
    </row>
    <row r="50899" spans="119:119" x14ac:dyDescent="0.2">
      <c r="DO50899" s="303" t="s">
        <v>232</v>
      </c>
    </row>
    <row r="50900" spans="119:119" x14ac:dyDescent="0.2">
      <c r="DO50900" s="303" t="s">
        <v>232</v>
      </c>
    </row>
    <row r="50901" spans="119:119" x14ac:dyDescent="0.2">
      <c r="DO50901" s="303" t="s">
        <v>232</v>
      </c>
    </row>
    <row r="50902" spans="119:119" x14ac:dyDescent="0.2">
      <c r="DO50902" s="303" t="s">
        <v>232</v>
      </c>
    </row>
    <row r="50903" spans="119:119" x14ac:dyDescent="0.2">
      <c r="DO50903" s="303" t="s">
        <v>232</v>
      </c>
    </row>
    <row r="50904" spans="119:119" x14ac:dyDescent="0.2">
      <c r="DO50904" s="303" t="s">
        <v>232</v>
      </c>
    </row>
    <row r="50905" spans="119:119" x14ac:dyDescent="0.2">
      <c r="DO50905" s="303" t="s">
        <v>232</v>
      </c>
    </row>
    <row r="50906" spans="119:119" x14ac:dyDescent="0.2">
      <c r="DO50906" s="303" t="s">
        <v>232</v>
      </c>
    </row>
    <row r="50907" spans="119:119" x14ac:dyDescent="0.2">
      <c r="DO50907" s="303" t="s">
        <v>232</v>
      </c>
    </row>
    <row r="50908" spans="119:119" x14ac:dyDescent="0.2">
      <c r="DO50908" s="303" t="s">
        <v>232</v>
      </c>
    </row>
    <row r="50909" spans="119:119" x14ac:dyDescent="0.2">
      <c r="DO50909" s="303" t="s">
        <v>232</v>
      </c>
    </row>
    <row r="50910" spans="119:119" x14ac:dyDescent="0.2">
      <c r="DO50910" s="303" t="s">
        <v>232</v>
      </c>
    </row>
    <row r="50911" spans="119:119" x14ac:dyDescent="0.2">
      <c r="DO50911" s="303" t="s">
        <v>232</v>
      </c>
    </row>
    <row r="50912" spans="119:119" x14ac:dyDescent="0.2">
      <c r="DO50912" s="303" t="s">
        <v>232</v>
      </c>
    </row>
    <row r="50913" spans="119:119" x14ac:dyDescent="0.2">
      <c r="DO50913" s="303" t="s">
        <v>232</v>
      </c>
    </row>
    <row r="50914" spans="119:119" x14ac:dyDescent="0.2">
      <c r="DO50914" s="303" t="s">
        <v>232</v>
      </c>
    </row>
    <row r="50915" spans="119:119" x14ac:dyDescent="0.2">
      <c r="DO50915" s="303" t="s">
        <v>232</v>
      </c>
    </row>
    <row r="50916" spans="119:119" x14ac:dyDescent="0.2">
      <c r="DO50916" s="303" t="s">
        <v>232</v>
      </c>
    </row>
    <row r="50917" spans="119:119" x14ac:dyDescent="0.2">
      <c r="DO50917" s="303" t="s">
        <v>232</v>
      </c>
    </row>
    <row r="50918" spans="119:119" x14ac:dyDescent="0.2">
      <c r="DO50918" s="303" t="s">
        <v>232</v>
      </c>
    </row>
    <row r="50919" spans="119:119" x14ac:dyDescent="0.2">
      <c r="DO50919" s="303" t="s">
        <v>232</v>
      </c>
    </row>
    <row r="50920" spans="119:119" x14ac:dyDescent="0.2">
      <c r="DO50920" s="303" t="s">
        <v>232</v>
      </c>
    </row>
    <row r="50921" spans="119:119" x14ac:dyDescent="0.2">
      <c r="DO50921" s="303" t="s">
        <v>232</v>
      </c>
    </row>
    <row r="50922" spans="119:119" x14ac:dyDescent="0.2">
      <c r="DO50922" s="303" t="s">
        <v>232</v>
      </c>
    </row>
    <row r="50923" spans="119:119" x14ac:dyDescent="0.2">
      <c r="DO50923" s="303" t="s">
        <v>232</v>
      </c>
    </row>
    <row r="50924" spans="119:119" x14ac:dyDescent="0.2">
      <c r="DO50924" s="303" t="s">
        <v>232</v>
      </c>
    </row>
    <row r="50925" spans="119:119" x14ac:dyDescent="0.2">
      <c r="DO50925" s="303" t="s">
        <v>232</v>
      </c>
    </row>
    <row r="50926" spans="119:119" x14ac:dyDescent="0.2">
      <c r="DO50926" s="303" t="s">
        <v>232</v>
      </c>
    </row>
    <row r="50927" spans="119:119" x14ac:dyDescent="0.2">
      <c r="DO50927" s="303" t="s">
        <v>232</v>
      </c>
    </row>
    <row r="50928" spans="119:119" x14ac:dyDescent="0.2">
      <c r="DO50928" s="303" t="s">
        <v>232</v>
      </c>
    </row>
    <row r="50929" spans="119:119" x14ac:dyDescent="0.2">
      <c r="DO50929" s="303" t="s">
        <v>232</v>
      </c>
    </row>
    <row r="50930" spans="119:119" x14ac:dyDescent="0.2">
      <c r="DO50930" s="303" t="s">
        <v>232</v>
      </c>
    </row>
    <row r="50931" spans="119:119" x14ac:dyDescent="0.2">
      <c r="DO50931" s="303" t="s">
        <v>232</v>
      </c>
    </row>
    <row r="50932" spans="119:119" x14ac:dyDescent="0.2">
      <c r="DO50932" s="303" t="s">
        <v>232</v>
      </c>
    </row>
    <row r="50933" spans="119:119" x14ac:dyDescent="0.2">
      <c r="DO50933" s="303" t="s">
        <v>232</v>
      </c>
    </row>
    <row r="50934" spans="119:119" x14ac:dyDescent="0.2">
      <c r="DO50934" s="303" t="s">
        <v>232</v>
      </c>
    </row>
    <row r="50935" spans="119:119" x14ac:dyDescent="0.2">
      <c r="DO50935" s="303" t="s">
        <v>232</v>
      </c>
    </row>
    <row r="50936" spans="119:119" x14ac:dyDescent="0.2">
      <c r="DO50936" s="303" t="s">
        <v>232</v>
      </c>
    </row>
    <row r="50937" spans="119:119" x14ac:dyDescent="0.2">
      <c r="DO50937" s="303" t="s">
        <v>232</v>
      </c>
    </row>
    <row r="50938" spans="119:119" x14ac:dyDescent="0.2">
      <c r="DO50938" s="303" t="s">
        <v>232</v>
      </c>
    </row>
    <row r="50939" spans="119:119" x14ac:dyDescent="0.2">
      <c r="DO50939" s="303" t="s">
        <v>232</v>
      </c>
    </row>
    <row r="50940" spans="119:119" x14ac:dyDescent="0.2">
      <c r="DO50940" s="303" t="s">
        <v>232</v>
      </c>
    </row>
    <row r="50941" spans="119:119" x14ac:dyDescent="0.2">
      <c r="DO50941" s="303" t="s">
        <v>232</v>
      </c>
    </row>
    <row r="50942" spans="119:119" x14ac:dyDescent="0.2">
      <c r="DO50942" s="303" t="s">
        <v>232</v>
      </c>
    </row>
    <row r="50943" spans="119:119" x14ac:dyDescent="0.2">
      <c r="DO50943" s="303" t="s">
        <v>232</v>
      </c>
    </row>
    <row r="50944" spans="119:119" x14ac:dyDescent="0.2">
      <c r="DO50944" s="303" t="s">
        <v>232</v>
      </c>
    </row>
    <row r="50945" spans="119:119" x14ac:dyDescent="0.2">
      <c r="DO50945" s="303" t="s">
        <v>232</v>
      </c>
    </row>
    <row r="50946" spans="119:119" x14ac:dyDescent="0.2">
      <c r="DO50946" s="303" t="s">
        <v>232</v>
      </c>
    </row>
    <row r="50947" spans="119:119" x14ac:dyDescent="0.2">
      <c r="DO50947" s="303" t="s">
        <v>232</v>
      </c>
    </row>
    <row r="50948" spans="119:119" x14ac:dyDescent="0.2">
      <c r="DO50948" s="303" t="s">
        <v>232</v>
      </c>
    </row>
    <row r="50949" spans="119:119" x14ac:dyDescent="0.2">
      <c r="DO50949" s="303" t="s">
        <v>232</v>
      </c>
    </row>
    <row r="50950" spans="119:119" x14ac:dyDescent="0.2">
      <c r="DO50950" s="303" t="s">
        <v>232</v>
      </c>
    </row>
    <row r="50951" spans="119:119" x14ac:dyDescent="0.2">
      <c r="DO50951" s="303" t="s">
        <v>232</v>
      </c>
    </row>
    <row r="50952" spans="119:119" x14ac:dyDescent="0.2">
      <c r="DO50952" s="303" t="s">
        <v>232</v>
      </c>
    </row>
    <row r="50953" spans="119:119" x14ac:dyDescent="0.2">
      <c r="DO50953" s="303" t="s">
        <v>232</v>
      </c>
    </row>
    <row r="50954" spans="119:119" x14ac:dyDescent="0.2">
      <c r="DO50954" s="303" t="s">
        <v>232</v>
      </c>
    </row>
    <row r="50955" spans="119:119" x14ac:dyDescent="0.2">
      <c r="DO50955" s="303" t="s">
        <v>232</v>
      </c>
    </row>
    <row r="50956" spans="119:119" x14ac:dyDescent="0.2">
      <c r="DO50956" s="303" t="s">
        <v>232</v>
      </c>
    </row>
    <row r="50957" spans="119:119" x14ac:dyDescent="0.2">
      <c r="DO50957" s="303" t="s">
        <v>232</v>
      </c>
    </row>
    <row r="50958" spans="119:119" x14ac:dyDescent="0.2">
      <c r="DO50958" s="303" t="s">
        <v>232</v>
      </c>
    </row>
    <row r="50959" spans="119:119" x14ac:dyDescent="0.2">
      <c r="DO50959" s="303" t="s">
        <v>232</v>
      </c>
    </row>
    <row r="50960" spans="119:119" x14ac:dyDescent="0.2">
      <c r="DO50960" s="303" t="s">
        <v>232</v>
      </c>
    </row>
    <row r="50961" spans="119:119" x14ac:dyDescent="0.2">
      <c r="DO50961" s="303" t="s">
        <v>232</v>
      </c>
    </row>
    <row r="50962" spans="119:119" x14ac:dyDescent="0.2">
      <c r="DO50962" s="303" t="s">
        <v>232</v>
      </c>
    </row>
    <row r="50963" spans="119:119" x14ac:dyDescent="0.2">
      <c r="DO50963" s="303" t="s">
        <v>232</v>
      </c>
    </row>
    <row r="50964" spans="119:119" x14ac:dyDescent="0.2">
      <c r="DO50964" s="303" t="s">
        <v>232</v>
      </c>
    </row>
    <row r="50965" spans="119:119" x14ac:dyDescent="0.2">
      <c r="DO50965" s="303" t="s">
        <v>232</v>
      </c>
    </row>
    <row r="50966" spans="119:119" x14ac:dyDescent="0.2">
      <c r="DO50966" s="303" t="s">
        <v>232</v>
      </c>
    </row>
    <row r="50967" spans="119:119" x14ac:dyDescent="0.2">
      <c r="DO50967" s="303" t="s">
        <v>232</v>
      </c>
    </row>
    <row r="50968" spans="119:119" x14ac:dyDescent="0.2">
      <c r="DO50968" s="303" t="s">
        <v>232</v>
      </c>
    </row>
    <row r="50969" spans="119:119" x14ac:dyDescent="0.2">
      <c r="DO50969" s="303" t="s">
        <v>232</v>
      </c>
    </row>
    <row r="50970" spans="119:119" x14ac:dyDescent="0.2">
      <c r="DO50970" s="303" t="s">
        <v>232</v>
      </c>
    </row>
    <row r="50971" spans="119:119" x14ac:dyDescent="0.2">
      <c r="DO50971" s="303" t="s">
        <v>232</v>
      </c>
    </row>
    <row r="50972" spans="119:119" x14ac:dyDescent="0.2">
      <c r="DO50972" s="303" t="s">
        <v>232</v>
      </c>
    </row>
    <row r="50973" spans="119:119" x14ac:dyDescent="0.2">
      <c r="DO50973" s="303" t="s">
        <v>232</v>
      </c>
    </row>
    <row r="50974" spans="119:119" x14ac:dyDescent="0.2">
      <c r="DO50974" s="303" t="s">
        <v>232</v>
      </c>
    </row>
    <row r="50975" spans="119:119" x14ac:dyDescent="0.2">
      <c r="DO50975" s="303" t="s">
        <v>232</v>
      </c>
    </row>
    <row r="50976" spans="119:119" x14ac:dyDescent="0.2">
      <c r="DO50976" s="303" t="s">
        <v>232</v>
      </c>
    </row>
    <row r="50977" spans="119:119" x14ac:dyDescent="0.2">
      <c r="DO50977" s="303" t="s">
        <v>232</v>
      </c>
    </row>
    <row r="50978" spans="119:119" x14ac:dyDescent="0.2">
      <c r="DO50978" s="303" t="s">
        <v>232</v>
      </c>
    </row>
    <row r="50979" spans="119:119" x14ac:dyDescent="0.2">
      <c r="DO50979" s="303" t="s">
        <v>232</v>
      </c>
    </row>
    <row r="50980" spans="119:119" x14ac:dyDescent="0.2">
      <c r="DO50980" s="303" t="s">
        <v>232</v>
      </c>
    </row>
    <row r="50981" spans="119:119" x14ac:dyDescent="0.2">
      <c r="DO50981" s="303" t="s">
        <v>232</v>
      </c>
    </row>
    <row r="50982" spans="119:119" x14ac:dyDescent="0.2">
      <c r="DO50982" s="303" t="s">
        <v>232</v>
      </c>
    </row>
    <row r="50983" spans="119:119" x14ac:dyDescent="0.2">
      <c r="DO50983" s="303" t="s">
        <v>232</v>
      </c>
    </row>
    <row r="50984" spans="119:119" x14ac:dyDescent="0.2">
      <c r="DO50984" s="303" t="s">
        <v>232</v>
      </c>
    </row>
    <row r="50985" spans="119:119" x14ac:dyDescent="0.2">
      <c r="DO50985" s="303" t="s">
        <v>232</v>
      </c>
    </row>
    <row r="50986" spans="119:119" x14ac:dyDescent="0.2">
      <c r="DO50986" s="303" t="s">
        <v>232</v>
      </c>
    </row>
    <row r="50987" spans="119:119" x14ac:dyDescent="0.2">
      <c r="DO50987" s="303" t="s">
        <v>232</v>
      </c>
    </row>
    <row r="50988" spans="119:119" x14ac:dyDescent="0.2">
      <c r="DO50988" s="303" t="s">
        <v>232</v>
      </c>
    </row>
    <row r="50989" spans="119:119" x14ac:dyDescent="0.2">
      <c r="DO50989" s="303" t="s">
        <v>232</v>
      </c>
    </row>
    <row r="50990" spans="119:119" x14ac:dyDescent="0.2">
      <c r="DO50990" s="303" t="s">
        <v>232</v>
      </c>
    </row>
    <row r="50991" spans="119:119" x14ac:dyDescent="0.2">
      <c r="DO50991" s="303" t="s">
        <v>232</v>
      </c>
    </row>
    <row r="50992" spans="119:119" x14ac:dyDescent="0.2">
      <c r="DO50992" s="303" t="s">
        <v>232</v>
      </c>
    </row>
    <row r="50993" spans="119:119" x14ac:dyDescent="0.2">
      <c r="DO50993" s="303" t="s">
        <v>232</v>
      </c>
    </row>
    <row r="50994" spans="119:119" x14ac:dyDescent="0.2">
      <c r="DO50994" s="303" t="s">
        <v>232</v>
      </c>
    </row>
    <row r="50995" spans="119:119" x14ac:dyDescent="0.2">
      <c r="DO50995" s="303" t="s">
        <v>232</v>
      </c>
    </row>
    <row r="50996" spans="119:119" x14ac:dyDescent="0.2">
      <c r="DO50996" s="303" t="s">
        <v>232</v>
      </c>
    </row>
    <row r="50997" spans="119:119" x14ac:dyDescent="0.2">
      <c r="DO50997" s="303" t="s">
        <v>232</v>
      </c>
    </row>
    <row r="50998" spans="119:119" x14ac:dyDescent="0.2">
      <c r="DO50998" s="303" t="s">
        <v>232</v>
      </c>
    </row>
    <row r="50999" spans="119:119" x14ac:dyDescent="0.2">
      <c r="DO50999" s="303" t="s">
        <v>232</v>
      </c>
    </row>
    <row r="51000" spans="119:119" x14ac:dyDescent="0.2">
      <c r="DO51000" s="303" t="s">
        <v>232</v>
      </c>
    </row>
    <row r="51001" spans="119:119" x14ac:dyDescent="0.2">
      <c r="DO51001" s="303" t="s">
        <v>232</v>
      </c>
    </row>
    <row r="51002" spans="119:119" x14ac:dyDescent="0.2">
      <c r="DO51002" s="303" t="s">
        <v>232</v>
      </c>
    </row>
    <row r="51003" spans="119:119" x14ac:dyDescent="0.2">
      <c r="DO51003" s="303" t="s">
        <v>232</v>
      </c>
    </row>
    <row r="51004" spans="119:119" x14ac:dyDescent="0.2">
      <c r="DO51004" s="303" t="s">
        <v>232</v>
      </c>
    </row>
    <row r="51005" spans="119:119" x14ac:dyDescent="0.2">
      <c r="DO51005" s="303" t="s">
        <v>232</v>
      </c>
    </row>
    <row r="51006" spans="119:119" x14ac:dyDescent="0.2">
      <c r="DO51006" s="303" t="s">
        <v>232</v>
      </c>
    </row>
    <row r="51007" spans="119:119" x14ac:dyDescent="0.2">
      <c r="DO51007" s="303" t="s">
        <v>232</v>
      </c>
    </row>
    <row r="51008" spans="119:119" x14ac:dyDescent="0.2">
      <c r="DO51008" s="303" t="s">
        <v>232</v>
      </c>
    </row>
    <row r="51009" spans="119:119" x14ac:dyDescent="0.2">
      <c r="DO51009" s="303" t="s">
        <v>232</v>
      </c>
    </row>
    <row r="51010" spans="119:119" x14ac:dyDescent="0.2">
      <c r="DO51010" s="303" t="s">
        <v>232</v>
      </c>
    </row>
    <row r="51011" spans="119:119" x14ac:dyDescent="0.2">
      <c r="DO51011" s="303" t="s">
        <v>232</v>
      </c>
    </row>
    <row r="51012" spans="119:119" x14ac:dyDescent="0.2">
      <c r="DO51012" s="303" t="s">
        <v>232</v>
      </c>
    </row>
    <row r="51013" spans="119:119" x14ac:dyDescent="0.2">
      <c r="DO51013" s="303" t="s">
        <v>232</v>
      </c>
    </row>
    <row r="51014" spans="119:119" x14ac:dyDescent="0.2">
      <c r="DO51014" s="303" t="s">
        <v>232</v>
      </c>
    </row>
    <row r="51015" spans="119:119" x14ac:dyDescent="0.2">
      <c r="DO51015" s="303" t="s">
        <v>232</v>
      </c>
    </row>
    <row r="51016" spans="119:119" x14ac:dyDescent="0.2">
      <c r="DO51016" s="303" t="s">
        <v>232</v>
      </c>
    </row>
    <row r="51017" spans="119:119" x14ac:dyDescent="0.2">
      <c r="DO51017" s="303" t="s">
        <v>232</v>
      </c>
    </row>
    <row r="51018" spans="119:119" x14ac:dyDescent="0.2">
      <c r="DO51018" s="303" t="s">
        <v>232</v>
      </c>
    </row>
    <row r="51019" spans="119:119" x14ac:dyDescent="0.2">
      <c r="DO51019" s="303" t="s">
        <v>232</v>
      </c>
    </row>
    <row r="51020" spans="119:119" x14ac:dyDescent="0.2">
      <c r="DO51020" s="303" t="s">
        <v>232</v>
      </c>
    </row>
    <row r="51021" spans="119:119" x14ac:dyDescent="0.2">
      <c r="DO51021" s="303" t="s">
        <v>232</v>
      </c>
    </row>
    <row r="51022" spans="119:119" x14ac:dyDescent="0.2">
      <c r="DO51022" s="303" t="s">
        <v>232</v>
      </c>
    </row>
    <row r="51023" spans="119:119" x14ac:dyDescent="0.2">
      <c r="DO51023" s="303" t="s">
        <v>232</v>
      </c>
    </row>
    <row r="51024" spans="119:119" x14ac:dyDescent="0.2">
      <c r="DO51024" s="303" t="s">
        <v>232</v>
      </c>
    </row>
    <row r="51025" spans="119:119" x14ac:dyDescent="0.2">
      <c r="DO51025" s="303" t="s">
        <v>232</v>
      </c>
    </row>
    <row r="51026" spans="119:119" x14ac:dyDescent="0.2">
      <c r="DO51026" s="303" t="s">
        <v>232</v>
      </c>
    </row>
    <row r="51027" spans="119:119" x14ac:dyDescent="0.2">
      <c r="DO51027" s="303" t="s">
        <v>232</v>
      </c>
    </row>
    <row r="51028" spans="119:119" x14ac:dyDescent="0.2">
      <c r="DO51028" s="303" t="s">
        <v>232</v>
      </c>
    </row>
    <row r="51029" spans="119:119" x14ac:dyDescent="0.2">
      <c r="DO51029" s="303" t="s">
        <v>232</v>
      </c>
    </row>
    <row r="51030" spans="119:119" x14ac:dyDescent="0.2">
      <c r="DO51030" s="303" t="s">
        <v>232</v>
      </c>
    </row>
    <row r="51031" spans="119:119" x14ac:dyDescent="0.2">
      <c r="DO51031" s="303" t="s">
        <v>232</v>
      </c>
    </row>
    <row r="51032" spans="119:119" x14ac:dyDescent="0.2">
      <c r="DO51032" s="303" t="s">
        <v>232</v>
      </c>
    </row>
    <row r="51033" spans="119:119" x14ac:dyDescent="0.2">
      <c r="DO51033" s="303" t="s">
        <v>232</v>
      </c>
    </row>
    <row r="51034" spans="119:119" x14ac:dyDescent="0.2">
      <c r="DO51034" s="303" t="s">
        <v>232</v>
      </c>
    </row>
    <row r="51035" spans="119:119" x14ac:dyDescent="0.2">
      <c r="DO51035" s="303" t="s">
        <v>232</v>
      </c>
    </row>
    <row r="51036" spans="119:119" x14ac:dyDescent="0.2">
      <c r="DO51036" s="303" t="s">
        <v>232</v>
      </c>
    </row>
    <row r="51037" spans="119:119" x14ac:dyDescent="0.2">
      <c r="DO51037" s="303" t="s">
        <v>232</v>
      </c>
    </row>
    <row r="51038" spans="119:119" x14ac:dyDescent="0.2">
      <c r="DO51038" s="303" t="s">
        <v>232</v>
      </c>
    </row>
    <row r="51039" spans="119:119" x14ac:dyDescent="0.2">
      <c r="DO51039" s="303" t="s">
        <v>232</v>
      </c>
    </row>
    <row r="51040" spans="119:119" x14ac:dyDescent="0.2">
      <c r="DO51040" s="303" t="s">
        <v>232</v>
      </c>
    </row>
    <row r="51041" spans="119:119" x14ac:dyDescent="0.2">
      <c r="DO51041" s="303" t="s">
        <v>232</v>
      </c>
    </row>
    <row r="51042" spans="119:119" x14ac:dyDescent="0.2">
      <c r="DO51042" s="303" t="s">
        <v>232</v>
      </c>
    </row>
    <row r="51043" spans="119:119" x14ac:dyDescent="0.2">
      <c r="DO51043" s="303" t="s">
        <v>232</v>
      </c>
    </row>
    <row r="51044" spans="119:119" x14ac:dyDescent="0.2">
      <c r="DO51044" s="303" t="s">
        <v>232</v>
      </c>
    </row>
    <row r="51045" spans="119:119" x14ac:dyDescent="0.2">
      <c r="DO51045" s="303" t="s">
        <v>232</v>
      </c>
    </row>
    <row r="51046" spans="119:119" x14ac:dyDescent="0.2">
      <c r="DO51046" s="303" t="s">
        <v>232</v>
      </c>
    </row>
    <row r="51047" spans="119:119" x14ac:dyDescent="0.2">
      <c r="DO51047" s="303" t="s">
        <v>232</v>
      </c>
    </row>
    <row r="51048" spans="119:119" x14ac:dyDescent="0.2">
      <c r="DO51048" s="303" t="s">
        <v>232</v>
      </c>
    </row>
    <row r="51049" spans="119:119" x14ac:dyDescent="0.2">
      <c r="DO51049" s="303" t="s">
        <v>232</v>
      </c>
    </row>
    <row r="51050" spans="119:119" x14ac:dyDescent="0.2">
      <c r="DO51050" s="303" t="s">
        <v>232</v>
      </c>
    </row>
    <row r="51051" spans="119:119" x14ac:dyDescent="0.2">
      <c r="DO51051" s="303" t="s">
        <v>232</v>
      </c>
    </row>
    <row r="51052" spans="119:119" x14ac:dyDescent="0.2">
      <c r="DO51052" s="303" t="s">
        <v>232</v>
      </c>
    </row>
    <row r="51053" spans="119:119" x14ac:dyDescent="0.2">
      <c r="DO51053" s="303" t="s">
        <v>232</v>
      </c>
    </row>
    <row r="51054" spans="119:119" x14ac:dyDescent="0.2">
      <c r="DO51054" s="303" t="s">
        <v>232</v>
      </c>
    </row>
    <row r="51055" spans="119:119" x14ac:dyDescent="0.2">
      <c r="DO51055" s="303" t="s">
        <v>232</v>
      </c>
    </row>
    <row r="51056" spans="119:119" x14ac:dyDescent="0.2">
      <c r="DO51056" s="303" t="s">
        <v>232</v>
      </c>
    </row>
    <row r="51057" spans="119:119" x14ac:dyDescent="0.2">
      <c r="DO51057" s="303" t="s">
        <v>232</v>
      </c>
    </row>
    <row r="51058" spans="119:119" x14ac:dyDescent="0.2">
      <c r="DO51058" s="303" t="s">
        <v>232</v>
      </c>
    </row>
    <row r="51059" spans="119:119" x14ac:dyDescent="0.2">
      <c r="DO51059" s="303" t="s">
        <v>232</v>
      </c>
    </row>
    <row r="51060" spans="119:119" x14ac:dyDescent="0.2">
      <c r="DO51060" s="303" t="s">
        <v>232</v>
      </c>
    </row>
    <row r="51061" spans="119:119" x14ac:dyDescent="0.2">
      <c r="DO51061" s="303" t="s">
        <v>232</v>
      </c>
    </row>
    <row r="51062" spans="119:119" x14ac:dyDescent="0.2">
      <c r="DO51062" s="303" t="s">
        <v>232</v>
      </c>
    </row>
    <row r="51063" spans="119:119" x14ac:dyDescent="0.2">
      <c r="DO51063" s="303" t="s">
        <v>232</v>
      </c>
    </row>
    <row r="51064" spans="119:119" x14ac:dyDescent="0.2">
      <c r="DO51064" s="303" t="s">
        <v>232</v>
      </c>
    </row>
    <row r="51065" spans="119:119" x14ac:dyDescent="0.2">
      <c r="DO51065" s="303" t="s">
        <v>232</v>
      </c>
    </row>
    <row r="51066" spans="119:119" x14ac:dyDescent="0.2">
      <c r="DO51066" s="303" t="s">
        <v>232</v>
      </c>
    </row>
    <row r="51067" spans="119:119" x14ac:dyDescent="0.2">
      <c r="DO51067" s="303" t="s">
        <v>232</v>
      </c>
    </row>
    <row r="51068" spans="119:119" x14ac:dyDescent="0.2">
      <c r="DO51068" s="303" t="s">
        <v>232</v>
      </c>
    </row>
    <row r="51069" spans="119:119" x14ac:dyDescent="0.2">
      <c r="DO51069" s="303" t="s">
        <v>232</v>
      </c>
    </row>
    <row r="51070" spans="119:119" x14ac:dyDescent="0.2">
      <c r="DO51070" s="303" t="s">
        <v>232</v>
      </c>
    </row>
    <row r="51071" spans="119:119" x14ac:dyDescent="0.2">
      <c r="DO51071" s="303" t="s">
        <v>232</v>
      </c>
    </row>
    <row r="51072" spans="119:119" x14ac:dyDescent="0.2">
      <c r="DO51072" s="303" t="s">
        <v>232</v>
      </c>
    </row>
    <row r="51073" spans="119:119" x14ac:dyDescent="0.2">
      <c r="DO51073" s="303" t="s">
        <v>232</v>
      </c>
    </row>
    <row r="51074" spans="119:119" x14ac:dyDescent="0.2">
      <c r="DO51074" s="303" t="s">
        <v>232</v>
      </c>
    </row>
    <row r="51075" spans="119:119" x14ac:dyDescent="0.2">
      <c r="DO51075" s="303" t="s">
        <v>232</v>
      </c>
    </row>
    <row r="51076" spans="119:119" x14ac:dyDescent="0.2">
      <c r="DO51076" s="303" t="s">
        <v>232</v>
      </c>
    </row>
    <row r="51077" spans="119:119" x14ac:dyDescent="0.2">
      <c r="DO51077" s="303" t="s">
        <v>232</v>
      </c>
    </row>
    <row r="51078" spans="119:119" x14ac:dyDescent="0.2">
      <c r="DO51078" s="303" t="s">
        <v>232</v>
      </c>
    </row>
    <row r="51079" spans="119:119" x14ac:dyDescent="0.2">
      <c r="DO51079" s="303" t="s">
        <v>232</v>
      </c>
    </row>
    <row r="51080" spans="119:119" x14ac:dyDescent="0.2">
      <c r="DO51080" s="303" t="s">
        <v>232</v>
      </c>
    </row>
    <row r="51081" spans="119:119" x14ac:dyDescent="0.2">
      <c r="DO51081" s="303" t="s">
        <v>232</v>
      </c>
    </row>
    <row r="51082" spans="119:119" x14ac:dyDescent="0.2">
      <c r="DO51082" s="303" t="s">
        <v>232</v>
      </c>
    </row>
    <row r="51083" spans="119:119" x14ac:dyDescent="0.2">
      <c r="DO51083" s="303" t="s">
        <v>232</v>
      </c>
    </row>
    <row r="51084" spans="119:119" x14ac:dyDescent="0.2">
      <c r="DO51084" s="303" t="s">
        <v>232</v>
      </c>
    </row>
    <row r="51085" spans="119:119" x14ac:dyDescent="0.2">
      <c r="DO51085" s="303" t="s">
        <v>232</v>
      </c>
    </row>
    <row r="51086" spans="119:119" x14ac:dyDescent="0.2">
      <c r="DO51086" s="303" t="s">
        <v>232</v>
      </c>
    </row>
    <row r="51087" spans="119:119" x14ac:dyDescent="0.2">
      <c r="DO51087" s="303" t="s">
        <v>232</v>
      </c>
    </row>
    <row r="51088" spans="119:119" x14ac:dyDescent="0.2">
      <c r="DO51088" s="303" t="s">
        <v>232</v>
      </c>
    </row>
    <row r="51089" spans="119:119" x14ac:dyDescent="0.2">
      <c r="DO51089" s="303" t="s">
        <v>232</v>
      </c>
    </row>
    <row r="51090" spans="119:119" x14ac:dyDescent="0.2">
      <c r="DO51090" s="303" t="s">
        <v>232</v>
      </c>
    </row>
    <row r="51091" spans="119:119" x14ac:dyDescent="0.2">
      <c r="DO51091" s="303" t="s">
        <v>232</v>
      </c>
    </row>
    <row r="51092" spans="119:119" x14ac:dyDescent="0.2">
      <c r="DO51092" s="303" t="s">
        <v>232</v>
      </c>
    </row>
    <row r="51093" spans="119:119" x14ac:dyDescent="0.2">
      <c r="DO51093" s="303" t="s">
        <v>232</v>
      </c>
    </row>
    <row r="51094" spans="119:119" x14ac:dyDescent="0.2">
      <c r="DO51094" s="303" t="s">
        <v>232</v>
      </c>
    </row>
    <row r="51095" spans="119:119" x14ac:dyDescent="0.2">
      <c r="DO51095" s="303" t="s">
        <v>232</v>
      </c>
    </row>
    <row r="51096" spans="119:119" x14ac:dyDescent="0.2">
      <c r="DO51096" s="303" t="s">
        <v>232</v>
      </c>
    </row>
    <row r="51097" spans="119:119" x14ac:dyDescent="0.2">
      <c r="DO51097" s="303" t="s">
        <v>232</v>
      </c>
    </row>
    <row r="51098" spans="119:119" x14ac:dyDescent="0.2">
      <c r="DO51098" s="303" t="s">
        <v>232</v>
      </c>
    </row>
    <row r="51099" spans="119:119" x14ac:dyDescent="0.2">
      <c r="DO51099" s="303" t="s">
        <v>232</v>
      </c>
    </row>
    <row r="51100" spans="119:119" x14ac:dyDescent="0.2">
      <c r="DO51100" s="303" t="s">
        <v>232</v>
      </c>
    </row>
    <row r="51101" spans="119:119" x14ac:dyDescent="0.2">
      <c r="DO51101" s="303" t="s">
        <v>232</v>
      </c>
    </row>
    <row r="51102" spans="119:119" x14ac:dyDescent="0.2">
      <c r="DO51102" s="303" t="s">
        <v>232</v>
      </c>
    </row>
    <row r="51103" spans="119:119" x14ac:dyDescent="0.2">
      <c r="DO51103" s="303" t="s">
        <v>232</v>
      </c>
    </row>
    <row r="51104" spans="119:119" x14ac:dyDescent="0.2">
      <c r="DO51104" s="303" t="s">
        <v>232</v>
      </c>
    </row>
    <row r="51105" spans="119:119" x14ac:dyDescent="0.2">
      <c r="DO51105" s="303" t="s">
        <v>232</v>
      </c>
    </row>
    <row r="51106" spans="119:119" x14ac:dyDescent="0.2">
      <c r="DO51106" s="303" t="s">
        <v>232</v>
      </c>
    </row>
    <row r="51107" spans="119:119" x14ac:dyDescent="0.2">
      <c r="DO51107" s="303" t="s">
        <v>232</v>
      </c>
    </row>
    <row r="51108" spans="119:119" x14ac:dyDescent="0.2">
      <c r="DO51108" s="303" t="s">
        <v>232</v>
      </c>
    </row>
    <row r="51109" spans="119:119" x14ac:dyDescent="0.2">
      <c r="DO51109" s="303" t="s">
        <v>232</v>
      </c>
    </row>
    <row r="51110" spans="119:119" x14ac:dyDescent="0.2">
      <c r="DO51110" s="303" t="s">
        <v>232</v>
      </c>
    </row>
    <row r="51111" spans="119:119" x14ac:dyDescent="0.2">
      <c r="DO51111" s="303" t="s">
        <v>232</v>
      </c>
    </row>
    <row r="51112" spans="119:119" x14ac:dyDescent="0.2">
      <c r="DO51112" s="303" t="s">
        <v>232</v>
      </c>
    </row>
    <row r="51113" spans="119:119" x14ac:dyDescent="0.2">
      <c r="DO51113" s="303" t="s">
        <v>232</v>
      </c>
    </row>
    <row r="51114" spans="119:119" x14ac:dyDescent="0.2">
      <c r="DO51114" s="303" t="s">
        <v>232</v>
      </c>
    </row>
    <row r="51115" spans="119:119" x14ac:dyDescent="0.2">
      <c r="DO51115" s="303" t="s">
        <v>232</v>
      </c>
    </row>
    <row r="51116" spans="119:119" x14ac:dyDescent="0.2">
      <c r="DO51116" s="303" t="s">
        <v>232</v>
      </c>
    </row>
    <row r="51117" spans="119:119" x14ac:dyDescent="0.2">
      <c r="DO51117" s="303" t="s">
        <v>232</v>
      </c>
    </row>
    <row r="51118" spans="119:119" x14ac:dyDescent="0.2">
      <c r="DO51118" s="303" t="s">
        <v>232</v>
      </c>
    </row>
    <row r="51119" spans="119:119" x14ac:dyDescent="0.2">
      <c r="DO51119" s="303" t="s">
        <v>232</v>
      </c>
    </row>
    <row r="51120" spans="119:119" x14ac:dyDescent="0.2">
      <c r="DO51120" s="303" t="s">
        <v>232</v>
      </c>
    </row>
    <row r="51121" spans="119:119" x14ac:dyDescent="0.2">
      <c r="DO51121" s="303" t="s">
        <v>232</v>
      </c>
    </row>
    <row r="51122" spans="119:119" x14ac:dyDescent="0.2">
      <c r="DO51122" s="303" t="s">
        <v>232</v>
      </c>
    </row>
    <row r="51123" spans="119:119" x14ac:dyDescent="0.2">
      <c r="DO51123" s="303" t="s">
        <v>232</v>
      </c>
    </row>
    <row r="51124" spans="119:119" x14ac:dyDescent="0.2">
      <c r="DO51124" s="303" t="s">
        <v>232</v>
      </c>
    </row>
    <row r="51125" spans="119:119" x14ac:dyDescent="0.2">
      <c r="DO51125" s="303" t="s">
        <v>232</v>
      </c>
    </row>
    <row r="51126" spans="119:119" x14ac:dyDescent="0.2">
      <c r="DO51126" s="303" t="s">
        <v>232</v>
      </c>
    </row>
    <row r="51127" spans="119:119" x14ac:dyDescent="0.2">
      <c r="DO51127" s="303" t="s">
        <v>232</v>
      </c>
    </row>
    <row r="51128" spans="119:119" x14ac:dyDescent="0.2">
      <c r="DO51128" s="303" t="s">
        <v>232</v>
      </c>
    </row>
    <row r="51129" spans="119:119" x14ac:dyDescent="0.2">
      <c r="DO51129" s="303" t="s">
        <v>232</v>
      </c>
    </row>
    <row r="51130" spans="119:119" x14ac:dyDescent="0.2">
      <c r="DO51130" s="303" t="s">
        <v>232</v>
      </c>
    </row>
    <row r="51131" spans="119:119" x14ac:dyDescent="0.2">
      <c r="DO51131" s="303" t="s">
        <v>232</v>
      </c>
    </row>
    <row r="51132" spans="119:119" x14ac:dyDescent="0.2">
      <c r="DO51132" s="303" t="s">
        <v>232</v>
      </c>
    </row>
    <row r="51133" spans="119:119" x14ac:dyDescent="0.2">
      <c r="DO51133" s="303" t="s">
        <v>232</v>
      </c>
    </row>
    <row r="51134" spans="119:119" x14ac:dyDescent="0.2">
      <c r="DO51134" s="303" t="s">
        <v>232</v>
      </c>
    </row>
    <row r="51135" spans="119:119" x14ac:dyDescent="0.2">
      <c r="DO51135" s="303" t="s">
        <v>232</v>
      </c>
    </row>
    <row r="51136" spans="119:119" x14ac:dyDescent="0.2">
      <c r="DO51136" s="303" t="s">
        <v>232</v>
      </c>
    </row>
    <row r="51137" spans="119:119" x14ac:dyDescent="0.2">
      <c r="DO51137" s="303" t="s">
        <v>232</v>
      </c>
    </row>
    <row r="51138" spans="119:119" x14ac:dyDescent="0.2">
      <c r="DO51138" s="303" t="s">
        <v>232</v>
      </c>
    </row>
    <row r="51139" spans="119:119" x14ac:dyDescent="0.2">
      <c r="DO51139" s="303" t="s">
        <v>232</v>
      </c>
    </row>
    <row r="51140" spans="119:119" x14ac:dyDescent="0.2">
      <c r="DO51140" s="303" t="s">
        <v>232</v>
      </c>
    </row>
    <row r="51141" spans="119:119" x14ac:dyDescent="0.2">
      <c r="DO51141" s="303" t="s">
        <v>232</v>
      </c>
    </row>
    <row r="51142" spans="119:119" x14ac:dyDescent="0.2">
      <c r="DO51142" s="303" t="s">
        <v>232</v>
      </c>
    </row>
    <row r="51143" spans="119:119" x14ac:dyDescent="0.2">
      <c r="DO51143" s="303" t="s">
        <v>232</v>
      </c>
    </row>
    <row r="51144" spans="119:119" x14ac:dyDescent="0.2">
      <c r="DO51144" s="303" t="s">
        <v>232</v>
      </c>
    </row>
    <row r="51145" spans="119:119" x14ac:dyDescent="0.2">
      <c r="DO51145" s="303" t="s">
        <v>232</v>
      </c>
    </row>
    <row r="51146" spans="119:119" x14ac:dyDescent="0.2">
      <c r="DO51146" s="303" t="s">
        <v>232</v>
      </c>
    </row>
    <row r="51147" spans="119:119" x14ac:dyDescent="0.2">
      <c r="DO51147" s="303" t="s">
        <v>232</v>
      </c>
    </row>
    <row r="51148" spans="119:119" x14ac:dyDescent="0.2">
      <c r="DO51148" s="303" t="s">
        <v>232</v>
      </c>
    </row>
    <row r="51149" spans="119:119" x14ac:dyDescent="0.2">
      <c r="DO51149" s="303" t="s">
        <v>232</v>
      </c>
    </row>
    <row r="51150" spans="119:119" x14ac:dyDescent="0.2">
      <c r="DO51150" s="303" t="s">
        <v>232</v>
      </c>
    </row>
    <row r="51151" spans="119:119" x14ac:dyDescent="0.2">
      <c r="DO51151" s="303" t="s">
        <v>232</v>
      </c>
    </row>
    <row r="51152" spans="119:119" x14ac:dyDescent="0.2">
      <c r="DO51152" s="303" t="s">
        <v>232</v>
      </c>
    </row>
    <row r="51153" spans="119:119" x14ac:dyDescent="0.2">
      <c r="DO51153" s="303" t="s">
        <v>232</v>
      </c>
    </row>
    <row r="51154" spans="119:119" x14ac:dyDescent="0.2">
      <c r="DO51154" s="303" t="s">
        <v>232</v>
      </c>
    </row>
    <row r="51155" spans="119:119" x14ac:dyDescent="0.2">
      <c r="DO51155" s="303" t="s">
        <v>232</v>
      </c>
    </row>
    <row r="51156" spans="119:119" x14ac:dyDescent="0.2">
      <c r="DO51156" s="303" t="s">
        <v>232</v>
      </c>
    </row>
    <row r="51157" spans="119:119" x14ac:dyDescent="0.2">
      <c r="DO51157" s="303" t="s">
        <v>232</v>
      </c>
    </row>
    <row r="51158" spans="119:119" x14ac:dyDescent="0.2">
      <c r="DO51158" s="303" t="s">
        <v>232</v>
      </c>
    </row>
    <row r="51159" spans="119:119" x14ac:dyDescent="0.2">
      <c r="DO51159" s="303" t="s">
        <v>232</v>
      </c>
    </row>
    <row r="51160" spans="119:119" x14ac:dyDescent="0.2">
      <c r="DO51160" s="303" t="s">
        <v>232</v>
      </c>
    </row>
    <row r="51161" spans="119:119" x14ac:dyDescent="0.2">
      <c r="DO51161" s="303" t="s">
        <v>232</v>
      </c>
    </row>
    <row r="51162" spans="119:119" x14ac:dyDescent="0.2">
      <c r="DO51162" s="303" t="s">
        <v>232</v>
      </c>
    </row>
    <row r="51163" spans="119:119" x14ac:dyDescent="0.2">
      <c r="DO51163" s="303" t="s">
        <v>232</v>
      </c>
    </row>
    <row r="51164" spans="119:119" x14ac:dyDescent="0.2">
      <c r="DO51164" s="303" t="s">
        <v>232</v>
      </c>
    </row>
    <row r="51165" spans="119:119" x14ac:dyDescent="0.2">
      <c r="DO51165" s="303" t="s">
        <v>232</v>
      </c>
    </row>
    <row r="51166" spans="119:119" x14ac:dyDescent="0.2">
      <c r="DO51166" s="303" t="s">
        <v>232</v>
      </c>
    </row>
    <row r="51167" spans="119:119" x14ac:dyDescent="0.2">
      <c r="DO51167" s="303" t="s">
        <v>232</v>
      </c>
    </row>
    <row r="51168" spans="119:119" x14ac:dyDescent="0.2">
      <c r="DO51168" s="303" t="s">
        <v>232</v>
      </c>
    </row>
    <row r="51169" spans="119:119" x14ac:dyDescent="0.2">
      <c r="DO51169" s="303" t="s">
        <v>232</v>
      </c>
    </row>
    <row r="51170" spans="119:119" x14ac:dyDescent="0.2">
      <c r="DO51170" s="303" t="s">
        <v>232</v>
      </c>
    </row>
    <row r="51171" spans="119:119" x14ac:dyDescent="0.2">
      <c r="DO51171" s="303" t="s">
        <v>232</v>
      </c>
    </row>
    <row r="51172" spans="119:119" x14ac:dyDescent="0.2">
      <c r="DO51172" s="303" t="s">
        <v>232</v>
      </c>
    </row>
    <row r="51173" spans="119:119" x14ac:dyDescent="0.2">
      <c r="DO51173" s="303" t="s">
        <v>232</v>
      </c>
    </row>
    <row r="51174" spans="119:119" x14ac:dyDescent="0.2">
      <c r="DO51174" s="303" t="s">
        <v>232</v>
      </c>
    </row>
    <row r="51175" spans="119:119" x14ac:dyDescent="0.2">
      <c r="DO51175" s="303" t="s">
        <v>232</v>
      </c>
    </row>
    <row r="51176" spans="119:119" x14ac:dyDescent="0.2">
      <c r="DO51176" s="303" t="s">
        <v>232</v>
      </c>
    </row>
    <row r="51177" spans="119:119" x14ac:dyDescent="0.2">
      <c r="DO51177" s="303" t="s">
        <v>232</v>
      </c>
    </row>
    <row r="51178" spans="119:119" x14ac:dyDescent="0.2">
      <c r="DO51178" s="303" t="s">
        <v>232</v>
      </c>
    </row>
    <row r="51179" spans="119:119" x14ac:dyDescent="0.2">
      <c r="DO51179" s="303" t="s">
        <v>232</v>
      </c>
    </row>
    <row r="51180" spans="119:119" x14ac:dyDescent="0.2">
      <c r="DO51180" s="303" t="s">
        <v>232</v>
      </c>
    </row>
    <row r="51181" spans="119:119" x14ac:dyDescent="0.2">
      <c r="DO51181" s="303" t="s">
        <v>232</v>
      </c>
    </row>
    <row r="51182" spans="119:119" x14ac:dyDescent="0.2">
      <c r="DO51182" s="303" t="s">
        <v>232</v>
      </c>
    </row>
    <row r="51183" spans="119:119" x14ac:dyDescent="0.2">
      <c r="DO51183" s="303" t="s">
        <v>232</v>
      </c>
    </row>
    <row r="51184" spans="119:119" x14ac:dyDescent="0.2">
      <c r="DO51184" s="303" t="s">
        <v>232</v>
      </c>
    </row>
    <row r="51185" spans="119:119" x14ac:dyDescent="0.2">
      <c r="DO51185" s="303" t="s">
        <v>232</v>
      </c>
    </row>
    <row r="51186" spans="119:119" x14ac:dyDescent="0.2">
      <c r="DO51186" s="303" t="s">
        <v>232</v>
      </c>
    </row>
    <row r="51187" spans="119:119" x14ac:dyDescent="0.2">
      <c r="DO51187" s="303" t="s">
        <v>232</v>
      </c>
    </row>
    <row r="51188" spans="119:119" x14ac:dyDescent="0.2">
      <c r="DO51188" s="303" t="s">
        <v>232</v>
      </c>
    </row>
    <row r="51189" spans="119:119" x14ac:dyDescent="0.2">
      <c r="DO51189" s="303" t="s">
        <v>232</v>
      </c>
    </row>
    <row r="51190" spans="119:119" x14ac:dyDescent="0.2">
      <c r="DO51190" s="303" t="s">
        <v>232</v>
      </c>
    </row>
    <row r="51191" spans="119:119" x14ac:dyDescent="0.2">
      <c r="DO51191" s="303" t="s">
        <v>232</v>
      </c>
    </row>
    <row r="51192" spans="119:119" x14ac:dyDescent="0.2">
      <c r="DO51192" s="303" t="s">
        <v>232</v>
      </c>
    </row>
    <row r="51193" spans="119:119" x14ac:dyDescent="0.2">
      <c r="DO51193" s="303" t="s">
        <v>232</v>
      </c>
    </row>
    <row r="51194" spans="119:119" x14ac:dyDescent="0.2">
      <c r="DO51194" s="303" t="s">
        <v>232</v>
      </c>
    </row>
    <row r="51195" spans="119:119" x14ac:dyDescent="0.2">
      <c r="DO51195" s="303" t="s">
        <v>232</v>
      </c>
    </row>
    <row r="51196" spans="119:119" x14ac:dyDescent="0.2">
      <c r="DO51196" s="303" t="s">
        <v>232</v>
      </c>
    </row>
    <row r="51197" spans="119:119" x14ac:dyDescent="0.2">
      <c r="DO51197" s="303" t="s">
        <v>232</v>
      </c>
    </row>
    <row r="51198" spans="119:119" x14ac:dyDescent="0.2">
      <c r="DO51198" s="303" t="s">
        <v>232</v>
      </c>
    </row>
    <row r="51199" spans="119:119" x14ac:dyDescent="0.2">
      <c r="DO51199" s="303" t="s">
        <v>232</v>
      </c>
    </row>
    <row r="51200" spans="119:119" x14ac:dyDescent="0.2">
      <c r="DO51200" s="303" t="s">
        <v>232</v>
      </c>
    </row>
    <row r="51201" spans="119:119" x14ac:dyDescent="0.2">
      <c r="DO51201" s="303" t="s">
        <v>232</v>
      </c>
    </row>
    <row r="51202" spans="119:119" x14ac:dyDescent="0.2">
      <c r="DO51202" s="303" t="s">
        <v>232</v>
      </c>
    </row>
    <row r="51203" spans="119:119" x14ac:dyDescent="0.2">
      <c r="DO51203" s="303" t="s">
        <v>232</v>
      </c>
    </row>
    <row r="51204" spans="119:119" x14ac:dyDescent="0.2">
      <c r="DO51204" s="303" t="s">
        <v>232</v>
      </c>
    </row>
    <row r="51205" spans="119:119" x14ac:dyDescent="0.2">
      <c r="DO51205" s="303" t="s">
        <v>232</v>
      </c>
    </row>
    <row r="51206" spans="119:119" x14ac:dyDescent="0.2">
      <c r="DO51206" s="303" t="s">
        <v>232</v>
      </c>
    </row>
    <row r="51207" spans="119:119" x14ac:dyDescent="0.2">
      <c r="DO51207" s="303" t="s">
        <v>232</v>
      </c>
    </row>
    <row r="51208" spans="119:119" x14ac:dyDescent="0.2">
      <c r="DO51208" s="303" t="s">
        <v>232</v>
      </c>
    </row>
    <row r="51209" spans="119:119" x14ac:dyDescent="0.2">
      <c r="DO51209" s="303" t="s">
        <v>232</v>
      </c>
    </row>
    <row r="51210" spans="119:119" x14ac:dyDescent="0.2">
      <c r="DO51210" s="303" t="s">
        <v>232</v>
      </c>
    </row>
    <row r="51211" spans="119:119" x14ac:dyDescent="0.2">
      <c r="DO51211" s="303" t="s">
        <v>232</v>
      </c>
    </row>
    <row r="51212" spans="119:119" x14ac:dyDescent="0.2">
      <c r="DO51212" s="303" t="s">
        <v>232</v>
      </c>
    </row>
    <row r="51213" spans="119:119" x14ac:dyDescent="0.2">
      <c r="DO51213" s="303" t="s">
        <v>232</v>
      </c>
    </row>
    <row r="51214" spans="119:119" x14ac:dyDescent="0.2">
      <c r="DO51214" s="303" t="s">
        <v>232</v>
      </c>
    </row>
    <row r="51215" spans="119:119" x14ac:dyDescent="0.2">
      <c r="DO51215" s="303" t="s">
        <v>232</v>
      </c>
    </row>
    <row r="51216" spans="119:119" x14ac:dyDescent="0.2">
      <c r="DO51216" s="303" t="s">
        <v>232</v>
      </c>
    </row>
    <row r="51217" spans="119:119" x14ac:dyDescent="0.2">
      <c r="DO51217" s="303" t="s">
        <v>232</v>
      </c>
    </row>
    <row r="51218" spans="119:119" x14ac:dyDescent="0.2">
      <c r="DO51218" s="303" t="s">
        <v>232</v>
      </c>
    </row>
    <row r="51219" spans="119:119" x14ac:dyDescent="0.2">
      <c r="DO51219" s="303" t="s">
        <v>232</v>
      </c>
    </row>
    <row r="51220" spans="119:119" x14ac:dyDescent="0.2">
      <c r="DO51220" s="303" t="s">
        <v>232</v>
      </c>
    </row>
    <row r="51221" spans="119:119" x14ac:dyDescent="0.2">
      <c r="DO51221" s="303" t="s">
        <v>232</v>
      </c>
    </row>
    <row r="51222" spans="119:119" x14ac:dyDescent="0.2">
      <c r="DO51222" s="303" t="s">
        <v>232</v>
      </c>
    </row>
    <row r="51223" spans="119:119" x14ac:dyDescent="0.2">
      <c r="DO51223" s="303" t="s">
        <v>232</v>
      </c>
    </row>
    <row r="51224" spans="119:119" x14ac:dyDescent="0.2">
      <c r="DO51224" s="303" t="s">
        <v>232</v>
      </c>
    </row>
    <row r="51225" spans="119:119" x14ac:dyDescent="0.2">
      <c r="DO51225" s="303" t="s">
        <v>232</v>
      </c>
    </row>
    <row r="51226" spans="119:119" x14ac:dyDescent="0.2">
      <c r="DO51226" s="303" t="s">
        <v>232</v>
      </c>
    </row>
    <row r="51227" spans="119:119" x14ac:dyDescent="0.2">
      <c r="DO51227" s="303" t="s">
        <v>232</v>
      </c>
    </row>
    <row r="51228" spans="119:119" x14ac:dyDescent="0.2">
      <c r="DO51228" s="303" t="s">
        <v>232</v>
      </c>
    </row>
    <row r="51229" spans="119:119" x14ac:dyDescent="0.2">
      <c r="DO51229" s="303" t="s">
        <v>232</v>
      </c>
    </row>
    <row r="51230" spans="119:119" x14ac:dyDescent="0.2">
      <c r="DO51230" s="303" t="s">
        <v>232</v>
      </c>
    </row>
    <row r="51231" spans="119:119" x14ac:dyDescent="0.2">
      <c r="DO51231" s="303" t="s">
        <v>232</v>
      </c>
    </row>
    <row r="51232" spans="119:119" x14ac:dyDescent="0.2">
      <c r="DO51232" s="303" t="s">
        <v>232</v>
      </c>
    </row>
    <row r="51233" spans="119:119" x14ac:dyDescent="0.2">
      <c r="DO51233" s="303" t="s">
        <v>232</v>
      </c>
    </row>
    <row r="51234" spans="119:119" x14ac:dyDescent="0.2">
      <c r="DO51234" s="303" t="s">
        <v>232</v>
      </c>
    </row>
    <row r="51235" spans="119:119" x14ac:dyDescent="0.2">
      <c r="DO51235" s="303" t="s">
        <v>232</v>
      </c>
    </row>
    <row r="51236" spans="119:119" x14ac:dyDescent="0.2">
      <c r="DO51236" s="303" t="s">
        <v>232</v>
      </c>
    </row>
    <row r="51237" spans="119:119" x14ac:dyDescent="0.2">
      <c r="DO51237" s="303" t="s">
        <v>232</v>
      </c>
    </row>
    <row r="51238" spans="119:119" x14ac:dyDescent="0.2">
      <c r="DO51238" s="303" t="s">
        <v>232</v>
      </c>
    </row>
    <row r="51239" spans="119:119" x14ac:dyDescent="0.2">
      <c r="DO51239" s="303" t="s">
        <v>232</v>
      </c>
    </row>
    <row r="51240" spans="119:119" x14ac:dyDescent="0.2">
      <c r="DO51240" s="303" t="s">
        <v>232</v>
      </c>
    </row>
    <row r="51241" spans="119:119" x14ac:dyDescent="0.2">
      <c r="DO51241" s="303" t="s">
        <v>232</v>
      </c>
    </row>
    <row r="51242" spans="119:119" x14ac:dyDescent="0.2">
      <c r="DO51242" s="303" t="s">
        <v>232</v>
      </c>
    </row>
    <row r="51243" spans="119:119" x14ac:dyDescent="0.2">
      <c r="DO51243" s="303" t="s">
        <v>232</v>
      </c>
    </row>
    <row r="51244" spans="119:119" x14ac:dyDescent="0.2">
      <c r="DO51244" s="303" t="s">
        <v>232</v>
      </c>
    </row>
    <row r="51245" spans="119:119" x14ac:dyDescent="0.2">
      <c r="DO51245" s="303" t="s">
        <v>232</v>
      </c>
    </row>
    <row r="51246" spans="119:119" x14ac:dyDescent="0.2">
      <c r="DO51246" s="303" t="s">
        <v>232</v>
      </c>
    </row>
    <row r="51247" spans="119:119" x14ac:dyDescent="0.2">
      <c r="DO51247" s="303" t="s">
        <v>232</v>
      </c>
    </row>
    <row r="51248" spans="119:119" x14ac:dyDescent="0.2">
      <c r="DO51248" s="303" t="s">
        <v>232</v>
      </c>
    </row>
    <row r="51249" spans="119:119" x14ac:dyDescent="0.2">
      <c r="DO51249" s="303" t="s">
        <v>232</v>
      </c>
    </row>
    <row r="51250" spans="119:119" x14ac:dyDescent="0.2">
      <c r="DO51250" s="303" t="s">
        <v>232</v>
      </c>
    </row>
    <row r="51251" spans="119:119" x14ac:dyDescent="0.2">
      <c r="DO51251" s="303" t="s">
        <v>232</v>
      </c>
    </row>
    <row r="51252" spans="119:119" x14ac:dyDescent="0.2">
      <c r="DO51252" s="303" t="s">
        <v>232</v>
      </c>
    </row>
    <row r="51253" spans="119:119" x14ac:dyDescent="0.2">
      <c r="DO51253" s="303" t="s">
        <v>232</v>
      </c>
    </row>
    <row r="51254" spans="119:119" x14ac:dyDescent="0.2">
      <c r="DO51254" s="303" t="s">
        <v>232</v>
      </c>
    </row>
    <row r="51255" spans="119:119" x14ac:dyDescent="0.2">
      <c r="DO51255" s="303" t="s">
        <v>232</v>
      </c>
    </row>
    <row r="51256" spans="119:119" x14ac:dyDescent="0.2">
      <c r="DO51256" s="303" t="s">
        <v>232</v>
      </c>
    </row>
    <row r="51257" spans="119:119" x14ac:dyDescent="0.2">
      <c r="DO51257" s="303" t="s">
        <v>232</v>
      </c>
    </row>
    <row r="51258" spans="119:119" x14ac:dyDescent="0.2">
      <c r="DO51258" s="303" t="s">
        <v>232</v>
      </c>
    </row>
    <row r="51259" spans="119:119" x14ac:dyDescent="0.2">
      <c r="DO51259" s="303" t="s">
        <v>232</v>
      </c>
    </row>
    <row r="51260" spans="119:119" x14ac:dyDescent="0.2">
      <c r="DO51260" s="303" t="s">
        <v>232</v>
      </c>
    </row>
    <row r="51261" spans="119:119" x14ac:dyDescent="0.2">
      <c r="DO51261" s="303" t="s">
        <v>232</v>
      </c>
    </row>
    <row r="51262" spans="119:119" x14ac:dyDescent="0.2">
      <c r="DO51262" s="303" t="s">
        <v>232</v>
      </c>
    </row>
    <row r="51263" spans="119:119" x14ac:dyDescent="0.2">
      <c r="DO51263" s="303" t="s">
        <v>232</v>
      </c>
    </row>
    <row r="51264" spans="119:119" x14ac:dyDescent="0.2">
      <c r="DO51264" s="303" t="s">
        <v>232</v>
      </c>
    </row>
    <row r="51265" spans="119:119" x14ac:dyDescent="0.2">
      <c r="DO51265" s="303" t="s">
        <v>232</v>
      </c>
    </row>
    <row r="51266" spans="119:119" x14ac:dyDescent="0.2">
      <c r="DO51266" s="303" t="s">
        <v>232</v>
      </c>
    </row>
    <row r="51267" spans="119:119" x14ac:dyDescent="0.2">
      <c r="DO51267" s="303" t="s">
        <v>232</v>
      </c>
    </row>
    <row r="51268" spans="119:119" x14ac:dyDescent="0.2">
      <c r="DO51268" s="303" t="s">
        <v>232</v>
      </c>
    </row>
    <row r="51269" spans="119:119" x14ac:dyDescent="0.2">
      <c r="DO51269" s="303" t="s">
        <v>232</v>
      </c>
    </row>
    <row r="51270" spans="119:119" x14ac:dyDescent="0.2">
      <c r="DO51270" s="303" t="s">
        <v>232</v>
      </c>
    </row>
    <row r="51271" spans="119:119" x14ac:dyDescent="0.2">
      <c r="DO51271" s="303" t="s">
        <v>232</v>
      </c>
    </row>
    <row r="51272" spans="119:119" x14ac:dyDescent="0.2">
      <c r="DO51272" s="303" t="s">
        <v>232</v>
      </c>
    </row>
    <row r="51273" spans="119:119" x14ac:dyDescent="0.2">
      <c r="DO51273" s="303" t="s">
        <v>232</v>
      </c>
    </row>
    <row r="51274" spans="119:119" x14ac:dyDescent="0.2">
      <c r="DO51274" s="303" t="s">
        <v>232</v>
      </c>
    </row>
    <row r="51275" spans="119:119" x14ac:dyDescent="0.2">
      <c r="DO51275" s="303" t="s">
        <v>232</v>
      </c>
    </row>
    <row r="51276" spans="119:119" x14ac:dyDescent="0.2">
      <c r="DO51276" s="303" t="s">
        <v>232</v>
      </c>
    </row>
    <row r="51277" spans="119:119" x14ac:dyDescent="0.2">
      <c r="DO51277" s="303" t="s">
        <v>232</v>
      </c>
    </row>
    <row r="51278" spans="119:119" x14ac:dyDescent="0.2">
      <c r="DO51278" s="303" t="s">
        <v>232</v>
      </c>
    </row>
    <row r="51279" spans="119:119" x14ac:dyDescent="0.2">
      <c r="DO51279" s="303" t="s">
        <v>232</v>
      </c>
    </row>
    <row r="51280" spans="119:119" x14ac:dyDescent="0.2">
      <c r="DO51280" s="303" t="s">
        <v>232</v>
      </c>
    </row>
    <row r="51281" spans="119:119" x14ac:dyDescent="0.2">
      <c r="DO51281" s="303" t="s">
        <v>232</v>
      </c>
    </row>
    <row r="51282" spans="119:119" x14ac:dyDescent="0.2">
      <c r="DO51282" s="303" t="s">
        <v>232</v>
      </c>
    </row>
    <row r="51283" spans="119:119" x14ac:dyDescent="0.2">
      <c r="DO51283" s="303" t="s">
        <v>232</v>
      </c>
    </row>
    <row r="51284" spans="119:119" x14ac:dyDescent="0.2">
      <c r="DO51284" s="303" t="s">
        <v>232</v>
      </c>
    </row>
    <row r="51285" spans="119:119" x14ac:dyDescent="0.2">
      <c r="DO51285" s="303" t="s">
        <v>232</v>
      </c>
    </row>
    <row r="51286" spans="119:119" x14ac:dyDescent="0.2">
      <c r="DO51286" s="303" t="s">
        <v>232</v>
      </c>
    </row>
    <row r="51287" spans="119:119" x14ac:dyDescent="0.2">
      <c r="DO51287" s="303" t="s">
        <v>232</v>
      </c>
    </row>
    <row r="51288" spans="119:119" x14ac:dyDescent="0.2">
      <c r="DO51288" s="303" t="s">
        <v>232</v>
      </c>
    </row>
    <row r="51289" spans="119:119" x14ac:dyDescent="0.2">
      <c r="DO51289" s="303" t="s">
        <v>232</v>
      </c>
    </row>
    <row r="51290" spans="119:119" x14ac:dyDescent="0.2">
      <c r="DO51290" s="303" t="s">
        <v>232</v>
      </c>
    </row>
    <row r="51291" spans="119:119" x14ac:dyDescent="0.2">
      <c r="DO51291" s="303" t="s">
        <v>232</v>
      </c>
    </row>
    <row r="51292" spans="119:119" x14ac:dyDescent="0.2">
      <c r="DO51292" s="303" t="s">
        <v>232</v>
      </c>
    </row>
    <row r="51293" spans="119:119" x14ac:dyDescent="0.2">
      <c r="DO51293" s="303" t="s">
        <v>232</v>
      </c>
    </row>
    <row r="51294" spans="119:119" x14ac:dyDescent="0.2">
      <c r="DO51294" s="303" t="s">
        <v>232</v>
      </c>
    </row>
    <row r="51295" spans="119:119" x14ac:dyDescent="0.2">
      <c r="DO51295" s="303" t="s">
        <v>232</v>
      </c>
    </row>
    <row r="51296" spans="119:119" x14ac:dyDescent="0.2">
      <c r="DO51296" s="303" t="s">
        <v>232</v>
      </c>
    </row>
    <row r="51297" spans="119:119" x14ac:dyDescent="0.2">
      <c r="DO51297" s="303" t="s">
        <v>232</v>
      </c>
    </row>
    <row r="51298" spans="119:119" x14ac:dyDescent="0.2">
      <c r="DO51298" s="303" t="s">
        <v>232</v>
      </c>
    </row>
    <row r="51299" spans="119:119" x14ac:dyDescent="0.2">
      <c r="DO51299" s="303" t="s">
        <v>232</v>
      </c>
    </row>
    <row r="51300" spans="119:119" x14ac:dyDescent="0.2">
      <c r="DO51300" s="303" t="s">
        <v>232</v>
      </c>
    </row>
    <row r="51301" spans="119:119" x14ac:dyDescent="0.2">
      <c r="DO51301" s="303" t="s">
        <v>232</v>
      </c>
    </row>
    <row r="51302" spans="119:119" x14ac:dyDescent="0.2">
      <c r="DO51302" s="303" t="s">
        <v>232</v>
      </c>
    </row>
    <row r="51303" spans="119:119" x14ac:dyDescent="0.2">
      <c r="DO51303" s="303" t="s">
        <v>232</v>
      </c>
    </row>
    <row r="51304" spans="119:119" x14ac:dyDescent="0.2">
      <c r="DO51304" s="303" t="s">
        <v>232</v>
      </c>
    </row>
    <row r="51305" spans="119:119" x14ac:dyDescent="0.2">
      <c r="DO51305" s="303" t="s">
        <v>232</v>
      </c>
    </row>
    <row r="51306" spans="119:119" x14ac:dyDescent="0.2">
      <c r="DO51306" s="303" t="s">
        <v>232</v>
      </c>
    </row>
    <row r="51307" spans="119:119" x14ac:dyDescent="0.2">
      <c r="DO51307" s="303" t="s">
        <v>232</v>
      </c>
    </row>
    <row r="51308" spans="119:119" x14ac:dyDescent="0.2">
      <c r="DO51308" s="303" t="s">
        <v>232</v>
      </c>
    </row>
    <row r="51309" spans="119:119" x14ac:dyDescent="0.2">
      <c r="DO51309" s="303" t="s">
        <v>232</v>
      </c>
    </row>
    <row r="51310" spans="119:119" x14ac:dyDescent="0.2">
      <c r="DO51310" s="303" t="s">
        <v>232</v>
      </c>
    </row>
    <row r="51311" spans="119:119" x14ac:dyDescent="0.2">
      <c r="DO51311" s="303" t="s">
        <v>232</v>
      </c>
    </row>
    <row r="51312" spans="119:119" x14ac:dyDescent="0.2">
      <c r="DO51312" s="303" t="s">
        <v>232</v>
      </c>
    </row>
    <row r="51313" spans="119:119" x14ac:dyDescent="0.2">
      <c r="DO51313" s="303" t="s">
        <v>232</v>
      </c>
    </row>
    <row r="51314" spans="119:119" x14ac:dyDescent="0.2">
      <c r="DO51314" s="303" t="s">
        <v>232</v>
      </c>
    </row>
    <row r="51315" spans="119:119" x14ac:dyDescent="0.2">
      <c r="DO51315" s="303" t="s">
        <v>232</v>
      </c>
    </row>
    <row r="51316" spans="119:119" x14ac:dyDescent="0.2">
      <c r="DO51316" s="303" t="s">
        <v>232</v>
      </c>
    </row>
    <row r="51317" spans="119:119" x14ac:dyDescent="0.2">
      <c r="DO51317" s="303" t="s">
        <v>232</v>
      </c>
    </row>
    <row r="51318" spans="119:119" x14ac:dyDescent="0.2">
      <c r="DO51318" s="303" t="s">
        <v>232</v>
      </c>
    </row>
    <row r="51319" spans="119:119" x14ac:dyDescent="0.2">
      <c r="DO51319" s="303" t="s">
        <v>232</v>
      </c>
    </row>
    <row r="51320" spans="119:119" x14ac:dyDescent="0.2">
      <c r="DO51320" s="303" t="s">
        <v>232</v>
      </c>
    </row>
    <row r="51321" spans="119:119" x14ac:dyDescent="0.2">
      <c r="DO51321" s="303" t="s">
        <v>232</v>
      </c>
    </row>
    <row r="51322" spans="119:119" x14ac:dyDescent="0.2">
      <c r="DO51322" s="303" t="s">
        <v>232</v>
      </c>
    </row>
    <row r="51323" spans="119:119" x14ac:dyDescent="0.2">
      <c r="DO51323" s="303" t="s">
        <v>232</v>
      </c>
    </row>
    <row r="51324" spans="119:119" x14ac:dyDescent="0.2">
      <c r="DO51324" s="303" t="s">
        <v>232</v>
      </c>
    </row>
    <row r="51325" spans="119:119" x14ac:dyDescent="0.2">
      <c r="DO51325" s="303" t="s">
        <v>232</v>
      </c>
    </row>
    <row r="51326" spans="119:119" x14ac:dyDescent="0.2">
      <c r="DO51326" s="303" t="s">
        <v>232</v>
      </c>
    </row>
    <row r="51327" spans="119:119" x14ac:dyDescent="0.2">
      <c r="DO51327" s="303" t="s">
        <v>232</v>
      </c>
    </row>
    <row r="51328" spans="119:119" x14ac:dyDescent="0.2">
      <c r="DO51328" s="303" t="s">
        <v>232</v>
      </c>
    </row>
    <row r="51329" spans="119:119" x14ac:dyDescent="0.2">
      <c r="DO51329" s="303" t="s">
        <v>232</v>
      </c>
    </row>
    <row r="51330" spans="119:119" x14ac:dyDescent="0.2">
      <c r="DO51330" s="303" t="s">
        <v>232</v>
      </c>
    </row>
    <row r="51331" spans="119:119" x14ac:dyDescent="0.2">
      <c r="DO51331" s="303" t="s">
        <v>232</v>
      </c>
    </row>
    <row r="51332" spans="119:119" x14ac:dyDescent="0.2">
      <c r="DO51332" s="303" t="s">
        <v>232</v>
      </c>
    </row>
    <row r="51333" spans="119:119" x14ac:dyDescent="0.2">
      <c r="DO51333" s="303" t="s">
        <v>232</v>
      </c>
    </row>
    <row r="51334" spans="119:119" x14ac:dyDescent="0.2">
      <c r="DO51334" s="303" t="s">
        <v>232</v>
      </c>
    </row>
    <row r="51335" spans="119:119" x14ac:dyDescent="0.2">
      <c r="DO51335" s="303" t="s">
        <v>232</v>
      </c>
    </row>
    <row r="51336" spans="119:119" x14ac:dyDescent="0.2">
      <c r="DO51336" s="303" t="s">
        <v>232</v>
      </c>
    </row>
    <row r="51337" spans="119:119" x14ac:dyDescent="0.2">
      <c r="DO51337" s="303" t="s">
        <v>232</v>
      </c>
    </row>
    <row r="51338" spans="119:119" x14ac:dyDescent="0.2">
      <c r="DO51338" s="303" t="s">
        <v>232</v>
      </c>
    </row>
    <row r="51339" spans="119:119" x14ac:dyDescent="0.2">
      <c r="DO51339" s="303" t="s">
        <v>232</v>
      </c>
    </row>
    <row r="51340" spans="119:119" x14ac:dyDescent="0.2">
      <c r="DO51340" s="303" t="s">
        <v>232</v>
      </c>
    </row>
    <row r="51341" spans="119:119" x14ac:dyDescent="0.2">
      <c r="DO51341" s="303" t="s">
        <v>232</v>
      </c>
    </row>
    <row r="51342" spans="119:119" x14ac:dyDescent="0.2">
      <c r="DO51342" s="303" t="s">
        <v>232</v>
      </c>
    </row>
    <row r="51343" spans="119:119" x14ac:dyDescent="0.2">
      <c r="DO51343" s="303" t="s">
        <v>232</v>
      </c>
    </row>
    <row r="51344" spans="119:119" x14ac:dyDescent="0.2">
      <c r="DO51344" s="303" t="s">
        <v>232</v>
      </c>
    </row>
    <row r="51345" spans="119:119" x14ac:dyDescent="0.2">
      <c r="DO51345" s="303" t="s">
        <v>232</v>
      </c>
    </row>
    <row r="51346" spans="119:119" x14ac:dyDescent="0.2">
      <c r="DO51346" s="303" t="s">
        <v>232</v>
      </c>
    </row>
    <row r="51347" spans="119:119" x14ac:dyDescent="0.2">
      <c r="DO51347" s="303" t="s">
        <v>232</v>
      </c>
    </row>
    <row r="51348" spans="119:119" x14ac:dyDescent="0.2">
      <c r="DO51348" s="303" t="s">
        <v>232</v>
      </c>
    </row>
    <row r="51349" spans="119:119" x14ac:dyDescent="0.2">
      <c r="DO51349" s="303" t="s">
        <v>232</v>
      </c>
    </row>
    <row r="51350" spans="119:119" x14ac:dyDescent="0.2">
      <c r="DO51350" s="303" t="s">
        <v>232</v>
      </c>
    </row>
    <row r="51351" spans="119:119" x14ac:dyDescent="0.2">
      <c r="DO51351" s="303" t="s">
        <v>232</v>
      </c>
    </row>
    <row r="51352" spans="119:119" x14ac:dyDescent="0.2">
      <c r="DO51352" s="303" t="s">
        <v>232</v>
      </c>
    </row>
    <row r="51353" spans="119:119" x14ac:dyDescent="0.2">
      <c r="DO51353" s="303" t="s">
        <v>232</v>
      </c>
    </row>
    <row r="51354" spans="119:119" x14ac:dyDescent="0.2">
      <c r="DO51354" s="303" t="s">
        <v>232</v>
      </c>
    </row>
    <row r="51355" spans="119:119" x14ac:dyDescent="0.2">
      <c r="DO51355" s="303" t="s">
        <v>232</v>
      </c>
    </row>
    <row r="51356" spans="119:119" x14ac:dyDescent="0.2">
      <c r="DO51356" s="303" t="s">
        <v>232</v>
      </c>
    </row>
    <row r="51357" spans="119:119" x14ac:dyDescent="0.2">
      <c r="DO51357" s="303" t="s">
        <v>232</v>
      </c>
    </row>
    <row r="51358" spans="119:119" x14ac:dyDescent="0.2">
      <c r="DO51358" s="303" t="s">
        <v>232</v>
      </c>
    </row>
    <row r="51359" spans="119:119" x14ac:dyDescent="0.2">
      <c r="DO51359" s="303" t="s">
        <v>232</v>
      </c>
    </row>
    <row r="51360" spans="119:119" x14ac:dyDescent="0.2">
      <c r="DO51360" s="303" t="s">
        <v>232</v>
      </c>
    </row>
    <row r="51361" spans="119:119" x14ac:dyDescent="0.2">
      <c r="DO51361" s="303" t="s">
        <v>232</v>
      </c>
    </row>
    <row r="51362" spans="119:119" x14ac:dyDescent="0.2">
      <c r="DO51362" s="303" t="s">
        <v>232</v>
      </c>
    </row>
    <row r="51363" spans="119:119" x14ac:dyDescent="0.2">
      <c r="DO51363" s="303" t="s">
        <v>232</v>
      </c>
    </row>
    <row r="51364" spans="119:119" x14ac:dyDescent="0.2">
      <c r="DO51364" s="303" t="s">
        <v>232</v>
      </c>
    </row>
    <row r="51365" spans="119:119" x14ac:dyDescent="0.2">
      <c r="DO51365" s="303" t="s">
        <v>232</v>
      </c>
    </row>
    <row r="51366" spans="119:119" x14ac:dyDescent="0.2">
      <c r="DO51366" s="303" t="s">
        <v>232</v>
      </c>
    </row>
    <row r="51367" spans="119:119" x14ac:dyDescent="0.2">
      <c r="DO51367" s="303" t="s">
        <v>232</v>
      </c>
    </row>
    <row r="51368" spans="119:119" x14ac:dyDescent="0.2">
      <c r="DO51368" s="303" t="s">
        <v>232</v>
      </c>
    </row>
    <row r="51369" spans="119:119" x14ac:dyDescent="0.2">
      <c r="DO51369" s="303" t="s">
        <v>232</v>
      </c>
    </row>
    <row r="51370" spans="119:119" x14ac:dyDescent="0.2">
      <c r="DO51370" s="303" t="s">
        <v>232</v>
      </c>
    </row>
    <row r="51371" spans="119:119" x14ac:dyDescent="0.2">
      <c r="DO51371" s="303" t="s">
        <v>232</v>
      </c>
    </row>
    <row r="51372" spans="119:119" x14ac:dyDescent="0.2">
      <c r="DO51372" s="303" t="s">
        <v>232</v>
      </c>
    </row>
    <row r="51373" spans="119:119" x14ac:dyDescent="0.2">
      <c r="DO51373" s="303" t="s">
        <v>232</v>
      </c>
    </row>
    <row r="51374" spans="119:119" x14ac:dyDescent="0.2">
      <c r="DO51374" s="303" t="s">
        <v>232</v>
      </c>
    </row>
    <row r="51375" spans="119:119" x14ac:dyDescent="0.2">
      <c r="DO51375" s="303" t="s">
        <v>232</v>
      </c>
    </row>
    <row r="51376" spans="119:119" x14ac:dyDescent="0.2">
      <c r="DO51376" s="303" t="s">
        <v>232</v>
      </c>
    </row>
    <row r="51377" spans="119:119" x14ac:dyDescent="0.2">
      <c r="DO51377" s="303" t="s">
        <v>232</v>
      </c>
    </row>
    <row r="51378" spans="119:119" x14ac:dyDescent="0.2">
      <c r="DO51378" s="303" t="s">
        <v>232</v>
      </c>
    </row>
    <row r="51379" spans="119:119" x14ac:dyDescent="0.2">
      <c r="DO51379" s="303" t="s">
        <v>232</v>
      </c>
    </row>
    <row r="51380" spans="119:119" x14ac:dyDescent="0.2">
      <c r="DO51380" s="303" t="s">
        <v>232</v>
      </c>
    </row>
    <row r="51381" spans="119:119" x14ac:dyDescent="0.2">
      <c r="DO51381" s="303" t="s">
        <v>232</v>
      </c>
    </row>
    <row r="51382" spans="119:119" x14ac:dyDescent="0.2">
      <c r="DO51382" s="303" t="s">
        <v>232</v>
      </c>
    </row>
    <row r="51383" spans="119:119" x14ac:dyDescent="0.2">
      <c r="DO51383" s="303" t="s">
        <v>232</v>
      </c>
    </row>
    <row r="51384" spans="119:119" x14ac:dyDescent="0.2">
      <c r="DO51384" s="303" t="s">
        <v>232</v>
      </c>
    </row>
    <row r="51385" spans="119:119" x14ac:dyDescent="0.2">
      <c r="DO51385" s="303" t="s">
        <v>232</v>
      </c>
    </row>
    <row r="51386" spans="119:119" x14ac:dyDescent="0.2">
      <c r="DO51386" s="303" t="s">
        <v>232</v>
      </c>
    </row>
    <row r="51387" spans="119:119" x14ac:dyDescent="0.2">
      <c r="DO51387" s="303" t="s">
        <v>232</v>
      </c>
    </row>
    <row r="51388" spans="119:119" x14ac:dyDescent="0.2">
      <c r="DO51388" s="303" t="s">
        <v>232</v>
      </c>
    </row>
    <row r="51389" spans="119:119" x14ac:dyDescent="0.2">
      <c r="DO51389" s="303" t="s">
        <v>232</v>
      </c>
    </row>
    <row r="51390" spans="119:119" x14ac:dyDescent="0.2">
      <c r="DO51390" s="303" t="s">
        <v>232</v>
      </c>
    </row>
    <row r="51391" spans="119:119" x14ac:dyDescent="0.2">
      <c r="DO51391" s="303" t="s">
        <v>232</v>
      </c>
    </row>
    <row r="51392" spans="119:119" x14ac:dyDescent="0.2">
      <c r="DO51392" s="303" t="s">
        <v>232</v>
      </c>
    </row>
    <row r="51393" spans="119:119" x14ac:dyDescent="0.2">
      <c r="DO51393" s="303" t="s">
        <v>232</v>
      </c>
    </row>
    <row r="51394" spans="119:119" x14ac:dyDescent="0.2">
      <c r="DO51394" s="303" t="s">
        <v>232</v>
      </c>
    </row>
    <row r="51395" spans="119:119" x14ac:dyDescent="0.2">
      <c r="DO51395" s="303" t="s">
        <v>232</v>
      </c>
    </row>
    <row r="51396" spans="119:119" x14ac:dyDescent="0.2">
      <c r="DO51396" s="303" t="s">
        <v>232</v>
      </c>
    </row>
    <row r="51397" spans="119:119" x14ac:dyDescent="0.2">
      <c r="DO51397" s="303" t="s">
        <v>232</v>
      </c>
    </row>
    <row r="51398" spans="119:119" x14ac:dyDescent="0.2">
      <c r="DO51398" s="303" t="s">
        <v>232</v>
      </c>
    </row>
    <row r="51399" spans="119:119" x14ac:dyDescent="0.2">
      <c r="DO51399" s="303" t="s">
        <v>232</v>
      </c>
    </row>
    <row r="51400" spans="119:119" x14ac:dyDescent="0.2">
      <c r="DO51400" s="303" t="s">
        <v>232</v>
      </c>
    </row>
    <row r="51401" spans="119:119" x14ac:dyDescent="0.2">
      <c r="DO51401" s="303" t="s">
        <v>232</v>
      </c>
    </row>
    <row r="51402" spans="119:119" x14ac:dyDescent="0.2">
      <c r="DO51402" s="303" t="s">
        <v>232</v>
      </c>
    </row>
    <row r="51403" spans="119:119" x14ac:dyDescent="0.2">
      <c r="DO51403" s="303" t="s">
        <v>232</v>
      </c>
    </row>
    <row r="51404" spans="119:119" x14ac:dyDescent="0.2">
      <c r="DO51404" s="303" t="s">
        <v>232</v>
      </c>
    </row>
    <row r="51405" spans="119:119" x14ac:dyDescent="0.2">
      <c r="DO51405" s="303" t="s">
        <v>232</v>
      </c>
    </row>
    <row r="51406" spans="119:119" x14ac:dyDescent="0.2">
      <c r="DO51406" s="303" t="s">
        <v>232</v>
      </c>
    </row>
    <row r="51407" spans="119:119" x14ac:dyDescent="0.2">
      <c r="DO51407" s="303" t="s">
        <v>232</v>
      </c>
    </row>
    <row r="51408" spans="119:119" x14ac:dyDescent="0.2">
      <c r="DO51408" s="303" t="s">
        <v>232</v>
      </c>
    </row>
    <row r="51409" spans="119:119" x14ac:dyDescent="0.2">
      <c r="DO51409" s="303" t="s">
        <v>232</v>
      </c>
    </row>
    <row r="51410" spans="119:119" x14ac:dyDescent="0.2">
      <c r="DO51410" s="303" t="s">
        <v>232</v>
      </c>
    </row>
    <row r="51411" spans="119:119" x14ac:dyDescent="0.2">
      <c r="DO51411" s="303" t="s">
        <v>232</v>
      </c>
    </row>
    <row r="51412" spans="119:119" x14ac:dyDescent="0.2">
      <c r="DO51412" s="303" t="s">
        <v>232</v>
      </c>
    </row>
    <row r="51413" spans="119:119" x14ac:dyDescent="0.2">
      <c r="DO51413" s="303" t="s">
        <v>232</v>
      </c>
    </row>
    <row r="51414" spans="119:119" x14ac:dyDescent="0.2">
      <c r="DO51414" s="303" t="s">
        <v>232</v>
      </c>
    </row>
    <row r="51415" spans="119:119" x14ac:dyDescent="0.2">
      <c r="DO51415" s="303" t="s">
        <v>232</v>
      </c>
    </row>
    <row r="51416" spans="119:119" x14ac:dyDescent="0.2">
      <c r="DO51416" s="303" t="s">
        <v>232</v>
      </c>
    </row>
    <row r="51417" spans="119:119" x14ac:dyDescent="0.2">
      <c r="DO51417" s="303" t="s">
        <v>232</v>
      </c>
    </row>
    <row r="51418" spans="119:119" x14ac:dyDescent="0.2">
      <c r="DO51418" s="303" t="s">
        <v>232</v>
      </c>
    </row>
    <row r="51419" spans="119:119" x14ac:dyDescent="0.2">
      <c r="DO51419" s="303" t="s">
        <v>232</v>
      </c>
    </row>
    <row r="51420" spans="119:119" x14ac:dyDescent="0.2">
      <c r="DO51420" s="303" t="s">
        <v>232</v>
      </c>
    </row>
    <row r="51421" spans="119:119" x14ac:dyDescent="0.2">
      <c r="DO51421" s="303" t="s">
        <v>232</v>
      </c>
    </row>
    <row r="51422" spans="119:119" x14ac:dyDescent="0.2">
      <c r="DO51422" s="303" t="s">
        <v>232</v>
      </c>
    </row>
    <row r="51423" spans="119:119" x14ac:dyDescent="0.2">
      <c r="DO51423" s="303" t="s">
        <v>232</v>
      </c>
    </row>
    <row r="51424" spans="119:119" x14ac:dyDescent="0.2">
      <c r="DO51424" s="303" t="s">
        <v>232</v>
      </c>
    </row>
    <row r="51425" spans="119:119" x14ac:dyDescent="0.2">
      <c r="DO51425" s="303" t="s">
        <v>232</v>
      </c>
    </row>
    <row r="51426" spans="119:119" x14ac:dyDescent="0.2">
      <c r="DO51426" s="303" t="s">
        <v>232</v>
      </c>
    </row>
    <row r="51427" spans="119:119" x14ac:dyDescent="0.2">
      <c r="DO51427" s="303" t="s">
        <v>232</v>
      </c>
    </row>
    <row r="51428" spans="119:119" x14ac:dyDescent="0.2">
      <c r="DO51428" s="303" t="s">
        <v>232</v>
      </c>
    </row>
    <row r="51429" spans="119:119" x14ac:dyDescent="0.2">
      <c r="DO51429" s="303" t="s">
        <v>232</v>
      </c>
    </row>
    <row r="51430" spans="119:119" x14ac:dyDescent="0.2">
      <c r="DO51430" s="303" t="s">
        <v>232</v>
      </c>
    </row>
    <row r="51431" spans="119:119" x14ac:dyDescent="0.2">
      <c r="DO51431" s="303" t="s">
        <v>232</v>
      </c>
    </row>
    <row r="51432" spans="119:119" x14ac:dyDescent="0.2">
      <c r="DO51432" s="303" t="s">
        <v>232</v>
      </c>
    </row>
    <row r="51433" spans="119:119" x14ac:dyDescent="0.2">
      <c r="DO51433" s="303" t="s">
        <v>232</v>
      </c>
    </row>
    <row r="51434" spans="119:119" x14ac:dyDescent="0.2">
      <c r="DO51434" s="303" t="s">
        <v>232</v>
      </c>
    </row>
    <row r="51435" spans="119:119" x14ac:dyDescent="0.2">
      <c r="DO51435" s="303" t="s">
        <v>232</v>
      </c>
    </row>
    <row r="51436" spans="119:119" x14ac:dyDescent="0.2">
      <c r="DO51436" s="303" t="s">
        <v>232</v>
      </c>
    </row>
    <row r="51437" spans="119:119" x14ac:dyDescent="0.2">
      <c r="DO51437" s="303" t="s">
        <v>232</v>
      </c>
    </row>
    <row r="51438" spans="119:119" x14ac:dyDescent="0.2">
      <c r="DO51438" s="303" t="s">
        <v>232</v>
      </c>
    </row>
    <row r="51439" spans="119:119" x14ac:dyDescent="0.2">
      <c r="DO51439" s="303" t="s">
        <v>232</v>
      </c>
    </row>
    <row r="51440" spans="119:119" x14ac:dyDescent="0.2">
      <c r="DO51440" s="303" t="s">
        <v>232</v>
      </c>
    </row>
    <row r="51441" spans="119:119" x14ac:dyDescent="0.2">
      <c r="DO51441" s="303" t="s">
        <v>232</v>
      </c>
    </row>
    <row r="51442" spans="119:119" x14ac:dyDescent="0.2">
      <c r="DO51442" s="303" t="s">
        <v>232</v>
      </c>
    </row>
    <row r="51443" spans="119:119" x14ac:dyDescent="0.2">
      <c r="DO51443" s="303" t="s">
        <v>232</v>
      </c>
    </row>
    <row r="51444" spans="119:119" x14ac:dyDescent="0.2">
      <c r="DO51444" s="303" t="s">
        <v>232</v>
      </c>
    </row>
    <row r="51445" spans="119:119" x14ac:dyDescent="0.2">
      <c r="DO51445" s="303" t="s">
        <v>232</v>
      </c>
    </row>
    <row r="51446" spans="119:119" x14ac:dyDescent="0.2">
      <c r="DO51446" s="303" t="s">
        <v>232</v>
      </c>
    </row>
    <row r="51447" spans="119:119" x14ac:dyDescent="0.2">
      <c r="DO51447" s="303" t="s">
        <v>232</v>
      </c>
    </row>
    <row r="51448" spans="119:119" x14ac:dyDescent="0.2">
      <c r="DO51448" s="303" t="s">
        <v>232</v>
      </c>
    </row>
    <row r="51449" spans="119:119" x14ac:dyDescent="0.2">
      <c r="DO51449" s="303" t="s">
        <v>232</v>
      </c>
    </row>
    <row r="51450" spans="119:119" x14ac:dyDescent="0.2">
      <c r="DO51450" s="303" t="s">
        <v>232</v>
      </c>
    </row>
    <row r="51451" spans="119:119" x14ac:dyDescent="0.2">
      <c r="DO51451" s="303" t="s">
        <v>232</v>
      </c>
    </row>
    <row r="51452" spans="119:119" x14ac:dyDescent="0.2">
      <c r="DO51452" s="303" t="s">
        <v>232</v>
      </c>
    </row>
    <row r="51453" spans="119:119" x14ac:dyDescent="0.2">
      <c r="DO51453" s="303" t="s">
        <v>232</v>
      </c>
    </row>
    <row r="51454" spans="119:119" x14ac:dyDescent="0.2">
      <c r="DO51454" s="303" t="s">
        <v>232</v>
      </c>
    </row>
    <row r="51455" spans="119:119" x14ac:dyDescent="0.2">
      <c r="DO51455" s="303" t="s">
        <v>232</v>
      </c>
    </row>
    <row r="51456" spans="119:119" x14ac:dyDescent="0.2">
      <c r="DO51456" s="303" t="s">
        <v>232</v>
      </c>
    </row>
    <row r="51457" spans="119:119" x14ac:dyDescent="0.2">
      <c r="DO51457" s="303" t="s">
        <v>232</v>
      </c>
    </row>
    <row r="51458" spans="119:119" x14ac:dyDescent="0.2">
      <c r="DO51458" s="303" t="s">
        <v>232</v>
      </c>
    </row>
    <row r="51459" spans="119:119" x14ac:dyDescent="0.2">
      <c r="DO51459" s="303" t="s">
        <v>232</v>
      </c>
    </row>
    <row r="51460" spans="119:119" x14ac:dyDescent="0.2">
      <c r="DO51460" s="303" t="s">
        <v>232</v>
      </c>
    </row>
    <row r="51461" spans="119:119" x14ac:dyDescent="0.2">
      <c r="DO51461" s="303" t="s">
        <v>232</v>
      </c>
    </row>
    <row r="51462" spans="119:119" x14ac:dyDescent="0.2">
      <c r="DO51462" s="303" t="s">
        <v>232</v>
      </c>
    </row>
    <row r="51463" spans="119:119" x14ac:dyDescent="0.2">
      <c r="DO51463" s="303" t="s">
        <v>232</v>
      </c>
    </row>
    <row r="51464" spans="119:119" x14ac:dyDescent="0.2">
      <c r="DO51464" s="303" t="s">
        <v>232</v>
      </c>
    </row>
    <row r="51465" spans="119:119" x14ac:dyDescent="0.2">
      <c r="DO51465" s="303" t="s">
        <v>232</v>
      </c>
    </row>
    <row r="51466" spans="119:119" x14ac:dyDescent="0.2">
      <c r="DO51466" s="303" t="s">
        <v>232</v>
      </c>
    </row>
    <row r="51467" spans="119:119" x14ac:dyDescent="0.2">
      <c r="DO51467" s="303" t="s">
        <v>232</v>
      </c>
    </row>
    <row r="51468" spans="119:119" x14ac:dyDescent="0.2">
      <c r="DO51468" s="303" t="s">
        <v>232</v>
      </c>
    </row>
    <row r="51469" spans="119:119" x14ac:dyDescent="0.2">
      <c r="DO51469" s="303" t="s">
        <v>232</v>
      </c>
    </row>
    <row r="51470" spans="119:119" x14ac:dyDescent="0.2">
      <c r="DO51470" s="303" t="s">
        <v>232</v>
      </c>
    </row>
    <row r="51471" spans="119:119" x14ac:dyDescent="0.2">
      <c r="DO51471" s="303" t="s">
        <v>232</v>
      </c>
    </row>
    <row r="51472" spans="119:119" x14ac:dyDescent="0.2">
      <c r="DO51472" s="303" t="s">
        <v>232</v>
      </c>
    </row>
    <row r="51473" spans="119:119" x14ac:dyDescent="0.2">
      <c r="DO51473" s="303" t="s">
        <v>232</v>
      </c>
    </row>
    <row r="51474" spans="119:119" x14ac:dyDescent="0.2">
      <c r="DO51474" s="303" t="s">
        <v>232</v>
      </c>
    </row>
    <row r="51475" spans="119:119" x14ac:dyDescent="0.2">
      <c r="DO51475" s="303" t="s">
        <v>232</v>
      </c>
    </row>
    <row r="51476" spans="119:119" x14ac:dyDescent="0.2">
      <c r="DO51476" s="303" t="s">
        <v>232</v>
      </c>
    </row>
    <row r="51477" spans="119:119" x14ac:dyDescent="0.2">
      <c r="DO51477" s="303" t="s">
        <v>232</v>
      </c>
    </row>
    <row r="51478" spans="119:119" x14ac:dyDescent="0.2">
      <c r="DO51478" s="303" t="s">
        <v>232</v>
      </c>
    </row>
    <row r="51479" spans="119:119" x14ac:dyDescent="0.2">
      <c r="DO51479" s="303" t="s">
        <v>232</v>
      </c>
    </row>
    <row r="51480" spans="119:119" x14ac:dyDescent="0.2">
      <c r="DO51480" s="303" t="s">
        <v>232</v>
      </c>
    </row>
    <row r="51481" spans="119:119" x14ac:dyDescent="0.2">
      <c r="DO51481" s="303" t="s">
        <v>232</v>
      </c>
    </row>
    <row r="51482" spans="119:119" x14ac:dyDescent="0.2">
      <c r="DO51482" s="303" t="s">
        <v>232</v>
      </c>
    </row>
    <row r="51483" spans="119:119" x14ac:dyDescent="0.2">
      <c r="DO51483" s="303" t="s">
        <v>232</v>
      </c>
    </row>
    <row r="51484" spans="119:119" x14ac:dyDescent="0.2">
      <c r="DO51484" s="303" t="s">
        <v>232</v>
      </c>
    </row>
    <row r="51485" spans="119:119" x14ac:dyDescent="0.2">
      <c r="DO51485" s="303" t="s">
        <v>232</v>
      </c>
    </row>
    <row r="51486" spans="119:119" x14ac:dyDescent="0.2">
      <c r="DO51486" s="303" t="s">
        <v>232</v>
      </c>
    </row>
    <row r="51487" spans="119:119" x14ac:dyDescent="0.2">
      <c r="DO51487" s="303" t="s">
        <v>232</v>
      </c>
    </row>
    <row r="51488" spans="119:119" x14ac:dyDescent="0.2">
      <c r="DO51488" s="303" t="s">
        <v>232</v>
      </c>
    </row>
    <row r="51489" spans="119:119" x14ac:dyDescent="0.2">
      <c r="DO51489" s="303" t="s">
        <v>232</v>
      </c>
    </row>
    <row r="51490" spans="119:119" x14ac:dyDescent="0.2">
      <c r="DO51490" s="303" t="s">
        <v>232</v>
      </c>
    </row>
    <row r="51491" spans="119:119" x14ac:dyDescent="0.2">
      <c r="DO51491" s="303" t="s">
        <v>232</v>
      </c>
    </row>
    <row r="51492" spans="119:119" x14ac:dyDescent="0.2">
      <c r="DO51492" s="303" t="s">
        <v>232</v>
      </c>
    </row>
    <row r="51493" spans="119:119" x14ac:dyDescent="0.2">
      <c r="DO51493" s="303" t="s">
        <v>232</v>
      </c>
    </row>
    <row r="51494" spans="119:119" x14ac:dyDescent="0.2">
      <c r="DO51494" s="303" t="s">
        <v>232</v>
      </c>
    </row>
    <row r="51495" spans="119:119" x14ac:dyDescent="0.2">
      <c r="DO51495" s="303" t="s">
        <v>232</v>
      </c>
    </row>
    <row r="51496" spans="119:119" x14ac:dyDescent="0.2">
      <c r="DO51496" s="303" t="s">
        <v>232</v>
      </c>
    </row>
    <row r="51497" spans="119:119" x14ac:dyDescent="0.2">
      <c r="DO51497" s="303" t="s">
        <v>232</v>
      </c>
    </row>
    <row r="51498" spans="119:119" x14ac:dyDescent="0.2">
      <c r="DO51498" s="303" t="s">
        <v>232</v>
      </c>
    </row>
    <row r="51499" spans="119:119" x14ac:dyDescent="0.2">
      <c r="DO51499" s="303" t="s">
        <v>232</v>
      </c>
    </row>
    <row r="51500" spans="119:119" x14ac:dyDescent="0.2">
      <c r="DO51500" s="303" t="s">
        <v>232</v>
      </c>
    </row>
    <row r="51501" spans="119:119" x14ac:dyDescent="0.2">
      <c r="DO51501" s="303" t="s">
        <v>232</v>
      </c>
    </row>
    <row r="51502" spans="119:119" x14ac:dyDescent="0.2">
      <c r="DO51502" s="303" t="s">
        <v>232</v>
      </c>
    </row>
    <row r="51503" spans="119:119" x14ac:dyDescent="0.2">
      <c r="DO51503" s="303" t="s">
        <v>232</v>
      </c>
    </row>
    <row r="51504" spans="119:119" x14ac:dyDescent="0.2">
      <c r="DO51504" s="303" t="s">
        <v>232</v>
      </c>
    </row>
    <row r="51505" spans="119:119" x14ac:dyDescent="0.2">
      <c r="DO51505" s="303" t="s">
        <v>232</v>
      </c>
    </row>
    <row r="51506" spans="119:119" x14ac:dyDescent="0.2">
      <c r="DO51506" s="303" t="s">
        <v>232</v>
      </c>
    </row>
    <row r="51507" spans="119:119" x14ac:dyDescent="0.2">
      <c r="DO51507" s="303" t="s">
        <v>232</v>
      </c>
    </row>
    <row r="51508" spans="119:119" x14ac:dyDescent="0.2">
      <c r="DO51508" s="303" t="s">
        <v>232</v>
      </c>
    </row>
    <row r="51509" spans="119:119" x14ac:dyDescent="0.2">
      <c r="DO51509" s="303" t="s">
        <v>232</v>
      </c>
    </row>
    <row r="51510" spans="119:119" x14ac:dyDescent="0.2">
      <c r="DO51510" s="303" t="s">
        <v>232</v>
      </c>
    </row>
    <row r="51511" spans="119:119" x14ac:dyDescent="0.2">
      <c r="DO51511" s="303" t="s">
        <v>232</v>
      </c>
    </row>
    <row r="51512" spans="119:119" x14ac:dyDescent="0.2">
      <c r="DO51512" s="303" t="s">
        <v>232</v>
      </c>
    </row>
    <row r="51513" spans="119:119" x14ac:dyDescent="0.2">
      <c r="DO51513" s="303" t="s">
        <v>232</v>
      </c>
    </row>
    <row r="51514" spans="119:119" x14ac:dyDescent="0.2">
      <c r="DO51514" s="303" t="s">
        <v>232</v>
      </c>
    </row>
    <row r="51515" spans="119:119" x14ac:dyDescent="0.2">
      <c r="DO51515" s="303" t="s">
        <v>232</v>
      </c>
    </row>
    <row r="51516" spans="119:119" x14ac:dyDescent="0.2">
      <c r="DO51516" s="303" t="s">
        <v>232</v>
      </c>
    </row>
    <row r="51517" spans="119:119" x14ac:dyDescent="0.2">
      <c r="DO51517" s="303" t="s">
        <v>232</v>
      </c>
    </row>
    <row r="51518" spans="119:119" x14ac:dyDescent="0.2">
      <c r="DO51518" s="303" t="s">
        <v>232</v>
      </c>
    </row>
    <row r="51519" spans="119:119" x14ac:dyDescent="0.2">
      <c r="DO51519" s="303" t="s">
        <v>232</v>
      </c>
    </row>
    <row r="51520" spans="119:119" x14ac:dyDescent="0.2">
      <c r="DO51520" s="303" t="s">
        <v>232</v>
      </c>
    </row>
    <row r="51521" spans="119:119" x14ac:dyDescent="0.2">
      <c r="DO51521" s="303" t="s">
        <v>232</v>
      </c>
    </row>
    <row r="51522" spans="119:119" x14ac:dyDescent="0.2">
      <c r="DO51522" s="303" t="s">
        <v>232</v>
      </c>
    </row>
    <row r="51523" spans="119:119" x14ac:dyDescent="0.2">
      <c r="DO51523" s="303" t="s">
        <v>232</v>
      </c>
    </row>
    <row r="51524" spans="119:119" x14ac:dyDescent="0.2">
      <c r="DO51524" s="303" t="s">
        <v>232</v>
      </c>
    </row>
    <row r="51525" spans="119:119" x14ac:dyDescent="0.2">
      <c r="DO51525" s="303" t="s">
        <v>232</v>
      </c>
    </row>
    <row r="51526" spans="119:119" x14ac:dyDescent="0.2">
      <c r="DO51526" s="303" t="s">
        <v>232</v>
      </c>
    </row>
    <row r="51527" spans="119:119" x14ac:dyDescent="0.2">
      <c r="DO51527" s="303" t="s">
        <v>232</v>
      </c>
    </row>
    <row r="51528" spans="119:119" x14ac:dyDescent="0.2">
      <c r="DO51528" s="303" t="s">
        <v>232</v>
      </c>
    </row>
    <row r="51529" spans="119:119" x14ac:dyDescent="0.2">
      <c r="DO51529" s="303" t="s">
        <v>232</v>
      </c>
    </row>
    <row r="51530" spans="119:119" x14ac:dyDescent="0.2">
      <c r="DO51530" s="303" t="s">
        <v>232</v>
      </c>
    </row>
    <row r="51531" spans="119:119" x14ac:dyDescent="0.2">
      <c r="DO51531" s="303" t="s">
        <v>232</v>
      </c>
    </row>
    <row r="51532" spans="119:119" x14ac:dyDescent="0.2">
      <c r="DO51532" s="303" t="s">
        <v>232</v>
      </c>
    </row>
    <row r="51533" spans="119:119" x14ac:dyDescent="0.2">
      <c r="DO51533" s="303" t="s">
        <v>232</v>
      </c>
    </row>
    <row r="51534" spans="119:119" x14ac:dyDescent="0.2">
      <c r="DO51534" s="303" t="s">
        <v>232</v>
      </c>
    </row>
    <row r="51535" spans="119:119" x14ac:dyDescent="0.2">
      <c r="DO51535" s="303" t="s">
        <v>232</v>
      </c>
    </row>
    <row r="51536" spans="119:119" x14ac:dyDescent="0.2">
      <c r="DO51536" s="303" t="s">
        <v>232</v>
      </c>
    </row>
    <row r="51537" spans="119:119" x14ac:dyDescent="0.2">
      <c r="DO51537" s="303" t="s">
        <v>232</v>
      </c>
    </row>
    <row r="51538" spans="119:119" x14ac:dyDescent="0.2">
      <c r="DO51538" s="303" t="s">
        <v>232</v>
      </c>
    </row>
    <row r="51539" spans="119:119" x14ac:dyDescent="0.2">
      <c r="DO51539" s="303" t="s">
        <v>232</v>
      </c>
    </row>
    <row r="51540" spans="119:119" x14ac:dyDescent="0.2">
      <c r="DO51540" s="303" t="s">
        <v>232</v>
      </c>
    </row>
    <row r="51541" spans="119:119" x14ac:dyDescent="0.2">
      <c r="DO51541" s="303" t="s">
        <v>232</v>
      </c>
    </row>
    <row r="51542" spans="119:119" x14ac:dyDescent="0.2">
      <c r="DO51542" s="303" t="s">
        <v>232</v>
      </c>
    </row>
    <row r="51543" spans="119:119" x14ac:dyDescent="0.2">
      <c r="DO51543" s="303" t="s">
        <v>232</v>
      </c>
    </row>
    <row r="51544" spans="119:119" x14ac:dyDescent="0.2">
      <c r="DO51544" s="303" t="s">
        <v>232</v>
      </c>
    </row>
    <row r="51545" spans="119:119" x14ac:dyDescent="0.2">
      <c r="DO51545" s="303" t="s">
        <v>232</v>
      </c>
    </row>
    <row r="51546" spans="119:119" x14ac:dyDescent="0.2">
      <c r="DO51546" s="303" t="s">
        <v>232</v>
      </c>
    </row>
    <row r="51547" spans="119:119" x14ac:dyDescent="0.2">
      <c r="DO51547" s="303" t="s">
        <v>232</v>
      </c>
    </row>
    <row r="51548" spans="119:119" x14ac:dyDescent="0.2">
      <c r="DO51548" s="303" t="s">
        <v>232</v>
      </c>
    </row>
    <row r="51549" spans="119:119" x14ac:dyDescent="0.2">
      <c r="DO51549" s="303" t="s">
        <v>232</v>
      </c>
    </row>
    <row r="51550" spans="119:119" x14ac:dyDescent="0.2">
      <c r="DO51550" s="303" t="s">
        <v>232</v>
      </c>
    </row>
    <row r="51551" spans="119:119" x14ac:dyDescent="0.2">
      <c r="DO51551" s="303" t="s">
        <v>232</v>
      </c>
    </row>
    <row r="51552" spans="119:119" x14ac:dyDescent="0.2">
      <c r="DO51552" s="303" t="s">
        <v>232</v>
      </c>
    </row>
    <row r="51553" spans="119:119" x14ac:dyDescent="0.2">
      <c r="DO51553" s="303" t="s">
        <v>232</v>
      </c>
    </row>
    <row r="51554" spans="119:119" x14ac:dyDescent="0.2">
      <c r="DO51554" s="303" t="s">
        <v>232</v>
      </c>
    </row>
    <row r="51555" spans="119:119" x14ac:dyDescent="0.2">
      <c r="DO51555" s="303" t="s">
        <v>232</v>
      </c>
    </row>
    <row r="51556" spans="119:119" x14ac:dyDescent="0.2">
      <c r="DO51556" s="303" t="s">
        <v>232</v>
      </c>
    </row>
    <row r="51557" spans="119:119" x14ac:dyDescent="0.2">
      <c r="DO51557" s="303" t="s">
        <v>232</v>
      </c>
    </row>
    <row r="51558" spans="119:119" x14ac:dyDescent="0.2">
      <c r="DO51558" s="303" t="s">
        <v>232</v>
      </c>
    </row>
    <row r="51559" spans="119:119" x14ac:dyDescent="0.2">
      <c r="DO51559" s="303" t="s">
        <v>232</v>
      </c>
    </row>
    <row r="51560" spans="119:119" x14ac:dyDescent="0.2">
      <c r="DO51560" s="303" t="s">
        <v>232</v>
      </c>
    </row>
    <row r="51561" spans="119:119" x14ac:dyDescent="0.2">
      <c r="DO51561" s="303" t="s">
        <v>232</v>
      </c>
    </row>
    <row r="51562" spans="119:119" x14ac:dyDescent="0.2">
      <c r="DO51562" s="303" t="s">
        <v>232</v>
      </c>
    </row>
    <row r="51563" spans="119:119" x14ac:dyDescent="0.2">
      <c r="DO51563" s="303" t="s">
        <v>232</v>
      </c>
    </row>
    <row r="51564" spans="119:119" x14ac:dyDescent="0.2">
      <c r="DO51564" s="303" t="s">
        <v>232</v>
      </c>
    </row>
    <row r="51565" spans="119:119" x14ac:dyDescent="0.2">
      <c r="DO51565" s="303" t="s">
        <v>232</v>
      </c>
    </row>
    <row r="51566" spans="119:119" x14ac:dyDescent="0.2">
      <c r="DO51566" s="303" t="s">
        <v>232</v>
      </c>
    </row>
    <row r="51567" spans="119:119" x14ac:dyDescent="0.2">
      <c r="DO51567" s="303" t="s">
        <v>232</v>
      </c>
    </row>
    <row r="51568" spans="119:119" x14ac:dyDescent="0.2">
      <c r="DO51568" s="303" t="s">
        <v>232</v>
      </c>
    </row>
    <row r="51569" spans="119:119" x14ac:dyDescent="0.2">
      <c r="DO51569" s="303" t="s">
        <v>232</v>
      </c>
    </row>
    <row r="51570" spans="119:119" x14ac:dyDescent="0.2">
      <c r="DO51570" s="303" t="s">
        <v>232</v>
      </c>
    </row>
    <row r="51571" spans="119:119" x14ac:dyDescent="0.2">
      <c r="DO51571" s="303" t="s">
        <v>232</v>
      </c>
    </row>
    <row r="51572" spans="119:119" x14ac:dyDescent="0.2">
      <c r="DO51572" s="303" t="s">
        <v>232</v>
      </c>
    </row>
    <row r="51573" spans="119:119" x14ac:dyDescent="0.2">
      <c r="DO51573" s="303" t="s">
        <v>232</v>
      </c>
    </row>
    <row r="51574" spans="119:119" x14ac:dyDescent="0.2">
      <c r="DO51574" s="303" t="s">
        <v>232</v>
      </c>
    </row>
    <row r="51575" spans="119:119" x14ac:dyDescent="0.2">
      <c r="DO51575" s="303" t="s">
        <v>232</v>
      </c>
    </row>
    <row r="51576" spans="119:119" x14ac:dyDescent="0.2">
      <c r="DO51576" s="303" t="s">
        <v>232</v>
      </c>
    </row>
    <row r="51577" spans="119:119" x14ac:dyDescent="0.2">
      <c r="DO51577" s="303" t="s">
        <v>232</v>
      </c>
    </row>
    <row r="51578" spans="119:119" x14ac:dyDescent="0.2">
      <c r="DO51578" s="303" t="s">
        <v>232</v>
      </c>
    </row>
    <row r="51579" spans="119:119" x14ac:dyDescent="0.2">
      <c r="DO51579" s="303" t="s">
        <v>232</v>
      </c>
    </row>
    <row r="51580" spans="119:119" x14ac:dyDescent="0.2">
      <c r="DO51580" s="303" t="s">
        <v>232</v>
      </c>
    </row>
    <row r="51581" spans="119:119" x14ac:dyDescent="0.2">
      <c r="DO51581" s="303" t="s">
        <v>232</v>
      </c>
    </row>
    <row r="51582" spans="119:119" x14ac:dyDescent="0.2">
      <c r="DO51582" s="303" t="s">
        <v>232</v>
      </c>
    </row>
    <row r="51583" spans="119:119" x14ac:dyDescent="0.2">
      <c r="DO51583" s="303" t="s">
        <v>232</v>
      </c>
    </row>
    <row r="51584" spans="119:119" x14ac:dyDescent="0.2">
      <c r="DO51584" s="303" t="s">
        <v>232</v>
      </c>
    </row>
    <row r="51585" spans="119:119" x14ac:dyDescent="0.2">
      <c r="DO51585" s="303" t="s">
        <v>232</v>
      </c>
    </row>
    <row r="51586" spans="119:119" x14ac:dyDescent="0.2">
      <c r="DO51586" s="303" t="s">
        <v>232</v>
      </c>
    </row>
    <row r="51587" spans="119:119" x14ac:dyDescent="0.2">
      <c r="DO51587" s="303" t="s">
        <v>232</v>
      </c>
    </row>
    <row r="51588" spans="119:119" x14ac:dyDescent="0.2">
      <c r="DO51588" s="303" t="s">
        <v>232</v>
      </c>
    </row>
    <row r="51589" spans="119:119" x14ac:dyDescent="0.2">
      <c r="DO51589" s="303" t="s">
        <v>232</v>
      </c>
    </row>
    <row r="51590" spans="119:119" x14ac:dyDescent="0.2">
      <c r="DO51590" s="303" t="s">
        <v>232</v>
      </c>
    </row>
    <row r="51591" spans="119:119" x14ac:dyDescent="0.2">
      <c r="DO51591" s="303" t="s">
        <v>232</v>
      </c>
    </row>
    <row r="51592" spans="119:119" x14ac:dyDescent="0.2">
      <c r="DO51592" s="303" t="s">
        <v>232</v>
      </c>
    </row>
    <row r="51593" spans="119:119" x14ac:dyDescent="0.2">
      <c r="DO51593" s="303" t="s">
        <v>232</v>
      </c>
    </row>
    <row r="51594" spans="119:119" x14ac:dyDescent="0.2">
      <c r="DO51594" s="303" t="s">
        <v>232</v>
      </c>
    </row>
    <row r="51595" spans="119:119" x14ac:dyDescent="0.2">
      <c r="DO51595" s="303" t="s">
        <v>232</v>
      </c>
    </row>
    <row r="51596" spans="119:119" x14ac:dyDescent="0.2">
      <c r="DO51596" s="303" t="s">
        <v>232</v>
      </c>
    </row>
    <row r="51597" spans="119:119" x14ac:dyDescent="0.2">
      <c r="DO51597" s="303" t="s">
        <v>232</v>
      </c>
    </row>
    <row r="51598" spans="119:119" x14ac:dyDescent="0.2">
      <c r="DO51598" s="303" t="s">
        <v>232</v>
      </c>
    </row>
    <row r="51599" spans="119:119" x14ac:dyDescent="0.2">
      <c r="DO51599" s="303" t="s">
        <v>232</v>
      </c>
    </row>
    <row r="51600" spans="119:119" x14ac:dyDescent="0.2">
      <c r="DO51600" s="303" t="s">
        <v>232</v>
      </c>
    </row>
    <row r="51601" spans="119:119" x14ac:dyDescent="0.2">
      <c r="DO51601" s="303" t="s">
        <v>232</v>
      </c>
    </row>
    <row r="51602" spans="119:119" x14ac:dyDescent="0.2">
      <c r="DO51602" s="303" t="s">
        <v>232</v>
      </c>
    </row>
    <row r="51603" spans="119:119" x14ac:dyDescent="0.2">
      <c r="DO51603" s="303" t="s">
        <v>232</v>
      </c>
    </row>
    <row r="51604" spans="119:119" x14ac:dyDescent="0.2">
      <c r="DO51604" s="303" t="s">
        <v>232</v>
      </c>
    </row>
    <row r="51605" spans="119:119" x14ac:dyDescent="0.2">
      <c r="DO51605" s="303" t="s">
        <v>232</v>
      </c>
    </row>
    <row r="51606" spans="119:119" x14ac:dyDescent="0.2">
      <c r="DO51606" s="303" t="s">
        <v>232</v>
      </c>
    </row>
    <row r="51607" spans="119:119" x14ac:dyDescent="0.2">
      <c r="DO51607" s="303" t="s">
        <v>232</v>
      </c>
    </row>
    <row r="51608" spans="119:119" x14ac:dyDescent="0.2">
      <c r="DO51608" s="303" t="s">
        <v>232</v>
      </c>
    </row>
    <row r="51609" spans="119:119" x14ac:dyDescent="0.2">
      <c r="DO51609" s="303" t="s">
        <v>232</v>
      </c>
    </row>
    <row r="51610" spans="119:119" x14ac:dyDescent="0.2">
      <c r="DO51610" s="303" t="s">
        <v>232</v>
      </c>
    </row>
    <row r="51611" spans="119:119" x14ac:dyDescent="0.2">
      <c r="DO51611" s="303" t="s">
        <v>232</v>
      </c>
    </row>
    <row r="51612" spans="119:119" x14ac:dyDescent="0.2">
      <c r="DO51612" s="303" t="s">
        <v>232</v>
      </c>
    </row>
    <row r="51613" spans="119:119" x14ac:dyDescent="0.2">
      <c r="DO51613" s="303" t="s">
        <v>232</v>
      </c>
    </row>
    <row r="51614" spans="119:119" x14ac:dyDescent="0.2">
      <c r="DO51614" s="303" t="s">
        <v>232</v>
      </c>
    </row>
    <row r="51615" spans="119:119" x14ac:dyDescent="0.2">
      <c r="DO51615" s="303" t="s">
        <v>232</v>
      </c>
    </row>
    <row r="51616" spans="119:119" x14ac:dyDescent="0.2">
      <c r="DO51616" s="303" t="s">
        <v>232</v>
      </c>
    </row>
    <row r="51617" spans="119:119" x14ac:dyDescent="0.2">
      <c r="DO51617" s="303" t="s">
        <v>232</v>
      </c>
    </row>
    <row r="51618" spans="119:119" x14ac:dyDescent="0.2">
      <c r="DO51618" s="303" t="s">
        <v>232</v>
      </c>
    </row>
    <row r="51619" spans="119:119" x14ac:dyDescent="0.2">
      <c r="DO51619" s="303" t="s">
        <v>232</v>
      </c>
    </row>
    <row r="51620" spans="119:119" x14ac:dyDescent="0.2">
      <c r="DO51620" s="303" t="s">
        <v>232</v>
      </c>
    </row>
    <row r="51621" spans="119:119" x14ac:dyDescent="0.2">
      <c r="DO51621" s="303" t="s">
        <v>232</v>
      </c>
    </row>
    <row r="51622" spans="119:119" x14ac:dyDescent="0.2">
      <c r="DO51622" s="303" t="s">
        <v>232</v>
      </c>
    </row>
    <row r="51623" spans="119:119" x14ac:dyDescent="0.2">
      <c r="DO51623" s="303" t="s">
        <v>232</v>
      </c>
    </row>
    <row r="51624" spans="119:119" x14ac:dyDescent="0.2">
      <c r="DO51624" s="303" t="s">
        <v>232</v>
      </c>
    </row>
    <row r="51625" spans="119:119" x14ac:dyDescent="0.2">
      <c r="DO51625" s="303" t="s">
        <v>232</v>
      </c>
    </row>
    <row r="51626" spans="119:119" x14ac:dyDescent="0.2">
      <c r="DO51626" s="303" t="s">
        <v>232</v>
      </c>
    </row>
    <row r="51627" spans="119:119" x14ac:dyDescent="0.2">
      <c r="DO51627" s="303" t="s">
        <v>232</v>
      </c>
    </row>
    <row r="51628" spans="119:119" x14ac:dyDescent="0.2">
      <c r="DO51628" s="303" t="s">
        <v>232</v>
      </c>
    </row>
    <row r="51629" spans="119:119" x14ac:dyDescent="0.2">
      <c r="DO51629" s="303" t="s">
        <v>232</v>
      </c>
    </row>
    <row r="51630" spans="119:119" x14ac:dyDescent="0.2">
      <c r="DO51630" s="303" t="s">
        <v>232</v>
      </c>
    </row>
    <row r="51631" spans="119:119" x14ac:dyDescent="0.2">
      <c r="DO51631" s="303" t="s">
        <v>232</v>
      </c>
    </row>
    <row r="51632" spans="119:119" x14ac:dyDescent="0.2">
      <c r="DO51632" s="303" t="s">
        <v>232</v>
      </c>
    </row>
    <row r="51633" spans="119:119" x14ac:dyDescent="0.2">
      <c r="DO51633" s="303" t="s">
        <v>232</v>
      </c>
    </row>
    <row r="51634" spans="119:119" x14ac:dyDescent="0.2">
      <c r="DO51634" s="303" t="s">
        <v>232</v>
      </c>
    </row>
    <row r="51635" spans="119:119" x14ac:dyDescent="0.2">
      <c r="DO51635" s="303" t="s">
        <v>232</v>
      </c>
    </row>
    <row r="51636" spans="119:119" x14ac:dyDescent="0.2">
      <c r="DO51636" s="303" t="s">
        <v>232</v>
      </c>
    </row>
    <row r="51637" spans="119:119" x14ac:dyDescent="0.2">
      <c r="DO51637" s="303" t="s">
        <v>232</v>
      </c>
    </row>
    <row r="51638" spans="119:119" x14ac:dyDescent="0.2">
      <c r="DO51638" s="303" t="s">
        <v>232</v>
      </c>
    </row>
    <row r="51639" spans="119:119" x14ac:dyDescent="0.2">
      <c r="DO51639" s="303" t="s">
        <v>232</v>
      </c>
    </row>
    <row r="51640" spans="119:119" x14ac:dyDescent="0.2">
      <c r="DO51640" s="303" t="s">
        <v>232</v>
      </c>
    </row>
    <row r="51641" spans="119:119" x14ac:dyDescent="0.2">
      <c r="DO51641" s="303" t="s">
        <v>232</v>
      </c>
    </row>
    <row r="51642" spans="119:119" x14ac:dyDescent="0.2">
      <c r="DO51642" s="303" t="s">
        <v>232</v>
      </c>
    </row>
    <row r="51643" spans="119:119" x14ac:dyDescent="0.2">
      <c r="DO51643" s="303" t="s">
        <v>232</v>
      </c>
    </row>
    <row r="51644" spans="119:119" x14ac:dyDescent="0.2">
      <c r="DO51644" s="303" t="s">
        <v>232</v>
      </c>
    </row>
    <row r="51645" spans="119:119" x14ac:dyDescent="0.2">
      <c r="DO51645" s="303" t="s">
        <v>232</v>
      </c>
    </row>
    <row r="51646" spans="119:119" x14ac:dyDescent="0.2">
      <c r="DO51646" s="303" t="s">
        <v>232</v>
      </c>
    </row>
    <row r="51647" spans="119:119" x14ac:dyDescent="0.2">
      <c r="DO51647" s="303" t="s">
        <v>232</v>
      </c>
    </row>
    <row r="51648" spans="119:119" x14ac:dyDescent="0.2">
      <c r="DO51648" s="303" t="s">
        <v>232</v>
      </c>
    </row>
    <row r="51649" spans="119:119" x14ac:dyDescent="0.2">
      <c r="DO51649" s="303" t="s">
        <v>232</v>
      </c>
    </row>
    <row r="51650" spans="119:119" x14ac:dyDescent="0.2">
      <c r="DO51650" s="303" t="s">
        <v>232</v>
      </c>
    </row>
    <row r="51651" spans="119:119" x14ac:dyDescent="0.2">
      <c r="DO51651" s="303" t="s">
        <v>232</v>
      </c>
    </row>
    <row r="51652" spans="119:119" x14ac:dyDescent="0.2">
      <c r="DO51652" s="303" t="s">
        <v>232</v>
      </c>
    </row>
    <row r="51653" spans="119:119" x14ac:dyDescent="0.2">
      <c r="DO51653" s="303" t="s">
        <v>232</v>
      </c>
    </row>
    <row r="51654" spans="119:119" x14ac:dyDescent="0.2">
      <c r="DO51654" s="303" t="s">
        <v>232</v>
      </c>
    </row>
    <row r="51655" spans="119:119" x14ac:dyDescent="0.2">
      <c r="DO51655" s="303" t="s">
        <v>232</v>
      </c>
    </row>
    <row r="51656" spans="119:119" x14ac:dyDescent="0.2">
      <c r="DO51656" s="303" t="s">
        <v>232</v>
      </c>
    </row>
    <row r="51657" spans="119:119" x14ac:dyDescent="0.2">
      <c r="DO51657" s="303" t="s">
        <v>232</v>
      </c>
    </row>
    <row r="51658" spans="119:119" x14ac:dyDescent="0.2">
      <c r="DO51658" s="303" t="s">
        <v>232</v>
      </c>
    </row>
    <row r="51659" spans="119:119" x14ac:dyDescent="0.2">
      <c r="DO51659" s="303" t="s">
        <v>232</v>
      </c>
    </row>
    <row r="51660" spans="119:119" x14ac:dyDescent="0.2">
      <c r="DO51660" s="303" t="s">
        <v>232</v>
      </c>
    </row>
    <row r="51661" spans="119:119" x14ac:dyDescent="0.2">
      <c r="DO51661" s="303" t="s">
        <v>232</v>
      </c>
    </row>
    <row r="51662" spans="119:119" x14ac:dyDescent="0.2">
      <c r="DO51662" s="303" t="s">
        <v>232</v>
      </c>
    </row>
    <row r="51663" spans="119:119" x14ac:dyDescent="0.2">
      <c r="DO51663" s="303" t="s">
        <v>232</v>
      </c>
    </row>
    <row r="51664" spans="119:119" x14ac:dyDescent="0.2">
      <c r="DO51664" s="303" t="s">
        <v>232</v>
      </c>
    </row>
    <row r="51665" spans="119:119" x14ac:dyDescent="0.2">
      <c r="DO51665" s="303" t="s">
        <v>232</v>
      </c>
    </row>
    <row r="51666" spans="119:119" x14ac:dyDescent="0.2">
      <c r="DO51666" s="303" t="s">
        <v>232</v>
      </c>
    </row>
    <row r="51667" spans="119:119" x14ac:dyDescent="0.2">
      <c r="DO51667" s="303" t="s">
        <v>232</v>
      </c>
    </row>
    <row r="51668" spans="119:119" x14ac:dyDescent="0.2">
      <c r="DO51668" s="303" t="s">
        <v>232</v>
      </c>
    </row>
    <row r="51669" spans="119:119" x14ac:dyDescent="0.2">
      <c r="DO51669" s="303" t="s">
        <v>232</v>
      </c>
    </row>
    <row r="51670" spans="119:119" x14ac:dyDescent="0.2">
      <c r="DO51670" s="303" t="s">
        <v>232</v>
      </c>
    </row>
    <row r="51671" spans="119:119" x14ac:dyDescent="0.2">
      <c r="DO51671" s="303" t="s">
        <v>232</v>
      </c>
    </row>
    <row r="51672" spans="119:119" x14ac:dyDescent="0.2">
      <c r="DO51672" s="303" t="s">
        <v>232</v>
      </c>
    </row>
    <row r="51673" spans="119:119" x14ac:dyDescent="0.2">
      <c r="DO51673" s="303" t="s">
        <v>232</v>
      </c>
    </row>
    <row r="51674" spans="119:119" x14ac:dyDescent="0.2">
      <c r="DO51674" s="303" t="s">
        <v>232</v>
      </c>
    </row>
    <row r="51675" spans="119:119" x14ac:dyDescent="0.2">
      <c r="DO51675" s="303" t="s">
        <v>232</v>
      </c>
    </row>
    <row r="51676" spans="119:119" x14ac:dyDescent="0.2">
      <c r="DO51676" s="303" t="s">
        <v>232</v>
      </c>
    </row>
    <row r="51677" spans="119:119" x14ac:dyDescent="0.2">
      <c r="DO51677" s="303" t="s">
        <v>232</v>
      </c>
    </row>
    <row r="51678" spans="119:119" x14ac:dyDescent="0.2">
      <c r="DO51678" s="303" t="s">
        <v>232</v>
      </c>
    </row>
    <row r="51679" spans="119:119" x14ac:dyDescent="0.2">
      <c r="DO51679" s="303" t="s">
        <v>232</v>
      </c>
    </row>
    <row r="51680" spans="119:119" x14ac:dyDescent="0.2">
      <c r="DO51680" s="303" t="s">
        <v>232</v>
      </c>
    </row>
    <row r="51681" spans="119:119" x14ac:dyDescent="0.2">
      <c r="DO51681" s="303" t="s">
        <v>232</v>
      </c>
    </row>
    <row r="51682" spans="119:119" x14ac:dyDescent="0.2">
      <c r="DO51682" s="303" t="s">
        <v>232</v>
      </c>
    </row>
    <row r="51683" spans="119:119" x14ac:dyDescent="0.2">
      <c r="DO51683" s="303" t="s">
        <v>232</v>
      </c>
    </row>
    <row r="51684" spans="119:119" x14ac:dyDescent="0.2">
      <c r="DO51684" s="303" t="s">
        <v>232</v>
      </c>
    </row>
    <row r="51685" spans="119:119" x14ac:dyDescent="0.2">
      <c r="DO51685" s="303" t="s">
        <v>232</v>
      </c>
    </row>
    <row r="51686" spans="119:119" x14ac:dyDescent="0.2">
      <c r="DO51686" s="303" t="s">
        <v>232</v>
      </c>
    </row>
    <row r="51687" spans="119:119" x14ac:dyDescent="0.2">
      <c r="DO51687" s="303" t="s">
        <v>232</v>
      </c>
    </row>
    <row r="51688" spans="119:119" x14ac:dyDescent="0.2">
      <c r="DO51688" s="303" t="s">
        <v>232</v>
      </c>
    </row>
    <row r="51689" spans="119:119" x14ac:dyDescent="0.2">
      <c r="DO51689" s="303" t="s">
        <v>232</v>
      </c>
    </row>
    <row r="51690" spans="119:119" x14ac:dyDescent="0.2">
      <c r="DO51690" s="303" t="s">
        <v>232</v>
      </c>
    </row>
    <row r="51691" spans="119:119" x14ac:dyDescent="0.2">
      <c r="DO51691" s="303" t="s">
        <v>232</v>
      </c>
    </row>
    <row r="51692" spans="119:119" x14ac:dyDescent="0.2">
      <c r="DO51692" s="303" t="s">
        <v>232</v>
      </c>
    </row>
    <row r="51693" spans="119:119" x14ac:dyDescent="0.2">
      <c r="DO51693" s="303" t="s">
        <v>232</v>
      </c>
    </row>
    <row r="51694" spans="119:119" x14ac:dyDescent="0.2">
      <c r="DO51694" s="303" t="s">
        <v>232</v>
      </c>
    </row>
    <row r="51695" spans="119:119" x14ac:dyDescent="0.2">
      <c r="DO51695" s="303" t="s">
        <v>232</v>
      </c>
    </row>
    <row r="51696" spans="119:119" x14ac:dyDescent="0.2">
      <c r="DO51696" s="303" t="s">
        <v>232</v>
      </c>
    </row>
    <row r="51697" spans="119:119" x14ac:dyDescent="0.2">
      <c r="DO51697" s="303" t="s">
        <v>232</v>
      </c>
    </row>
    <row r="51698" spans="119:119" x14ac:dyDescent="0.2">
      <c r="DO51698" s="303" t="s">
        <v>232</v>
      </c>
    </row>
    <row r="51699" spans="119:119" x14ac:dyDescent="0.2">
      <c r="DO51699" s="303" t="s">
        <v>232</v>
      </c>
    </row>
    <row r="51700" spans="119:119" x14ac:dyDescent="0.2">
      <c r="DO51700" s="303" t="s">
        <v>232</v>
      </c>
    </row>
    <row r="51701" spans="119:119" x14ac:dyDescent="0.2">
      <c r="DO51701" s="303" t="s">
        <v>232</v>
      </c>
    </row>
    <row r="51702" spans="119:119" x14ac:dyDescent="0.2">
      <c r="DO51702" s="303" t="s">
        <v>232</v>
      </c>
    </row>
    <row r="51703" spans="119:119" x14ac:dyDescent="0.2">
      <c r="DO51703" s="303" t="s">
        <v>232</v>
      </c>
    </row>
    <row r="51704" spans="119:119" x14ac:dyDescent="0.2">
      <c r="DO51704" s="303" t="s">
        <v>232</v>
      </c>
    </row>
    <row r="51705" spans="119:119" x14ac:dyDescent="0.2">
      <c r="DO51705" s="303" t="s">
        <v>232</v>
      </c>
    </row>
    <row r="51706" spans="119:119" x14ac:dyDescent="0.2">
      <c r="DO51706" s="303" t="s">
        <v>232</v>
      </c>
    </row>
    <row r="51707" spans="119:119" x14ac:dyDescent="0.2">
      <c r="DO51707" s="303" t="s">
        <v>232</v>
      </c>
    </row>
    <row r="51708" spans="119:119" x14ac:dyDescent="0.2">
      <c r="DO51708" s="303" t="s">
        <v>232</v>
      </c>
    </row>
    <row r="51709" spans="119:119" x14ac:dyDescent="0.2">
      <c r="DO51709" s="303" t="s">
        <v>232</v>
      </c>
    </row>
    <row r="51710" spans="119:119" x14ac:dyDescent="0.2">
      <c r="DO51710" s="303" t="s">
        <v>232</v>
      </c>
    </row>
    <row r="51711" spans="119:119" x14ac:dyDescent="0.2">
      <c r="DO51711" s="303" t="s">
        <v>232</v>
      </c>
    </row>
    <row r="51712" spans="119:119" x14ac:dyDescent="0.2">
      <c r="DO51712" s="303" t="s">
        <v>232</v>
      </c>
    </row>
    <row r="51713" spans="119:119" x14ac:dyDescent="0.2">
      <c r="DO51713" s="303" t="s">
        <v>232</v>
      </c>
    </row>
    <row r="51714" spans="119:119" x14ac:dyDescent="0.2">
      <c r="DO51714" s="303" t="s">
        <v>232</v>
      </c>
    </row>
    <row r="51715" spans="119:119" x14ac:dyDescent="0.2">
      <c r="DO51715" s="303" t="s">
        <v>232</v>
      </c>
    </row>
    <row r="51716" spans="119:119" x14ac:dyDescent="0.2">
      <c r="DO51716" s="303" t="s">
        <v>232</v>
      </c>
    </row>
    <row r="51717" spans="119:119" x14ac:dyDescent="0.2">
      <c r="DO51717" s="303" t="s">
        <v>232</v>
      </c>
    </row>
    <row r="51718" spans="119:119" x14ac:dyDescent="0.2">
      <c r="DO51718" s="303" t="s">
        <v>232</v>
      </c>
    </row>
    <row r="51719" spans="119:119" x14ac:dyDescent="0.2">
      <c r="DO51719" s="303" t="s">
        <v>232</v>
      </c>
    </row>
    <row r="51720" spans="119:119" x14ac:dyDescent="0.2">
      <c r="DO51720" s="303" t="s">
        <v>232</v>
      </c>
    </row>
    <row r="51721" spans="119:119" x14ac:dyDescent="0.2">
      <c r="DO51721" s="303" t="s">
        <v>232</v>
      </c>
    </row>
    <row r="51722" spans="119:119" x14ac:dyDescent="0.2">
      <c r="DO51722" s="303" t="s">
        <v>232</v>
      </c>
    </row>
    <row r="51723" spans="119:119" x14ac:dyDescent="0.2">
      <c r="DO51723" s="303" t="s">
        <v>232</v>
      </c>
    </row>
    <row r="51724" spans="119:119" x14ac:dyDescent="0.2">
      <c r="DO51724" s="303" t="s">
        <v>232</v>
      </c>
    </row>
    <row r="51725" spans="119:119" x14ac:dyDescent="0.2">
      <c r="DO51725" s="303" t="s">
        <v>232</v>
      </c>
    </row>
    <row r="51726" spans="119:119" x14ac:dyDescent="0.2">
      <c r="DO51726" s="303" t="s">
        <v>232</v>
      </c>
    </row>
    <row r="51727" spans="119:119" x14ac:dyDescent="0.2">
      <c r="DO51727" s="303" t="s">
        <v>232</v>
      </c>
    </row>
    <row r="51728" spans="119:119" x14ac:dyDescent="0.2">
      <c r="DO51728" s="303" t="s">
        <v>232</v>
      </c>
    </row>
    <row r="51729" spans="119:119" x14ac:dyDescent="0.2">
      <c r="DO51729" s="303" t="s">
        <v>232</v>
      </c>
    </row>
    <row r="51730" spans="119:119" x14ac:dyDescent="0.2">
      <c r="DO51730" s="303" t="s">
        <v>232</v>
      </c>
    </row>
    <row r="51731" spans="119:119" x14ac:dyDescent="0.2">
      <c r="DO51731" s="303" t="s">
        <v>232</v>
      </c>
    </row>
    <row r="51732" spans="119:119" x14ac:dyDescent="0.2">
      <c r="DO51732" s="303" t="s">
        <v>232</v>
      </c>
    </row>
    <row r="51733" spans="119:119" x14ac:dyDescent="0.2">
      <c r="DO51733" s="303" t="s">
        <v>232</v>
      </c>
    </row>
    <row r="51734" spans="119:119" x14ac:dyDescent="0.2">
      <c r="DO51734" s="303" t="s">
        <v>232</v>
      </c>
    </row>
    <row r="51735" spans="119:119" x14ac:dyDescent="0.2">
      <c r="DO51735" s="303" t="s">
        <v>232</v>
      </c>
    </row>
    <row r="51736" spans="119:119" x14ac:dyDescent="0.2">
      <c r="DO51736" s="303" t="s">
        <v>232</v>
      </c>
    </row>
    <row r="51737" spans="119:119" x14ac:dyDescent="0.2">
      <c r="DO51737" s="303" t="s">
        <v>232</v>
      </c>
    </row>
    <row r="51738" spans="119:119" x14ac:dyDescent="0.2">
      <c r="DO51738" s="303" t="s">
        <v>232</v>
      </c>
    </row>
    <row r="51739" spans="119:119" x14ac:dyDescent="0.2">
      <c r="DO51739" s="303" t="s">
        <v>232</v>
      </c>
    </row>
    <row r="51740" spans="119:119" x14ac:dyDescent="0.2">
      <c r="DO51740" s="303" t="s">
        <v>232</v>
      </c>
    </row>
    <row r="51741" spans="119:119" x14ac:dyDescent="0.2">
      <c r="DO51741" s="303" t="s">
        <v>232</v>
      </c>
    </row>
    <row r="51742" spans="119:119" x14ac:dyDescent="0.2">
      <c r="DO51742" s="303" t="s">
        <v>232</v>
      </c>
    </row>
    <row r="51743" spans="119:119" x14ac:dyDescent="0.2">
      <c r="DO51743" s="303" t="s">
        <v>232</v>
      </c>
    </row>
    <row r="51744" spans="119:119" x14ac:dyDescent="0.2">
      <c r="DO51744" s="303" t="s">
        <v>232</v>
      </c>
    </row>
    <row r="51745" spans="119:119" x14ac:dyDescent="0.2">
      <c r="DO51745" s="303" t="s">
        <v>232</v>
      </c>
    </row>
    <row r="51746" spans="119:119" x14ac:dyDescent="0.2">
      <c r="DO51746" s="303" t="s">
        <v>232</v>
      </c>
    </row>
    <row r="51747" spans="119:119" x14ac:dyDescent="0.2">
      <c r="DO51747" s="303" t="s">
        <v>232</v>
      </c>
    </row>
    <row r="51748" spans="119:119" x14ac:dyDescent="0.2">
      <c r="DO51748" s="303" t="s">
        <v>232</v>
      </c>
    </row>
    <row r="51749" spans="119:119" x14ac:dyDescent="0.2">
      <c r="DO51749" s="303" t="s">
        <v>232</v>
      </c>
    </row>
    <row r="51750" spans="119:119" x14ac:dyDescent="0.2">
      <c r="DO51750" s="303" t="s">
        <v>232</v>
      </c>
    </row>
    <row r="51751" spans="119:119" x14ac:dyDescent="0.2">
      <c r="DO51751" s="303" t="s">
        <v>232</v>
      </c>
    </row>
    <row r="51752" spans="119:119" x14ac:dyDescent="0.2">
      <c r="DO51752" s="303" t="s">
        <v>232</v>
      </c>
    </row>
    <row r="51753" spans="119:119" x14ac:dyDescent="0.2">
      <c r="DO51753" s="303" t="s">
        <v>232</v>
      </c>
    </row>
    <row r="51754" spans="119:119" x14ac:dyDescent="0.2">
      <c r="DO51754" s="303" t="s">
        <v>232</v>
      </c>
    </row>
    <row r="51755" spans="119:119" x14ac:dyDescent="0.2">
      <c r="DO51755" s="303" t="s">
        <v>232</v>
      </c>
    </row>
    <row r="51756" spans="119:119" x14ac:dyDescent="0.2">
      <c r="DO51756" s="303" t="s">
        <v>232</v>
      </c>
    </row>
    <row r="51757" spans="119:119" x14ac:dyDescent="0.2">
      <c r="DO51757" s="303" t="s">
        <v>232</v>
      </c>
    </row>
    <row r="51758" spans="119:119" x14ac:dyDescent="0.2">
      <c r="DO51758" s="303" t="s">
        <v>232</v>
      </c>
    </row>
    <row r="51759" spans="119:119" x14ac:dyDescent="0.2">
      <c r="DO51759" s="303" t="s">
        <v>232</v>
      </c>
    </row>
    <row r="51760" spans="119:119" x14ac:dyDescent="0.2">
      <c r="DO51760" s="303" t="s">
        <v>232</v>
      </c>
    </row>
    <row r="51761" spans="119:119" x14ac:dyDescent="0.2">
      <c r="DO51761" s="303" t="s">
        <v>232</v>
      </c>
    </row>
    <row r="51762" spans="119:119" x14ac:dyDescent="0.2">
      <c r="DO51762" s="303" t="s">
        <v>232</v>
      </c>
    </row>
    <row r="51763" spans="119:119" x14ac:dyDescent="0.2">
      <c r="DO51763" s="303" t="s">
        <v>232</v>
      </c>
    </row>
    <row r="51764" spans="119:119" x14ac:dyDescent="0.2">
      <c r="DO51764" s="303" t="s">
        <v>232</v>
      </c>
    </row>
    <row r="51765" spans="119:119" x14ac:dyDescent="0.2">
      <c r="DO51765" s="303" t="s">
        <v>232</v>
      </c>
    </row>
    <row r="51766" spans="119:119" x14ac:dyDescent="0.2">
      <c r="DO51766" s="303" t="s">
        <v>232</v>
      </c>
    </row>
    <row r="51767" spans="119:119" x14ac:dyDescent="0.2">
      <c r="DO51767" s="303" t="s">
        <v>232</v>
      </c>
    </row>
    <row r="51768" spans="119:119" x14ac:dyDescent="0.2">
      <c r="DO51768" s="303" t="s">
        <v>232</v>
      </c>
    </row>
    <row r="51769" spans="119:119" x14ac:dyDescent="0.2">
      <c r="DO51769" s="303" t="s">
        <v>232</v>
      </c>
    </row>
    <row r="51770" spans="119:119" x14ac:dyDescent="0.2">
      <c r="DO51770" s="303" t="s">
        <v>232</v>
      </c>
    </row>
    <row r="51771" spans="119:119" x14ac:dyDescent="0.2">
      <c r="DO51771" s="303" t="s">
        <v>232</v>
      </c>
    </row>
    <row r="51772" spans="119:119" x14ac:dyDescent="0.2">
      <c r="DO51772" s="303" t="s">
        <v>232</v>
      </c>
    </row>
    <row r="51773" spans="119:119" x14ac:dyDescent="0.2">
      <c r="DO51773" s="303" t="s">
        <v>232</v>
      </c>
    </row>
    <row r="51774" spans="119:119" x14ac:dyDescent="0.2">
      <c r="DO51774" s="303" t="s">
        <v>232</v>
      </c>
    </row>
    <row r="51775" spans="119:119" x14ac:dyDescent="0.2">
      <c r="DO51775" s="303" t="s">
        <v>232</v>
      </c>
    </row>
    <row r="51776" spans="119:119" x14ac:dyDescent="0.2">
      <c r="DO51776" s="303" t="s">
        <v>232</v>
      </c>
    </row>
    <row r="51777" spans="119:119" x14ac:dyDescent="0.2">
      <c r="DO51777" s="303" t="s">
        <v>232</v>
      </c>
    </row>
    <row r="51778" spans="119:119" x14ac:dyDescent="0.2">
      <c r="DO51778" s="303" t="s">
        <v>232</v>
      </c>
    </row>
    <row r="51779" spans="119:119" x14ac:dyDescent="0.2">
      <c r="DO51779" s="303" t="s">
        <v>232</v>
      </c>
    </row>
    <row r="51780" spans="119:119" x14ac:dyDescent="0.2">
      <c r="DO51780" s="303" t="s">
        <v>232</v>
      </c>
    </row>
    <row r="51781" spans="119:119" x14ac:dyDescent="0.2">
      <c r="DO51781" s="303" t="s">
        <v>232</v>
      </c>
    </row>
    <row r="51782" spans="119:119" x14ac:dyDescent="0.2">
      <c r="DO51782" s="303" t="s">
        <v>232</v>
      </c>
    </row>
    <row r="51783" spans="119:119" x14ac:dyDescent="0.2">
      <c r="DO51783" s="303" t="s">
        <v>232</v>
      </c>
    </row>
    <row r="51784" spans="119:119" x14ac:dyDescent="0.2">
      <c r="DO51784" s="303" t="s">
        <v>232</v>
      </c>
    </row>
    <row r="51785" spans="119:119" x14ac:dyDescent="0.2">
      <c r="DO51785" s="303" t="s">
        <v>232</v>
      </c>
    </row>
    <row r="51786" spans="119:119" x14ac:dyDescent="0.2">
      <c r="DO51786" s="303" t="s">
        <v>232</v>
      </c>
    </row>
    <row r="51787" spans="119:119" x14ac:dyDescent="0.2">
      <c r="DO51787" s="303" t="s">
        <v>232</v>
      </c>
    </row>
    <row r="51788" spans="119:119" x14ac:dyDescent="0.2">
      <c r="DO51788" s="303" t="s">
        <v>232</v>
      </c>
    </row>
    <row r="51789" spans="119:119" x14ac:dyDescent="0.2">
      <c r="DO51789" s="303" t="s">
        <v>232</v>
      </c>
    </row>
    <row r="51790" spans="119:119" x14ac:dyDescent="0.2">
      <c r="DO51790" s="303" t="s">
        <v>232</v>
      </c>
    </row>
    <row r="51791" spans="119:119" x14ac:dyDescent="0.2">
      <c r="DO51791" s="303" t="s">
        <v>232</v>
      </c>
    </row>
    <row r="51792" spans="119:119" x14ac:dyDescent="0.2">
      <c r="DO51792" s="303" t="s">
        <v>232</v>
      </c>
    </row>
    <row r="51793" spans="119:119" x14ac:dyDescent="0.2">
      <c r="DO51793" s="303" t="s">
        <v>232</v>
      </c>
    </row>
    <row r="51794" spans="119:119" x14ac:dyDescent="0.2">
      <c r="DO51794" s="303" t="s">
        <v>232</v>
      </c>
    </row>
    <row r="51795" spans="119:119" x14ac:dyDescent="0.2">
      <c r="DO51795" s="303" t="s">
        <v>232</v>
      </c>
    </row>
    <row r="51796" spans="119:119" x14ac:dyDescent="0.2">
      <c r="DO51796" s="303" t="s">
        <v>232</v>
      </c>
    </row>
    <row r="51797" spans="119:119" x14ac:dyDescent="0.2">
      <c r="DO51797" s="303" t="s">
        <v>232</v>
      </c>
    </row>
    <row r="51798" spans="119:119" x14ac:dyDescent="0.2">
      <c r="DO51798" s="303" t="s">
        <v>232</v>
      </c>
    </row>
    <row r="51799" spans="119:119" x14ac:dyDescent="0.2">
      <c r="DO51799" s="303" t="s">
        <v>232</v>
      </c>
    </row>
    <row r="51800" spans="119:119" x14ac:dyDescent="0.2">
      <c r="DO51800" s="303" t="s">
        <v>232</v>
      </c>
    </row>
    <row r="51801" spans="119:119" x14ac:dyDescent="0.2">
      <c r="DO51801" s="303" t="s">
        <v>232</v>
      </c>
    </row>
    <row r="51802" spans="119:119" x14ac:dyDescent="0.2">
      <c r="DO51802" s="303" t="s">
        <v>232</v>
      </c>
    </row>
    <row r="51803" spans="119:119" x14ac:dyDescent="0.2">
      <c r="DO51803" s="303" t="s">
        <v>232</v>
      </c>
    </row>
    <row r="51804" spans="119:119" x14ac:dyDescent="0.2">
      <c r="DO51804" s="303" t="s">
        <v>232</v>
      </c>
    </row>
    <row r="51805" spans="119:119" x14ac:dyDescent="0.2">
      <c r="DO51805" s="303" t="s">
        <v>232</v>
      </c>
    </row>
    <row r="51806" spans="119:119" x14ac:dyDescent="0.2">
      <c r="DO51806" s="303" t="s">
        <v>232</v>
      </c>
    </row>
    <row r="51807" spans="119:119" x14ac:dyDescent="0.2">
      <c r="DO51807" s="303" t="s">
        <v>232</v>
      </c>
    </row>
    <row r="51808" spans="119:119" x14ac:dyDescent="0.2">
      <c r="DO51808" s="303" t="s">
        <v>232</v>
      </c>
    </row>
    <row r="51809" spans="119:119" x14ac:dyDescent="0.2">
      <c r="DO51809" s="303" t="s">
        <v>232</v>
      </c>
    </row>
    <row r="51810" spans="119:119" x14ac:dyDescent="0.2">
      <c r="DO51810" s="303" t="s">
        <v>232</v>
      </c>
    </row>
    <row r="51811" spans="119:119" x14ac:dyDescent="0.2">
      <c r="DO51811" s="303" t="s">
        <v>232</v>
      </c>
    </row>
    <row r="51812" spans="119:119" x14ac:dyDescent="0.2">
      <c r="DO51812" s="303" t="s">
        <v>232</v>
      </c>
    </row>
    <row r="51813" spans="119:119" x14ac:dyDescent="0.2">
      <c r="DO51813" s="303" t="s">
        <v>232</v>
      </c>
    </row>
    <row r="51814" spans="119:119" x14ac:dyDescent="0.2">
      <c r="DO51814" s="303" t="s">
        <v>232</v>
      </c>
    </row>
    <row r="51815" spans="119:119" x14ac:dyDescent="0.2">
      <c r="DO51815" s="303" t="s">
        <v>232</v>
      </c>
    </row>
    <row r="51816" spans="119:119" x14ac:dyDescent="0.2">
      <c r="DO51816" s="303" t="s">
        <v>232</v>
      </c>
    </row>
    <row r="51817" spans="119:119" x14ac:dyDescent="0.2">
      <c r="DO51817" s="303" t="s">
        <v>232</v>
      </c>
    </row>
    <row r="51818" spans="119:119" x14ac:dyDescent="0.2">
      <c r="DO51818" s="303" t="s">
        <v>232</v>
      </c>
    </row>
    <row r="51819" spans="119:119" x14ac:dyDescent="0.2">
      <c r="DO51819" s="303" t="s">
        <v>232</v>
      </c>
    </row>
    <row r="51820" spans="119:119" x14ac:dyDescent="0.2">
      <c r="DO51820" s="303" t="s">
        <v>232</v>
      </c>
    </row>
    <row r="51821" spans="119:119" x14ac:dyDescent="0.2">
      <c r="DO51821" s="303" t="s">
        <v>232</v>
      </c>
    </row>
    <row r="51822" spans="119:119" x14ac:dyDescent="0.2">
      <c r="DO51822" s="303" t="s">
        <v>232</v>
      </c>
    </row>
    <row r="51823" spans="119:119" x14ac:dyDescent="0.2">
      <c r="DO51823" s="303" t="s">
        <v>232</v>
      </c>
    </row>
    <row r="51824" spans="119:119" x14ac:dyDescent="0.2">
      <c r="DO51824" s="303" t="s">
        <v>232</v>
      </c>
    </row>
    <row r="51825" spans="119:119" x14ac:dyDescent="0.2">
      <c r="DO51825" s="303" t="s">
        <v>232</v>
      </c>
    </row>
    <row r="51826" spans="119:119" x14ac:dyDescent="0.2">
      <c r="DO51826" s="303" t="s">
        <v>232</v>
      </c>
    </row>
    <row r="51827" spans="119:119" x14ac:dyDescent="0.2">
      <c r="DO51827" s="303" t="s">
        <v>232</v>
      </c>
    </row>
    <row r="51828" spans="119:119" x14ac:dyDescent="0.2">
      <c r="DO51828" s="303" t="s">
        <v>232</v>
      </c>
    </row>
    <row r="51829" spans="119:119" x14ac:dyDescent="0.2">
      <c r="DO51829" s="303" t="s">
        <v>232</v>
      </c>
    </row>
    <row r="51830" spans="119:119" x14ac:dyDescent="0.2">
      <c r="DO51830" s="303" t="s">
        <v>232</v>
      </c>
    </row>
    <row r="51831" spans="119:119" x14ac:dyDescent="0.2">
      <c r="DO51831" s="303" t="s">
        <v>232</v>
      </c>
    </row>
    <row r="51832" spans="119:119" x14ac:dyDescent="0.2">
      <c r="DO51832" s="303" t="s">
        <v>232</v>
      </c>
    </row>
    <row r="51833" spans="119:119" x14ac:dyDescent="0.2">
      <c r="DO51833" s="303" t="s">
        <v>232</v>
      </c>
    </row>
    <row r="51834" spans="119:119" x14ac:dyDescent="0.2">
      <c r="DO51834" s="303" t="s">
        <v>232</v>
      </c>
    </row>
    <row r="51835" spans="119:119" x14ac:dyDescent="0.2">
      <c r="DO51835" s="303" t="s">
        <v>232</v>
      </c>
    </row>
    <row r="51836" spans="119:119" x14ac:dyDescent="0.2">
      <c r="DO51836" s="303" t="s">
        <v>232</v>
      </c>
    </row>
    <row r="51837" spans="119:119" x14ac:dyDescent="0.2">
      <c r="DO51837" s="303" t="s">
        <v>232</v>
      </c>
    </row>
    <row r="51838" spans="119:119" x14ac:dyDescent="0.2">
      <c r="DO51838" s="303" t="s">
        <v>232</v>
      </c>
    </row>
    <row r="51839" spans="119:119" x14ac:dyDescent="0.2">
      <c r="DO51839" s="303" t="s">
        <v>232</v>
      </c>
    </row>
    <row r="51840" spans="119:119" x14ac:dyDescent="0.2">
      <c r="DO51840" s="303" t="s">
        <v>232</v>
      </c>
    </row>
    <row r="51841" spans="119:119" x14ac:dyDescent="0.2">
      <c r="DO51841" s="303" t="s">
        <v>232</v>
      </c>
    </row>
    <row r="51842" spans="119:119" x14ac:dyDescent="0.2">
      <c r="DO51842" s="303" t="s">
        <v>232</v>
      </c>
    </row>
    <row r="51843" spans="119:119" x14ac:dyDescent="0.2">
      <c r="DO51843" s="303" t="s">
        <v>232</v>
      </c>
    </row>
    <row r="51844" spans="119:119" x14ac:dyDescent="0.2">
      <c r="DO51844" s="303" t="s">
        <v>232</v>
      </c>
    </row>
    <row r="51845" spans="119:119" x14ac:dyDescent="0.2">
      <c r="DO51845" s="303" t="s">
        <v>232</v>
      </c>
    </row>
    <row r="51846" spans="119:119" x14ac:dyDescent="0.2">
      <c r="DO51846" s="303" t="s">
        <v>232</v>
      </c>
    </row>
    <row r="51847" spans="119:119" x14ac:dyDescent="0.2">
      <c r="DO51847" s="303" t="s">
        <v>232</v>
      </c>
    </row>
    <row r="51848" spans="119:119" x14ac:dyDescent="0.2">
      <c r="DO51848" s="303" t="s">
        <v>232</v>
      </c>
    </row>
    <row r="51849" spans="119:119" x14ac:dyDescent="0.2">
      <c r="DO51849" s="303" t="s">
        <v>232</v>
      </c>
    </row>
    <row r="51850" spans="119:119" x14ac:dyDescent="0.2">
      <c r="DO51850" s="303" t="s">
        <v>232</v>
      </c>
    </row>
    <row r="51851" spans="119:119" x14ac:dyDescent="0.2">
      <c r="DO51851" s="303" t="s">
        <v>232</v>
      </c>
    </row>
    <row r="51852" spans="119:119" x14ac:dyDescent="0.2">
      <c r="DO51852" s="303" t="s">
        <v>232</v>
      </c>
    </row>
    <row r="51853" spans="119:119" x14ac:dyDescent="0.2">
      <c r="DO51853" s="303" t="s">
        <v>232</v>
      </c>
    </row>
    <row r="51854" spans="119:119" x14ac:dyDescent="0.2">
      <c r="DO51854" s="303" t="s">
        <v>232</v>
      </c>
    </row>
    <row r="51855" spans="119:119" x14ac:dyDescent="0.2">
      <c r="DO51855" s="303" t="s">
        <v>232</v>
      </c>
    </row>
    <row r="51856" spans="119:119" x14ac:dyDescent="0.2">
      <c r="DO51856" s="303" t="s">
        <v>232</v>
      </c>
    </row>
    <row r="51857" spans="119:119" x14ac:dyDescent="0.2">
      <c r="DO51857" s="303" t="s">
        <v>232</v>
      </c>
    </row>
    <row r="51858" spans="119:119" x14ac:dyDescent="0.2">
      <c r="DO51858" s="303" t="s">
        <v>232</v>
      </c>
    </row>
    <row r="51859" spans="119:119" x14ac:dyDescent="0.2">
      <c r="DO51859" s="303" t="s">
        <v>232</v>
      </c>
    </row>
    <row r="51860" spans="119:119" x14ac:dyDescent="0.2">
      <c r="DO51860" s="303" t="s">
        <v>232</v>
      </c>
    </row>
    <row r="51861" spans="119:119" x14ac:dyDescent="0.2">
      <c r="DO51861" s="303" t="s">
        <v>232</v>
      </c>
    </row>
    <row r="51862" spans="119:119" x14ac:dyDescent="0.2">
      <c r="DO51862" s="303" t="s">
        <v>232</v>
      </c>
    </row>
    <row r="51863" spans="119:119" x14ac:dyDescent="0.2">
      <c r="DO51863" s="303" t="s">
        <v>232</v>
      </c>
    </row>
    <row r="51864" spans="119:119" x14ac:dyDescent="0.2">
      <c r="DO51864" s="303" t="s">
        <v>232</v>
      </c>
    </row>
    <row r="51865" spans="119:119" x14ac:dyDescent="0.2">
      <c r="DO51865" s="303" t="s">
        <v>232</v>
      </c>
    </row>
    <row r="51866" spans="119:119" x14ac:dyDescent="0.2">
      <c r="DO51866" s="303" t="s">
        <v>232</v>
      </c>
    </row>
    <row r="51867" spans="119:119" x14ac:dyDescent="0.2">
      <c r="DO51867" s="303" t="s">
        <v>232</v>
      </c>
    </row>
    <row r="51868" spans="119:119" x14ac:dyDescent="0.2">
      <c r="DO51868" s="303" t="s">
        <v>232</v>
      </c>
    </row>
    <row r="51869" spans="119:119" x14ac:dyDescent="0.2">
      <c r="DO51869" s="303" t="s">
        <v>232</v>
      </c>
    </row>
    <row r="51870" spans="119:119" x14ac:dyDescent="0.2">
      <c r="DO51870" s="303" t="s">
        <v>232</v>
      </c>
    </row>
    <row r="51871" spans="119:119" x14ac:dyDescent="0.2">
      <c r="DO51871" s="303" t="s">
        <v>232</v>
      </c>
    </row>
    <row r="51872" spans="119:119" x14ac:dyDescent="0.2">
      <c r="DO51872" s="303" t="s">
        <v>232</v>
      </c>
    </row>
    <row r="51873" spans="119:119" x14ac:dyDescent="0.2">
      <c r="DO51873" s="303" t="s">
        <v>232</v>
      </c>
    </row>
    <row r="51874" spans="119:119" x14ac:dyDescent="0.2">
      <c r="DO51874" s="303" t="s">
        <v>232</v>
      </c>
    </row>
    <row r="51875" spans="119:119" x14ac:dyDescent="0.2">
      <c r="DO51875" s="303" t="s">
        <v>232</v>
      </c>
    </row>
    <row r="51876" spans="119:119" x14ac:dyDescent="0.2">
      <c r="DO51876" s="303" t="s">
        <v>232</v>
      </c>
    </row>
    <row r="51877" spans="119:119" x14ac:dyDescent="0.2">
      <c r="DO51877" s="303" t="s">
        <v>232</v>
      </c>
    </row>
    <row r="51878" spans="119:119" x14ac:dyDescent="0.2">
      <c r="DO51878" s="303" t="s">
        <v>232</v>
      </c>
    </row>
    <row r="51879" spans="119:119" x14ac:dyDescent="0.2">
      <c r="DO51879" s="303" t="s">
        <v>232</v>
      </c>
    </row>
    <row r="51880" spans="119:119" x14ac:dyDescent="0.2">
      <c r="DO51880" s="303" t="s">
        <v>232</v>
      </c>
    </row>
    <row r="51881" spans="119:119" x14ac:dyDescent="0.2">
      <c r="DO51881" s="303" t="s">
        <v>232</v>
      </c>
    </row>
    <row r="51882" spans="119:119" x14ac:dyDescent="0.2">
      <c r="DO51882" s="303" t="s">
        <v>232</v>
      </c>
    </row>
    <row r="51883" spans="119:119" x14ac:dyDescent="0.2">
      <c r="DO51883" s="303" t="s">
        <v>232</v>
      </c>
    </row>
    <row r="51884" spans="119:119" x14ac:dyDescent="0.2">
      <c r="DO51884" s="303" t="s">
        <v>232</v>
      </c>
    </row>
    <row r="51885" spans="119:119" x14ac:dyDescent="0.2">
      <c r="DO51885" s="303" t="s">
        <v>232</v>
      </c>
    </row>
    <row r="51886" spans="119:119" x14ac:dyDescent="0.2">
      <c r="DO51886" s="303" t="s">
        <v>232</v>
      </c>
    </row>
    <row r="51887" spans="119:119" x14ac:dyDescent="0.2">
      <c r="DO51887" s="303" t="s">
        <v>232</v>
      </c>
    </row>
    <row r="51888" spans="119:119" x14ac:dyDescent="0.2">
      <c r="DO51888" s="303" t="s">
        <v>232</v>
      </c>
    </row>
    <row r="51889" spans="119:119" x14ac:dyDescent="0.2">
      <c r="DO51889" s="303" t="s">
        <v>232</v>
      </c>
    </row>
    <row r="51890" spans="119:119" x14ac:dyDescent="0.2">
      <c r="DO51890" s="303" t="s">
        <v>232</v>
      </c>
    </row>
    <row r="51891" spans="119:119" x14ac:dyDescent="0.2">
      <c r="DO51891" s="303" t="s">
        <v>232</v>
      </c>
    </row>
    <row r="51892" spans="119:119" x14ac:dyDescent="0.2">
      <c r="DO51892" s="303" t="s">
        <v>232</v>
      </c>
    </row>
    <row r="51893" spans="119:119" x14ac:dyDescent="0.2">
      <c r="DO51893" s="303" t="s">
        <v>232</v>
      </c>
    </row>
    <row r="51894" spans="119:119" x14ac:dyDescent="0.2">
      <c r="DO51894" s="303" t="s">
        <v>232</v>
      </c>
    </row>
    <row r="51895" spans="119:119" x14ac:dyDescent="0.2">
      <c r="DO51895" s="303" t="s">
        <v>232</v>
      </c>
    </row>
    <row r="51896" spans="119:119" x14ac:dyDescent="0.2">
      <c r="DO51896" s="303" t="s">
        <v>232</v>
      </c>
    </row>
    <row r="51897" spans="119:119" x14ac:dyDescent="0.2">
      <c r="DO51897" s="303" t="s">
        <v>232</v>
      </c>
    </row>
    <row r="51898" spans="119:119" x14ac:dyDescent="0.2">
      <c r="DO51898" s="303" t="s">
        <v>232</v>
      </c>
    </row>
    <row r="51899" spans="119:119" x14ac:dyDescent="0.2">
      <c r="DO51899" s="303" t="s">
        <v>232</v>
      </c>
    </row>
    <row r="51900" spans="119:119" x14ac:dyDescent="0.2">
      <c r="DO51900" s="303" t="s">
        <v>232</v>
      </c>
    </row>
    <row r="51901" spans="119:119" x14ac:dyDescent="0.2">
      <c r="DO51901" s="303" t="s">
        <v>232</v>
      </c>
    </row>
    <row r="51902" spans="119:119" x14ac:dyDescent="0.2">
      <c r="DO51902" s="303" t="s">
        <v>232</v>
      </c>
    </row>
    <row r="51903" spans="119:119" x14ac:dyDescent="0.2">
      <c r="DO51903" s="303" t="s">
        <v>232</v>
      </c>
    </row>
    <row r="51904" spans="119:119" x14ac:dyDescent="0.2">
      <c r="DO51904" s="303" t="s">
        <v>232</v>
      </c>
    </row>
    <row r="51905" spans="119:119" x14ac:dyDescent="0.2">
      <c r="DO51905" s="303" t="s">
        <v>232</v>
      </c>
    </row>
    <row r="51906" spans="119:119" x14ac:dyDescent="0.2">
      <c r="DO51906" s="303" t="s">
        <v>232</v>
      </c>
    </row>
    <row r="51907" spans="119:119" x14ac:dyDescent="0.2">
      <c r="DO51907" s="303" t="s">
        <v>232</v>
      </c>
    </row>
    <row r="51908" spans="119:119" x14ac:dyDescent="0.2">
      <c r="DO51908" s="303" t="s">
        <v>232</v>
      </c>
    </row>
    <row r="51909" spans="119:119" x14ac:dyDescent="0.2">
      <c r="DO51909" s="303" t="s">
        <v>232</v>
      </c>
    </row>
    <row r="51910" spans="119:119" x14ac:dyDescent="0.2">
      <c r="DO51910" s="303" t="s">
        <v>232</v>
      </c>
    </row>
    <row r="51911" spans="119:119" x14ac:dyDescent="0.2">
      <c r="DO51911" s="303" t="s">
        <v>232</v>
      </c>
    </row>
    <row r="51912" spans="119:119" x14ac:dyDescent="0.2">
      <c r="DO51912" s="303" t="s">
        <v>232</v>
      </c>
    </row>
    <row r="51913" spans="119:119" x14ac:dyDescent="0.2">
      <c r="DO51913" s="303" t="s">
        <v>232</v>
      </c>
    </row>
    <row r="51914" spans="119:119" x14ac:dyDescent="0.2">
      <c r="DO51914" s="303" t="s">
        <v>232</v>
      </c>
    </row>
    <row r="51915" spans="119:119" x14ac:dyDescent="0.2">
      <c r="DO51915" s="303" t="s">
        <v>232</v>
      </c>
    </row>
    <row r="51916" spans="119:119" x14ac:dyDescent="0.2">
      <c r="DO51916" s="303" t="s">
        <v>232</v>
      </c>
    </row>
    <row r="51917" spans="119:119" x14ac:dyDescent="0.2">
      <c r="DO51917" s="303" t="s">
        <v>232</v>
      </c>
    </row>
    <row r="51918" spans="119:119" x14ac:dyDescent="0.2">
      <c r="DO51918" s="303" t="s">
        <v>232</v>
      </c>
    </row>
    <row r="51919" spans="119:119" x14ac:dyDescent="0.2">
      <c r="DO51919" s="303" t="s">
        <v>232</v>
      </c>
    </row>
    <row r="51920" spans="119:119" x14ac:dyDescent="0.2">
      <c r="DO51920" s="303" t="s">
        <v>232</v>
      </c>
    </row>
    <row r="51921" spans="119:119" x14ac:dyDescent="0.2">
      <c r="DO51921" s="303" t="s">
        <v>232</v>
      </c>
    </row>
    <row r="51922" spans="119:119" x14ac:dyDescent="0.2">
      <c r="DO51922" s="303" t="s">
        <v>232</v>
      </c>
    </row>
    <row r="51923" spans="119:119" x14ac:dyDescent="0.2">
      <c r="DO51923" s="303" t="s">
        <v>232</v>
      </c>
    </row>
    <row r="51924" spans="119:119" x14ac:dyDescent="0.2">
      <c r="DO51924" s="303" t="s">
        <v>232</v>
      </c>
    </row>
    <row r="51925" spans="119:119" x14ac:dyDescent="0.2">
      <c r="DO51925" s="303" t="s">
        <v>232</v>
      </c>
    </row>
    <row r="51926" spans="119:119" x14ac:dyDescent="0.2">
      <c r="DO51926" s="303" t="s">
        <v>232</v>
      </c>
    </row>
    <row r="51927" spans="119:119" x14ac:dyDescent="0.2">
      <c r="DO51927" s="303" t="s">
        <v>232</v>
      </c>
    </row>
    <row r="51928" spans="119:119" x14ac:dyDescent="0.2">
      <c r="DO51928" s="303" t="s">
        <v>232</v>
      </c>
    </row>
    <row r="51929" spans="119:119" x14ac:dyDescent="0.2">
      <c r="DO51929" s="303" t="s">
        <v>232</v>
      </c>
    </row>
    <row r="51930" spans="119:119" x14ac:dyDescent="0.2">
      <c r="DO51930" s="303" t="s">
        <v>232</v>
      </c>
    </row>
    <row r="51931" spans="119:119" x14ac:dyDescent="0.2">
      <c r="DO51931" s="303" t="s">
        <v>232</v>
      </c>
    </row>
    <row r="51932" spans="119:119" x14ac:dyDescent="0.2">
      <c r="DO51932" s="303" t="s">
        <v>232</v>
      </c>
    </row>
    <row r="51933" spans="119:119" x14ac:dyDescent="0.2">
      <c r="DO51933" s="303" t="s">
        <v>232</v>
      </c>
    </row>
    <row r="51934" spans="119:119" x14ac:dyDescent="0.2">
      <c r="DO51934" s="303" t="s">
        <v>232</v>
      </c>
    </row>
    <row r="51935" spans="119:119" x14ac:dyDescent="0.2">
      <c r="DO51935" s="303" t="s">
        <v>232</v>
      </c>
    </row>
    <row r="51936" spans="119:119" x14ac:dyDescent="0.2">
      <c r="DO51936" s="303" t="s">
        <v>232</v>
      </c>
    </row>
    <row r="51937" spans="119:119" x14ac:dyDescent="0.2">
      <c r="DO51937" s="303" t="s">
        <v>232</v>
      </c>
    </row>
    <row r="51938" spans="119:119" x14ac:dyDescent="0.2">
      <c r="DO51938" s="303" t="s">
        <v>232</v>
      </c>
    </row>
    <row r="51939" spans="119:119" x14ac:dyDescent="0.2">
      <c r="DO51939" s="303" t="s">
        <v>232</v>
      </c>
    </row>
    <row r="51940" spans="119:119" x14ac:dyDescent="0.2">
      <c r="DO51940" s="303" t="s">
        <v>232</v>
      </c>
    </row>
    <row r="51941" spans="119:119" x14ac:dyDescent="0.2">
      <c r="DO51941" s="303" t="s">
        <v>232</v>
      </c>
    </row>
    <row r="51942" spans="119:119" x14ac:dyDescent="0.2">
      <c r="DO51942" s="303" t="s">
        <v>232</v>
      </c>
    </row>
    <row r="51943" spans="119:119" x14ac:dyDescent="0.2">
      <c r="DO51943" s="303" t="s">
        <v>232</v>
      </c>
    </row>
    <row r="51944" spans="119:119" x14ac:dyDescent="0.2">
      <c r="DO51944" s="303" t="s">
        <v>232</v>
      </c>
    </row>
    <row r="51945" spans="119:119" x14ac:dyDescent="0.2">
      <c r="DO51945" s="303" t="s">
        <v>232</v>
      </c>
    </row>
    <row r="51946" spans="119:119" x14ac:dyDescent="0.2">
      <c r="DO51946" s="303" t="s">
        <v>232</v>
      </c>
    </row>
    <row r="51947" spans="119:119" x14ac:dyDescent="0.2">
      <c r="DO51947" s="303" t="s">
        <v>232</v>
      </c>
    </row>
    <row r="51948" spans="119:119" x14ac:dyDescent="0.2">
      <c r="DO51948" s="303" t="s">
        <v>232</v>
      </c>
    </row>
    <row r="51949" spans="119:119" x14ac:dyDescent="0.2">
      <c r="DO51949" s="303" t="s">
        <v>232</v>
      </c>
    </row>
    <row r="51950" spans="119:119" x14ac:dyDescent="0.2">
      <c r="DO51950" s="303" t="s">
        <v>232</v>
      </c>
    </row>
    <row r="51951" spans="119:119" x14ac:dyDescent="0.2">
      <c r="DO51951" s="303" t="s">
        <v>232</v>
      </c>
    </row>
    <row r="51952" spans="119:119" x14ac:dyDescent="0.2">
      <c r="DO51952" s="303" t="s">
        <v>232</v>
      </c>
    </row>
    <row r="51953" spans="119:119" x14ac:dyDescent="0.2">
      <c r="DO51953" s="303" t="s">
        <v>232</v>
      </c>
    </row>
    <row r="51954" spans="119:119" x14ac:dyDescent="0.2">
      <c r="DO51954" s="303" t="s">
        <v>232</v>
      </c>
    </row>
    <row r="51955" spans="119:119" x14ac:dyDescent="0.2">
      <c r="DO51955" s="303" t="s">
        <v>232</v>
      </c>
    </row>
    <row r="51956" spans="119:119" x14ac:dyDescent="0.2">
      <c r="DO51956" s="303" t="s">
        <v>232</v>
      </c>
    </row>
    <row r="51957" spans="119:119" x14ac:dyDescent="0.2">
      <c r="DO51957" s="303" t="s">
        <v>232</v>
      </c>
    </row>
    <row r="51958" spans="119:119" x14ac:dyDescent="0.2">
      <c r="DO51958" s="303" t="s">
        <v>232</v>
      </c>
    </row>
    <row r="51959" spans="119:119" x14ac:dyDescent="0.2">
      <c r="DO51959" s="303" t="s">
        <v>232</v>
      </c>
    </row>
    <row r="51960" spans="119:119" x14ac:dyDescent="0.2">
      <c r="DO51960" s="303" t="s">
        <v>232</v>
      </c>
    </row>
    <row r="51961" spans="119:119" x14ac:dyDescent="0.2">
      <c r="DO51961" s="303" t="s">
        <v>232</v>
      </c>
    </row>
    <row r="51962" spans="119:119" x14ac:dyDescent="0.2">
      <c r="DO51962" s="303" t="s">
        <v>232</v>
      </c>
    </row>
    <row r="51963" spans="119:119" x14ac:dyDescent="0.2">
      <c r="DO51963" s="303" t="s">
        <v>232</v>
      </c>
    </row>
    <row r="51964" spans="119:119" x14ac:dyDescent="0.2">
      <c r="DO51964" s="303" t="s">
        <v>232</v>
      </c>
    </row>
    <row r="51965" spans="119:119" x14ac:dyDescent="0.2">
      <c r="DO51965" s="303" t="s">
        <v>232</v>
      </c>
    </row>
    <row r="51966" spans="119:119" x14ac:dyDescent="0.2">
      <c r="DO51966" s="303" t="s">
        <v>232</v>
      </c>
    </row>
    <row r="51967" spans="119:119" x14ac:dyDescent="0.2">
      <c r="DO51967" s="303" t="s">
        <v>232</v>
      </c>
    </row>
    <row r="51968" spans="119:119" x14ac:dyDescent="0.2">
      <c r="DO51968" s="303" t="s">
        <v>232</v>
      </c>
    </row>
    <row r="51969" spans="119:119" x14ac:dyDescent="0.2">
      <c r="DO51969" s="303" t="s">
        <v>232</v>
      </c>
    </row>
    <row r="51970" spans="119:119" x14ac:dyDescent="0.2">
      <c r="DO51970" s="303" t="s">
        <v>232</v>
      </c>
    </row>
    <row r="51971" spans="119:119" x14ac:dyDescent="0.2">
      <c r="DO51971" s="303" t="s">
        <v>232</v>
      </c>
    </row>
    <row r="51972" spans="119:119" x14ac:dyDescent="0.2">
      <c r="DO51972" s="303" t="s">
        <v>232</v>
      </c>
    </row>
    <row r="51973" spans="119:119" x14ac:dyDescent="0.2">
      <c r="DO51973" s="303" t="s">
        <v>232</v>
      </c>
    </row>
    <row r="51974" spans="119:119" x14ac:dyDescent="0.2">
      <c r="DO51974" s="303" t="s">
        <v>232</v>
      </c>
    </row>
    <row r="51975" spans="119:119" x14ac:dyDescent="0.2">
      <c r="DO51975" s="303" t="s">
        <v>232</v>
      </c>
    </row>
    <row r="51976" spans="119:119" x14ac:dyDescent="0.2">
      <c r="DO51976" s="303" t="s">
        <v>232</v>
      </c>
    </row>
    <row r="51977" spans="119:119" x14ac:dyDescent="0.2">
      <c r="DO51977" s="303" t="s">
        <v>232</v>
      </c>
    </row>
    <row r="51978" spans="119:119" x14ac:dyDescent="0.2">
      <c r="DO51978" s="303" t="s">
        <v>232</v>
      </c>
    </row>
    <row r="51979" spans="119:119" x14ac:dyDescent="0.2">
      <c r="DO51979" s="303" t="s">
        <v>232</v>
      </c>
    </row>
    <row r="51980" spans="119:119" x14ac:dyDescent="0.2">
      <c r="DO51980" s="303" t="s">
        <v>232</v>
      </c>
    </row>
    <row r="51981" spans="119:119" x14ac:dyDescent="0.2">
      <c r="DO51981" s="303" t="s">
        <v>232</v>
      </c>
    </row>
    <row r="51982" spans="119:119" x14ac:dyDescent="0.2">
      <c r="DO51982" s="303" t="s">
        <v>232</v>
      </c>
    </row>
    <row r="51983" spans="119:119" x14ac:dyDescent="0.2">
      <c r="DO51983" s="303" t="s">
        <v>232</v>
      </c>
    </row>
    <row r="51984" spans="119:119" x14ac:dyDescent="0.2">
      <c r="DO51984" s="303" t="s">
        <v>232</v>
      </c>
    </row>
    <row r="51985" spans="119:119" x14ac:dyDescent="0.2">
      <c r="DO51985" s="303" t="s">
        <v>232</v>
      </c>
    </row>
    <row r="51986" spans="119:119" x14ac:dyDescent="0.2">
      <c r="DO51986" s="303" t="s">
        <v>232</v>
      </c>
    </row>
    <row r="51987" spans="119:119" x14ac:dyDescent="0.2">
      <c r="DO51987" s="303" t="s">
        <v>232</v>
      </c>
    </row>
    <row r="51988" spans="119:119" x14ac:dyDescent="0.2">
      <c r="DO51988" s="303" t="s">
        <v>232</v>
      </c>
    </row>
    <row r="51989" spans="119:119" x14ac:dyDescent="0.2">
      <c r="DO51989" s="303" t="s">
        <v>232</v>
      </c>
    </row>
    <row r="51990" spans="119:119" x14ac:dyDescent="0.2">
      <c r="DO51990" s="303" t="s">
        <v>232</v>
      </c>
    </row>
    <row r="51991" spans="119:119" x14ac:dyDescent="0.2">
      <c r="DO51991" s="303" t="s">
        <v>232</v>
      </c>
    </row>
    <row r="51992" spans="119:119" x14ac:dyDescent="0.2">
      <c r="DO51992" s="303" t="s">
        <v>232</v>
      </c>
    </row>
    <row r="51993" spans="119:119" x14ac:dyDescent="0.2">
      <c r="DO51993" s="303" t="s">
        <v>232</v>
      </c>
    </row>
    <row r="51994" spans="119:119" x14ac:dyDescent="0.2">
      <c r="DO51994" s="303" t="s">
        <v>232</v>
      </c>
    </row>
    <row r="51995" spans="119:119" x14ac:dyDescent="0.2">
      <c r="DO51995" s="303" t="s">
        <v>232</v>
      </c>
    </row>
    <row r="51996" spans="119:119" x14ac:dyDescent="0.2">
      <c r="DO51996" s="303" t="s">
        <v>232</v>
      </c>
    </row>
    <row r="51997" spans="119:119" x14ac:dyDescent="0.2">
      <c r="DO51997" s="303" t="s">
        <v>232</v>
      </c>
    </row>
    <row r="51998" spans="119:119" x14ac:dyDescent="0.2">
      <c r="DO51998" s="303" t="s">
        <v>232</v>
      </c>
    </row>
    <row r="51999" spans="119:119" x14ac:dyDescent="0.2">
      <c r="DO51999" s="303" t="s">
        <v>232</v>
      </c>
    </row>
    <row r="52000" spans="119:119" x14ac:dyDescent="0.2">
      <c r="DO52000" s="303" t="s">
        <v>232</v>
      </c>
    </row>
    <row r="52001" spans="119:119" x14ac:dyDescent="0.2">
      <c r="DO52001" s="303" t="s">
        <v>232</v>
      </c>
    </row>
    <row r="52002" spans="119:119" x14ac:dyDescent="0.2">
      <c r="DO52002" s="303" t="s">
        <v>232</v>
      </c>
    </row>
    <row r="52003" spans="119:119" x14ac:dyDescent="0.2">
      <c r="DO52003" s="303" t="s">
        <v>232</v>
      </c>
    </row>
    <row r="52004" spans="119:119" x14ac:dyDescent="0.2">
      <c r="DO52004" s="303" t="s">
        <v>232</v>
      </c>
    </row>
    <row r="52005" spans="119:119" x14ac:dyDescent="0.2">
      <c r="DO52005" s="303" t="s">
        <v>232</v>
      </c>
    </row>
    <row r="52006" spans="119:119" x14ac:dyDescent="0.2">
      <c r="DO52006" s="303" t="s">
        <v>232</v>
      </c>
    </row>
    <row r="52007" spans="119:119" x14ac:dyDescent="0.2">
      <c r="DO52007" s="303" t="s">
        <v>232</v>
      </c>
    </row>
    <row r="52008" spans="119:119" x14ac:dyDescent="0.2">
      <c r="DO52008" s="303" t="s">
        <v>232</v>
      </c>
    </row>
    <row r="52009" spans="119:119" x14ac:dyDescent="0.2">
      <c r="DO52009" s="303" t="s">
        <v>232</v>
      </c>
    </row>
    <row r="52010" spans="119:119" x14ac:dyDescent="0.2">
      <c r="DO52010" s="303" t="s">
        <v>232</v>
      </c>
    </row>
    <row r="52011" spans="119:119" x14ac:dyDescent="0.2">
      <c r="DO52011" s="303" t="s">
        <v>232</v>
      </c>
    </row>
    <row r="52012" spans="119:119" x14ac:dyDescent="0.2">
      <c r="DO52012" s="303" t="s">
        <v>232</v>
      </c>
    </row>
    <row r="52013" spans="119:119" x14ac:dyDescent="0.2">
      <c r="DO52013" s="303" t="s">
        <v>232</v>
      </c>
    </row>
    <row r="52014" spans="119:119" x14ac:dyDescent="0.2">
      <c r="DO52014" s="303" t="s">
        <v>232</v>
      </c>
    </row>
    <row r="52015" spans="119:119" x14ac:dyDescent="0.2">
      <c r="DO52015" s="303" t="s">
        <v>232</v>
      </c>
    </row>
    <row r="52016" spans="119:119" x14ac:dyDescent="0.2">
      <c r="DO52016" s="303" t="s">
        <v>232</v>
      </c>
    </row>
    <row r="52017" spans="119:119" x14ac:dyDescent="0.2">
      <c r="DO52017" s="303" t="s">
        <v>232</v>
      </c>
    </row>
    <row r="52018" spans="119:119" x14ac:dyDescent="0.2">
      <c r="DO52018" s="303" t="s">
        <v>232</v>
      </c>
    </row>
    <row r="52019" spans="119:119" x14ac:dyDescent="0.2">
      <c r="DO52019" s="303" t="s">
        <v>232</v>
      </c>
    </row>
    <row r="52020" spans="119:119" x14ac:dyDescent="0.2">
      <c r="DO52020" s="303" t="s">
        <v>232</v>
      </c>
    </row>
    <row r="52021" spans="119:119" x14ac:dyDescent="0.2">
      <c r="DO52021" s="303" t="s">
        <v>232</v>
      </c>
    </row>
    <row r="52022" spans="119:119" x14ac:dyDescent="0.2">
      <c r="DO52022" s="303" t="s">
        <v>232</v>
      </c>
    </row>
    <row r="52023" spans="119:119" x14ac:dyDescent="0.2">
      <c r="DO52023" s="303" t="s">
        <v>232</v>
      </c>
    </row>
    <row r="52024" spans="119:119" x14ac:dyDescent="0.2">
      <c r="DO52024" s="303" t="s">
        <v>232</v>
      </c>
    </row>
    <row r="52025" spans="119:119" x14ac:dyDescent="0.2">
      <c r="DO52025" s="303" t="s">
        <v>232</v>
      </c>
    </row>
    <row r="52026" spans="119:119" x14ac:dyDescent="0.2">
      <c r="DO52026" s="303" t="s">
        <v>232</v>
      </c>
    </row>
    <row r="52027" spans="119:119" x14ac:dyDescent="0.2">
      <c r="DO52027" s="303" t="s">
        <v>232</v>
      </c>
    </row>
    <row r="52028" spans="119:119" x14ac:dyDescent="0.2">
      <c r="DO52028" s="303" t="s">
        <v>232</v>
      </c>
    </row>
    <row r="52029" spans="119:119" x14ac:dyDescent="0.2">
      <c r="DO52029" s="303" t="s">
        <v>232</v>
      </c>
    </row>
    <row r="52030" spans="119:119" x14ac:dyDescent="0.2">
      <c r="DO52030" s="303" t="s">
        <v>232</v>
      </c>
    </row>
    <row r="52031" spans="119:119" x14ac:dyDescent="0.2">
      <c r="DO52031" s="303" t="s">
        <v>232</v>
      </c>
    </row>
    <row r="52032" spans="119:119" x14ac:dyDescent="0.2">
      <c r="DO52032" s="303" t="s">
        <v>232</v>
      </c>
    </row>
    <row r="52033" spans="119:119" x14ac:dyDescent="0.2">
      <c r="DO52033" s="303" t="s">
        <v>232</v>
      </c>
    </row>
    <row r="52034" spans="119:119" x14ac:dyDescent="0.2">
      <c r="DO52034" s="303" t="s">
        <v>232</v>
      </c>
    </row>
    <row r="52035" spans="119:119" x14ac:dyDescent="0.2">
      <c r="DO52035" s="303" t="s">
        <v>232</v>
      </c>
    </row>
    <row r="52036" spans="119:119" x14ac:dyDescent="0.2">
      <c r="DO52036" s="303" t="s">
        <v>232</v>
      </c>
    </row>
    <row r="52037" spans="119:119" x14ac:dyDescent="0.2">
      <c r="DO52037" s="303" t="s">
        <v>232</v>
      </c>
    </row>
    <row r="52038" spans="119:119" x14ac:dyDescent="0.2">
      <c r="DO52038" s="303" t="s">
        <v>232</v>
      </c>
    </row>
    <row r="52039" spans="119:119" x14ac:dyDescent="0.2">
      <c r="DO52039" s="303" t="s">
        <v>232</v>
      </c>
    </row>
    <row r="52040" spans="119:119" x14ac:dyDescent="0.2">
      <c r="DO52040" s="303" t="s">
        <v>232</v>
      </c>
    </row>
    <row r="52041" spans="119:119" x14ac:dyDescent="0.2">
      <c r="DO52041" s="303" t="s">
        <v>232</v>
      </c>
    </row>
    <row r="52042" spans="119:119" x14ac:dyDescent="0.2">
      <c r="DO52042" s="303" t="s">
        <v>232</v>
      </c>
    </row>
    <row r="52043" spans="119:119" x14ac:dyDescent="0.2">
      <c r="DO52043" s="303" t="s">
        <v>232</v>
      </c>
    </row>
    <row r="52044" spans="119:119" x14ac:dyDescent="0.2">
      <c r="DO52044" s="303" t="s">
        <v>232</v>
      </c>
    </row>
    <row r="52045" spans="119:119" x14ac:dyDescent="0.2">
      <c r="DO52045" s="303" t="s">
        <v>232</v>
      </c>
    </row>
    <row r="52046" spans="119:119" x14ac:dyDescent="0.2">
      <c r="DO52046" s="303" t="s">
        <v>232</v>
      </c>
    </row>
    <row r="52047" spans="119:119" x14ac:dyDescent="0.2">
      <c r="DO52047" s="303" t="s">
        <v>232</v>
      </c>
    </row>
    <row r="52048" spans="119:119" x14ac:dyDescent="0.2">
      <c r="DO52048" s="303" t="s">
        <v>232</v>
      </c>
    </row>
    <row r="52049" spans="119:119" x14ac:dyDescent="0.2">
      <c r="DO52049" s="303" t="s">
        <v>232</v>
      </c>
    </row>
    <row r="52050" spans="119:119" x14ac:dyDescent="0.2">
      <c r="DO52050" s="303" t="s">
        <v>232</v>
      </c>
    </row>
    <row r="52051" spans="119:119" x14ac:dyDescent="0.2">
      <c r="DO52051" s="303" t="s">
        <v>232</v>
      </c>
    </row>
    <row r="52052" spans="119:119" x14ac:dyDescent="0.2">
      <c r="DO52052" s="303" t="s">
        <v>232</v>
      </c>
    </row>
    <row r="52053" spans="119:119" x14ac:dyDescent="0.2">
      <c r="DO52053" s="303" t="s">
        <v>232</v>
      </c>
    </row>
    <row r="52054" spans="119:119" x14ac:dyDescent="0.2">
      <c r="DO52054" s="303" t="s">
        <v>232</v>
      </c>
    </row>
    <row r="52055" spans="119:119" x14ac:dyDescent="0.2">
      <c r="DO52055" s="303" t="s">
        <v>232</v>
      </c>
    </row>
    <row r="52056" spans="119:119" x14ac:dyDescent="0.2">
      <c r="DO52056" s="303" t="s">
        <v>232</v>
      </c>
    </row>
    <row r="52057" spans="119:119" x14ac:dyDescent="0.2">
      <c r="DO52057" s="303" t="s">
        <v>232</v>
      </c>
    </row>
    <row r="52058" spans="119:119" x14ac:dyDescent="0.2">
      <c r="DO52058" s="303" t="s">
        <v>232</v>
      </c>
    </row>
    <row r="52059" spans="119:119" x14ac:dyDescent="0.2">
      <c r="DO52059" s="303" t="s">
        <v>232</v>
      </c>
    </row>
    <row r="52060" spans="119:119" x14ac:dyDescent="0.2">
      <c r="DO52060" s="303" t="s">
        <v>232</v>
      </c>
    </row>
    <row r="52061" spans="119:119" x14ac:dyDescent="0.2">
      <c r="DO52061" s="303" t="s">
        <v>232</v>
      </c>
    </row>
    <row r="52062" spans="119:119" x14ac:dyDescent="0.2">
      <c r="DO52062" s="303" t="s">
        <v>232</v>
      </c>
    </row>
    <row r="52063" spans="119:119" x14ac:dyDescent="0.2">
      <c r="DO52063" s="303" t="s">
        <v>232</v>
      </c>
    </row>
    <row r="52064" spans="119:119" x14ac:dyDescent="0.2">
      <c r="DO52064" s="303" t="s">
        <v>232</v>
      </c>
    </row>
    <row r="52065" spans="119:119" x14ac:dyDescent="0.2">
      <c r="DO52065" s="303" t="s">
        <v>232</v>
      </c>
    </row>
    <row r="52066" spans="119:119" x14ac:dyDescent="0.2">
      <c r="DO52066" s="303" t="s">
        <v>232</v>
      </c>
    </row>
    <row r="52067" spans="119:119" x14ac:dyDescent="0.2">
      <c r="DO52067" s="303" t="s">
        <v>232</v>
      </c>
    </row>
    <row r="52068" spans="119:119" x14ac:dyDescent="0.2">
      <c r="DO52068" s="303" t="s">
        <v>232</v>
      </c>
    </row>
    <row r="52069" spans="119:119" x14ac:dyDescent="0.2">
      <c r="DO52069" s="303" t="s">
        <v>232</v>
      </c>
    </row>
    <row r="52070" spans="119:119" x14ac:dyDescent="0.2">
      <c r="DO52070" s="303" t="s">
        <v>232</v>
      </c>
    </row>
    <row r="52071" spans="119:119" x14ac:dyDescent="0.2">
      <c r="DO52071" s="303" t="s">
        <v>232</v>
      </c>
    </row>
    <row r="52072" spans="119:119" x14ac:dyDescent="0.2">
      <c r="DO52072" s="303" t="s">
        <v>232</v>
      </c>
    </row>
    <row r="52073" spans="119:119" x14ac:dyDescent="0.2">
      <c r="DO52073" s="303" t="s">
        <v>232</v>
      </c>
    </row>
    <row r="52074" spans="119:119" x14ac:dyDescent="0.2">
      <c r="DO52074" s="303" t="s">
        <v>232</v>
      </c>
    </row>
    <row r="52075" spans="119:119" x14ac:dyDescent="0.2">
      <c r="DO52075" s="303" t="s">
        <v>232</v>
      </c>
    </row>
    <row r="52076" spans="119:119" x14ac:dyDescent="0.2">
      <c r="DO52076" s="303" t="s">
        <v>232</v>
      </c>
    </row>
    <row r="52077" spans="119:119" x14ac:dyDescent="0.2">
      <c r="DO52077" s="303" t="s">
        <v>232</v>
      </c>
    </row>
    <row r="52078" spans="119:119" x14ac:dyDescent="0.2">
      <c r="DO52078" s="303" t="s">
        <v>232</v>
      </c>
    </row>
    <row r="52079" spans="119:119" x14ac:dyDescent="0.2">
      <c r="DO52079" s="303" t="s">
        <v>232</v>
      </c>
    </row>
    <row r="52080" spans="119:119" x14ac:dyDescent="0.2">
      <c r="DO52080" s="303" t="s">
        <v>232</v>
      </c>
    </row>
    <row r="52081" spans="119:119" x14ac:dyDescent="0.2">
      <c r="DO52081" s="303" t="s">
        <v>232</v>
      </c>
    </row>
    <row r="52082" spans="119:119" x14ac:dyDescent="0.2">
      <c r="DO52082" s="303" t="s">
        <v>232</v>
      </c>
    </row>
    <row r="52083" spans="119:119" x14ac:dyDescent="0.2">
      <c r="DO52083" s="303" t="s">
        <v>232</v>
      </c>
    </row>
    <row r="52084" spans="119:119" x14ac:dyDescent="0.2">
      <c r="DO52084" s="303" t="s">
        <v>232</v>
      </c>
    </row>
    <row r="52085" spans="119:119" x14ac:dyDescent="0.2">
      <c r="DO52085" s="303" t="s">
        <v>232</v>
      </c>
    </row>
    <row r="52086" spans="119:119" x14ac:dyDescent="0.2">
      <c r="DO52086" s="303" t="s">
        <v>232</v>
      </c>
    </row>
    <row r="52087" spans="119:119" x14ac:dyDescent="0.2">
      <c r="DO52087" s="303" t="s">
        <v>232</v>
      </c>
    </row>
    <row r="52088" spans="119:119" x14ac:dyDescent="0.2">
      <c r="DO52088" s="303" t="s">
        <v>232</v>
      </c>
    </row>
    <row r="52089" spans="119:119" x14ac:dyDescent="0.2">
      <c r="DO52089" s="303" t="s">
        <v>232</v>
      </c>
    </row>
    <row r="52090" spans="119:119" x14ac:dyDescent="0.2">
      <c r="DO52090" s="303" t="s">
        <v>232</v>
      </c>
    </row>
    <row r="52091" spans="119:119" x14ac:dyDescent="0.2">
      <c r="DO52091" s="303" t="s">
        <v>232</v>
      </c>
    </row>
    <row r="52092" spans="119:119" x14ac:dyDescent="0.2">
      <c r="DO52092" s="303" t="s">
        <v>232</v>
      </c>
    </row>
    <row r="52093" spans="119:119" x14ac:dyDescent="0.2">
      <c r="DO52093" s="303" t="s">
        <v>232</v>
      </c>
    </row>
    <row r="52094" spans="119:119" x14ac:dyDescent="0.2">
      <c r="DO52094" s="303" t="s">
        <v>232</v>
      </c>
    </row>
    <row r="52095" spans="119:119" x14ac:dyDescent="0.2">
      <c r="DO52095" s="303" t="s">
        <v>232</v>
      </c>
    </row>
    <row r="52096" spans="119:119" x14ac:dyDescent="0.2">
      <c r="DO52096" s="303" t="s">
        <v>232</v>
      </c>
    </row>
    <row r="52097" spans="119:119" x14ac:dyDescent="0.2">
      <c r="DO52097" s="303" t="s">
        <v>232</v>
      </c>
    </row>
    <row r="52098" spans="119:119" x14ac:dyDescent="0.2">
      <c r="DO52098" s="303" t="s">
        <v>232</v>
      </c>
    </row>
    <row r="52099" spans="119:119" x14ac:dyDescent="0.2">
      <c r="DO52099" s="303" t="s">
        <v>232</v>
      </c>
    </row>
    <row r="52100" spans="119:119" x14ac:dyDescent="0.2">
      <c r="DO52100" s="303" t="s">
        <v>232</v>
      </c>
    </row>
    <row r="52101" spans="119:119" x14ac:dyDescent="0.2">
      <c r="DO52101" s="303" t="s">
        <v>232</v>
      </c>
    </row>
    <row r="52102" spans="119:119" x14ac:dyDescent="0.2">
      <c r="DO52102" s="303" t="s">
        <v>232</v>
      </c>
    </row>
    <row r="52103" spans="119:119" x14ac:dyDescent="0.2">
      <c r="DO52103" s="303" t="s">
        <v>232</v>
      </c>
    </row>
    <row r="52104" spans="119:119" x14ac:dyDescent="0.2">
      <c r="DO52104" s="303" t="s">
        <v>232</v>
      </c>
    </row>
    <row r="52105" spans="119:119" x14ac:dyDescent="0.2">
      <c r="DO52105" s="303" t="s">
        <v>232</v>
      </c>
    </row>
    <row r="52106" spans="119:119" x14ac:dyDescent="0.2">
      <c r="DO52106" s="303" t="s">
        <v>232</v>
      </c>
    </row>
    <row r="52107" spans="119:119" x14ac:dyDescent="0.2">
      <c r="DO52107" s="303" t="s">
        <v>232</v>
      </c>
    </row>
    <row r="52108" spans="119:119" x14ac:dyDescent="0.2">
      <c r="DO52108" s="303" t="s">
        <v>232</v>
      </c>
    </row>
    <row r="52109" spans="119:119" x14ac:dyDescent="0.2">
      <c r="DO52109" s="303" t="s">
        <v>232</v>
      </c>
    </row>
    <row r="52110" spans="119:119" x14ac:dyDescent="0.2">
      <c r="DO52110" s="303" t="s">
        <v>232</v>
      </c>
    </row>
    <row r="52111" spans="119:119" x14ac:dyDescent="0.2">
      <c r="DO52111" s="303" t="s">
        <v>232</v>
      </c>
    </row>
    <row r="52112" spans="119:119" x14ac:dyDescent="0.2">
      <c r="DO52112" s="303" t="s">
        <v>232</v>
      </c>
    </row>
    <row r="52113" spans="119:119" x14ac:dyDescent="0.2">
      <c r="DO52113" s="303" t="s">
        <v>232</v>
      </c>
    </row>
    <row r="52114" spans="119:119" x14ac:dyDescent="0.2">
      <c r="DO52114" s="303" t="s">
        <v>232</v>
      </c>
    </row>
    <row r="52115" spans="119:119" x14ac:dyDescent="0.2">
      <c r="DO52115" s="303" t="s">
        <v>232</v>
      </c>
    </row>
    <row r="52116" spans="119:119" x14ac:dyDescent="0.2">
      <c r="DO52116" s="303" t="s">
        <v>232</v>
      </c>
    </row>
    <row r="52117" spans="119:119" x14ac:dyDescent="0.2">
      <c r="DO52117" s="303" t="s">
        <v>232</v>
      </c>
    </row>
    <row r="52118" spans="119:119" x14ac:dyDescent="0.2">
      <c r="DO52118" s="303" t="s">
        <v>232</v>
      </c>
    </row>
    <row r="52119" spans="119:119" x14ac:dyDescent="0.2">
      <c r="DO52119" s="303" t="s">
        <v>232</v>
      </c>
    </row>
    <row r="52120" spans="119:119" x14ac:dyDescent="0.2">
      <c r="DO52120" s="303" t="s">
        <v>232</v>
      </c>
    </row>
    <row r="52121" spans="119:119" x14ac:dyDescent="0.2">
      <c r="DO52121" s="303" t="s">
        <v>232</v>
      </c>
    </row>
    <row r="52122" spans="119:119" x14ac:dyDescent="0.2">
      <c r="DO52122" s="303" t="s">
        <v>232</v>
      </c>
    </row>
    <row r="52123" spans="119:119" x14ac:dyDescent="0.2">
      <c r="DO52123" s="303" t="s">
        <v>232</v>
      </c>
    </row>
    <row r="52124" spans="119:119" x14ac:dyDescent="0.2">
      <c r="DO52124" s="303" t="s">
        <v>232</v>
      </c>
    </row>
    <row r="52125" spans="119:119" x14ac:dyDescent="0.2">
      <c r="DO52125" s="303" t="s">
        <v>232</v>
      </c>
    </row>
    <row r="52126" spans="119:119" x14ac:dyDescent="0.2">
      <c r="DO52126" s="303" t="s">
        <v>232</v>
      </c>
    </row>
    <row r="52127" spans="119:119" x14ac:dyDescent="0.2">
      <c r="DO52127" s="303" t="s">
        <v>232</v>
      </c>
    </row>
    <row r="52128" spans="119:119" x14ac:dyDescent="0.2">
      <c r="DO52128" s="303" t="s">
        <v>232</v>
      </c>
    </row>
    <row r="52129" spans="119:119" x14ac:dyDescent="0.2">
      <c r="DO52129" s="303" t="s">
        <v>232</v>
      </c>
    </row>
    <row r="52130" spans="119:119" x14ac:dyDescent="0.2">
      <c r="DO52130" s="303" t="s">
        <v>232</v>
      </c>
    </row>
    <row r="52131" spans="119:119" x14ac:dyDescent="0.2">
      <c r="DO52131" s="303" t="s">
        <v>232</v>
      </c>
    </row>
    <row r="52132" spans="119:119" x14ac:dyDescent="0.2">
      <c r="DO52132" s="303" t="s">
        <v>232</v>
      </c>
    </row>
    <row r="52133" spans="119:119" x14ac:dyDescent="0.2">
      <c r="DO52133" s="303" t="s">
        <v>232</v>
      </c>
    </row>
    <row r="52134" spans="119:119" x14ac:dyDescent="0.2">
      <c r="DO52134" s="303" t="s">
        <v>232</v>
      </c>
    </row>
    <row r="52135" spans="119:119" x14ac:dyDescent="0.2">
      <c r="DO52135" s="303" t="s">
        <v>232</v>
      </c>
    </row>
    <row r="52136" spans="119:119" x14ac:dyDescent="0.2">
      <c r="DO52136" s="303" t="s">
        <v>232</v>
      </c>
    </row>
    <row r="52137" spans="119:119" x14ac:dyDescent="0.2">
      <c r="DO52137" s="303" t="s">
        <v>232</v>
      </c>
    </row>
    <row r="52138" spans="119:119" x14ac:dyDescent="0.2">
      <c r="DO52138" s="303" t="s">
        <v>232</v>
      </c>
    </row>
    <row r="52139" spans="119:119" x14ac:dyDescent="0.2">
      <c r="DO52139" s="303" t="s">
        <v>232</v>
      </c>
    </row>
    <row r="52140" spans="119:119" x14ac:dyDescent="0.2">
      <c r="DO52140" s="303" t="s">
        <v>232</v>
      </c>
    </row>
    <row r="52141" spans="119:119" x14ac:dyDescent="0.2">
      <c r="DO52141" s="303" t="s">
        <v>232</v>
      </c>
    </row>
    <row r="52142" spans="119:119" x14ac:dyDescent="0.2">
      <c r="DO52142" s="303" t="s">
        <v>232</v>
      </c>
    </row>
    <row r="52143" spans="119:119" x14ac:dyDescent="0.2">
      <c r="DO52143" s="303" t="s">
        <v>232</v>
      </c>
    </row>
    <row r="52144" spans="119:119" x14ac:dyDescent="0.2">
      <c r="DO52144" s="303" t="s">
        <v>232</v>
      </c>
    </row>
    <row r="52145" spans="119:119" x14ac:dyDescent="0.2">
      <c r="DO52145" s="303" t="s">
        <v>232</v>
      </c>
    </row>
    <row r="52146" spans="119:119" x14ac:dyDescent="0.2">
      <c r="DO52146" s="303" t="s">
        <v>232</v>
      </c>
    </row>
    <row r="52147" spans="119:119" x14ac:dyDescent="0.2">
      <c r="DO52147" s="303" t="s">
        <v>232</v>
      </c>
    </row>
    <row r="52148" spans="119:119" x14ac:dyDescent="0.2">
      <c r="DO52148" s="303" t="s">
        <v>232</v>
      </c>
    </row>
    <row r="52149" spans="119:119" x14ac:dyDescent="0.2">
      <c r="DO52149" s="303" t="s">
        <v>232</v>
      </c>
    </row>
    <row r="52150" spans="119:119" x14ac:dyDescent="0.2">
      <c r="DO52150" s="303" t="s">
        <v>232</v>
      </c>
    </row>
    <row r="52151" spans="119:119" x14ac:dyDescent="0.2">
      <c r="DO52151" s="303" t="s">
        <v>232</v>
      </c>
    </row>
    <row r="52152" spans="119:119" x14ac:dyDescent="0.2">
      <c r="DO52152" s="303" t="s">
        <v>232</v>
      </c>
    </row>
    <row r="52153" spans="119:119" x14ac:dyDescent="0.2">
      <c r="DO52153" s="303" t="s">
        <v>232</v>
      </c>
    </row>
    <row r="52154" spans="119:119" x14ac:dyDescent="0.2">
      <c r="DO52154" s="303" t="s">
        <v>232</v>
      </c>
    </row>
    <row r="52155" spans="119:119" x14ac:dyDescent="0.2">
      <c r="DO52155" s="303" t="s">
        <v>232</v>
      </c>
    </row>
    <row r="52156" spans="119:119" x14ac:dyDescent="0.2">
      <c r="DO52156" s="303" t="s">
        <v>232</v>
      </c>
    </row>
    <row r="52157" spans="119:119" x14ac:dyDescent="0.2">
      <c r="DO52157" s="303" t="s">
        <v>232</v>
      </c>
    </row>
    <row r="52158" spans="119:119" x14ac:dyDescent="0.2">
      <c r="DO52158" s="303" t="s">
        <v>232</v>
      </c>
    </row>
    <row r="52159" spans="119:119" x14ac:dyDescent="0.2">
      <c r="DO52159" s="303" t="s">
        <v>232</v>
      </c>
    </row>
    <row r="52160" spans="119:119" x14ac:dyDescent="0.2">
      <c r="DO52160" s="303" t="s">
        <v>232</v>
      </c>
    </row>
    <row r="52161" spans="119:119" x14ac:dyDescent="0.2">
      <c r="DO52161" s="303" t="s">
        <v>232</v>
      </c>
    </row>
    <row r="52162" spans="119:119" x14ac:dyDescent="0.2">
      <c r="DO52162" s="303" t="s">
        <v>232</v>
      </c>
    </row>
    <row r="52163" spans="119:119" x14ac:dyDescent="0.2">
      <c r="DO52163" s="303" t="s">
        <v>232</v>
      </c>
    </row>
    <row r="52164" spans="119:119" x14ac:dyDescent="0.2">
      <c r="DO52164" s="303" t="s">
        <v>232</v>
      </c>
    </row>
    <row r="52165" spans="119:119" x14ac:dyDescent="0.2">
      <c r="DO52165" s="303" t="s">
        <v>232</v>
      </c>
    </row>
    <row r="52166" spans="119:119" x14ac:dyDescent="0.2">
      <c r="DO52166" s="303" t="s">
        <v>232</v>
      </c>
    </row>
    <row r="52167" spans="119:119" x14ac:dyDescent="0.2">
      <c r="DO52167" s="303" t="s">
        <v>232</v>
      </c>
    </row>
    <row r="52168" spans="119:119" x14ac:dyDescent="0.2">
      <c r="DO52168" s="303" t="s">
        <v>232</v>
      </c>
    </row>
    <row r="52169" spans="119:119" x14ac:dyDescent="0.2">
      <c r="DO52169" s="303" t="s">
        <v>232</v>
      </c>
    </row>
    <row r="52170" spans="119:119" x14ac:dyDescent="0.2">
      <c r="DO52170" s="303" t="s">
        <v>232</v>
      </c>
    </row>
    <row r="52171" spans="119:119" x14ac:dyDescent="0.2">
      <c r="DO52171" s="303" t="s">
        <v>232</v>
      </c>
    </row>
    <row r="52172" spans="119:119" x14ac:dyDescent="0.2">
      <c r="DO52172" s="303" t="s">
        <v>232</v>
      </c>
    </row>
    <row r="52173" spans="119:119" x14ac:dyDescent="0.2">
      <c r="DO52173" s="303" t="s">
        <v>232</v>
      </c>
    </row>
    <row r="52174" spans="119:119" x14ac:dyDescent="0.2">
      <c r="DO52174" s="303" t="s">
        <v>232</v>
      </c>
    </row>
    <row r="52175" spans="119:119" x14ac:dyDescent="0.2">
      <c r="DO52175" s="303" t="s">
        <v>232</v>
      </c>
    </row>
    <row r="52176" spans="119:119" x14ac:dyDescent="0.2">
      <c r="DO52176" s="303" t="s">
        <v>232</v>
      </c>
    </row>
    <row r="52177" spans="119:119" x14ac:dyDescent="0.2">
      <c r="DO52177" s="303" t="s">
        <v>232</v>
      </c>
    </row>
    <row r="52178" spans="119:119" x14ac:dyDescent="0.2">
      <c r="DO52178" s="303" t="s">
        <v>232</v>
      </c>
    </row>
    <row r="52179" spans="119:119" x14ac:dyDescent="0.2">
      <c r="DO52179" s="303" t="s">
        <v>232</v>
      </c>
    </row>
    <row r="52180" spans="119:119" x14ac:dyDescent="0.2">
      <c r="DO52180" s="303" t="s">
        <v>232</v>
      </c>
    </row>
    <row r="52181" spans="119:119" x14ac:dyDescent="0.2">
      <c r="DO52181" s="303" t="s">
        <v>232</v>
      </c>
    </row>
    <row r="52182" spans="119:119" x14ac:dyDescent="0.2">
      <c r="DO52182" s="303" t="s">
        <v>232</v>
      </c>
    </row>
    <row r="52183" spans="119:119" x14ac:dyDescent="0.2">
      <c r="DO52183" s="303" t="s">
        <v>232</v>
      </c>
    </row>
    <row r="52184" spans="119:119" x14ac:dyDescent="0.2">
      <c r="DO52184" s="303" t="s">
        <v>232</v>
      </c>
    </row>
    <row r="52185" spans="119:119" x14ac:dyDescent="0.2">
      <c r="DO52185" s="303" t="s">
        <v>232</v>
      </c>
    </row>
    <row r="52186" spans="119:119" x14ac:dyDescent="0.2">
      <c r="DO52186" s="303" t="s">
        <v>232</v>
      </c>
    </row>
    <row r="52187" spans="119:119" x14ac:dyDescent="0.2">
      <c r="DO52187" s="303" t="s">
        <v>232</v>
      </c>
    </row>
    <row r="52188" spans="119:119" x14ac:dyDescent="0.2">
      <c r="DO52188" s="303" t="s">
        <v>232</v>
      </c>
    </row>
    <row r="52189" spans="119:119" x14ac:dyDescent="0.2">
      <c r="DO52189" s="303" t="s">
        <v>232</v>
      </c>
    </row>
    <row r="52190" spans="119:119" x14ac:dyDescent="0.2">
      <c r="DO52190" s="303" t="s">
        <v>232</v>
      </c>
    </row>
    <row r="52191" spans="119:119" x14ac:dyDescent="0.2">
      <c r="DO52191" s="303" t="s">
        <v>232</v>
      </c>
    </row>
    <row r="52192" spans="119:119" x14ac:dyDescent="0.2">
      <c r="DO52192" s="303" t="s">
        <v>232</v>
      </c>
    </row>
    <row r="52193" spans="119:119" x14ac:dyDescent="0.2">
      <c r="DO52193" s="303" t="s">
        <v>232</v>
      </c>
    </row>
    <row r="52194" spans="119:119" x14ac:dyDescent="0.2">
      <c r="DO52194" s="303" t="s">
        <v>232</v>
      </c>
    </row>
    <row r="52195" spans="119:119" x14ac:dyDescent="0.2">
      <c r="DO52195" s="303" t="s">
        <v>232</v>
      </c>
    </row>
    <row r="52196" spans="119:119" x14ac:dyDescent="0.2">
      <c r="DO52196" s="303" t="s">
        <v>232</v>
      </c>
    </row>
    <row r="52197" spans="119:119" x14ac:dyDescent="0.2">
      <c r="DO52197" s="303" t="s">
        <v>232</v>
      </c>
    </row>
    <row r="52198" spans="119:119" x14ac:dyDescent="0.2">
      <c r="DO52198" s="303" t="s">
        <v>232</v>
      </c>
    </row>
    <row r="52199" spans="119:119" x14ac:dyDescent="0.2">
      <c r="DO52199" s="303" t="s">
        <v>232</v>
      </c>
    </row>
    <row r="52200" spans="119:119" x14ac:dyDescent="0.2">
      <c r="DO52200" s="303" t="s">
        <v>232</v>
      </c>
    </row>
    <row r="52201" spans="119:119" x14ac:dyDescent="0.2">
      <c r="DO52201" s="303" t="s">
        <v>232</v>
      </c>
    </row>
    <row r="52202" spans="119:119" x14ac:dyDescent="0.2">
      <c r="DO52202" s="303" t="s">
        <v>232</v>
      </c>
    </row>
    <row r="52203" spans="119:119" x14ac:dyDescent="0.2">
      <c r="DO52203" s="303" t="s">
        <v>232</v>
      </c>
    </row>
    <row r="52204" spans="119:119" x14ac:dyDescent="0.2">
      <c r="DO52204" s="303" t="s">
        <v>232</v>
      </c>
    </row>
    <row r="52205" spans="119:119" x14ac:dyDescent="0.2">
      <c r="DO52205" s="303" t="s">
        <v>232</v>
      </c>
    </row>
    <row r="52206" spans="119:119" x14ac:dyDescent="0.2">
      <c r="DO52206" s="303" t="s">
        <v>232</v>
      </c>
    </row>
    <row r="52207" spans="119:119" x14ac:dyDescent="0.2">
      <c r="DO52207" s="303" t="s">
        <v>232</v>
      </c>
    </row>
    <row r="52208" spans="119:119" x14ac:dyDescent="0.2">
      <c r="DO52208" s="303" t="s">
        <v>232</v>
      </c>
    </row>
    <row r="52209" spans="119:119" x14ac:dyDescent="0.2">
      <c r="DO52209" s="303" t="s">
        <v>232</v>
      </c>
    </row>
    <row r="52210" spans="119:119" x14ac:dyDescent="0.2">
      <c r="DO52210" s="303" t="s">
        <v>232</v>
      </c>
    </row>
    <row r="52211" spans="119:119" x14ac:dyDescent="0.2">
      <c r="DO52211" s="303" t="s">
        <v>232</v>
      </c>
    </row>
    <row r="52212" spans="119:119" x14ac:dyDescent="0.2">
      <c r="DO52212" s="303" t="s">
        <v>232</v>
      </c>
    </row>
    <row r="52213" spans="119:119" x14ac:dyDescent="0.2">
      <c r="DO52213" s="303" t="s">
        <v>232</v>
      </c>
    </row>
    <row r="52214" spans="119:119" x14ac:dyDescent="0.2">
      <c r="DO52214" s="303" t="s">
        <v>232</v>
      </c>
    </row>
    <row r="52215" spans="119:119" x14ac:dyDescent="0.2">
      <c r="DO52215" s="303" t="s">
        <v>232</v>
      </c>
    </row>
    <row r="52216" spans="119:119" x14ac:dyDescent="0.2">
      <c r="DO52216" s="303" t="s">
        <v>232</v>
      </c>
    </row>
    <row r="52217" spans="119:119" x14ac:dyDescent="0.2">
      <c r="DO52217" s="303" t="s">
        <v>232</v>
      </c>
    </row>
    <row r="52218" spans="119:119" x14ac:dyDescent="0.2">
      <c r="DO52218" s="303" t="s">
        <v>232</v>
      </c>
    </row>
    <row r="52219" spans="119:119" x14ac:dyDescent="0.2">
      <c r="DO52219" s="303" t="s">
        <v>232</v>
      </c>
    </row>
    <row r="52220" spans="119:119" x14ac:dyDescent="0.2">
      <c r="DO52220" s="303" t="s">
        <v>232</v>
      </c>
    </row>
    <row r="52221" spans="119:119" x14ac:dyDescent="0.2">
      <c r="DO52221" s="303" t="s">
        <v>232</v>
      </c>
    </row>
    <row r="52222" spans="119:119" x14ac:dyDescent="0.2">
      <c r="DO52222" s="303" t="s">
        <v>232</v>
      </c>
    </row>
    <row r="52223" spans="119:119" x14ac:dyDescent="0.2">
      <c r="DO52223" s="303" t="s">
        <v>232</v>
      </c>
    </row>
    <row r="52224" spans="119:119" x14ac:dyDescent="0.2">
      <c r="DO52224" s="303" t="s">
        <v>232</v>
      </c>
    </row>
    <row r="52225" spans="119:119" x14ac:dyDescent="0.2">
      <c r="DO52225" s="303" t="s">
        <v>232</v>
      </c>
    </row>
    <row r="52226" spans="119:119" x14ac:dyDescent="0.2">
      <c r="DO52226" s="303" t="s">
        <v>232</v>
      </c>
    </row>
    <row r="52227" spans="119:119" x14ac:dyDescent="0.2">
      <c r="DO52227" s="303" t="s">
        <v>232</v>
      </c>
    </row>
    <row r="52228" spans="119:119" x14ac:dyDescent="0.2">
      <c r="DO52228" s="303" t="s">
        <v>232</v>
      </c>
    </row>
    <row r="52229" spans="119:119" x14ac:dyDescent="0.2">
      <c r="DO52229" s="303" t="s">
        <v>232</v>
      </c>
    </row>
    <row r="52230" spans="119:119" x14ac:dyDescent="0.2">
      <c r="DO52230" s="303" t="s">
        <v>232</v>
      </c>
    </row>
    <row r="52231" spans="119:119" x14ac:dyDescent="0.2">
      <c r="DO52231" s="303" t="s">
        <v>232</v>
      </c>
    </row>
    <row r="52232" spans="119:119" x14ac:dyDescent="0.2">
      <c r="DO52232" s="303" t="s">
        <v>232</v>
      </c>
    </row>
    <row r="52233" spans="119:119" x14ac:dyDescent="0.2">
      <c r="DO52233" s="303" t="s">
        <v>232</v>
      </c>
    </row>
    <row r="52234" spans="119:119" x14ac:dyDescent="0.2">
      <c r="DO52234" s="303" t="s">
        <v>232</v>
      </c>
    </row>
    <row r="52235" spans="119:119" x14ac:dyDescent="0.2">
      <c r="DO52235" s="303" t="s">
        <v>232</v>
      </c>
    </row>
    <row r="52236" spans="119:119" x14ac:dyDescent="0.2">
      <c r="DO52236" s="303" t="s">
        <v>232</v>
      </c>
    </row>
    <row r="52237" spans="119:119" x14ac:dyDescent="0.2">
      <c r="DO52237" s="303" t="s">
        <v>232</v>
      </c>
    </row>
    <row r="52238" spans="119:119" x14ac:dyDescent="0.2">
      <c r="DO52238" s="303" t="s">
        <v>232</v>
      </c>
    </row>
    <row r="52239" spans="119:119" x14ac:dyDescent="0.2">
      <c r="DO52239" s="303" t="s">
        <v>232</v>
      </c>
    </row>
    <row r="52240" spans="119:119" x14ac:dyDescent="0.2">
      <c r="DO52240" s="303" t="s">
        <v>232</v>
      </c>
    </row>
    <row r="52241" spans="119:119" x14ac:dyDescent="0.2">
      <c r="DO52241" s="303" t="s">
        <v>232</v>
      </c>
    </row>
    <row r="52242" spans="119:119" x14ac:dyDescent="0.2">
      <c r="DO52242" s="303" t="s">
        <v>232</v>
      </c>
    </row>
    <row r="52243" spans="119:119" x14ac:dyDescent="0.2">
      <c r="DO52243" s="303" t="s">
        <v>232</v>
      </c>
    </row>
    <row r="52244" spans="119:119" x14ac:dyDescent="0.2">
      <c r="DO52244" s="303" t="s">
        <v>232</v>
      </c>
    </row>
    <row r="52245" spans="119:119" x14ac:dyDescent="0.2">
      <c r="DO52245" s="303" t="s">
        <v>232</v>
      </c>
    </row>
    <row r="52246" spans="119:119" x14ac:dyDescent="0.2">
      <c r="DO52246" s="303" t="s">
        <v>232</v>
      </c>
    </row>
    <row r="52247" spans="119:119" x14ac:dyDescent="0.2">
      <c r="DO52247" s="303" t="s">
        <v>232</v>
      </c>
    </row>
    <row r="52248" spans="119:119" x14ac:dyDescent="0.2">
      <c r="DO52248" s="303" t="s">
        <v>232</v>
      </c>
    </row>
    <row r="52249" spans="119:119" x14ac:dyDescent="0.2">
      <c r="DO52249" s="303" t="s">
        <v>232</v>
      </c>
    </row>
    <row r="52250" spans="119:119" x14ac:dyDescent="0.2">
      <c r="DO52250" s="303" t="s">
        <v>232</v>
      </c>
    </row>
    <row r="52251" spans="119:119" x14ac:dyDescent="0.2">
      <c r="DO52251" s="303" t="s">
        <v>232</v>
      </c>
    </row>
    <row r="52252" spans="119:119" x14ac:dyDescent="0.2">
      <c r="DO52252" s="303" t="s">
        <v>232</v>
      </c>
    </row>
    <row r="52253" spans="119:119" x14ac:dyDescent="0.2">
      <c r="DO52253" s="303" t="s">
        <v>232</v>
      </c>
    </row>
    <row r="52254" spans="119:119" x14ac:dyDescent="0.2">
      <c r="DO52254" s="303" t="s">
        <v>232</v>
      </c>
    </row>
    <row r="52255" spans="119:119" x14ac:dyDescent="0.2">
      <c r="DO52255" s="303" t="s">
        <v>232</v>
      </c>
    </row>
    <row r="52256" spans="119:119" x14ac:dyDescent="0.2">
      <c r="DO52256" s="303" t="s">
        <v>232</v>
      </c>
    </row>
    <row r="52257" spans="119:119" x14ac:dyDescent="0.2">
      <c r="DO52257" s="303" t="s">
        <v>232</v>
      </c>
    </row>
    <row r="52258" spans="119:119" x14ac:dyDescent="0.2">
      <c r="DO52258" s="303" t="s">
        <v>232</v>
      </c>
    </row>
    <row r="52259" spans="119:119" x14ac:dyDescent="0.2">
      <c r="DO52259" s="303" t="s">
        <v>232</v>
      </c>
    </row>
    <row r="52260" spans="119:119" x14ac:dyDescent="0.2">
      <c r="DO52260" s="303" t="s">
        <v>232</v>
      </c>
    </row>
    <row r="52261" spans="119:119" x14ac:dyDescent="0.2">
      <c r="DO52261" s="303" t="s">
        <v>232</v>
      </c>
    </row>
    <row r="52262" spans="119:119" x14ac:dyDescent="0.2">
      <c r="DO52262" s="303" t="s">
        <v>232</v>
      </c>
    </row>
    <row r="52263" spans="119:119" x14ac:dyDescent="0.2">
      <c r="DO52263" s="303" t="s">
        <v>232</v>
      </c>
    </row>
    <row r="52264" spans="119:119" x14ac:dyDescent="0.2">
      <c r="DO52264" s="303" t="s">
        <v>232</v>
      </c>
    </row>
    <row r="52265" spans="119:119" x14ac:dyDescent="0.2">
      <c r="DO52265" s="303" t="s">
        <v>232</v>
      </c>
    </row>
    <row r="52266" spans="119:119" x14ac:dyDescent="0.2">
      <c r="DO52266" s="303" t="s">
        <v>232</v>
      </c>
    </row>
    <row r="52267" spans="119:119" x14ac:dyDescent="0.2">
      <c r="DO52267" s="303" t="s">
        <v>232</v>
      </c>
    </row>
    <row r="52268" spans="119:119" x14ac:dyDescent="0.2">
      <c r="DO52268" s="303" t="s">
        <v>232</v>
      </c>
    </row>
    <row r="52269" spans="119:119" x14ac:dyDescent="0.2">
      <c r="DO52269" s="303" t="s">
        <v>232</v>
      </c>
    </row>
    <row r="52270" spans="119:119" x14ac:dyDescent="0.2">
      <c r="DO52270" s="303" t="s">
        <v>232</v>
      </c>
    </row>
    <row r="52271" spans="119:119" x14ac:dyDescent="0.2">
      <c r="DO52271" s="303" t="s">
        <v>232</v>
      </c>
    </row>
    <row r="52272" spans="119:119" x14ac:dyDescent="0.2">
      <c r="DO52272" s="303" t="s">
        <v>232</v>
      </c>
    </row>
    <row r="52273" spans="119:119" x14ac:dyDescent="0.2">
      <c r="DO52273" s="303" t="s">
        <v>232</v>
      </c>
    </row>
    <row r="52274" spans="119:119" x14ac:dyDescent="0.2">
      <c r="DO52274" s="303" t="s">
        <v>232</v>
      </c>
    </row>
    <row r="52275" spans="119:119" x14ac:dyDescent="0.2">
      <c r="DO52275" s="303" t="s">
        <v>232</v>
      </c>
    </row>
    <row r="52276" spans="119:119" x14ac:dyDescent="0.2">
      <c r="DO52276" s="303" t="s">
        <v>232</v>
      </c>
    </row>
    <row r="52277" spans="119:119" x14ac:dyDescent="0.2">
      <c r="DO52277" s="303" t="s">
        <v>232</v>
      </c>
    </row>
    <row r="52278" spans="119:119" x14ac:dyDescent="0.2">
      <c r="DO52278" s="303" t="s">
        <v>232</v>
      </c>
    </row>
    <row r="52279" spans="119:119" x14ac:dyDescent="0.2">
      <c r="DO52279" s="303" t="s">
        <v>232</v>
      </c>
    </row>
    <row r="52280" spans="119:119" x14ac:dyDescent="0.2">
      <c r="DO52280" s="303" t="s">
        <v>232</v>
      </c>
    </row>
    <row r="52281" spans="119:119" x14ac:dyDescent="0.2">
      <c r="DO52281" s="303" t="s">
        <v>232</v>
      </c>
    </row>
    <row r="52282" spans="119:119" x14ac:dyDescent="0.2">
      <c r="DO52282" s="303" t="s">
        <v>232</v>
      </c>
    </row>
    <row r="52283" spans="119:119" x14ac:dyDescent="0.2">
      <c r="DO52283" s="303" t="s">
        <v>232</v>
      </c>
    </row>
    <row r="52284" spans="119:119" x14ac:dyDescent="0.2">
      <c r="DO52284" s="303" t="s">
        <v>232</v>
      </c>
    </row>
    <row r="52285" spans="119:119" x14ac:dyDescent="0.2">
      <c r="DO52285" s="303" t="s">
        <v>232</v>
      </c>
    </row>
    <row r="52286" spans="119:119" x14ac:dyDescent="0.2">
      <c r="DO52286" s="303" t="s">
        <v>232</v>
      </c>
    </row>
    <row r="52287" spans="119:119" x14ac:dyDescent="0.2">
      <c r="DO52287" s="303" t="s">
        <v>232</v>
      </c>
    </row>
    <row r="52288" spans="119:119" x14ac:dyDescent="0.2">
      <c r="DO52288" s="303" t="s">
        <v>232</v>
      </c>
    </row>
    <row r="52289" spans="119:119" x14ac:dyDescent="0.2">
      <c r="DO52289" s="303" t="s">
        <v>232</v>
      </c>
    </row>
    <row r="52290" spans="119:119" x14ac:dyDescent="0.2">
      <c r="DO52290" s="303" t="s">
        <v>232</v>
      </c>
    </row>
    <row r="52291" spans="119:119" x14ac:dyDescent="0.2">
      <c r="DO52291" s="303" t="s">
        <v>232</v>
      </c>
    </row>
    <row r="52292" spans="119:119" x14ac:dyDescent="0.2">
      <c r="DO52292" s="303" t="s">
        <v>232</v>
      </c>
    </row>
    <row r="52293" spans="119:119" x14ac:dyDescent="0.2">
      <c r="DO52293" s="303" t="s">
        <v>232</v>
      </c>
    </row>
    <row r="52294" spans="119:119" x14ac:dyDescent="0.2">
      <c r="DO52294" s="303" t="s">
        <v>232</v>
      </c>
    </row>
    <row r="52295" spans="119:119" x14ac:dyDescent="0.2">
      <c r="DO52295" s="303" t="s">
        <v>232</v>
      </c>
    </row>
    <row r="52296" spans="119:119" x14ac:dyDescent="0.2">
      <c r="DO52296" s="303" t="s">
        <v>232</v>
      </c>
    </row>
    <row r="52297" spans="119:119" x14ac:dyDescent="0.2">
      <c r="DO52297" s="303" t="s">
        <v>232</v>
      </c>
    </row>
    <row r="52298" spans="119:119" x14ac:dyDescent="0.2">
      <c r="DO52298" s="303" t="s">
        <v>232</v>
      </c>
    </row>
    <row r="52299" spans="119:119" x14ac:dyDescent="0.2">
      <c r="DO52299" s="303" t="s">
        <v>232</v>
      </c>
    </row>
    <row r="52300" spans="119:119" x14ac:dyDescent="0.2">
      <c r="DO52300" s="303" t="s">
        <v>232</v>
      </c>
    </row>
    <row r="52301" spans="119:119" x14ac:dyDescent="0.2">
      <c r="DO52301" s="303" t="s">
        <v>232</v>
      </c>
    </row>
    <row r="52302" spans="119:119" x14ac:dyDescent="0.2">
      <c r="DO52302" s="303" t="s">
        <v>232</v>
      </c>
    </row>
    <row r="52303" spans="119:119" x14ac:dyDescent="0.2">
      <c r="DO52303" s="303" t="s">
        <v>232</v>
      </c>
    </row>
    <row r="52304" spans="119:119" x14ac:dyDescent="0.2">
      <c r="DO52304" s="303" t="s">
        <v>232</v>
      </c>
    </row>
    <row r="52305" spans="119:119" x14ac:dyDescent="0.2">
      <c r="DO52305" s="303" t="s">
        <v>232</v>
      </c>
    </row>
    <row r="52306" spans="119:119" x14ac:dyDescent="0.2">
      <c r="DO52306" s="303" t="s">
        <v>232</v>
      </c>
    </row>
    <row r="52307" spans="119:119" x14ac:dyDescent="0.2">
      <c r="DO52307" s="303" t="s">
        <v>232</v>
      </c>
    </row>
    <row r="52308" spans="119:119" x14ac:dyDescent="0.2">
      <c r="DO52308" s="303" t="s">
        <v>232</v>
      </c>
    </row>
    <row r="52309" spans="119:119" x14ac:dyDescent="0.2">
      <c r="DO52309" s="303" t="s">
        <v>232</v>
      </c>
    </row>
    <row r="52310" spans="119:119" x14ac:dyDescent="0.2">
      <c r="DO52310" s="303" t="s">
        <v>232</v>
      </c>
    </row>
    <row r="52311" spans="119:119" x14ac:dyDescent="0.2">
      <c r="DO52311" s="303" t="s">
        <v>232</v>
      </c>
    </row>
    <row r="52312" spans="119:119" x14ac:dyDescent="0.2">
      <c r="DO52312" s="303" t="s">
        <v>232</v>
      </c>
    </row>
    <row r="52313" spans="119:119" x14ac:dyDescent="0.2">
      <c r="DO52313" s="303" t="s">
        <v>232</v>
      </c>
    </row>
    <row r="52314" spans="119:119" x14ac:dyDescent="0.2">
      <c r="DO52314" s="303" t="s">
        <v>232</v>
      </c>
    </row>
    <row r="52315" spans="119:119" x14ac:dyDescent="0.2">
      <c r="DO52315" s="303" t="s">
        <v>232</v>
      </c>
    </row>
    <row r="52316" spans="119:119" x14ac:dyDescent="0.2">
      <c r="DO52316" s="303" t="s">
        <v>232</v>
      </c>
    </row>
    <row r="52317" spans="119:119" x14ac:dyDescent="0.2">
      <c r="DO52317" s="303" t="s">
        <v>232</v>
      </c>
    </row>
    <row r="52318" spans="119:119" x14ac:dyDescent="0.2">
      <c r="DO52318" s="303" t="s">
        <v>232</v>
      </c>
    </row>
    <row r="52319" spans="119:119" x14ac:dyDescent="0.2">
      <c r="DO52319" s="303" t="s">
        <v>232</v>
      </c>
    </row>
    <row r="52320" spans="119:119" x14ac:dyDescent="0.2">
      <c r="DO52320" s="303" t="s">
        <v>232</v>
      </c>
    </row>
    <row r="52321" spans="119:119" x14ac:dyDescent="0.2">
      <c r="DO52321" s="303" t="s">
        <v>232</v>
      </c>
    </row>
    <row r="52322" spans="119:119" x14ac:dyDescent="0.2">
      <c r="DO52322" s="303" t="s">
        <v>232</v>
      </c>
    </row>
    <row r="52323" spans="119:119" x14ac:dyDescent="0.2">
      <c r="DO52323" s="303" t="s">
        <v>232</v>
      </c>
    </row>
    <row r="52324" spans="119:119" x14ac:dyDescent="0.2">
      <c r="DO52324" s="303" t="s">
        <v>232</v>
      </c>
    </row>
    <row r="52325" spans="119:119" x14ac:dyDescent="0.2">
      <c r="DO52325" s="303" t="s">
        <v>232</v>
      </c>
    </row>
    <row r="52326" spans="119:119" x14ac:dyDescent="0.2">
      <c r="DO52326" s="303" t="s">
        <v>232</v>
      </c>
    </row>
    <row r="52327" spans="119:119" x14ac:dyDescent="0.2">
      <c r="DO52327" s="303" t="s">
        <v>232</v>
      </c>
    </row>
    <row r="52328" spans="119:119" x14ac:dyDescent="0.2">
      <c r="DO52328" s="303" t="s">
        <v>232</v>
      </c>
    </row>
    <row r="52329" spans="119:119" x14ac:dyDescent="0.2">
      <c r="DO52329" s="303" t="s">
        <v>232</v>
      </c>
    </row>
    <row r="52330" spans="119:119" x14ac:dyDescent="0.2">
      <c r="DO52330" s="303" t="s">
        <v>232</v>
      </c>
    </row>
    <row r="52331" spans="119:119" x14ac:dyDescent="0.2">
      <c r="DO52331" s="303" t="s">
        <v>232</v>
      </c>
    </row>
    <row r="52332" spans="119:119" x14ac:dyDescent="0.2">
      <c r="DO52332" s="303" t="s">
        <v>232</v>
      </c>
    </row>
    <row r="52333" spans="119:119" x14ac:dyDescent="0.2">
      <c r="DO52333" s="303" t="s">
        <v>232</v>
      </c>
    </row>
    <row r="52334" spans="119:119" x14ac:dyDescent="0.2">
      <c r="DO52334" s="303" t="s">
        <v>232</v>
      </c>
    </row>
    <row r="52335" spans="119:119" x14ac:dyDescent="0.2">
      <c r="DO52335" s="303" t="s">
        <v>232</v>
      </c>
    </row>
    <row r="52336" spans="119:119" x14ac:dyDescent="0.2">
      <c r="DO52336" s="303" t="s">
        <v>232</v>
      </c>
    </row>
    <row r="52337" spans="119:119" x14ac:dyDescent="0.2">
      <c r="DO52337" s="303" t="s">
        <v>232</v>
      </c>
    </row>
    <row r="52338" spans="119:119" x14ac:dyDescent="0.2">
      <c r="DO52338" s="303" t="s">
        <v>232</v>
      </c>
    </row>
    <row r="52339" spans="119:119" x14ac:dyDescent="0.2">
      <c r="DO52339" s="303" t="s">
        <v>232</v>
      </c>
    </row>
    <row r="52340" spans="119:119" x14ac:dyDescent="0.2">
      <c r="DO52340" s="303" t="s">
        <v>232</v>
      </c>
    </row>
    <row r="52341" spans="119:119" x14ac:dyDescent="0.2">
      <c r="DO52341" s="303" t="s">
        <v>232</v>
      </c>
    </row>
    <row r="52342" spans="119:119" x14ac:dyDescent="0.2">
      <c r="DO52342" s="303" t="s">
        <v>232</v>
      </c>
    </row>
    <row r="52343" spans="119:119" x14ac:dyDescent="0.2">
      <c r="DO52343" s="303" t="s">
        <v>232</v>
      </c>
    </row>
    <row r="52344" spans="119:119" x14ac:dyDescent="0.2">
      <c r="DO52344" s="303" t="s">
        <v>232</v>
      </c>
    </row>
    <row r="52345" spans="119:119" x14ac:dyDescent="0.2">
      <c r="DO52345" s="303" t="s">
        <v>232</v>
      </c>
    </row>
    <row r="52346" spans="119:119" x14ac:dyDescent="0.2">
      <c r="DO52346" s="303" t="s">
        <v>232</v>
      </c>
    </row>
    <row r="52347" spans="119:119" x14ac:dyDescent="0.2">
      <c r="DO52347" s="303" t="s">
        <v>232</v>
      </c>
    </row>
    <row r="52348" spans="119:119" x14ac:dyDescent="0.2">
      <c r="DO52348" s="303" t="s">
        <v>232</v>
      </c>
    </row>
    <row r="52349" spans="119:119" x14ac:dyDescent="0.2">
      <c r="DO52349" s="303" t="s">
        <v>232</v>
      </c>
    </row>
    <row r="52350" spans="119:119" x14ac:dyDescent="0.2">
      <c r="DO52350" s="303" t="s">
        <v>232</v>
      </c>
    </row>
    <row r="52351" spans="119:119" x14ac:dyDescent="0.2">
      <c r="DO52351" s="303" t="s">
        <v>232</v>
      </c>
    </row>
    <row r="52352" spans="119:119" x14ac:dyDescent="0.2">
      <c r="DO52352" s="303" t="s">
        <v>232</v>
      </c>
    </row>
    <row r="52353" spans="119:119" x14ac:dyDescent="0.2">
      <c r="DO52353" s="303" t="s">
        <v>232</v>
      </c>
    </row>
    <row r="52354" spans="119:119" x14ac:dyDescent="0.2">
      <c r="DO52354" s="303" t="s">
        <v>232</v>
      </c>
    </row>
    <row r="52355" spans="119:119" x14ac:dyDescent="0.2">
      <c r="DO52355" s="303" t="s">
        <v>232</v>
      </c>
    </row>
    <row r="52356" spans="119:119" x14ac:dyDescent="0.2">
      <c r="DO52356" s="303" t="s">
        <v>232</v>
      </c>
    </row>
    <row r="52357" spans="119:119" x14ac:dyDescent="0.2">
      <c r="DO52357" s="303" t="s">
        <v>232</v>
      </c>
    </row>
    <row r="52358" spans="119:119" x14ac:dyDescent="0.2">
      <c r="DO52358" s="303" t="s">
        <v>232</v>
      </c>
    </row>
    <row r="52359" spans="119:119" x14ac:dyDescent="0.2">
      <c r="DO52359" s="303" t="s">
        <v>232</v>
      </c>
    </row>
    <row r="52360" spans="119:119" x14ac:dyDescent="0.2">
      <c r="DO52360" s="303" t="s">
        <v>232</v>
      </c>
    </row>
    <row r="52361" spans="119:119" x14ac:dyDescent="0.2">
      <c r="DO52361" s="303" t="s">
        <v>232</v>
      </c>
    </row>
    <row r="52362" spans="119:119" x14ac:dyDescent="0.2">
      <c r="DO52362" s="303" t="s">
        <v>232</v>
      </c>
    </row>
    <row r="52363" spans="119:119" x14ac:dyDescent="0.2">
      <c r="DO52363" s="303" t="s">
        <v>232</v>
      </c>
    </row>
    <row r="52364" spans="119:119" x14ac:dyDescent="0.2">
      <c r="DO52364" s="303" t="s">
        <v>232</v>
      </c>
    </row>
    <row r="52365" spans="119:119" x14ac:dyDescent="0.2">
      <c r="DO52365" s="303" t="s">
        <v>232</v>
      </c>
    </row>
    <row r="52366" spans="119:119" x14ac:dyDescent="0.2">
      <c r="DO52366" s="303" t="s">
        <v>232</v>
      </c>
    </row>
    <row r="52367" spans="119:119" x14ac:dyDescent="0.2">
      <c r="DO52367" s="303" t="s">
        <v>232</v>
      </c>
    </row>
    <row r="52368" spans="119:119" x14ac:dyDescent="0.2">
      <c r="DO52368" s="303" t="s">
        <v>232</v>
      </c>
    </row>
    <row r="52369" spans="119:119" x14ac:dyDescent="0.2">
      <c r="DO52369" s="303" t="s">
        <v>232</v>
      </c>
    </row>
    <row r="52370" spans="119:119" x14ac:dyDescent="0.2">
      <c r="DO52370" s="303" t="s">
        <v>232</v>
      </c>
    </row>
    <row r="52371" spans="119:119" x14ac:dyDescent="0.2">
      <c r="DO52371" s="303" t="s">
        <v>232</v>
      </c>
    </row>
    <row r="52372" spans="119:119" x14ac:dyDescent="0.2">
      <c r="DO52372" s="303" t="s">
        <v>232</v>
      </c>
    </row>
    <row r="52373" spans="119:119" x14ac:dyDescent="0.2">
      <c r="DO52373" s="303" t="s">
        <v>232</v>
      </c>
    </row>
    <row r="52374" spans="119:119" x14ac:dyDescent="0.2">
      <c r="DO52374" s="303" t="s">
        <v>232</v>
      </c>
    </row>
    <row r="52375" spans="119:119" x14ac:dyDescent="0.2">
      <c r="DO52375" s="303" t="s">
        <v>232</v>
      </c>
    </row>
    <row r="52376" spans="119:119" x14ac:dyDescent="0.2">
      <c r="DO52376" s="303" t="s">
        <v>232</v>
      </c>
    </row>
    <row r="52377" spans="119:119" x14ac:dyDescent="0.2">
      <c r="DO52377" s="303" t="s">
        <v>232</v>
      </c>
    </row>
    <row r="52378" spans="119:119" x14ac:dyDescent="0.2">
      <c r="DO52378" s="303" t="s">
        <v>232</v>
      </c>
    </row>
    <row r="52379" spans="119:119" x14ac:dyDescent="0.2">
      <c r="DO52379" s="303" t="s">
        <v>232</v>
      </c>
    </row>
    <row r="52380" spans="119:119" x14ac:dyDescent="0.2">
      <c r="DO52380" s="303" t="s">
        <v>232</v>
      </c>
    </row>
    <row r="52381" spans="119:119" x14ac:dyDescent="0.2">
      <c r="DO52381" s="303" t="s">
        <v>232</v>
      </c>
    </row>
    <row r="52382" spans="119:119" x14ac:dyDescent="0.2">
      <c r="DO52382" s="303" t="s">
        <v>232</v>
      </c>
    </row>
    <row r="52383" spans="119:119" x14ac:dyDescent="0.2">
      <c r="DO52383" s="303" t="s">
        <v>232</v>
      </c>
    </row>
    <row r="52384" spans="119:119" x14ac:dyDescent="0.2">
      <c r="DO52384" s="303" t="s">
        <v>232</v>
      </c>
    </row>
    <row r="52385" spans="119:119" x14ac:dyDescent="0.2">
      <c r="DO52385" s="303" t="s">
        <v>232</v>
      </c>
    </row>
    <row r="52386" spans="119:119" x14ac:dyDescent="0.2">
      <c r="DO52386" s="303" t="s">
        <v>232</v>
      </c>
    </row>
    <row r="52387" spans="119:119" x14ac:dyDescent="0.2">
      <c r="DO52387" s="303" t="s">
        <v>232</v>
      </c>
    </row>
    <row r="52388" spans="119:119" x14ac:dyDescent="0.2">
      <c r="DO52388" s="303" t="s">
        <v>232</v>
      </c>
    </row>
    <row r="52389" spans="119:119" x14ac:dyDescent="0.2">
      <c r="DO52389" s="303" t="s">
        <v>232</v>
      </c>
    </row>
    <row r="52390" spans="119:119" x14ac:dyDescent="0.2">
      <c r="DO52390" s="303" t="s">
        <v>232</v>
      </c>
    </row>
    <row r="52391" spans="119:119" x14ac:dyDescent="0.2">
      <c r="DO52391" s="303" t="s">
        <v>232</v>
      </c>
    </row>
    <row r="52392" spans="119:119" x14ac:dyDescent="0.2">
      <c r="DO52392" s="303" t="s">
        <v>232</v>
      </c>
    </row>
    <row r="52393" spans="119:119" x14ac:dyDescent="0.2">
      <c r="DO52393" s="303" t="s">
        <v>232</v>
      </c>
    </row>
    <row r="52394" spans="119:119" x14ac:dyDescent="0.2">
      <c r="DO52394" s="303" t="s">
        <v>232</v>
      </c>
    </row>
    <row r="52395" spans="119:119" x14ac:dyDescent="0.2">
      <c r="DO52395" s="303" t="s">
        <v>232</v>
      </c>
    </row>
    <row r="52396" spans="119:119" x14ac:dyDescent="0.2">
      <c r="DO52396" s="303" t="s">
        <v>232</v>
      </c>
    </row>
    <row r="52397" spans="119:119" x14ac:dyDescent="0.2">
      <c r="DO52397" s="303" t="s">
        <v>232</v>
      </c>
    </row>
    <row r="52398" spans="119:119" x14ac:dyDescent="0.2">
      <c r="DO52398" s="303" t="s">
        <v>232</v>
      </c>
    </row>
    <row r="52399" spans="119:119" x14ac:dyDescent="0.2">
      <c r="DO52399" s="303" t="s">
        <v>232</v>
      </c>
    </row>
    <row r="52400" spans="119:119" x14ac:dyDescent="0.2">
      <c r="DO52400" s="303" t="s">
        <v>232</v>
      </c>
    </row>
    <row r="52401" spans="119:119" x14ac:dyDescent="0.2">
      <c r="DO52401" s="303" t="s">
        <v>232</v>
      </c>
    </row>
    <row r="52402" spans="119:119" x14ac:dyDescent="0.2">
      <c r="DO52402" s="303" t="s">
        <v>232</v>
      </c>
    </row>
    <row r="52403" spans="119:119" x14ac:dyDescent="0.2">
      <c r="DO52403" s="303" t="s">
        <v>232</v>
      </c>
    </row>
    <row r="52404" spans="119:119" x14ac:dyDescent="0.2">
      <c r="DO52404" s="303" t="s">
        <v>232</v>
      </c>
    </row>
    <row r="52405" spans="119:119" x14ac:dyDescent="0.2">
      <c r="DO52405" s="303" t="s">
        <v>232</v>
      </c>
    </row>
    <row r="52406" spans="119:119" x14ac:dyDescent="0.2">
      <c r="DO52406" s="303" t="s">
        <v>232</v>
      </c>
    </row>
    <row r="52407" spans="119:119" x14ac:dyDescent="0.2">
      <c r="DO52407" s="303" t="s">
        <v>232</v>
      </c>
    </row>
    <row r="52408" spans="119:119" x14ac:dyDescent="0.2">
      <c r="DO52408" s="303" t="s">
        <v>232</v>
      </c>
    </row>
    <row r="52409" spans="119:119" x14ac:dyDescent="0.2">
      <c r="DO52409" s="303" t="s">
        <v>232</v>
      </c>
    </row>
    <row r="52410" spans="119:119" x14ac:dyDescent="0.2">
      <c r="DO52410" s="303" t="s">
        <v>232</v>
      </c>
    </row>
    <row r="52411" spans="119:119" x14ac:dyDescent="0.2">
      <c r="DO52411" s="303" t="s">
        <v>232</v>
      </c>
    </row>
    <row r="52412" spans="119:119" x14ac:dyDescent="0.2">
      <c r="DO52412" s="303" t="s">
        <v>232</v>
      </c>
    </row>
    <row r="52413" spans="119:119" x14ac:dyDescent="0.2">
      <c r="DO52413" s="303" t="s">
        <v>232</v>
      </c>
    </row>
    <row r="52414" spans="119:119" x14ac:dyDescent="0.2">
      <c r="DO52414" s="303" t="s">
        <v>232</v>
      </c>
    </row>
    <row r="52415" spans="119:119" x14ac:dyDescent="0.2">
      <c r="DO52415" s="303" t="s">
        <v>232</v>
      </c>
    </row>
    <row r="52416" spans="119:119" x14ac:dyDescent="0.2">
      <c r="DO52416" s="303" t="s">
        <v>232</v>
      </c>
    </row>
    <row r="52417" spans="119:119" x14ac:dyDescent="0.2">
      <c r="DO52417" s="303" t="s">
        <v>232</v>
      </c>
    </row>
    <row r="52418" spans="119:119" x14ac:dyDescent="0.2">
      <c r="DO52418" s="303" t="s">
        <v>232</v>
      </c>
    </row>
    <row r="52419" spans="119:119" x14ac:dyDescent="0.2">
      <c r="DO52419" s="303" t="s">
        <v>232</v>
      </c>
    </row>
    <row r="52420" spans="119:119" x14ac:dyDescent="0.2">
      <c r="DO52420" s="303" t="s">
        <v>232</v>
      </c>
    </row>
    <row r="52421" spans="119:119" x14ac:dyDescent="0.2">
      <c r="DO52421" s="303" t="s">
        <v>232</v>
      </c>
    </row>
    <row r="52422" spans="119:119" x14ac:dyDescent="0.2">
      <c r="DO52422" s="303" t="s">
        <v>232</v>
      </c>
    </row>
    <row r="52423" spans="119:119" x14ac:dyDescent="0.2">
      <c r="DO52423" s="303" t="s">
        <v>232</v>
      </c>
    </row>
    <row r="52424" spans="119:119" x14ac:dyDescent="0.2">
      <c r="DO52424" s="303" t="s">
        <v>232</v>
      </c>
    </row>
    <row r="52425" spans="119:119" x14ac:dyDescent="0.2">
      <c r="DO52425" s="303" t="s">
        <v>232</v>
      </c>
    </row>
    <row r="52426" spans="119:119" x14ac:dyDescent="0.2">
      <c r="DO52426" s="303" t="s">
        <v>232</v>
      </c>
    </row>
    <row r="52427" spans="119:119" x14ac:dyDescent="0.2">
      <c r="DO52427" s="303" t="s">
        <v>232</v>
      </c>
    </row>
    <row r="52428" spans="119:119" x14ac:dyDescent="0.2">
      <c r="DO52428" s="303" t="s">
        <v>232</v>
      </c>
    </row>
    <row r="52429" spans="119:119" x14ac:dyDescent="0.2">
      <c r="DO52429" s="303" t="s">
        <v>232</v>
      </c>
    </row>
    <row r="52430" spans="119:119" x14ac:dyDescent="0.2">
      <c r="DO52430" s="303" t="s">
        <v>232</v>
      </c>
    </row>
    <row r="52431" spans="119:119" x14ac:dyDescent="0.2">
      <c r="DO52431" s="303" t="s">
        <v>232</v>
      </c>
    </row>
    <row r="52432" spans="119:119" x14ac:dyDescent="0.2">
      <c r="DO52432" s="303" t="s">
        <v>232</v>
      </c>
    </row>
    <row r="52433" spans="119:119" x14ac:dyDescent="0.2">
      <c r="DO52433" s="303" t="s">
        <v>232</v>
      </c>
    </row>
    <row r="52434" spans="119:119" x14ac:dyDescent="0.2">
      <c r="DO52434" s="303" t="s">
        <v>232</v>
      </c>
    </row>
    <row r="52435" spans="119:119" x14ac:dyDescent="0.2">
      <c r="DO52435" s="303" t="s">
        <v>232</v>
      </c>
    </row>
    <row r="52436" spans="119:119" x14ac:dyDescent="0.2">
      <c r="DO52436" s="303" t="s">
        <v>232</v>
      </c>
    </row>
    <row r="52437" spans="119:119" x14ac:dyDescent="0.2">
      <c r="DO52437" s="303" t="s">
        <v>232</v>
      </c>
    </row>
    <row r="52438" spans="119:119" x14ac:dyDescent="0.2">
      <c r="DO52438" s="303" t="s">
        <v>232</v>
      </c>
    </row>
    <row r="52439" spans="119:119" x14ac:dyDescent="0.2">
      <c r="DO52439" s="303" t="s">
        <v>232</v>
      </c>
    </row>
    <row r="52440" spans="119:119" x14ac:dyDescent="0.2">
      <c r="DO52440" s="303" t="s">
        <v>232</v>
      </c>
    </row>
    <row r="52441" spans="119:119" x14ac:dyDescent="0.2">
      <c r="DO52441" s="303" t="s">
        <v>232</v>
      </c>
    </row>
    <row r="52442" spans="119:119" x14ac:dyDescent="0.2">
      <c r="DO52442" s="303" t="s">
        <v>232</v>
      </c>
    </row>
    <row r="52443" spans="119:119" x14ac:dyDescent="0.2">
      <c r="DO52443" s="303" t="s">
        <v>232</v>
      </c>
    </row>
    <row r="52444" spans="119:119" x14ac:dyDescent="0.2">
      <c r="DO52444" s="303" t="s">
        <v>232</v>
      </c>
    </row>
    <row r="52445" spans="119:119" x14ac:dyDescent="0.2">
      <c r="DO52445" s="303" t="s">
        <v>232</v>
      </c>
    </row>
    <row r="52446" spans="119:119" x14ac:dyDescent="0.2">
      <c r="DO52446" s="303" t="s">
        <v>232</v>
      </c>
    </row>
    <row r="52447" spans="119:119" x14ac:dyDescent="0.2">
      <c r="DO52447" s="303" t="s">
        <v>232</v>
      </c>
    </row>
    <row r="52448" spans="119:119" x14ac:dyDescent="0.2">
      <c r="DO52448" s="303" t="s">
        <v>232</v>
      </c>
    </row>
    <row r="52449" spans="119:119" x14ac:dyDescent="0.2">
      <c r="DO52449" s="303" t="s">
        <v>232</v>
      </c>
    </row>
    <row r="52450" spans="119:119" x14ac:dyDescent="0.2">
      <c r="DO52450" s="303" t="s">
        <v>232</v>
      </c>
    </row>
    <row r="52451" spans="119:119" x14ac:dyDescent="0.2">
      <c r="DO52451" s="303" t="s">
        <v>232</v>
      </c>
    </row>
    <row r="52452" spans="119:119" x14ac:dyDescent="0.2">
      <c r="DO52452" s="303" t="s">
        <v>232</v>
      </c>
    </row>
    <row r="52453" spans="119:119" x14ac:dyDescent="0.2">
      <c r="DO52453" s="303" t="s">
        <v>232</v>
      </c>
    </row>
    <row r="52454" spans="119:119" x14ac:dyDescent="0.2">
      <c r="DO52454" s="303" t="s">
        <v>232</v>
      </c>
    </row>
    <row r="52455" spans="119:119" x14ac:dyDescent="0.2">
      <c r="DO52455" s="303" t="s">
        <v>232</v>
      </c>
    </row>
    <row r="52456" spans="119:119" x14ac:dyDescent="0.2">
      <c r="DO52456" s="303" t="s">
        <v>232</v>
      </c>
    </row>
    <row r="52457" spans="119:119" x14ac:dyDescent="0.2">
      <c r="DO52457" s="303" t="s">
        <v>232</v>
      </c>
    </row>
    <row r="52458" spans="119:119" x14ac:dyDescent="0.2">
      <c r="DO52458" s="303" t="s">
        <v>232</v>
      </c>
    </row>
    <row r="52459" spans="119:119" x14ac:dyDescent="0.2">
      <c r="DO52459" s="303" t="s">
        <v>232</v>
      </c>
    </row>
    <row r="52460" spans="119:119" x14ac:dyDescent="0.2">
      <c r="DO52460" s="303" t="s">
        <v>232</v>
      </c>
    </row>
    <row r="52461" spans="119:119" x14ac:dyDescent="0.2">
      <c r="DO52461" s="303" t="s">
        <v>232</v>
      </c>
    </row>
    <row r="52462" spans="119:119" x14ac:dyDescent="0.2">
      <c r="DO52462" s="303" t="s">
        <v>232</v>
      </c>
    </row>
    <row r="52463" spans="119:119" x14ac:dyDescent="0.2">
      <c r="DO52463" s="303" t="s">
        <v>232</v>
      </c>
    </row>
    <row r="52464" spans="119:119" x14ac:dyDescent="0.2">
      <c r="DO52464" s="303" t="s">
        <v>232</v>
      </c>
    </row>
    <row r="52465" spans="119:119" x14ac:dyDescent="0.2">
      <c r="DO52465" s="303" t="s">
        <v>232</v>
      </c>
    </row>
    <row r="52466" spans="119:119" x14ac:dyDescent="0.2">
      <c r="DO52466" s="303" t="s">
        <v>232</v>
      </c>
    </row>
    <row r="52467" spans="119:119" x14ac:dyDescent="0.2">
      <c r="DO52467" s="303" t="s">
        <v>232</v>
      </c>
    </row>
    <row r="52468" spans="119:119" x14ac:dyDescent="0.2">
      <c r="DO52468" s="303" t="s">
        <v>232</v>
      </c>
    </row>
    <row r="52469" spans="119:119" x14ac:dyDescent="0.2">
      <c r="DO52469" s="303" t="s">
        <v>232</v>
      </c>
    </row>
    <row r="52470" spans="119:119" x14ac:dyDescent="0.2">
      <c r="DO52470" s="303" t="s">
        <v>232</v>
      </c>
    </row>
    <row r="52471" spans="119:119" x14ac:dyDescent="0.2">
      <c r="DO52471" s="303" t="s">
        <v>232</v>
      </c>
    </row>
    <row r="52472" spans="119:119" x14ac:dyDescent="0.2">
      <c r="DO52472" s="303" t="s">
        <v>232</v>
      </c>
    </row>
    <row r="52473" spans="119:119" x14ac:dyDescent="0.2">
      <c r="DO52473" s="303" t="s">
        <v>232</v>
      </c>
    </row>
    <row r="52474" spans="119:119" x14ac:dyDescent="0.2">
      <c r="DO52474" s="303" t="s">
        <v>232</v>
      </c>
    </row>
    <row r="52475" spans="119:119" x14ac:dyDescent="0.2">
      <c r="DO52475" s="303" t="s">
        <v>232</v>
      </c>
    </row>
    <row r="52476" spans="119:119" x14ac:dyDescent="0.2">
      <c r="DO52476" s="303" t="s">
        <v>232</v>
      </c>
    </row>
    <row r="52477" spans="119:119" x14ac:dyDescent="0.2">
      <c r="DO52477" s="303" t="s">
        <v>232</v>
      </c>
    </row>
    <row r="52478" spans="119:119" x14ac:dyDescent="0.2">
      <c r="DO52478" s="303" t="s">
        <v>232</v>
      </c>
    </row>
    <row r="52479" spans="119:119" x14ac:dyDescent="0.2">
      <c r="DO52479" s="303" t="s">
        <v>232</v>
      </c>
    </row>
    <row r="52480" spans="119:119" x14ac:dyDescent="0.2">
      <c r="DO52480" s="303" t="s">
        <v>232</v>
      </c>
    </row>
    <row r="52481" spans="119:119" x14ac:dyDescent="0.2">
      <c r="DO52481" s="303" t="s">
        <v>232</v>
      </c>
    </row>
    <row r="52482" spans="119:119" x14ac:dyDescent="0.2">
      <c r="DO52482" s="303" t="s">
        <v>232</v>
      </c>
    </row>
    <row r="52483" spans="119:119" x14ac:dyDescent="0.2">
      <c r="DO52483" s="303" t="s">
        <v>232</v>
      </c>
    </row>
    <row r="52484" spans="119:119" x14ac:dyDescent="0.2">
      <c r="DO52484" s="303" t="s">
        <v>232</v>
      </c>
    </row>
    <row r="52485" spans="119:119" x14ac:dyDescent="0.2">
      <c r="DO52485" s="303" t="s">
        <v>232</v>
      </c>
    </row>
    <row r="52486" spans="119:119" x14ac:dyDescent="0.2">
      <c r="DO52486" s="303" t="s">
        <v>232</v>
      </c>
    </row>
    <row r="52487" spans="119:119" x14ac:dyDescent="0.2">
      <c r="DO52487" s="303" t="s">
        <v>232</v>
      </c>
    </row>
    <row r="52488" spans="119:119" x14ac:dyDescent="0.2">
      <c r="DO52488" s="303" t="s">
        <v>232</v>
      </c>
    </row>
    <row r="52489" spans="119:119" x14ac:dyDescent="0.2">
      <c r="DO52489" s="303" t="s">
        <v>232</v>
      </c>
    </row>
    <row r="52490" spans="119:119" x14ac:dyDescent="0.2">
      <c r="DO52490" s="303" t="s">
        <v>232</v>
      </c>
    </row>
    <row r="52491" spans="119:119" x14ac:dyDescent="0.2">
      <c r="DO52491" s="303" t="s">
        <v>232</v>
      </c>
    </row>
    <row r="52492" spans="119:119" x14ac:dyDescent="0.2">
      <c r="DO52492" s="303" t="s">
        <v>232</v>
      </c>
    </row>
    <row r="52493" spans="119:119" x14ac:dyDescent="0.2">
      <c r="DO52493" s="303" t="s">
        <v>232</v>
      </c>
    </row>
    <row r="52494" spans="119:119" x14ac:dyDescent="0.2">
      <c r="DO52494" s="303" t="s">
        <v>232</v>
      </c>
    </row>
    <row r="52495" spans="119:119" x14ac:dyDescent="0.2">
      <c r="DO52495" s="303" t="s">
        <v>232</v>
      </c>
    </row>
    <row r="52496" spans="119:119" x14ac:dyDescent="0.2">
      <c r="DO52496" s="303" t="s">
        <v>232</v>
      </c>
    </row>
    <row r="52497" spans="119:119" x14ac:dyDescent="0.2">
      <c r="DO52497" s="303" t="s">
        <v>232</v>
      </c>
    </row>
    <row r="52498" spans="119:119" x14ac:dyDescent="0.2">
      <c r="DO52498" s="303" t="s">
        <v>232</v>
      </c>
    </row>
    <row r="52499" spans="119:119" x14ac:dyDescent="0.2">
      <c r="DO52499" s="303" t="s">
        <v>232</v>
      </c>
    </row>
    <row r="52500" spans="119:119" x14ac:dyDescent="0.2">
      <c r="DO52500" s="303" t="s">
        <v>232</v>
      </c>
    </row>
    <row r="52501" spans="119:119" x14ac:dyDescent="0.2">
      <c r="DO52501" s="303" t="s">
        <v>232</v>
      </c>
    </row>
    <row r="52502" spans="119:119" x14ac:dyDescent="0.2">
      <c r="DO52502" s="303" t="s">
        <v>232</v>
      </c>
    </row>
    <row r="52503" spans="119:119" x14ac:dyDescent="0.2">
      <c r="DO52503" s="303" t="s">
        <v>232</v>
      </c>
    </row>
    <row r="52504" spans="119:119" x14ac:dyDescent="0.2">
      <c r="DO52504" s="303" t="s">
        <v>232</v>
      </c>
    </row>
    <row r="52505" spans="119:119" x14ac:dyDescent="0.2">
      <c r="DO52505" s="303" t="s">
        <v>232</v>
      </c>
    </row>
    <row r="52506" spans="119:119" x14ac:dyDescent="0.2">
      <c r="DO52506" s="303" t="s">
        <v>232</v>
      </c>
    </row>
    <row r="52507" spans="119:119" x14ac:dyDescent="0.2">
      <c r="DO52507" s="303" t="s">
        <v>232</v>
      </c>
    </row>
    <row r="52508" spans="119:119" x14ac:dyDescent="0.2">
      <c r="DO52508" s="303" t="s">
        <v>232</v>
      </c>
    </row>
    <row r="52509" spans="119:119" x14ac:dyDescent="0.2">
      <c r="DO52509" s="303" t="s">
        <v>232</v>
      </c>
    </row>
    <row r="52510" spans="119:119" x14ac:dyDescent="0.2">
      <c r="DO52510" s="303" t="s">
        <v>232</v>
      </c>
    </row>
    <row r="52511" spans="119:119" x14ac:dyDescent="0.2">
      <c r="DO52511" s="303" t="s">
        <v>232</v>
      </c>
    </row>
    <row r="52512" spans="119:119" x14ac:dyDescent="0.2">
      <c r="DO52512" s="303" t="s">
        <v>232</v>
      </c>
    </row>
    <row r="52513" spans="119:119" x14ac:dyDescent="0.2">
      <c r="DO52513" s="303" t="s">
        <v>232</v>
      </c>
    </row>
    <row r="52514" spans="119:119" x14ac:dyDescent="0.2">
      <c r="DO52514" s="303" t="s">
        <v>232</v>
      </c>
    </row>
    <row r="52515" spans="119:119" x14ac:dyDescent="0.2">
      <c r="DO52515" s="303" t="s">
        <v>232</v>
      </c>
    </row>
    <row r="52516" spans="119:119" x14ac:dyDescent="0.2">
      <c r="DO52516" s="303" t="s">
        <v>232</v>
      </c>
    </row>
    <row r="52517" spans="119:119" x14ac:dyDescent="0.2">
      <c r="DO52517" s="303" t="s">
        <v>232</v>
      </c>
    </row>
    <row r="52518" spans="119:119" x14ac:dyDescent="0.2">
      <c r="DO52518" s="303" t="s">
        <v>232</v>
      </c>
    </row>
    <row r="52519" spans="119:119" x14ac:dyDescent="0.2">
      <c r="DO52519" s="303" t="s">
        <v>232</v>
      </c>
    </row>
    <row r="52520" spans="119:119" x14ac:dyDescent="0.2">
      <c r="DO52520" s="303" t="s">
        <v>232</v>
      </c>
    </row>
    <row r="52521" spans="119:119" x14ac:dyDescent="0.2">
      <c r="DO52521" s="303" t="s">
        <v>232</v>
      </c>
    </row>
    <row r="52522" spans="119:119" x14ac:dyDescent="0.2">
      <c r="DO52522" s="303" t="s">
        <v>232</v>
      </c>
    </row>
    <row r="52523" spans="119:119" x14ac:dyDescent="0.2">
      <c r="DO52523" s="303" t="s">
        <v>232</v>
      </c>
    </row>
    <row r="52524" spans="119:119" x14ac:dyDescent="0.2">
      <c r="DO52524" s="303" t="s">
        <v>232</v>
      </c>
    </row>
    <row r="52525" spans="119:119" x14ac:dyDescent="0.2">
      <c r="DO52525" s="303" t="s">
        <v>232</v>
      </c>
    </row>
    <row r="52526" spans="119:119" x14ac:dyDescent="0.2">
      <c r="DO52526" s="303" t="s">
        <v>232</v>
      </c>
    </row>
    <row r="52527" spans="119:119" x14ac:dyDescent="0.2">
      <c r="DO52527" s="303" t="s">
        <v>232</v>
      </c>
    </row>
    <row r="52528" spans="119:119" x14ac:dyDescent="0.2">
      <c r="DO52528" s="303" t="s">
        <v>232</v>
      </c>
    </row>
    <row r="52529" spans="119:119" x14ac:dyDescent="0.2">
      <c r="DO52529" s="303" t="s">
        <v>232</v>
      </c>
    </row>
    <row r="52530" spans="119:119" x14ac:dyDescent="0.2">
      <c r="DO52530" s="303" t="s">
        <v>232</v>
      </c>
    </row>
    <row r="52531" spans="119:119" x14ac:dyDescent="0.2">
      <c r="DO52531" s="303" t="s">
        <v>232</v>
      </c>
    </row>
    <row r="52532" spans="119:119" x14ac:dyDescent="0.2">
      <c r="DO52532" s="303" t="s">
        <v>232</v>
      </c>
    </row>
    <row r="52533" spans="119:119" x14ac:dyDescent="0.2">
      <c r="DO52533" s="303" t="s">
        <v>232</v>
      </c>
    </row>
    <row r="52534" spans="119:119" x14ac:dyDescent="0.2">
      <c r="DO52534" s="303" t="s">
        <v>232</v>
      </c>
    </row>
    <row r="52535" spans="119:119" x14ac:dyDescent="0.2">
      <c r="DO52535" s="303" t="s">
        <v>232</v>
      </c>
    </row>
    <row r="52536" spans="119:119" x14ac:dyDescent="0.2">
      <c r="DO52536" s="303" t="s">
        <v>232</v>
      </c>
    </row>
    <row r="52537" spans="119:119" x14ac:dyDescent="0.2">
      <c r="DO52537" s="303" t="s">
        <v>232</v>
      </c>
    </row>
    <row r="52538" spans="119:119" x14ac:dyDescent="0.2">
      <c r="DO52538" s="303" t="s">
        <v>232</v>
      </c>
    </row>
    <row r="52539" spans="119:119" x14ac:dyDescent="0.2">
      <c r="DO52539" s="303" t="s">
        <v>232</v>
      </c>
    </row>
    <row r="52540" spans="119:119" x14ac:dyDescent="0.2">
      <c r="DO52540" s="303" t="s">
        <v>232</v>
      </c>
    </row>
    <row r="52541" spans="119:119" x14ac:dyDescent="0.2">
      <c r="DO52541" s="303" t="s">
        <v>232</v>
      </c>
    </row>
    <row r="52542" spans="119:119" x14ac:dyDescent="0.2">
      <c r="DO52542" s="303" t="s">
        <v>232</v>
      </c>
    </row>
    <row r="52543" spans="119:119" x14ac:dyDescent="0.2">
      <c r="DO52543" s="303" t="s">
        <v>232</v>
      </c>
    </row>
    <row r="52544" spans="119:119" x14ac:dyDescent="0.2">
      <c r="DO52544" s="303" t="s">
        <v>232</v>
      </c>
    </row>
    <row r="52545" spans="119:119" x14ac:dyDescent="0.2">
      <c r="DO52545" s="303" t="s">
        <v>232</v>
      </c>
    </row>
    <row r="52546" spans="119:119" x14ac:dyDescent="0.2">
      <c r="DO52546" s="303" t="s">
        <v>232</v>
      </c>
    </row>
    <row r="52547" spans="119:119" x14ac:dyDescent="0.2">
      <c r="DO52547" s="303" t="s">
        <v>232</v>
      </c>
    </row>
    <row r="52548" spans="119:119" x14ac:dyDescent="0.2">
      <c r="DO52548" s="303" t="s">
        <v>232</v>
      </c>
    </row>
    <row r="52549" spans="119:119" x14ac:dyDescent="0.2">
      <c r="DO52549" s="303" t="s">
        <v>232</v>
      </c>
    </row>
    <row r="52550" spans="119:119" x14ac:dyDescent="0.2">
      <c r="DO52550" s="303" t="s">
        <v>232</v>
      </c>
    </row>
    <row r="52551" spans="119:119" x14ac:dyDescent="0.2">
      <c r="DO52551" s="303" t="s">
        <v>232</v>
      </c>
    </row>
    <row r="52552" spans="119:119" x14ac:dyDescent="0.2">
      <c r="DO52552" s="303" t="s">
        <v>232</v>
      </c>
    </row>
    <row r="52553" spans="119:119" x14ac:dyDescent="0.2">
      <c r="DO52553" s="303" t="s">
        <v>232</v>
      </c>
    </row>
    <row r="52554" spans="119:119" x14ac:dyDescent="0.2">
      <c r="DO52554" s="303" t="s">
        <v>232</v>
      </c>
    </row>
    <row r="52555" spans="119:119" x14ac:dyDescent="0.2">
      <c r="DO52555" s="303" t="s">
        <v>232</v>
      </c>
    </row>
    <row r="52556" spans="119:119" x14ac:dyDescent="0.2">
      <c r="DO52556" s="303" t="s">
        <v>232</v>
      </c>
    </row>
    <row r="52557" spans="119:119" x14ac:dyDescent="0.2">
      <c r="DO52557" s="303" t="s">
        <v>232</v>
      </c>
    </row>
    <row r="52558" spans="119:119" x14ac:dyDescent="0.2">
      <c r="DO52558" s="303" t="s">
        <v>232</v>
      </c>
    </row>
    <row r="52559" spans="119:119" x14ac:dyDescent="0.2">
      <c r="DO52559" s="303" t="s">
        <v>232</v>
      </c>
    </row>
    <row r="52560" spans="119:119" x14ac:dyDescent="0.2">
      <c r="DO52560" s="303" t="s">
        <v>232</v>
      </c>
    </row>
    <row r="52561" spans="119:119" x14ac:dyDescent="0.2">
      <c r="DO52561" s="303" t="s">
        <v>232</v>
      </c>
    </row>
    <row r="52562" spans="119:119" x14ac:dyDescent="0.2">
      <c r="DO52562" s="303" t="s">
        <v>232</v>
      </c>
    </row>
    <row r="52563" spans="119:119" x14ac:dyDescent="0.2">
      <c r="DO52563" s="303" t="s">
        <v>232</v>
      </c>
    </row>
    <row r="52564" spans="119:119" x14ac:dyDescent="0.2">
      <c r="DO52564" s="303" t="s">
        <v>232</v>
      </c>
    </row>
    <row r="52565" spans="119:119" x14ac:dyDescent="0.2">
      <c r="DO52565" s="303" t="s">
        <v>232</v>
      </c>
    </row>
    <row r="52566" spans="119:119" x14ac:dyDescent="0.2">
      <c r="DO52566" s="303" t="s">
        <v>232</v>
      </c>
    </row>
    <row r="52567" spans="119:119" x14ac:dyDescent="0.2">
      <c r="DO52567" s="303" t="s">
        <v>232</v>
      </c>
    </row>
    <row r="52568" spans="119:119" x14ac:dyDescent="0.2">
      <c r="DO52568" s="303" t="s">
        <v>232</v>
      </c>
    </row>
    <row r="52569" spans="119:119" x14ac:dyDescent="0.2">
      <c r="DO52569" s="303" t="s">
        <v>232</v>
      </c>
    </row>
    <row r="52570" spans="119:119" x14ac:dyDescent="0.2">
      <c r="DO52570" s="303" t="s">
        <v>232</v>
      </c>
    </row>
    <row r="52571" spans="119:119" x14ac:dyDescent="0.2">
      <c r="DO52571" s="303" t="s">
        <v>232</v>
      </c>
    </row>
    <row r="52572" spans="119:119" x14ac:dyDescent="0.2">
      <c r="DO52572" s="303" t="s">
        <v>232</v>
      </c>
    </row>
    <row r="52573" spans="119:119" x14ac:dyDescent="0.2">
      <c r="DO52573" s="303" t="s">
        <v>232</v>
      </c>
    </row>
    <row r="52574" spans="119:119" x14ac:dyDescent="0.2">
      <c r="DO52574" s="303" t="s">
        <v>232</v>
      </c>
    </row>
    <row r="52575" spans="119:119" x14ac:dyDescent="0.2">
      <c r="DO52575" s="303" t="s">
        <v>232</v>
      </c>
    </row>
    <row r="52576" spans="119:119" x14ac:dyDescent="0.2">
      <c r="DO52576" s="303" t="s">
        <v>232</v>
      </c>
    </row>
    <row r="52577" spans="119:119" x14ac:dyDescent="0.2">
      <c r="DO52577" s="303" t="s">
        <v>232</v>
      </c>
    </row>
    <row r="52578" spans="119:119" x14ac:dyDescent="0.2">
      <c r="DO52578" s="303" t="s">
        <v>232</v>
      </c>
    </row>
    <row r="52579" spans="119:119" x14ac:dyDescent="0.2">
      <c r="DO52579" s="303" t="s">
        <v>232</v>
      </c>
    </row>
    <row r="52580" spans="119:119" x14ac:dyDescent="0.2">
      <c r="DO52580" s="303" t="s">
        <v>232</v>
      </c>
    </row>
    <row r="52581" spans="119:119" x14ac:dyDescent="0.2">
      <c r="DO52581" s="303" t="s">
        <v>232</v>
      </c>
    </row>
    <row r="52582" spans="119:119" x14ac:dyDescent="0.2">
      <c r="DO52582" s="303" t="s">
        <v>232</v>
      </c>
    </row>
    <row r="52583" spans="119:119" x14ac:dyDescent="0.2">
      <c r="DO52583" s="303" t="s">
        <v>232</v>
      </c>
    </row>
    <row r="52584" spans="119:119" x14ac:dyDescent="0.2">
      <c r="DO52584" s="303" t="s">
        <v>232</v>
      </c>
    </row>
    <row r="52585" spans="119:119" x14ac:dyDescent="0.2">
      <c r="DO52585" s="303" t="s">
        <v>232</v>
      </c>
    </row>
    <row r="52586" spans="119:119" x14ac:dyDescent="0.2">
      <c r="DO52586" s="303" t="s">
        <v>232</v>
      </c>
    </row>
    <row r="52587" spans="119:119" x14ac:dyDescent="0.2">
      <c r="DO52587" s="303" t="s">
        <v>232</v>
      </c>
    </row>
    <row r="52588" spans="119:119" x14ac:dyDescent="0.2">
      <c r="DO52588" s="303" t="s">
        <v>232</v>
      </c>
    </row>
    <row r="52589" spans="119:119" x14ac:dyDescent="0.2">
      <c r="DO52589" s="303" t="s">
        <v>232</v>
      </c>
    </row>
    <row r="52590" spans="119:119" x14ac:dyDescent="0.2">
      <c r="DO52590" s="303" t="s">
        <v>232</v>
      </c>
    </row>
    <row r="52591" spans="119:119" x14ac:dyDescent="0.2">
      <c r="DO52591" s="303" t="s">
        <v>232</v>
      </c>
    </row>
    <row r="52592" spans="119:119" x14ac:dyDescent="0.2">
      <c r="DO52592" s="303" t="s">
        <v>232</v>
      </c>
    </row>
    <row r="52593" spans="119:119" x14ac:dyDescent="0.2">
      <c r="DO52593" s="303" t="s">
        <v>232</v>
      </c>
    </row>
    <row r="52594" spans="119:119" x14ac:dyDescent="0.2">
      <c r="DO52594" s="303" t="s">
        <v>232</v>
      </c>
    </row>
    <row r="52595" spans="119:119" x14ac:dyDescent="0.2">
      <c r="DO52595" s="303" t="s">
        <v>232</v>
      </c>
    </row>
    <row r="52596" spans="119:119" x14ac:dyDescent="0.2">
      <c r="DO52596" s="303" t="s">
        <v>232</v>
      </c>
    </row>
    <row r="52597" spans="119:119" x14ac:dyDescent="0.2">
      <c r="DO52597" s="303" t="s">
        <v>232</v>
      </c>
    </row>
    <row r="52598" spans="119:119" x14ac:dyDescent="0.2">
      <c r="DO52598" s="303" t="s">
        <v>232</v>
      </c>
    </row>
    <row r="52599" spans="119:119" x14ac:dyDescent="0.2">
      <c r="DO52599" s="303" t="s">
        <v>232</v>
      </c>
    </row>
    <row r="52600" spans="119:119" x14ac:dyDescent="0.2">
      <c r="DO52600" s="303" t="s">
        <v>232</v>
      </c>
    </row>
    <row r="52601" spans="119:119" x14ac:dyDescent="0.2">
      <c r="DO52601" s="303" t="s">
        <v>232</v>
      </c>
    </row>
    <row r="52602" spans="119:119" x14ac:dyDescent="0.2">
      <c r="DO52602" s="303" t="s">
        <v>232</v>
      </c>
    </row>
    <row r="52603" spans="119:119" x14ac:dyDescent="0.2">
      <c r="DO52603" s="303" t="s">
        <v>232</v>
      </c>
    </row>
    <row r="52604" spans="119:119" x14ac:dyDescent="0.2">
      <c r="DO52604" s="303" t="s">
        <v>232</v>
      </c>
    </row>
    <row r="52605" spans="119:119" x14ac:dyDescent="0.2">
      <c r="DO52605" s="303" t="s">
        <v>232</v>
      </c>
    </row>
    <row r="52606" spans="119:119" x14ac:dyDescent="0.2">
      <c r="DO52606" s="303" t="s">
        <v>232</v>
      </c>
    </row>
    <row r="52607" spans="119:119" x14ac:dyDescent="0.2">
      <c r="DO52607" s="303" t="s">
        <v>232</v>
      </c>
    </row>
    <row r="52608" spans="119:119" x14ac:dyDescent="0.2">
      <c r="DO52608" s="303" t="s">
        <v>232</v>
      </c>
    </row>
    <row r="52609" spans="119:119" x14ac:dyDescent="0.2">
      <c r="DO52609" s="303" t="s">
        <v>232</v>
      </c>
    </row>
    <row r="52610" spans="119:119" x14ac:dyDescent="0.2">
      <c r="DO52610" s="303" t="s">
        <v>232</v>
      </c>
    </row>
    <row r="52611" spans="119:119" x14ac:dyDescent="0.2">
      <c r="DO52611" s="303" t="s">
        <v>232</v>
      </c>
    </row>
    <row r="52612" spans="119:119" x14ac:dyDescent="0.2">
      <c r="DO52612" s="303" t="s">
        <v>232</v>
      </c>
    </row>
    <row r="52613" spans="119:119" x14ac:dyDescent="0.2">
      <c r="DO52613" s="303" t="s">
        <v>232</v>
      </c>
    </row>
    <row r="52614" spans="119:119" x14ac:dyDescent="0.2">
      <c r="DO52614" s="303" t="s">
        <v>232</v>
      </c>
    </row>
    <row r="52615" spans="119:119" x14ac:dyDescent="0.2">
      <c r="DO52615" s="303" t="s">
        <v>232</v>
      </c>
    </row>
    <row r="52616" spans="119:119" x14ac:dyDescent="0.2">
      <c r="DO52616" s="303" t="s">
        <v>232</v>
      </c>
    </row>
    <row r="52617" spans="119:119" x14ac:dyDescent="0.2">
      <c r="DO52617" s="303" t="s">
        <v>232</v>
      </c>
    </row>
    <row r="52618" spans="119:119" x14ac:dyDescent="0.2">
      <c r="DO52618" s="303" t="s">
        <v>232</v>
      </c>
    </row>
    <row r="52619" spans="119:119" x14ac:dyDescent="0.2">
      <c r="DO52619" s="303" t="s">
        <v>232</v>
      </c>
    </row>
    <row r="52620" spans="119:119" x14ac:dyDescent="0.2">
      <c r="DO52620" s="303" t="s">
        <v>232</v>
      </c>
    </row>
    <row r="52621" spans="119:119" x14ac:dyDescent="0.2">
      <c r="DO52621" s="303" t="s">
        <v>232</v>
      </c>
    </row>
    <row r="52622" spans="119:119" x14ac:dyDescent="0.2">
      <c r="DO52622" s="303" t="s">
        <v>232</v>
      </c>
    </row>
    <row r="52623" spans="119:119" x14ac:dyDescent="0.2">
      <c r="DO52623" s="303" t="s">
        <v>232</v>
      </c>
    </row>
    <row r="52624" spans="119:119" x14ac:dyDescent="0.2">
      <c r="DO52624" s="303" t="s">
        <v>232</v>
      </c>
    </row>
    <row r="52625" spans="119:119" x14ac:dyDescent="0.2">
      <c r="DO52625" s="303" t="s">
        <v>232</v>
      </c>
    </row>
    <row r="52626" spans="119:119" x14ac:dyDescent="0.2">
      <c r="DO52626" s="303" t="s">
        <v>232</v>
      </c>
    </row>
    <row r="52627" spans="119:119" x14ac:dyDescent="0.2">
      <c r="DO52627" s="303" t="s">
        <v>232</v>
      </c>
    </row>
    <row r="52628" spans="119:119" x14ac:dyDescent="0.2">
      <c r="DO52628" s="303" t="s">
        <v>232</v>
      </c>
    </row>
    <row r="52629" spans="119:119" x14ac:dyDescent="0.2">
      <c r="DO52629" s="303" t="s">
        <v>232</v>
      </c>
    </row>
    <row r="52630" spans="119:119" x14ac:dyDescent="0.2">
      <c r="DO52630" s="303" t="s">
        <v>232</v>
      </c>
    </row>
    <row r="52631" spans="119:119" x14ac:dyDescent="0.2">
      <c r="DO52631" s="303" t="s">
        <v>232</v>
      </c>
    </row>
    <row r="52632" spans="119:119" x14ac:dyDescent="0.2">
      <c r="DO52632" s="303" t="s">
        <v>232</v>
      </c>
    </row>
    <row r="52633" spans="119:119" x14ac:dyDescent="0.2">
      <c r="DO52633" s="303" t="s">
        <v>232</v>
      </c>
    </row>
    <row r="52634" spans="119:119" x14ac:dyDescent="0.2">
      <c r="DO52634" s="303" t="s">
        <v>232</v>
      </c>
    </row>
    <row r="52635" spans="119:119" x14ac:dyDescent="0.2">
      <c r="DO52635" s="303" t="s">
        <v>232</v>
      </c>
    </row>
    <row r="52636" spans="119:119" x14ac:dyDescent="0.2">
      <c r="DO52636" s="303" t="s">
        <v>232</v>
      </c>
    </row>
    <row r="52637" spans="119:119" x14ac:dyDescent="0.2">
      <c r="DO52637" s="303" t="s">
        <v>232</v>
      </c>
    </row>
    <row r="52638" spans="119:119" x14ac:dyDescent="0.2">
      <c r="DO52638" s="303" t="s">
        <v>232</v>
      </c>
    </row>
    <row r="52639" spans="119:119" x14ac:dyDescent="0.2">
      <c r="DO52639" s="303" t="s">
        <v>232</v>
      </c>
    </row>
    <row r="52640" spans="119:119" x14ac:dyDescent="0.2">
      <c r="DO52640" s="303" t="s">
        <v>232</v>
      </c>
    </row>
    <row r="52641" spans="119:119" x14ac:dyDescent="0.2">
      <c r="DO52641" s="303" t="s">
        <v>232</v>
      </c>
    </row>
    <row r="52642" spans="119:119" x14ac:dyDescent="0.2">
      <c r="DO52642" s="303" t="s">
        <v>232</v>
      </c>
    </row>
    <row r="52643" spans="119:119" x14ac:dyDescent="0.2">
      <c r="DO52643" s="303" t="s">
        <v>232</v>
      </c>
    </row>
    <row r="52644" spans="119:119" x14ac:dyDescent="0.2">
      <c r="DO52644" s="303" t="s">
        <v>232</v>
      </c>
    </row>
    <row r="52645" spans="119:119" x14ac:dyDescent="0.2">
      <c r="DO52645" s="303" t="s">
        <v>232</v>
      </c>
    </row>
    <row r="52646" spans="119:119" x14ac:dyDescent="0.2">
      <c r="DO52646" s="303" t="s">
        <v>232</v>
      </c>
    </row>
    <row r="52647" spans="119:119" x14ac:dyDescent="0.2">
      <c r="DO52647" s="303" t="s">
        <v>232</v>
      </c>
    </row>
    <row r="52648" spans="119:119" x14ac:dyDescent="0.2">
      <c r="DO52648" s="303" t="s">
        <v>232</v>
      </c>
    </row>
    <row r="52649" spans="119:119" x14ac:dyDescent="0.2">
      <c r="DO52649" s="303" t="s">
        <v>232</v>
      </c>
    </row>
    <row r="52650" spans="119:119" x14ac:dyDescent="0.2">
      <c r="DO52650" s="303" t="s">
        <v>232</v>
      </c>
    </row>
    <row r="52651" spans="119:119" x14ac:dyDescent="0.2">
      <c r="DO52651" s="303" t="s">
        <v>232</v>
      </c>
    </row>
    <row r="52652" spans="119:119" x14ac:dyDescent="0.2">
      <c r="DO52652" s="303" t="s">
        <v>232</v>
      </c>
    </row>
    <row r="52653" spans="119:119" x14ac:dyDescent="0.2">
      <c r="DO52653" s="303" t="s">
        <v>232</v>
      </c>
    </row>
    <row r="52654" spans="119:119" x14ac:dyDescent="0.2">
      <c r="DO52654" s="303" t="s">
        <v>232</v>
      </c>
    </row>
    <row r="52655" spans="119:119" x14ac:dyDescent="0.2">
      <c r="DO52655" s="303" t="s">
        <v>232</v>
      </c>
    </row>
    <row r="52656" spans="119:119" x14ac:dyDescent="0.2">
      <c r="DO52656" s="303" t="s">
        <v>232</v>
      </c>
    </row>
    <row r="52657" spans="119:119" x14ac:dyDescent="0.2">
      <c r="DO52657" s="303" t="s">
        <v>232</v>
      </c>
    </row>
    <row r="52658" spans="119:119" x14ac:dyDescent="0.2">
      <c r="DO52658" s="303" t="s">
        <v>232</v>
      </c>
    </row>
    <row r="52659" spans="119:119" x14ac:dyDescent="0.2">
      <c r="DO52659" s="303" t="s">
        <v>232</v>
      </c>
    </row>
    <row r="52660" spans="119:119" x14ac:dyDescent="0.2">
      <c r="DO52660" s="303" t="s">
        <v>232</v>
      </c>
    </row>
    <row r="52661" spans="119:119" x14ac:dyDescent="0.2">
      <c r="DO52661" s="303" t="s">
        <v>232</v>
      </c>
    </row>
    <row r="52662" spans="119:119" x14ac:dyDescent="0.2">
      <c r="DO52662" s="303" t="s">
        <v>232</v>
      </c>
    </row>
    <row r="52663" spans="119:119" x14ac:dyDescent="0.2">
      <c r="DO52663" s="303" t="s">
        <v>232</v>
      </c>
    </row>
    <row r="52664" spans="119:119" x14ac:dyDescent="0.2">
      <c r="DO52664" s="303" t="s">
        <v>232</v>
      </c>
    </row>
    <row r="52665" spans="119:119" x14ac:dyDescent="0.2">
      <c r="DO52665" s="303" t="s">
        <v>232</v>
      </c>
    </row>
    <row r="52666" spans="119:119" x14ac:dyDescent="0.2">
      <c r="DO52666" s="303" t="s">
        <v>232</v>
      </c>
    </row>
    <row r="52667" spans="119:119" x14ac:dyDescent="0.2">
      <c r="DO52667" s="303" t="s">
        <v>232</v>
      </c>
    </row>
    <row r="52668" spans="119:119" x14ac:dyDescent="0.2">
      <c r="DO52668" s="303" t="s">
        <v>232</v>
      </c>
    </row>
    <row r="52669" spans="119:119" x14ac:dyDescent="0.2">
      <c r="DO52669" s="303" t="s">
        <v>232</v>
      </c>
    </row>
    <row r="52670" spans="119:119" x14ac:dyDescent="0.2">
      <c r="DO52670" s="303" t="s">
        <v>232</v>
      </c>
    </row>
    <row r="52671" spans="119:119" x14ac:dyDescent="0.2">
      <c r="DO52671" s="303" t="s">
        <v>232</v>
      </c>
    </row>
    <row r="52672" spans="119:119" x14ac:dyDescent="0.2">
      <c r="DO52672" s="303" t="s">
        <v>232</v>
      </c>
    </row>
    <row r="52673" spans="119:119" x14ac:dyDescent="0.2">
      <c r="DO52673" s="303" t="s">
        <v>232</v>
      </c>
    </row>
    <row r="52674" spans="119:119" x14ac:dyDescent="0.2">
      <c r="DO52674" s="303" t="s">
        <v>232</v>
      </c>
    </row>
    <row r="52675" spans="119:119" x14ac:dyDescent="0.2">
      <c r="DO52675" s="303" t="s">
        <v>232</v>
      </c>
    </row>
    <row r="52676" spans="119:119" x14ac:dyDescent="0.2">
      <c r="DO52676" s="303" t="s">
        <v>232</v>
      </c>
    </row>
    <row r="52677" spans="119:119" x14ac:dyDescent="0.2">
      <c r="DO52677" s="303" t="s">
        <v>232</v>
      </c>
    </row>
    <row r="52678" spans="119:119" x14ac:dyDescent="0.2">
      <c r="DO52678" s="303" t="s">
        <v>232</v>
      </c>
    </row>
    <row r="52679" spans="119:119" x14ac:dyDescent="0.2">
      <c r="DO52679" s="303" t="s">
        <v>232</v>
      </c>
    </row>
    <row r="52680" spans="119:119" x14ac:dyDescent="0.2">
      <c r="DO52680" s="303" t="s">
        <v>232</v>
      </c>
    </row>
    <row r="52681" spans="119:119" x14ac:dyDescent="0.2">
      <c r="DO52681" s="303" t="s">
        <v>232</v>
      </c>
    </row>
    <row r="52682" spans="119:119" x14ac:dyDescent="0.2">
      <c r="DO52682" s="303" t="s">
        <v>232</v>
      </c>
    </row>
    <row r="52683" spans="119:119" x14ac:dyDescent="0.2">
      <c r="DO52683" s="303" t="s">
        <v>232</v>
      </c>
    </row>
    <row r="52684" spans="119:119" x14ac:dyDescent="0.2">
      <c r="DO52684" s="303" t="s">
        <v>232</v>
      </c>
    </row>
    <row r="52685" spans="119:119" x14ac:dyDescent="0.2">
      <c r="DO52685" s="303" t="s">
        <v>232</v>
      </c>
    </row>
    <row r="52686" spans="119:119" x14ac:dyDescent="0.2">
      <c r="DO52686" s="303" t="s">
        <v>232</v>
      </c>
    </row>
    <row r="52687" spans="119:119" x14ac:dyDescent="0.2">
      <c r="DO52687" s="303" t="s">
        <v>232</v>
      </c>
    </row>
    <row r="52688" spans="119:119" x14ac:dyDescent="0.2">
      <c r="DO52688" s="303" t="s">
        <v>232</v>
      </c>
    </row>
    <row r="52689" spans="119:119" x14ac:dyDescent="0.2">
      <c r="DO52689" s="303" t="s">
        <v>232</v>
      </c>
    </row>
    <row r="52690" spans="119:119" x14ac:dyDescent="0.2">
      <c r="DO52690" s="303" t="s">
        <v>232</v>
      </c>
    </row>
    <row r="52691" spans="119:119" x14ac:dyDescent="0.2">
      <c r="DO52691" s="303" t="s">
        <v>232</v>
      </c>
    </row>
    <row r="52692" spans="119:119" x14ac:dyDescent="0.2">
      <c r="DO52692" s="303" t="s">
        <v>232</v>
      </c>
    </row>
    <row r="52693" spans="119:119" x14ac:dyDescent="0.2">
      <c r="DO52693" s="303" t="s">
        <v>232</v>
      </c>
    </row>
    <row r="52694" spans="119:119" x14ac:dyDescent="0.2">
      <c r="DO52694" s="303" t="s">
        <v>232</v>
      </c>
    </row>
    <row r="52695" spans="119:119" x14ac:dyDescent="0.2">
      <c r="DO52695" s="303" t="s">
        <v>232</v>
      </c>
    </row>
    <row r="52696" spans="119:119" x14ac:dyDescent="0.2">
      <c r="DO52696" s="303" t="s">
        <v>232</v>
      </c>
    </row>
    <row r="52697" spans="119:119" x14ac:dyDescent="0.2">
      <c r="DO52697" s="303" t="s">
        <v>232</v>
      </c>
    </row>
    <row r="52698" spans="119:119" x14ac:dyDescent="0.2">
      <c r="DO52698" s="303" t="s">
        <v>232</v>
      </c>
    </row>
    <row r="52699" spans="119:119" x14ac:dyDescent="0.2">
      <c r="DO52699" s="303" t="s">
        <v>232</v>
      </c>
    </row>
    <row r="52700" spans="119:119" x14ac:dyDescent="0.2">
      <c r="DO52700" s="303" t="s">
        <v>232</v>
      </c>
    </row>
    <row r="52701" spans="119:119" x14ac:dyDescent="0.2">
      <c r="DO52701" s="303" t="s">
        <v>232</v>
      </c>
    </row>
    <row r="52702" spans="119:119" x14ac:dyDescent="0.2">
      <c r="DO52702" s="303" t="s">
        <v>232</v>
      </c>
    </row>
    <row r="52703" spans="119:119" x14ac:dyDescent="0.2">
      <c r="DO52703" s="303" t="s">
        <v>232</v>
      </c>
    </row>
    <row r="52704" spans="119:119" x14ac:dyDescent="0.2">
      <c r="DO52704" s="303" t="s">
        <v>232</v>
      </c>
    </row>
    <row r="52705" spans="119:119" x14ac:dyDescent="0.2">
      <c r="DO52705" s="303" t="s">
        <v>232</v>
      </c>
    </row>
    <row r="52706" spans="119:119" x14ac:dyDescent="0.2">
      <c r="DO52706" s="303" t="s">
        <v>232</v>
      </c>
    </row>
    <row r="52707" spans="119:119" x14ac:dyDescent="0.2">
      <c r="DO52707" s="303" t="s">
        <v>232</v>
      </c>
    </row>
    <row r="52708" spans="119:119" x14ac:dyDescent="0.2">
      <c r="DO52708" s="303" t="s">
        <v>232</v>
      </c>
    </row>
    <row r="52709" spans="119:119" x14ac:dyDescent="0.2">
      <c r="DO52709" s="303" t="s">
        <v>232</v>
      </c>
    </row>
    <row r="52710" spans="119:119" x14ac:dyDescent="0.2">
      <c r="DO52710" s="303" t="s">
        <v>232</v>
      </c>
    </row>
    <row r="52711" spans="119:119" x14ac:dyDescent="0.2">
      <c r="DO52711" s="303" t="s">
        <v>232</v>
      </c>
    </row>
    <row r="52712" spans="119:119" x14ac:dyDescent="0.2">
      <c r="DO52712" s="303" t="s">
        <v>232</v>
      </c>
    </row>
    <row r="52713" spans="119:119" x14ac:dyDescent="0.2">
      <c r="DO52713" s="303" t="s">
        <v>232</v>
      </c>
    </row>
    <row r="52714" spans="119:119" x14ac:dyDescent="0.2">
      <c r="DO52714" s="303" t="s">
        <v>232</v>
      </c>
    </row>
    <row r="52715" spans="119:119" x14ac:dyDescent="0.2">
      <c r="DO52715" s="303" t="s">
        <v>232</v>
      </c>
    </row>
    <row r="52716" spans="119:119" x14ac:dyDescent="0.2">
      <c r="DO52716" s="303" t="s">
        <v>232</v>
      </c>
    </row>
    <row r="52717" spans="119:119" x14ac:dyDescent="0.2">
      <c r="DO52717" s="303" t="s">
        <v>232</v>
      </c>
    </row>
    <row r="52718" spans="119:119" x14ac:dyDescent="0.2">
      <c r="DO52718" s="303" t="s">
        <v>232</v>
      </c>
    </row>
    <row r="52719" spans="119:119" x14ac:dyDescent="0.2">
      <c r="DO52719" s="303" t="s">
        <v>232</v>
      </c>
    </row>
    <row r="52720" spans="119:119" x14ac:dyDescent="0.2">
      <c r="DO52720" s="303" t="s">
        <v>232</v>
      </c>
    </row>
    <row r="52721" spans="119:119" x14ac:dyDescent="0.2">
      <c r="DO52721" s="303" t="s">
        <v>232</v>
      </c>
    </row>
    <row r="52722" spans="119:119" x14ac:dyDescent="0.2">
      <c r="DO52722" s="303" t="s">
        <v>232</v>
      </c>
    </row>
    <row r="52723" spans="119:119" x14ac:dyDescent="0.2">
      <c r="DO52723" s="303" t="s">
        <v>232</v>
      </c>
    </row>
    <row r="52724" spans="119:119" x14ac:dyDescent="0.2">
      <c r="DO52724" s="303" t="s">
        <v>232</v>
      </c>
    </row>
    <row r="52725" spans="119:119" x14ac:dyDescent="0.2">
      <c r="DO52725" s="303" t="s">
        <v>232</v>
      </c>
    </row>
    <row r="52726" spans="119:119" x14ac:dyDescent="0.2">
      <c r="DO52726" s="303" t="s">
        <v>232</v>
      </c>
    </row>
    <row r="52727" spans="119:119" x14ac:dyDescent="0.2">
      <c r="DO52727" s="303" t="s">
        <v>232</v>
      </c>
    </row>
    <row r="52728" spans="119:119" x14ac:dyDescent="0.2">
      <c r="DO52728" s="303" t="s">
        <v>232</v>
      </c>
    </row>
    <row r="52729" spans="119:119" x14ac:dyDescent="0.2">
      <c r="DO52729" s="303" t="s">
        <v>232</v>
      </c>
    </row>
    <row r="52730" spans="119:119" x14ac:dyDescent="0.2">
      <c r="DO52730" s="303" t="s">
        <v>232</v>
      </c>
    </row>
    <row r="52731" spans="119:119" x14ac:dyDescent="0.2">
      <c r="DO52731" s="303" t="s">
        <v>232</v>
      </c>
    </row>
    <row r="52732" spans="119:119" x14ac:dyDescent="0.2">
      <c r="DO52732" s="303" t="s">
        <v>232</v>
      </c>
    </row>
    <row r="52733" spans="119:119" x14ac:dyDescent="0.2">
      <c r="DO52733" s="303" t="s">
        <v>232</v>
      </c>
    </row>
    <row r="52734" spans="119:119" x14ac:dyDescent="0.2">
      <c r="DO52734" s="303" t="s">
        <v>232</v>
      </c>
    </row>
    <row r="52735" spans="119:119" x14ac:dyDescent="0.2">
      <c r="DO52735" s="303" t="s">
        <v>232</v>
      </c>
    </row>
    <row r="52736" spans="119:119" x14ac:dyDescent="0.2">
      <c r="DO52736" s="303" t="s">
        <v>232</v>
      </c>
    </row>
    <row r="52737" spans="119:119" x14ac:dyDescent="0.2">
      <c r="DO52737" s="303" t="s">
        <v>232</v>
      </c>
    </row>
    <row r="52738" spans="119:119" x14ac:dyDescent="0.2">
      <c r="DO52738" s="303" t="s">
        <v>232</v>
      </c>
    </row>
    <row r="52739" spans="119:119" x14ac:dyDescent="0.2">
      <c r="DO52739" s="303" t="s">
        <v>232</v>
      </c>
    </row>
    <row r="52740" spans="119:119" x14ac:dyDescent="0.2">
      <c r="DO52740" s="303" t="s">
        <v>232</v>
      </c>
    </row>
    <row r="52741" spans="119:119" x14ac:dyDescent="0.2">
      <c r="DO52741" s="303" t="s">
        <v>232</v>
      </c>
    </row>
    <row r="52742" spans="119:119" x14ac:dyDescent="0.2">
      <c r="DO52742" s="303" t="s">
        <v>232</v>
      </c>
    </row>
    <row r="52743" spans="119:119" x14ac:dyDescent="0.2">
      <c r="DO52743" s="303" t="s">
        <v>232</v>
      </c>
    </row>
    <row r="52744" spans="119:119" x14ac:dyDescent="0.2">
      <c r="DO52744" s="303" t="s">
        <v>232</v>
      </c>
    </row>
    <row r="52745" spans="119:119" x14ac:dyDescent="0.2">
      <c r="DO52745" s="303" t="s">
        <v>232</v>
      </c>
    </row>
    <row r="52746" spans="119:119" x14ac:dyDescent="0.2">
      <c r="DO52746" s="303" t="s">
        <v>232</v>
      </c>
    </row>
    <row r="52747" spans="119:119" x14ac:dyDescent="0.2">
      <c r="DO52747" s="303" t="s">
        <v>232</v>
      </c>
    </row>
    <row r="52748" spans="119:119" x14ac:dyDescent="0.2">
      <c r="DO52748" s="303" t="s">
        <v>232</v>
      </c>
    </row>
    <row r="52749" spans="119:119" x14ac:dyDescent="0.2">
      <c r="DO52749" s="303" t="s">
        <v>232</v>
      </c>
    </row>
    <row r="52750" spans="119:119" x14ac:dyDescent="0.2">
      <c r="DO52750" s="303" t="s">
        <v>232</v>
      </c>
    </row>
    <row r="52751" spans="119:119" x14ac:dyDescent="0.2">
      <c r="DO52751" s="303" t="s">
        <v>232</v>
      </c>
    </row>
    <row r="52752" spans="119:119" x14ac:dyDescent="0.2">
      <c r="DO52752" s="303" t="s">
        <v>232</v>
      </c>
    </row>
    <row r="52753" spans="119:119" x14ac:dyDescent="0.2">
      <c r="DO52753" s="303" t="s">
        <v>232</v>
      </c>
    </row>
    <row r="52754" spans="119:119" x14ac:dyDescent="0.2">
      <c r="DO52754" s="303" t="s">
        <v>232</v>
      </c>
    </row>
    <row r="52755" spans="119:119" x14ac:dyDescent="0.2">
      <c r="DO52755" s="303" t="s">
        <v>232</v>
      </c>
    </row>
    <row r="52756" spans="119:119" x14ac:dyDescent="0.2">
      <c r="DO52756" s="303" t="s">
        <v>232</v>
      </c>
    </row>
    <row r="52757" spans="119:119" x14ac:dyDescent="0.2">
      <c r="DO52757" s="303" t="s">
        <v>232</v>
      </c>
    </row>
    <row r="52758" spans="119:119" x14ac:dyDescent="0.2">
      <c r="DO52758" s="303" t="s">
        <v>232</v>
      </c>
    </row>
    <row r="52759" spans="119:119" x14ac:dyDescent="0.2">
      <c r="DO52759" s="303" t="s">
        <v>232</v>
      </c>
    </row>
    <row r="52760" spans="119:119" x14ac:dyDescent="0.2">
      <c r="DO52760" s="303" t="s">
        <v>232</v>
      </c>
    </row>
    <row r="52761" spans="119:119" x14ac:dyDescent="0.2">
      <c r="DO52761" s="303" t="s">
        <v>232</v>
      </c>
    </row>
    <row r="52762" spans="119:119" x14ac:dyDescent="0.2">
      <c r="DO52762" s="303" t="s">
        <v>232</v>
      </c>
    </row>
    <row r="52763" spans="119:119" x14ac:dyDescent="0.2">
      <c r="DO52763" s="303" t="s">
        <v>232</v>
      </c>
    </row>
    <row r="52764" spans="119:119" x14ac:dyDescent="0.2">
      <c r="DO52764" s="303" t="s">
        <v>232</v>
      </c>
    </row>
    <row r="52765" spans="119:119" x14ac:dyDescent="0.2">
      <c r="DO52765" s="303" t="s">
        <v>232</v>
      </c>
    </row>
    <row r="52766" spans="119:119" x14ac:dyDescent="0.2">
      <c r="DO52766" s="303" t="s">
        <v>232</v>
      </c>
    </row>
    <row r="52767" spans="119:119" x14ac:dyDescent="0.2">
      <c r="DO52767" s="303" t="s">
        <v>232</v>
      </c>
    </row>
    <row r="52768" spans="119:119" x14ac:dyDescent="0.2">
      <c r="DO52768" s="303" t="s">
        <v>232</v>
      </c>
    </row>
    <row r="52769" spans="119:119" x14ac:dyDescent="0.2">
      <c r="DO52769" s="303" t="s">
        <v>232</v>
      </c>
    </row>
    <row r="52770" spans="119:119" x14ac:dyDescent="0.2">
      <c r="DO52770" s="303" t="s">
        <v>232</v>
      </c>
    </row>
    <row r="52771" spans="119:119" x14ac:dyDescent="0.2">
      <c r="DO52771" s="303" t="s">
        <v>232</v>
      </c>
    </row>
    <row r="52772" spans="119:119" x14ac:dyDescent="0.2">
      <c r="DO52772" s="303" t="s">
        <v>232</v>
      </c>
    </row>
    <row r="52773" spans="119:119" x14ac:dyDescent="0.2">
      <c r="DO52773" s="303" t="s">
        <v>232</v>
      </c>
    </row>
    <row r="52774" spans="119:119" x14ac:dyDescent="0.2">
      <c r="DO52774" s="303" t="s">
        <v>232</v>
      </c>
    </row>
    <row r="52775" spans="119:119" x14ac:dyDescent="0.2">
      <c r="DO52775" s="303" t="s">
        <v>232</v>
      </c>
    </row>
    <row r="52776" spans="119:119" x14ac:dyDescent="0.2">
      <c r="DO52776" s="303" t="s">
        <v>232</v>
      </c>
    </row>
    <row r="52777" spans="119:119" x14ac:dyDescent="0.2">
      <c r="DO52777" s="303" t="s">
        <v>232</v>
      </c>
    </row>
    <row r="52778" spans="119:119" x14ac:dyDescent="0.2">
      <c r="DO52778" s="303" t="s">
        <v>232</v>
      </c>
    </row>
    <row r="52779" spans="119:119" x14ac:dyDescent="0.2">
      <c r="DO52779" s="303" t="s">
        <v>232</v>
      </c>
    </row>
    <row r="52780" spans="119:119" x14ac:dyDescent="0.2">
      <c r="DO52780" s="303" t="s">
        <v>232</v>
      </c>
    </row>
    <row r="52781" spans="119:119" x14ac:dyDescent="0.2">
      <c r="DO52781" s="303" t="s">
        <v>232</v>
      </c>
    </row>
    <row r="52782" spans="119:119" x14ac:dyDescent="0.2">
      <c r="DO52782" s="303" t="s">
        <v>232</v>
      </c>
    </row>
    <row r="52783" spans="119:119" x14ac:dyDescent="0.2">
      <c r="DO52783" s="303" t="s">
        <v>232</v>
      </c>
    </row>
    <row r="52784" spans="119:119" x14ac:dyDescent="0.2">
      <c r="DO52784" s="303" t="s">
        <v>232</v>
      </c>
    </row>
    <row r="52785" spans="119:119" x14ac:dyDescent="0.2">
      <c r="DO52785" s="303" t="s">
        <v>232</v>
      </c>
    </row>
    <row r="52786" spans="119:119" x14ac:dyDescent="0.2">
      <c r="DO52786" s="303" t="s">
        <v>232</v>
      </c>
    </row>
    <row r="52787" spans="119:119" x14ac:dyDescent="0.2">
      <c r="DO52787" s="303" t="s">
        <v>232</v>
      </c>
    </row>
    <row r="52788" spans="119:119" x14ac:dyDescent="0.2">
      <c r="DO52788" s="303" t="s">
        <v>232</v>
      </c>
    </row>
    <row r="52789" spans="119:119" x14ac:dyDescent="0.2">
      <c r="DO52789" s="303" t="s">
        <v>232</v>
      </c>
    </row>
    <row r="52790" spans="119:119" x14ac:dyDescent="0.2">
      <c r="DO52790" s="303" t="s">
        <v>232</v>
      </c>
    </row>
    <row r="52791" spans="119:119" x14ac:dyDescent="0.2">
      <c r="DO52791" s="303" t="s">
        <v>232</v>
      </c>
    </row>
    <row r="52792" spans="119:119" x14ac:dyDescent="0.2">
      <c r="DO52792" s="303" t="s">
        <v>232</v>
      </c>
    </row>
    <row r="52793" spans="119:119" x14ac:dyDescent="0.2">
      <c r="DO52793" s="303" t="s">
        <v>232</v>
      </c>
    </row>
    <row r="52794" spans="119:119" x14ac:dyDescent="0.2">
      <c r="DO52794" s="303" t="s">
        <v>232</v>
      </c>
    </row>
    <row r="52795" spans="119:119" x14ac:dyDescent="0.2">
      <c r="DO52795" s="303" t="s">
        <v>232</v>
      </c>
    </row>
    <row r="52796" spans="119:119" x14ac:dyDescent="0.2">
      <c r="DO52796" s="303" t="s">
        <v>232</v>
      </c>
    </row>
    <row r="52797" spans="119:119" x14ac:dyDescent="0.2">
      <c r="DO52797" s="303" t="s">
        <v>232</v>
      </c>
    </row>
    <row r="52798" spans="119:119" x14ac:dyDescent="0.2">
      <c r="DO52798" s="303" t="s">
        <v>232</v>
      </c>
    </row>
    <row r="52799" spans="119:119" x14ac:dyDescent="0.2">
      <c r="DO52799" s="303" t="s">
        <v>232</v>
      </c>
    </row>
    <row r="52800" spans="119:119" x14ac:dyDescent="0.2">
      <c r="DO52800" s="303" t="s">
        <v>232</v>
      </c>
    </row>
    <row r="52801" spans="119:119" x14ac:dyDescent="0.2">
      <c r="DO52801" s="303" t="s">
        <v>232</v>
      </c>
    </row>
    <row r="52802" spans="119:119" x14ac:dyDescent="0.2">
      <c r="DO52802" s="303" t="s">
        <v>232</v>
      </c>
    </row>
    <row r="52803" spans="119:119" x14ac:dyDescent="0.2">
      <c r="DO52803" s="303" t="s">
        <v>232</v>
      </c>
    </row>
    <row r="52804" spans="119:119" x14ac:dyDescent="0.2">
      <c r="DO52804" s="303" t="s">
        <v>232</v>
      </c>
    </row>
    <row r="52805" spans="119:119" x14ac:dyDescent="0.2">
      <c r="DO52805" s="303" t="s">
        <v>232</v>
      </c>
    </row>
    <row r="52806" spans="119:119" x14ac:dyDescent="0.2">
      <c r="DO52806" s="303" t="s">
        <v>232</v>
      </c>
    </row>
    <row r="52807" spans="119:119" x14ac:dyDescent="0.2">
      <c r="DO52807" s="303" t="s">
        <v>232</v>
      </c>
    </row>
    <row r="52808" spans="119:119" x14ac:dyDescent="0.2">
      <c r="DO52808" s="303" t="s">
        <v>232</v>
      </c>
    </row>
    <row r="52809" spans="119:119" x14ac:dyDescent="0.2">
      <c r="DO52809" s="303" t="s">
        <v>232</v>
      </c>
    </row>
    <row r="52810" spans="119:119" x14ac:dyDescent="0.2">
      <c r="DO52810" s="303" t="s">
        <v>232</v>
      </c>
    </row>
    <row r="52811" spans="119:119" x14ac:dyDescent="0.2">
      <c r="DO52811" s="303" t="s">
        <v>232</v>
      </c>
    </row>
    <row r="52812" spans="119:119" x14ac:dyDescent="0.2">
      <c r="DO52812" s="303" t="s">
        <v>232</v>
      </c>
    </row>
    <row r="52813" spans="119:119" x14ac:dyDescent="0.2">
      <c r="DO52813" s="303" t="s">
        <v>232</v>
      </c>
    </row>
    <row r="52814" spans="119:119" x14ac:dyDescent="0.2">
      <c r="DO52814" s="303" t="s">
        <v>232</v>
      </c>
    </row>
    <row r="52815" spans="119:119" x14ac:dyDescent="0.2">
      <c r="DO52815" s="303" t="s">
        <v>232</v>
      </c>
    </row>
    <row r="52816" spans="119:119" x14ac:dyDescent="0.2">
      <c r="DO52816" s="303" t="s">
        <v>232</v>
      </c>
    </row>
    <row r="52817" spans="119:119" x14ac:dyDescent="0.2">
      <c r="DO52817" s="303" t="s">
        <v>232</v>
      </c>
    </row>
    <row r="52818" spans="119:119" x14ac:dyDescent="0.2">
      <c r="DO52818" s="303" t="s">
        <v>232</v>
      </c>
    </row>
    <row r="52819" spans="119:119" x14ac:dyDescent="0.2">
      <c r="DO52819" s="303" t="s">
        <v>232</v>
      </c>
    </row>
    <row r="52820" spans="119:119" x14ac:dyDescent="0.2">
      <c r="DO52820" s="303" t="s">
        <v>232</v>
      </c>
    </row>
    <row r="52821" spans="119:119" x14ac:dyDescent="0.2">
      <c r="DO52821" s="303" t="s">
        <v>232</v>
      </c>
    </row>
    <row r="52822" spans="119:119" x14ac:dyDescent="0.2">
      <c r="DO52822" s="303" t="s">
        <v>232</v>
      </c>
    </row>
    <row r="52823" spans="119:119" x14ac:dyDescent="0.2">
      <c r="DO52823" s="303" t="s">
        <v>232</v>
      </c>
    </row>
    <row r="52824" spans="119:119" x14ac:dyDescent="0.2">
      <c r="DO52824" s="303" t="s">
        <v>232</v>
      </c>
    </row>
    <row r="52825" spans="119:119" x14ac:dyDescent="0.2">
      <c r="DO52825" s="303" t="s">
        <v>232</v>
      </c>
    </row>
    <row r="52826" spans="119:119" x14ac:dyDescent="0.2">
      <c r="DO52826" s="303" t="s">
        <v>232</v>
      </c>
    </row>
    <row r="52827" spans="119:119" x14ac:dyDescent="0.2">
      <c r="DO52827" s="303" t="s">
        <v>232</v>
      </c>
    </row>
    <row r="52828" spans="119:119" x14ac:dyDescent="0.2">
      <c r="DO52828" s="303" t="s">
        <v>232</v>
      </c>
    </row>
    <row r="52829" spans="119:119" x14ac:dyDescent="0.2">
      <c r="DO52829" s="303" t="s">
        <v>232</v>
      </c>
    </row>
    <row r="52830" spans="119:119" x14ac:dyDescent="0.2">
      <c r="DO52830" s="303" t="s">
        <v>232</v>
      </c>
    </row>
    <row r="52831" spans="119:119" x14ac:dyDescent="0.2">
      <c r="DO52831" s="303" t="s">
        <v>232</v>
      </c>
    </row>
    <row r="52832" spans="119:119" x14ac:dyDescent="0.2">
      <c r="DO52832" s="303" t="s">
        <v>232</v>
      </c>
    </row>
    <row r="52833" spans="119:119" x14ac:dyDescent="0.2">
      <c r="DO52833" s="303" t="s">
        <v>232</v>
      </c>
    </row>
    <row r="52834" spans="119:119" x14ac:dyDescent="0.2">
      <c r="DO52834" s="303" t="s">
        <v>232</v>
      </c>
    </row>
    <row r="52835" spans="119:119" x14ac:dyDescent="0.2">
      <c r="DO52835" s="303" t="s">
        <v>232</v>
      </c>
    </row>
    <row r="52836" spans="119:119" x14ac:dyDescent="0.2">
      <c r="DO52836" s="303" t="s">
        <v>232</v>
      </c>
    </row>
    <row r="52837" spans="119:119" x14ac:dyDescent="0.2">
      <c r="DO52837" s="303" t="s">
        <v>232</v>
      </c>
    </row>
    <row r="52838" spans="119:119" x14ac:dyDescent="0.2">
      <c r="DO52838" s="303" t="s">
        <v>232</v>
      </c>
    </row>
    <row r="52839" spans="119:119" x14ac:dyDescent="0.2">
      <c r="DO52839" s="303" t="s">
        <v>232</v>
      </c>
    </row>
    <row r="52840" spans="119:119" x14ac:dyDescent="0.2">
      <c r="DO52840" s="303" t="s">
        <v>232</v>
      </c>
    </row>
    <row r="52841" spans="119:119" x14ac:dyDescent="0.2">
      <c r="DO52841" s="303" t="s">
        <v>232</v>
      </c>
    </row>
    <row r="52842" spans="119:119" x14ac:dyDescent="0.2">
      <c r="DO52842" s="303" t="s">
        <v>232</v>
      </c>
    </row>
    <row r="52843" spans="119:119" x14ac:dyDescent="0.2">
      <c r="DO52843" s="303" t="s">
        <v>232</v>
      </c>
    </row>
    <row r="52844" spans="119:119" x14ac:dyDescent="0.2">
      <c r="DO52844" s="303" t="s">
        <v>232</v>
      </c>
    </row>
    <row r="52845" spans="119:119" x14ac:dyDescent="0.2">
      <c r="DO52845" s="303" t="s">
        <v>232</v>
      </c>
    </row>
    <row r="52846" spans="119:119" x14ac:dyDescent="0.2">
      <c r="DO52846" s="303" t="s">
        <v>232</v>
      </c>
    </row>
    <row r="52847" spans="119:119" x14ac:dyDescent="0.2">
      <c r="DO52847" s="303" t="s">
        <v>232</v>
      </c>
    </row>
    <row r="52848" spans="119:119" x14ac:dyDescent="0.2">
      <c r="DO52848" s="303" t="s">
        <v>232</v>
      </c>
    </row>
    <row r="52849" spans="119:119" x14ac:dyDescent="0.2">
      <c r="DO52849" s="303" t="s">
        <v>232</v>
      </c>
    </row>
    <row r="52850" spans="119:119" x14ac:dyDescent="0.2">
      <c r="DO52850" s="303" t="s">
        <v>232</v>
      </c>
    </row>
    <row r="52851" spans="119:119" x14ac:dyDescent="0.2">
      <c r="DO52851" s="303" t="s">
        <v>232</v>
      </c>
    </row>
    <row r="52852" spans="119:119" x14ac:dyDescent="0.2">
      <c r="DO52852" s="303" t="s">
        <v>232</v>
      </c>
    </row>
    <row r="52853" spans="119:119" x14ac:dyDescent="0.2">
      <c r="DO52853" s="303" t="s">
        <v>232</v>
      </c>
    </row>
    <row r="52854" spans="119:119" x14ac:dyDescent="0.2">
      <c r="DO52854" s="303" t="s">
        <v>232</v>
      </c>
    </row>
    <row r="52855" spans="119:119" x14ac:dyDescent="0.2">
      <c r="DO52855" s="303" t="s">
        <v>232</v>
      </c>
    </row>
    <row r="52856" spans="119:119" x14ac:dyDescent="0.2">
      <c r="DO52856" s="303" t="s">
        <v>232</v>
      </c>
    </row>
    <row r="52857" spans="119:119" x14ac:dyDescent="0.2">
      <c r="DO52857" s="303" t="s">
        <v>232</v>
      </c>
    </row>
    <row r="52858" spans="119:119" x14ac:dyDescent="0.2">
      <c r="DO52858" s="303" t="s">
        <v>232</v>
      </c>
    </row>
    <row r="52859" spans="119:119" x14ac:dyDescent="0.2">
      <c r="DO52859" s="303" t="s">
        <v>232</v>
      </c>
    </row>
    <row r="52860" spans="119:119" x14ac:dyDescent="0.2">
      <c r="DO52860" s="303" t="s">
        <v>232</v>
      </c>
    </row>
    <row r="52861" spans="119:119" x14ac:dyDescent="0.2">
      <c r="DO52861" s="303" t="s">
        <v>232</v>
      </c>
    </row>
    <row r="52862" spans="119:119" x14ac:dyDescent="0.2">
      <c r="DO52862" s="303" t="s">
        <v>232</v>
      </c>
    </row>
    <row r="52863" spans="119:119" x14ac:dyDescent="0.2">
      <c r="DO52863" s="303" t="s">
        <v>232</v>
      </c>
    </row>
    <row r="52864" spans="119:119" x14ac:dyDescent="0.2">
      <c r="DO52864" s="303" t="s">
        <v>232</v>
      </c>
    </row>
    <row r="52865" spans="119:119" x14ac:dyDescent="0.2">
      <c r="DO52865" s="303" t="s">
        <v>232</v>
      </c>
    </row>
    <row r="52866" spans="119:119" x14ac:dyDescent="0.2">
      <c r="DO52866" s="303" t="s">
        <v>232</v>
      </c>
    </row>
    <row r="52867" spans="119:119" x14ac:dyDescent="0.2">
      <c r="DO52867" s="303" t="s">
        <v>232</v>
      </c>
    </row>
    <row r="52868" spans="119:119" x14ac:dyDescent="0.2">
      <c r="DO52868" s="303" t="s">
        <v>232</v>
      </c>
    </row>
    <row r="52869" spans="119:119" x14ac:dyDescent="0.2">
      <c r="DO52869" s="303" t="s">
        <v>232</v>
      </c>
    </row>
    <row r="52870" spans="119:119" x14ac:dyDescent="0.2">
      <c r="DO52870" s="303" t="s">
        <v>232</v>
      </c>
    </row>
    <row r="52871" spans="119:119" x14ac:dyDescent="0.2">
      <c r="DO52871" s="303" t="s">
        <v>232</v>
      </c>
    </row>
    <row r="52872" spans="119:119" x14ac:dyDescent="0.2">
      <c r="DO52872" s="303" t="s">
        <v>232</v>
      </c>
    </row>
    <row r="52873" spans="119:119" x14ac:dyDescent="0.2">
      <c r="DO52873" s="303" t="s">
        <v>232</v>
      </c>
    </row>
    <row r="52874" spans="119:119" x14ac:dyDescent="0.2">
      <c r="DO52874" s="303" t="s">
        <v>232</v>
      </c>
    </row>
    <row r="52875" spans="119:119" x14ac:dyDescent="0.2">
      <c r="DO52875" s="303" t="s">
        <v>232</v>
      </c>
    </row>
    <row r="52876" spans="119:119" x14ac:dyDescent="0.2">
      <c r="DO52876" s="303" t="s">
        <v>232</v>
      </c>
    </row>
    <row r="52877" spans="119:119" x14ac:dyDescent="0.2">
      <c r="DO52877" s="303" t="s">
        <v>232</v>
      </c>
    </row>
    <row r="52878" spans="119:119" x14ac:dyDescent="0.2">
      <c r="DO52878" s="303" t="s">
        <v>232</v>
      </c>
    </row>
    <row r="52879" spans="119:119" x14ac:dyDescent="0.2">
      <c r="DO52879" s="303" t="s">
        <v>232</v>
      </c>
    </row>
    <row r="52880" spans="119:119" x14ac:dyDescent="0.2">
      <c r="DO52880" s="303" t="s">
        <v>232</v>
      </c>
    </row>
    <row r="52881" spans="119:119" x14ac:dyDescent="0.2">
      <c r="DO52881" s="303" t="s">
        <v>232</v>
      </c>
    </row>
    <row r="52882" spans="119:119" x14ac:dyDescent="0.2">
      <c r="DO52882" s="303" t="s">
        <v>232</v>
      </c>
    </row>
    <row r="52883" spans="119:119" x14ac:dyDescent="0.2">
      <c r="DO52883" s="303" t="s">
        <v>232</v>
      </c>
    </row>
    <row r="52884" spans="119:119" x14ac:dyDescent="0.2">
      <c r="DO52884" s="303" t="s">
        <v>232</v>
      </c>
    </row>
    <row r="52885" spans="119:119" x14ac:dyDescent="0.2">
      <c r="DO52885" s="303" t="s">
        <v>232</v>
      </c>
    </row>
    <row r="52886" spans="119:119" x14ac:dyDescent="0.2">
      <c r="DO52886" s="303" t="s">
        <v>232</v>
      </c>
    </row>
    <row r="52887" spans="119:119" x14ac:dyDescent="0.2">
      <c r="DO52887" s="303" t="s">
        <v>232</v>
      </c>
    </row>
    <row r="52888" spans="119:119" x14ac:dyDescent="0.2">
      <c r="DO52888" s="303" t="s">
        <v>232</v>
      </c>
    </row>
    <row r="52889" spans="119:119" x14ac:dyDescent="0.2">
      <c r="DO52889" s="303" t="s">
        <v>232</v>
      </c>
    </row>
    <row r="52890" spans="119:119" x14ac:dyDescent="0.2">
      <c r="DO52890" s="303" t="s">
        <v>232</v>
      </c>
    </row>
    <row r="52891" spans="119:119" x14ac:dyDescent="0.2">
      <c r="DO52891" s="303" t="s">
        <v>232</v>
      </c>
    </row>
    <row r="52892" spans="119:119" x14ac:dyDescent="0.2">
      <c r="DO52892" s="303" t="s">
        <v>232</v>
      </c>
    </row>
    <row r="52893" spans="119:119" x14ac:dyDescent="0.2">
      <c r="DO52893" s="303" t="s">
        <v>232</v>
      </c>
    </row>
    <row r="52894" spans="119:119" x14ac:dyDescent="0.2">
      <c r="DO52894" s="303" t="s">
        <v>232</v>
      </c>
    </row>
    <row r="52895" spans="119:119" x14ac:dyDescent="0.2">
      <c r="DO52895" s="303" t="s">
        <v>232</v>
      </c>
    </row>
    <row r="52896" spans="119:119" x14ac:dyDescent="0.2">
      <c r="DO52896" s="303" t="s">
        <v>232</v>
      </c>
    </row>
    <row r="52897" spans="119:119" x14ac:dyDescent="0.2">
      <c r="DO52897" s="303" t="s">
        <v>232</v>
      </c>
    </row>
    <row r="52898" spans="119:119" x14ac:dyDescent="0.2">
      <c r="DO52898" s="303" t="s">
        <v>232</v>
      </c>
    </row>
    <row r="52899" spans="119:119" x14ac:dyDescent="0.2">
      <c r="DO52899" s="303" t="s">
        <v>232</v>
      </c>
    </row>
    <row r="52900" spans="119:119" x14ac:dyDescent="0.2">
      <c r="DO52900" s="303" t="s">
        <v>232</v>
      </c>
    </row>
    <row r="52901" spans="119:119" x14ac:dyDescent="0.2">
      <c r="DO52901" s="303" t="s">
        <v>232</v>
      </c>
    </row>
    <row r="52902" spans="119:119" x14ac:dyDescent="0.2">
      <c r="DO52902" s="303" t="s">
        <v>232</v>
      </c>
    </row>
    <row r="52903" spans="119:119" x14ac:dyDescent="0.2">
      <c r="DO52903" s="303" t="s">
        <v>232</v>
      </c>
    </row>
    <row r="52904" spans="119:119" x14ac:dyDescent="0.2">
      <c r="DO52904" s="303" t="s">
        <v>232</v>
      </c>
    </row>
    <row r="52905" spans="119:119" x14ac:dyDescent="0.2">
      <c r="DO52905" s="303" t="s">
        <v>232</v>
      </c>
    </row>
    <row r="52906" spans="119:119" x14ac:dyDescent="0.2">
      <c r="DO52906" s="303" t="s">
        <v>232</v>
      </c>
    </row>
    <row r="52907" spans="119:119" x14ac:dyDescent="0.2">
      <c r="DO52907" s="303" t="s">
        <v>232</v>
      </c>
    </row>
    <row r="52908" spans="119:119" x14ac:dyDescent="0.2">
      <c r="DO52908" s="303" t="s">
        <v>232</v>
      </c>
    </row>
    <row r="52909" spans="119:119" x14ac:dyDescent="0.2">
      <c r="DO52909" s="303" t="s">
        <v>232</v>
      </c>
    </row>
    <row r="52910" spans="119:119" x14ac:dyDescent="0.2">
      <c r="DO52910" s="303" t="s">
        <v>232</v>
      </c>
    </row>
    <row r="52911" spans="119:119" x14ac:dyDescent="0.2">
      <c r="DO52911" s="303" t="s">
        <v>232</v>
      </c>
    </row>
    <row r="52912" spans="119:119" x14ac:dyDescent="0.2">
      <c r="DO52912" s="303" t="s">
        <v>232</v>
      </c>
    </row>
    <row r="52913" spans="119:119" x14ac:dyDescent="0.2">
      <c r="DO52913" s="303" t="s">
        <v>232</v>
      </c>
    </row>
    <row r="52914" spans="119:119" x14ac:dyDescent="0.2">
      <c r="DO52914" s="303" t="s">
        <v>232</v>
      </c>
    </row>
    <row r="52915" spans="119:119" x14ac:dyDescent="0.2">
      <c r="DO52915" s="303" t="s">
        <v>232</v>
      </c>
    </row>
    <row r="52916" spans="119:119" x14ac:dyDescent="0.2">
      <c r="DO52916" s="303" t="s">
        <v>232</v>
      </c>
    </row>
    <row r="52917" spans="119:119" x14ac:dyDescent="0.2">
      <c r="DO52917" s="303" t="s">
        <v>232</v>
      </c>
    </row>
    <row r="52918" spans="119:119" x14ac:dyDescent="0.2">
      <c r="DO52918" s="303" t="s">
        <v>232</v>
      </c>
    </row>
    <row r="52919" spans="119:119" x14ac:dyDescent="0.2">
      <c r="DO52919" s="303" t="s">
        <v>232</v>
      </c>
    </row>
    <row r="52920" spans="119:119" x14ac:dyDescent="0.2">
      <c r="DO52920" s="303" t="s">
        <v>232</v>
      </c>
    </row>
    <row r="52921" spans="119:119" x14ac:dyDescent="0.2">
      <c r="DO52921" s="303" t="s">
        <v>232</v>
      </c>
    </row>
    <row r="52922" spans="119:119" x14ac:dyDescent="0.2">
      <c r="DO52922" s="303" t="s">
        <v>232</v>
      </c>
    </row>
    <row r="52923" spans="119:119" x14ac:dyDescent="0.2">
      <c r="DO52923" s="303" t="s">
        <v>232</v>
      </c>
    </row>
    <row r="52924" spans="119:119" x14ac:dyDescent="0.2">
      <c r="DO52924" s="303" t="s">
        <v>232</v>
      </c>
    </row>
    <row r="52925" spans="119:119" x14ac:dyDescent="0.2">
      <c r="DO52925" s="303" t="s">
        <v>232</v>
      </c>
    </row>
    <row r="52926" spans="119:119" x14ac:dyDescent="0.2">
      <c r="DO52926" s="303" t="s">
        <v>232</v>
      </c>
    </row>
    <row r="52927" spans="119:119" x14ac:dyDescent="0.2">
      <c r="DO52927" s="303" t="s">
        <v>232</v>
      </c>
    </row>
    <row r="52928" spans="119:119" x14ac:dyDescent="0.2">
      <c r="DO52928" s="303" t="s">
        <v>232</v>
      </c>
    </row>
    <row r="52929" spans="119:119" x14ac:dyDescent="0.2">
      <c r="DO52929" s="303" t="s">
        <v>232</v>
      </c>
    </row>
    <row r="52930" spans="119:119" x14ac:dyDescent="0.2">
      <c r="DO52930" s="303" t="s">
        <v>232</v>
      </c>
    </row>
    <row r="52931" spans="119:119" x14ac:dyDescent="0.2">
      <c r="DO52931" s="303" t="s">
        <v>232</v>
      </c>
    </row>
    <row r="52932" spans="119:119" x14ac:dyDescent="0.2">
      <c r="DO52932" s="303" t="s">
        <v>232</v>
      </c>
    </row>
    <row r="52933" spans="119:119" x14ac:dyDescent="0.2">
      <c r="DO52933" s="303" t="s">
        <v>232</v>
      </c>
    </row>
    <row r="52934" spans="119:119" x14ac:dyDescent="0.2">
      <c r="DO52934" s="303" t="s">
        <v>232</v>
      </c>
    </row>
    <row r="52935" spans="119:119" x14ac:dyDescent="0.2">
      <c r="DO52935" s="303" t="s">
        <v>232</v>
      </c>
    </row>
    <row r="52936" spans="119:119" x14ac:dyDescent="0.2">
      <c r="DO52936" s="303" t="s">
        <v>232</v>
      </c>
    </row>
    <row r="52937" spans="119:119" x14ac:dyDescent="0.2">
      <c r="DO52937" s="303" t="s">
        <v>232</v>
      </c>
    </row>
    <row r="52938" spans="119:119" x14ac:dyDescent="0.2">
      <c r="DO52938" s="303" t="s">
        <v>232</v>
      </c>
    </row>
    <row r="52939" spans="119:119" x14ac:dyDescent="0.2">
      <c r="DO52939" s="303" t="s">
        <v>232</v>
      </c>
    </row>
    <row r="52940" spans="119:119" x14ac:dyDescent="0.2">
      <c r="DO52940" s="303" t="s">
        <v>232</v>
      </c>
    </row>
    <row r="52941" spans="119:119" x14ac:dyDescent="0.2">
      <c r="DO52941" s="303" t="s">
        <v>232</v>
      </c>
    </row>
    <row r="52942" spans="119:119" x14ac:dyDescent="0.2">
      <c r="DO52942" s="303" t="s">
        <v>232</v>
      </c>
    </row>
    <row r="52943" spans="119:119" x14ac:dyDescent="0.2">
      <c r="DO52943" s="303" t="s">
        <v>232</v>
      </c>
    </row>
    <row r="52944" spans="119:119" x14ac:dyDescent="0.2">
      <c r="DO52944" s="303" t="s">
        <v>232</v>
      </c>
    </row>
    <row r="52945" spans="119:119" x14ac:dyDescent="0.2">
      <c r="DO52945" s="303" t="s">
        <v>232</v>
      </c>
    </row>
    <row r="52946" spans="119:119" x14ac:dyDescent="0.2">
      <c r="DO52946" s="303" t="s">
        <v>232</v>
      </c>
    </row>
    <row r="52947" spans="119:119" x14ac:dyDescent="0.2">
      <c r="DO52947" s="303" t="s">
        <v>232</v>
      </c>
    </row>
    <row r="52948" spans="119:119" x14ac:dyDescent="0.2">
      <c r="DO52948" s="303" t="s">
        <v>232</v>
      </c>
    </row>
    <row r="52949" spans="119:119" x14ac:dyDescent="0.2">
      <c r="DO52949" s="303" t="s">
        <v>232</v>
      </c>
    </row>
    <row r="52950" spans="119:119" x14ac:dyDescent="0.2">
      <c r="DO52950" s="303" t="s">
        <v>232</v>
      </c>
    </row>
    <row r="52951" spans="119:119" x14ac:dyDescent="0.2">
      <c r="DO52951" s="303" t="s">
        <v>232</v>
      </c>
    </row>
    <row r="52952" spans="119:119" x14ac:dyDescent="0.2">
      <c r="DO52952" s="303" t="s">
        <v>232</v>
      </c>
    </row>
    <row r="52953" spans="119:119" x14ac:dyDescent="0.2">
      <c r="DO52953" s="303" t="s">
        <v>232</v>
      </c>
    </row>
    <row r="52954" spans="119:119" x14ac:dyDescent="0.2">
      <c r="DO52954" s="303" t="s">
        <v>232</v>
      </c>
    </row>
    <row r="52955" spans="119:119" x14ac:dyDescent="0.2">
      <c r="DO52955" s="303" t="s">
        <v>232</v>
      </c>
    </row>
    <row r="52956" spans="119:119" x14ac:dyDescent="0.2">
      <c r="DO52956" s="303" t="s">
        <v>232</v>
      </c>
    </row>
    <row r="52957" spans="119:119" x14ac:dyDescent="0.2">
      <c r="DO52957" s="303" t="s">
        <v>232</v>
      </c>
    </row>
    <row r="52958" spans="119:119" x14ac:dyDescent="0.2">
      <c r="DO52958" s="303" t="s">
        <v>232</v>
      </c>
    </row>
    <row r="52959" spans="119:119" x14ac:dyDescent="0.2">
      <c r="DO52959" s="303" t="s">
        <v>232</v>
      </c>
    </row>
    <row r="52960" spans="119:119" x14ac:dyDescent="0.2">
      <c r="DO52960" s="303" t="s">
        <v>232</v>
      </c>
    </row>
    <row r="52961" spans="119:119" x14ac:dyDescent="0.2">
      <c r="DO52961" s="303" t="s">
        <v>232</v>
      </c>
    </row>
    <row r="52962" spans="119:119" x14ac:dyDescent="0.2">
      <c r="DO52962" s="303" t="s">
        <v>232</v>
      </c>
    </row>
    <row r="52963" spans="119:119" x14ac:dyDescent="0.2">
      <c r="DO52963" s="303" t="s">
        <v>232</v>
      </c>
    </row>
    <row r="52964" spans="119:119" x14ac:dyDescent="0.2">
      <c r="DO52964" s="303" t="s">
        <v>232</v>
      </c>
    </row>
    <row r="52965" spans="119:119" x14ac:dyDescent="0.2">
      <c r="DO52965" s="303" t="s">
        <v>232</v>
      </c>
    </row>
    <row r="52966" spans="119:119" x14ac:dyDescent="0.2">
      <c r="DO52966" s="303" t="s">
        <v>232</v>
      </c>
    </row>
    <row r="52967" spans="119:119" x14ac:dyDescent="0.2">
      <c r="DO52967" s="303" t="s">
        <v>232</v>
      </c>
    </row>
    <row r="52968" spans="119:119" x14ac:dyDescent="0.2">
      <c r="DO52968" s="303" t="s">
        <v>232</v>
      </c>
    </row>
    <row r="52969" spans="119:119" x14ac:dyDescent="0.2">
      <c r="DO52969" s="303" t="s">
        <v>232</v>
      </c>
    </row>
    <row r="52970" spans="119:119" x14ac:dyDescent="0.2">
      <c r="DO52970" s="303" t="s">
        <v>232</v>
      </c>
    </row>
    <row r="52971" spans="119:119" x14ac:dyDescent="0.2">
      <c r="DO52971" s="303" t="s">
        <v>232</v>
      </c>
    </row>
    <row r="52972" spans="119:119" x14ac:dyDescent="0.2">
      <c r="DO52972" s="303" t="s">
        <v>232</v>
      </c>
    </row>
    <row r="52973" spans="119:119" x14ac:dyDescent="0.2">
      <c r="DO52973" s="303" t="s">
        <v>232</v>
      </c>
    </row>
    <row r="52974" spans="119:119" x14ac:dyDescent="0.2">
      <c r="DO52974" s="303" t="s">
        <v>232</v>
      </c>
    </row>
    <row r="52975" spans="119:119" x14ac:dyDescent="0.2">
      <c r="DO52975" s="303" t="s">
        <v>232</v>
      </c>
    </row>
    <row r="52976" spans="119:119" x14ac:dyDescent="0.2">
      <c r="DO52976" s="303" t="s">
        <v>232</v>
      </c>
    </row>
    <row r="52977" spans="119:119" x14ac:dyDescent="0.2">
      <c r="DO52977" s="303" t="s">
        <v>232</v>
      </c>
    </row>
    <row r="52978" spans="119:119" x14ac:dyDescent="0.2">
      <c r="DO52978" s="303" t="s">
        <v>232</v>
      </c>
    </row>
    <row r="52979" spans="119:119" x14ac:dyDescent="0.2">
      <c r="DO52979" s="303" t="s">
        <v>232</v>
      </c>
    </row>
    <row r="52980" spans="119:119" x14ac:dyDescent="0.2">
      <c r="DO52980" s="303" t="s">
        <v>232</v>
      </c>
    </row>
    <row r="52981" spans="119:119" x14ac:dyDescent="0.2">
      <c r="DO52981" s="303" t="s">
        <v>232</v>
      </c>
    </row>
    <row r="52982" spans="119:119" x14ac:dyDescent="0.2">
      <c r="DO52982" s="303" t="s">
        <v>232</v>
      </c>
    </row>
    <row r="52983" spans="119:119" x14ac:dyDescent="0.2">
      <c r="DO52983" s="303" t="s">
        <v>232</v>
      </c>
    </row>
    <row r="52984" spans="119:119" x14ac:dyDescent="0.2">
      <c r="DO52984" s="303" t="s">
        <v>232</v>
      </c>
    </row>
    <row r="52985" spans="119:119" x14ac:dyDescent="0.2">
      <c r="DO52985" s="303" t="s">
        <v>232</v>
      </c>
    </row>
    <row r="52986" spans="119:119" x14ac:dyDescent="0.2">
      <c r="DO52986" s="303" t="s">
        <v>232</v>
      </c>
    </row>
    <row r="52987" spans="119:119" x14ac:dyDescent="0.2">
      <c r="DO52987" s="303" t="s">
        <v>232</v>
      </c>
    </row>
    <row r="52988" spans="119:119" x14ac:dyDescent="0.2">
      <c r="DO52988" s="303" t="s">
        <v>232</v>
      </c>
    </row>
    <row r="52989" spans="119:119" x14ac:dyDescent="0.2">
      <c r="DO52989" s="303" t="s">
        <v>232</v>
      </c>
    </row>
    <row r="52990" spans="119:119" x14ac:dyDescent="0.2">
      <c r="DO52990" s="303" t="s">
        <v>232</v>
      </c>
    </row>
    <row r="52991" spans="119:119" x14ac:dyDescent="0.2">
      <c r="DO52991" s="303" t="s">
        <v>232</v>
      </c>
    </row>
    <row r="52992" spans="119:119" x14ac:dyDescent="0.2">
      <c r="DO52992" s="303" t="s">
        <v>232</v>
      </c>
    </row>
    <row r="52993" spans="119:119" x14ac:dyDescent="0.2">
      <c r="DO52993" s="303" t="s">
        <v>232</v>
      </c>
    </row>
    <row r="52994" spans="119:119" x14ac:dyDescent="0.2">
      <c r="DO52994" s="303" t="s">
        <v>232</v>
      </c>
    </row>
    <row r="52995" spans="119:119" x14ac:dyDescent="0.2">
      <c r="DO52995" s="303" t="s">
        <v>232</v>
      </c>
    </row>
    <row r="52996" spans="119:119" x14ac:dyDescent="0.2">
      <c r="DO52996" s="303" t="s">
        <v>232</v>
      </c>
    </row>
    <row r="52997" spans="119:119" x14ac:dyDescent="0.2">
      <c r="DO52997" s="303" t="s">
        <v>232</v>
      </c>
    </row>
    <row r="52998" spans="119:119" x14ac:dyDescent="0.2">
      <c r="DO52998" s="303" t="s">
        <v>232</v>
      </c>
    </row>
    <row r="52999" spans="119:119" x14ac:dyDescent="0.2">
      <c r="DO52999" s="303" t="s">
        <v>232</v>
      </c>
    </row>
    <row r="53000" spans="119:119" x14ac:dyDescent="0.2">
      <c r="DO53000" s="303" t="s">
        <v>232</v>
      </c>
    </row>
    <row r="53001" spans="119:119" x14ac:dyDescent="0.2">
      <c r="DO53001" s="303" t="s">
        <v>232</v>
      </c>
    </row>
    <row r="53002" spans="119:119" x14ac:dyDescent="0.2">
      <c r="DO53002" s="303" t="s">
        <v>232</v>
      </c>
    </row>
    <row r="53003" spans="119:119" x14ac:dyDescent="0.2">
      <c r="DO53003" s="303" t="s">
        <v>232</v>
      </c>
    </row>
    <row r="53004" spans="119:119" x14ac:dyDescent="0.2">
      <c r="DO53004" s="303" t="s">
        <v>232</v>
      </c>
    </row>
    <row r="53005" spans="119:119" x14ac:dyDescent="0.2">
      <c r="DO53005" s="303" t="s">
        <v>232</v>
      </c>
    </row>
    <row r="53006" spans="119:119" x14ac:dyDescent="0.2">
      <c r="DO53006" s="303" t="s">
        <v>232</v>
      </c>
    </row>
    <row r="53007" spans="119:119" x14ac:dyDescent="0.2">
      <c r="DO53007" s="303" t="s">
        <v>232</v>
      </c>
    </row>
    <row r="53008" spans="119:119" x14ac:dyDescent="0.2">
      <c r="DO53008" s="303" t="s">
        <v>232</v>
      </c>
    </row>
    <row r="53009" spans="119:119" x14ac:dyDescent="0.2">
      <c r="DO53009" s="303" t="s">
        <v>232</v>
      </c>
    </row>
    <row r="53010" spans="119:119" x14ac:dyDescent="0.2">
      <c r="DO53010" s="303" t="s">
        <v>232</v>
      </c>
    </row>
    <row r="53011" spans="119:119" x14ac:dyDescent="0.2">
      <c r="DO53011" s="303" t="s">
        <v>232</v>
      </c>
    </row>
    <row r="53012" spans="119:119" x14ac:dyDescent="0.2">
      <c r="DO53012" s="303" t="s">
        <v>232</v>
      </c>
    </row>
    <row r="53013" spans="119:119" x14ac:dyDescent="0.2">
      <c r="DO53013" s="303" t="s">
        <v>232</v>
      </c>
    </row>
    <row r="53014" spans="119:119" x14ac:dyDescent="0.2">
      <c r="DO53014" s="303" t="s">
        <v>232</v>
      </c>
    </row>
    <row r="53015" spans="119:119" x14ac:dyDescent="0.2">
      <c r="DO53015" s="303" t="s">
        <v>232</v>
      </c>
    </row>
    <row r="53016" spans="119:119" x14ac:dyDescent="0.2">
      <c r="DO53016" s="303" t="s">
        <v>232</v>
      </c>
    </row>
    <row r="53017" spans="119:119" x14ac:dyDescent="0.2">
      <c r="DO53017" s="303" t="s">
        <v>232</v>
      </c>
    </row>
    <row r="53018" spans="119:119" x14ac:dyDescent="0.2">
      <c r="DO53018" s="303" t="s">
        <v>232</v>
      </c>
    </row>
    <row r="53019" spans="119:119" x14ac:dyDescent="0.2">
      <c r="DO53019" s="303" t="s">
        <v>232</v>
      </c>
    </row>
    <row r="53020" spans="119:119" x14ac:dyDescent="0.2">
      <c r="DO53020" s="303" t="s">
        <v>232</v>
      </c>
    </row>
    <row r="53021" spans="119:119" x14ac:dyDescent="0.2">
      <c r="DO53021" s="303" t="s">
        <v>232</v>
      </c>
    </row>
    <row r="53022" spans="119:119" x14ac:dyDescent="0.2">
      <c r="DO53022" s="303" t="s">
        <v>232</v>
      </c>
    </row>
    <row r="53023" spans="119:119" x14ac:dyDescent="0.2">
      <c r="DO53023" s="303" t="s">
        <v>232</v>
      </c>
    </row>
    <row r="53024" spans="119:119" x14ac:dyDescent="0.2">
      <c r="DO53024" s="303" t="s">
        <v>232</v>
      </c>
    </row>
    <row r="53025" spans="119:119" x14ac:dyDescent="0.2">
      <c r="DO53025" s="303" t="s">
        <v>232</v>
      </c>
    </row>
    <row r="53026" spans="119:119" x14ac:dyDescent="0.2">
      <c r="DO53026" s="303" t="s">
        <v>232</v>
      </c>
    </row>
    <row r="53027" spans="119:119" x14ac:dyDescent="0.2">
      <c r="DO53027" s="303" t="s">
        <v>232</v>
      </c>
    </row>
    <row r="53028" spans="119:119" x14ac:dyDescent="0.2">
      <c r="DO53028" s="303" t="s">
        <v>232</v>
      </c>
    </row>
    <row r="53029" spans="119:119" x14ac:dyDescent="0.2">
      <c r="DO53029" s="303" t="s">
        <v>232</v>
      </c>
    </row>
    <row r="53030" spans="119:119" x14ac:dyDescent="0.2">
      <c r="DO53030" s="303" t="s">
        <v>232</v>
      </c>
    </row>
    <row r="53031" spans="119:119" x14ac:dyDescent="0.2">
      <c r="DO53031" s="303" t="s">
        <v>232</v>
      </c>
    </row>
    <row r="53032" spans="119:119" x14ac:dyDescent="0.2">
      <c r="DO53032" s="303" t="s">
        <v>232</v>
      </c>
    </row>
    <row r="53033" spans="119:119" x14ac:dyDescent="0.2">
      <c r="DO53033" s="303" t="s">
        <v>232</v>
      </c>
    </row>
    <row r="53034" spans="119:119" x14ac:dyDescent="0.2">
      <c r="DO53034" s="303" t="s">
        <v>232</v>
      </c>
    </row>
    <row r="53035" spans="119:119" x14ac:dyDescent="0.2">
      <c r="DO53035" s="303" t="s">
        <v>232</v>
      </c>
    </row>
    <row r="53036" spans="119:119" x14ac:dyDescent="0.2">
      <c r="DO53036" s="303" t="s">
        <v>232</v>
      </c>
    </row>
    <row r="53037" spans="119:119" x14ac:dyDescent="0.2">
      <c r="DO53037" s="303" t="s">
        <v>232</v>
      </c>
    </row>
    <row r="53038" spans="119:119" x14ac:dyDescent="0.2">
      <c r="DO53038" s="303" t="s">
        <v>232</v>
      </c>
    </row>
    <row r="53039" spans="119:119" x14ac:dyDescent="0.2">
      <c r="DO53039" s="303" t="s">
        <v>232</v>
      </c>
    </row>
    <row r="53040" spans="119:119" x14ac:dyDescent="0.2">
      <c r="DO53040" s="303" t="s">
        <v>232</v>
      </c>
    </row>
    <row r="53041" spans="119:119" x14ac:dyDescent="0.2">
      <c r="DO53041" s="303" t="s">
        <v>232</v>
      </c>
    </row>
    <row r="53042" spans="119:119" x14ac:dyDescent="0.2">
      <c r="DO53042" s="303" t="s">
        <v>232</v>
      </c>
    </row>
    <row r="53043" spans="119:119" x14ac:dyDescent="0.2">
      <c r="DO53043" s="303" t="s">
        <v>232</v>
      </c>
    </row>
    <row r="53044" spans="119:119" x14ac:dyDescent="0.2">
      <c r="DO53044" s="303" t="s">
        <v>232</v>
      </c>
    </row>
    <row r="53045" spans="119:119" x14ac:dyDescent="0.2">
      <c r="DO53045" s="303" t="s">
        <v>232</v>
      </c>
    </row>
    <row r="53046" spans="119:119" x14ac:dyDescent="0.2">
      <c r="DO53046" s="303" t="s">
        <v>232</v>
      </c>
    </row>
    <row r="53047" spans="119:119" x14ac:dyDescent="0.2">
      <c r="DO53047" s="303" t="s">
        <v>232</v>
      </c>
    </row>
    <row r="53048" spans="119:119" x14ac:dyDescent="0.2">
      <c r="DO53048" s="303" t="s">
        <v>232</v>
      </c>
    </row>
    <row r="53049" spans="119:119" x14ac:dyDescent="0.2">
      <c r="DO53049" s="303" t="s">
        <v>232</v>
      </c>
    </row>
    <row r="53050" spans="119:119" x14ac:dyDescent="0.2">
      <c r="DO53050" s="303" t="s">
        <v>232</v>
      </c>
    </row>
    <row r="53051" spans="119:119" x14ac:dyDescent="0.2">
      <c r="DO53051" s="303" t="s">
        <v>232</v>
      </c>
    </row>
    <row r="53052" spans="119:119" x14ac:dyDescent="0.2">
      <c r="DO53052" s="303" t="s">
        <v>232</v>
      </c>
    </row>
    <row r="53053" spans="119:119" x14ac:dyDescent="0.2">
      <c r="DO53053" s="303" t="s">
        <v>232</v>
      </c>
    </row>
    <row r="53054" spans="119:119" x14ac:dyDescent="0.2">
      <c r="DO53054" s="303" t="s">
        <v>232</v>
      </c>
    </row>
    <row r="53055" spans="119:119" x14ac:dyDescent="0.2">
      <c r="DO53055" s="303" t="s">
        <v>232</v>
      </c>
    </row>
    <row r="53056" spans="119:119" x14ac:dyDescent="0.2">
      <c r="DO53056" s="303" t="s">
        <v>232</v>
      </c>
    </row>
    <row r="53057" spans="119:119" x14ac:dyDescent="0.2">
      <c r="DO53057" s="303" t="s">
        <v>232</v>
      </c>
    </row>
    <row r="53058" spans="119:119" x14ac:dyDescent="0.2">
      <c r="DO53058" s="303" t="s">
        <v>232</v>
      </c>
    </row>
    <row r="53059" spans="119:119" x14ac:dyDescent="0.2">
      <c r="DO53059" s="303" t="s">
        <v>232</v>
      </c>
    </row>
    <row r="53060" spans="119:119" x14ac:dyDescent="0.2">
      <c r="DO53060" s="303" t="s">
        <v>232</v>
      </c>
    </row>
    <row r="53061" spans="119:119" x14ac:dyDescent="0.2">
      <c r="DO53061" s="303" t="s">
        <v>232</v>
      </c>
    </row>
    <row r="53062" spans="119:119" x14ac:dyDescent="0.2">
      <c r="DO53062" s="303" t="s">
        <v>232</v>
      </c>
    </row>
    <row r="53063" spans="119:119" x14ac:dyDescent="0.2">
      <c r="DO53063" s="303" t="s">
        <v>232</v>
      </c>
    </row>
    <row r="53064" spans="119:119" x14ac:dyDescent="0.2">
      <c r="DO53064" s="303" t="s">
        <v>232</v>
      </c>
    </row>
    <row r="53065" spans="119:119" x14ac:dyDescent="0.2">
      <c r="DO53065" s="303" t="s">
        <v>232</v>
      </c>
    </row>
    <row r="53066" spans="119:119" x14ac:dyDescent="0.2">
      <c r="DO53066" s="303" t="s">
        <v>232</v>
      </c>
    </row>
    <row r="53067" spans="119:119" x14ac:dyDescent="0.2">
      <c r="DO53067" s="303" t="s">
        <v>232</v>
      </c>
    </row>
    <row r="53068" spans="119:119" x14ac:dyDescent="0.2">
      <c r="DO53068" s="303" t="s">
        <v>232</v>
      </c>
    </row>
    <row r="53069" spans="119:119" x14ac:dyDescent="0.2">
      <c r="DO53069" s="303" t="s">
        <v>232</v>
      </c>
    </row>
    <row r="53070" spans="119:119" x14ac:dyDescent="0.2">
      <c r="DO53070" s="303" t="s">
        <v>232</v>
      </c>
    </row>
    <row r="53071" spans="119:119" x14ac:dyDescent="0.2">
      <c r="DO53071" s="303" t="s">
        <v>232</v>
      </c>
    </row>
    <row r="53072" spans="119:119" x14ac:dyDescent="0.2">
      <c r="DO53072" s="303" t="s">
        <v>232</v>
      </c>
    </row>
    <row r="53073" spans="119:119" x14ac:dyDescent="0.2">
      <c r="DO53073" s="303" t="s">
        <v>232</v>
      </c>
    </row>
    <row r="53074" spans="119:119" x14ac:dyDescent="0.2">
      <c r="DO53074" s="303" t="s">
        <v>232</v>
      </c>
    </row>
    <row r="53075" spans="119:119" x14ac:dyDescent="0.2">
      <c r="DO53075" s="303" t="s">
        <v>232</v>
      </c>
    </row>
    <row r="53076" spans="119:119" x14ac:dyDescent="0.2">
      <c r="DO53076" s="303" t="s">
        <v>232</v>
      </c>
    </row>
    <row r="53077" spans="119:119" x14ac:dyDescent="0.2">
      <c r="DO53077" s="303" t="s">
        <v>232</v>
      </c>
    </row>
    <row r="53078" spans="119:119" x14ac:dyDescent="0.2">
      <c r="DO53078" s="303" t="s">
        <v>232</v>
      </c>
    </row>
    <row r="53079" spans="119:119" x14ac:dyDescent="0.2">
      <c r="DO53079" s="303" t="s">
        <v>232</v>
      </c>
    </row>
    <row r="53080" spans="119:119" x14ac:dyDescent="0.2">
      <c r="DO53080" s="303" t="s">
        <v>232</v>
      </c>
    </row>
    <row r="53081" spans="119:119" x14ac:dyDescent="0.2">
      <c r="DO53081" s="303" t="s">
        <v>232</v>
      </c>
    </row>
    <row r="53082" spans="119:119" x14ac:dyDescent="0.2">
      <c r="DO53082" s="303" t="s">
        <v>232</v>
      </c>
    </row>
    <row r="53083" spans="119:119" x14ac:dyDescent="0.2">
      <c r="DO53083" s="303" t="s">
        <v>232</v>
      </c>
    </row>
    <row r="53084" spans="119:119" x14ac:dyDescent="0.2">
      <c r="DO53084" s="303" t="s">
        <v>232</v>
      </c>
    </row>
    <row r="53085" spans="119:119" x14ac:dyDescent="0.2">
      <c r="DO53085" s="303" t="s">
        <v>232</v>
      </c>
    </row>
    <row r="53086" spans="119:119" x14ac:dyDescent="0.2">
      <c r="DO53086" s="303" t="s">
        <v>232</v>
      </c>
    </row>
    <row r="53087" spans="119:119" x14ac:dyDescent="0.2">
      <c r="DO53087" s="303" t="s">
        <v>232</v>
      </c>
    </row>
    <row r="53088" spans="119:119" x14ac:dyDescent="0.2">
      <c r="DO53088" s="303" t="s">
        <v>232</v>
      </c>
    </row>
    <row r="53089" spans="119:119" x14ac:dyDescent="0.2">
      <c r="DO53089" s="303" t="s">
        <v>232</v>
      </c>
    </row>
    <row r="53090" spans="119:119" x14ac:dyDescent="0.2">
      <c r="DO53090" s="303" t="s">
        <v>232</v>
      </c>
    </row>
    <row r="53091" spans="119:119" x14ac:dyDescent="0.2">
      <c r="DO53091" s="303" t="s">
        <v>232</v>
      </c>
    </row>
    <row r="53092" spans="119:119" x14ac:dyDescent="0.2">
      <c r="DO53092" s="303" t="s">
        <v>232</v>
      </c>
    </row>
    <row r="53093" spans="119:119" x14ac:dyDescent="0.2">
      <c r="DO53093" s="303" t="s">
        <v>232</v>
      </c>
    </row>
    <row r="53094" spans="119:119" x14ac:dyDescent="0.2">
      <c r="DO53094" s="303" t="s">
        <v>232</v>
      </c>
    </row>
    <row r="53095" spans="119:119" x14ac:dyDescent="0.2">
      <c r="DO53095" s="303" t="s">
        <v>232</v>
      </c>
    </row>
    <row r="53096" spans="119:119" x14ac:dyDescent="0.2">
      <c r="DO53096" s="303" t="s">
        <v>232</v>
      </c>
    </row>
    <row r="53097" spans="119:119" x14ac:dyDescent="0.2">
      <c r="DO53097" s="303" t="s">
        <v>232</v>
      </c>
    </row>
    <row r="53098" spans="119:119" x14ac:dyDescent="0.2">
      <c r="DO53098" s="303" t="s">
        <v>232</v>
      </c>
    </row>
    <row r="53099" spans="119:119" x14ac:dyDescent="0.2">
      <c r="DO53099" s="303" t="s">
        <v>232</v>
      </c>
    </row>
    <row r="53100" spans="119:119" x14ac:dyDescent="0.2">
      <c r="DO53100" s="303" t="s">
        <v>232</v>
      </c>
    </row>
    <row r="53101" spans="119:119" x14ac:dyDescent="0.2">
      <c r="DO53101" s="303" t="s">
        <v>232</v>
      </c>
    </row>
    <row r="53102" spans="119:119" x14ac:dyDescent="0.2">
      <c r="DO53102" s="303" t="s">
        <v>232</v>
      </c>
    </row>
    <row r="53103" spans="119:119" x14ac:dyDescent="0.2">
      <c r="DO53103" s="303" t="s">
        <v>232</v>
      </c>
    </row>
    <row r="53104" spans="119:119" x14ac:dyDescent="0.2">
      <c r="DO53104" s="303" t="s">
        <v>232</v>
      </c>
    </row>
    <row r="53105" spans="119:119" x14ac:dyDescent="0.2">
      <c r="DO53105" s="303" t="s">
        <v>232</v>
      </c>
    </row>
    <row r="53106" spans="119:119" x14ac:dyDescent="0.2">
      <c r="DO53106" s="303" t="s">
        <v>232</v>
      </c>
    </row>
    <row r="53107" spans="119:119" x14ac:dyDescent="0.2">
      <c r="DO53107" s="303" t="s">
        <v>232</v>
      </c>
    </row>
    <row r="53108" spans="119:119" x14ac:dyDescent="0.2">
      <c r="DO53108" s="303" t="s">
        <v>232</v>
      </c>
    </row>
    <row r="53109" spans="119:119" x14ac:dyDescent="0.2">
      <c r="DO53109" s="303" t="s">
        <v>232</v>
      </c>
    </row>
    <row r="53110" spans="119:119" x14ac:dyDescent="0.2">
      <c r="DO53110" s="303" t="s">
        <v>232</v>
      </c>
    </row>
    <row r="53111" spans="119:119" x14ac:dyDescent="0.2">
      <c r="DO53111" s="303" t="s">
        <v>232</v>
      </c>
    </row>
    <row r="53112" spans="119:119" x14ac:dyDescent="0.2">
      <c r="DO53112" s="303" t="s">
        <v>232</v>
      </c>
    </row>
    <row r="53113" spans="119:119" x14ac:dyDescent="0.2">
      <c r="DO53113" s="303" t="s">
        <v>232</v>
      </c>
    </row>
    <row r="53114" spans="119:119" x14ac:dyDescent="0.2">
      <c r="DO53114" s="303" t="s">
        <v>232</v>
      </c>
    </row>
    <row r="53115" spans="119:119" x14ac:dyDescent="0.2">
      <c r="DO53115" s="303" t="s">
        <v>232</v>
      </c>
    </row>
    <row r="53116" spans="119:119" x14ac:dyDescent="0.2">
      <c r="DO53116" s="303" t="s">
        <v>232</v>
      </c>
    </row>
    <row r="53117" spans="119:119" x14ac:dyDescent="0.2">
      <c r="DO53117" s="303" t="s">
        <v>232</v>
      </c>
    </row>
    <row r="53118" spans="119:119" x14ac:dyDescent="0.2">
      <c r="DO53118" s="303" t="s">
        <v>232</v>
      </c>
    </row>
    <row r="53119" spans="119:119" x14ac:dyDescent="0.2">
      <c r="DO53119" s="303" t="s">
        <v>232</v>
      </c>
    </row>
    <row r="53120" spans="119:119" x14ac:dyDescent="0.2">
      <c r="DO53120" s="303" t="s">
        <v>232</v>
      </c>
    </row>
    <row r="53121" spans="119:119" x14ac:dyDescent="0.2">
      <c r="DO53121" s="303" t="s">
        <v>232</v>
      </c>
    </row>
    <row r="53122" spans="119:119" x14ac:dyDescent="0.2">
      <c r="DO53122" s="303" t="s">
        <v>232</v>
      </c>
    </row>
    <row r="53123" spans="119:119" x14ac:dyDescent="0.2">
      <c r="DO53123" s="303" t="s">
        <v>232</v>
      </c>
    </row>
    <row r="53124" spans="119:119" x14ac:dyDescent="0.2">
      <c r="DO53124" s="303" t="s">
        <v>232</v>
      </c>
    </row>
    <row r="53125" spans="119:119" x14ac:dyDescent="0.2">
      <c r="DO53125" s="303" t="s">
        <v>232</v>
      </c>
    </row>
    <row r="53126" spans="119:119" x14ac:dyDescent="0.2">
      <c r="DO53126" s="303" t="s">
        <v>232</v>
      </c>
    </row>
    <row r="53127" spans="119:119" x14ac:dyDescent="0.2">
      <c r="DO53127" s="303" t="s">
        <v>232</v>
      </c>
    </row>
    <row r="53128" spans="119:119" x14ac:dyDescent="0.2">
      <c r="DO53128" s="303" t="s">
        <v>232</v>
      </c>
    </row>
    <row r="53129" spans="119:119" x14ac:dyDescent="0.2">
      <c r="DO53129" s="303" t="s">
        <v>232</v>
      </c>
    </row>
    <row r="53130" spans="119:119" x14ac:dyDescent="0.2">
      <c r="DO53130" s="303" t="s">
        <v>232</v>
      </c>
    </row>
    <row r="53131" spans="119:119" x14ac:dyDescent="0.2">
      <c r="DO53131" s="303" t="s">
        <v>232</v>
      </c>
    </row>
    <row r="53132" spans="119:119" x14ac:dyDescent="0.2">
      <c r="DO53132" s="303" t="s">
        <v>232</v>
      </c>
    </row>
    <row r="53133" spans="119:119" x14ac:dyDescent="0.2">
      <c r="DO53133" s="303" t="s">
        <v>232</v>
      </c>
    </row>
    <row r="53134" spans="119:119" x14ac:dyDescent="0.2">
      <c r="DO53134" s="303" t="s">
        <v>232</v>
      </c>
    </row>
    <row r="53135" spans="119:119" x14ac:dyDescent="0.2">
      <c r="DO53135" s="303" t="s">
        <v>232</v>
      </c>
    </row>
    <row r="53136" spans="119:119" x14ac:dyDescent="0.2">
      <c r="DO53136" s="303" t="s">
        <v>232</v>
      </c>
    </row>
    <row r="53137" spans="119:119" x14ac:dyDescent="0.2">
      <c r="DO53137" s="303" t="s">
        <v>232</v>
      </c>
    </row>
    <row r="53138" spans="119:119" x14ac:dyDescent="0.2">
      <c r="DO53138" s="303" t="s">
        <v>232</v>
      </c>
    </row>
    <row r="53139" spans="119:119" x14ac:dyDescent="0.2">
      <c r="DO53139" s="303" t="s">
        <v>232</v>
      </c>
    </row>
    <row r="53140" spans="119:119" x14ac:dyDescent="0.2">
      <c r="DO53140" s="303" t="s">
        <v>232</v>
      </c>
    </row>
    <row r="53141" spans="119:119" x14ac:dyDescent="0.2">
      <c r="DO53141" s="303" t="s">
        <v>232</v>
      </c>
    </row>
    <row r="53142" spans="119:119" x14ac:dyDescent="0.2">
      <c r="DO53142" s="303" t="s">
        <v>232</v>
      </c>
    </row>
    <row r="53143" spans="119:119" x14ac:dyDescent="0.2">
      <c r="DO53143" s="303" t="s">
        <v>232</v>
      </c>
    </row>
    <row r="53144" spans="119:119" x14ac:dyDescent="0.2">
      <c r="DO53144" s="303" t="s">
        <v>232</v>
      </c>
    </row>
    <row r="53145" spans="119:119" x14ac:dyDescent="0.2">
      <c r="DO53145" s="303" t="s">
        <v>232</v>
      </c>
    </row>
    <row r="53146" spans="119:119" x14ac:dyDescent="0.2">
      <c r="DO53146" s="303" t="s">
        <v>232</v>
      </c>
    </row>
    <row r="53147" spans="119:119" x14ac:dyDescent="0.2">
      <c r="DO53147" s="303" t="s">
        <v>232</v>
      </c>
    </row>
    <row r="53148" spans="119:119" x14ac:dyDescent="0.2">
      <c r="DO53148" s="303" t="s">
        <v>232</v>
      </c>
    </row>
    <row r="53149" spans="119:119" x14ac:dyDescent="0.2">
      <c r="DO53149" s="303" t="s">
        <v>232</v>
      </c>
    </row>
    <row r="53150" spans="119:119" x14ac:dyDescent="0.2">
      <c r="DO53150" s="303" t="s">
        <v>232</v>
      </c>
    </row>
    <row r="53151" spans="119:119" x14ac:dyDescent="0.2">
      <c r="DO53151" s="303" t="s">
        <v>232</v>
      </c>
    </row>
    <row r="53152" spans="119:119" x14ac:dyDescent="0.2">
      <c r="DO53152" s="303" t="s">
        <v>232</v>
      </c>
    </row>
    <row r="53153" spans="119:119" x14ac:dyDescent="0.2">
      <c r="DO53153" s="303" t="s">
        <v>232</v>
      </c>
    </row>
    <row r="53154" spans="119:119" x14ac:dyDescent="0.2">
      <c r="DO53154" s="303" t="s">
        <v>232</v>
      </c>
    </row>
    <row r="53155" spans="119:119" x14ac:dyDescent="0.2">
      <c r="DO53155" s="303" t="s">
        <v>232</v>
      </c>
    </row>
    <row r="53156" spans="119:119" x14ac:dyDescent="0.2">
      <c r="DO53156" s="303" t="s">
        <v>232</v>
      </c>
    </row>
    <row r="53157" spans="119:119" x14ac:dyDescent="0.2">
      <c r="DO53157" s="303" t="s">
        <v>232</v>
      </c>
    </row>
    <row r="53158" spans="119:119" x14ac:dyDescent="0.2">
      <c r="DO53158" s="303" t="s">
        <v>232</v>
      </c>
    </row>
    <row r="53159" spans="119:119" x14ac:dyDescent="0.2">
      <c r="DO53159" s="303" t="s">
        <v>232</v>
      </c>
    </row>
    <row r="53160" spans="119:119" x14ac:dyDescent="0.2">
      <c r="DO53160" s="303" t="s">
        <v>232</v>
      </c>
    </row>
    <row r="53161" spans="119:119" x14ac:dyDescent="0.2">
      <c r="DO53161" s="303" t="s">
        <v>232</v>
      </c>
    </row>
    <row r="53162" spans="119:119" x14ac:dyDescent="0.2">
      <c r="DO53162" s="303" t="s">
        <v>232</v>
      </c>
    </row>
    <row r="53163" spans="119:119" x14ac:dyDescent="0.2">
      <c r="DO53163" s="303" t="s">
        <v>232</v>
      </c>
    </row>
    <row r="53164" spans="119:119" x14ac:dyDescent="0.2">
      <c r="DO53164" s="303" t="s">
        <v>232</v>
      </c>
    </row>
    <row r="53165" spans="119:119" x14ac:dyDescent="0.2">
      <c r="DO53165" s="303" t="s">
        <v>232</v>
      </c>
    </row>
    <row r="53166" spans="119:119" x14ac:dyDescent="0.2">
      <c r="DO53166" s="303" t="s">
        <v>232</v>
      </c>
    </row>
    <row r="53167" spans="119:119" x14ac:dyDescent="0.2">
      <c r="DO53167" s="303" t="s">
        <v>232</v>
      </c>
    </row>
    <row r="53168" spans="119:119" x14ac:dyDescent="0.2">
      <c r="DO53168" s="303" t="s">
        <v>232</v>
      </c>
    </row>
    <row r="53169" spans="119:119" x14ac:dyDescent="0.2">
      <c r="DO53169" s="303" t="s">
        <v>232</v>
      </c>
    </row>
    <row r="53170" spans="119:119" x14ac:dyDescent="0.2">
      <c r="DO53170" s="303" t="s">
        <v>232</v>
      </c>
    </row>
    <row r="53171" spans="119:119" x14ac:dyDescent="0.2">
      <c r="DO53171" s="303" t="s">
        <v>232</v>
      </c>
    </row>
    <row r="53172" spans="119:119" x14ac:dyDescent="0.2">
      <c r="DO53172" s="303" t="s">
        <v>232</v>
      </c>
    </row>
    <row r="53173" spans="119:119" x14ac:dyDescent="0.2">
      <c r="DO53173" s="303" t="s">
        <v>232</v>
      </c>
    </row>
    <row r="53174" spans="119:119" x14ac:dyDescent="0.2">
      <c r="DO53174" s="303" t="s">
        <v>232</v>
      </c>
    </row>
    <row r="53175" spans="119:119" x14ac:dyDescent="0.2">
      <c r="DO53175" s="303" t="s">
        <v>232</v>
      </c>
    </row>
    <row r="53176" spans="119:119" x14ac:dyDescent="0.2">
      <c r="DO53176" s="303" t="s">
        <v>232</v>
      </c>
    </row>
    <row r="53177" spans="119:119" x14ac:dyDescent="0.2">
      <c r="DO53177" s="303" t="s">
        <v>232</v>
      </c>
    </row>
    <row r="53178" spans="119:119" x14ac:dyDescent="0.2">
      <c r="DO53178" s="303" t="s">
        <v>232</v>
      </c>
    </row>
    <row r="53179" spans="119:119" x14ac:dyDescent="0.2">
      <c r="DO53179" s="303" t="s">
        <v>232</v>
      </c>
    </row>
    <row r="53180" spans="119:119" x14ac:dyDescent="0.2">
      <c r="DO53180" s="303" t="s">
        <v>232</v>
      </c>
    </row>
    <row r="53181" spans="119:119" x14ac:dyDescent="0.2">
      <c r="DO53181" s="303" t="s">
        <v>232</v>
      </c>
    </row>
    <row r="53182" spans="119:119" x14ac:dyDescent="0.2">
      <c r="DO53182" s="303" t="s">
        <v>232</v>
      </c>
    </row>
    <row r="53183" spans="119:119" x14ac:dyDescent="0.2">
      <c r="DO53183" s="303" t="s">
        <v>232</v>
      </c>
    </row>
    <row r="53184" spans="119:119" x14ac:dyDescent="0.2">
      <c r="DO53184" s="303" t="s">
        <v>232</v>
      </c>
    </row>
    <row r="53185" spans="119:119" x14ac:dyDescent="0.2">
      <c r="DO53185" s="303" t="s">
        <v>232</v>
      </c>
    </row>
    <row r="53186" spans="119:119" x14ac:dyDescent="0.2">
      <c r="DO53186" s="303" t="s">
        <v>232</v>
      </c>
    </row>
    <row r="53187" spans="119:119" x14ac:dyDescent="0.2">
      <c r="DO53187" s="303" t="s">
        <v>232</v>
      </c>
    </row>
    <row r="53188" spans="119:119" x14ac:dyDescent="0.2">
      <c r="DO53188" s="303" t="s">
        <v>232</v>
      </c>
    </row>
    <row r="53189" spans="119:119" x14ac:dyDescent="0.2">
      <c r="DO53189" s="303" t="s">
        <v>232</v>
      </c>
    </row>
    <row r="53190" spans="119:119" x14ac:dyDescent="0.2">
      <c r="DO53190" s="303" t="s">
        <v>232</v>
      </c>
    </row>
    <row r="53191" spans="119:119" x14ac:dyDescent="0.2">
      <c r="DO53191" s="303" t="s">
        <v>232</v>
      </c>
    </row>
    <row r="53192" spans="119:119" x14ac:dyDescent="0.2">
      <c r="DO53192" s="303" t="s">
        <v>232</v>
      </c>
    </row>
    <row r="53193" spans="119:119" x14ac:dyDescent="0.2">
      <c r="DO53193" s="303" t="s">
        <v>232</v>
      </c>
    </row>
    <row r="53194" spans="119:119" x14ac:dyDescent="0.2">
      <c r="DO53194" s="303" t="s">
        <v>232</v>
      </c>
    </row>
    <row r="53195" spans="119:119" x14ac:dyDescent="0.2">
      <c r="DO53195" s="303" t="s">
        <v>232</v>
      </c>
    </row>
    <row r="53196" spans="119:119" x14ac:dyDescent="0.2">
      <c r="DO53196" s="303" t="s">
        <v>232</v>
      </c>
    </row>
    <row r="53197" spans="119:119" x14ac:dyDescent="0.2">
      <c r="DO53197" s="303" t="s">
        <v>232</v>
      </c>
    </row>
    <row r="53198" spans="119:119" x14ac:dyDescent="0.2">
      <c r="DO53198" s="303" t="s">
        <v>232</v>
      </c>
    </row>
    <row r="53199" spans="119:119" x14ac:dyDescent="0.2">
      <c r="DO53199" s="303" t="s">
        <v>232</v>
      </c>
    </row>
    <row r="53200" spans="119:119" x14ac:dyDescent="0.2">
      <c r="DO53200" s="303" t="s">
        <v>232</v>
      </c>
    </row>
    <row r="53201" spans="119:119" x14ac:dyDescent="0.2">
      <c r="DO53201" s="303" t="s">
        <v>232</v>
      </c>
    </row>
    <row r="53202" spans="119:119" x14ac:dyDescent="0.2">
      <c r="DO53202" s="303" t="s">
        <v>232</v>
      </c>
    </row>
    <row r="53203" spans="119:119" x14ac:dyDescent="0.2">
      <c r="DO53203" s="303" t="s">
        <v>232</v>
      </c>
    </row>
    <row r="53204" spans="119:119" x14ac:dyDescent="0.2">
      <c r="DO53204" s="303" t="s">
        <v>232</v>
      </c>
    </row>
    <row r="53205" spans="119:119" x14ac:dyDescent="0.2">
      <c r="DO53205" s="303" t="s">
        <v>232</v>
      </c>
    </row>
    <row r="53206" spans="119:119" x14ac:dyDescent="0.2">
      <c r="DO53206" s="303" t="s">
        <v>232</v>
      </c>
    </row>
    <row r="53207" spans="119:119" x14ac:dyDescent="0.2">
      <c r="DO53207" s="303" t="s">
        <v>232</v>
      </c>
    </row>
    <row r="53208" spans="119:119" x14ac:dyDescent="0.2">
      <c r="DO53208" s="303" t="s">
        <v>232</v>
      </c>
    </row>
    <row r="53209" spans="119:119" x14ac:dyDescent="0.2">
      <c r="DO53209" s="303" t="s">
        <v>232</v>
      </c>
    </row>
    <row r="53210" spans="119:119" x14ac:dyDescent="0.2">
      <c r="DO53210" s="303" t="s">
        <v>232</v>
      </c>
    </row>
    <row r="53211" spans="119:119" x14ac:dyDescent="0.2">
      <c r="DO53211" s="303" t="s">
        <v>232</v>
      </c>
    </row>
    <row r="53212" spans="119:119" x14ac:dyDescent="0.2">
      <c r="DO53212" s="303" t="s">
        <v>232</v>
      </c>
    </row>
    <row r="53213" spans="119:119" x14ac:dyDescent="0.2">
      <c r="DO53213" s="303" t="s">
        <v>232</v>
      </c>
    </row>
    <row r="53214" spans="119:119" x14ac:dyDescent="0.2">
      <c r="DO53214" s="303" t="s">
        <v>232</v>
      </c>
    </row>
    <row r="53215" spans="119:119" x14ac:dyDescent="0.2">
      <c r="DO53215" s="303" t="s">
        <v>232</v>
      </c>
    </row>
    <row r="53216" spans="119:119" x14ac:dyDescent="0.2">
      <c r="DO53216" s="303" t="s">
        <v>232</v>
      </c>
    </row>
    <row r="53217" spans="119:119" x14ac:dyDescent="0.2">
      <c r="DO53217" s="303" t="s">
        <v>232</v>
      </c>
    </row>
    <row r="53218" spans="119:119" x14ac:dyDescent="0.2">
      <c r="DO53218" s="303" t="s">
        <v>232</v>
      </c>
    </row>
    <row r="53219" spans="119:119" x14ac:dyDescent="0.2">
      <c r="DO53219" s="303" t="s">
        <v>232</v>
      </c>
    </row>
    <row r="53220" spans="119:119" x14ac:dyDescent="0.2">
      <c r="DO53220" s="303" t="s">
        <v>232</v>
      </c>
    </row>
    <row r="53221" spans="119:119" x14ac:dyDescent="0.2">
      <c r="DO53221" s="303" t="s">
        <v>232</v>
      </c>
    </row>
    <row r="53222" spans="119:119" x14ac:dyDescent="0.2">
      <c r="DO53222" s="303" t="s">
        <v>232</v>
      </c>
    </row>
    <row r="53223" spans="119:119" x14ac:dyDescent="0.2">
      <c r="DO53223" s="303" t="s">
        <v>232</v>
      </c>
    </row>
    <row r="53224" spans="119:119" x14ac:dyDescent="0.2">
      <c r="DO53224" s="303" t="s">
        <v>232</v>
      </c>
    </row>
    <row r="53225" spans="119:119" x14ac:dyDescent="0.2">
      <c r="DO53225" s="303" t="s">
        <v>232</v>
      </c>
    </row>
    <row r="53226" spans="119:119" x14ac:dyDescent="0.2">
      <c r="DO53226" s="303" t="s">
        <v>232</v>
      </c>
    </row>
    <row r="53227" spans="119:119" x14ac:dyDescent="0.2">
      <c r="DO53227" s="303" t="s">
        <v>232</v>
      </c>
    </row>
    <row r="53228" spans="119:119" x14ac:dyDescent="0.2">
      <c r="DO53228" s="303" t="s">
        <v>232</v>
      </c>
    </row>
    <row r="53229" spans="119:119" x14ac:dyDescent="0.2">
      <c r="DO53229" s="303" t="s">
        <v>232</v>
      </c>
    </row>
    <row r="53230" spans="119:119" x14ac:dyDescent="0.2">
      <c r="DO53230" s="303" t="s">
        <v>232</v>
      </c>
    </row>
    <row r="53231" spans="119:119" x14ac:dyDescent="0.2">
      <c r="DO53231" s="303" t="s">
        <v>232</v>
      </c>
    </row>
    <row r="53232" spans="119:119" x14ac:dyDescent="0.2">
      <c r="DO53232" s="303" t="s">
        <v>232</v>
      </c>
    </row>
    <row r="53233" spans="119:119" x14ac:dyDescent="0.2">
      <c r="DO53233" s="303" t="s">
        <v>232</v>
      </c>
    </row>
    <row r="53234" spans="119:119" x14ac:dyDescent="0.2">
      <c r="DO53234" s="303" t="s">
        <v>232</v>
      </c>
    </row>
    <row r="53235" spans="119:119" x14ac:dyDescent="0.2">
      <c r="DO53235" s="303" t="s">
        <v>232</v>
      </c>
    </row>
    <row r="53236" spans="119:119" x14ac:dyDescent="0.2">
      <c r="DO53236" s="303" t="s">
        <v>232</v>
      </c>
    </row>
    <row r="53237" spans="119:119" x14ac:dyDescent="0.2">
      <c r="DO53237" s="303" t="s">
        <v>232</v>
      </c>
    </row>
    <row r="53238" spans="119:119" x14ac:dyDescent="0.2">
      <c r="DO53238" s="303" t="s">
        <v>232</v>
      </c>
    </row>
    <row r="53239" spans="119:119" x14ac:dyDescent="0.2">
      <c r="DO53239" s="303" t="s">
        <v>232</v>
      </c>
    </row>
    <row r="53240" spans="119:119" x14ac:dyDescent="0.2">
      <c r="DO53240" s="303" t="s">
        <v>232</v>
      </c>
    </row>
    <row r="53241" spans="119:119" x14ac:dyDescent="0.2">
      <c r="DO53241" s="303" t="s">
        <v>232</v>
      </c>
    </row>
    <row r="53242" spans="119:119" x14ac:dyDescent="0.2">
      <c r="DO53242" s="303" t="s">
        <v>232</v>
      </c>
    </row>
    <row r="53243" spans="119:119" x14ac:dyDescent="0.2">
      <c r="DO53243" s="303" t="s">
        <v>232</v>
      </c>
    </row>
    <row r="53244" spans="119:119" x14ac:dyDescent="0.2">
      <c r="DO53244" s="303" t="s">
        <v>232</v>
      </c>
    </row>
    <row r="53245" spans="119:119" x14ac:dyDescent="0.2">
      <c r="DO53245" s="303" t="s">
        <v>232</v>
      </c>
    </row>
    <row r="53246" spans="119:119" x14ac:dyDescent="0.2">
      <c r="DO53246" s="303" t="s">
        <v>232</v>
      </c>
    </row>
    <row r="53247" spans="119:119" x14ac:dyDescent="0.2">
      <c r="DO53247" s="303" t="s">
        <v>232</v>
      </c>
    </row>
    <row r="53248" spans="119:119" x14ac:dyDescent="0.2">
      <c r="DO53248" s="303" t="s">
        <v>232</v>
      </c>
    </row>
    <row r="53249" spans="119:119" x14ac:dyDescent="0.2">
      <c r="DO53249" s="303" t="s">
        <v>232</v>
      </c>
    </row>
    <row r="53250" spans="119:119" x14ac:dyDescent="0.2">
      <c r="DO53250" s="303" t="s">
        <v>232</v>
      </c>
    </row>
    <row r="53251" spans="119:119" x14ac:dyDescent="0.2">
      <c r="DO53251" s="303" t="s">
        <v>232</v>
      </c>
    </row>
    <row r="53252" spans="119:119" x14ac:dyDescent="0.2">
      <c r="DO53252" s="303" t="s">
        <v>232</v>
      </c>
    </row>
    <row r="53253" spans="119:119" x14ac:dyDescent="0.2">
      <c r="DO53253" s="303" t="s">
        <v>232</v>
      </c>
    </row>
    <row r="53254" spans="119:119" x14ac:dyDescent="0.2">
      <c r="DO53254" s="303" t="s">
        <v>232</v>
      </c>
    </row>
    <row r="53255" spans="119:119" x14ac:dyDescent="0.2">
      <c r="DO53255" s="303" t="s">
        <v>232</v>
      </c>
    </row>
    <row r="53256" spans="119:119" x14ac:dyDescent="0.2">
      <c r="DO53256" s="303" t="s">
        <v>232</v>
      </c>
    </row>
    <row r="53257" spans="119:119" x14ac:dyDescent="0.2">
      <c r="DO53257" s="303" t="s">
        <v>232</v>
      </c>
    </row>
    <row r="53258" spans="119:119" x14ac:dyDescent="0.2">
      <c r="DO53258" s="303" t="s">
        <v>232</v>
      </c>
    </row>
    <row r="53259" spans="119:119" x14ac:dyDescent="0.2">
      <c r="DO53259" s="303" t="s">
        <v>232</v>
      </c>
    </row>
    <row r="53260" spans="119:119" x14ac:dyDescent="0.2">
      <c r="DO53260" s="303" t="s">
        <v>232</v>
      </c>
    </row>
    <row r="53261" spans="119:119" x14ac:dyDescent="0.2">
      <c r="DO53261" s="303" t="s">
        <v>232</v>
      </c>
    </row>
    <row r="53262" spans="119:119" x14ac:dyDescent="0.2">
      <c r="DO53262" s="303" t="s">
        <v>232</v>
      </c>
    </row>
    <row r="53263" spans="119:119" x14ac:dyDescent="0.2">
      <c r="DO53263" s="303" t="s">
        <v>232</v>
      </c>
    </row>
    <row r="53264" spans="119:119" x14ac:dyDescent="0.2">
      <c r="DO53264" s="303" t="s">
        <v>232</v>
      </c>
    </row>
    <row r="53265" spans="119:119" x14ac:dyDescent="0.2">
      <c r="DO53265" s="303" t="s">
        <v>232</v>
      </c>
    </row>
    <row r="53266" spans="119:119" x14ac:dyDescent="0.2">
      <c r="DO53266" s="303" t="s">
        <v>232</v>
      </c>
    </row>
    <row r="53267" spans="119:119" x14ac:dyDescent="0.2">
      <c r="DO53267" s="303" t="s">
        <v>232</v>
      </c>
    </row>
    <row r="53268" spans="119:119" x14ac:dyDescent="0.2">
      <c r="DO53268" s="303" t="s">
        <v>232</v>
      </c>
    </row>
    <row r="53269" spans="119:119" x14ac:dyDescent="0.2">
      <c r="DO53269" s="303" t="s">
        <v>232</v>
      </c>
    </row>
    <row r="53270" spans="119:119" x14ac:dyDescent="0.2">
      <c r="DO53270" s="303" t="s">
        <v>232</v>
      </c>
    </row>
    <row r="53271" spans="119:119" x14ac:dyDescent="0.2">
      <c r="DO53271" s="303" t="s">
        <v>232</v>
      </c>
    </row>
    <row r="53272" spans="119:119" x14ac:dyDescent="0.2">
      <c r="DO53272" s="303" t="s">
        <v>232</v>
      </c>
    </row>
    <row r="53273" spans="119:119" x14ac:dyDescent="0.2">
      <c r="DO53273" s="303" t="s">
        <v>232</v>
      </c>
    </row>
    <row r="53274" spans="119:119" x14ac:dyDescent="0.2">
      <c r="DO53274" s="303" t="s">
        <v>232</v>
      </c>
    </row>
    <row r="53275" spans="119:119" x14ac:dyDescent="0.2">
      <c r="DO53275" s="303" t="s">
        <v>232</v>
      </c>
    </row>
    <row r="53276" spans="119:119" x14ac:dyDescent="0.2">
      <c r="DO53276" s="303" t="s">
        <v>232</v>
      </c>
    </row>
    <row r="53277" spans="119:119" x14ac:dyDescent="0.2">
      <c r="DO53277" s="303" t="s">
        <v>232</v>
      </c>
    </row>
    <row r="53278" spans="119:119" x14ac:dyDescent="0.2">
      <c r="DO53278" s="303" t="s">
        <v>232</v>
      </c>
    </row>
    <row r="53279" spans="119:119" x14ac:dyDescent="0.2">
      <c r="DO53279" s="303" t="s">
        <v>232</v>
      </c>
    </row>
    <row r="53280" spans="119:119" x14ac:dyDescent="0.2">
      <c r="DO53280" s="303" t="s">
        <v>232</v>
      </c>
    </row>
    <row r="53281" spans="119:119" x14ac:dyDescent="0.2">
      <c r="DO53281" s="303" t="s">
        <v>232</v>
      </c>
    </row>
    <row r="53282" spans="119:119" x14ac:dyDescent="0.2">
      <c r="DO53282" s="303" t="s">
        <v>232</v>
      </c>
    </row>
    <row r="53283" spans="119:119" x14ac:dyDescent="0.2">
      <c r="DO53283" s="303" t="s">
        <v>232</v>
      </c>
    </row>
    <row r="53284" spans="119:119" x14ac:dyDescent="0.2">
      <c r="DO53284" s="303" t="s">
        <v>232</v>
      </c>
    </row>
    <row r="53285" spans="119:119" x14ac:dyDescent="0.2">
      <c r="DO53285" s="303" t="s">
        <v>232</v>
      </c>
    </row>
    <row r="53286" spans="119:119" x14ac:dyDescent="0.2">
      <c r="DO53286" s="303" t="s">
        <v>232</v>
      </c>
    </row>
    <row r="53287" spans="119:119" x14ac:dyDescent="0.2">
      <c r="DO53287" s="303" t="s">
        <v>232</v>
      </c>
    </row>
    <row r="53288" spans="119:119" x14ac:dyDescent="0.2">
      <c r="DO53288" s="303" t="s">
        <v>232</v>
      </c>
    </row>
    <row r="53289" spans="119:119" x14ac:dyDescent="0.2">
      <c r="DO53289" s="303" t="s">
        <v>232</v>
      </c>
    </row>
    <row r="53290" spans="119:119" x14ac:dyDescent="0.2">
      <c r="DO53290" s="303" t="s">
        <v>232</v>
      </c>
    </row>
    <row r="53291" spans="119:119" x14ac:dyDescent="0.2">
      <c r="DO53291" s="303" t="s">
        <v>232</v>
      </c>
    </row>
    <row r="53292" spans="119:119" x14ac:dyDescent="0.2">
      <c r="DO53292" s="303" t="s">
        <v>232</v>
      </c>
    </row>
    <row r="53293" spans="119:119" x14ac:dyDescent="0.2">
      <c r="DO53293" s="303" t="s">
        <v>232</v>
      </c>
    </row>
    <row r="53294" spans="119:119" x14ac:dyDescent="0.2">
      <c r="DO53294" s="303" t="s">
        <v>232</v>
      </c>
    </row>
    <row r="53295" spans="119:119" x14ac:dyDescent="0.2">
      <c r="DO53295" s="303" t="s">
        <v>232</v>
      </c>
    </row>
    <row r="53296" spans="119:119" x14ac:dyDescent="0.2">
      <c r="DO53296" s="303" t="s">
        <v>232</v>
      </c>
    </row>
    <row r="53297" spans="119:119" x14ac:dyDescent="0.2">
      <c r="DO53297" s="303" t="s">
        <v>232</v>
      </c>
    </row>
    <row r="53298" spans="119:119" x14ac:dyDescent="0.2">
      <c r="DO53298" s="303" t="s">
        <v>232</v>
      </c>
    </row>
    <row r="53299" spans="119:119" x14ac:dyDescent="0.2">
      <c r="DO53299" s="303" t="s">
        <v>232</v>
      </c>
    </row>
    <row r="53300" spans="119:119" x14ac:dyDescent="0.2">
      <c r="DO53300" s="303" t="s">
        <v>232</v>
      </c>
    </row>
    <row r="53301" spans="119:119" x14ac:dyDescent="0.2">
      <c r="DO53301" s="303" t="s">
        <v>232</v>
      </c>
    </row>
    <row r="53302" spans="119:119" x14ac:dyDescent="0.2">
      <c r="DO53302" s="303" t="s">
        <v>232</v>
      </c>
    </row>
    <row r="53303" spans="119:119" x14ac:dyDescent="0.2">
      <c r="DO53303" s="303" t="s">
        <v>232</v>
      </c>
    </row>
    <row r="53304" spans="119:119" x14ac:dyDescent="0.2">
      <c r="DO53304" s="303" t="s">
        <v>232</v>
      </c>
    </row>
    <row r="53305" spans="119:119" x14ac:dyDescent="0.2">
      <c r="DO53305" s="303" t="s">
        <v>232</v>
      </c>
    </row>
    <row r="53306" spans="119:119" x14ac:dyDescent="0.2">
      <c r="DO53306" s="303" t="s">
        <v>232</v>
      </c>
    </row>
    <row r="53307" spans="119:119" x14ac:dyDescent="0.2">
      <c r="DO53307" s="303" t="s">
        <v>232</v>
      </c>
    </row>
    <row r="53308" spans="119:119" x14ac:dyDescent="0.2">
      <c r="DO53308" s="303" t="s">
        <v>232</v>
      </c>
    </row>
    <row r="53309" spans="119:119" x14ac:dyDescent="0.2">
      <c r="DO53309" s="303" t="s">
        <v>232</v>
      </c>
    </row>
    <row r="53310" spans="119:119" x14ac:dyDescent="0.2">
      <c r="DO53310" s="303" t="s">
        <v>232</v>
      </c>
    </row>
    <row r="53311" spans="119:119" x14ac:dyDescent="0.2">
      <c r="DO53311" s="303" t="s">
        <v>232</v>
      </c>
    </row>
    <row r="53312" spans="119:119" x14ac:dyDescent="0.2">
      <c r="DO53312" s="303" t="s">
        <v>232</v>
      </c>
    </row>
    <row r="53313" spans="119:119" x14ac:dyDescent="0.2">
      <c r="DO53313" s="303" t="s">
        <v>232</v>
      </c>
    </row>
    <row r="53314" spans="119:119" x14ac:dyDescent="0.2">
      <c r="DO53314" s="303" t="s">
        <v>232</v>
      </c>
    </row>
    <row r="53315" spans="119:119" x14ac:dyDescent="0.2">
      <c r="DO53315" s="303" t="s">
        <v>232</v>
      </c>
    </row>
    <row r="53316" spans="119:119" x14ac:dyDescent="0.2">
      <c r="DO53316" s="303" t="s">
        <v>232</v>
      </c>
    </row>
    <row r="53317" spans="119:119" x14ac:dyDescent="0.2">
      <c r="DO53317" s="303" t="s">
        <v>232</v>
      </c>
    </row>
    <row r="53318" spans="119:119" x14ac:dyDescent="0.2">
      <c r="DO53318" s="303" t="s">
        <v>232</v>
      </c>
    </row>
    <row r="53319" spans="119:119" x14ac:dyDescent="0.2">
      <c r="DO53319" s="303" t="s">
        <v>232</v>
      </c>
    </row>
    <row r="53320" spans="119:119" x14ac:dyDescent="0.2">
      <c r="DO53320" s="303" t="s">
        <v>232</v>
      </c>
    </row>
    <row r="53321" spans="119:119" x14ac:dyDescent="0.2">
      <c r="DO53321" s="303" t="s">
        <v>232</v>
      </c>
    </row>
    <row r="53322" spans="119:119" x14ac:dyDescent="0.2">
      <c r="DO53322" s="303" t="s">
        <v>232</v>
      </c>
    </row>
    <row r="53323" spans="119:119" x14ac:dyDescent="0.2">
      <c r="DO53323" s="303" t="s">
        <v>232</v>
      </c>
    </row>
    <row r="53324" spans="119:119" x14ac:dyDescent="0.2">
      <c r="DO53324" s="303" t="s">
        <v>232</v>
      </c>
    </row>
    <row r="53325" spans="119:119" x14ac:dyDescent="0.2">
      <c r="DO53325" s="303" t="s">
        <v>232</v>
      </c>
    </row>
    <row r="53326" spans="119:119" x14ac:dyDescent="0.2">
      <c r="DO53326" s="303" t="s">
        <v>232</v>
      </c>
    </row>
    <row r="53327" spans="119:119" x14ac:dyDescent="0.2">
      <c r="DO53327" s="303" t="s">
        <v>232</v>
      </c>
    </row>
    <row r="53328" spans="119:119" x14ac:dyDescent="0.2">
      <c r="DO53328" s="303" t="s">
        <v>232</v>
      </c>
    </row>
    <row r="53329" spans="119:119" x14ac:dyDescent="0.2">
      <c r="DO53329" s="303" t="s">
        <v>232</v>
      </c>
    </row>
    <row r="53330" spans="119:119" x14ac:dyDescent="0.2">
      <c r="DO53330" s="303" t="s">
        <v>232</v>
      </c>
    </row>
    <row r="53331" spans="119:119" x14ac:dyDescent="0.2">
      <c r="DO53331" s="303" t="s">
        <v>232</v>
      </c>
    </row>
    <row r="53332" spans="119:119" x14ac:dyDescent="0.2">
      <c r="DO53332" s="303" t="s">
        <v>232</v>
      </c>
    </row>
    <row r="53333" spans="119:119" x14ac:dyDescent="0.2">
      <c r="DO53333" s="303" t="s">
        <v>232</v>
      </c>
    </row>
    <row r="53334" spans="119:119" x14ac:dyDescent="0.2">
      <c r="DO53334" s="303" t="s">
        <v>232</v>
      </c>
    </row>
    <row r="53335" spans="119:119" x14ac:dyDescent="0.2">
      <c r="DO53335" s="303" t="s">
        <v>232</v>
      </c>
    </row>
    <row r="53336" spans="119:119" x14ac:dyDescent="0.2">
      <c r="DO53336" s="303" t="s">
        <v>232</v>
      </c>
    </row>
    <row r="53337" spans="119:119" x14ac:dyDescent="0.2">
      <c r="DO53337" s="303" t="s">
        <v>232</v>
      </c>
    </row>
    <row r="53338" spans="119:119" x14ac:dyDescent="0.2">
      <c r="DO53338" s="303" t="s">
        <v>232</v>
      </c>
    </row>
    <row r="53339" spans="119:119" x14ac:dyDescent="0.2">
      <c r="DO53339" s="303" t="s">
        <v>232</v>
      </c>
    </row>
    <row r="53340" spans="119:119" x14ac:dyDescent="0.2">
      <c r="DO53340" s="303" t="s">
        <v>232</v>
      </c>
    </row>
    <row r="53341" spans="119:119" x14ac:dyDescent="0.2">
      <c r="DO53341" s="303" t="s">
        <v>232</v>
      </c>
    </row>
    <row r="53342" spans="119:119" x14ac:dyDescent="0.2">
      <c r="DO53342" s="303" t="s">
        <v>232</v>
      </c>
    </row>
    <row r="53343" spans="119:119" x14ac:dyDescent="0.2">
      <c r="DO53343" s="303" t="s">
        <v>232</v>
      </c>
    </row>
    <row r="53344" spans="119:119" x14ac:dyDescent="0.2">
      <c r="DO53344" s="303" t="s">
        <v>232</v>
      </c>
    </row>
    <row r="53345" spans="119:119" x14ac:dyDescent="0.2">
      <c r="DO53345" s="303" t="s">
        <v>232</v>
      </c>
    </row>
    <row r="53346" spans="119:119" x14ac:dyDescent="0.2">
      <c r="DO53346" s="303" t="s">
        <v>232</v>
      </c>
    </row>
    <row r="53347" spans="119:119" x14ac:dyDescent="0.2">
      <c r="DO53347" s="303" t="s">
        <v>232</v>
      </c>
    </row>
    <row r="53348" spans="119:119" x14ac:dyDescent="0.2">
      <c r="DO53348" s="303" t="s">
        <v>232</v>
      </c>
    </row>
    <row r="53349" spans="119:119" x14ac:dyDescent="0.2">
      <c r="DO53349" s="303" t="s">
        <v>232</v>
      </c>
    </row>
    <row r="53350" spans="119:119" x14ac:dyDescent="0.2">
      <c r="DO53350" s="303" t="s">
        <v>232</v>
      </c>
    </row>
    <row r="53351" spans="119:119" x14ac:dyDescent="0.2">
      <c r="DO53351" s="303" t="s">
        <v>232</v>
      </c>
    </row>
    <row r="53352" spans="119:119" x14ac:dyDescent="0.2">
      <c r="DO53352" s="303" t="s">
        <v>232</v>
      </c>
    </row>
    <row r="53353" spans="119:119" x14ac:dyDescent="0.2">
      <c r="DO53353" s="303" t="s">
        <v>232</v>
      </c>
    </row>
    <row r="53354" spans="119:119" x14ac:dyDescent="0.2">
      <c r="DO53354" s="303" t="s">
        <v>232</v>
      </c>
    </row>
    <row r="53355" spans="119:119" x14ac:dyDescent="0.2">
      <c r="DO53355" s="303" t="s">
        <v>232</v>
      </c>
    </row>
    <row r="53356" spans="119:119" x14ac:dyDescent="0.2">
      <c r="DO53356" s="303" t="s">
        <v>232</v>
      </c>
    </row>
    <row r="53357" spans="119:119" x14ac:dyDescent="0.2">
      <c r="DO53357" s="303" t="s">
        <v>232</v>
      </c>
    </row>
    <row r="53358" spans="119:119" x14ac:dyDescent="0.2">
      <c r="DO53358" s="303" t="s">
        <v>232</v>
      </c>
    </row>
    <row r="53359" spans="119:119" x14ac:dyDescent="0.2">
      <c r="DO53359" s="303" t="s">
        <v>232</v>
      </c>
    </row>
    <row r="53360" spans="119:119" x14ac:dyDescent="0.2">
      <c r="DO53360" s="303" t="s">
        <v>232</v>
      </c>
    </row>
    <row r="53361" spans="119:119" x14ac:dyDescent="0.2">
      <c r="DO53361" s="303" t="s">
        <v>232</v>
      </c>
    </row>
    <row r="53362" spans="119:119" x14ac:dyDescent="0.2">
      <c r="DO53362" s="303" t="s">
        <v>232</v>
      </c>
    </row>
    <row r="53363" spans="119:119" x14ac:dyDescent="0.2">
      <c r="DO53363" s="303" t="s">
        <v>232</v>
      </c>
    </row>
    <row r="53364" spans="119:119" x14ac:dyDescent="0.2">
      <c r="DO53364" s="303" t="s">
        <v>232</v>
      </c>
    </row>
    <row r="53365" spans="119:119" x14ac:dyDescent="0.2">
      <c r="DO53365" s="303" t="s">
        <v>232</v>
      </c>
    </row>
    <row r="53366" spans="119:119" x14ac:dyDescent="0.2">
      <c r="DO53366" s="303" t="s">
        <v>232</v>
      </c>
    </row>
    <row r="53367" spans="119:119" x14ac:dyDescent="0.2">
      <c r="DO53367" s="303" t="s">
        <v>232</v>
      </c>
    </row>
    <row r="53368" spans="119:119" x14ac:dyDescent="0.2">
      <c r="DO53368" s="303" t="s">
        <v>232</v>
      </c>
    </row>
    <row r="53369" spans="119:119" x14ac:dyDescent="0.2">
      <c r="DO53369" s="303" t="s">
        <v>232</v>
      </c>
    </row>
    <row r="53370" spans="119:119" x14ac:dyDescent="0.2">
      <c r="DO53370" s="303" t="s">
        <v>232</v>
      </c>
    </row>
    <row r="53371" spans="119:119" x14ac:dyDescent="0.2">
      <c r="DO53371" s="303" t="s">
        <v>232</v>
      </c>
    </row>
    <row r="53372" spans="119:119" x14ac:dyDescent="0.2">
      <c r="DO53372" s="303" t="s">
        <v>232</v>
      </c>
    </row>
    <row r="53373" spans="119:119" x14ac:dyDescent="0.2">
      <c r="DO53373" s="303" t="s">
        <v>232</v>
      </c>
    </row>
    <row r="53374" spans="119:119" x14ac:dyDescent="0.2">
      <c r="DO53374" s="303" t="s">
        <v>232</v>
      </c>
    </row>
    <row r="53375" spans="119:119" x14ac:dyDescent="0.2">
      <c r="DO53375" s="303" t="s">
        <v>232</v>
      </c>
    </row>
    <row r="53376" spans="119:119" x14ac:dyDescent="0.2">
      <c r="DO53376" s="303" t="s">
        <v>232</v>
      </c>
    </row>
    <row r="53377" spans="119:119" x14ac:dyDescent="0.2">
      <c r="DO53377" s="303" t="s">
        <v>232</v>
      </c>
    </row>
    <row r="53378" spans="119:119" x14ac:dyDescent="0.2">
      <c r="DO53378" s="303" t="s">
        <v>232</v>
      </c>
    </row>
    <row r="53379" spans="119:119" x14ac:dyDescent="0.2">
      <c r="DO53379" s="303" t="s">
        <v>232</v>
      </c>
    </row>
    <row r="53380" spans="119:119" x14ac:dyDescent="0.2">
      <c r="DO53380" s="303" t="s">
        <v>232</v>
      </c>
    </row>
    <row r="53381" spans="119:119" x14ac:dyDescent="0.2">
      <c r="DO53381" s="303" t="s">
        <v>232</v>
      </c>
    </row>
    <row r="53382" spans="119:119" x14ac:dyDescent="0.2">
      <c r="DO53382" s="303" t="s">
        <v>232</v>
      </c>
    </row>
    <row r="53383" spans="119:119" x14ac:dyDescent="0.2">
      <c r="DO53383" s="303" t="s">
        <v>232</v>
      </c>
    </row>
    <row r="53384" spans="119:119" x14ac:dyDescent="0.2">
      <c r="DO53384" s="303" t="s">
        <v>232</v>
      </c>
    </row>
    <row r="53385" spans="119:119" x14ac:dyDescent="0.2">
      <c r="DO53385" s="303" t="s">
        <v>232</v>
      </c>
    </row>
    <row r="53386" spans="119:119" x14ac:dyDescent="0.2">
      <c r="DO53386" s="303" t="s">
        <v>232</v>
      </c>
    </row>
    <row r="53387" spans="119:119" x14ac:dyDescent="0.2">
      <c r="DO53387" s="303" t="s">
        <v>232</v>
      </c>
    </row>
    <row r="53388" spans="119:119" x14ac:dyDescent="0.2">
      <c r="DO53388" s="303" t="s">
        <v>232</v>
      </c>
    </row>
    <row r="53389" spans="119:119" x14ac:dyDescent="0.2">
      <c r="DO53389" s="303" t="s">
        <v>232</v>
      </c>
    </row>
    <row r="53390" spans="119:119" x14ac:dyDescent="0.2">
      <c r="DO53390" s="303" t="s">
        <v>232</v>
      </c>
    </row>
    <row r="53391" spans="119:119" x14ac:dyDescent="0.2">
      <c r="DO53391" s="303" t="s">
        <v>232</v>
      </c>
    </row>
    <row r="53392" spans="119:119" x14ac:dyDescent="0.2">
      <c r="DO53392" s="303" t="s">
        <v>232</v>
      </c>
    </row>
    <row r="53393" spans="119:119" x14ac:dyDescent="0.2">
      <c r="DO53393" s="303" t="s">
        <v>232</v>
      </c>
    </row>
    <row r="53394" spans="119:119" x14ac:dyDescent="0.2">
      <c r="DO53394" s="303" t="s">
        <v>232</v>
      </c>
    </row>
    <row r="53395" spans="119:119" x14ac:dyDescent="0.2">
      <c r="DO53395" s="303" t="s">
        <v>232</v>
      </c>
    </row>
    <row r="53396" spans="119:119" x14ac:dyDescent="0.2">
      <c r="DO53396" s="303" t="s">
        <v>232</v>
      </c>
    </row>
    <row r="53397" spans="119:119" x14ac:dyDescent="0.2">
      <c r="DO53397" s="303" t="s">
        <v>232</v>
      </c>
    </row>
    <row r="53398" spans="119:119" x14ac:dyDescent="0.2">
      <c r="DO53398" s="303" t="s">
        <v>232</v>
      </c>
    </row>
    <row r="53399" spans="119:119" x14ac:dyDescent="0.2">
      <c r="DO53399" s="303" t="s">
        <v>232</v>
      </c>
    </row>
    <row r="53400" spans="119:119" x14ac:dyDescent="0.2">
      <c r="DO53400" s="303" t="s">
        <v>232</v>
      </c>
    </row>
    <row r="53401" spans="119:119" x14ac:dyDescent="0.2">
      <c r="DO53401" s="303" t="s">
        <v>232</v>
      </c>
    </row>
    <row r="53402" spans="119:119" x14ac:dyDescent="0.2">
      <c r="DO53402" s="303" t="s">
        <v>232</v>
      </c>
    </row>
    <row r="53403" spans="119:119" x14ac:dyDescent="0.2">
      <c r="DO53403" s="303" t="s">
        <v>232</v>
      </c>
    </row>
    <row r="53404" spans="119:119" x14ac:dyDescent="0.2">
      <c r="DO53404" s="303" t="s">
        <v>232</v>
      </c>
    </row>
    <row r="53405" spans="119:119" x14ac:dyDescent="0.2">
      <c r="DO53405" s="303" t="s">
        <v>232</v>
      </c>
    </row>
    <row r="53406" spans="119:119" x14ac:dyDescent="0.2">
      <c r="DO53406" s="303" t="s">
        <v>232</v>
      </c>
    </row>
    <row r="53407" spans="119:119" x14ac:dyDescent="0.2">
      <c r="DO53407" s="303" t="s">
        <v>232</v>
      </c>
    </row>
    <row r="53408" spans="119:119" x14ac:dyDescent="0.2">
      <c r="DO53408" s="303" t="s">
        <v>232</v>
      </c>
    </row>
    <row r="53409" spans="119:119" x14ac:dyDescent="0.2">
      <c r="DO53409" s="303" t="s">
        <v>232</v>
      </c>
    </row>
    <row r="53410" spans="119:119" x14ac:dyDescent="0.2">
      <c r="DO53410" s="303" t="s">
        <v>232</v>
      </c>
    </row>
    <row r="53411" spans="119:119" x14ac:dyDescent="0.2">
      <c r="DO53411" s="303" t="s">
        <v>232</v>
      </c>
    </row>
    <row r="53412" spans="119:119" x14ac:dyDescent="0.2">
      <c r="DO53412" s="303" t="s">
        <v>232</v>
      </c>
    </row>
    <row r="53413" spans="119:119" x14ac:dyDescent="0.2">
      <c r="DO53413" s="303" t="s">
        <v>232</v>
      </c>
    </row>
    <row r="53414" spans="119:119" x14ac:dyDescent="0.2">
      <c r="DO53414" s="303" t="s">
        <v>232</v>
      </c>
    </row>
    <row r="53415" spans="119:119" x14ac:dyDescent="0.2">
      <c r="DO53415" s="303" t="s">
        <v>232</v>
      </c>
    </row>
    <row r="53416" spans="119:119" x14ac:dyDescent="0.2">
      <c r="DO53416" s="303" t="s">
        <v>232</v>
      </c>
    </row>
    <row r="53417" spans="119:119" x14ac:dyDescent="0.2">
      <c r="DO53417" s="303" t="s">
        <v>232</v>
      </c>
    </row>
    <row r="53418" spans="119:119" x14ac:dyDescent="0.2">
      <c r="DO53418" s="303" t="s">
        <v>232</v>
      </c>
    </row>
    <row r="53419" spans="119:119" x14ac:dyDescent="0.2">
      <c r="DO53419" s="303" t="s">
        <v>232</v>
      </c>
    </row>
    <row r="53420" spans="119:119" x14ac:dyDescent="0.2">
      <c r="DO53420" s="303" t="s">
        <v>232</v>
      </c>
    </row>
    <row r="53421" spans="119:119" x14ac:dyDescent="0.2">
      <c r="DO53421" s="303" t="s">
        <v>232</v>
      </c>
    </row>
    <row r="53422" spans="119:119" x14ac:dyDescent="0.2">
      <c r="DO53422" s="303" t="s">
        <v>232</v>
      </c>
    </row>
    <row r="53423" spans="119:119" x14ac:dyDescent="0.2">
      <c r="DO53423" s="303" t="s">
        <v>232</v>
      </c>
    </row>
    <row r="53424" spans="119:119" x14ac:dyDescent="0.2">
      <c r="DO53424" s="303" t="s">
        <v>232</v>
      </c>
    </row>
    <row r="53425" spans="119:119" x14ac:dyDescent="0.2">
      <c r="DO53425" s="303" t="s">
        <v>232</v>
      </c>
    </row>
    <row r="53426" spans="119:119" x14ac:dyDescent="0.2">
      <c r="DO53426" s="303" t="s">
        <v>232</v>
      </c>
    </row>
    <row r="53427" spans="119:119" x14ac:dyDescent="0.2">
      <c r="DO53427" s="303" t="s">
        <v>232</v>
      </c>
    </row>
    <row r="53428" spans="119:119" x14ac:dyDescent="0.2">
      <c r="DO53428" s="303" t="s">
        <v>232</v>
      </c>
    </row>
    <row r="53429" spans="119:119" x14ac:dyDescent="0.2">
      <c r="DO53429" s="303" t="s">
        <v>232</v>
      </c>
    </row>
    <row r="53430" spans="119:119" x14ac:dyDescent="0.2">
      <c r="DO53430" s="303" t="s">
        <v>232</v>
      </c>
    </row>
    <row r="53431" spans="119:119" x14ac:dyDescent="0.2">
      <c r="DO53431" s="303" t="s">
        <v>232</v>
      </c>
    </row>
    <row r="53432" spans="119:119" x14ac:dyDescent="0.2">
      <c r="DO53432" s="303" t="s">
        <v>232</v>
      </c>
    </row>
    <row r="53433" spans="119:119" x14ac:dyDescent="0.2">
      <c r="DO53433" s="303" t="s">
        <v>232</v>
      </c>
    </row>
    <row r="53434" spans="119:119" x14ac:dyDescent="0.2">
      <c r="DO53434" s="303" t="s">
        <v>232</v>
      </c>
    </row>
    <row r="53435" spans="119:119" x14ac:dyDescent="0.2">
      <c r="DO53435" s="303" t="s">
        <v>232</v>
      </c>
    </row>
    <row r="53436" spans="119:119" x14ac:dyDescent="0.2">
      <c r="DO53436" s="303" t="s">
        <v>232</v>
      </c>
    </row>
    <row r="53437" spans="119:119" x14ac:dyDescent="0.2">
      <c r="DO53437" s="303" t="s">
        <v>232</v>
      </c>
    </row>
    <row r="53438" spans="119:119" x14ac:dyDescent="0.2">
      <c r="DO53438" s="303" t="s">
        <v>232</v>
      </c>
    </row>
    <row r="53439" spans="119:119" x14ac:dyDescent="0.2">
      <c r="DO53439" s="303" t="s">
        <v>232</v>
      </c>
    </row>
    <row r="53440" spans="119:119" x14ac:dyDescent="0.2">
      <c r="DO53440" s="303" t="s">
        <v>232</v>
      </c>
    </row>
    <row r="53441" spans="119:119" x14ac:dyDescent="0.2">
      <c r="DO53441" s="303" t="s">
        <v>232</v>
      </c>
    </row>
    <row r="53442" spans="119:119" x14ac:dyDescent="0.2">
      <c r="DO53442" s="303" t="s">
        <v>232</v>
      </c>
    </row>
    <row r="53443" spans="119:119" x14ac:dyDescent="0.2">
      <c r="DO53443" s="303" t="s">
        <v>232</v>
      </c>
    </row>
    <row r="53444" spans="119:119" x14ac:dyDescent="0.2">
      <c r="DO53444" s="303" t="s">
        <v>232</v>
      </c>
    </row>
    <row r="53445" spans="119:119" x14ac:dyDescent="0.2">
      <c r="DO53445" s="303" t="s">
        <v>232</v>
      </c>
    </row>
    <row r="53446" spans="119:119" x14ac:dyDescent="0.2">
      <c r="DO53446" s="303" t="s">
        <v>232</v>
      </c>
    </row>
    <row r="53447" spans="119:119" x14ac:dyDescent="0.2">
      <c r="DO53447" s="303" t="s">
        <v>232</v>
      </c>
    </row>
    <row r="53448" spans="119:119" x14ac:dyDescent="0.2">
      <c r="DO53448" s="303" t="s">
        <v>232</v>
      </c>
    </row>
    <row r="53449" spans="119:119" x14ac:dyDescent="0.2">
      <c r="DO53449" s="303" t="s">
        <v>232</v>
      </c>
    </row>
    <row r="53450" spans="119:119" x14ac:dyDescent="0.2">
      <c r="DO53450" s="303" t="s">
        <v>232</v>
      </c>
    </row>
    <row r="53451" spans="119:119" x14ac:dyDescent="0.2">
      <c r="DO53451" s="303" t="s">
        <v>232</v>
      </c>
    </row>
    <row r="53452" spans="119:119" x14ac:dyDescent="0.2">
      <c r="DO53452" s="303" t="s">
        <v>232</v>
      </c>
    </row>
    <row r="53453" spans="119:119" x14ac:dyDescent="0.2">
      <c r="DO53453" s="303" t="s">
        <v>232</v>
      </c>
    </row>
    <row r="53454" spans="119:119" x14ac:dyDescent="0.2">
      <c r="DO53454" s="303" t="s">
        <v>232</v>
      </c>
    </row>
    <row r="53455" spans="119:119" x14ac:dyDescent="0.2">
      <c r="DO53455" s="303" t="s">
        <v>232</v>
      </c>
    </row>
    <row r="53456" spans="119:119" x14ac:dyDescent="0.2">
      <c r="DO53456" s="303" t="s">
        <v>232</v>
      </c>
    </row>
    <row r="53457" spans="119:119" x14ac:dyDescent="0.2">
      <c r="DO53457" s="303" t="s">
        <v>232</v>
      </c>
    </row>
    <row r="53458" spans="119:119" x14ac:dyDescent="0.2">
      <c r="DO53458" s="303" t="s">
        <v>232</v>
      </c>
    </row>
    <row r="53459" spans="119:119" x14ac:dyDescent="0.2">
      <c r="DO53459" s="303" t="s">
        <v>232</v>
      </c>
    </row>
    <row r="53460" spans="119:119" x14ac:dyDescent="0.2">
      <c r="DO53460" s="303" t="s">
        <v>232</v>
      </c>
    </row>
    <row r="53461" spans="119:119" x14ac:dyDescent="0.2">
      <c r="DO53461" s="303" t="s">
        <v>232</v>
      </c>
    </row>
    <row r="53462" spans="119:119" x14ac:dyDescent="0.2">
      <c r="DO53462" s="303" t="s">
        <v>232</v>
      </c>
    </row>
    <row r="53463" spans="119:119" x14ac:dyDescent="0.2">
      <c r="DO53463" s="303" t="s">
        <v>232</v>
      </c>
    </row>
    <row r="53464" spans="119:119" x14ac:dyDescent="0.2">
      <c r="DO53464" s="303" t="s">
        <v>232</v>
      </c>
    </row>
    <row r="53465" spans="119:119" x14ac:dyDescent="0.2">
      <c r="DO53465" s="303" t="s">
        <v>232</v>
      </c>
    </row>
    <row r="53466" spans="119:119" x14ac:dyDescent="0.2">
      <c r="DO53466" s="303" t="s">
        <v>232</v>
      </c>
    </row>
    <row r="53467" spans="119:119" x14ac:dyDescent="0.2">
      <c r="DO53467" s="303" t="s">
        <v>232</v>
      </c>
    </row>
    <row r="53468" spans="119:119" x14ac:dyDescent="0.2">
      <c r="DO53468" s="303" t="s">
        <v>232</v>
      </c>
    </row>
    <row r="53469" spans="119:119" x14ac:dyDescent="0.2">
      <c r="DO53469" s="303" t="s">
        <v>232</v>
      </c>
    </row>
    <row r="53470" spans="119:119" x14ac:dyDescent="0.2">
      <c r="DO53470" s="303" t="s">
        <v>232</v>
      </c>
    </row>
    <row r="53471" spans="119:119" x14ac:dyDescent="0.2">
      <c r="DO53471" s="303" t="s">
        <v>232</v>
      </c>
    </row>
    <row r="53472" spans="119:119" x14ac:dyDescent="0.2">
      <c r="DO53472" s="303" t="s">
        <v>232</v>
      </c>
    </row>
    <row r="53473" spans="119:119" x14ac:dyDescent="0.2">
      <c r="DO53473" s="303" t="s">
        <v>232</v>
      </c>
    </row>
    <row r="53474" spans="119:119" x14ac:dyDescent="0.2">
      <c r="DO53474" s="303" t="s">
        <v>232</v>
      </c>
    </row>
    <row r="53475" spans="119:119" x14ac:dyDescent="0.2">
      <c r="DO53475" s="303" t="s">
        <v>232</v>
      </c>
    </row>
    <row r="53476" spans="119:119" x14ac:dyDescent="0.2">
      <c r="DO53476" s="303" t="s">
        <v>232</v>
      </c>
    </row>
    <row r="53477" spans="119:119" x14ac:dyDescent="0.2">
      <c r="DO53477" s="303" t="s">
        <v>232</v>
      </c>
    </row>
    <row r="53478" spans="119:119" x14ac:dyDescent="0.2">
      <c r="DO53478" s="303" t="s">
        <v>232</v>
      </c>
    </row>
    <row r="53479" spans="119:119" x14ac:dyDescent="0.2">
      <c r="DO53479" s="303" t="s">
        <v>232</v>
      </c>
    </row>
    <row r="53480" spans="119:119" x14ac:dyDescent="0.2">
      <c r="DO53480" s="303" t="s">
        <v>232</v>
      </c>
    </row>
    <row r="53481" spans="119:119" x14ac:dyDescent="0.2">
      <c r="DO53481" s="303" t="s">
        <v>232</v>
      </c>
    </row>
    <row r="53482" spans="119:119" x14ac:dyDescent="0.2">
      <c r="DO53482" s="303" t="s">
        <v>232</v>
      </c>
    </row>
    <row r="53483" spans="119:119" x14ac:dyDescent="0.2">
      <c r="DO53483" s="303" t="s">
        <v>232</v>
      </c>
    </row>
    <row r="53484" spans="119:119" x14ac:dyDescent="0.2">
      <c r="DO53484" s="303" t="s">
        <v>232</v>
      </c>
    </row>
    <row r="53485" spans="119:119" x14ac:dyDescent="0.2">
      <c r="DO53485" s="303" t="s">
        <v>232</v>
      </c>
    </row>
    <row r="53486" spans="119:119" x14ac:dyDescent="0.2">
      <c r="DO53486" s="303" t="s">
        <v>232</v>
      </c>
    </row>
    <row r="53487" spans="119:119" x14ac:dyDescent="0.2">
      <c r="DO53487" s="303" t="s">
        <v>232</v>
      </c>
    </row>
    <row r="53488" spans="119:119" x14ac:dyDescent="0.2">
      <c r="DO53488" s="303" t="s">
        <v>232</v>
      </c>
    </row>
    <row r="53489" spans="119:119" x14ac:dyDescent="0.2">
      <c r="DO53489" s="303" t="s">
        <v>232</v>
      </c>
    </row>
    <row r="53490" spans="119:119" x14ac:dyDescent="0.2">
      <c r="DO53490" s="303" t="s">
        <v>232</v>
      </c>
    </row>
    <row r="53491" spans="119:119" x14ac:dyDescent="0.2">
      <c r="DO53491" s="303" t="s">
        <v>232</v>
      </c>
    </row>
    <row r="53492" spans="119:119" x14ac:dyDescent="0.2">
      <c r="DO53492" s="303" t="s">
        <v>232</v>
      </c>
    </row>
    <row r="53493" spans="119:119" x14ac:dyDescent="0.2">
      <c r="DO53493" s="303" t="s">
        <v>232</v>
      </c>
    </row>
    <row r="53494" spans="119:119" x14ac:dyDescent="0.2">
      <c r="DO53494" s="303" t="s">
        <v>232</v>
      </c>
    </row>
    <row r="53495" spans="119:119" x14ac:dyDescent="0.2">
      <c r="DO53495" s="303" t="s">
        <v>232</v>
      </c>
    </row>
    <row r="53496" spans="119:119" x14ac:dyDescent="0.2">
      <c r="DO53496" s="303" t="s">
        <v>232</v>
      </c>
    </row>
    <row r="53497" spans="119:119" x14ac:dyDescent="0.2">
      <c r="DO53497" s="303" t="s">
        <v>232</v>
      </c>
    </row>
    <row r="53498" spans="119:119" x14ac:dyDescent="0.2">
      <c r="DO53498" s="303" t="s">
        <v>232</v>
      </c>
    </row>
    <row r="53499" spans="119:119" x14ac:dyDescent="0.2">
      <c r="DO53499" s="303" t="s">
        <v>232</v>
      </c>
    </row>
    <row r="53500" spans="119:119" x14ac:dyDescent="0.2">
      <c r="DO53500" s="303" t="s">
        <v>232</v>
      </c>
    </row>
    <row r="53501" spans="119:119" x14ac:dyDescent="0.2">
      <c r="DO53501" s="303" t="s">
        <v>232</v>
      </c>
    </row>
    <row r="53502" spans="119:119" x14ac:dyDescent="0.2">
      <c r="DO53502" s="303" t="s">
        <v>232</v>
      </c>
    </row>
    <row r="53503" spans="119:119" x14ac:dyDescent="0.2">
      <c r="DO53503" s="303" t="s">
        <v>232</v>
      </c>
    </row>
    <row r="53504" spans="119:119" x14ac:dyDescent="0.2">
      <c r="DO53504" s="303" t="s">
        <v>232</v>
      </c>
    </row>
    <row r="53505" spans="119:119" x14ac:dyDescent="0.2">
      <c r="DO53505" s="303" t="s">
        <v>232</v>
      </c>
    </row>
    <row r="53506" spans="119:119" x14ac:dyDescent="0.2">
      <c r="DO53506" s="303" t="s">
        <v>232</v>
      </c>
    </row>
    <row r="53507" spans="119:119" x14ac:dyDescent="0.2">
      <c r="DO53507" s="303" t="s">
        <v>232</v>
      </c>
    </row>
    <row r="53508" spans="119:119" x14ac:dyDescent="0.2">
      <c r="DO53508" s="303" t="s">
        <v>232</v>
      </c>
    </row>
    <row r="53509" spans="119:119" x14ac:dyDescent="0.2">
      <c r="DO53509" s="303" t="s">
        <v>232</v>
      </c>
    </row>
    <row r="53510" spans="119:119" x14ac:dyDescent="0.2">
      <c r="DO53510" s="303" t="s">
        <v>232</v>
      </c>
    </row>
    <row r="53511" spans="119:119" x14ac:dyDescent="0.2">
      <c r="DO53511" s="303" t="s">
        <v>232</v>
      </c>
    </row>
    <row r="53512" spans="119:119" x14ac:dyDescent="0.2">
      <c r="DO53512" s="303" t="s">
        <v>232</v>
      </c>
    </row>
    <row r="53513" spans="119:119" x14ac:dyDescent="0.2">
      <c r="DO53513" s="303" t="s">
        <v>232</v>
      </c>
    </row>
    <row r="53514" spans="119:119" x14ac:dyDescent="0.2">
      <c r="DO53514" s="303" t="s">
        <v>232</v>
      </c>
    </row>
    <row r="53515" spans="119:119" x14ac:dyDescent="0.2">
      <c r="DO53515" s="303" t="s">
        <v>232</v>
      </c>
    </row>
    <row r="53516" spans="119:119" x14ac:dyDescent="0.2">
      <c r="DO53516" s="303" t="s">
        <v>232</v>
      </c>
    </row>
    <row r="53517" spans="119:119" x14ac:dyDescent="0.2">
      <c r="DO53517" s="303" t="s">
        <v>232</v>
      </c>
    </row>
    <row r="53518" spans="119:119" x14ac:dyDescent="0.2">
      <c r="DO53518" s="303" t="s">
        <v>232</v>
      </c>
    </row>
    <row r="53519" spans="119:119" x14ac:dyDescent="0.2">
      <c r="DO53519" s="303" t="s">
        <v>232</v>
      </c>
    </row>
    <row r="53520" spans="119:119" x14ac:dyDescent="0.2">
      <c r="DO53520" s="303" t="s">
        <v>232</v>
      </c>
    </row>
    <row r="53521" spans="119:119" x14ac:dyDescent="0.2">
      <c r="DO53521" s="303" t="s">
        <v>232</v>
      </c>
    </row>
    <row r="53522" spans="119:119" x14ac:dyDescent="0.2">
      <c r="DO53522" s="303" t="s">
        <v>232</v>
      </c>
    </row>
    <row r="53523" spans="119:119" x14ac:dyDescent="0.2">
      <c r="DO53523" s="303" t="s">
        <v>232</v>
      </c>
    </row>
    <row r="53524" spans="119:119" x14ac:dyDescent="0.2">
      <c r="DO53524" s="303" t="s">
        <v>232</v>
      </c>
    </row>
    <row r="53525" spans="119:119" x14ac:dyDescent="0.2">
      <c r="DO53525" s="303" t="s">
        <v>232</v>
      </c>
    </row>
    <row r="53526" spans="119:119" x14ac:dyDescent="0.2">
      <c r="DO53526" s="303" t="s">
        <v>232</v>
      </c>
    </row>
    <row r="53527" spans="119:119" x14ac:dyDescent="0.2">
      <c r="DO53527" s="303" t="s">
        <v>232</v>
      </c>
    </row>
    <row r="53528" spans="119:119" x14ac:dyDescent="0.2">
      <c r="DO53528" s="303" t="s">
        <v>232</v>
      </c>
    </row>
    <row r="53529" spans="119:119" x14ac:dyDescent="0.2">
      <c r="DO53529" s="303" t="s">
        <v>232</v>
      </c>
    </row>
    <row r="53530" spans="119:119" x14ac:dyDescent="0.2">
      <c r="DO53530" s="303" t="s">
        <v>232</v>
      </c>
    </row>
    <row r="53531" spans="119:119" x14ac:dyDescent="0.2">
      <c r="DO53531" s="303" t="s">
        <v>232</v>
      </c>
    </row>
    <row r="53532" spans="119:119" x14ac:dyDescent="0.2">
      <c r="DO53532" s="303" t="s">
        <v>232</v>
      </c>
    </row>
    <row r="53533" spans="119:119" x14ac:dyDescent="0.2">
      <c r="DO53533" s="303" t="s">
        <v>232</v>
      </c>
    </row>
    <row r="53534" spans="119:119" x14ac:dyDescent="0.2">
      <c r="DO53534" s="303" t="s">
        <v>232</v>
      </c>
    </row>
    <row r="53535" spans="119:119" x14ac:dyDescent="0.2">
      <c r="DO53535" s="303" t="s">
        <v>232</v>
      </c>
    </row>
    <row r="53536" spans="119:119" x14ac:dyDescent="0.2">
      <c r="DO53536" s="303" t="s">
        <v>232</v>
      </c>
    </row>
    <row r="53537" spans="119:119" x14ac:dyDescent="0.2">
      <c r="DO53537" s="303" t="s">
        <v>232</v>
      </c>
    </row>
    <row r="53538" spans="119:119" x14ac:dyDescent="0.2">
      <c r="DO53538" s="303" t="s">
        <v>232</v>
      </c>
    </row>
    <row r="53539" spans="119:119" x14ac:dyDescent="0.2">
      <c r="DO53539" s="303" t="s">
        <v>232</v>
      </c>
    </row>
    <row r="53540" spans="119:119" x14ac:dyDescent="0.2">
      <c r="DO53540" s="303" t="s">
        <v>232</v>
      </c>
    </row>
    <row r="53541" spans="119:119" x14ac:dyDescent="0.2">
      <c r="DO53541" s="303" t="s">
        <v>232</v>
      </c>
    </row>
    <row r="53542" spans="119:119" x14ac:dyDescent="0.2">
      <c r="DO53542" s="303" t="s">
        <v>232</v>
      </c>
    </row>
    <row r="53543" spans="119:119" x14ac:dyDescent="0.2">
      <c r="DO53543" s="303" t="s">
        <v>232</v>
      </c>
    </row>
    <row r="53544" spans="119:119" x14ac:dyDescent="0.2">
      <c r="DO53544" s="303" t="s">
        <v>232</v>
      </c>
    </row>
    <row r="53545" spans="119:119" x14ac:dyDescent="0.2">
      <c r="DO53545" s="303" t="s">
        <v>232</v>
      </c>
    </row>
    <row r="53546" spans="119:119" x14ac:dyDescent="0.2">
      <c r="DO53546" s="303" t="s">
        <v>232</v>
      </c>
    </row>
    <row r="53547" spans="119:119" x14ac:dyDescent="0.2">
      <c r="DO53547" s="303" t="s">
        <v>232</v>
      </c>
    </row>
    <row r="53548" spans="119:119" x14ac:dyDescent="0.2">
      <c r="DO53548" s="303" t="s">
        <v>232</v>
      </c>
    </row>
    <row r="53549" spans="119:119" x14ac:dyDescent="0.2">
      <c r="DO53549" s="303" t="s">
        <v>232</v>
      </c>
    </row>
    <row r="53550" spans="119:119" x14ac:dyDescent="0.2">
      <c r="DO53550" s="303" t="s">
        <v>232</v>
      </c>
    </row>
    <row r="53551" spans="119:119" x14ac:dyDescent="0.2">
      <c r="DO53551" s="303" t="s">
        <v>232</v>
      </c>
    </row>
    <row r="53552" spans="119:119" x14ac:dyDescent="0.2">
      <c r="DO53552" s="303" t="s">
        <v>232</v>
      </c>
    </row>
    <row r="53553" spans="119:119" x14ac:dyDescent="0.2">
      <c r="DO53553" s="303" t="s">
        <v>232</v>
      </c>
    </row>
    <row r="53554" spans="119:119" x14ac:dyDescent="0.2">
      <c r="DO53554" s="303" t="s">
        <v>232</v>
      </c>
    </row>
    <row r="53555" spans="119:119" x14ac:dyDescent="0.2">
      <c r="DO53555" s="303" t="s">
        <v>232</v>
      </c>
    </row>
    <row r="53556" spans="119:119" x14ac:dyDescent="0.2">
      <c r="DO53556" s="303" t="s">
        <v>232</v>
      </c>
    </row>
    <row r="53557" spans="119:119" x14ac:dyDescent="0.2">
      <c r="DO53557" s="303" t="s">
        <v>232</v>
      </c>
    </row>
    <row r="53558" spans="119:119" x14ac:dyDescent="0.2">
      <c r="DO53558" s="303" t="s">
        <v>232</v>
      </c>
    </row>
    <row r="53559" spans="119:119" x14ac:dyDescent="0.2">
      <c r="DO53559" s="303" t="s">
        <v>232</v>
      </c>
    </row>
    <row r="53560" spans="119:119" x14ac:dyDescent="0.2">
      <c r="DO53560" s="303" t="s">
        <v>232</v>
      </c>
    </row>
    <row r="53561" spans="119:119" x14ac:dyDescent="0.2">
      <c r="DO53561" s="303" t="s">
        <v>232</v>
      </c>
    </row>
    <row r="53562" spans="119:119" x14ac:dyDescent="0.2">
      <c r="DO53562" s="303" t="s">
        <v>232</v>
      </c>
    </row>
    <row r="53563" spans="119:119" x14ac:dyDescent="0.2">
      <c r="DO53563" s="303" t="s">
        <v>232</v>
      </c>
    </row>
    <row r="53564" spans="119:119" x14ac:dyDescent="0.2">
      <c r="DO53564" s="303" t="s">
        <v>232</v>
      </c>
    </row>
    <row r="53565" spans="119:119" x14ac:dyDescent="0.2">
      <c r="DO53565" s="303" t="s">
        <v>232</v>
      </c>
    </row>
    <row r="53566" spans="119:119" x14ac:dyDescent="0.2">
      <c r="DO53566" s="303" t="s">
        <v>232</v>
      </c>
    </row>
    <row r="53567" spans="119:119" x14ac:dyDescent="0.2">
      <c r="DO53567" s="303" t="s">
        <v>232</v>
      </c>
    </row>
    <row r="53568" spans="119:119" x14ac:dyDescent="0.2">
      <c r="DO53568" s="303" t="s">
        <v>232</v>
      </c>
    </row>
    <row r="53569" spans="119:119" x14ac:dyDescent="0.2">
      <c r="DO53569" s="303" t="s">
        <v>232</v>
      </c>
    </row>
    <row r="53570" spans="119:119" x14ac:dyDescent="0.2">
      <c r="DO53570" s="303" t="s">
        <v>232</v>
      </c>
    </row>
    <row r="53571" spans="119:119" x14ac:dyDescent="0.2">
      <c r="DO53571" s="303" t="s">
        <v>232</v>
      </c>
    </row>
    <row r="53572" spans="119:119" x14ac:dyDescent="0.2">
      <c r="DO53572" s="303" t="s">
        <v>232</v>
      </c>
    </row>
    <row r="53573" spans="119:119" x14ac:dyDescent="0.2">
      <c r="DO53573" s="303" t="s">
        <v>232</v>
      </c>
    </row>
    <row r="53574" spans="119:119" x14ac:dyDescent="0.2">
      <c r="DO53574" s="303" t="s">
        <v>232</v>
      </c>
    </row>
    <row r="53575" spans="119:119" x14ac:dyDescent="0.2">
      <c r="DO53575" s="303" t="s">
        <v>232</v>
      </c>
    </row>
    <row r="53576" spans="119:119" x14ac:dyDescent="0.2">
      <c r="DO53576" s="303" t="s">
        <v>232</v>
      </c>
    </row>
    <row r="53577" spans="119:119" x14ac:dyDescent="0.2">
      <c r="DO53577" s="303" t="s">
        <v>232</v>
      </c>
    </row>
    <row r="53578" spans="119:119" x14ac:dyDescent="0.2">
      <c r="DO53578" s="303" t="s">
        <v>232</v>
      </c>
    </row>
    <row r="53579" spans="119:119" x14ac:dyDescent="0.2">
      <c r="DO53579" s="303" t="s">
        <v>232</v>
      </c>
    </row>
    <row r="53580" spans="119:119" x14ac:dyDescent="0.2">
      <c r="DO53580" s="303" t="s">
        <v>232</v>
      </c>
    </row>
    <row r="53581" spans="119:119" x14ac:dyDescent="0.2">
      <c r="DO53581" s="303" t="s">
        <v>232</v>
      </c>
    </row>
    <row r="53582" spans="119:119" x14ac:dyDescent="0.2">
      <c r="DO53582" s="303" t="s">
        <v>232</v>
      </c>
    </row>
    <row r="53583" spans="119:119" x14ac:dyDescent="0.2">
      <c r="DO53583" s="303" t="s">
        <v>232</v>
      </c>
    </row>
    <row r="53584" spans="119:119" x14ac:dyDescent="0.2">
      <c r="DO53584" s="303" t="s">
        <v>232</v>
      </c>
    </row>
    <row r="53585" spans="119:119" x14ac:dyDescent="0.2">
      <c r="DO53585" s="303" t="s">
        <v>232</v>
      </c>
    </row>
    <row r="53586" spans="119:119" x14ac:dyDescent="0.2">
      <c r="DO53586" s="303" t="s">
        <v>232</v>
      </c>
    </row>
    <row r="53587" spans="119:119" x14ac:dyDescent="0.2">
      <c r="DO53587" s="303" t="s">
        <v>232</v>
      </c>
    </row>
    <row r="53588" spans="119:119" x14ac:dyDescent="0.2">
      <c r="DO53588" s="303" t="s">
        <v>232</v>
      </c>
    </row>
    <row r="53589" spans="119:119" x14ac:dyDescent="0.2">
      <c r="DO53589" s="303" t="s">
        <v>232</v>
      </c>
    </row>
    <row r="53590" spans="119:119" x14ac:dyDescent="0.2">
      <c r="DO53590" s="303" t="s">
        <v>232</v>
      </c>
    </row>
    <row r="53591" spans="119:119" x14ac:dyDescent="0.2">
      <c r="DO53591" s="303" t="s">
        <v>232</v>
      </c>
    </row>
    <row r="53592" spans="119:119" x14ac:dyDescent="0.2">
      <c r="DO53592" s="303" t="s">
        <v>232</v>
      </c>
    </row>
    <row r="53593" spans="119:119" x14ac:dyDescent="0.2">
      <c r="DO53593" s="303" t="s">
        <v>232</v>
      </c>
    </row>
    <row r="53594" spans="119:119" x14ac:dyDescent="0.2">
      <c r="DO53594" s="303" t="s">
        <v>232</v>
      </c>
    </row>
    <row r="53595" spans="119:119" x14ac:dyDescent="0.2">
      <c r="DO53595" s="303" t="s">
        <v>232</v>
      </c>
    </row>
    <row r="53596" spans="119:119" x14ac:dyDescent="0.2">
      <c r="DO53596" s="303" t="s">
        <v>232</v>
      </c>
    </row>
    <row r="53597" spans="119:119" x14ac:dyDescent="0.2">
      <c r="DO53597" s="303" t="s">
        <v>232</v>
      </c>
    </row>
    <row r="53598" spans="119:119" x14ac:dyDescent="0.2">
      <c r="DO53598" s="303" t="s">
        <v>232</v>
      </c>
    </row>
    <row r="53599" spans="119:119" x14ac:dyDescent="0.2">
      <c r="DO53599" s="303" t="s">
        <v>232</v>
      </c>
    </row>
    <row r="53600" spans="119:119" x14ac:dyDescent="0.2">
      <c r="DO53600" s="303" t="s">
        <v>232</v>
      </c>
    </row>
    <row r="53601" spans="119:119" x14ac:dyDescent="0.2">
      <c r="DO53601" s="303" t="s">
        <v>232</v>
      </c>
    </row>
    <row r="53602" spans="119:119" x14ac:dyDescent="0.2">
      <c r="DO53602" s="303" t="s">
        <v>232</v>
      </c>
    </row>
    <row r="53603" spans="119:119" x14ac:dyDescent="0.2">
      <c r="DO53603" s="303" t="s">
        <v>232</v>
      </c>
    </row>
    <row r="53604" spans="119:119" x14ac:dyDescent="0.2">
      <c r="DO53604" s="303" t="s">
        <v>232</v>
      </c>
    </row>
    <row r="53605" spans="119:119" x14ac:dyDescent="0.2">
      <c r="DO53605" s="303" t="s">
        <v>232</v>
      </c>
    </row>
    <row r="53606" spans="119:119" x14ac:dyDescent="0.2">
      <c r="DO53606" s="303" t="s">
        <v>232</v>
      </c>
    </row>
    <row r="53607" spans="119:119" x14ac:dyDescent="0.2">
      <c r="DO53607" s="303" t="s">
        <v>232</v>
      </c>
    </row>
    <row r="53608" spans="119:119" x14ac:dyDescent="0.2">
      <c r="DO53608" s="303" t="s">
        <v>232</v>
      </c>
    </row>
    <row r="53609" spans="119:119" x14ac:dyDescent="0.2">
      <c r="DO53609" s="303" t="s">
        <v>232</v>
      </c>
    </row>
    <row r="53610" spans="119:119" x14ac:dyDescent="0.2">
      <c r="DO53610" s="303" t="s">
        <v>232</v>
      </c>
    </row>
    <row r="53611" spans="119:119" x14ac:dyDescent="0.2">
      <c r="DO53611" s="303" t="s">
        <v>232</v>
      </c>
    </row>
    <row r="53612" spans="119:119" x14ac:dyDescent="0.2">
      <c r="DO53612" s="303" t="s">
        <v>232</v>
      </c>
    </row>
    <row r="53613" spans="119:119" x14ac:dyDescent="0.2">
      <c r="DO53613" s="303" t="s">
        <v>232</v>
      </c>
    </row>
    <row r="53614" spans="119:119" x14ac:dyDescent="0.2">
      <c r="DO53614" s="303" t="s">
        <v>232</v>
      </c>
    </row>
    <row r="53615" spans="119:119" x14ac:dyDescent="0.2">
      <c r="DO53615" s="303" t="s">
        <v>232</v>
      </c>
    </row>
    <row r="53616" spans="119:119" x14ac:dyDescent="0.2">
      <c r="DO53616" s="303" t="s">
        <v>232</v>
      </c>
    </row>
    <row r="53617" spans="119:119" x14ac:dyDescent="0.2">
      <c r="DO53617" s="303" t="s">
        <v>232</v>
      </c>
    </row>
    <row r="53618" spans="119:119" x14ac:dyDescent="0.2">
      <c r="DO53618" s="303" t="s">
        <v>232</v>
      </c>
    </row>
    <row r="53619" spans="119:119" x14ac:dyDescent="0.2">
      <c r="DO53619" s="303" t="s">
        <v>232</v>
      </c>
    </row>
    <row r="53620" spans="119:119" x14ac:dyDescent="0.2">
      <c r="DO53620" s="303" t="s">
        <v>232</v>
      </c>
    </row>
    <row r="53621" spans="119:119" x14ac:dyDescent="0.2">
      <c r="DO53621" s="303" t="s">
        <v>232</v>
      </c>
    </row>
    <row r="53622" spans="119:119" x14ac:dyDescent="0.2">
      <c r="DO53622" s="303" t="s">
        <v>232</v>
      </c>
    </row>
    <row r="53623" spans="119:119" x14ac:dyDescent="0.2">
      <c r="DO53623" s="303" t="s">
        <v>232</v>
      </c>
    </row>
    <row r="53624" spans="119:119" x14ac:dyDescent="0.2">
      <c r="DO53624" s="303" t="s">
        <v>232</v>
      </c>
    </row>
    <row r="53625" spans="119:119" x14ac:dyDescent="0.2">
      <c r="DO53625" s="303" t="s">
        <v>232</v>
      </c>
    </row>
    <row r="53626" spans="119:119" x14ac:dyDescent="0.2">
      <c r="DO53626" s="303" t="s">
        <v>232</v>
      </c>
    </row>
    <row r="53627" spans="119:119" x14ac:dyDescent="0.2">
      <c r="DO53627" s="303" t="s">
        <v>232</v>
      </c>
    </row>
    <row r="53628" spans="119:119" x14ac:dyDescent="0.2">
      <c r="DO53628" s="303" t="s">
        <v>232</v>
      </c>
    </row>
    <row r="53629" spans="119:119" x14ac:dyDescent="0.2">
      <c r="DO53629" s="303" t="s">
        <v>232</v>
      </c>
    </row>
    <row r="53630" spans="119:119" x14ac:dyDescent="0.2">
      <c r="DO53630" s="303" t="s">
        <v>232</v>
      </c>
    </row>
    <row r="53631" spans="119:119" x14ac:dyDescent="0.2">
      <c r="DO53631" s="303" t="s">
        <v>232</v>
      </c>
    </row>
    <row r="53632" spans="119:119" x14ac:dyDescent="0.2">
      <c r="DO53632" s="303" t="s">
        <v>232</v>
      </c>
    </row>
    <row r="53633" spans="119:119" x14ac:dyDescent="0.2">
      <c r="DO53633" s="303" t="s">
        <v>232</v>
      </c>
    </row>
    <row r="53634" spans="119:119" x14ac:dyDescent="0.2">
      <c r="DO53634" s="303" t="s">
        <v>232</v>
      </c>
    </row>
    <row r="53635" spans="119:119" x14ac:dyDescent="0.2">
      <c r="DO53635" s="303" t="s">
        <v>232</v>
      </c>
    </row>
    <row r="53636" spans="119:119" x14ac:dyDescent="0.2">
      <c r="DO53636" s="303" t="s">
        <v>232</v>
      </c>
    </row>
    <row r="53637" spans="119:119" x14ac:dyDescent="0.2">
      <c r="DO53637" s="303" t="s">
        <v>232</v>
      </c>
    </row>
    <row r="53638" spans="119:119" x14ac:dyDescent="0.2">
      <c r="DO53638" s="303" t="s">
        <v>232</v>
      </c>
    </row>
    <row r="53639" spans="119:119" x14ac:dyDescent="0.2">
      <c r="DO53639" s="303" t="s">
        <v>232</v>
      </c>
    </row>
    <row r="53640" spans="119:119" x14ac:dyDescent="0.2">
      <c r="DO53640" s="303" t="s">
        <v>232</v>
      </c>
    </row>
    <row r="53641" spans="119:119" x14ac:dyDescent="0.2">
      <c r="DO53641" s="303" t="s">
        <v>232</v>
      </c>
    </row>
    <row r="53642" spans="119:119" x14ac:dyDescent="0.2">
      <c r="DO53642" s="303" t="s">
        <v>232</v>
      </c>
    </row>
    <row r="53643" spans="119:119" x14ac:dyDescent="0.2">
      <c r="DO53643" s="303" t="s">
        <v>232</v>
      </c>
    </row>
    <row r="53644" spans="119:119" x14ac:dyDescent="0.2">
      <c r="DO53644" s="303" t="s">
        <v>232</v>
      </c>
    </row>
    <row r="53645" spans="119:119" x14ac:dyDescent="0.2">
      <c r="DO53645" s="303" t="s">
        <v>232</v>
      </c>
    </row>
    <row r="53646" spans="119:119" x14ac:dyDescent="0.2">
      <c r="DO53646" s="303" t="s">
        <v>232</v>
      </c>
    </row>
    <row r="53647" spans="119:119" x14ac:dyDescent="0.2">
      <c r="DO53647" s="303" t="s">
        <v>232</v>
      </c>
    </row>
    <row r="53648" spans="119:119" x14ac:dyDescent="0.2">
      <c r="DO53648" s="303" t="s">
        <v>232</v>
      </c>
    </row>
    <row r="53649" spans="119:119" x14ac:dyDescent="0.2">
      <c r="DO53649" s="303" t="s">
        <v>232</v>
      </c>
    </row>
    <row r="53650" spans="119:119" x14ac:dyDescent="0.2">
      <c r="DO53650" s="303" t="s">
        <v>232</v>
      </c>
    </row>
    <row r="53651" spans="119:119" x14ac:dyDescent="0.2">
      <c r="DO53651" s="303" t="s">
        <v>232</v>
      </c>
    </row>
    <row r="53652" spans="119:119" x14ac:dyDescent="0.2">
      <c r="DO53652" s="303" t="s">
        <v>232</v>
      </c>
    </row>
    <row r="53653" spans="119:119" x14ac:dyDescent="0.2">
      <c r="DO53653" s="303" t="s">
        <v>232</v>
      </c>
    </row>
    <row r="53654" spans="119:119" x14ac:dyDescent="0.2">
      <c r="DO53654" s="303" t="s">
        <v>232</v>
      </c>
    </row>
    <row r="53655" spans="119:119" x14ac:dyDescent="0.2">
      <c r="DO53655" s="303" t="s">
        <v>232</v>
      </c>
    </row>
    <row r="53656" spans="119:119" x14ac:dyDescent="0.2">
      <c r="DO53656" s="303" t="s">
        <v>232</v>
      </c>
    </row>
    <row r="53657" spans="119:119" x14ac:dyDescent="0.2">
      <c r="DO53657" s="303" t="s">
        <v>232</v>
      </c>
    </row>
    <row r="53658" spans="119:119" x14ac:dyDescent="0.2">
      <c r="DO53658" s="303" t="s">
        <v>232</v>
      </c>
    </row>
    <row r="53659" spans="119:119" x14ac:dyDescent="0.2">
      <c r="DO53659" s="303" t="s">
        <v>232</v>
      </c>
    </row>
    <row r="53660" spans="119:119" x14ac:dyDescent="0.2">
      <c r="DO53660" s="303" t="s">
        <v>232</v>
      </c>
    </row>
    <row r="53661" spans="119:119" x14ac:dyDescent="0.2">
      <c r="DO53661" s="303" t="s">
        <v>232</v>
      </c>
    </row>
    <row r="53662" spans="119:119" x14ac:dyDescent="0.2">
      <c r="DO53662" s="303" t="s">
        <v>232</v>
      </c>
    </row>
    <row r="53663" spans="119:119" x14ac:dyDescent="0.2">
      <c r="DO53663" s="303" t="s">
        <v>232</v>
      </c>
    </row>
    <row r="53664" spans="119:119" x14ac:dyDescent="0.2">
      <c r="DO53664" s="303" t="s">
        <v>232</v>
      </c>
    </row>
    <row r="53665" spans="119:119" x14ac:dyDescent="0.2">
      <c r="DO53665" s="303" t="s">
        <v>232</v>
      </c>
    </row>
    <row r="53666" spans="119:119" x14ac:dyDescent="0.2">
      <c r="DO53666" s="303" t="s">
        <v>232</v>
      </c>
    </row>
    <row r="53667" spans="119:119" x14ac:dyDescent="0.2">
      <c r="DO53667" s="303" t="s">
        <v>232</v>
      </c>
    </row>
    <row r="53668" spans="119:119" x14ac:dyDescent="0.2">
      <c r="DO53668" s="303" t="s">
        <v>232</v>
      </c>
    </row>
    <row r="53669" spans="119:119" x14ac:dyDescent="0.2">
      <c r="DO53669" s="303" t="s">
        <v>232</v>
      </c>
    </row>
    <row r="53670" spans="119:119" x14ac:dyDescent="0.2">
      <c r="DO53670" s="303" t="s">
        <v>232</v>
      </c>
    </row>
    <row r="53671" spans="119:119" x14ac:dyDescent="0.2">
      <c r="DO53671" s="303" t="s">
        <v>232</v>
      </c>
    </row>
    <row r="53672" spans="119:119" x14ac:dyDescent="0.2">
      <c r="DO53672" s="303" t="s">
        <v>232</v>
      </c>
    </row>
    <row r="53673" spans="119:119" x14ac:dyDescent="0.2">
      <c r="DO53673" s="303" t="s">
        <v>232</v>
      </c>
    </row>
    <row r="53674" spans="119:119" x14ac:dyDescent="0.2">
      <c r="DO53674" s="303" t="s">
        <v>232</v>
      </c>
    </row>
    <row r="53675" spans="119:119" x14ac:dyDescent="0.2">
      <c r="DO53675" s="303" t="s">
        <v>232</v>
      </c>
    </row>
    <row r="53676" spans="119:119" x14ac:dyDescent="0.2">
      <c r="DO53676" s="303" t="s">
        <v>232</v>
      </c>
    </row>
    <row r="53677" spans="119:119" x14ac:dyDescent="0.2">
      <c r="DO53677" s="303" t="s">
        <v>232</v>
      </c>
    </row>
    <row r="53678" spans="119:119" x14ac:dyDescent="0.2">
      <c r="DO53678" s="303" t="s">
        <v>232</v>
      </c>
    </row>
    <row r="53679" spans="119:119" x14ac:dyDescent="0.2">
      <c r="DO53679" s="303" t="s">
        <v>232</v>
      </c>
    </row>
    <row r="53680" spans="119:119" x14ac:dyDescent="0.2">
      <c r="DO53680" s="303" t="s">
        <v>232</v>
      </c>
    </row>
    <row r="53681" spans="119:119" x14ac:dyDescent="0.2">
      <c r="DO53681" s="303" t="s">
        <v>232</v>
      </c>
    </row>
    <row r="53682" spans="119:119" x14ac:dyDescent="0.2">
      <c r="DO53682" s="303" t="s">
        <v>232</v>
      </c>
    </row>
    <row r="53683" spans="119:119" x14ac:dyDescent="0.2">
      <c r="DO53683" s="303" t="s">
        <v>232</v>
      </c>
    </row>
    <row r="53684" spans="119:119" x14ac:dyDescent="0.2">
      <c r="DO53684" s="303" t="s">
        <v>232</v>
      </c>
    </row>
    <row r="53685" spans="119:119" x14ac:dyDescent="0.2">
      <c r="DO53685" s="303" t="s">
        <v>232</v>
      </c>
    </row>
    <row r="53686" spans="119:119" x14ac:dyDescent="0.2">
      <c r="DO53686" s="303" t="s">
        <v>232</v>
      </c>
    </row>
    <row r="53687" spans="119:119" x14ac:dyDescent="0.2">
      <c r="DO53687" s="303" t="s">
        <v>232</v>
      </c>
    </row>
    <row r="53688" spans="119:119" x14ac:dyDescent="0.2">
      <c r="DO53688" s="303" t="s">
        <v>232</v>
      </c>
    </row>
    <row r="53689" spans="119:119" x14ac:dyDescent="0.2">
      <c r="DO53689" s="303" t="s">
        <v>232</v>
      </c>
    </row>
    <row r="53690" spans="119:119" x14ac:dyDescent="0.2">
      <c r="DO53690" s="303" t="s">
        <v>232</v>
      </c>
    </row>
    <row r="53691" spans="119:119" x14ac:dyDescent="0.2">
      <c r="DO53691" s="303" t="s">
        <v>232</v>
      </c>
    </row>
    <row r="53692" spans="119:119" x14ac:dyDescent="0.2">
      <c r="DO53692" s="303" t="s">
        <v>232</v>
      </c>
    </row>
    <row r="53693" spans="119:119" x14ac:dyDescent="0.2">
      <c r="DO53693" s="303" t="s">
        <v>232</v>
      </c>
    </row>
    <row r="53694" spans="119:119" x14ac:dyDescent="0.2">
      <c r="DO53694" s="303" t="s">
        <v>232</v>
      </c>
    </row>
    <row r="53695" spans="119:119" x14ac:dyDescent="0.2">
      <c r="DO53695" s="303" t="s">
        <v>232</v>
      </c>
    </row>
    <row r="53696" spans="119:119" x14ac:dyDescent="0.2">
      <c r="DO53696" s="303" t="s">
        <v>232</v>
      </c>
    </row>
    <row r="53697" spans="119:119" x14ac:dyDescent="0.2">
      <c r="DO53697" s="303" t="s">
        <v>232</v>
      </c>
    </row>
    <row r="53698" spans="119:119" x14ac:dyDescent="0.2">
      <c r="DO53698" s="303" t="s">
        <v>232</v>
      </c>
    </row>
    <row r="53699" spans="119:119" x14ac:dyDescent="0.2">
      <c r="DO53699" s="303" t="s">
        <v>232</v>
      </c>
    </row>
    <row r="53700" spans="119:119" x14ac:dyDescent="0.2">
      <c r="DO53700" s="303" t="s">
        <v>232</v>
      </c>
    </row>
    <row r="53701" spans="119:119" x14ac:dyDescent="0.2">
      <c r="DO53701" s="303" t="s">
        <v>232</v>
      </c>
    </row>
    <row r="53702" spans="119:119" x14ac:dyDescent="0.2">
      <c r="DO53702" s="303" t="s">
        <v>232</v>
      </c>
    </row>
    <row r="53703" spans="119:119" x14ac:dyDescent="0.2">
      <c r="DO53703" s="303" t="s">
        <v>232</v>
      </c>
    </row>
    <row r="53704" spans="119:119" x14ac:dyDescent="0.2">
      <c r="DO53704" s="303" t="s">
        <v>232</v>
      </c>
    </row>
    <row r="53705" spans="119:119" x14ac:dyDescent="0.2">
      <c r="DO53705" s="303" t="s">
        <v>232</v>
      </c>
    </row>
    <row r="53706" spans="119:119" x14ac:dyDescent="0.2">
      <c r="DO53706" s="303" t="s">
        <v>232</v>
      </c>
    </row>
    <row r="53707" spans="119:119" x14ac:dyDescent="0.2">
      <c r="DO53707" s="303" t="s">
        <v>232</v>
      </c>
    </row>
    <row r="53708" spans="119:119" x14ac:dyDescent="0.2">
      <c r="DO53708" s="303" t="s">
        <v>232</v>
      </c>
    </row>
    <row r="53709" spans="119:119" x14ac:dyDescent="0.2">
      <c r="DO53709" s="303" t="s">
        <v>232</v>
      </c>
    </row>
    <row r="53710" spans="119:119" x14ac:dyDescent="0.2">
      <c r="DO53710" s="303" t="s">
        <v>232</v>
      </c>
    </row>
    <row r="53711" spans="119:119" x14ac:dyDescent="0.2">
      <c r="DO53711" s="303" t="s">
        <v>232</v>
      </c>
    </row>
    <row r="53712" spans="119:119" x14ac:dyDescent="0.2">
      <c r="DO53712" s="303" t="s">
        <v>232</v>
      </c>
    </row>
    <row r="53713" spans="119:119" x14ac:dyDescent="0.2">
      <c r="DO53713" s="303" t="s">
        <v>232</v>
      </c>
    </row>
    <row r="53714" spans="119:119" x14ac:dyDescent="0.2">
      <c r="DO53714" s="303" t="s">
        <v>232</v>
      </c>
    </row>
    <row r="53715" spans="119:119" x14ac:dyDescent="0.2">
      <c r="DO53715" s="303" t="s">
        <v>232</v>
      </c>
    </row>
    <row r="53716" spans="119:119" x14ac:dyDescent="0.2">
      <c r="DO53716" s="303" t="s">
        <v>232</v>
      </c>
    </row>
    <row r="53717" spans="119:119" x14ac:dyDescent="0.2">
      <c r="DO53717" s="303" t="s">
        <v>232</v>
      </c>
    </row>
    <row r="53718" spans="119:119" x14ac:dyDescent="0.2">
      <c r="DO53718" s="303" t="s">
        <v>232</v>
      </c>
    </row>
    <row r="53719" spans="119:119" x14ac:dyDescent="0.2">
      <c r="DO53719" s="303" t="s">
        <v>232</v>
      </c>
    </row>
    <row r="53720" spans="119:119" x14ac:dyDescent="0.2">
      <c r="DO53720" s="303" t="s">
        <v>232</v>
      </c>
    </row>
    <row r="53721" spans="119:119" x14ac:dyDescent="0.2">
      <c r="DO53721" s="303" t="s">
        <v>232</v>
      </c>
    </row>
    <row r="53722" spans="119:119" x14ac:dyDescent="0.2">
      <c r="DO53722" s="303" t="s">
        <v>232</v>
      </c>
    </row>
    <row r="53723" spans="119:119" x14ac:dyDescent="0.2">
      <c r="DO53723" s="303" t="s">
        <v>232</v>
      </c>
    </row>
    <row r="53724" spans="119:119" x14ac:dyDescent="0.2">
      <c r="DO53724" s="303" t="s">
        <v>232</v>
      </c>
    </row>
    <row r="53725" spans="119:119" x14ac:dyDescent="0.2">
      <c r="DO53725" s="303" t="s">
        <v>232</v>
      </c>
    </row>
    <row r="53726" spans="119:119" x14ac:dyDescent="0.2">
      <c r="DO53726" s="303" t="s">
        <v>232</v>
      </c>
    </row>
    <row r="53727" spans="119:119" x14ac:dyDescent="0.2">
      <c r="DO53727" s="303" t="s">
        <v>232</v>
      </c>
    </row>
    <row r="53728" spans="119:119" x14ac:dyDescent="0.2">
      <c r="DO53728" s="303" t="s">
        <v>232</v>
      </c>
    </row>
    <row r="53729" spans="119:119" x14ac:dyDescent="0.2">
      <c r="DO53729" s="303" t="s">
        <v>232</v>
      </c>
    </row>
    <row r="53730" spans="119:119" x14ac:dyDescent="0.2">
      <c r="DO53730" s="303" t="s">
        <v>232</v>
      </c>
    </row>
    <row r="53731" spans="119:119" x14ac:dyDescent="0.2">
      <c r="DO53731" s="303" t="s">
        <v>232</v>
      </c>
    </row>
    <row r="53732" spans="119:119" x14ac:dyDescent="0.2">
      <c r="DO53732" s="303" t="s">
        <v>232</v>
      </c>
    </row>
    <row r="53733" spans="119:119" x14ac:dyDescent="0.2">
      <c r="DO53733" s="303" t="s">
        <v>232</v>
      </c>
    </row>
    <row r="53734" spans="119:119" x14ac:dyDescent="0.2">
      <c r="DO53734" s="303" t="s">
        <v>232</v>
      </c>
    </row>
    <row r="53735" spans="119:119" x14ac:dyDescent="0.2">
      <c r="DO53735" s="303" t="s">
        <v>232</v>
      </c>
    </row>
    <row r="53736" spans="119:119" x14ac:dyDescent="0.2">
      <c r="DO53736" s="303" t="s">
        <v>232</v>
      </c>
    </row>
    <row r="53737" spans="119:119" x14ac:dyDescent="0.2">
      <c r="DO53737" s="303" t="s">
        <v>232</v>
      </c>
    </row>
    <row r="53738" spans="119:119" x14ac:dyDescent="0.2">
      <c r="DO53738" s="303" t="s">
        <v>232</v>
      </c>
    </row>
    <row r="53739" spans="119:119" x14ac:dyDescent="0.2">
      <c r="DO53739" s="303" t="s">
        <v>232</v>
      </c>
    </row>
    <row r="53740" spans="119:119" x14ac:dyDescent="0.2">
      <c r="DO53740" s="303" t="s">
        <v>232</v>
      </c>
    </row>
    <row r="53741" spans="119:119" x14ac:dyDescent="0.2">
      <c r="DO53741" s="303" t="s">
        <v>232</v>
      </c>
    </row>
    <row r="53742" spans="119:119" x14ac:dyDescent="0.2">
      <c r="DO53742" s="303" t="s">
        <v>232</v>
      </c>
    </row>
    <row r="53743" spans="119:119" x14ac:dyDescent="0.2">
      <c r="DO53743" s="303" t="s">
        <v>232</v>
      </c>
    </row>
    <row r="53744" spans="119:119" x14ac:dyDescent="0.2">
      <c r="DO53744" s="303" t="s">
        <v>232</v>
      </c>
    </row>
    <row r="53745" spans="119:119" x14ac:dyDescent="0.2">
      <c r="DO53745" s="303" t="s">
        <v>232</v>
      </c>
    </row>
    <row r="53746" spans="119:119" x14ac:dyDescent="0.2">
      <c r="DO53746" s="303" t="s">
        <v>232</v>
      </c>
    </row>
    <row r="53747" spans="119:119" x14ac:dyDescent="0.2">
      <c r="DO53747" s="303" t="s">
        <v>232</v>
      </c>
    </row>
    <row r="53748" spans="119:119" x14ac:dyDescent="0.2">
      <c r="DO53748" s="303" t="s">
        <v>232</v>
      </c>
    </row>
    <row r="53749" spans="119:119" x14ac:dyDescent="0.2">
      <c r="DO53749" s="303" t="s">
        <v>232</v>
      </c>
    </row>
    <row r="53750" spans="119:119" x14ac:dyDescent="0.2">
      <c r="DO53750" s="303" t="s">
        <v>232</v>
      </c>
    </row>
    <row r="53751" spans="119:119" x14ac:dyDescent="0.2">
      <c r="DO53751" s="303" t="s">
        <v>232</v>
      </c>
    </row>
    <row r="53752" spans="119:119" x14ac:dyDescent="0.2">
      <c r="DO53752" s="303" t="s">
        <v>232</v>
      </c>
    </row>
    <row r="53753" spans="119:119" x14ac:dyDescent="0.2">
      <c r="DO53753" s="303" t="s">
        <v>232</v>
      </c>
    </row>
    <row r="53754" spans="119:119" x14ac:dyDescent="0.2">
      <c r="DO53754" s="303" t="s">
        <v>232</v>
      </c>
    </row>
    <row r="53755" spans="119:119" x14ac:dyDescent="0.2">
      <c r="DO53755" s="303" t="s">
        <v>232</v>
      </c>
    </row>
    <row r="53756" spans="119:119" x14ac:dyDescent="0.2">
      <c r="DO53756" s="303" t="s">
        <v>232</v>
      </c>
    </row>
    <row r="53757" spans="119:119" x14ac:dyDescent="0.2">
      <c r="DO53757" s="303" t="s">
        <v>232</v>
      </c>
    </row>
    <row r="53758" spans="119:119" x14ac:dyDescent="0.2">
      <c r="DO53758" s="303" t="s">
        <v>232</v>
      </c>
    </row>
    <row r="53759" spans="119:119" x14ac:dyDescent="0.2">
      <c r="DO53759" s="303" t="s">
        <v>232</v>
      </c>
    </row>
    <row r="53760" spans="119:119" x14ac:dyDescent="0.2">
      <c r="DO53760" s="303" t="s">
        <v>232</v>
      </c>
    </row>
    <row r="53761" spans="119:119" x14ac:dyDescent="0.2">
      <c r="DO53761" s="303" t="s">
        <v>232</v>
      </c>
    </row>
    <row r="53762" spans="119:119" x14ac:dyDescent="0.2">
      <c r="DO53762" s="303" t="s">
        <v>232</v>
      </c>
    </row>
    <row r="53763" spans="119:119" x14ac:dyDescent="0.2">
      <c r="DO53763" s="303" t="s">
        <v>232</v>
      </c>
    </row>
    <row r="53764" spans="119:119" x14ac:dyDescent="0.2">
      <c r="DO53764" s="303" t="s">
        <v>232</v>
      </c>
    </row>
    <row r="53765" spans="119:119" x14ac:dyDescent="0.2">
      <c r="DO53765" s="303" t="s">
        <v>232</v>
      </c>
    </row>
    <row r="53766" spans="119:119" x14ac:dyDescent="0.2">
      <c r="DO53766" s="303" t="s">
        <v>232</v>
      </c>
    </row>
    <row r="53767" spans="119:119" x14ac:dyDescent="0.2">
      <c r="DO53767" s="303" t="s">
        <v>232</v>
      </c>
    </row>
    <row r="53768" spans="119:119" x14ac:dyDescent="0.2">
      <c r="DO53768" s="303" t="s">
        <v>232</v>
      </c>
    </row>
    <row r="53769" spans="119:119" x14ac:dyDescent="0.2">
      <c r="DO53769" s="303" t="s">
        <v>232</v>
      </c>
    </row>
    <row r="53770" spans="119:119" x14ac:dyDescent="0.2">
      <c r="DO53770" s="303" t="s">
        <v>232</v>
      </c>
    </row>
    <row r="53771" spans="119:119" x14ac:dyDescent="0.2">
      <c r="DO53771" s="303" t="s">
        <v>232</v>
      </c>
    </row>
    <row r="53772" spans="119:119" x14ac:dyDescent="0.2">
      <c r="DO53772" s="303" t="s">
        <v>232</v>
      </c>
    </row>
    <row r="53773" spans="119:119" x14ac:dyDescent="0.2">
      <c r="DO53773" s="303" t="s">
        <v>232</v>
      </c>
    </row>
    <row r="53774" spans="119:119" x14ac:dyDescent="0.2">
      <c r="DO53774" s="303" t="s">
        <v>232</v>
      </c>
    </row>
    <row r="53775" spans="119:119" x14ac:dyDescent="0.2">
      <c r="DO53775" s="303" t="s">
        <v>232</v>
      </c>
    </row>
    <row r="53776" spans="119:119" x14ac:dyDescent="0.2">
      <c r="DO53776" s="303" t="s">
        <v>232</v>
      </c>
    </row>
    <row r="53777" spans="119:119" x14ac:dyDescent="0.2">
      <c r="DO53777" s="303" t="s">
        <v>232</v>
      </c>
    </row>
    <row r="53778" spans="119:119" x14ac:dyDescent="0.2">
      <c r="DO53778" s="303" t="s">
        <v>232</v>
      </c>
    </row>
    <row r="53779" spans="119:119" x14ac:dyDescent="0.2">
      <c r="DO53779" s="303" t="s">
        <v>232</v>
      </c>
    </row>
    <row r="53780" spans="119:119" x14ac:dyDescent="0.2">
      <c r="DO53780" s="303" t="s">
        <v>232</v>
      </c>
    </row>
    <row r="53781" spans="119:119" x14ac:dyDescent="0.2">
      <c r="DO53781" s="303" t="s">
        <v>232</v>
      </c>
    </row>
    <row r="53782" spans="119:119" x14ac:dyDescent="0.2">
      <c r="DO53782" s="303" t="s">
        <v>232</v>
      </c>
    </row>
    <row r="53783" spans="119:119" x14ac:dyDescent="0.2">
      <c r="DO53783" s="303" t="s">
        <v>232</v>
      </c>
    </row>
    <row r="53784" spans="119:119" x14ac:dyDescent="0.2">
      <c r="DO53784" s="303" t="s">
        <v>232</v>
      </c>
    </row>
    <row r="53785" spans="119:119" x14ac:dyDescent="0.2">
      <c r="DO53785" s="303" t="s">
        <v>232</v>
      </c>
    </row>
    <row r="53786" spans="119:119" x14ac:dyDescent="0.2">
      <c r="DO53786" s="303" t="s">
        <v>232</v>
      </c>
    </row>
    <row r="53787" spans="119:119" x14ac:dyDescent="0.2">
      <c r="DO53787" s="303" t="s">
        <v>232</v>
      </c>
    </row>
    <row r="53788" spans="119:119" x14ac:dyDescent="0.2">
      <c r="DO53788" s="303" t="s">
        <v>232</v>
      </c>
    </row>
    <row r="53789" spans="119:119" x14ac:dyDescent="0.2">
      <c r="DO53789" s="303" t="s">
        <v>232</v>
      </c>
    </row>
    <row r="53790" spans="119:119" x14ac:dyDescent="0.2">
      <c r="DO53790" s="303" t="s">
        <v>232</v>
      </c>
    </row>
    <row r="53791" spans="119:119" x14ac:dyDescent="0.2">
      <c r="DO53791" s="303" t="s">
        <v>232</v>
      </c>
    </row>
    <row r="53792" spans="119:119" x14ac:dyDescent="0.2">
      <c r="DO53792" s="303" t="s">
        <v>232</v>
      </c>
    </row>
    <row r="53793" spans="119:119" x14ac:dyDescent="0.2">
      <c r="DO53793" s="303" t="s">
        <v>232</v>
      </c>
    </row>
    <row r="53794" spans="119:119" x14ac:dyDescent="0.2">
      <c r="DO53794" s="303" t="s">
        <v>232</v>
      </c>
    </row>
    <row r="53795" spans="119:119" x14ac:dyDescent="0.2">
      <c r="DO53795" s="303" t="s">
        <v>232</v>
      </c>
    </row>
    <row r="53796" spans="119:119" x14ac:dyDescent="0.2">
      <c r="DO53796" s="303" t="s">
        <v>232</v>
      </c>
    </row>
    <row r="53797" spans="119:119" x14ac:dyDescent="0.2">
      <c r="DO53797" s="303" t="s">
        <v>232</v>
      </c>
    </row>
    <row r="53798" spans="119:119" x14ac:dyDescent="0.2">
      <c r="DO53798" s="303" t="s">
        <v>232</v>
      </c>
    </row>
    <row r="53799" spans="119:119" x14ac:dyDescent="0.2">
      <c r="DO53799" s="303" t="s">
        <v>232</v>
      </c>
    </row>
    <row r="53800" spans="119:119" x14ac:dyDescent="0.2">
      <c r="DO53800" s="303" t="s">
        <v>232</v>
      </c>
    </row>
    <row r="53801" spans="119:119" x14ac:dyDescent="0.2">
      <c r="DO53801" s="303" t="s">
        <v>232</v>
      </c>
    </row>
    <row r="53802" spans="119:119" x14ac:dyDescent="0.2">
      <c r="DO53802" s="303" t="s">
        <v>232</v>
      </c>
    </row>
    <row r="53803" spans="119:119" x14ac:dyDescent="0.2">
      <c r="DO53803" s="303" t="s">
        <v>232</v>
      </c>
    </row>
    <row r="53804" spans="119:119" x14ac:dyDescent="0.2">
      <c r="DO53804" s="303" t="s">
        <v>232</v>
      </c>
    </row>
    <row r="53805" spans="119:119" x14ac:dyDescent="0.2">
      <c r="DO53805" s="303" t="s">
        <v>232</v>
      </c>
    </row>
    <row r="53806" spans="119:119" x14ac:dyDescent="0.2">
      <c r="DO53806" s="303" t="s">
        <v>232</v>
      </c>
    </row>
    <row r="53807" spans="119:119" x14ac:dyDescent="0.2">
      <c r="DO53807" s="303" t="s">
        <v>232</v>
      </c>
    </row>
    <row r="53808" spans="119:119" x14ac:dyDescent="0.2">
      <c r="DO53808" s="303" t="s">
        <v>232</v>
      </c>
    </row>
    <row r="53809" spans="119:119" x14ac:dyDescent="0.2">
      <c r="DO53809" s="303" t="s">
        <v>232</v>
      </c>
    </row>
    <row r="53810" spans="119:119" x14ac:dyDescent="0.2">
      <c r="DO53810" s="303" t="s">
        <v>232</v>
      </c>
    </row>
    <row r="53811" spans="119:119" x14ac:dyDescent="0.2">
      <c r="DO53811" s="303" t="s">
        <v>232</v>
      </c>
    </row>
    <row r="53812" spans="119:119" x14ac:dyDescent="0.2">
      <c r="DO53812" s="303" t="s">
        <v>232</v>
      </c>
    </row>
    <row r="53813" spans="119:119" x14ac:dyDescent="0.2">
      <c r="DO53813" s="303" t="s">
        <v>232</v>
      </c>
    </row>
    <row r="53814" spans="119:119" x14ac:dyDescent="0.2">
      <c r="DO53814" s="303" t="s">
        <v>232</v>
      </c>
    </row>
    <row r="53815" spans="119:119" x14ac:dyDescent="0.2">
      <c r="DO53815" s="303" t="s">
        <v>232</v>
      </c>
    </row>
    <row r="53816" spans="119:119" x14ac:dyDescent="0.2">
      <c r="DO53816" s="303" t="s">
        <v>232</v>
      </c>
    </row>
    <row r="53817" spans="119:119" x14ac:dyDescent="0.2">
      <c r="DO53817" s="303" t="s">
        <v>232</v>
      </c>
    </row>
    <row r="53818" spans="119:119" x14ac:dyDescent="0.2">
      <c r="DO53818" s="303" t="s">
        <v>232</v>
      </c>
    </row>
    <row r="53819" spans="119:119" x14ac:dyDescent="0.2">
      <c r="DO53819" s="303" t="s">
        <v>232</v>
      </c>
    </row>
    <row r="53820" spans="119:119" x14ac:dyDescent="0.2">
      <c r="DO53820" s="303" t="s">
        <v>232</v>
      </c>
    </row>
    <row r="53821" spans="119:119" x14ac:dyDescent="0.2">
      <c r="DO53821" s="303" t="s">
        <v>232</v>
      </c>
    </row>
    <row r="53822" spans="119:119" x14ac:dyDescent="0.2">
      <c r="DO53822" s="303" t="s">
        <v>232</v>
      </c>
    </row>
    <row r="53823" spans="119:119" x14ac:dyDescent="0.2">
      <c r="DO53823" s="303" t="s">
        <v>232</v>
      </c>
    </row>
    <row r="53824" spans="119:119" x14ac:dyDescent="0.2">
      <c r="DO53824" s="303" t="s">
        <v>232</v>
      </c>
    </row>
    <row r="53825" spans="119:119" x14ac:dyDescent="0.2">
      <c r="DO53825" s="303" t="s">
        <v>232</v>
      </c>
    </row>
    <row r="53826" spans="119:119" x14ac:dyDescent="0.2">
      <c r="DO53826" s="303" t="s">
        <v>232</v>
      </c>
    </row>
    <row r="53827" spans="119:119" x14ac:dyDescent="0.2">
      <c r="DO53827" s="303" t="s">
        <v>232</v>
      </c>
    </row>
    <row r="53828" spans="119:119" x14ac:dyDescent="0.2">
      <c r="DO53828" s="303" t="s">
        <v>232</v>
      </c>
    </row>
    <row r="53829" spans="119:119" x14ac:dyDescent="0.2">
      <c r="DO53829" s="303" t="s">
        <v>232</v>
      </c>
    </row>
    <row r="53830" spans="119:119" x14ac:dyDescent="0.2">
      <c r="DO53830" s="303" t="s">
        <v>232</v>
      </c>
    </row>
    <row r="53831" spans="119:119" x14ac:dyDescent="0.2">
      <c r="DO53831" s="303" t="s">
        <v>232</v>
      </c>
    </row>
    <row r="53832" spans="119:119" x14ac:dyDescent="0.2">
      <c r="DO53832" s="303" t="s">
        <v>232</v>
      </c>
    </row>
    <row r="53833" spans="119:119" x14ac:dyDescent="0.2">
      <c r="DO53833" s="303" t="s">
        <v>232</v>
      </c>
    </row>
    <row r="53834" spans="119:119" x14ac:dyDescent="0.2">
      <c r="DO53834" s="303" t="s">
        <v>232</v>
      </c>
    </row>
    <row r="53835" spans="119:119" x14ac:dyDescent="0.2">
      <c r="DO53835" s="303" t="s">
        <v>232</v>
      </c>
    </row>
    <row r="53836" spans="119:119" x14ac:dyDescent="0.2">
      <c r="DO53836" s="303" t="s">
        <v>232</v>
      </c>
    </row>
    <row r="53837" spans="119:119" x14ac:dyDescent="0.2">
      <c r="DO53837" s="303" t="s">
        <v>232</v>
      </c>
    </row>
    <row r="53838" spans="119:119" x14ac:dyDescent="0.2">
      <c r="DO53838" s="303" t="s">
        <v>232</v>
      </c>
    </row>
    <row r="53839" spans="119:119" x14ac:dyDescent="0.2">
      <c r="DO53839" s="303" t="s">
        <v>232</v>
      </c>
    </row>
    <row r="53840" spans="119:119" x14ac:dyDescent="0.2">
      <c r="DO53840" s="303" t="s">
        <v>232</v>
      </c>
    </row>
    <row r="53841" spans="119:119" x14ac:dyDescent="0.2">
      <c r="DO53841" s="303" t="s">
        <v>232</v>
      </c>
    </row>
    <row r="53842" spans="119:119" x14ac:dyDescent="0.2">
      <c r="DO53842" s="303" t="s">
        <v>232</v>
      </c>
    </row>
    <row r="53843" spans="119:119" x14ac:dyDescent="0.2">
      <c r="DO53843" s="303" t="s">
        <v>232</v>
      </c>
    </row>
    <row r="53844" spans="119:119" x14ac:dyDescent="0.2">
      <c r="DO53844" s="303" t="s">
        <v>232</v>
      </c>
    </row>
    <row r="53845" spans="119:119" x14ac:dyDescent="0.2">
      <c r="DO53845" s="303" t="s">
        <v>232</v>
      </c>
    </row>
    <row r="53846" spans="119:119" x14ac:dyDescent="0.2">
      <c r="DO53846" s="303" t="s">
        <v>232</v>
      </c>
    </row>
    <row r="53847" spans="119:119" x14ac:dyDescent="0.2">
      <c r="DO53847" s="303" t="s">
        <v>232</v>
      </c>
    </row>
    <row r="53848" spans="119:119" x14ac:dyDescent="0.2">
      <c r="DO53848" s="303" t="s">
        <v>232</v>
      </c>
    </row>
    <row r="53849" spans="119:119" x14ac:dyDescent="0.2">
      <c r="DO53849" s="303" t="s">
        <v>232</v>
      </c>
    </row>
    <row r="53850" spans="119:119" x14ac:dyDescent="0.2">
      <c r="DO53850" s="303" t="s">
        <v>232</v>
      </c>
    </row>
    <row r="53851" spans="119:119" x14ac:dyDescent="0.2">
      <c r="DO53851" s="303" t="s">
        <v>232</v>
      </c>
    </row>
    <row r="53852" spans="119:119" x14ac:dyDescent="0.2">
      <c r="DO53852" s="303" t="s">
        <v>232</v>
      </c>
    </row>
    <row r="53853" spans="119:119" x14ac:dyDescent="0.2">
      <c r="DO53853" s="303" t="s">
        <v>232</v>
      </c>
    </row>
    <row r="53854" spans="119:119" x14ac:dyDescent="0.2">
      <c r="DO53854" s="303" t="s">
        <v>232</v>
      </c>
    </row>
    <row r="53855" spans="119:119" x14ac:dyDescent="0.2">
      <c r="DO53855" s="303" t="s">
        <v>232</v>
      </c>
    </row>
    <row r="53856" spans="119:119" x14ac:dyDescent="0.2">
      <c r="DO53856" s="303" t="s">
        <v>232</v>
      </c>
    </row>
    <row r="53857" spans="119:119" x14ac:dyDescent="0.2">
      <c r="DO53857" s="303" t="s">
        <v>232</v>
      </c>
    </row>
    <row r="53858" spans="119:119" x14ac:dyDescent="0.2">
      <c r="DO53858" s="303" t="s">
        <v>232</v>
      </c>
    </row>
    <row r="53859" spans="119:119" x14ac:dyDescent="0.2">
      <c r="DO53859" s="303" t="s">
        <v>232</v>
      </c>
    </row>
    <row r="53860" spans="119:119" x14ac:dyDescent="0.2">
      <c r="DO53860" s="303" t="s">
        <v>232</v>
      </c>
    </row>
    <row r="53861" spans="119:119" x14ac:dyDescent="0.2">
      <c r="DO53861" s="303" t="s">
        <v>232</v>
      </c>
    </row>
    <row r="53862" spans="119:119" x14ac:dyDescent="0.2">
      <c r="DO53862" s="303" t="s">
        <v>232</v>
      </c>
    </row>
    <row r="53863" spans="119:119" x14ac:dyDescent="0.2">
      <c r="DO53863" s="303" t="s">
        <v>232</v>
      </c>
    </row>
    <row r="53864" spans="119:119" x14ac:dyDescent="0.2">
      <c r="DO53864" s="303" t="s">
        <v>232</v>
      </c>
    </row>
    <row r="53865" spans="119:119" x14ac:dyDescent="0.2">
      <c r="DO53865" s="303" t="s">
        <v>232</v>
      </c>
    </row>
    <row r="53866" spans="119:119" x14ac:dyDescent="0.2">
      <c r="DO53866" s="303" t="s">
        <v>232</v>
      </c>
    </row>
    <row r="53867" spans="119:119" x14ac:dyDescent="0.2">
      <c r="DO53867" s="303" t="s">
        <v>232</v>
      </c>
    </row>
    <row r="53868" spans="119:119" x14ac:dyDescent="0.2">
      <c r="DO53868" s="303" t="s">
        <v>232</v>
      </c>
    </row>
    <row r="53869" spans="119:119" x14ac:dyDescent="0.2">
      <c r="DO53869" s="303" t="s">
        <v>232</v>
      </c>
    </row>
    <row r="53870" spans="119:119" x14ac:dyDescent="0.2">
      <c r="DO53870" s="303" t="s">
        <v>232</v>
      </c>
    </row>
    <row r="53871" spans="119:119" x14ac:dyDescent="0.2">
      <c r="DO53871" s="303" t="s">
        <v>232</v>
      </c>
    </row>
    <row r="53872" spans="119:119" x14ac:dyDescent="0.2">
      <c r="DO53872" s="303" t="s">
        <v>232</v>
      </c>
    </row>
    <row r="53873" spans="119:119" x14ac:dyDescent="0.2">
      <c r="DO53873" s="303" t="s">
        <v>232</v>
      </c>
    </row>
    <row r="53874" spans="119:119" x14ac:dyDescent="0.2">
      <c r="DO53874" s="303" t="s">
        <v>232</v>
      </c>
    </row>
    <row r="53875" spans="119:119" x14ac:dyDescent="0.2">
      <c r="DO53875" s="303" t="s">
        <v>232</v>
      </c>
    </row>
    <row r="53876" spans="119:119" x14ac:dyDescent="0.2">
      <c r="DO53876" s="303" t="s">
        <v>232</v>
      </c>
    </row>
    <row r="53877" spans="119:119" x14ac:dyDescent="0.2">
      <c r="DO53877" s="303" t="s">
        <v>232</v>
      </c>
    </row>
    <row r="53878" spans="119:119" x14ac:dyDescent="0.2">
      <c r="DO53878" s="303" t="s">
        <v>232</v>
      </c>
    </row>
    <row r="53879" spans="119:119" x14ac:dyDescent="0.2">
      <c r="DO53879" s="303" t="s">
        <v>232</v>
      </c>
    </row>
    <row r="53880" spans="119:119" x14ac:dyDescent="0.2">
      <c r="DO53880" s="303" t="s">
        <v>232</v>
      </c>
    </row>
    <row r="53881" spans="119:119" x14ac:dyDescent="0.2">
      <c r="DO53881" s="303" t="s">
        <v>232</v>
      </c>
    </row>
    <row r="53882" spans="119:119" x14ac:dyDescent="0.2">
      <c r="DO53882" s="303" t="s">
        <v>232</v>
      </c>
    </row>
    <row r="53883" spans="119:119" x14ac:dyDescent="0.2">
      <c r="DO53883" s="303" t="s">
        <v>232</v>
      </c>
    </row>
    <row r="53884" spans="119:119" x14ac:dyDescent="0.2">
      <c r="DO53884" s="303" t="s">
        <v>232</v>
      </c>
    </row>
    <row r="53885" spans="119:119" x14ac:dyDescent="0.2">
      <c r="DO53885" s="303" t="s">
        <v>232</v>
      </c>
    </row>
    <row r="53886" spans="119:119" x14ac:dyDescent="0.2">
      <c r="DO53886" s="303" t="s">
        <v>232</v>
      </c>
    </row>
    <row r="53887" spans="119:119" x14ac:dyDescent="0.2">
      <c r="DO53887" s="303" t="s">
        <v>232</v>
      </c>
    </row>
    <row r="53888" spans="119:119" x14ac:dyDescent="0.2">
      <c r="DO53888" s="303" t="s">
        <v>232</v>
      </c>
    </row>
    <row r="53889" spans="119:119" x14ac:dyDescent="0.2">
      <c r="DO53889" s="303" t="s">
        <v>232</v>
      </c>
    </row>
    <row r="53890" spans="119:119" x14ac:dyDescent="0.2">
      <c r="DO53890" s="303" t="s">
        <v>232</v>
      </c>
    </row>
    <row r="53891" spans="119:119" x14ac:dyDescent="0.2">
      <c r="DO53891" s="303" t="s">
        <v>232</v>
      </c>
    </row>
    <row r="53892" spans="119:119" x14ac:dyDescent="0.2">
      <c r="DO53892" s="303" t="s">
        <v>232</v>
      </c>
    </row>
    <row r="53893" spans="119:119" x14ac:dyDescent="0.2">
      <c r="DO53893" s="303" t="s">
        <v>232</v>
      </c>
    </row>
    <row r="53894" spans="119:119" x14ac:dyDescent="0.2">
      <c r="DO53894" s="303" t="s">
        <v>232</v>
      </c>
    </row>
    <row r="53895" spans="119:119" x14ac:dyDescent="0.2">
      <c r="DO53895" s="303" t="s">
        <v>232</v>
      </c>
    </row>
    <row r="53896" spans="119:119" x14ac:dyDescent="0.2">
      <c r="DO53896" s="303" t="s">
        <v>232</v>
      </c>
    </row>
    <row r="53897" spans="119:119" x14ac:dyDescent="0.2">
      <c r="DO53897" s="303" t="s">
        <v>232</v>
      </c>
    </row>
    <row r="53898" spans="119:119" x14ac:dyDescent="0.2">
      <c r="DO53898" s="303" t="s">
        <v>232</v>
      </c>
    </row>
    <row r="53899" spans="119:119" x14ac:dyDescent="0.2">
      <c r="DO53899" s="303" t="s">
        <v>232</v>
      </c>
    </row>
    <row r="53900" spans="119:119" x14ac:dyDescent="0.2">
      <c r="DO53900" s="303" t="s">
        <v>232</v>
      </c>
    </row>
    <row r="53901" spans="119:119" x14ac:dyDescent="0.2">
      <c r="DO53901" s="303" t="s">
        <v>232</v>
      </c>
    </row>
    <row r="53902" spans="119:119" x14ac:dyDescent="0.2">
      <c r="DO53902" s="303" t="s">
        <v>232</v>
      </c>
    </row>
    <row r="53903" spans="119:119" x14ac:dyDescent="0.2">
      <c r="DO53903" s="303" t="s">
        <v>232</v>
      </c>
    </row>
    <row r="53904" spans="119:119" x14ac:dyDescent="0.2">
      <c r="DO53904" s="303" t="s">
        <v>232</v>
      </c>
    </row>
    <row r="53905" spans="119:119" x14ac:dyDescent="0.2">
      <c r="DO53905" s="303" t="s">
        <v>232</v>
      </c>
    </row>
    <row r="53906" spans="119:119" x14ac:dyDescent="0.2">
      <c r="DO53906" s="303" t="s">
        <v>232</v>
      </c>
    </row>
    <row r="53907" spans="119:119" x14ac:dyDescent="0.2">
      <c r="DO53907" s="303" t="s">
        <v>232</v>
      </c>
    </row>
    <row r="53908" spans="119:119" x14ac:dyDescent="0.2">
      <c r="DO53908" s="303" t="s">
        <v>232</v>
      </c>
    </row>
    <row r="53909" spans="119:119" x14ac:dyDescent="0.2">
      <c r="DO53909" s="303" t="s">
        <v>232</v>
      </c>
    </row>
    <row r="53910" spans="119:119" x14ac:dyDescent="0.2">
      <c r="DO53910" s="303" t="s">
        <v>232</v>
      </c>
    </row>
    <row r="53911" spans="119:119" x14ac:dyDescent="0.2">
      <c r="DO53911" s="303" t="s">
        <v>232</v>
      </c>
    </row>
    <row r="53912" spans="119:119" x14ac:dyDescent="0.2">
      <c r="DO53912" s="303" t="s">
        <v>232</v>
      </c>
    </row>
    <row r="53913" spans="119:119" x14ac:dyDescent="0.2">
      <c r="DO53913" s="303" t="s">
        <v>232</v>
      </c>
    </row>
    <row r="53914" spans="119:119" x14ac:dyDescent="0.2">
      <c r="DO53914" s="303" t="s">
        <v>232</v>
      </c>
    </row>
    <row r="53915" spans="119:119" x14ac:dyDescent="0.2">
      <c r="DO53915" s="303" t="s">
        <v>232</v>
      </c>
    </row>
    <row r="53916" spans="119:119" x14ac:dyDescent="0.2">
      <c r="DO53916" s="303" t="s">
        <v>232</v>
      </c>
    </row>
    <row r="53917" spans="119:119" x14ac:dyDescent="0.2">
      <c r="DO53917" s="303" t="s">
        <v>232</v>
      </c>
    </row>
    <row r="53918" spans="119:119" x14ac:dyDescent="0.2">
      <c r="DO53918" s="303" t="s">
        <v>232</v>
      </c>
    </row>
    <row r="53919" spans="119:119" x14ac:dyDescent="0.2">
      <c r="DO53919" s="303" t="s">
        <v>232</v>
      </c>
    </row>
    <row r="53920" spans="119:119" x14ac:dyDescent="0.2">
      <c r="DO53920" s="303" t="s">
        <v>232</v>
      </c>
    </row>
    <row r="53921" spans="119:119" x14ac:dyDescent="0.2">
      <c r="DO53921" s="303" t="s">
        <v>232</v>
      </c>
    </row>
    <row r="53922" spans="119:119" x14ac:dyDescent="0.2">
      <c r="DO53922" s="303" t="s">
        <v>232</v>
      </c>
    </row>
    <row r="53923" spans="119:119" x14ac:dyDescent="0.2">
      <c r="DO53923" s="303" t="s">
        <v>232</v>
      </c>
    </row>
    <row r="53924" spans="119:119" x14ac:dyDescent="0.2">
      <c r="DO53924" s="303" t="s">
        <v>232</v>
      </c>
    </row>
    <row r="53925" spans="119:119" x14ac:dyDescent="0.2">
      <c r="DO53925" s="303" t="s">
        <v>232</v>
      </c>
    </row>
    <row r="53926" spans="119:119" x14ac:dyDescent="0.2">
      <c r="DO53926" s="303" t="s">
        <v>232</v>
      </c>
    </row>
    <row r="53927" spans="119:119" x14ac:dyDescent="0.2">
      <c r="DO53927" s="303" t="s">
        <v>232</v>
      </c>
    </row>
    <row r="53928" spans="119:119" x14ac:dyDescent="0.2">
      <c r="DO53928" s="303" t="s">
        <v>232</v>
      </c>
    </row>
    <row r="53929" spans="119:119" x14ac:dyDescent="0.2">
      <c r="DO53929" s="303" t="s">
        <v>232</v>
      </c>
    </row>
    <row r="53930" spans="119:119" x14ac:dyDescent="0.2">
      <c r="DO53930" s="303" t="s">
        <v>232</v>
      </c>
    </row>
    <row r="53931" spans="119:119" x14ac:dyDescent="0.2">
      <c r="DO53931" s="303" t="s">
        <v>232</v>
      </c>
    </row>
    <row r="53932" spans="119:119" x14ac:dyDescent="0.2">
      <c r="DO53932" s="303" t="s">
        <v>232</v>
      </c>
    </row>
    <row r="53933" spans="119:119" x14ac:dyDescent="0.2">
      <c r="DO53933" s="303" t="s">
        <v>232</v>
      </c>
    </row>
    <row r="53934" spans="119:119" x14ac:dyDescent="0.2">
      <c r="DO53934" s="303" t="s">
        <v>232</v>
      </c>
    </row>
    <row r="53935" spans="119:119" x14ac:dyDescent="0.2">
      <c r="DO53935" s="303" t="s">
        <v>232</v>
      </c>
    </row>
    <row r="53936" spans="119:119" x14ac:dyDescent="0.2">
      <c r="DO53936" s="303" t="s">
        <v>232</v>
      </c>
    </row>
    <row r="53937" spans="119:119" x14ac:dyDescent="0.2">
      <c r="DO53937" s="303" t="s">
        <v>232</v>
      </c>
    </row>
    <row r="53938" spans="119:119" x14ac:dyDescent="0.2">
      <c r="DO53938" s="303" t="s">
        <v>232</v>
      </c>
    </row>
    <row r="53939" spans="119:119" x14ac:dyDescent="0.2">
      <c r="DO53939" s="303" t="s">
        <v>232</v>
      </c>
    </row>
    <row r="53940" spans="119:119" x14ac:dyDescent="0.2">
      <c r="DO53940" s="303" t="s">
        <v>232</v>
      </c>
    </row>
    <row r="53941" spans="119:119" x14ac:dyDescent="0.2">
      <c r="DO53941" s="303" t="s">
        <v>232</v>
      </c>
    </row>
    <row r="53942" spans="119:119" x14ac:dyDescent="0.2">
      <c r="DO53942" s="303" t="s">
        <v>232</v>
      </c>
    </row>
    <row r="53943" spans="119:119" x14ac:dyDescent="0.2">
      <c r="DO53943" s="303" t="s">
        <v>232</v>
      </c>
    </row>
    <row r="53944" spans="119:119" x14ac:dyDescent="0.2">
      <c r="DO53944" s="303" t="s">
        <v>232</v>
      </c>
    </row>
    <row r="53945" spans="119:119" x14ac:dyDescent="0.2">
      <c r="DO53945" s="303" t="s">
        <v>232</v>
      </c>
    </row>
    <row r="53946" spans="119:119" x14ac:dyDescent="0.2">
      <c r="DO53946" s="303" t="s">
        <v>232</v>
      </c>
    </row>
    <row r="53947" spans="119:119" x14ac:dyDescent="0.2">
      <c r="DO53947" s="303" t="s">
        <v>232</v>
      </c>
    </row>
    <row r="53948" spans="119:119" x14ac:dyDescent="0.2">
      <c r="DO53948" s="303" t="s">
        <v>232</v>
      </c>
    </row>
    <row r="53949" spans="119:119" x14ac:dyDescent="0.2">
      <c r="DO53949" s="303" t="s">
        <v>232</v>
      </c>
    </row>
    <row r="53950" spans="119:119" x14ac:dyDescent="0.2">
      <c r="DO53950" s="303" t="s">
        <v>232</v>
      </c>
    </row>
    <row r="53951" spans="119:119" x14ac:dyDescent="0.2">
      <c r="DO53951" s="303" t="s">
        <v>232</v>
      </c>
    </row>
    <row r="53952" spans="119:119" x14ac:dyDescent="0.2">
      <c r="DO53952" s="303" t="s">
        <v>232</v>
      </c>
    </row>
    <row r="53953" spans="119:119" x14ac:dyDescent="0.2">
      <c r="DO53953" s="303" t="s">
        <v>232</v>
      </c>
    </row>
    <row r="53954" spans="119:119" x14ac:dyDescent="0.2">
      <c r="DO53954" s="303" t="s">
        <v>232</v>
      </c>
    </row>
    <row r="53955" spans="119:119" x14ac:dyDescent="0.2">
      <c r="DO53955" s="303" t="s">
        <v>232</v>
      </c>
    </row>
    <row r="53956" spans="119:119" x14ac:dyDescent="0.2">
      <c r="DO53956" s="303" t="s">
        <v>232</v>
      </c>
    </row>
    <row r="53957" spans="119:119" x14ac:dyDescent="0.2">
      <c r="DO53957" s="303" t="s">
        <v>232</v>
      </c>
    </row>
    <row r="53958" spans="119:119" x14ac:dyDescent="0.2">
      <c r="DO53958" s="303" t="s">
        <v>232</v>
      </c>
    </row>
    <row r="53959" spans="119:119" x14ac:dyDescent="0.2">
      <c r="DO53959" s="303" t="s">
        <v>232</v>
      </c>
    </row>
    <row r="53960" spans="119:119" x14ac:dyDescent="0.2">
      <c r="DO53960" s="303" t="s">
        <v>232</v>
      </c>
    </row>
    <row r="53961" spans="119:119" x14ac:dyDescent="0.2">
      <c r="DO53961" s="303" t="s">
        <v>232</v>
      </c>
    </row>
    <row r="53962" spans="119:119" x14ac:dyDescent="0.2">
      <c r="DO53962" s="303" t="s">
        <v>232</v>
      </c>
    </row>
    <row r="53963" spans="119:119" x14ac:dyDescent="0.2">
      <c r="DO53963" s="303" t="s">
        <v>232</v>
      </c>
    </row>
    <row r="53964" spans="119:119" x14ac:dyDescent="0.2">
      <c r="DO53964" s="303" t="s">
        <v>232</v>
      </c>
    </row>
    <row r="53965" spans="119:119" x14ac:dyDescent="0.2">
      <c r="DO53965" s="303" t="s">
        <v>232</v>
      </c>
    </row>
    <row r="53966" spans="119:119" x14ac:dyDescent="0.2">
      <c r="DO53966" s="303" t="s">
        <v>232</v>
      </c>
    </row>
    <row r="53967" spans="119:119" x14ac:dyDescent="0.2">
      <c r="DO53967" s="303" t="s">
        <v>232</v>
      </c>
    </row>
    <row r="53968" spans="119:119" x14ac:dyDescent="0.2">
      <c r="DO53968" s="303" t="s">
        <v>232</v>
      </c>
    </row>
    <row r="53969" spans="119:119" x14ac:dyDescent="0.2">
      <c r="DO53969" s="303" t="s">
        <v>232</v>
      </c>
    </row>
    <row r="53970" spans="119:119" x14ac:dyDescent="0.2">
      <c r="DO53970" s="303" t="s">
        <v>232</v>
      </c>
    </row>
    <row r="53971" spans="119:119" x14ac:dyDescent="0.2">
      <c r="DO53971" s="303" t="s">
        <v>232</v>
      </c>
    </row>
    <row r="53972" spans="119:119" x14ac:dyDescent="0.2">
      <c r="DO53972" s="303" t="s">
        <v>232</v>
      </c>
    </row>
    <row r="53973" spans="119:119" x14ac:dyDescent="0.2">
      <c r="DO53973" s="303" t="s">
        <v>232</v>
      </c>
    </row>
    <row r="53974" spans="119:119" x14ac:dyDescent="0.2">
      <c r="DO53974" s="303" t="s">
        <v>232</v>
      </c>
    </row>
    <row r="53975" spans="119:119" x14ac:dyDescent="0.2">
      <c r="DO53975" s="303" t="s">
        <v>232</v>
      </c>
    </row>
    <row r="53976" spans="119:119" x14ac:dyDescent="0.2">
      <c r="DO53976" s="303" t="s">
        <v>232</v>
      </c>
    </row>
    <row r="53977" spans="119:119" x14ac:dyDescent="0.2">
      <c r="DO53977" s="303" t="s">
        <v>232</v>
      </c>
    </row>
    <row r="53978" spans="119:119" x14ac:dyDescent="0.2">
      <c r="DO53978" s="303" t="s">
        <v>232</v>
      </c>
    </row>
    <row r="53979" spans="119:119" x14ac:dyDescent="0.2">
      <c r="DO53979" s="303" t="s">
        <v>232</v>
      </c>
    </row>
    <row r="53980" spans="119:119" x14ac:dyDescent="0.2">
      <c r="DO53980" s="303" t="s">
        <v>232</v>
      </c>
    </row>
    <row r="53981" spans="119:119" x14ac:dyDescent="0.2">
      <c r="DO53981" s="303" t="s">
        <v>232</v>
      </c>
    </row>
    <row r="53982" spans="119:119" x14ac:dyDescent="0.2">
      <c r="DO53982" s="303" t="s">
        <v>232</v>
      </c>
    </row>
    <row r="53983" spans="119:119" x14ac:dyDescent="0.2">
      <c r="DO53983" s="303" t="s">
        <v>232</v>
      </c>
    </row>
    <row r="53984" spans="119:119" x14ac:dyDescent="0.2">
      <c r="DO53984" s="303" t="s">
        <v>232</v>
      </c>
    </row>
    <row r="53985" spans="119:119" x14ac:dyDescent="0.2">
      <c r="DO53985" s="303" t="s">
        <v>232</v>
      </c>
    </row>
    <row r="53986" spans="119:119" x14ac:dyDescent="0.2">
      <c r="DO53986" s="303" t="s">
        <v>232</v>
      </c>
    </row>
    <row r="53987" spans="119:119" x14ac:dyDescent="0.2">
      <c r="DO53987" s="303" t="s">
        <v>232</v>
      </c>
    </row>
    <row r="53988" spans="119:119" x14ac:dyDescent="0.2">
      <c r="DO53988" s="303" t="s">
        <v>232</v>
      </c>
    </row>
    <row r="53989" spans="119:119" x14ac:dyDescent="0.2">
      <c r="DO53989" s="303" t="s">
        <v>232</v>
      </c>
    </row>
    <row r="53990" spans="119:119" x14ac:dyDescent="0.2">
      <c r="DO53990" s="303" t="s">
        <v>232</v>
      </c>
    </row>
    <row r="53991" spans="119:119" x14ac:dyDescent="0.2">
      <c r="DO53991" s="303" t="s">
        <v>232</v>
      </c>
    </row>
    <row r="53992" spans="119:119" x14ac:dyDescent="0.2">
      <c r="DO53992" s="303" t="s">
        <v>232</v>
      </c>
    </row>
    <row r="53993" spans="119:119" x14ac:dyDescent="0.2">
      <c r="DO53993" s="303" t="s">
        <v>232</v>
      </c>
    </row>
    <row r="53994" spans="119:119" x14ac:dyDescent="0.2">
      <c r="DO53994" s="303" t="s">
        <v>232</v>
      </c>
    </row>
    <row r="53995" spans="119:119" x14ac:dyDescent="0.2">
      <c r="DO53995" s="303" t="s">
        <v>232</v>
      </c>
    </row>
    <row r="53996" spans="119:119" x14ac:dyDescent="0.2">
      <c r="DO53996" s="303" t="s">
        <v>232</v>
      </c>
    </row>
    <row r="53997" spans="119:119" x14ac:dyDescent="0.2">
      <c r="DO53997" s="303" t="s">
        <v>232</v>
      </c>
    </row>
    <row r="53998" spans="119:119" x14ac:dyDescent="0.2">
      <c r="DO53998" s="303" t="s">
        <v>232</v>
      </c>
    </row>
    <row r="53999" spans="119:119" x14ac:dyDescent="0.2">
      <c r="DO53999" s="303" t="s">
        <v>232</v>
      </c>
    </row>
    <row r="54000" spans="119:119" x14ac:dyDescent="0.2">
      <c r="DO54000" s="303" t="s">
        <v>232</v>
      </c>
    </row>
    <row r="54001" spans="119:119" x14ac:dyDescent="0.2">
      <c r="DO54001" s="303" t="s">
        <v>232</v>
      </c>
    </row>
    <row r="54002" spans="119:119" x14ac:dyDescent="0.2">
      <c r="DO54002" s="303" t="s">
        <v>232</v>
      </c>
    </row>
    <row r="54003" spans="119:119" x14ac:dyDescent="0.2">
      <c r="DO54003" s="303" t="s">
        <v>232</v>
      </c>
    </row>
    <row r="54004" spans="119:119" x14ac:dyDescent="0.2">
      <c r="DO54004" s="303" t="s">
        <v>232</v>
      </c>
    </row>
    <row r="54005" spans="119:119" x14ac:dyDescent="0.2">
      <c r="DO54005" s="303" t="s">
        <v>232</v>
      </c>
    </row>
    <row r="54006" spans="119:119" x14ac:dyDescent="0.2">
      <c r="DO54006" s="303" t="s">
        <v>232</v>
      </c>
    </row>
    <row r="54007" spans="119:119" x14ac:dyDescent="0.2">
      <c r="DO54007" s="303" t="s">
        <v>232</v>
      </c>
    </row>
    <row r="54008" spans="119:119" x14ac:dyDescent="0.2">
      <c r="DO54008" s="303" t="s">
        <v>232</v>
      </c>
    </row>
    <row r="54009" spans="119:119" x14ac:dyDescent="0.2">
      <c r="DO54009" s="303" t="s">
        <v>232</v>
      </c>
    </row>
    <row r="54010" spans="119:119" x14ac:dyDescent="0.2">
      <c r="DO54010" s="303" t="s">
        <v>232</v>
      </c>
    </row>
    <row r="54011" spans="119:119" x14ac:dyDescent="0.2">
      <c r="DO54011" s="303" t="s">
        <v>232</v>
      </c>
    </row>
    <row r="54012" spans="119:119" x14ac:dyDescent="0.2">
      <c r="DO54012" s="303" t="s">
        <v>232</v>
      </c>
    </row>
    <row r="54013" spans="119:119" x14ac:dyDescent="0.2">
      <c r="DO54013" s="303" t="s">
        <v>232</v>
      </c>
    </row>
    <row r="54014" spans="119:119" x14ac:dyDescent="0.2">
      <c r="DO54014" s="303" t="s">
        <v>232</v>
      </c>
    </row>
    <row r="54015" spans="119:119" x14ac:dyDescent="0.2">
      <c r="DO54015" s="303" t="s">
        <v>232</v>
      </c>
    </row>
    <row r="54016" spans="119:119" x14ac:dyDescent="0.2">
      <c r="DO54016" s="303" t="s">
        <v>232</v>
      </c>
    </row>
    <row r="54017" spans="119:119" x14ac:dyDescent="0.2">
      <c r="DO54017" s="303" t="s">
        <v>232</v>
      </c>
    </row>
    <row r="54018" spans="119:119" x14ac:dyDescent="0.2">
      <c r="DO54018" s="303" t="s">
        <v>232</v>
      </c>
    </row>
    <row r="54019" spans="119:119" x14ac:dyDescent="0.2">
      <c r="DO54019" s="303" t="s">
        <v>232</v>
      </c>
    </row>
    <row r="54020" spans="119:119" x14ac:dyDescent="0.2">
      <c r="DO54020" s="303" t="s">
        <v>232</v>
      </c>
    </row>
    <row r="54021" spans="119:119" x14ac:dyDescent="0.2">
      <c r="DO54021" s="303" t="s">
        <v>232</v>
      </c>
    </row>
    <row r="54022" spans="119:119" x14ac:dyDescent="0.2">
      <c r="DO54022" s="303" t="s">
        <v>232</v>
      </c>
    </row>
    <row r="54023" spans="119:119" x14ac:dyDescent="0.2">
      <c r="DO54023" s="303" t="s">
        <v>232</v>
      </c>
    </row>
    <row r="54024" spans="119:119" x14ac:dyDescent="0.2">
      <c r="DO54024" s="303" t="s">
        <v>232</v>
      </c>
    </row>
    <row r="54025" spans="119:119" x14ac:dyDescent="0.2">
      <c r="DO54025" s="303" t="s">
        <v>232</v>
      </c>
    </row>
    <row r="54026" spans="119:119" x14ac:dyDescent="0.2">
      <c r="DO54026" s="303" t="s">
        <v>232</v>
      </c>
    </row>
    <row r="54027" spans="119:119" x14ac:dyDescent="0.2">
      <c r="DO54027" s="303" t="s">
        <v>232</v>
      </c>
    </row>
    <row r="54028" spans="119:119" x14ac:dyDescent="0.2">
      <c r="DO54028" s="303" t="s">
        <v>232</v>
      </c>
    </row>
    <row r="54029" spans="119:119" x14ac:dyDescent="0.2">
      <c r="DO54029" s="303" t="s">
        <v>232</v>
      </c>
    </row>
    <row r="54030" spans="119:119" x14ac:dyDescent="0.2">
      <c r="DO54030" s="303" t="s">
        <v>232</v>
      </c>
    </row>
    <row r="54031" spans="119:119" x14ac:dyDescent="0.2">
      <c r="DO54031" s="303" t="s">
        <v>232</v>
      </c>
    </row>
    <row r="54032" spans="119:119" x14ac:dyDescent="0.2">
      <c r="DO54032" s="303" t="s">
        <v>232</v>
      </c>
    </row>
    <row r="54033" spans="119:119" x14ac:dyDescent="0.2">
      <c r="DO54033" s="303" t="s">
        <v>232</v>
      </c>
    </row>
    <row r="54034" spans="119:119" x14ac:dyDescent="0.2">
      <c r="DO54034" s="303" t="s">
        <v>232</v>
      </c>
    </row>
    <row r="54035" spans="119:119" x14ac:dyDescent="0.2">
      <c r="DO54035" s="303" t="s">
        <v>232</v>
      </c>
    </row>
    <row r="54036" spans="119:119" x14ac:dyDescent="0.2">
      <c r="DO54036" s="303" t="s">
        <v>232</v>
      </c>
    </row>
    <row r="54037" spans="119:119" x14ac:dyDescent="0.2">
      <c r="DO54037" s="303" t="s">
        <v>232</v>
      </c>
    </row>
    <row r="54038" spans="119:119" x14ac:dyDescent="0.2">
      <c r="DO54038" s="303" t="s">
        <v>232</v>
      </c>
    </row>
    <row r="54039" spans="119:119" x14ac:dyDescent="0.2">
      <c r="DO54039" s="303" t="s">
        <v>232</v>
      </c>
    </row>
    <row r="54040" spans="119:119" x14ac:dyDescent="0.2">
      <c r="DO54040" s="303" t="s">
        <v>232</v>
      </c>
    </row>
    <row r="54041" spans="119:119" x14ac:dyDescent="0.2">
      <c r="DO54041" s="303" t="s">
        <v>232</v>
      </c>
    </row>
    <row r="54042" spans="119:119" x14ac:dyDescent="0.2">
      <c r="DO54042" s="303" t="s">
        <v>232</v>
      </c>
    </row>
    <row r="54043" spans="119:119" x14ac:dyDescent="0.2">
      <c r="DO54043" s="303" t="s">
        <v>232</v>
      </c>
    </row>
    <row r="54044" spans="119:119" x14ac:dyDescent="0.2">
      <c r="DO54044" s="303" t="s">
        <v>232</v>
      </c>
    </row>
    <row r="54045" spans="119:119" x14ac:dyDescent="0.2">
      <c r="DO54045" s="303" t="s">
        <v>232</v>
      </c>
    </row>
    <row r="54046" spans="119:119" x14ac:dyDescent="0.2">
      <c r="DO54046" s="303" t="s">
        <v>232</v>
      </c>
    </row>
    <row r="54047" spans="119:119" x14ac:dyDescent="0.2">
      <c r="DO54047" s="303" t="s">
        <v>232</v>
      </c>
    </row>
    <row r="54048" spans="119:119" x14ac:dyDescent="0.2">
      <c r="DO54048" s="303" t="s">
        <v>232</v>
      </c>
    </row>
    <row r="54049" spans="119:119" x14ac:dyDescent="0.2">
      <c r="DO54049" s="303" t="s">
        <v>232</v>
      </c>
    </row>
    <row r="54050" spans="119:119" x14ac:dyDescent="0.2">
      <c r="DO54050" s="303" t="s">
        <v>232</v>
      </c>
    </row>
    <row r="54051" spans="119:119" x14ac:dyDescent="0.2">
      <c r="DO54051" s="303" t="s">
        <v>232</v>
      </c>
    </row>
    <row r="54052" spans="119:119" x14ac:dyDescent="0.2">
      <c r="DO54052" s="303" t="s">
        <v>232</v>
      </c>
    </row>
    <row r="54053" spans="119:119" x14ac:dyDescent="0.2">
      <c r="DO54053" s="303" t="s">
        <v>232</v>
      </c>
    </row>
    <row r="54054" spans="119:119" x14ac:dyDescent="0.2">
      <c r="DO54054" s="303" t="s">
        <v>232</v>
      </c>
    </row>
    <row r="54055" spans="119:119" x14ac:dyDescent="0.2">
      <c r="DO54055" s="303" t="s">
        <v>232</v>
      </c>
    </row>
    <row r="54056" spans="119:119" x14ac:dyDescent="0.2">
      <c r="DO54056" s="303" t="s">
        <v>232</v>
      </c>
    </row>
    <row r="54057" spans="119:119" x14ac:dyDescent="0.2">
      <c r="DO54057" s="303" t="s">
        <v>232</v>
      </c>
    </row>
    <row r="54058" spans="119:119" x14ac:dyDescent="0.2">
      <c r="DO54058" s="303" t="s">
        <v>232</v>
      </c>
    </row>
    <row r="54059" spans="119:119" x14ac:dyDescent="0.2">
      <c r="DO54059" s="303" t="s">
        <v>232</v>
      </c>
    </row>
    <row r="54060" spans="119:119" x14ac:dyDescent="0.2">
      <c r="DO54060" s="303" t="s">
        <v>232</v>
      </c>
    </row>
    <row r="54061" spans="119:119" x14ac:dyDescent="0.2">
      <c r="DO54061" s="303" t="s">
        <v>232</v>
      </c>
    </row>
    <row r="54062" spans="119:119" x14ac:dyDescent="0.2">
      <c r="DO54062" s="303" t="s">
        <v>232</v>
      </c>
    </row>
    <row r="54063" spans="119:119" x14ac:dyDescent="0.2">
      <c r="DO54063" s="303" t="s">
        <v>232</v>
      </c>
    </row>
    <row r="54064" spans="119:119" x14ac:dyDescent="0.2">
      <c r="DO54064" s="303" t="s">
        <v>232</v>
      </c>
    </row>
    <row r="54065" spans="119:119" x14ac:dyDescent="0.2">
      <c r="DO54065" s="303" t="s">
        <v>232</v>
      </c>
    </row>
    <row r="54066" spans="119:119" x14ac:dyDescent="0.2">
      <c r="DO54066" s="303" t="s">
        <v>232</v>
      </c>
    </row>
    <row r="54067" spans="119:119" x14ac:dyDescent="0.2">
      <c r="DO54067" s="303" t="s">
        <v>232</v>
      </c>
    </row>
    <row r="54068" spans="119:119" x14ac:dyDescent="0.2">
      <c r="DO54068" s="303" t="s">
        <v>232</v>
      </c>
    </row>
    <row r="54069" spans="119:119" x14ac:dyDescent="0.2">
      <c r="DO54069" s="303" t="s">
        <v>232</v>
      </c>
    </row>
    <row r="54070" spans="119:119" x14ac:dyDescent="0.2">
      <c r="DO54070" s="303" t="s">
        <v>232</v>
      </c>
    </row>
    <row r="54071" spans="119:119" x14ac:dyDescent="0.2">
      <c r="DO54071" s="303" t="s">
        <v>232</v>
      </c>
    </row>
    <row r="54072" spans="119:119" x14ac:dyDescent="0.2">
      <c r="DO54072" s="303" t="s">
        <v>232</v>
      </c>
    </row>
    <row r="54073" spans="119:119" x14ac:dyDescent="0.2">
      <c r="DO54073" s="303" t="s">
        <v>232</v>
      </c>
    </row>
    <row r="54074" spans="119:119" x14ac:dyDescent="0.2">
      <c r="DO54074" s="303" t="s">
        <v>232</v>
      </c>
    </row>
    <row r="54075" spans="119:119" x14ac:dyDescent="0.2">
      <c r="DO54075" s="303" t="s">
        <v>232</v>
      </c>
    </row>
    <row r="54076" spans="119:119" x14ac:dyDescent="0.2">
      <c r="DO54076" s="303" t="s">
        <v>232</v>
      </c>
    </row>
    <row r="54077" spans="119:119" x14ac:dyDescent="0.2">
      <c r="DO54077" s="303" t="s">
        <v>232</v>
      </c>
    </row>
    <row r="54078" spans="119:119" x14ac:dyDescent="0.2">
      <c r="DO54078" s="303" t="s">
        <v>232</v>
      </c>
    </row>
    <row r="54079" spans="119:119" x14ac:dyDescent="0.2">
      <c r="DO54079" s="303" t="s">
        <v>232</v>
      </c>
    </row>
    <row r="54080" spans="119:119" x14ac:dyDescent="0.2">
      <c r="DO54080" s="303" t="s">
        <v>232</v>
      </c>
    </row>
    <row r="54081" spans="119:119" x14ac:dyDescent="0.2">
      <c r="DO54081" s="303" t="s">
        <v>232</v>
      </c>
    </row>
    <row r="54082" spans="119:119" x14ac:dyDescent="0.2">
      <c r="DO54082" s="303" t="s">
        <v>232</v>
      </c>
    </row>
    <row r="54083" spans="119:119" x14ac:dyDescent="0.2">
      <c r="DO54083" s="303" t="s">
        <v>232</v>
      </c>
    </row>
    <row r="54084" spans="119:119" x14ac:dyDescent="0.2">
      <c r="DO54084" s="303" t="s">
        <v>232</v>
      </c>
    </row>
    <row r="54085" spans="119:119" x14ac:dyDescent="0.2">
      <c r="DO54085" s="303" t="s">
        <v>232</v>
      </c>
    </row>
    <row r="54086" spans="119:119" x14ac:dyDescent="0.2">
      <c r="DO54086" s="303" t="s">
        <v>232</v>
      </c>
    </row>
    <row r="54087" spans="119:119" x14ac:dyDescent="0.2">
      <c r="DO54087" s="303" t="s">
        <v>232</v>
      </c>
    </row>
    <row r="54088" spans="119:119" x14ac:dyDescent="0.2">
      <c r="DO54088" s="303" t="s">
        <v>232</v>
      </c>
    </row>
    <row r="54089" spans="119:119" x14ac:dyDescent="0.2">
      <c r="DO54089" s="303" t="s">
        <v>232</v>
      </c>
    </row>
    <row r="54090" spans="119:119" x14ac:dyDescent="0.2">
      <c r="DO54090" s="303" t="s">
        <v>232</v>
      </c>
    </row>
    <row r="54091" spans="119:119" x14ac:dyDescent="0.2">
      <c r="DO54091" s="303" t="s">
        <v>232</v>
      </c>
    </row>
    <row r="54092" spans="119:119" x14ac:dyDescent="0.2">
      <c r="DO54092" s="303" t="s">
        <v>232</v>
      </c>
    </row>
    <row r="54093" spans="119:119" x14ac:dyDescent="0.2">
      <c r="DO54093" s="303" t="s">
        <v>232</v>
      </c>
    </row>
    <row r="54094" spans="119:119" x14ac:dyDescent="0.2">
      <c r="DO54094" s="303" t="s">
        <v>232</v>
      </c>
    </row>
    <row r="54095" spans="119:119" x14ac:dyDescent="0.2">
      <c r="DO54095" s="303" t="s">
        <v>232</v>
      </c>
    </row>
    <row r="54096" spans="119:119" x14ac:dyDescent="0.2">
      <c r="DO54096" s="303" t="s">
        <v>232</v>
      </c>
    </row>
    <row r="54097" spans="119:119" x14ac:dyDescent="0.2">
      <c r="DO54097" s="303" t="s">
        <v>232</v>
      </c>
    </row>
    <row r="54098" spans="119:119" x14ac:dyDescent="0.2">
      <c r="DO54098" s="303" t="s">
        <v>232</v>
      </c>
    </row>
    <row r="54099" spans="119:119" x14ac:dyDescent="0.2">
      <c r="DO54099" s="303" t="s">
        <v>232</v>
      </c>
    </row>
    <row r="54100" spans="119:119" x14ac:dyDescent="0.2">
      <c r="DO54100" s="303" t="s">
        <v>232</v>
      </c>
    </row>
    <row r="54101" spans="119:119" x14ac:dyDescent="0.2">
      <c r="DO54101" s="303" t="s">
        <v>232</v>
      </c>
    </row>
    <row r="54102" spans="119:119" x14ac:dyDescent="0.2">
      <c r="DO54102" s="303" t="s">
        <v>232</v>
      </c>
    </row>
    <row r="54103" spans="119:119" x14ac:dyDescent="0.2">
      <c r="DO54103" s="303" t="s">
        <v>232</v>
      </c>
    </row>
    <row r="54104" spans="119:119" x14ac:dyDescent="0.2">
      <c r="DO54104" s="303" t="s">
        <v>232</v>
      </c>
    </row>
    <row r="54105" spans="119:119" x14ac:dyDescent="0.2">
      <c r="DO54105" s="303" t="s">
        <v>232</v>
      </c>
    </row>
    <row r="54106" spans="119:119" x14ac:dyDescent="0.2">
      <c r="DO54106" s="303" t="s">
        <v>232</v>
      </c>
    </row>
    <row r="54107" spans="119:119" x14ac:dyDescent="0.2">
      <c r="DO54107" s="303" t="s">
        <v>232</v>
      </c>
    </row>
    <row r="54108" spans="119:119" x14ac:dyDescent="0.2">
      <c r="DO54108" s="303" t="s">
        <v>232</v>
      </c>
    </row>
    <row r="54109" spans="119:119" x14ac:dyDescent="0.2">
      <c r="DO54109" s="303" t="s">
        <v>232</v>
      </c>
    </row>
    <row r="54110" spans="119:119" x14ac:dyDescent="0.2">
      <c r="DO54110" s="303" t="s">
        <v>232</v>
      </c>
    </row>
    <row r="54111" spans="119:119" x14ac:dyDescent="0.2">
      <c r="DO54111" s="303" t="s">
        <v>232</v>
      </c>
    </row>
    <row r="54112" spans="119:119" x14ac:dyDescent="0.2">
      <c r="DO54112" s="303" t="s">
        <v>232</v>
      </c>
    </row>
    <row r="54113" spans="119:119" x14ac:dyDescent="0.2">
      <c r="DO54113" s="303" t="s">
        <v>232</v>
      </c>
    </row>
    <row r="54114" spans="119:119" x14ac:dyDescent="0.2">
      <c r="DO54114" s="303" t="s">
        <v>232</v>
      </c>
    </row>
    <row r="54115" spans="119:119" x14ac:dyDescent="0.2">
      <c r="DO54115" s="303" t="s">
        <v>232</v>
      </c>
    </row>
    <row r="54116" spans="119:119" x14ac:dyDescent="0.2">
      <c r="DO54116" s="303" t="s">
        <v>232</v>
      </c>
    </row>
    <row r="54117" spans="119:119" x14ac:dyDescent="0.2">
      <c r="DO54117" s="303" t="s">
        <v>232</v>
      </c>
    </row>
    <row r="54118" spans="119:119" x14ac:dyDescent="0.2">
      <c r="DO54118" s="303" t="s">
        <v>232</v>
      </c>
    </row>
    <row r="54119" spans="119:119" x14ac:dyDescent="0.2">
      <c r="DO54119" s="303" t="s">
        <v>232</v>
      </c>
    </row>
    <row r="54120" spans="119:119" x14ac:dyDescent="0.2">
      <c r="DO54120" s="303" t="s">
        <v>232</v>
      </c>
    </row>
    <row r="54121" spans="119:119" x14ac:dyDescent="0.2">
      <c r="DO54121" s="303" t="s">
        <v>232</v>
      </c>
    </row>
    <row r="54122" spans="119:119" x14ac:dyDescent="0.2">
      <c r="DO54122" s="303" t="s">
        <v>232</v>
      </c>
    </row>
    <row r="54123" spans="119:119" x14ac:dyDescent="0.2">
      <c r="DO54123" s="303" t="s">
        <v>232</v>
      </c>
    </row>
    <row r="54124" spans="119:119" x14ac:dyDescent="0.2">
      <c r="DO54124" s="303" t="s">
        <v>232</v>
      </c>
    </row>
    <row r="54125" spans="119:119" x14ac:dyDescent="0.2">
      <c r="DO54125" s="303" t="s">
        <v>232</v>
      </c>
    </row>
    <row r="54126" spans="119:119" x14ac:dyDescent="0.2">
      <c r="DO54126" s="303" t="s">
        <v>232</v>
      </c>
    </row>
    <row r="54127" spans="119:119" x14ac:dyDescent="0.2">
      <c r="DO54127" s="303" t="s">
        <v>232</v>
      </c>
    </row>
    <row r="54128" spans="119:119" x14ac:dyDescent="0.2">
      <c r="DO54128" s="303" t="s">
        <v>232</v>
      </c>
    </row>
    <row r="54129" spans="119:119" x14ac:dyDescent="0.2">
      <c r="DO54129" s="303" t="s">
        <v>232</v>
      </c>
    </row>
    <row r="54130" spans="119:119" x14ac:dyDescent="0.2">
      <c r="DO54130" s="303" t="s">
        <v>232</v>
      </c>
    </row>
    <row r="54131" spans="119:119" x14ac:dyDescent="0.2">
      <c r="DO54131" s="303" t="s">
        <v>232</v>
      </c>
    </row>
    <row r="54132" spans="119:119" x14ac:dyDescent="0.2">
      <c r="DO54132" s="303" t="s">
        <v>232</v>
      </c>
    </row>
    <row r="54133" spans="119:119" x14ac:dyDescent="0.2">
      <c r="DO54133" s="303" t="s">
        <v>232</v>
      </c>
    </row>
    <row r="54134" spans="119:119" x14ac:dyDescent="0.2">
      <c r="DO54134" s="303" t="s">
        <v>232</v>
      </c>
    </row>
    <row r="54135" spans="119:119" x14ac:dyDescent="0.2">
      <c r="DO54135" s="303" t="s">
        <v>232</v>
      </c>
    </row>
    <row r="54136" spans="119:119" x14ac:dyDescent="0.2">
      <c r="DO54136" s="303" t="s">
        <v>232</v>
      </c>
    </row>
    <row r="54137" spans="119:119" x14ac:dyDescent="0.2">
      <c r="DO54137" s="303" t="s">
        <v>232</v>
      </c>
    </row>
    <row r="54138" spans="119:119" x14ac:dyDescent="0.2">
      <c r="DO54138" s="303" t="s">
        <v>232</v>
      </c>
    </row>
    <row r="54139" spans="119:119" x14ac:dyDescent="0.2">
      <c r="DO54139" s="303" t="s">
        <v>232</v>
      </c>
    </row>
    <row r="54140" spans="119:119" x14ac:dyDescent="0.2">
      <c r="DO54140" s="303" t="s">
        <v>232</v>
      </c>
    </row>
    <row r="54141" spans="119:119" x14ac:dyDescent="0.2">
      <c r="DO54141" s="303" t="s">
        <v>232</v>
      </c>
    </row>
    <row r="54142" spans="119:119" x14ac:dyDescent="0.2">
      <c r="DO54142" s="303" t="s">
        <v>232</v>
      </c>
    </row>
    <row r="54143" spans="119:119" x14ac:dyDescent="0.2">
      <c r="DO54143" s="303" t="s">
        <v>232</v>
      </c>
    </row>
    <row r="54144" spans="119:119" x14ac:dyDescent="0.2">
      <c r="DO54144" s="303" t="s">
        <v>232</v>
      </c>
    </row>
    <row r="54145" spans="119:119" x14ac:dyDescent="0.2">
      <c r="DO54145" s="303" t="s">
        <v>232</v>
      </c>
    </row>
    <row r="54146" spans="119:119" x14ac:dyDescent="0.2">
      <c r="DO54146" s="303" t="s">
        <v>232</v>
      </c>
    </row>
    <row r="54147" spans="119:119" x14ac:dyDescent="0.2">
      <c r="DO54147" s="303" t="s">
        <v>232</v>
      </c>
    </row>
    <row r="54148" spans="119:119" x14ac:dyDescent="0.2">
      <c r="DO54148" s="303" t="s">
        <v>232</v>
      </c>
    </row>
    <row r="54149" spans="119:119" x14ac:dyDescent="0.2">
      <c r="DO54149" s="303" t="s">
        <v>232</v>
      </c>
    </row>
    <row r="54150" spans="119:119" x14ac:dyDescent="0.2">
      <c r="DO54150" s="303" t="s">
        <v>232</v>
      </c>
    </row>
    <row r="54151" spans="119:119" x14ac:dyDescent="0.2">
      <c r="DO54151" s="303" t="s">
        <v>232</v>
      </c>
    </row>
    <row r="54152" spans="119:119" x14ac:dyDescent="0.2">
      <c r="DO54152" s="303" t="s">
        <v>232</v>
      </c>
    </row>
    <row r="54153" spans="119:119" x14ac:dyDescent="0.2">
      <c r="DO54153" s="303" t="s">
        <v>232</v>
      </c>
    </row>
    <row r="54154" spans="119:119" x14ac:dyDescent="0.2">
      <c r="DO54154" s="303" t="s">
        <v>232</v>
      </c>
    </row>
    <row r="54155" spans="119:119" x14ac:dyDescent="0.2">
      <c r="DO54155" s="303" t="s">
        <v>232</v>
      </c>
    </row>
    <row r="54156" spans="119:119" x14ac:dyDescent="0.2">
      <c r="DO54156" s="303" t="s">
        <v>232</v>
      </c>
    </row>
    <row r="54157" spans="119:119" x14ac:dyDescent="0.2">
      <c r="DO54157" s="303" t="s">
        <v>232</v>
      </c>
    </row>
    <row r="54158" spans="119:119" x14ac:dyDescent="0.2">
      <c r="DO54158" s="303" t="s">
        <v>232</v>
      </c>
    </row>
    <row r="54159" spans="119:119" x14ac:dyDescent="0.2">
      <c r="DO54159" s="303" t="s">
        <v>232</v>
      </c>
    </row>
    <row r="54160" spans="119:119" x14ac:dyDescent="0.2">
      <c r="DO54160" s="303" t="s">
        <v>232</v>
      </c>
    </row>
    <row r="54161" spans="119:119" x14ac:dyDescent="0.2">
      <c r="DO54161" s="303" t="s">
        <v>232</v>
      </c>
    </row>
    <row r="54162" spans="119:119" x14ac:dyDescent="0.2">
      <c r="DO54162" s="303" t="s">
        <v>232</v>
      </c>
    </row>
    <row r="54163" spans="119:119" x14ac:dyDescent="0.2">
      <c r="DO54163" s="303" t="s">
        <v>232</v>
      </c>
    </row>
    <row r="54164" spans="119:119" x14ac:dyDescent="0.2">
      <c r="DO54164" s="303" t="s">
        <v>232</v>
      </c>
    </row>
    <row r="54165" spans="119:119" x14ac:dyDescent="0.2">
      <c r="DO54165" s="303" t="s">
        <v>232</v>
      </c>
    </row>
    <row r="54166" spans="119:119" x14ac:dyDescent="0.2">
      <c r="DO54166" s="303" t="s">
        <v>232</v>
      </c>
    </row>
    <row r="54167" spans="119:119" x14ac:dyDescent="0.2">
      <c r="DO54167" s="303" t="s">
        <v>232</v>
      </c>
    </row>
    <row r="54168" spans="119:119" x14ac:dyDescent="0.2">
      <c r="DO54168" s="303" t="s">
        <v>232</v>
      </c>
    </row>
    <row r="54169" spans="119:119" x14ac:dyDescent="0.2">
      <c r="DO54169" s="303" t="s">
        <v>232</v>
      </c>
    </row>
    <row r="54170" spans="119:119" x14ac:dyDescent="0.2">
      <c r="DO54170" s="303" t="s">
        <v>232</v>
      </c>
    </row>
    <row r="54171" spans="119:119" x14ac:dyDescent="0.2">
      <c r="DO54171" s="303" t="s">
        <v>232</v>
      </c>
    </row>
    <row r="54172" spans="119:119" x14ac:dyDescent="0.2">
      <c r="DO54172" s="303" t="s">
        <v>232</v>
      </c>
    </row>
    <row r="54173" spans="119:119" x14ac:dyDescent="0.2">
      <c r="DO54173" s="303" t="s">
        <v>232</v>
      </c>
    </row>
    <row r="54174" spans="119:119" x14ac:dyDescent="0.2">
      <c r="DO54174" s="303" t="s">
        <v>232</v>
      </c>
    </row>
    <row r="54175" spans="119:119" x14ac:dyDescent="0.2">
      <c r="DO54175" s="303" t="s">
        <v>232</v>
      </c>
    </row>
    <row r="54176" spans="119:119" x14ac:dyDescent="0.2">
      <c r="DO54176" s="303" t="s">
        <v>232</v>
      </c>
    </row>
    <row r="54177" spans="119:119" x14ac:dyDescent="0.2">
      <c r="DO54177" s="303" t="s">
        <v>232</v>
      </c>
    </row>
    <row r="54178" spans="119:119" x14ac:dyDescent="0.2">
      <c r="DO54178" s="303" t="s">
        <v>232</v>
      </c>
    </row>
    <row r="54179" spans="119:119" x14ac:dyDescent="0.2">
      <c r="DO54179" s="303" t="s">
        <v>232</v>
      </c>
    </row>
    <row r="54180" spans="119:119" x14ac:dyDescent="0.2">
      <c r="DO54180" s="303" t="s">
        <v>232</v>
      </c>
    </row>
    <row r="54181" spans="119:119" x14ac:dyDescent="0.2">
      <c r="DO54181" s="303" t="s">
        <v>232</v>
      </c>
    </row>
    <row r="54182" spans="119:119" x14ac:dyDescent="0.2">
      <c r="DO54182" s="303" t="s">
        <v>232</v>
      </c>
    </row>
    <row r="54183" spans="119:119" x14ac:dyDescent="0.2">
      <c r="DO54183" s="303" t="s">
        <v>232</v>
      </c>
    </row>
    <row r="54184" spans="119:119" x14ac:dyDescent="0.2">
      <c r="DO54184" s="303" t="s">
        <v>232</v>
      </c>
    </row>
    <row r="54185" spans="119:119" x14ac:dyDescent="0.2">
      <c r="DO54185" s="303" t="s">
        <v>232</v>
      </c>
    </row>
    <row r="54186" spans="119:119" x14ac:dyDescent="0.2">
      <c r="DO54186" s="303" t="s">
        <v>232</v>
      </c>
    </row>
    <row r="54187" spans="119:119" x14ac:dyDescent="0.2">
      <c r="DO54187" s="303" t="s">
        <v>232</v>
      </c>
    </row>
    <row r="54188" spans="119:119" x14ac:dyDescent="0.2">
      <c r="DO54188" s="303" t="s">
        <v>232</v>
      </c>
    </row>
    <row r="54189" spans="119:119" x14ac:dyDescent="0.2">
      <c r="DO54189" s="303" t="s">
        <v>232</v>
      </c>
    </row>
    <row r="54190" spans="119:119" x14ac:dyDescent="0.2">
      <c r="DO54190" s="303" t="s">
        <v>232</v>
      </c>
    </row>
    <row r="54191" spans="119:119" x14ac:dyDescent="0.2">
      <c r="DO54191" s="303" t="s">
        <v>232</v>
      </c>
    </row>
    <row r="54192" spans="119:119" x14ac:dyDescent="0.2">
      <c r="DO54192" s="303" t="s">
        <v>232</v>
      </c>
    </row>
    <row r="54193" spans="119:119" x14ac:dyDescent="0.2">
      <c r="DO54193" s="303" t="s">
        <v>232</v>
      </c>
    </row>
    <row r="54194" spans="119:119" x14ac:dyDescent="0.2">
      <c r="DO54194" s="303" t="s">
        <v>232</v>
      </c>
    </row>
    <row r="54195" spans="119:119" x14ac:dyDescent="0.2">
      <c r="DO54195" s="303" t="s">
        <v>232</v>
      </c>
    </row>
    <row r="54196" spans="119:119" x14ac:dyDescent="0.2">
      <c r="DO54196" s="303" t="s">
        <v>232</v>
      </c>
    </row>
    <row r="54197" spans="119:119" x14ac:dyDescent="0.2">
      <c r="DO54197" s="303" t="s">
        <v>232</v>
      </c>
    </row>
    <row r="54198" spans="119:119" x14ac:dyDescent="0.2">
      <c r="DO54198" s="303" t="s">
        <v>232</v>
      </c>
    </row>
    <row r="54199" spans="119:119" x14ac:dyDescent="0.2">
      <c r="DO54199" s="303" t="s">
        <v>232</v>
      </c>
    </row>
    <row r="54200" spans="119:119" x14ac:dyDescent="0.2">
      <c r="DO54200" s="303" t="s">
        <v>232</v>
      </c>
    </row>
    <row r="54201" spans="119:119" x14ac:dyDescent="0.2">
      <c r="DO54201" s="303" t="s">
        <v>232</v>
      </c>
    </row>
    <row r="54202" spans="119:119" x14ac:dyDescent="0.2">
      <c r="DO54202" s="303" t="s">
        <v>232</v>
      </c>
    </row>
    <row r="54203" spans="119:119" x14ac:dyDescent="0.2">
      <c r="DO54203" s="303" t="s">
        <v>232</v>
      </c>
    </row>
    <row r="54204" spans="119:119" x14ac:dyDescent="0.2">
      <c r="DO54204" s="303" t="s">
        <v>232</v>
      </c>
    </row>
    <row r="54205" spans="119:119" x14ac:dyDescent="0.2">
      <c r="DO54205" s="303" t="s">
        <v>232</v>
      </c>
    </row>
    <row r="54206" spans="119:119" x14ac:dyDescent="0.2">
      <c r="DO54206" s="303" t="s">
        <v>232</v>
      </c>
    </row>
    <row r="54207" spans="119:119" x14ac:dyDescent="0.2">
      <c r="DO54207" s="303" t="s">
        <v>232</v>
      </c>
    </row>
    <row r="54208" spans="119:119" x14ac:dyDescent="0.2">
      <c r="DO54208" s="303" t="s">
        <v>232</v>
      </c>
    </row>
    <row r="54209" spans="119:119" x14ac:dyDescent="0.2">
      <c r="DO54209" s="303" t="s">
        <v>232</v>
      </c>
    </row>
    <row r="54210" spans="119:119" x14ac:dyDescent="0.2">
      <c r="DO54210" s="303" t="s">
        <v>232</v>
      </c>
    </row>
    <row r="54211" spans="119:119" x14ac:dyDescent="0.2">
      <c r="DO54211" s="303" t="s">
        <v>232</v>
      </c>
    </row>
    <row r="54212" spans="119:119" x14ac:dyDescent="0.2">
      <c r="DO54212" s="303" t="s">
        <v>232</v>
      </c>
    </row>
    <row r="54213" spans="119:119" x14ac:dyDescent="0.2">
      <c r="DO54213" s="303" t="s">
        <v>232</v>
      </c>
    </row>
    <row r="54214" spans="119:119" x14ac:dyDescent="0.2">
      <c r="DO54214" s="303" t="s">
        <v>232</v>
      </c>
    </row>
    <row r="54215" spans="119:119" x14ac:dyDescent="0.2">
      <c r="DO54215" s="303" t="s">
        <v>232</v>
      </c>
    </row>
    <row r="54216" spans="119:119" x14ac:dyDescent="0.2">
      <c r="DO54216" s="303" t="s">
        <v>232</v>
      </c>
    </row>
    <row r="54217" spans="119:119" x14ac:dyDescent="0.2">
      <c r="DO54217" s="303" t="s">
        <v>232</v>
      </c>
    </row>
    <row r="54218" spans="119:119" x14ac:dyDescent="0.2">
      <c r="DO54218" s="303" t="s">
        <v>232</v>
      </c>
    </row>
    <row r="54219" spans="119:119" x14ac:dyDescent="0.2">
      <c r="DO54219" s="303" t="s">
        <v>232</v>
      </c>
    </row>
    <row r="54220" spans="119:119" x14ac:dyDescent="0.2">
      <c r="DO54220" s="303" t="s">
        <v>232</v>
      </c>
    </row>
    <row r="54221" spans="119:119" x14ac:dyDescent="0.2">
      <c r="DO54221" s="303" t="s">
        <v>232</v>
      </c>
    </row>
    <row r="54222" spans="119:119" x14ac:dyDescent="0.2">
      <c r="DO54222" s="303" t="s">
        <v>232</v>
      </c>
    </row>
    <row r="54223" spans="119:119" x14ac:dyDescent="0.2">
      <c r="DO54223" s="303" t="s">
        <v>232</v>
      </c>
    </row>
    <row r="54224" spans="119:119" x14ac:dyDescent="0.2">
      <c r="DO54224" s="303" t="s">
        <v>232</v>
      </c>
    </row>
    <row r="54225" spans="119:119" x14ac:dyDescent="0.2">
      <c r="DO54225" s="303" t="s">
        <v>232</v>
      </c>
    </row>
    <row r="54226" spans="119:119" x14ac:dyDescent="0.2">
      <c r="DO54226" s="303" t="s">
        <v>232</v>
      </c>
    </row>
    <row r="54227" spans="119:119" x14ac:dyDescent="0.2">
      <c r="DO54227" s="303" t="s">
        <v>232</v>
      </c>
    </row>
    <row r="54228" spans="119:119" x14ac:dyDescent="0.2">
      <c r="DO54228" s="303" t="s">
        <v>232</v>
      </c>
    </row>
    <row r="54229" spans="119:119" x14ac:dyDescent="0.2">
      <c r="DO54229" s="303" t="s">
        <v>232</v>
      </c>
    </row>
    <row r="54230" spans="119:119" x14ac:dyDescent="0.2">
      <c r="DO54230" s="303" t="s">
        <v>232</v>
      </c>
    </row>
    <row r="54231" spans="119:119" x14ac:dyDescent="0.2">
      <c r="DO54231" s="303" t="s">
        <v>232</v>
      </c>
    </row>
    <row r="54232" spans="119:119" x14ac:dyDescent="0.2">
      <c r="DO54232" s="303" t="s">
        <v>232</v>
      </c>
    </row>
    <row r="54233" spans="119:119" x14ac:dyDescent="0.2">
      <c r="DO54233" s="303" t="s">
        <v>232</v>
      </c>
    </row>
    <row r="54234" spans="119:119" x14ac:dyDescent="0.2">
      <c r="DO54234" s="303" t="s">
        <v>232</v>
      </c>
    </row>
    <row r="54235" spans="119:119" x14ac:dyDescent="0.2">
      <c r="DO54235" s="303" t="s">
        <v>232</v>
      </c>
    </row>
    <row r="54236" spans="119:119" x14ac:dyDescent="0.2">
      <c r="DO54236" s="303" t="s">
        <v>232</v>
      </c>
    </row>
    <row r="54237" spans="119:119" x14ac:dyDescent="0.2">
      <c r="DO54237" s="303" t="s">
        <v>232</v>
      </c>
    </row>
    <row r="54238" spans="119:119" x14ac:dyDescent="0.2">
      <c r="DO54238" s="303" t="s">
        <v>232</v>
      </c>
    </row>
    <row r="54239" spans="119:119" x14ac:dyDescent="0.2">
      <c r="DO54239" s="303" t="s">
        <v>232</v>
      </c>
    </row>
    <row r="54240" spans="119:119" x14ac:dyDescent="0.2">
      <c r="DO54240" s="303" t="s">
        <v>232</v>
      </c>
    </row>
    <row r="54241" spans="119:119" x14ac:dyDescent="0.2">
      <c r="DO54241" s="303" t="s">
        <v>232</v>
      </c>
    </row>
    <row r="54242" spans="119:119" x14ac:dyDescent="0.2">
      <c r="DO54242" s="303" t="s">
        <v>232</v>
      </c>
    </row>
    <row r="54243" spans="119:119" x14ac:dyDescent="0.2">
      <c r="DO54243" s="303" t="s">
        <v>232</v>
      </c>
    </row>
    <row r="54244" spans="119:119" x14ac:dyDescent="0.2">
      <c r="DO54244" s="303" t="s">
        <v>232</v>
      </c>
    </row>
    <row r="54245" spans="119:119" x14ac:dyDescent="0.2">
      <c r="DO54245" s="303" t="s">
        <v>232</v>
      </c>
    </row>
    <row r="54246" spans="119:119" x14ac:dyDescent="0.2">
      <c r="DO54246" s="303" t="s">
        <v>232</v>
      </c>
    </row>
    <row r="54247" spans="119:119" x14ac:dyDescent="0.2">
      <c r="DO54247" s="303" t="s">
        <v>232</v>
      </c>
    </row>
    <row r="54248" spans="119:119" x14ac:dyDescent="0.2">
      <c r="DO54248" s="303" t="s">
        <v>232</v>
      </c>
    </row>
    <row r="54249" spans="119:119" x14ac:dyDescent="0.2">
      <c r="DO54249" s="303" t="s">
        <v>232</v>
      </c>
    </row>
    <row r="54250" spans="119:119" x14ac:dyDescent="0.2">
      <c r="DO54250" s="303" t="s">
        <v>232</v>
      </c>
    </row>
    <row r="54251" spans="119:119" x14ac:dyDescent="0.2">
      <c r="DO54251" s="303" t="s">
        <v>232</v>
      </c>
    </row>
    <row r="54252" spans="119:119" x14ac:dyDescent="0.2">
      <c r="DO54252" s="303" t="s">
        <v>232</v>
      </c>
    </row>
    <row r="54253" spans="119:119" x14ac:dyDescent="0.2">
      <c r="DO54253" s="303" t="s">
        <v>232</v>
      </c>
    </row>
    <row r="54254" spans="119:119" x14ac:dyDescent="0.2">
      <c r="DO54254" s="303" t="s">
        <v>232</v>
      </c>
    </row>
    <row r="54255" spans="119:119" x14ac:dyDescent="0.2">
      <c r="DO54255" s="303" t="s">
        <v>232</v>
      </c>
    </row>
    <row r="54256" spans="119:119" x14ac:dyDescent="0.2">
      <c r="DO54256" s="303" t="s">
        <v>232</v>
      </c>
    </row>
    <row r="54257" spans="119:119" x14ac:dyDescent="0.2">
      <c r="DO54257" s="303" t="s">
        <v>232</v>
      </c>
    </row>
    <row r="54258" spans="119:119" x14ac:dyDescent="0.2">
      <c r="DO54258" s="303" t="s">
        <v>232</v>
      </c>
    </row>
    <row r="54259" spans="119:119" x14ac:dyDescent="0.2">
      <c r="DO54259" s="303" t="s">
        <v>232</v>
      </c>
    </row>
    <row r="54260" spans="119:119" x14ac:dyDescent="0.2">
      <c r="DO54260" s="303" t="s">
        <v>232</v>
      </c>
    </row>
    <row r="54261" spans="119:119" x14ac:dyDescent="0.2">
      <c r="DO54261" s="303" t="s">
        <v>232</v>
      </c>
    </row>
    <row r="54262" spans="119:119" x14ac:dyDescent="0.2">
      <c r="DO54262" s="303" t="s">
        <v>232</v>
      </c>
    </row>
    <row r="54263" spans="119:119" x14ac:dyDescent="0.2">
      <c r="DO54263" s="303" t="s">
        <v>232</v>
      </c>
    </row>
    <row r="54264" spans="119:119" x14ac:dyDescent="0.2">
      <c r="DO54264" s="303" t="s">
        <v>232</v>
      </c>
    </row>
    <row r="54265" spans="119:119" x14ac:dyDescent="0.2">
      <c r="DO54265" s="303" t="s">
        <v>232</v>
      </c>
    </row>
    <row r="54266" spans="119:119" x14ac:dyDescent="0.2">
      <c r="DO54266" s="303" t="s">
        <v>232</v>
      </c>
    </row>
    <row r="54267" spans="119:119" x14ac:dyDescent="0.2">
      <c r="DO54267" s="303" t="s">
        <v>232</v>
      </c>
    </row>
    <row r="54268" spans="119:119" x14ac:dyDescent="0.2">
      <c r="DO54268" s="303" t="s">
        <v>232</v>
      </c>
    </row>
    <row r="54269" spans="119:119" x14ac:dyDescent="0.2">
      <c r="DO54269" s="303" t="s">
        <v>232</v>
      </c>
    </row>
    <row r="54270" spans="119:119" x14ac:dyDescent="0.2">
      <c r="DO54270" s="303" t="s">
        <v>232</v>
      </c>
    </row>
    <row r="54271" spans="119:119" x14ac:dyDescent="0.2">
      <c r="DO54271" s="303" t="s">
        <v>232</v>
      </c>
    </row>
    <row r="54272" spans="119:119" x14ac:dyDescent="0.2">
      <c r="DO54272" s="303" t="s">
        <v>232</v>
      </c>
    </row>
    <row r="54273" spans="119:119" x14ac:dyDescent="0.2">
      <c r="DO54273" s="303" t="s">
        <v>232</v>
      </c>
    </row>
    <row r="54274" spans="119:119" x14ac:dyDescent="0.2">
      <c r="DO54274" s="303" t="s">
        <v>232</v>
      </c>
    </row>
    <row r="54275" spans="119:119" x14ac:dyDescent="0.2">
      <c r="DO54275" s="303" t="s">
        <v>232</v>
      </c>
    </row>
    <row r="54276" spans="119:119" x14ac:dyDescent="0.2">
      <c r="DO54276" s="303" t="s">
        <v>232</v>
      </c>
    </row>
    <row r="54277" spans="119:119" x14ac:dyDescent="0.2">
      <c r="DO54277" s="303" t="s">
        <v>232</v>
      </c>
    </row>
    <row r="54278" spans="119:119" x14ac:dyDescent="0.2">
      <c r="DO54278" s="303" t="s">
        <v>232</v>
      </c>
    </row>
    <row r="54279" spans="119:119" x14ac:dyDescent="0.2">
      <c r="DO54279" s="303" t="s">
        <v>232</v>
      </c>
    </row>
    <row r="54280" spans="119:119" x14ac:dyDescent="0.2">
      <c r="DO54280" s="303" t="s">
        <v>232</v>
      </c>
    </row>
    <row r="54281" spans="119:119" x14ac:dyDescent="0.2">
      <c r="DO54281" s="303" t="s">
        <v>232</v>
      </c>
    </row>
    <row r="54282" spans="119:119" x14ac:dyDescent="0.2">
      <c r="DO54282" s="303" t="s">
        <v>232</v>
      </c>
    </row>
    <row r="54283" spans="119:119" x14ac:dyDescent="0.2">
      <c r="DO54283" s="303" t="s">
        <v>232</v>
      </c>
    </row>
    <row r="54284" spans="119:119" x14ac:dyDescent="0.2">
      <c r="DO54284" s="303" t="s">
        <v>232</v>
      </c>
    </row>
    <row r="54285" spans="119:119" x14ac:dyDescent="0.2">
      <c r="DO54285" s="303" t="s">
        <v>232</v>
      </c>
    </row>
    <row r="54286" spans="119:119" x14ac:dyDescent="0.2">
      <c r="DO54286" s="303" t="s">
        <v>232</v>
      </c>
    </row>
    <row r="54287" spans="119:119" x14ac:dyDescent="0.2">
      <c r="DO54287" s="303" t="s">
        <v>232</v>
      </c>
    </row>
    <row r="54288" spans="119:119" x14ac:dyDescent="0.2">
      <c r="DO54288" s="303" t="s">
        <v>232</v>
      </c>
    </row>
    <row r="54289" spans="119:119" x14ac:dyDescent="0.2">
      <c r="DO54289" s="303" t="s">
        <v>232</v>
      </c>
    </row>
    <row r="54290" spans="119:119" x14ac:dyDescent="0.2">
      <c r="DO54290" s="303" t="s">
        <v>232</v>
      </c>
    </row>
    <row r="54291" spans="119:119" x14ac:dyDescent="0.2">
      <c r="DO54291" s="303" t="s">
        <v>232</v>
      </c>
    </row>
    <row r="54292" spans="119:119" x14ac:dyDescent="0.2">
      <c r="DO54292" s="303" t="s">
        <v>232</v>
      </c>
    </row>
    <row r="54293" spans="119:119" x14ac:dyDescent="0.2">
      <c r="DO54293" s="303" t="s">
        <v>232</v>
      </c>
    </row>
    <row r="54294" spans="119:119" x14ac:dyDescent="0.2">
      <c r="DO54294" s="303" t="s">
        <v>232</v>
      </c>
    </row>
    <row r="54295" spans="119:119" x14ac:dyDescent="0.2">
      <c r="DO54295" s="303" t="s">
        <v>232</v>
      </c>
    </row>
    <row r="54296" spans="119:119" x14ac:dyDescent="0.2">
      <c r="DO54296" s="303" t="s">
        <v>232</v>
      </c>
    </row>
    <row r="54297" spans="119:119" x14ac:dyDescent="0.2">
      <c r="DO54297" s="303" t="s">
        <v>232</v>
      </c>
    </row>
    <row r="54298" spans="119:119" x14ac:dyDescent="0.2">
      <c r="DO54298" s="303" t="s">
        <v>232</v>
      </c>
    </row>
    <row r="54299" spans="119:119" x14ac:dyDescent="0.2">
      <c r="DO54299" s="303" t="s">
        <v>232</v>
      </c>
    </row>
    <row r="54300" spans="119:119" x14ac:dyDescent="0.2">
      <c r="DO54300" s="303" t="s">
        <v>232</v>
      </c>
    </row>
    <row r="54301" spans="119:119" x14ac:dyDescent="0.2">
      <c r="DO54301" s="303" t="s">
        <v>232</v>
      </c>
    </row>
    <row r="54302" spans="119:119" x14ac:dyDescent="0.2">
      <c r="DO54302" s="303" t="s">
        <v>232</v>
      </c>
    </row>
    <row r="54303" spans="119:119" x14ac:dyDescent="0.2">
      <c r="DO54303" s="303" t="s">
        <v>232</v>
      </c>
    </row>
    <row r="54304" spans="119:119" x14ac:dyDescent="0.2">
      <c r="DO54304" s="303" t="s">
        <v>232</v>
      </c>
    </row>
    <row r="54305" spans="119:119" x14ac:dyDescent="0.2">
      <c r="DO54305" s="303" t="s">
        <v>232</v>
      </c>
    </row>
    <row r="54306" spans="119:119" x14ac:dyDescent="0.2">
      <c r="DO54306" s="303" t="s">
        <v>232</v>
      </c>
    </row>
    <row r="54307" spans="119:119" x14ac:dyDescent="0.2">
      <c r="DO54307" s="303" t="s">
        <v>232</v>
      </c>
    </row>
    <row r="54308" spans="119:119" x14ac:dyDescent="0.2">
      <c r="DO54308" s="303" t="s">
        <v>232</v>
      </c>
    </row>
    <row r="54309" spans="119:119" x14ac:dyDescent="0.2">
      <c r="DO54309" s="303" t="s">
        <v>232</v>
      </c>
    </row>
    <row r="54310" spans="119:119" x14ac:dyDescent="0.2">
      <c r="DO54310" s="303" t="s">
        <v>232</v>
      </c>
    </row>
    <row r="54311" spans="119:119" x14ac:dyDescent="0.2">
      <c r="DO54311" s="303" t="s">
        <v>232</v>
      </c>
    </row>
    <row r="54312" spans="119:119" x14ac:dyDescent="0.2">
      <c r="DO54312" s="303" t="s">
        <v>232</v>
      </c>
    </row>
    <row r="54313" spans="119:119" x14ac:dyDescent="0.2">
      <c r="DO54313" s="303" t="s">
        <v>232</v>
      </c>
    </row>
    <row r="54314" spans="119:119" x14ac:dyDescent="0.2">
      <c r="DO54314" s="303" t="s">
        <v>232</v>
      </c>
    </row>
    <row r="54315" spans="119:119" x14ac:dyDescent="0.2">
      <c r="DO54315" s="303" t="s">
        <v>232</v>
      </c>
    </row>
    <row r="54316" spans="119:119" x14ac:dyDescent="0.2">
      <c r="DO54316" s="303" t="s">
        <v>232</v>
      </c>
    </row>
    <row r="54317" spans="119:119" x14ac:dyDescent="0.2">
      <c r="DO54317" s="303" t="s">
        <v>232</v>
      </c>
    </row>
    <row r="54318" spans="119:119" x14ac:dyDescent="0.2">
      <c r="DO54318" s="303" t="s">
        <v>232</v>
      </c>
    </row>
    <row r="54319" spans="119:119" x14ac:dyDescent="0.2">
      <c r="DO54319" s="303" t="s">
        <v>232</v>
      </c>
    </row>
    <row r="54320" spans="119:119" x14ac:dyDescent="0.2">
      <c r="DO54320" s="303" t="s">
        <v>232</v>
      </c>
    </row>
    <row r="54321" spans="119:119" x14ac:dyDescent="0.2">
      <c r="DO54321" s="303" t="s">
        <v>232</v>
      </c>
    </row>
    <row r="54322" spans="119:119" x14ac:dyDescent="0.2">
      <c r="DO54322" s="303" t="s">
        <v>232</v>
      </c>
    </row>
    <row r="54323" spans="119:119" x14ac:dyDescent="0.2">
      <c r="DO54323" s="303" t="s">
        <v>232</v>
      </c>
    </row>
    <row r="54324" spans="119:119" x14ac:dyDescent="0.2">
      <c r="DO54324" s="303" t="s">
        <v>232</v>
      </c>
    </row>
    <row r="54325" spans="119:119" x14ac:dyDescent="0.2">
      <c r="DO54325" s="303" t="s">
        <v>232</v>
      </c>
    </row>
    <row r="54326" spans="119:119" x14ac:dyDescent="0.2">
      <c r="DO54326" s="303" t="s">
        <v>232</v>
      </c>
    </row>
    <row r="54327" spans="119:119" x14ac:dyDescent="0.2">
      <c r="DO54327" s="303" t="s">
        <v>232</v>
      </c>
    </row>
    <row r="54328" spans="119:119" x14ac:dyDescent="0.2">
      <c r="DO54328" s="303" t="s">
        <v>232</v>
      </c>
    </row>
    <row r="54329" spans="119:119" x14ac:dyDescent="0.2">
      <c r="DO54329" s="303" t="s">
        <v>232</v>
      </c>
    </row>
    <row r="54330" spans="119:119" x14ac:dyDescent="0.2">
      <c r="DO54330" s="303" t="s">
        <v>232</v>
      </c>
    </row>
    <row r="54331" spans="119:119" x14ac:dyDescent="0.2">
      <c r="DO54331" s="303" t="s">
        <v>232</v>
      </c>
    </row>
    <row r="54332" spans="119:119" x14ac:dyDescent="0.2">
      <c r="DO54332" s="303" t="s">
        <v>232</v>
      </c>
    </row>
    <row r="54333" spans="119:119" x14ac:dyDescent="0.2">
      <c r="DO54333" s="303" t="s">
        <v>232</v>
      </c>
    </row>
    <row r="54334" spans="119:119" x14ac:dyDescent="0.2">
      <c r="DO54334" s="303" t="s">
        <v>232</v>
      </c>
    </row>
    <row r="54335" spans="119:119" x14ac:dyDescent="0.2">
      <c r="DO54335" s="303" t="s">
        <v>232</v>
      </c>
    </row>
    <row r="54336" spans="119:119" x14ac:dyDescent="0.2">
      <c r="DO54336" s="303" t="s">
        <v>232</v>
      </c>
    </row>
    <row r="54337" spans="119:119" x14ac:dyDescent="0.2">
      <c r="DO54337" s="303" t="s">
        <v>232</v>
      </c>
    </row>
    <row r="54338" spans="119:119" x14ac:dyDescent="0.2">
      <c r="DO54338" s="303" t="s">
        <v>232</v>
      </c>
    </row>
    <row r="54339" spans="119:119" x14ac:dyDescent="0.2">
      <c r="DO54339" s="303" t="s">
        <v>232</v>
      </c>
    </row>
    <row r="54340" spans="119:119" x14ac:dyDescent="0.2">
      <c r="DO54340" s="303" t="s">
        <v>232</v>
      </c>
    </row>
    <row r="54341" spans="119:119" x14ac:dyDescent="0.2">
      <c r="DO54341" s="303" t="s">
        <v>232</v>
      </c>
    </row>
    <row r="54342" spans="119:119" x14ac:dyDescent="0.2">
      <c r="DO54342" s="303" t="s">
        <v>232</v>
      </c>
    </row>
    <row r="54343" spans="119:119" x14ac:dyDescent="0.2">
      <c r="DO54343" s="303" t="s">
        <v>232</v>
      </c>
    </row>
    <row r="54344" spans="119:119" x14ac:dyDescent="0.2">
      <c r="DO54344" s="303" t="s">
        <v>232</v>
      </c>
    </row>
    <row r="54345" spans="119:119" x14ac:dyDescent="0.2">
      <c r="DO54345" s="303" t="s">
        <v>232</v>
      </c>
    </row>
    <row r="54346" spans="119:119" x14ac:dyDescent="0.2">
      <c r="DO54346" s="303" t="s">
        <v>232</v>
      </c>
    </row>
    <row r="54347" spans="119:119" x14ac:dyDescent="0.2">
      <c r="DO54347" s="303" t="s">
        <v>232</v>
      </c>
    </row>
    <row r="54348" spans="119:119" x14ac:dyDescent="0.2">
      <c r="DO54348" s="303" t="s">
        <v>232</v>
      </c>
    </row>
    <row r="54349" spans="119:119" x14ac:dyDescent="0.2">
      <c r="DO54349" s="303" t="s">
        <v>232</v>
      </c>
    </row>
    <row r="54350" spans="119:119" x14ac:dyDescent="0.2">
      <c r="DO54350" s="303" t="s">
        <v>232</v>
      </c>
    </row>
    <row r="54351" spans="119:119" x14ac:dyDescent="0.2">
      <c r="DO54351" s="303" t="s">
        <v>232</v>
      </c>
    </row>
    <row r="54352" spans="119:119" x14ac:dyDescent="0.2">
      <c r="DO54352" s="303" t="s">
        <v>232</v>
      </c>
    </row>
    <row r="54353" spans="119:119" x14ac:dyDescent="0.2">
      <c r="DO54353" s="303" t="s">
        <v>232</v>
      </c>
    </row>
    <row r="54354" spans="119:119" x14ac:dyDescent="0.2">
      <c r="DO54354" s="303" t="s">
        <v>232</v>
      </c>
    </row>
    <row r="54355" spans="119:119" x14ac:dyDescent="0.2">
      <c r="DO54355" s="303" t="s">
        <v>232</v>
      </c>
    </row>
    <row r="54356" spans="119:119" x14ac:dyDescent="0.2">
      <c r="DO54356" s="303" t="s">
        <v>232</v>
      </c>
    </row>
    <row r="54357" spans="119:119" x14ac:dyDescent="0.2">
      <c r="DO54357" s="303" t="s">
        <v>232</v>
      </c>
    </row>
    <row r="54358" spans="119:119" x14ac:dyDescent="0.2">
      <c r="DO54358" s="303" t="s">
        <v>232</v>
      </c>
    </row>
    <row r="54359" spans="119:119" x14ac:dyDescent="0.2">
      <c r="DO54359" s="303" t="s">
        <v>232</v>
      </c>
    </row>
    <row r="54360" spans="119:119" x14ac:dyDescent="0.2">
      <c r="DO54360" s="303" t="s">
        <v>232</v>
      </c>
    </row>
    <row r="54361" spans="119:119" x14ac:dyDescent="0.2">
      <c r="DO54361" s="303" t="s">
        <v>232</v>
      </c>
    </row>
    <row r="54362" spans="119:119" x14ac:dyDescent="0.2">
      <c r="DO54362" s="303" t="s">
        <v>232</v>
      </c>
    </row>
    <row r="54363" spans="119:119" x14ac:dyDescent="0.2">
      <c r="DO54363" s="303" t="s">
        <v>232</v>
      </c>
    </row>
    <row r="54364" spans="119:119" x14ac:dyDescent="0.2">
      <c r="DO54364" s="303" t="s">
        <v>232</v>
      </c>
    </row>
    <row r="54365" spans="119:119" x14ac:dyDescent="0.2">
      <c r="DO54365" s="303" t="s">
        <v>232</v>
      </c>
    </row>
    <row r="54366" spans="119:119" x14ac:dyDescent="0.2">
      <c r="DO54366" s="303" t="s">
        <v>232</v>
      </c>
    </row>
    <row r="54367" spans="119:119" x14ac:dyDescent="0.2">
      <c r="DO54367" s="303" t="s">
        <v>232</v>
      </c>
    </row>
    <row r="54368" spans="119:119" x14ac:dyDescent="0.2">
      <c r="DO54368" s="303" t="s">
        <v>232</v>
      </c>
    </row>
    <row r="54369" spans="119:119" x14ac:dyDescent="0.2">
      <c r="DO54369" s="303" t="s">
        <v>232</v>
      </c>
    </row>
    <row r="54370" spans="119:119" x14ac:dyDescent="0.2">
      <c r="DO54370" s="303" t="s">
        <v>232</v>
      </c>
    </row>
    <row r="54371" spans="119:119" x14ac:dyDescent="0.2">
      <c r="DO54371" s="303" t="s">
        <v>232</v>
      </c>
    </row>
    <row r="54372" spans="119:119" x14ac:dyDescent="0.2">
      <c r="DO54372" s="303" t="s">
        <v>232</v>
      </c>
    </row>
    <row r="54373" spans="119:119" x14ac:dyDescent="0.2">
      <c r="DO54373" s="303" t="s">
        <v>232</v>
      </c>
    </row>
    <row r="54374" spans="119:119" x14ac:dyDescent="0.2">
      <c r="DO54374" s="303" t="s">
        <v>232</v>
      </c>
    </row>
    <row r="54375" spans="119:119" x14ac:dyDescent="0.2">
      <c r="DO54375" s="303" t="s">
        <v>232</v>
      </c>
    </row>
    <row r="54376" spans="119:119" x14ac:dyDescent="0.2">
      <c r="DO54376" s="303" t="s">
        <v>232</v>
      </c>
    </row>
    <row r="54377" spans="119:119" x14ac:dyDescent="0.2">
      <c r="DO54377" s="303" t="s">
        <v>232</v>
      </c>
    </row>
    <row r="54378" spans="119:119" x14ac:dyDescent="0.2">
      <c r="DO54378" s="303" t="s">
        <v>232</v>
      </c>
    </row>
    <row r="54379" spans="119:119" x14ac:dyDescent="0.2">
      <c r="DO54379" s="303" t="s">
        <v>232</v>
      </c>
    </row>
    <row r="54380" spans="119:119" x14ac:dyDescent="0.2">
      <c r="DO54380" s="303" t="s">
        <v>232</v>
      </c>
    </row>
    <row r="54381" spans="119:119" x14ac:dyDescent="0.2">
      <c r="DO54381" s="303" t="s">
        <v>232</v>
      </c>
    </row>
    <row r="54382" spans="119:119" x14ac:dyDescent="0.2">
      <c r="DO54382" s="303" t="s">
        <v>232</v>
      </c>
    </row>
    <row r="54383" spans="119:119" x14ac:dyDescent="0.2">
      <c r="DO54383" s="303" t="s">
        <v>232</v>
      </c>
    </row>
    <row r="54384" spans="119:119" x14ac:dyDescent="0.2">
      <c r="DO54384" s="303" t="s">
        <v>232</v>
      </c>
    </row>
    <row r="54385" spans="119:119" x14ac:dyDescent="0.2">
      <c r="DO54385" s="303" t="s">
        <v>232</v>
      </c>
    </row>
    <row r="54386" spans="119:119" x14ac:dyDescent="0.2">
      <c r="DO54386" s="303" t="s">
        <v>232</v>
      </c>
    </row>
    <row r="54387" spans="119:119" x14ac:dyDescent="0.2">
      <c r="DO54387" s="303" t="s">
        <v>232</v>
      </c>
    </row>
    <row r="54388" spans="119:119" x14ac:dyDescent="0.2">
      <c r="DO54388" s="303" t="s">
        <v>232</v>
      </c>
    </row>
    <row r="54389" spans="119:119" x14ac:dyDescent="0.2">
      <c r="DO54389" s="303" t="s">
        <v>232</v>
      </c>
    </row>
    <row r="54390" spans="119:119" x14ac:dyDescent="0.2">
      <c r="DO54390" s="303" t="s">
        <v>232</v>
      </c>
    </row>
    <row r="54391" spans="119:119" x14ac:dyDescent="0.2">
      <c r="DO54391" s="303" t="s">
        <v>232</v>
      </c>
    </row>
    <row r="54392" spans="119:119" x14ac:dyDescent="0.2">
      <c r="DO54392" s="303" t="s">
        <v>232</v>
      </c>
    </row>
    <row r="54393" spans="119:119" x14ac:dyDescent="0.2">
      <c r="DO54393" s="303" t="s">
        <v>232</v>
      </c>
    </row>
    <row r="54394" spans="119:119" x14ac:dyDescent="0.2">
      <c r="DO54394" s="303" t="s">
        <v>232</v>
      </c>
    </row>
    <row r="54395" spans="119:119" x14ac:dyDescent="0.2">
      <c r="DO54395" s="303" t="s">
        <v>232</v>
      </c>
    </row>
    <row r="54396" spans="119:119" x14ac:dyDescent="0.2">
      <c r="DO54396" s="303" t="s">
        <v>232</v>
      </c>
    </row>
    <row r="54397" spans="119:119" x14ac:dyDescent="0.2">
      <c r="DO54397" s="303" t="s">
        <v>232</v>
      </c>
    </row>
    <row r="54398" spans="119:119" x14ac:dyDescent="0.2">
      <c r="DO54398" s="303" t="s">
        <v>232</v>
      </c>
    </row>
    <row r="54399" spans="119:119" x14ac:dyDescent="0.2">
      <c r="DO54399" s="303" t="s">
        <v>232</v>
      </c>
    </row>
    <row r="54400" spans="119:119" x14ac:dyDescent="0.2">
      <c r="DO54400" s="303" t="s">
        <v>232</v>
      </c>
    </row>
    <row r="54401" spans="119:119" x14ac:dyDescent="0.2">
      <c r="DO54401" s="303" t="s">
        <v>232</v>
      </c>
    </row>
    <row r="54402" spans="119:119" x14ac:dyDescent="0.2">
      <c r="DO54402" s="303" t="s">
        <v>232</v>
      </c>
    </row>
    <row r="54403" spans="119:119" x14ac:dyDescent="0.2">
      <c r="DO54403" s="303" t="s">
        <v>232</v>
      </c>
    </row>
    <row r="54404" spans="119:119" x14ac:dyDescent="0.2">
      <c r="DO54404" s="303" t="s">
        <v>232</v>
      </c>
    </row>
    <row r="54405" spans="119:119" x14ac:dyDescent="0.2">
      <c r="DO54405" s="303" t="s">
        <v>232</v>
      </c>
    </row>
    <row r="54406" spans="119:119" x14ac:dyDescent="0.2">
      <c r="DO54406" s="303" t="s">
        <v>232</v>
      </c>
    </row>
    <row r="54407" spans="119:119" x14ac:dyDescent="0.2">
      <c r="DO54407" s="303" t="s">
        <v>232</v>
      </c>
    </row>
    <row r="54408" spans="119:119" x14ac:dyDescent="0.2">
      <c r="DO54408" s="303" t="s">
        <v>232</v>
      </c>
    </row>
    <row r="54409" spans="119:119" x14ac:dyDescent="0.2">
      <c r="DO54409" s="303" t="s">
        <v>232</v>
      </c>
    </row>
    <row r="54410" spans="119:119" x14ac:dyDescent="0.2">
      <c r="DO54410" s="303" t="s">
        <v>232</v>
      </c>
    </row>
    <row r="54411" spans="119:119" x14ac:dyDescent="0.2">
      <c r="DO54411" s="303" t="s">
        <v>232</v>
      </c>
    </row>
    <row r="54412" spans="119:119" x14ac:dyDescent="0.2">
      <c r="DO54412" s="303" t="s">
        <v>232</v>
      </c>
    </row>
    <row r="54413" spans="119:119" x14ac:dyDescent="0.2">
      <c r="DO54413" s="303" t="s">
        <v>232</v>
      </c>
    </row>
    <row r="54414" spans="119:119" x14ac:dyDescent="0.2">
      <c r="DO54414" s="303" t="s">
        <v>232</v>
      </c>
    </row>
    <row r="54415" spans="119:119" x14ac:dyDescent="0.2">
      <c r="DO54415" s="303" t="s">
        <v>232</v>
      </c>
    </row>
    <row r="54416" spans="119:119" x14ac:dyDescent="0.2">
      <c r="DO54416" s="303" t="s">
        <v>232</v>
      </c>
    </row>
    <row r="54417" spans="119:119" x14ac:dyDescent="0.2">
      <c r="DO54417" s="303" t="s">
        <v>232</v>
      </c>
    </row>
    <row r="54418" spans="119:119" x14ac:dyDescent="0.2">
      <c r="DO54418" s="303" t="s">
        <v>232</v>
      </c>
    </row>
    <row r="54419" spans="119:119" x14ac:dyDescent="0.2">
      <c r="DO54419" s="303" t="s">
        <v>232</v>
      </c>
    </row>
    <row r="54420" spans="119:119" x14ac:dyDescent="0.2">
      <c r="DO54420" s="303" t="s">
        <v>232</v>
      </c>
    </row>
    <row r="54421" spans="119:119" x14ac:dyDescent="0.2">
      <c r="DO54421" s="303" t="s">
        <v>232</v>
      </c>
    </row>
    <row r="54422" spans="119:119" x14ac:dyDescent="0.2">
      <c r="DO54422" s="303" t="s">
        <v>232</v>
      </c>
    </row>
    <row r="54423" spans="119:119" x14ac:dyDescent="0.2">
      <c r="DO54423" s="303" t="s">
        <v>232</v>
      </c>
    </row>
    <row r="54424" spans="119:119" x14ac:dyDescent="0.2">
      <c r="DO54424" s="303" t="s">
        <v>232</v>
      </c>
    </row>
    <row r="54425" spans="119:119" x14ac:dyDescent="0.2">
      <c r="DO54425" s="303" t="s">
        <v>232</v>
      </c>
    </row>
    <row r="54426" spans="119:119" x14ac:dyDescent="0.2">
      <c r="DO54426" s="303" t="s">
        <v>232</v>
      </c>
    </row>
    <row r="54427" spans="119:119" x14ac:dyDescent="0.2">
      <c r="DO54427" s="303" t="s">
        <v>232</v>
      </c>
    </row>
    <row r="54428" spans="119:119" x14ac:dyDescent="0.2">
      <c r="DO54428" s="303" t="s">
        <v>232</v>
      </c>
    </row>
    <row r="54429" spans="119:119" x14ac:dyDescent="0.2">
      <c r="DO54429" s="303" t="s">
        <v>232</v>
      </c>
    </row>
    <row r="54430" spans="119:119" x14ac:dyDescent="0.2">
      <c r="DO54430" s="303" t="s">
        <v>232</v>
      </c>
    </row>
    <row r="54431" spans="119:119" x14ac:dyDescent="0.2">
      <c r="DO54431" s="303" t="s">
        <v>232</v>
      </c>
    </row>
    <row r="54432" spans="119:119" x14ac:dyDescent="0.2">
      <c r="DO54432" s="303" t="s">
        <v>232</v>
      </c>
    </row>
    <row r="54433" spans="119:119" x14ac:dyDescent="0.2">
      <c r="DO54433" s="303" t="s">
        <v>232</v>
      </c>
    </row>
    <row r="54434" spans="119:119" x14ac:dyDescent="0.2">
      <c r="DO54434" s="303" t="s">
        <v>232</v>
      </c>
    </row>
    <row r="54435" spans="119:119" x14ac:dyDescent="0.2">
      <c r="DO54435" s="303" t="s">
        <v>232</v>
      </c>
    </row>
    <row r="54436" spans="119:119" x14ac:dyDescent="0.2">
      <c r="DO54436" s="303" t="s">
        <v>232</v>
      </c>
    </row>
    <row r="54437" spans="119:119" x14ac:dyDescent="0.2">
      <c r="DO54437" s="303" t="s">
        <v>232</v>
      </c>
    </row>
    <row r="54438" spans="119:119" x14ac:dyDescent="0.2">
      <c r="DO54438" s="303" t="s">
        <v>232</v>
      </c>
    </row>
    <row r="54439" spans="119:119" x14ac:dyDescent="0.2">
      <c r="DO54439" s="303" t="s">
        <v>232</v>
      </c>
    </row>
    <row r="54440" spans="119:119" x14ac:dyDescent="0.2">
      <c r="DO54440" s="303" t="s">
        <v>232</v>
      </c>
    </row>
    <row r="54441" spans="119:119" x14ac:dyDescent="0.2">
      <c r="DO54441" s="303" t="s">
        <v>232</v>
      </c>
    </row>
    <row r="54442" spans="119:119" x14ac:dyDescent="0.2">
      <c r="DO54442" s="303" t="s">
        <v>232</v>
      </c>
    </row>
    <row r="54443" spans="119:119" x14ac:dyDescent="0.2">
      <c r="DO54443" s="303" t="s">
        <v>232</v>
      </c>
    </row>
    <row r="54444" spans="119:119" x14ac:dyDescent="0.2">
      <c r="DO54444" s="303" t="s">
        <v>232</v>
      </c>
    </row>
    <row r="54445" spans="119:119" x14ac:dyDescent="0.2">
      <c r="DO54445" s="303" t="s">
        <v>232</v>
      </c>
    </row>
    <row r="54446" spans="119:119" x14ac:dyDescent="0.2">
      <c r="DO54446" s="303" t="s">
        <v>232</v>
      </c>
    </row>
    <row r="54447" spans="119:119" x14ac:dyDescent="0.2">
      <c r="DO54447" s="303" t="s">
        <v>232</v>
      </c>
    </row>
    <row r="54448" spans="119:119" x14ac:dyDescent="0.2">
      <c r="DO54448" s="303" t="s">
        <v>232</v>
      </c>
    </row>
    <row r="54449" spans="119:119" x14ac:dyDescent="0.2">
      <c r="DO54449" s="303" t="s">
        <v>232</v>
      </c>
    </row>
    <row r="54450" spans="119:119" x14ac:dyDescent="0.2">
      <c r="DO54450" s="303" t="s">
        <v>232</v>
      </c>
    </row>
    <row r="54451" spans="119:119" x14ac:dyDescent="0.2">
      <c r="DO54451" s="303" t="s">
        <v>232</v>
      </c>
    </row>
    <row r="54452" spans="119:119" x14ac:dyDescent="0.2">
      <c r="DO54452" s="303" t="s">
        <v>232</v>
      </c>
    </row>
    <row r="54453" spans="119:119" x14ac:dyDescent="0.2">
      <c r="DO54453" s="303" t="s">
        <v>232</v>
      </c>
    </row>
    <row r="54454" spans="119:119" x14ac:dyDescent="0.2">
      <c r="DO54454" s="303" t="s">
        <v>232</v>
      </c>
    </row>
    <row r="54455" spans="119:119" x14ac:dyDescent="0.2">
      <c r="DO54455" s="303" t="s">
        <v>232</v>
      </c>
    </row>
    <row r="54456" spans="119:119" x14ac:dyDescent="0.2">
      <c r="DO54456" s="303" t="s">
        <v>232</v>
      </c>
    </row>
    <row r="54457" spans="119:119" x14ac:dyDescent="0.2">
      <c r="DO54457" s="303" t="s">
        <v>232</v>
      </c>
    </row>
    <row r="54458" spans="119:119" x14ac:dyDescent="0.2">
      <c r="DO54458" s="303" t="s">
        <v>232</v>
      </c>
    </row>
    <row r="54459" spans="119:119" x14ac:dyDescent="0.2">
      <c r="DO54459" s="303" t="s">
        <v>232</v>
      </c>
    </row>
    <row r="54460" spans="119:119" x14ac:dyDescent="0.2">
      <c r="DO54460" s="303" t="s">
        <v>232</v>
      </c>
    </row>
    <row r="54461" spans="119:119" x14ac:dyDescent="0.2">
      <c r="DO54461" s="303" t="s">
        <v>232</v>
      </c>
    </row>
    <row r="54462" spans="119:119" x14ac:dyDescent="0.2">
      <c r="DO54462" s="303" t="s">
        <v>232</v>
      </c>
    </row>
    <row r="54463" spans="119:119" x14ac:dyDescent="0.2">
      <c r="DO54463" s="303" t="s">
        <v>232</v>
      </c>
    </row>
    <row r="54464" spans="119:119" x14ac:dyDescent="0.2">
      <c r="DO54464" s="303" t="s">
        <v>232</v>
      </c>
    </row>
    <row r="54465" spans="119:119" x14ac:dyDescent="0.2">
      <c r="DO54465" s="303" t="s">
        <v>232</v>
      </c>
    </row>
    <row r="54466" spans="119:119" x14ac:dyDescent="0.2">
      <c r="DO54466" s="303" t="s">
        <v>232</v>
      </c>
    </row>
    <row r="54467" spans="119:119" x14ac:dyDescent="0.2">
      <c r="DO54467" s="303" t="s">
        <v>232</v>
      </c>
    </row>
    <row r="54468" spans="119:119" x14ac:dyDescent="0.2">
      <c r="DO54468" s="303" t="s">
        <v>232</v>
      </c>
    </row>
    <row r="54469" spans="119:119" x14ac:dyDescent="0.2">
      <c r="DO54469" s="303" t="s">
        <v>232</v>
      </c>
    </row>
    <row r="54470" spans="119:119" x14ac:dyDescent="0.2">
      <c r="DO54470" s="303" t="s">
        <v>232</v>
      </c>
    </row>
    <row r="54471" spans="119:119" x14ac:dyDescent="0.2">
      <c r="DO54471" s="303" t="s">
        <v>232</v>
      </c>
    </row>
    <row r="54472" spans="119:119" x14ac:dyDescent="0.2">
      <c r="DO54472" s="303" t="s">
        <v>232</v>
      </c>
    </row>
    <row r="54473" spans="119:119" x14ac:dyDescent="0.2">
      <c r="DO54473" s="303" t="s">
        <v>232</v>
      </c>
    </row>
    <row r="54474" spans="119:119" x14ac:dyDescent="0.2">
      <c r="DO54474" s="303" t="s">
        <v>232</v>
      </c>
    </row>
    <row r="54475" spans="119:119" x14ac:dyDescent="0.2">
      <c r="DO54475" s="303" t="s">
        <v>232</v>
      </c>
    </row>
    <row r="54476" spans="119:119" x14ac:dyDescent="0.2">
      <c r="DO54476" s="303" t="s">
        <v>232</v>
      </c>
    </row>
    <row r="54477" spans="119:119" x14ac:dyDescent="0.2">
      <c r="DO54477" s="303" t="s">
        <v>232</v>
      </c>
    </row>
    <row r="54478" spans="119:119" x14ac:dyDescent="0.2">
      <c r="DO54478" s="303" t="s">
        <v>232</v>
      </c>
    </row>
    <row r="54479" spans="119:119" x14ac:dyDescent="0.2">
      <c r="DO54479" s="303" t="s">
        <v>232</v>
      </c>
    </row>
    <row r="54480" spans="119:119" x14ac:dyDescent="0.2">
      <c r="DO54480" s="303" t="s">
        <v>232</v>
      </c>
    </row>
    <row r="54481" spans="119:119" x14ac:dyDescent="0.2">
      <c r="DO54481" s="303" t="s">
        <v>232</v>
      </c>
    </row>
    <row r="54482" spans="119:119" x14ac:dyDescent="0.2">
      <c r="DO54482" s="303" t="s">
        <v>232</v>
      </c>
    </row>
    <row r="54483" spans="119:119" x14ac:dyDescent="0.2">
      <c r="DO54483" s="303" t="s">
        <v>232</v>
      </c>
    </row>
    <row r="54484" spans="119:119" x14ac:dyDescent="0.2">
      <c r="DO54484" s="303" t="s">
        <v>232</v>
      </c>
    </row>
    <row r="54485" spans="119:119" x14ac:dyDescent="0.2">
      <c r="DO54485" s="303" t="s">
        <v>232</v>
      </c>
    </row>
    <row r="54486" spans="119:119" x14ac:dyDescent="0.2">
      <c r="DO54486" s="303" t="s">
        <v>232</v>
      </c>
    </row>
    <row r="54487" spans="119:119" x14ac:dyDescent="0.2">
      <c r="DO54487" s="303" t="s">
        <v>232</v>
      </c>
    </row>
    <row r="54488" spans="119:119" x14ac:dyDescent="0.2">
      <c r="DO54488" s="303" t="s">
        <v>232</v>
      </c>
    </row>
    <row r="54489" spans="119:119" x14ac:dyDescent="0.2">
      <c r="DO54489" s="303" t="s">
        <v>232</v>
      </c>
    </row>
    <row r="54490" spans="119:119" x14ac:dyDescent="0.2">
      <c r="DO54490" s="303" t="s">
        <v>232</v>
      </c>
    </row>
    <row r="54491" spans="119:119" x14ac:dyDescent="0.2">
      <c r="DO54491" s="303" t="s">
        <v>232</v>
      </c>
    </row>
    <row r="54492" spans="119:119" x14ac:dyDescent="0.2">
      <c r="DO54492" s="303" t="s">
        <v>232</v>
      </c>
    </row>
    <row r="54493" spans="119:119" x14ac:dyDescent="0.2">
      <c r="DO54493" s="303" t="s">
        <v>232</v>
      </c>
    </row>
    <row r="54494" spans="119:119" x14ac:dyDescent="0.2">
      <c r="DO54494" s="303" t="s">
        <v>232</v>
      </c>
    </row>
    <row r="54495" spans="119:119" x14ac:dyDescent="0.2">
      <c r="DO54495" s="303" t="s">
        <v>232</v>
      </c>
    </row>
    <row r="54496" spans="119:119" x14ac:dyDescent="0.2">
      <c r="DO54496" s="303" t="s">
        <v>232</v>
      </c>
    </row>
    <row r="54497" spans="119:119" x14ac:dyDescent="0.2">
      <c r="DO54497" s="303" t="s">
        <v>232</v>
      </c>
    </row>
    <row r="54498" spans="119:119" x14ac:dyDescent="0.2">
      <c r="DO54498" s="303" t="s">
        <v>232</v>
      </c>
    </row>
    <row r="54499" spans="119:119" x14ac:dyDescent="0.2">
      <c r="DO54499" s="303" t="s">
        <v>232</v>
      </c>
    </row>
    <row r="54500" spans="119:119" x14ac:dyDescent="0.2">
      <c r="DO54500" s="303" t="s">
        <v>232</v>
      </c>
    </row>
    <row r="54501" spans="119:119" x14ac:dyDescent="0.2">
      <c r="DO54501" s="303" t="s">
        <v>232</v>
      </c>
    </row>
    <row r="54502" spans="119:119" x14ac:dyDescent="0.2">
      <c r="DO54502" s="303" t="s">
        <v>232</v>
      </c>
    </row>
    <row r="54503" spans="119:119" x14ac:dyDescent="0.2">
      <c r="DO54503" s="303" t="s">
        <v>232</v>
      </c>
    </row>
    <row r="54504" spans="119:119" x14ac:dyDescent="0.2">
      <c r="DO54504" s="303" t="s">
        <v>232</v>
      </c>
    </row>
    <row r="54505" spans="119:119" x14ac:dyDescent="0.2">
      <c r="DO54505" s="303" t="s">
        <v>232</v>
      </c>
    </row>
    <row r="54506" spans="119:119" x14ac:dyDescent="0.2">
      <c r="DO54506" s="303" t="s">
        <v>232</v>
      </c>
    </row>
    <row r="54507" spans="119:119" x14ac:dyDescent="0.2">
      <c r="DO54507" s="303" t="s">
        <v>232</v>
      </c>
    </row>
    <row r="54508" spans="119:119" x14ac:dyDescent="0.2">
      <c r="DO54508" s="303" t="s">
        <v>232</v>
      </c>
    </row>
    <row r="54509" spans="119:119" x14ac:dyDescent="0.2">
      <c r="DO54509" s="303" t="s">
        <v>232</v>
      </c>
    </row>
    <row r="54510" spans="119:119" x14ac:dyDescent="0.2">
      <c r="DO54510" s="303" t="s">
        <v>232</v>
      </c>
    </row>
    <row r="54511" spans="119:119" x14ac:dyDescent="0.2">
      <c r="DO54511" s="303" t="s">
        <v>232</v>
      </c>
    </row>
    <row r="54512" spans="119:119" x14ac:dyDescent="0.2">
      <c r="DO54512" s="303" t="s">
        <v>232</v>
      </c>
    </row>
    <row r="54513" spans="119:119" x14ac:dyDescent="0.2">
      <c r="DO54513" s="303" t="s">
        <v>232</v>
      </c>
    </row>
    <row r="54514" spans="119:119" x14ac:dyDescent="0.2">
      <c r="DO54514" s="303" t="s">
        <v>232</v>
      </c>
    </row>
    <row r="54515" spans="119:119" x14ac:dyDescent="0.2">
      <c r="DO54515" s="303" t="s">
        <v>232</v>
      </c>
    </row>
    <row r="54516" spans="119:119" x14ac:dyDescent="0.2">
      <c r="DO54516" s="303" t="s">
        <v>232</v>
      </c>
    </row>
    <row r="54517" spans="119:119" x14ac:dyDescent="0.2">
      <c r="DO54517" s="303" t="s">
        <v>232</v>
      </c>
    </row>
    <row r="54518" spans="119:119" x14ac:dyDescent="0.2">
      <c r="DO54518" s="303" t="s">
        <v>232</v>
      </c>
    </row>
    <row r="54519" spans="119:119" x14ac:dyDescent="0.2">
      <c r="DO54519" s="303" t="s">
        <v>232</v>
      </c>
    </row>
    <row r="54520" spans="119:119" x14ac:dyDescent="0.2">
      <c r="DO54520" s="303" t="s">
        <v>232</v>
      </c>
    </row>
    <row r="54521" spans="119:119" x14ac:dyDescent="0.2">
      <c r="DO54521" s="303" t="s">
        <v>232</v>
      </c>
    </row>
    <row r="54522" spans="119:119" x14ac:dyDescent="0.2">
      <c r="DO54522" s="303" t="s">
        <v>232</v>
      </c>
    </row>
    <row r="54523" spans="119:119" x14ac:dyDescent="0.2">
      <c r="DO54523" s="303" t="s">
        <v>232</v>
      </c>
    </row>
    <row r="54524" spans="119:119" x14ac:dyDescent="0.2">
      <c r="DO54524" s="303" t="s">
        <v>232</v>
      </c>
    </row>
    <row r="54525" spans="119:119" x14ac:dyDescent="0.2">
      <c r="DO54525" s="303" t="s">
        <v>232</v>
      </c>
    </row>
    <row r="54526" spans="119:119" x14ac:dyDescent="0.2">
      <c r="DO54526" s="303" t="s">
        <v>232</v>
      </c>
    </row>
    <row r="54527" spans="119:119" x14ac:dyDescent="0.2">
      <c r="DO54527" s="303" t="s">
        <v>232</v>
      </c>
    </row>
    <row r="54528" spans="119:119" x14ac:dyDescent="0.2">
      <c r="DO54528" s="303" t="s">
        <v>232</v>
      </c>
    </row>
    <row r="54529" spans="119:119" x14ac:dyDescent="0.2">
      <c r="DO54529" s="303" t="s">
        <v>232</v>
      </c>
    </row>
    <row r="54530" spans="119:119" x14ac:dyDescent="0.2">
      <c r="DO54530" s="303" t="s">
        <v>232</v>
      </c>
    </row>
    <row r="54531" spans="119:119" x14ac:dyDescent="0.2">
      <c r="DO54531" s="303" t="s">
        <v>232</v>
      </c>
    </row>
    <row r="54532" spans="119:119" x14ac:dyDescent="0.2">
      <c r="DO54532" s="303" t="s">
        <v>232</v>
      </c>
    </row>
    <row r="54533" spans="119:119" x14ac:dyDescent="0.2">
      <c r="DO54533" s="303" t="s">
        <v>232</v>
      </c>
    </row>
    <row r="54534" spans="119:119" x14ac:dyDescent="0.2">
      <c r="DO54534" s="303" t="s">
        <v>232</v>
      </c>
    </row>
    <row r="54535" spans="119:119" x14ac:dyDescent="0.2">
      <c r="DO54535" s="303" t="s">
        <v>232</v>
      </c>
    </row>
    <row r="54536" spans="119:119" x14ac:dyDescent="0.2">
      <c r="DO54536" s="303" t="s">
        <v>232</v>
      </c>
    </row>
    <row r="54537" spans="119:119" x14ac:dyDescent="0.2">
      <c r="DO54537" s="303" t="s">
        <v>232</v>
      </c>
    </row>
    <row r="54538" spans="119:119" x14ac:dyDescent="0.2">
      <c r="DO54538" s="303" t="s">
        <v>232</v>
      </c>
    </row>
    <row r="54539" spans="119:119" x14ac:dyDescent="0.2">
      <c r="DO54539" s="303" t="s">
        <v>232</v>
      </c>
    </row>
    <row r="54540" spans="119:119" x14ac:dyDescent="0.2">
      <c r="DO54540" s="303" t="s">
        <v>232</v>
      </c>
    </row>
    <row r="54541" spans="119:119" x14ac:dyDescent="0.2">
      <c r="DO54541" s="303" t="s">
        <v>232</v>
      </c>
    </row>
    <row r="54542" spans="119:119" x14ac:dyDescent="0.2">
      <c r="DO54542" s="303" t="s">
        <v>232</v>
      </c>
    </row>
    <row r="54543" spans="119:119" x14ac:dyDescent="0.2">
      <c r="DO54543" s="303" t="s">
        <v>232</v>
      </c>
    </row>
    <row r="54544" spans="119:119" x14ac:dyDescent="0.2">
      <c r="DO54544" s="303" t="s">
        <v>232</v>
      </c>
    </row>
    <row r="54545" spans="119:119" x14ac:dyDescent="0.2">
      <c r="DO54545" s="303" t="s">
        <v>232</v>
      </c>
    </row>
    <row r="54546" spans="119:119" x14ac:dyDescent="0.2">
      <c r="DO54546" s="303" t="s">
        <v>232</v>
      </c>
    </row>
    <row r="54547" spans="119:119" x14ac:dyDescent="0.2">
      <c r="DO54547" s="303" t="s">
        <v>232</v>
      </c>
    </row>
    <row r="54548" spans="119:119" x14ac:dyDescent="0.2">
      <c r="DO54548" s="303" t="s">
        <v>232</v>
      </c>
    </row>
    <row r="54549" spans="119:119" x14ac:dyDescent="0.2">
      <c r="DO54549" s="303" t="s">
        <v>232</v>
      </c>
    </row>
    <row r="54550" spans="119:119" x14ac:dyDescent="0.2">
      <c r="DO54550" s="303" t="s">
        <v>232</v>
      </c>
    </row>
    <row r="54551" spans="119:119" x14ac:dyDescent="0.2">
      <c r="DO54551" s="303" t="s">
        <v>232</v>
      </c>
    </row>
    <row r="54552" spans="119:119" x14ac:dyDescent="0.2">
      <c r="DO54552" s="303" t="s">
        <v>232</v>
      </c>
    </row>
    <row r="54553" spans="119:119" x14ac:dyDescent="0.2">
      <c r="DO54553" s="303" t="s">
        <v>232</v>
      </c>
    </row>
    <row r="54554" spans="119:119" x14ac:dyDescent="0.2">
      <c r="DO54554" s="303" t="s">
        <v>232</v>
      </c>
    </row>
    <row r="54555" spans="119:119" x14ac:dyDescent="0.2">
      <c r="DO54555" s="303" t="s">
        <v>232</v>
      </c>
    </row>
    <row r="54556" spans="119:119" x14ac:dyDescent="0.2">
      <c r="DO54556" s="303" t="s">
        <v>232</v>
      </c>
    </row>
    <row r="54557" spans="119:119" x14ac:dyDescent="0.2">
      <c r="DO54557" s="303" t="s">
        <v>232</v>
      </c>
    </row>
    <row r="54558" spans="119:119" x14ac:dyDescent="0.2">
      <c r="DO54558" s="303" t="s">
        <v>232</v>
      </c>
    </row>
    <row r="54559" spans="119:119" x14ac:dyDescent="0.2">
      <c r="DO54559" s="303" t="s">
        <v>232</v>
      </c>
    </row>
    <row r="54560" spans="119:119" x14ac:dyDescent="0.2">
      <c r="DO54560" s="303" t="s">
        <v>232</v>
      </c>
    </row>
    <row r="54561" spans="119:119" x14ac:dyDescent="0.2">
      <c r="DO54561" s="303" t="s">
        <v>232</v>
      </c>
    </row>
    <row r="54562" spans="119:119" x14ac:dyDescent="0.2">
      <c r="DO54562" s="303" t="s">
        <v>232</v>
      </c>
    </row>
    <row r="54563" spans="119:119" x14ac:dyDescent="0.2">
      <c r="DO54563" s="303" t="s">
        <v>232</v>
      </c>
    </row>
    <row r="54564" spans="119:119" x14ac:dyDescent="0.2">
      <c r="DO54564" s="303" t="s">
        <v>232</v>
      </c>
    </row>
    <row r="54565" spans="119:119" x14ac:dyDescent="0.2">
      <c r="DO54565" s="303" t="s">
        <v>232</v>
      </c>
    </row>
    <row r="54566" spans="119:119" x14ac:dyDescent="0.2">
      <c r="DO54566" s="303" t="s">
        <v>232</v>
      </c>
    </row>
    <row r="54567" spans="119:119" x14ac:dyDescent="0.2">
      <c r="DO54567" s="303" t="s">
        <v>232</v>
      </c>
    </row>
    <row r="54568" spans="119:119" x14ac:dyDescent="0.2">
      <c r="DO54568" s="303" t="s">
        <v>232</v>
      </c>
    </row>
    <row r="54569" spans="119:119" x14ac:dyDescent="0.2">
      <c r="DO54569" s="303" t="s">
        <v>232</v>
      </c>
    </row>
    <row r="54570" spans="119:119" x14ac:dyDescent="0.2">
      <c r="DO54570" s="303" t="s">
        <v>232</v>
      </c>
    </row>
    <row r="54571" spans="119:119" x14ac:dyDescent="0.2">
      <c r="DO54571" s="303" t="s">
        <v>232</v>
      </c>
    </row>
    <row r="54572" spans="119:119" x14ac:dyDescent="0.2">
      <c r="DO54572" s="303" t="s">
        <v>232</v>
      </c>
    </row>
    <row r="54573" spans="119:119" x14ac:dyDescent="0.2">
      <c r="DO54573" s="303" t="s">
        <v>232</v>
      </c>
    </row>
    <row r="54574" spans="119:119" x14ac:dyDescent="0.2">
      <c r="DO54574" s="303" t="s">
        <v>232</v>
      </c>
    </row>
    <row r="54575" spans="119:119" x14ac:dyDescent="0.2">
      <c r="DO54575" s="303" t="s">
        <v>232</v>
      </c>
    </row>
    <row r="54576" spans="119:119" x14ac:dyDescent="0.2">
      <c r="DO54576" s="303" t="s">
        <v>232</v>
      </c>
    </row>
    <row r="54577" spans="119:119" x14ac:dyDescent="0.2">
      <c r="DO54577" s="303" t="s">
        <v>232</v>
      </c>
    </row>
    <row r="54578" spans="119:119" x14ac:dyDescent="0.2">
      <c r="DO54578" s="303" t="s">
        <v>232</v>
      </c>
    </row>
    <row r="54579" spans="119:119" x14ac:dyDescent="0.2">
      <c r="DO54579" s="303" t="s">
        <v>232</v>
      </c>
    </row>
    <row r="54580" spans="119:119" x14ac:dyDescent="0.2">
      <c r="DO54580" s="303" t="s">
        <v>232</v>
      </c>
    </row>
    <row r="54581" spans="119:119" x14ac:dyDescent="0.2">
      <c r="DO54581" s="303" t="s">
        <v>232</v>
      </c>
    </row>
    <row r="54582" spans="119:119" x14ac:dyDescent="0.2">
      <c r="DO54582" s="303" t="s">
        <v>232</v>
      </c>
    </row>
    <row r="54583" spans="119:119" x14ac:dyDescent="0.2">
      <c r="DO54583" s="303" t="s">
        <v>232</v>
      </c>
    </row>
    <row r="54584" spans="119:119" x14ac:dyDescent="0.2">
      <c r="DO54584" s="303" t="s">
        <v>232</v>
      </c>
    </row>
    <row r="54585" spans="119:119" x14ac:dyDescent="0.2">
      <c r="DO54585" s="303" t="s">
        <v>232</v>
      </c>
    </row>
    <row r="54586" spans="119:119" x14ac:dyDescent="0.2">
      <c r="DO54586" s="303" t="s">
        <v>232</v>
      </c>
    </row>
    <row r="54587" spans="119:119" x14ac:dyDescent="0.2">
      <c r="DO54587" s="303" t="s">
        <v>232</v>
      </c>
    </row>
    <row r="54588" spans="119:119" x14ac:dyDescent="0.2">
      <c r="DO54588" s="303" t="s">
        <v>232</v>
      </c>
    </row>
    <row r="54589" spans="119:119" x14ac:dyDescent="0.2">
      <c r="DO54589" s="303" t="s">
        <v>232</v>
      </c>
    </row>
    <row r="54590" spans="119:119" x14ac:dyDescent="0.2">
      <c r="DO54590" s="303" t="s">
        <v>232</v>
      </c>
    </row>
    <row r="54591" spans="119:119" x14ac:dyDescent="0.2">
      <c r="DO54591" s="303" t="s">
        <v>232</v>
      </c>
    </row>
    <row r="54592" spans="119:119" x14ac:dyDescent="0.2">
      <c r="DO54592" s="303" t="s">
        <v>232</v>
      </c>
    </row>
    <row r="54593" spans="119:119" x14ac:dyDescent="0.2">
      <c r="DO54593" s="303" t="s">
        <v>232</v>
      </c>
    </row>
    <row r="54594" spans="119:119" x14ac:dyDescent="0.2">
      <c r="DO54594" s="303" t="s">
        <v>232</v>
      </c>
    </row>
    <row r="54595" spans="119:119" x14ac:dyDescent="0.2">
      <c r="DO54595" s="303" t="s">
        <v>232</v>
      </c>
    </row>
    <row r="54596" spans="119:119" x14ac:dyDescent="0.2">
      <c r="DO54596" s="303" t="s">
        <v>232</v>
      </c>
    </row>
    <row r="54597" spans="119:119" x14ac:dyDescent="0.2">
      <c r="DO54597" s="303" t="s">
        <v>232</v>
      </c>
    </row>
    <row r="54598" spans="119:119" x14ac:dyDescent="0.2">
      <c r="DO54598" s="303" t="s">
        <v>232</v>
      </c>
    </row>
    <row r="54599" spans="119:119" x14ac:dyDescent="0.2">
      <c r="DO54599" s="303" t="s">
        <v>232</v>
      </c>
    </row>
    <row r="54600" spans="119:119" x14ac:dyDescent="0.2">
      <c r="DO54600" s="303" t="s">
        <v>232</v>
      </c>
    </row>
    <row r="54601" spans="119:119" x14ac:dyDescent="0.2">
      <c r="DO54601" s="303" t="s">
        <v>232</v>
      </c>
    </row>
    <row r="54602" spans="119:119" x14ac:dyDescent="0.2">
      <c r="DO54602" s="303" t="s">
        <v>232</v>
      </c>
    </row>
    <row r="54603" spans="119:119" x14ac:dyDescent="0.2">
      <c r="DO54603" s="303" t="s">
        <v>232</v>
      </c>
    </row>
    <row r="54604" spans="119:119" x14ac:dyDescent="0.2">
      <c r="DO54604" s="303" t="s">
        <v>232</v>
      </c>
    </row>
    <row r="54605" spans="119:119" x14ac:dyDescent="0.2">
      <c r="DO54605" s="303" t="s">
        <v>232</v>
      </c>
    </row>
    <row r="54606" spans="119:119" x14ac:dyDescent="0.2">
      <c r="DO54606" s="303" t="s">
        <v>232</v>
      </c>
    </row>
    <row r="54607" spans="119:119" x14ac:dyDescent="0.2">
      <c r="DO54607" s="303" t="s">
        <v>232</v>
      </c>
    </row>
    <row r="54608" spans="119:119" x14ac:dyDescent="0.2">
      <c r="DO54608" s="303" t="s">
        <v>232</v>
      </c>
    </row>
    <row r="54609" spans="119:119" x14ac:dyDescent="0.2">
      <c r="DO54609" s="303" t="s">
        <v>232</v>
      </c>
    </row>
    <row r="54610" spans="119:119" x14ac:dyDescent="0.2">
      <c r="DO54610" s="303" t="s">
        <v>232</v>
      </c>
    </row>
    <row r="54611" spans="119:119" x14ac:dyDescent="0.2">
      <c r="DO54611" s="303" t="s">
        <v>232</v>
      </c>
    </row>
    <row r="54612" spans="119:119" x14ac:dyDescent="0.2">
      <c r="DO54612" s="303" t="s">
        <v>232</v>
      </c>
    </row>
    <row r="54613" spans="119:119" x14ac:dyDescent="0.2">
      <c r="DO54613" s="303" t="s">
        <v>232</v>
      </c>
    </row>
    <row r="54614" spans="119:119" x14ac:dyDescent="0.2">
      <c r="DO54614" s="303" t="s">
        <v>232</v>
      </c>
    </row>
    <row r="54615" spans="119:119" x14ac:dyDescent="0.2">
      <c r="DO54615" s="303" t="s">
        <v>232</v>
      </c>
    </row>
    <row r="54616" spans="119:119" x14ac:dyDescent="0.2">
      <c r="DO54616" s="303" t="s">
        <v>232</v>
      </c>
    </row>
    <row r="54617" spans="119:119" x14ac:dyDescent="0.2">
      <c r="DO54617" s="303" t="s">
        <v>232</v>
      </c>
    </row>
    <row r="54618" spans="119:119" x14ac:dyDescent="0.2">
      <c r="DO54618" s="303" t="s">
        <v>232</v>
      </c>
    </row>
    <row r="54619" spans="119:119" x14ac:dyDescent="0.2">
      <c r="DO54619" s="303" t="s">
        <v>232</v>
      </c>
    </row>
    <row r="54620" spans="119:119" x14ac:dyDescent="0.2">
      <c r="DO54620" s="303" t="s">
        <v>232</v>
      </c>
    </row>
    <row r="54621" spans="119:119" x14ac:dyDescent="0.2">
      <c r="DO54621" s="303" t="s">
        <v>232</v>
      </c>
    </row>
    <row r="54622" spans="119:119" x14ac:dyDescent="0.2">
      <c r="DO54622" s="303" t="s">
        <v>232</v>
      </c>
    </row>
    <row r="54623" spans="119:119" x14ac:dyDescent="0.2">
      <c r="DO54623" s="303" t="s">
        <v>232</v>
      </c>
    </row>
    <row r="54624" spans="119:119" x14ac:dyDescent="0.2">
      <c r="DO54624" s="303" t="s">
        <v>232</v>
      </c>
    </row>
    <row r="54625" spans="119:119" x14ac:dyDescent="0.2">
      <c r="DO54625" s="303" t="s">
        <v>232</v>
      </c>
    </row>
    <row r="54626" spans="119:119" x14ac:dyDescent="0.2">
      <c r="DO54626" s="303" t="s">
        <v>232</v>
      </c>
    </row>
    <row r="54627" spans="119:119" x14ac:dyDescent="0.2">
      <c r="DO54627" s="303" t="s">
        <v>232</v>
      </c>
    </row>
    <row r="54628" spans="119:119" x14ac:dyDescent="0.2">
      <c r="DO54628" s="303" t="s">
        <v>232</v>
      </c>
    </row>
    <row r="54629" spans="119:119" x14ac:dyDescent="0.2">
      <c r="DO54629" s="303" t="s">
        <v>232</v>
      </c>
    </row>
    <row r="54630" spans="119:119" x14ac:dyDescent="0.2">
      <c r="DO54630" s="303" t="s">
        <v>232</v>
      </c>
    </row>
    <row r="54631" spans="119:119" x14ac:dyDescent="0.2">
      <c r="DO54631" s="303" t="s">
        <v>232</v>
      </c>
    </row>
    <row r="54632" spans="119:119" x14ac:dyDescent="0.2">
      <c r="DO54632" s="303" t="s">
        <v>232</v>
      </c>
    </row>
    <row r="54633" spans="119:119" x14ac:dyDescent="0.2">
      <c r="DO54633" s="303" t="s">
        <v>232</v>
      </c>
    </row>
    <row r="54634" spans="119:119" x14ac:dyDescent="0.2">
      <c r="DO54634" s="303" t="s">
        <v>232</v>
      </c>
    </row>
    <row r="54635" spans="119:119" x14ac:dyDescent="0.2">
      <c r="DO54635" s="303" t="s">
        <v>232</v>
      </c>
    </row>
    <row r="54636" spans="119:119" x14ac:dyDescent="0.2">
      <c r="DO54636" s="303" t="s">
        <v>232</v>
      </c>
    </row>
    <row r="54637" spans="119:119" x14ac:dyDescent="0.2">
      <c r="DO54637" s="303" t="s">
        <v>232</v>
      </c>
    </row>
    <row r="54638" spans="119:119" x14ac:dyDescent="0.2">
      <c r="DO54638" s="303" t="s">
        <v>232</v>
      </c>
    </row>
    <row r="54639" spans="119:119" x14ac:dyDescent="0.2">
      <c r="DO54639" s="303" t="s">
        <v>232</v>
      </c>
    </row>
    <row r="54640" spans="119:119" x14ac:dyDescent="0.2">
      <c r="DO54640" s="303" t="s">
        <v>232</v>
      </c>
    </row>
    <row r="54641" spans="119:119" x14ac:dyDescent="0.2">
      <c r="DO54641" s="303" t="s">
        <v>232</v>
      </c>
    </row>
    <row r="54642" spans="119:119" x14ac:dyDescent="0.2">
      <c r="DO54642" s="303" t="s">
        <v>232</v>
      </c>
    </row>
    <row r="54643" spans="119:119" x14ac:dyDescent="0.2">
      <c r="DO54643" s="303" t="s">
        <v>232</v>
      </c>
    </row>
    <row r="54644" spans="119:119" x14ac:dyDescent="0.2">
      <c r="DO54644" s="303" t="s">
        <v>232</v>
      </c>
    </row>
    <row r="54645" spans="119:119" x14ac:dyDescent="0.2">
      <c r="DO54645" s="303" t="s">
        <v>232</v>
      </c>
    </row>
    <row r="54646" spans="119:119" x14ac:dyDescent="0.2">
      <c r="DO54646" s="303" t="s">
        <v>232</v>
      </c>
    </row>
    <row r="54647" spans="119:119" x14ac:dyDescent="0.2">
      <c r="DO54647" s="303" t="s">
        <v>232</v>
      </c>
    </row>
    <row r="54648" spans="119:119" x14ac:dyDescent="0.2">
      <c r="DO54648" s="303" t="s">
        <v>232</v>
      </c>
    </row>
    <row r="54649" spans="119:119" x14ac:dyDescent="0.2">
      <c r="DO54649" s="303" t="s">
        <v>232</v>
      </c>
    </row>
    <row r="54650" spans="119:119" x14ac:dyDescent="0.2">
      <c r="DO54650" s="303" t="s">
        <v>232</v>
      </c>
    </row>
    <row r="54651" spans="119:119" x14ac:dyDescent="0.2">
      <c r="DO54651" s="303" t="s">
        <v>232</v>
      </c>
    </row>
    <row r="54652" spans="119:119" x14ac:dyDescent="0.2">
      <c r="DO54652" s="303" t="s">
        <v>232</v>
      </c>
    </row>
    <row r="54653" spans="119:119" x14ac:dyDescent="0.2">
      <c r="DO54653" s="303" t="s">
        <v>232</v>
      </c>
    </row>
    <row r="54654" spans="119:119" x14ac:dyDescent="0.2">
      <c r="DO54654" s="303" t="s">
        <v>232</v>
      </c>
    </row>
    <row r="54655" spans="119:119" x14ac:dyDescent="0.2">
      <c r="DO54655" s="303" t="s">
        <v>232</v>
      </c>
    </row>
    <row r="54656" spans="119:119" x14ac:dyDescent="0.2">
      <c r="DO54656" s="303" t="s">
        <v>232</v>
      </c>
    </row>
    <row r="54657" spans="119:119" x14ac:dyDescent="0.2">
      <c r="DO54657" s="303" t="s">
        <v>232</v>
      </c>
    </row>
    <row r="54658" spans="119:119" x14ac:dyDescent="0.2">
      <c r="DO54658" s="303" t="s">
        <v>232</v>
      </c>
    </row>
    <row r="54659" spans="119:119" x14ac:dyDescent="0.2">
      <c r="DO54659" s="303" t="s">
        <v>232</v>
      </c>
    </row>
    <row r="54660" spans="119:119" x14ac:dyDescent="0.2">
      <c r="DO54660" s="303" t="s">
        <v>232</v>
      </c>
    </row>
    <row r="54661" spans="119:119" x14ac:dyDescent="0.2">
      <c r="DO54661" s="303" t="s">
        <v>232</v>
      </c>
    </row>
    <row r="54662" spans="119:119" x14ac:dyDescent="0.2">
      <c r="DO54662" s="303" t="s">
        <v>232</v>
      </c>
    </row>
    <row r="54663" spans="119:119" x14ac:dyDescent="0.2">
      <c r="DO54663" s="303" t="s">
        <v>232</v>
      </c>
    </row>
    <row r="54664" spans="119:119" x14ac:dyDescent="0.2">
      <c r="DO54664" s="303" t="s">
        <v>232</v>
      </c>
    </row>
    <row r="54665" spans="119:119" x14ac:dyDescent="0.2">
      <c r="DO54665" s="303" t="s">
        <v>232</v>
      </c>
    </row>
    <row r="54666" spans="119:119" x14ac:dyDescent="0.2">
      <c r="DO54666" s="303" t="s">
        <v>232</v>
      </c>
    </row>
    <row r="54667" spans="119:119" x14ac:dyDescent="0.2">
      <c r="DO54667" s="303" t="s">
        <v>232</v>
      </c>
    </row>
    <row r="54668" spans="119:119" x14ac:dyDescent="0.2">
      <c r="DO54668" s="303" t="s">
        <v>232</v>
      </c>
    </row>
    <row r="54669" spans="119:119" x14ac:dyDescent="0.2">
      <c r="DO54669" s="303" t="s">
        <v>232</v>
      </c>
    </row>
    <row r="54670" spans="119:119" x14ac:dyDescent="0.2">
      <c r="DO54670" s="303" t="s">
        <v>232</v>
      </c>
    </row>
    <row r="54671" spans="119:119" x14ac:dyDescent="0.2">
      <c r="DO54671" s="303" t="s">
        <v>232</v>
      </c>
    </row>
    <row r="54672" spans="119:119" x14ac:dyDescent="0.2">
      <c r="DO54672" s="303" t="s">
        <v>232</v>
      </c>
    </row>
    <row r="54673" spans="119:119" x14ac:dyDescent="0.2">
      <c r="DO54673" s="303" t="s">
        <v>232</v>
      </c>
    </row>
    <row r="54674" spans="119:119" x14ac:dyDescent="0.2">
      <c r="DO54674" s="303" t="s">
        <v>232</v>
      </c>
    </row>
    <row r="54675" spans="119:119" x14ac:dyDescent="0.2">
      <c r="DO54675" s="303" t="s">
        <v>232</v>
      </c>
    </row>
    <row r="54676" spans="119:119" x14ac:dyDescent="0.2">
      <c r="DO54676" s="303" t="s">
        <v>232</v>
      </c>
    </row>
    <row r="54677" spans="119:119" x14ac:dyDescent="0.2">
      <c r="DO54677" s="303" t="s">
        <v>232</v>
      </c>
    </row>
    <row r="54678" spans="119:119" x14ac:dyDescent="0.2">
      <c r="DO54678" s="303" t="s">
        <v>232</v>
      </c>
    </row>
    <row r="54679" spans="119:119" x14ac:dyDescent="0.2">
      <c r="DO54679" s="303" t="s">
        <v>232</v>
      </c>
    </row>
    <row r="54680" spans="119:119" x14ac:dyDescent="0.2">
      <c r="DO54680" s="303" t="s">
        <v>232</v>
      </c>
    </row>
    <row r="54681" spans="119:119" x14ac:dyDescent="0.2">
      <c r="DO54681" s="303" t="s">
        <v>232</v>
      </c>
    </row>
    <row r="54682" spans="119:119" x14ac:dyDescent="0.2">
      <c r="DO54682" s="303" t="s">
        <v>232</v>
      </c>
    </row>
    <row r="54683" spans="119:119" x14ac:dyDescent="0.2">
      <c r="DO54683" s="303" t="s">
        <v>232</v>
      </c>
    </row>
    <row r="54684" spans="119:119" x14ac:dyDescent="0.2">
      <c r="DO54684" s="303" t="s">
        <v>232</v>
      </c>
    </row>
    <row r="54685" spans="119:119" x14ac:dyDescent="0.2">
      <c r="DO54685" s="303" t="s">
        <v>232</v>
      </c>
    </row>
    <row r="54686" spans="119:119" x14ac:dyDescent="0.2">
      <c r="DO54686" s="303" t="s">
        <v>232</v>
      </c>
    </row>
    <row r="54687" spans="119:119" x14ac:dyDescent="0.2">
      <c r="DO54687" s="303" t="s">
        <v>232</v>
      </c>
    </row>
    <row r="54688" spans="119:119" x14ac:dyDescent="0.2">
      <c r="DO54688" s="303" t="s">
        <v>232</v>
      </c>
    </row>
    <row r="54689" spans="119:119" x14ac:dyDescent="0.2">
      <c r="DO54689" s="303" t="s">
        <v>232</v>
      </c>
    </row>
    <row r="54690" spans="119:119" x14ac:dyDescent="0.2">
      <c r="DO54690" s="303" t="s">
        <v>232</v>
      </c>
    </row>
    <row r="54691" spans="119:119" x14ac:dyDescent="0.2">
      <c r="DO54691" s="303" t="s">
        <v>232</v>
      </c>
    </row>
    <row r="54692" spans="119:119" x14ac:dyDescent="0.2">
      <c r="DO54692" s="303" t="s">
        <v>232</v>
      </c>
    </row>
    <row r="54693" spans="119:119" x14ac:dyDescent="0.2">
      <c r="DO54693" s="303" t="s">
        <v>232</v>
      </c>
    </row>
    <row r="54694" spans="119:119" x14ac:dyDescent="0.2">
      <c r="DO54694" s="303" t="s">
        <v>232</v>
      </c>
    </row>
    <row r="54695" spans="119:119" x14ac:dyDescent="0.2">
      <c r="DO54695" s="303" t="s">
        <v>232</v>
      </c>
    </row>
    <row r="54696" spans="119:119" x14ac:dyDescent="0.2">
      <c r="DO54696" s="303" t="s">
        <v>232</v>
      </c>
    </row>
    <row r="54697" spans="119:119" x14ac:dyDescent="0.2">
      <c r="DO54697" s="303" t="s">
        <v>232</v>
      </c>
    </row>
    <row r="54698" spans="119:119" x14ac:dyDescent="0.2">
      <c r="DO54698" s="303" t="s">
        <v>232</v>
      </c>
    </row>
    <row r="54699" spans="119:119" x14ac:dyDescent="0.2">
      <c r="DO54699" s="303" t="s">
        <v>232</v>
      </c>
    </row>
    <row r="54700" spans="119:119" x14ac:dyDescent="0.2">
      <c r="DO54700" s="303" t="s">
        <v>232</v>
      </c>
    </row>
    <row r="54701" spans="119:119" x14ac:dyDescent="0.2">
      <c r="DO54701" s="303" t="s">
        <v>232</v>
      </c>
    </row>
    <row r="54702" spans="119:119" x14ac:dyDescent="0.2">
      <c r="DO54702" s="303" t="s">
        <v>232</v>
      </c>
    </row>
    <row r="54703" spans="119:119" x14ac:dyDescent="0.2">
      <c r="DO54703" s="303" t="s">
        <v>232</v>
      </c>
    </row>
    <row r="54704" spans="119:119" x14ac:dyDescent="0.2">
      <c r="DO54704" s="303" t="s">
        <v>232</v>
      </c>
    </row>
    <row r="54705" spans="119:119" x14ac:dyDescent="0.2">
      <c r="DO54705" s="303" t="s">
        <v>232</v>
      </c>
    </row>
    <row r="54706" spans="119:119" x14ac:dyDescent="0.2">
      <c r="DO54706" s="303" t="s">
        <v>232</v>
      </c>
    </row>
    <row r="54707" spans="119:119" x14ac:dyDescent="0.2">
      <c r="DO54707" s="303" t="s">
        <v>232</v>
      </c>
    </row>
    <row r="54708" spans="119:119" x14ac:dyDescent="0.2">
      <c r="DO54708" s="303" t="s">
        <v>232</v>
      </c>
    </row>
    <row r="54709" spans="119:119" x14ac:dyDescent="0.2">
      <c r="DO54709" s="303" t="s">
        <v>232</v>
      </c>
    </row>
    <row r="54710" spans="119:119" x14ac:dyDescent="0.2">
      <c r="DO54710" s="303" t="s">
        <v>232</v>
      </c>
    </row>
    <row r="54711" spans="119:119" x14ac:dyDescent="0.2">
      <c r="DO54711" s="303" t="s">
        <v>232</v>
      </c>
    </row>
    <row r="54712" spans="119:119" x14ac:dyDescent="0.2">
      <c r="DO54712" s="303" t="s">
        <v>232</v>
      </c>
    </row>
    <row r="54713" spans="119:119" x14ac:dyDescent="0.2">
      <c r="DO54713" s="303" t="s">
        <v>232</v>
      </c>
    </row>
    <row r="54714" spans="119:119" x14ac:dyDescent="0.2">
      <c r="DO54714" s="303" t="s">
        <v>232</v>
      </c>
    </row>
    <row r="54715" spans="119:119" x14ac:dyDescent="0.2">
      <c r="DO54715" s="303" t="s">
        <v>232</v>
      </c>
    </row>
    <row r="54716" spans="119:119" x14ac:dyDescent="0.2">
      <c r="DO54716" s="303" t="s">
        <v>232</v>
      </c>
    </row>
    <row r="54717" spans="119:119" x14ac:dyDescent="0.2">
      <c r="DO54717" s="303" t="s">
        <v>232</v>
      </c>
    </row>
    <row r="54718" spans="119:119" x14ac:dyDescent="0.2">
      <c r="DO54718" s="303" t="s">
        <v>232</v>
      </c>
    </row>
    <row r="54719" spans="119:119" x14ac:dyDescent="0.2">
      <c r="DO54719" s="303" t="s">
        <v>232</v>
      </c>
    </row>
    <row r="54720" spans="119:119" x14ac:dyDescent="0.2">
      <c r="DO54720" s="303" t="s">
        <v>232</v>
      </c>
    </row>
    <row r="54721" spans="119:119" x14ac:dyDescent="0.2">
      <c r="DO54721" s="303" t="s">
        <v>232</v>
      </c>
    </row>
    <row r="54722" spans="119:119" x14ac:dyDescent="0.2">
      <c r="DO54722" s="303" t="s">
        <v>232</v>
      </c>
    </row>
    <row r="54723" spans="119:119" x14ac:dyDescent="0.2">
      <c r="DO54723" s="303" t="s">
        <v>232</v>
      </c>
    </row>
    <row r="54724" spans="119:119" x14ac:dyDescent="0.2">
      <c r="DO54724" s="303" t="s">
        <v>232</v>
      </c>
    </row>
    <row r="54725" spans="119:119" x14ac:dyDescent="0.2">
      <c r="DO54725" s="303" t="s">
        <v>232</v>
      </c>
    </row>
    <row r="54726" spans="119:119" x14ac:dyDescent="0.2">
      <c r="DO54726" s="303" t="s">
        <v>232</v>
      </c>
    </row>
    <row r="54727" spans="119:119" x14ac:dyDescent="0.2">
      <c r="DO54727" s="303" t="s">
        <v>232</v>
      </c>
    </row>
    <row r="54728" spans="119:119" x14ac:dyDescent="0.2">
      <c r="DO54728" s="303" t="s">
        <v>232</v>
      </c>
    </row>
    <row r="54729" spans="119:119" x14ac:dyDescent="0.2">
      <c r="DO54729" s="303" t="s">
        <v>232</v>
      </c>
    </row>
    <row r="54730" spans="119:119" x14ac:dyDescent="0.2">
      <c r="DO54730" s="303" t="s">
        <v>232</v>
      </c>
    </row>
    <row r="54731" spans="119:119" x14ac:dyDescent="0.2">
      <c r="DO54731" s="303" t="s">
        <v>232</v>
      </c>
    </row>
    <row r="54732" spans="119:119" x14ac:dyDescent="0.2">
      <c r="DO54732" s="303" t="s">
        <v>232</v>
      </c>
    </row>
    <row r="54733" spans="119:119" x14ac:dyDescent="0.2">
      <c r="DO54733" s="303" t="s">
        <v>232</v>
      </c>
    </row>
    <row r="54734" spans="119:119" x14ac:dyDescent="0.2">
      <c r="DO54734" s="303" t="s">
        <v>232</v>
      </c>
    </row>
    <row r="54735" spans="119:119" x14ac:dyDescent="0.2">
      <c r="DO54735" s="303" t="s">
        <v>232</v>
      </c>
    </row>
    <row r="54736" spans="119:119" x14ac:dyDescent="0.2">
      <c r="DO54736" s="303" t="s">
        <v>232</v>
      </c>
    </row>
    <row r="54737" spans="119:119" x14ac:dyDescent="0.2">
      <c r="DO54737" s="303" t="s">
        <v>232</v>
      </c>
    </row>
    <row r="54738" spans="119:119" x14ac:dyDescent="0.2">
      <c r="DO54738" s="303" t="s">
        <v>232</v>
      </c>
    </row>
    <row r="54739" spans="119:119" x14ac:dyDescent="0.2">
      <c r="DO54739" s="303" t="s">
        <v>232</v>
      </c>
    </row>
    <row r="54740" spans="119:119" x14ac:dyDescent="0.2">
      <c r="DO54740" s="303" t="s">
        <v>232</v>
      </c>
    </row>
    <row r="54741" spans="119:119" x14ac:dyDescent="0.2">
      <c r="DO54741" s="303" t="s">
        <v>232</v>
      </c>
    </row>
    <row r="54742" spans="119:119" x14ac:dyDescent="0.2">
      <c r="DO54742" s="303" t="s">
        <v>232</v>
      </c>
    </row>
    <row r="54743" spans="119:119" x14ac:dyDescent="0.2">
      <c r="DO54743" s="303" t="s">
        <v>232</v>
      </c>
    </row>
    <row r="54744" spans="119:119" x14ac:dyDescent="0.2">
      <c r="DO54744" s="303" t="s">
        <v>232</v>
      </c>
    </row>
    <row r="54745" spans="119:119" x14ac:dyDescent="0.2">
      <c r="DO54745" s="303" t="s">
        <v>232</v>
      </c>
    </row>
    <row r="54746" spans="119:119" x14ac:dyDescent="0.2">
      <c r="DO54746" s="303" t="s">
        <v>232</v>
      </c>
    </row>
    <row r="54747" spans="119:119" x14ac:dyDescent="0.2">
      <c r="DO54747" s="303" t="s">
        <v>232</v>
      </c>
    </row>
    <row r="54748" spans="119:119" x14ac:dyDescent="0.2">
      <c r="DO54748" s="303" t="s">
        <v>232</v>
      </c>
    </row>
    <row r="54749" spans="119:119" x14ac:dyDescent="0.2">
      <c r="DO54749" s="303" t="s">
        <v>232</v>
      </c>
    </row>
    <row r="54750" spans="119:119" x14ac:dyDescent="0.2">
      <c r="DO54750" s="303" t="s">
        <v>232</v>
      </c>
    </row>
    <row r="54751" spans="119:119" x14ac:dyDescent="0.2">
      <c r="DO54751" s="303" t="s">
        <v>232</v>
      </c>
    </row>
    <row r="54752" spans="119:119" x14ac:dyDescent="0.2">
      <c r="DO54752" s="303" t="s">
        <v>232</v>
      </c>
    </row>
    <row r="54753" spans="119:119" x14ac:dyDescent="0.2">
      <c r="DO54753" s="303" t="s">
        <v>232</v>
      </c>
    </row>
    <row r="54754" spans="119:119" x14ac:dyDescent="0.2">
      <c r="DO54754" s="303" t="s">
        <v>232</v>
      </c>
    </row>
    <row r="54755" spans="119:119" x14ac:dyDescent="0.2">
      <c r="DO54755" s="303" t="s">
        <v>232</v>
      </c>
    </row>
    <row r="54756" spans="119:119" x14ac:dyDescent="0.2">
      <c r="DO54756" s="303" t="s">
        <v>232</v>
      </c>
    </row>
    <row r="54757" spans="119:119" x14ac:dyDescent="0.2">
      <c r="DO54757" s="303" t="s">
        <v>232</v>
      </c>
    </row>
    <row r="54758" spans="119:119" x14ac:dyDescent="0.2">
      <c r="DO54758" s="303" t="s">
        <v>232</v>
      </c>
    </row>
    <row r="54759" spans="119:119" x14ac:dyDescent="0.2">
      <c r="DO54759" s="303" t="s">
        <v>232</v>
      </c>
    </row>
    <row r="54760" spans="119:119" x14ac:dyDescent="0.2">
      <c r="DO54760" s="303" t="s">
        <v>232</v>
      </c>
    </row>
    <row r="54761" spans="119:119" x14ac:dyDescent="0.2">
      <c r="DO54761" s="303" t="s">
        <v>232</v>
      </c>
    </row>
    <row r="54762" spans="119:119" x14ac:dyDescent="0.2">
      <c r="DO54762" s="303" t="s">
        <v>232</v>
      </c>
    </row>
    <row r="54763" spans="119:119" x14ac:dyDescent="0.2">
      <c r="DO54763" s="303" t="s">
        <v>232</v>
      </c>
    </row>
    <row r="54764" spans="119:119" x14ac:dyDescent="0.2">
      <c r="DO54764" s="303" t="s">
        <v>232</v>
      </c>
    </row>
    <row r="54765" spans="119:119" x14ac:dyDescent="0.2">
      <c r="DO54765" s="303" t="s">
        <v>232</v>
      </c>
    </row>
    <row r="54766" spans="119:119" x14ac:dyDescent="0.2">
      <c r="DO54766" s="303" t="s">
        <v>232</v>
      </c>
    </row>
    <row r="54767" spans="119:119" x14ac:dyDescent="0.2">
      <c r="DO54767" s="303" t="s">
        <v>232</v>
      </c>
    </row>
    <row r="54768" spans="119:119" x14ac:dyDescent="0.2">
      <c r="DO54768" s="303" t="s">
        <v>232</v>
      </c>
    </row>
    <row r="54769" spans="119:119" x14ac:dyDescent="0.2">
      <c r="DO54769" s="303" t="s">
        <v>232</v>
      </c>
    </row>
    <row r="54770" spans="119:119" x14ac:dyDescent="0.2">
      <c r="DO54770" s="303" t="s">
        <v>232</v>
      </c>
    </row>
    <row r="54771" spans="119:119" x14ac:dyDescent="0.2">
      <c r="DO54771" s="303" t="s">
        <v>232</v>
      </c>
    </row>
    <row r="54772" spans="119:119" x14ac:dyDescent="0.2">
      <c r="DO54772" s="303" t="s">
        <v>232</v>
      </c>
    </row>
    <row r="54773" spans="119:119" x14ac:dyDescent="0.2">
      <c r="DO54773" s="303" t="s">
        <v>232</v>
      </c>
    </row>
    <row r="54774" spans="119:119" x14ac:dyDescent="0.2">
      <c r="DO54774" s="303" t="s">
        <v>232</v>
      </c>
    </row>
    <row r="54775" spans="119:119" x14ac:dyDescent="0.2">
      <c r="DO54775" s="303" t="s">
        <v>232</v>
      </c>
    </row>
    <row r="54776" spans="119:119" x14ac:dyDescent="0.2">
      <c r="DO54776" s="303" t="s">
        <v>232</v>
      </c>
    </row>
    <row r="54777" spans="119:119" x14ac:dyDescent="0.2">
      <c r="DO54777" s="303" t="s">
        <v>232</v>
      </c>
    </row>
    <row r="54778" spans="119:119" x14ac:dyDescent="0.2">
      <c r="DO54778" s="303" t="s">
        <v>232</v>
      </c>
    </row>
    <row r="54779" spans="119:119" x14ac:dyDescent="0.2">
      <c r="DO54779" s="303" t="s">
        <v>232</v>
      </c>
    </row>
    <row r="54780" spans="119:119" x14ac:dyDescent="0.2">
      <c r="DO54780" s="303" t="s">
        <v>232</v>
      </c>
    </row>
    <row r="54781" spans="119:119" x14ac:dyDescent="0.2">
      <c r="DO54781" s="303" t="s">
        <v>232</v>
      </c>
    </row>
    <row r="54782" spans="119:119" x14ac:dyDescent="0.2">
      <c r="DO54782" s="303" t="s">
        <v>232</v>
      </c>
    </row>
    <row r="54783" spans="119:119" x14ac:dyDescent="0.2">
      <c r="DO54783" s="303" t="s">
        <v>232</v>
      </c>
    </row>
    <row r="54784" spans="119:119" x14ac:dyDescent="0.2">
      <c r="DO54784" s="303" t="s">
        <v>232</v>
      </c>
    </row>
    <row r="54785" spans="119:119" x14ac:dyDescent="0.2">
      <c r="DO54785" s="303" t="s">
        <v>232</v>
      </c>
    </row>
    <row r="54786" spans="119:119" x14ac:dyDescent="0.2">
      <c r="DO54786" s="303" t="s">
        <v>232</v>
      </c>
    </row>
    <row r="54787" spans="119:119" x14ac:dyDescent="0.2">
      <c r="DO54787" s="303" t="s">
        <v>232</v>
      </c>
    </row>
    <row r="54788" spans="119:119" x14ac:dyDescent="0.2">
      <c r="DO54788" s="303" t="s">
        <v>232</v>
      </c>
    </row>
    <row r="54789" spans="119:119" x14ac:dyDescent="0.2">
      <c r="DO54789" s="303" t="s">
        <v>232</v>
      </c>
    </row>
    <row r="54790" spans="119:119" x14ac:dyDescent="0.2">
      <c r="DO54790" s="303" t="s">
        <v>232</v>
      </c>
    </row>
    <row r="54791" spans="119:119" x14ac:dyDescent="0.2">
      <c r="DO54791" s="303" t="s">
        <v>232</v>
      </c>
    </row>
    <row r="54792" spans="119:119" x14ac:dyDescent="0.2">
      <c r="DO54792" s="303" t="s">
        <v>232</v>
      </c>
    </row>
    <row r="54793" spans="119:119" x14ac:dyDescent="0.2">
      <c r="DO54793" s="303" t="s">
        <v>232</v>
      </c>
    </row>
    <row r="54794" spans="119:119" x14ac:dyDescent="0.2">
      <c r="DO54794" s="303" t="s">
        <v>232</v>
      </c>
    </row>
    <row r="54795" spans="119:119" x14ac:dyDescent="0.2">
      <c r="DO54795" s="303" t="s">
        <v>232</v>
      </c>
    </row>
    <row r="54796" spans="119:119" x14ac:dyDescent="0.2">
      <c r="DO54796" s="303" t="s">
        <v>232</v>
      </c>
    </row>
    <row r="54797" spans="119:119" x14ac:dyDescent="0.2">
      <c r="DO54797" s="303" t="s">
        <v>232</v>
      </c>
    </row>
    <row r="54798" spans="119:119" x14ac:dyDescent="0.2">
      <c r="DO54798" s="303" t="s">
        <v>232</v>
      </c>
    </row>
    <row r="54799" spans="119:119" x14ac:dyDescent="0.2">
      <c r="DO54799" s="303" t="s">
        <v>232</v>
      </c>
    </row>
    <row r="54800" spans="119:119" x14ac:dyDescent="0.2">
      <c r="DO54800" s="303" t="s">
        <v>232</v>
      </c>
    </row>
    <row r="54801" spans="119:119" x14ac:dyDescent="0.2">
      <c r="DO54801" s="303" t="s">
        <v>232</v>
      </c>
    </row>
    <row r="54802" spans="119:119" x14ac:dyDescent="0.2">
      <c r="DO54802" s="303" t="s">
        <v>232</v>
      </c>
    </row>
    <row r="54803" spans="119:119" x14ac:dyDescent="0.2">
      <c r="DO54803" s="303" t="s">
        <v>232</v>
      </c>
    </row>
    <row r="54804" spans="119:119" x14ac:dyDescent="0.2">
      <c r="DO54804" s="303" t="s">
        <v>232</v>
      </c>
    </row>
    <row r="54805" spans="119:119" x14ac:dyDescent="0.2">
      <c r="DO54805" s="303" t="s">
        <v>232</v>
      </c>
    </row>
    <row r="54806" spans="119:119" x14ac:dyDescent="0.2">
      <c r="DO54806" s="303" t="s">
        <v>232</v>
      </c>
    </row>
    <row r="54807" spans="119:119" x14ac:dyDescent="0.2">
      <c r="DO54807" s="303" t="s">
        <v>232</v>
      </c>
    </row>
    <row r="54808" spans="119:119" x14ac:dyDescent="0.2">
      <c r="DO54808" s="303" t="s">
        <v>232</v>
      </c>
    </row>
    <row r="54809" spans="119:119" x14ac:dyDescent="0.2">
      <c r="DO54809" s="303" t="s">
        <v>232</v>
      </c>
    </row>
    <row r="54810" spans="119:119" x14ac:dyDescent="0.2">
      <c r="DO54810" s="303" t="s">
        <v>232</v>
      </c>
    </row>
    <row r="54811" spans="119:119" x14ac:dyDescent="0.2">
      <c r="DO54811" s="303" t="s">
        <v>232</v>
      </c>
    </row>
    <row r="54812" spans="119:119" x14ac:dyDescent="0.2">
      <c r="DO54812" s="303" t="s">
        <v>232</v>
      </c>
    </row>
    <row r="54813" spans="119:119" x14ac:dyDescent="0.2">
      <c r="DO54813" s="303" t="s">
        <v>232</v>
      </c>
    </row>
    <row r="54814" spans="119:119" x14ac:dyDescent="0.2">
      <c r="DO54814" s="303" t="s">
        <v>232</v>
      </c>
    </row>
    <row r="54815" spans="119:119" x14ac:dyDescent="0.2">
      <c r="DO54815" s="303" t="s">
        <v>232</v>
      </c>
    </row>
    <row r="54816" spans="119:119" x14ac:dyDescent="0.2">
      <c r="DO54816" s="303" t="s">
        <v>232</v>
      </c>
    </row>
    <row r="54817" spans="119:119" x14ac:dyDescent="0.2">
      <c r="DO54817" s="303" t="s">
        <v>232</v>
      </c>
    </row>
    <row r="54818" spans="119:119" x14ac:dyDescent="0.2">
      <c r="DO54818" s="303" t="s">
        <v>232</v>
      </c>
    </row>
    <row r="54819" spans="119:119" x14ac:dyDescent="0.2">
      <c r="DO54819" s="303" t="s">
        <v>232</v>
      </c>
    </row>
    <row r="54820" spans="119:119" x14ac:dyDescent="0.2">
      <c r="DO54820" s="303" t="s">
        <v>232</v>
      </c>
    </row>
    <row r="54821" spans="119:119" x14ac:dyDescent="0.2">
      <c r="DO54821" s="303" t="s">
        <v>232</v>
      </c>
    </row>
    <row r="54822" spans="119:119" x14ac:dyDescent="0.2">
      <c r="DO54822" s="303" t="s">
        <v>232</v>
      </c>
    </row>
    <row r="54823" spans="119:119" x14ac:dyDescent="0.2">
      <c r="DO54823" s="303" t="s">
        <v>232</v>
      </c>
    </row>
    <row r="54824" spans="119:119" x14ac:dyDescent="0.2">
      <c r="DO54824" s="303" t="s">
        <v>232</v>
      </c>
    </row>
    <row r="54825" spans="119:119" x14ac:dyDescent="0.2">
      <c r="DO54825" s="303" t="s">
        <v>232</v>
      </c>
    </row>
    <row r="54826" spans="119:119" x14ac:dyDescent="0.2">
      <c r="DO54826" s="303" t="s">
        <v>232</v>
      </c>
    </row>
    <row r="54827" spans="119:119" x14ac:dyDescent="0.2">
      <c r="DO54827" s="303" t="s">
        <v>232</v>
      </c>
    </row>
    <row r="54828" spans="119:119" x14ac:dyDescent="0.2">
      <c r="DO54828" s="303" t="s">
        <v>232</v>
      </c>
    </row>
    <row r="54829" spans="119:119" x14ac:dyDescent="0.2">
      <c r="DO54829" s="303" t="s">
        <v>232</v>
      </c>
    </row>
    <row r="54830" spans="119:119" x14ac:dyDescent="0.2">
      <c r="DO54830" s="303" t="s">
        <v>232</v>
      </c>
    </row>
    <row r="54831" spans="119:119" x14ac:dyDescent="0.2">
      <c r="DO54831" s="303" t="s">
        <v>232</v>
      </c>
    </row>
    <row r="54832" spans="119:119" x14ac:dyDescent="0.2">
      <c r="DO54832" s="303" t="s">
        <v>232</v>
      </c>
    </row>
    <row r="54833" spans="119:119" x14ac:dyDescent="0.2">
      <c r="DO54833" s="303" t="s">
        <v>232</v>
      </c>
    </row>
    <row r="54834" spans="119:119" x14ac:dyDescent="0.2">
      <c r="DO54834" s="303" t="s">
        <v>232</v>
      </c>
    </row>
    <row r="54835" spans="119:119" x14ac:dyDescent="0.2">
      <c r="DO54835" s="303" t="s">
        <v>232</v>
      </c>
    </row>
    <row r="54836" spans="119:119" x14ac:dyDescent="0.2">
      <c r="DO54836" s="303" t="s">
        <v>232</v>
      </c>
    </row>
    <row r="54837" spans="119:119" x14ac:dyDescent="0.2">
      <c r="DO54837" s="303" t="s">
        <v>232</v>
      </c>
    </row>
    <row r="54838" spans="119:119" x14ac:dyDescent="0.2">
      <c r="DO54838" s="303" t="s">
        <v>232</v>
      </c>
    </row>
    <row r="54839" spans="119:119" x14ac:dyDescent="0.2">
      <c r="DO54839" s="303" t="s">
        <v>232</v>
      </c>
    </row>
    <row r="54840" spans="119:119" x14ac:dyDescent="0.2">
      <c r="DO54840" s="303" t="s">
        <v>232</v>
      </c>
    </row>
    <row r="54841" spans="119:119" x14ac:dyDescent="0.2">
      <c r="DO54841" s="303" t="s">
        <v>232</v>
      </c>
    </row>
    <row r="54842" spans="119:119" x14ac:dyDescent="0.2">
      <c r="DO54842" s="303" t="s">
        <v>232</v>
      </c>
    </row>
    <row r="54843" spans="119:119" x14ac:dyDescent="0.2">
      <c r="DO54843" s="303" t="s">
        <v>232</v>
      </c>
    </row>
    <row r="54844" spans="119:119" x14ac:dyDescent="0.2">
      <c r="DO54844" s="303" t="s">
        <v>232</v>
      </c>
    </row>
    <row r="54845" spans="119:119" x14ac:dyDescent="0.2">
      <c r="DO54845" s="303" t="s">
        <v>232</v>
      </c>
    </row>
    <row r="54846" spans="119:119" x14ac:dyDescent="0.2">
      <c r="DO54846" s="303" t="s">
        <v>232</v>
      </c>
    </row>
    <row r="54847" spans="119:119" x14ac:dyDescent="0.2">
      <c r="DO54847" s="303" t="s">
        <v>232</v>
      </c>
    </row>
    <row r="54848" spans="119:119" x14ac:dyDescent="0.2">
      <c r="DO54848" s="303" t="s">
        <v>232</v>
      </c>
    </row>
    <row r="54849" spans="119:119" x14ac:dyDescent="0.2">
      <c r="DO54849" s="303" t="s">
        <v>232</v>
      </c>
    </row>
    <row r="54850" spans="119:119" x14ac:dyDescent="0.2">
      <c r="DO54850" s="303" t="s">
        <v>232</v>
      </c>
    </row>
    <row r="54851" spans="119:119" x14ac:dyDescent="0.2">
      <c r="DO54851" s="303" t="s">
        <v>232</v>
      </c>
    </row>
    <row r="54852" spans="119:119" x14ac:dyDescent="0.2">
      <c r="DO54852" s="303" t="s">
        <v>232</v>
      </c>
    </row>
    <row r="54853" spans="119:119" x14ac:dyDescent="0.2">
      <c r="DO54853" s="303" t="s">
        <v>232</v>
      </c>
    </row>
    <row r="54854" spans="119:119" x14ac:dyDescent="0.2">
      <c r="DO54854" s="303" t="s">
        <v>232</v>
      </c>
    </row>
    <row r="54855" spans="119:119" x14ac:dyDescent="0.2">
      <c r="DO54855" s="303" t="s">
        <v>232</v>
      </c>
    </row>
    <row r="54856" spans="119:119" x14ac:dyDescent="0.2">
      <c r="DO54856" s="303" t="s">
        <v>232</v>
      </c>
    </row>
    <row r="54857" spans="119:119" x14ac:dyDescent="0.2">
      <c r="DO54857" s="303" t="s">
        <v>232</v>
      </c>
    </row>
    <row r="54858" spans="119:119" x14ac:dyDescent="0.2">
      <c r="DO54858" s="303" t="s">
        <v>232</v>
      </c>
    </row>
    <row r="54859" spans="119:119" x14ac:dyDescent="0.2">
      <c r="DO54859" s="303" t="s">
        <v>232</v>
      </c>
    </row>
    <row r="54860" spans="119:119" x14ac:dyDescent="0.2">
      <c r="DO54860" s="303" t="s">
        <v>232</v>
      </c>
    </row>
    <row r="54861" spans="119:119" x14ac:dyDescent="0.2">
      <c r="DO54861" s="303" t="s">
        <v>232</v>
      </c>
    </row>
    <row r="54862" spans="119:119" x14ac:dyDescent="0.2">
      <c r="DO54862" s="303" t="s">
        <v>232</v>
      </c>
    </row>
    <row r="54863" spans="119:119" x14ac:dyDescent="0.2">
      <c r="DO54863" s="303" t="s">
        <v>232</v>
      </c>
    </row>
    <row r="54864" spans="119:119" x14ac:dyDescent="0.2">
      <c r="DO54864" s="303" t="s">
        <v>232</v>
      </c>
    </row>
    <row r="54865" spans="119:119" x14ac:dyDescent="0.2">
      <c r="DO54865" s="303" t="s">
        <v>232</v>
      </c>
    </row>
    <row r="54866" spans="119:119" x14ac:dyDescent="0.2">
      <c r="DO54866" s="303" t="s">
        <v>232</v>
      </c>
    </row>
    <row r="54867" spans="119:119" x14ac:dyDescent="0.2">
      <c r="DO54867" s="303" t="s">
        <v>232</v>
      </c>
    </row>
    <row r="54868" spans="119:119" x14ac:dyDescent="0.2">
      <c r="DO54868" s="303" t="s">
        <v>232</v>
      </c>
    </row>
    <row r="54869" spans="119:119" x14ac:dyDescent="0.2">
      <c r="DO54869" s="303" t="s">
        <v>232</v>
      </c>
    </row>
    <row r="54870" spans="119:119" x14ac:dyDescent="0.2">
      <c r="DO54870" s="303" t="s">
        <v>232</v>
      </c>
    </row>
    <row r="54871" spans="119:119" x14ac:dyDescent="0.2">
      <c r="DO54871" s="303" t="s">
        <v>232</v>
      </c>
    </row>
    <row r="54872" spans="119:119" x14ac:dyDescent="0.2">
      <c r="DO54872" s="303" t="s">
        <v>232</v>
      </c>
    </row>
    <row r="54873" spans="119:119" x14ac:dyDescent="0.2">
      <c r="DO54873" s="303" t="s">
        <v>232</v>
      </c>
    </row>
    <row r="54874" spans="119:119" x14ac:dyDescent="0.2">
      <c r="DO54874" s="303" t="s">
        <v>232</v>
      </c>
    </row>
    <row r="54875" spans="119:119" x14ac:dyDescent="0.2">
      <c r="DO54875" s="303" t="s">
        <v>232</v>
      </c>
    </row>
    <row r="54876" spans="119:119" x14ac:dyDescent="0.2">
      <c r="DO54876" s="303" t="s">
        <v>232</v>
      </c>
    </row>
    <row r="54877" spans="119:119" x14ac:dyDescent="0.2">
      <c r="DO54877" s="303" t="s">
        <v>232</v>
      </c>
    </row>
    <row r="54878" spans="119:119" x14ac:dyDescent="0.2">
      <c r="DO54878" s="303" t="s">
        <v>232</v>
      </c>
    </row>
    <row r="54879" spans="119:119" x14ac:dyDescent="0.2">
      <c r="DO54879" s="303" t="s">
        <v>232</v>
      </c>
    </row>
    <row r="54880" spans="119:119" x14ac:dyDescent="0.2">
      <c r="DO54880" s="303" t="s">
        <v>232</v>
      </c>
    </row>
    <row r="54881" spans="119:119" x14ac:dyDescent="0.2">
      <c r="DO54881" s="303" t="s">
        <v>232</v>
      </c>
    </row>
    <row r="54882" spans="119:119" x14ac:dyDescent="0.2">
      <c r="DO54882" s="303" t="s">
        <v>232</v>
      </c>
    </row>
    <row r="54883" spans="119:119" x14ac:dyDescent="0.2">
      <c r="DO54883" s="303" t="s">
        <v>232</v>
      </c>
    </row>
    <row r="54884" spans="119:119" x14ac:dyDescent="0.2">
      <c r="DO54884" s="303" t="s">
        <v>232</v>
      </c>
    </row>
    <row r="54885" spans="119:119" x14ac:dyDescent="0.2">
      <c r="DO54885" s="303" t="s">
        <v>232</v>
      </c>
    </row>
    <row r="54886" spans="119:119" x14ac:dyDescent="0.2">
      <c r="DO54886" s="303" t="s">
        <v>232</v>
      </c>
    </row>
    <row r="54887" spans="119:119" x14ac:dyDescent="0.2">
      <c r="DO54887" s="303" t="s">
        <v>232</v>
      </c>
    </row>
    <row r="54888" spans="119:119" x14ac:dyDescent="0.2">
      <c r="DO54888" s="303" t="s">
        <v>232</v>
      </c>
    </row>
    <row r="54889" spans="119:119" x14ac:dyDescent="0.2">
      <c r="DO54889" s="303" t="s">
        <v>232</v>
      </c>
    </row>
    <row r="54890" spans="119:119" x14ac:dyDescent="0.2">
      <c r="DO54890" s="303" t="s">
        <v>232</v>
      </c>
    </row>
    <row r="54891" spans="119:119" x14ac:dyDescent="0.2">
      <c r="DO54891" s="303" t="s">
        <v>232</v>
      </c>
    </row>
    <row r="54892" spans="119:119" x14ac:dyDescent="0.2">
      <c r="DO54892" s="303" t="s">
        <v>232</v>
      </c>
    </row>
    <row r="54893" spans="119:119" x14ac:dyDescent="0.2">
      <c r="DO54893" s="303" t="s">
        <v>232</v>
      </c>
    </row>
    <row r="54894" spans="119:119" x14ac:dyDescent="0.2">
      <c r="DO54894" s="303" t="s">
        <v>232</v>
      </c>
    </row>
    <row r="54895" spans="119:119" x14ac:dyDescent="0.2">
      <c r="DO54895" s="303" t="s">
        <v>232</v>
      </c>
    </row>
    <row r="54896" spans="119:119" x14ac:dyDescent="0.2">
      <c r="DO54896" s="303" t="s">
        <v>232</v>
      </c>
    </row>
    <row r="54897" spans="119:119" x14ac:dyDescent="0.2">
      <c r="DO54897" s="303" t="s">
        <v>232</v>
      </c>
    </row>
    <row r="54898" spans="119:119" x14ac:dyDescent="0.2">
      <c r="DO54898" s="303" t="s">
        <v>232</v>
      </c>
    </row>
    <row r="54899" spans="119:119" x14ac:dyDescent="0.2">
      <c r="DO54899" s="303" t="s">
        <v>232</v>
      </c>
    </row>
    <row r="54900" spans="119:119" x14ac:dyDescent="0.2">
      <c r="DO54900" s="303" t="s">
        <v>232</v>
      </c>
    </row>
    <row r="54901" spans="119:119" x14ac:dyDescent="0.2">
      <c r="DO54901" s="303" t="s">
        <v>232</v>
      </c>
    </row>
    <row r="54902" spans="119:119" x14ac:dyDescent="0.2">
      <c r="DO54902" s="303" t="s">
        <v>232</v>
      </c>
    </row>
    <row r="54903" spans="119:119" x14ac:dyDescent="0.2">
      <c r="DO54903" s="303" t="s">
        <v>232</v>
      </c>
    </row>
    <row r="54904" spans="119:119" x14ac:dyDescent="0.2">
      <c r="DO54904" s="303" t="s">
        <v>232</v>
      </c>
    </row>
    <row r="54905" spans="119:119" x14ac:dyDescent="0.2">
      <c r="DO54905" s="303" t="s">
        <v>232</v>
      </c>
    </row>
    <row r="54906" spans="119:119" x14ac:dyDescent="0.2">
      <c r="DO54906" s="303" t="s">
        <v>232</v>
      </c>
    </row>
    <row r="54907" spans="119:119" x14ac:dyDescent="0.2">
      <c r="DO54907" s="303" t="s">
        <v>232</v>
      </c>
    </row>
    <row r="54908" spans="119:119" x14ac:dyDescent="0.2">
      <c r="DO54908" s="303" t="s">
        <v>232</v>
      </c>
    </row>
    <row r="54909" spans="119:119" x14ac:dyDescent="0.2">
      <c r="DO54909" s="303" t="s">
        <v>232</v>
      </c>
    </row>
    <row r="54910" spans="119:119" x14ac:dyDescent="0.2">
      <c r="DO54910" s="303" t="s">
        <v>232</v>
      </c>
    </row>
    <row r="54911" spans="119:119" x14ac:dyDescent="0.2">
      <c r="DO54911" s="303" t="s">
        <v>232</v>
      </c>
    </row>
    <row r="54912" spans="119:119" x14ac:dyDescent="0.2">
      <c r="DO54912" s="303" t="s">
        <v>232</v>
      </c>
    </row>
    <row r="54913" spans="119:119" x14ac:dyDescent="0.2">
      <c r="DO54913" s="303" t="s">
        <v>232</v>
      </c>
    </row>
    <row r="54914" spans="119:119" x14ac:dyDescent="0.2">
      <c r="DO54914" s="303" t="s">
        <v>232</v>
      </c>
    </row>
    <row r="54915" spans="119:119" x14ac:dyDescent="0.2">
      <c r="DO54915" s="303" t="s">
        <v>232</v>
      </c>
    </row>
    <row r="54916" spans="119:119" x14ac:dyDescent="0.2">
      <c r="DO54916" s="303" t="s">
        <v>232</v>
      </c>
    </row>
    <row r="54917" spans="119:119" x14ac:dyDescent="0.2">
      <c r="DO54917" s="303" t="s">
        <v>232</v>
      </c>
    </row>
    <row r="54918" spans="119:119" x14ac:dyDescent="0.2">
      <c r="DO54918" s="303" t="s">
        <v>232</v>
      </c>
    </row>
    <row r="54919" spans="119:119" x14ac:dyDescent="0.2">
      <c r="DO54919" s="303" t="s">
        <v>232</v>
      </c>
    </row>
    <row r="54920" spans="119:119" x14ac:dyDescent="0.2">
      <c r="DO54920" s="303" t="s">
        <v>232</v>
      </c>
    </row>
    <row r="54921" spans="119:119" x14ac:dyDescent="0.2">
      <c r="DO54921" s="303" t="s">
        <v>232</v>
      </c>
    </row>
    <row r="54922" spans="119:119" x14ac:dyDescent="0.2">
      <c r="DO54922" s="303" t="s">
        <v>232</v>
      </c>
    </row>
    <row r="54923" spans="119:119" x14ac:dyDescent="0.2">
      <c r="DO54923" s="303" t="s">
        <v>232</v>
      </c>
    </row>
    <row r="54924" spans="119:119" x14ac:dyDescent="0.2">
      <c r="DO54924" s="303" t="s">
        <v>232</v>
      </c>
    </row>
    <row r="54925" spans="119:119" x14ac:dyDescent="0.2">
      <c r="DO54925" s="303" t="s">
        <v>232</v>
      </c>
    </row>
    <row r="54926" spans="119:119" x14ac:dyDescent="0.2">
      <c r="DO54926" s="303" t="s">
        <v>232</v>
      </c>
    </row>
    <row r="54927" spans="119:119" x14ac:dyDescent="0.2">
      <c r="DO54927" s="303" t="s">
        <v>232</v>
      </c>
    </row>
    <row r="54928" spans="119:119" x14ac:dyDescent="0.2">
      <c r="DO54928" s="303" t="s">
        <v>232</v>
      </c>
    </row>
    <row r="54929" spans="119:119" x14ac:dyDescent="0.2">
      <c r="DO54929" s="303" t="s">
        <v>232</v>
      </c>
    </row>
    <row r="54930" spans="119:119" x14ac:dyDescent="0.2">
      <c r="DO54930" s="303" t="s">
        <v>232</v>
      </c>
    </row>
    <row r="54931" spans="119:119" x14ac:dyDescent="0.2">
      <c r="DO54931" s="303" t="s">
        <v>232</v>
      </c>
    </row>
    <row r="54932" spans="119:119" x14ac:dyDescent="0.2">
      <c r="DO54932" s="303" t="s">
        <v>232</v>
      </c>
    </row>
    <row r="54933" spans="119:119" x14ac:dyDescent="0.2">
      <c r="DO54933" s="303" t="s">
        <v>232</v>
      </c>
    </row>
    <row r="54934" spans="119:119" x14ac:dyDescent="0.2">
      <c r="DO54934" s="303" t="s">
        <v>232</v>
      </c>
    </row>
    <row r="54935" spans="119:119" x14ac:dyDescent="0.2">
      <c r="DO54935" s="303" t="s">
        <v>232</v>
      </c>
    </row>
    <row r="54936" spans="119:119" x14ac:dyDescent="0.2">
      <c r="DO54936" s="303" t="s">
        <v>232</v>
      </c>
    </row>
    <row r="54937" spans="119:119" x14ac:dyDescent="0.2">
      <c r="DO54937" s="303" t="s">
        <v>232</v>
      </c>
    </row>
    <row r="54938" spans="119:119" x14ac:dyDescent="0.2">
      <c r="DO54938" s="303" t="s">
        <v>232</v>
      </c>
    </row>
    <row r="54939" spans="119:119" x14ac:dyDescent="0.2">
      <c r="DO54939" s="303" t="s">
        <v>232</v>
      </c>
    </row>
    <row r="54940" spans="119:119" x14ac:dyDescent="0.2">
      <c r="DO54940" s="303" t="s">
        <v>232</v>
      </c>
    </row>
    <row r="54941" spans="119:119" x14ac:dyDescent="0.2">
      <c r="DO54941" s="303" t="s">
        <v>232</v>
      </c>
    </row>
    <row r="54942" spans="119:119" x14ac:dyDescent="0.2">
      <c r="DO54942" s="303" t="s">
        <v>232</v>
      </c>
    </row>
    <row r="54943" spans="119:119" x14ac:dyDescent="0.2">
      <c r="DO54943" s="303" t="s">
        <v>232</v>
      </c>
    </row>
    <row r="54944" spans="119:119" x14ac:dyDescent="0.2">
      <c r="DO54944" s="303" t="s">
        <v>232</v>
      </c>
    </row>
    <row r="54945" spans="119:119" x14ac:dyDescent="0.2">
      <c r="DO54945" s="303" t="s">
        <v>232</v>
      </c>
    </row>
    <row r="54946" spans="119:119" x14ac:dyDescent="0.2">
      <c r="DO54946" s="303" t="s">
        <v>232</v>
      </c>
    </row>
    <row r="54947" spans="119:119" x14ac:dyDescent="0.2">
      <c r="DO54947" s="303" t="s">
        <v>232</v>
      </c>
    </row>
    <row r="54948" spans="119:119" x14ac:dyDescent="0.2">
      <c r="DO54948" s="303" t="s">
        <v>232</v>
      </c>
    </row>
    <row r="54949" spans="119:119" x14ac:dyDescent="0.2">
      <c r="DO54949" s="303" t="s">
        <v>232</v>
      </c>
    </row>
    <row r="54950" spans="119:119" x14ac:dyDescent="0.2">
      <c r="DO54950" s="303" t="s">
        <v>232</v>
      </c>
    </row>
    <row r="54951" spans="119:119" x14ac:dyDescent="0.2">
      <c r="DO54951" s="303" t="s">
        <v>232</v>
      </c>
    </row>
    <row r="54952" spans="119:119" x14ac:dyDescent="0.2">
      <c r="DO54952" s="303" t="s">
        <v>232</v>
      </c>
    </row>
    <row r="54953" spans="119:119" x14ac:dyDescent="0.2">
      <c r="DO54953" s="303" t="s">
        <v>232</v>
      </c>
    </row>
    <row r="54954" spans="119:119" x14ac:dyDescent="0.2">
      <c r="DO54954" s="303" t="s">
        <v>232</v>
      </c>
    </row>
    <row r="54955" spans="119:119" x14ac:dyDescent="0.2">
      <c r="DO54955" s="303" t="s">
        <v>232</v>
      </c>
    </row>
    <row r="54956" spans="119:119" x14ac:dyDescent="0.2">
      <c r="DO54956" s="303" t="s">
        <v>232</v>
      </c>
    </row>
    <row r="54957" spans="119:119" x14ac:dyDescent="0.2">
      <c r="DO54957" s="303" t="s">
        <v>232</v>
      </c>
    </row>
    <row r="54958" spans="119:119" x14ac:dyDescent="0.2">
      <c r="DO54958" s="303" t="s">
        <v>232</v>
      </c>
    </row>
    <row r="54959" spans="119:119" x14ac:dyDescent="0.2">
      <c r="DO54959" s="303" t="s">
        <v>232</v>
      </c>
    </row>
    <row r="54960" spans="119:119" x14ac:dyDescent="0.2">
      <c r="DO54960" s="303" t="s">
        <v>232</v>
      </c>
    </row>
    <row r="54961" spans="119:119" x14ac:dyDescent="0.2">
      <c r="DO54961" s="303" t="s">
        <v>232</v>
      </c>
    </row>
    <row r="54962" spans="119:119" x14ac:dyDescent="0.2">
      <c r="DO54962" s="303" t="s">
        <v>232</v>
      </c>
    </row>
    <row r="54963" spans="119:119" x14ac:dyDescent="0.2">
      <c r="DO54963" s="303" t="s">
        <v>232</v>
      </c>
    </row>
    <row r="54964" spans="119:119" x14ac:dyDescent="0.2">
      <c r="DO54964" s="303" t="s">
        <v>232</v>
      </c>
    </row>
    <row r="54965" spans="119:119" x14ac:dyDescent="0.2">
      <c r="DO54965" s="303" t="s">
        <v>232</v>
      </c>
    </row>
    <row r="54966" spans="119:119" x14ac:dyDescent="0.2">
      <c r="DO54966" s="303" t="s">
        <v>232</v>
      </c>
    </row>
    <row r="54967" spans="119:119" x14ac:dyDescent="0.2">
      <c r="DO54967" s="303" t="s">
        <v>232</v>
      </c>
    </row>
    <row r="54968" spans="119:119" x14ac:dyDescent="0.2">
      <c r="DO54968" s="303" t="s">
        <v>232</v>
      </c>
    </row>
    <row r="54969" spans="119:119" x14ac:dyDescent="0.2">
      <c r="DO54969" s="303" t="s">
        <v>232</v>
      </c>
    </row>
    <row r="54970" spans="119:119" x14ac:dyDescent="0.2">
      <c r="DO54970" s="303" t="s">
        <v>232</v>
      </c>
    </row>
    <row r="54971" spans="119:119" x14ac:dyDescent="0.2">
      <c r="DO54971" s="303" t="s">
        <v>232</v>
      </c>
    </row>
    <row r="54972" spans="119:119" x14ac:dyDescent="0.2">
      <c r="DO54972" s="303" t="s">
        <v>232</v>
      </c>
    </row>
    <row r="54973" spans="119:119" x14ac:dyDescent="0.2">
      <c r="DO54973" s="303" t="s">
        <v>232</v>
      </c>
    </row>
    <row r="54974" spans="119:119" x14ac:dyDescent="0.2">
      <c r="DO54974" s="303" t="s">
        <v>232</v>
      </c>
    </row>
    <row r="54975" spans="119:119" x14ac:dyDescent="0.2">
      <c r="DO54975" s="303" t="s">
        <v>232</v>
      </c>
    </row>
    <row r="54976" spans="119:119" x14ac:dyDescent="0.2">
      <c r="DO54976" s="303" t="s">
        <v>232</v>
      </c>
    </row>
    <row r="54977" spans="119:119" x14ac:dyDescent="0.2">
      <c r="DO54977" s="303" t="s">
        <v>232</v>
      </c>
    </row>
    <row r="54978" spans="119:119" x14ac:dyDescent="0.2">
      <c r="DO54978" s="303" t="s">
        <v>232</v>
      </c>
    </row>
    <row r="54979" spans="119:119" x14ac:dyDescent="0.2">
      <c r="DO54979" s="303" t="s">
        <v>232</v>
      </c>
    </row>
    <row r="54980" spans="119:119" x14ac:dyDescent="0.2">
      <c r="DO54980" s="303" t="s">
        <v>232</v>
      </c>
    </row>
    <row r="54981" spans="119:119" x14ac:dyDescent="0.2">
      <c r="DO54981" s="303" t="s">
        <v>232</v>
      </c>
    </row>
    <row r="54982" spans="119:119" x14ac:dyDescent="0.2">
      <c r="DO54982" s="303" t="s">
        <v>232</v>
      </c>
    </row>
    <row r="54983" spans="119:119" x14ac:dyDescent="0.2">
      <c r="DO54983" s="303" t="s">
        <v>232</v>
      </c>
    </row>
    <row r="54984" spans="119:119" x14ac:dyDescent="0.2">
      <c r="DO54984" s="303" t="s">
        <v>232</v>
      </c>
    </row>
    <row r="54985" spans="119:119" x14ac:dyDescent="0.2">
      <c r="DO54985" s="303" t="s">
        <v>232</v>
      </c>
    </row>
    <row r="54986" spans="119:119" x14ac:dyDescent="0.2">
      <c r="DO54986" s="303" t="s">
        <v>232</v>
      </c>
    </row>
    <row r="54987" spans="119:119" x14ac:dyDescent="0.2">
      <c r="DO54987" s="303" t="s">
        <v>232</v>
      </c>
    </row>
    <row r="54988" spans="119:119" x14ac:dyDescent="0.2">
      <c r="DO54988" s="303" t="s">
        <v>232</v>
      </c>
    </row>
    <row r="54989" spans="119:119" x14ac:dyDescent="0.2">
      <c r="DO54989" s="303" t="s">
        <v>232</v>
      </c>
    </row>
    <row r="54990" spans="119:119" x14ac:dyDescent="0.2">
      <c r="DO54990" s="303" t="s">
        <v>232</v>
      </c>
    </row>
    <row r="54991" spans="119:119" x14ac:dyDescent="0.2">
      <c r="DO54991" s="303" t="s">
        <v>232</v>
      </c>
    </row>
    <row r="54992" spans="119:119" x14ac:dyDescent="0.2">
      <c r="DO54992" s="303" t="s">
        <v>232</v>
      </c>
    </row>
    <row r="54993" spans="119:119" x14ac:dyDescent="0.2">
      <c r="DO54993" s="303" t="s">
        <v>232</v>
      </c>
    </row>
    <row r="54994" spans="119:119" x14ac:dyDescent="0.2">
      <c r="DO54994" s="303" t="s">
        <v>232</v>
      </c>
    </row>
    <row r="54995" spans="119:119" x14ac:dyDescent="0.2">
      <c r="DO54995" s="303" t="s">
        <v>232</v>
      </c>
    </row>
    <row r="54996" spans="119:119" x14ac:dyDescent="0.2">
      <c r="DO54996" s="303" t="s">
        <v>232</v>
      </c>
    </row>
    <row r="54997" spans="119:119" x14ac:dyDescent="0.2">
      <c r="DO54997" s="303" t="s">
        <v>232</v>
      </c>
    </row>
    <row r="54998" spans="119:119" x14ac:dyDescent="0.2">
      <c r="DO54998" s="303" t="s">
        <v>232</v>
      </c>
    </row>
    <row r="54999" spans="119:119" x14ac:dyDescent="0.2">
      <c r="DO54999" s="303" t="s">
        <v>232</v>
      </c>
    </row>
    <row r="55000" spans="119:119" x14ac:dyDescent="0.2">
      <c r="DO55000" s="303" t="s">
        <v>232</v>
      </c>
    </row>
    <row r="55001" spans="119:119" x14ac:dyDescent="0.2">
      <c r="DO55001" s="303" t="s">
        <v>232</v>
      </c>
    </row>
    <row r="55002" spans="119:119" x14ac:dyDescent="0.2">
      <c r="DO55002" s="303" t="s">
        <v>232</v>
      </c>
    </row>
    <row r="55003" spans="119:119" x14ac:dyDescent="0.2">
      <c r="DO55003" s="303" t="s">
        <v>232</v>
      </c>
    </row>
    <row r="55004" spans="119:119" x14ac:dyDescent="0.2">
      <c r="DO55004" s="303" t="s">
        <v>232</v>
      </c>
    </row>
    <row r="55005" spans="119:119" x14ac:dyDescent="0.2">
      <c r="DO55005" s="303" t="s">
        <v>232</v>
      </c>
    </row>
    <row r="55006" spans="119:119" x14ac:dyDescent="0.2">
      <c r="DO55006" s="303" t="s">
        <v>232</v>
      </c>
    </row>
    <row r="55007" spans="119:119" x14ac:dyDescent="0.2">
      <c r="DO55007" s="303" t="s">
        <v>232</v>
      </c>
    </row>
    <row r="55008" spans="119:119" x14ac:dyDescent="0.2">
      <c r="DO55008" s="303" t="s">
        <v>232</v>
      </c>
    </row>
    <row r="55009" spans="119:119" x14ac:dyDescent="0.2">
      <c r="DO55009" s="303" t="s">
        <v>232</v>
      </c>
    </row>
    <row r="55010" spans="119:119" x14ac:dyDescent="0.2">
      <c r="DO55010" s="303" t="s">
        <v>232</v>
      </c>
    </row>
    <row r="55011" spans="119:119" x14ac:dyDescent="0.2">
      <c r="DO55011" s="303" t="s">
        <v>232</v>
      </c>
    </row>
    <row r="55012" spans="119:119" x14ac:dyDescent="0.2">
      <c r="DO55012" s="303" t="s">
        <v>232</v>
      </c>
    </row>
    <row r="55013" spans="119:119" x14ac:dyDescent="0.2">
      <c r="DO55013" s="303" t="s">
        <v>232</v>
      </c>
    </row>
    <row r="55014" spans="119:119" x14ac:dyDescent="0.2">
      <c r="DO55014" s="303" t="s">
        <v>232</v>
      </c>
    </row>
    <row r="55015" spans="119:119" x14ac:dyDescent="0.2">
      <c r="DO55015" s="303" t="s">
        <v>232</v>
      </c>
    </row>
    <row r="55016" spans="119:119" x14ac:dyDescent="0.2">
      <c r="DO55016" s="303" t="s">
        <v>232</v>
      </c>
    </row>
    <row r="55017" spans="119:119" x14ac:dyDescent="0.2">
      <c r="DO55017" s="303" t="s">
        <v>232</v>
      </c>
    </row>
    <row r="55018" spans="119:119" x14ac:dyDescent="0.2">
      <c r="DO55018" s="303" t="s">
        <v>232</v>
      </c>
    </row>
    <row r="55019" spans="119:119" x14ac:dyDescent="0.2">
      <c r="DO55019" s="303" t="s">
        <v>232</v>
      </c>
    </row>
    <row r="55020" spans="119:119" x14ac:dyDescent="0.2">
      <c r="DO55020" s="303" t="s">
        <v>232</v>
      </c>
    </row>
    <row r="55021" spans="119:119" x14ac:dyDescent="0.2">
      <c r="DO55021" s="303" t="s">
        <v>232</v>
      </c>
    </row>
    <row r="55022" spans="119:119" x14ac:dyDescent="0.2">
      <c r="DO55022" s="303" t="s">
        <v>232</v>
      </c>
    </row>
    <row r="55023" spans="119:119" x14ac:dyDescent="0.2">
      <c r="DO55023" s="303" t="s">
        <v>232</v>
      </c>
    </row>
    <row r="55024" spans="119:119" x14ac:dyDescent="0.2">
      <c r="DO55024" s="303" t="s">
        <v>232</v>
      </c>
    </row>
    <row r="55025" spans="119:119" x14ac:dyDescent="0.2">
      <c r="DO55025" s="303" t="s">
        <v>232</v>
      </c>
    </row>
    <row r="55026" spans="119:119" x14ac:dyDescent="0.2">
      <c r="DO55026" s="303" t="s">
        <v>232</v>
      </c>
    </row>
    <row r="55027" spans="119:119" x14ac:dyDescent="0.2">
      <c r="DO55027" s="303" t="s">
        <v>232</v>
      </c>
    </row>
    <row r="55028" spans="119:119" x14ac:dyDescent="0.2">
      <c r="DO55028" s="303" t="s">
        <v>232</v>
      </c>
    </row>
    <row r="55029" spans="119:119" x14ac:dyDescent="0.2">
      <c r="DO55029" s="303" t="s">
        <v>232</v>
      </c>
    </row>
    <row r="55030" spans="119:119" x14ac:dyDescent="0.2">
      <c r="DO55030" s="303" t="s">
        <v>232</v>
      </c>
    </row>
    <row r="55031" spans="119:119" x14ac:dyDescent="0.2">
      <c r="DO55031" s="303" t="s">
        <v>232</v>
      </c>
    </row>
    <row r="55032" spans="119:119" x14ac:dyDescent="0.2">
      <c r="DO55032" s="303" t="s">
        <v>232</v>
      </c>
    </row>
    <row r="55033" spans="119:119" x14ac:dyDescent="0.2">
      <c r="DO55033" s="303" t="s">
        <v>232</v>
      </c>
    </row>
    <row r="55034" spans="119:119" x14ac:dyDescent="0.2">
      <c r="DO55034" s="303" t="s">
        <v>232</v>
      </c>
    </row>
    <row r="55035" spans="119:119" x14ac:dyDescent="0.2">
      <c r="DO55035" s="303" t="s">
        <v>232</v>
      </c>
    </row>
    <row r="55036" spans="119:119" x14ac:dyDescent="0.2">
      <c r="DO55036" s="303" t="s">
        <v>232</v>
      </c>
    </row>
    <row r="55037" spans="119:119" x14ac:dyDescent="0.2">
      <c r="DO55037" s="303" t="s">
        <v>232</v>
      </c>
    </row>
    <row r="55038" spans="119:119" x14ac:dyDescent="0.2">
      <c r="DO55038" s="303" t="s">
        <v>232</v>
      </c>
    </row>
    <row r="55039" spans="119:119" x14ac:dyDescent="0.2">
      <c r="DO55039" s="303" t="s">
        <v>232</v>
      </c>
    </row>
    <row r="55040" spans="119:119" x14ac:dyDescent="0.2">
      <c r="DO55040" s="303" t="s">
        <v>232</v>
      </c>
    </row>
    <row r="55041" spans="119:119" x14ac:dyDescent="0.2">
      <c r="DO55041" s="303" t="s">
        <v>232</v>
      </c>
    </row>
    <row r="55042" spans="119:119" x14ac:dyDescent="0.2">
      <c r="DO55042" s="303" t="s">
        <v>232</v>
      </c>
    </row>
    <row r="55043" spans="119:119" x14ac:dyDescent="0.2">
      <c r="DO55043" s="303" t="s">
        <v>232</v>
      </c>
    </row>
    <row r="55044" spans="119:119" x14ac:dyDescent="0.2">
      <c r="DO55044" s="303" t="s">
        <v>232</v>
      </c>
    </row>
    <row r="55045" spans="119:119" x14ac:dyDescent="0.2">
      <c r="DO55045" s="303" t="s">
        <v>232</v>
      </c>
    </row>
    <row r="55046" spans="119:119" x14ac:dyDescent="0.2">
      <c r="DO55046" s="303" t="s">
        <v>232</v>
      </c>
    </row>
    <row r="55047" spans="119:119" x14ac:dyDescent="0.2">
      <c r="DO55047" s="303" t="s">
        <v>232</v>
      </c>
    </row>
    <row r="55048" spans="119:119" x14ac:dyDescent="0.2">
      <c r="DO55048" s="303" t="s">
        <v>232</v>
      </c>
    </row>
    <row r="55049" spans="119:119" x14ac:dyDescent="0.2">
      <c r="DO55049" s="303" t="s">
        <v>232</v>
      </c>
    </row>
    <row r="55050" spans="119:119" x14ac:dyDescent="0.2">
      <c r="DO55050" s="303" t="s">
        <v>232</v>
      </c>
    </row>
    <row r="55051" spans="119:119" x14ac:dyDescent="0.2">
      <c r="DO55051" s="303" t="s">
        <v>232</v>
      </c>
    </row>
    <row r="55052" spans="119:119" x14ac:dyDescent="0.2">
      <c r="DO55052" s="303" t="s">
        <v>232</v>
      </c>
    </row>
    <row r="55053" spans="119:119" x14ac:dyDescent="0.2">
      <c r="DO55053" s="303" t="s">
        <v>232</v>
      </c>
    </row>
    <row r="55054" spans="119:119" x14ac:dyDescent="0.2">
      <c r="DO55054" s="303" t="s">
        <v>232</v>
      </c>
    </row>
    <row r="55055" spans="119:119" x14ac:dyDescent="0.2">
      <c r="DO55055" s="303" t="s">
        <v>232</v>
      </c>
    </row>
    <row r="55056" spans="119:119" x14ac:dyDescent="0.2">
      <c r="DO55056" s="303" t="s">
        <v>232</v>
      </c>
    </row>
    <row r="55057" spans="119:119" x14ac:dyDescent="0.2">
      <c r="DO55057" s="303" t="s">
        <v>232</v>
      </c>
    </row>
    <row r="55058" spans="119:119" x14ac:dyDescent="0.2">
      <c r="DO55058" s="303" t="s">
        <v>232</v>
      </c>
    </row>
    <row r="55059" spans="119:119" x14ac:dyDescent="0.2">
      <c r="DO55059" s="303" t="s">
        <v>232</v>
      </c>
    </row>
    <row r="55060" spans="119:119" x14ac:dyDescent="0.2">
      <c r="DO55060" s="303" t="s">
        <v>232</v>
      </c>
    </row>
    <row r="55061" spans="119:119" x14ac:dyDescent="0.2">
      <c r="DO55061" s="303" t="s">
        <v>232</v>
      </c>
    </row>
    <row r="55062" spans="119:119" x14ac:dyDescent="0.2">
      <c r="DO55062" s="303" t="s">
        <v>232</v>
      </c>
    </row>
    <row r="55063" spans="119:119" x14ac:dyDescent="0.2">
      <c r="DO55063" s="303" t="s">
        <v>232</v>
      </c>
    </row>
    <row r="55064" spans="119:119" x14ac:dyDescent="0.2">
      <c r="DO55064" s="303" t="s">
        <v>232</v>
      </c>
    </row>
    <row r="55065" spans="119:119" x14ac:dyDescent="0.2">
      <c r="DO55065" s="303" t="s">
        <v>232</v>
      </c>
    </row>
    <row r="55066" spans="119:119" x14ac:dyDescent="0.2">
      <c r="DO55066" s="303" t="s">
        <v>232</v>
      </c>
    </row>
    <row r="55067" spans="119:119" x14ac:dyDescent="0.2">
      <c r="DO55067" s="303" t="s">
        <v>232</v>
      </c>
    </row>
    <row r="55068" spans="119:119" x14ac:dyDescent="0.2">
      <c r="DO55068" s="303" t="s">
        <v>232</v>
      </c>
    </row>
    <row r="55069" spans="119:119" x14ac:dyDescent="0.2">
      <c r="DO55069" s="303" t="s">
        <v>232</v>
      </c>
    </row>
    <row r="55070" spans="119:119" x14ac:dyDescent="0.2">
      <c r="DO55070" s="303" t="s">
        <v>232</v>
      </c>
    </row>
    <row r="55071" spans="119:119" x14ac:dyDescent="0.2">
      <c r="DO55071" s="303" t="s">
        <v>232</v>
      </c>
    </row>
    <row r="55072" spans="119:119" x14ac:dyDescent="0.2">
      <c r="DO55072" s="303" t="s">
        <v>232</v>
      </c>
    </row>
    <row r="55073" spans="119:119" x14ac:dyDescent="0.2">
      <c r="DO55073" s="303" t="s">
        <v>232</v>
      </c>
    </row>
    <row r="55074" spans="119:119" x14ac:dyDescent="0.2">
      <c r="DO55074" s="303" t="s">
        <v>232</v>
      </c>
    </row>
    <row r="55075" spans="119:119" x14ac:dyDescent="0.2">
      <c r="DO55075" s="303" t="s">
        <v>232</v>
      </c>
    </row>
    <row r="55076" spans="119:119" x14ac:dyDescent="0.2">
      <c r="DO55076" s="303" t="s">
        <v>232</v>
      </c>
    </row>
    <row r="55077" spans="119:119" x14ac:dyDescent="0.2">
      <c r="DO55077" s="303" t="s">
        <v>232</v>
      </c>
    </row>
    <row r="55078" spans="119:119" x14ac:dyDescent="0.2">
      <c r="DO55078" s="303" t="s">
        <v>232</v>
      </c>
    </row>
    <row r="55079" spans="119:119" x14ac:dyDescent="0.2">
      <c r="DO55079" s="303" t="s">
        <v>232</v>
      </c>
    </row>
    <row r="55080" spans="119:119" x14ac:dyDescent="0.2">
      <c r="DO55080" s="303" t="s">
        <v>232</v>
      </c>
    </row>
    <row r="55081" spans="119:119" x14ac:dyDescent="0.2">
      <c r="DO55081" s="303" t="s">
        <v>232</v>
      </c>
    </row>
    <row r="55082" spans="119:119" x14ac:dyDescent="0.2">
      <c r="DO55082" s="303" t="s">
        <v>232</v>
      </c>
    </row>
    <row r="55083" spans="119:119" x14ac:dyDescent="0.2">
      <c r="DO55083" s="303" t="s">
        <v>232</v>
      </c>
    </row>
    <row r="55084" spans="119:119" x14ac:dyDescent="0.2">
      <c r="DO55084" s="303" t="s">
        <v>232</v>
      </c>
    </row>
    <row r="55085" spans="119:119" x14ac:dyDescent="0.2">
      <c r="DO55085" s="303" t="s">
        <v>232</v>
      </c>
    </row>
    <row r="55086" spans="119:119" x14ac:dyDescent="0.2">
      <c r="DO55086" s="303" t="s">
        <v>232</v>
      </c>
    </row>
    <row r="55087" spans="119:119" x14ac:dyDescent="0.2">
      <c r="DO55087" s="303" t="s">
        <v>232</v>
      </c>
    </row>
    <row r="55088" spans="119:119" x14ac:dyDescent="0.2">
      <c r="DO55088" s="303" t="s">
        <v>232</v>
      </c>
    </row>
    <row r="55089" spans="119:119" x14ac:dyDescent="0.2">
      <c r="DO55089" s="303" t="s">
        <v>232</v>
      </c>
    </row>
    <row r="55090" spans="119:119" x14ac:dyDescent="0.2">
      <c r="DO55090" s="303" t="s">
        <v>232</v>
      </c>
    </row>
    <row r="55091" spans="119:119" x14ac:dyDescent="0.2">
      <c r="DO55091" s="303" t="s">
        <v>232</v>
      </c>
    </row>
    <row r="55092" spans="119:119" x14ac:dyDescent="0.2">
      <c r="DO55092" s="303" t="s">
        <v>232</v>
      </c>
    </row>
    <row r="55093" spans="119:119" x14ac:dyDescent="0.2">
      <c r="DO55093" s="303" t="s">
        <v>232</v>
      </c>
    </row>
    <row r="55094" spans="119:119" x14ac:dyDescent="0.2">
      <c r="DO55094" s="303" t="s">
        <v>232</v>
      </c>
    </row>
    <row r="55095" spans="119:119" x14ac:dyDescent="0.2">
      <c r="DO55095" s="303" t="s">
        <v>232</v>
      </c>
    </row>
    <row r="55096" spans="119:119" x14ac:dyDescent="0.2">
      <c r="DO55096" s="303" t="s">
        <v>232</v>
      </c>
    </row>
    <row r="55097" spans="119:119" x14ac:dyDescent="0.2">
      <c r="DO55097" s="303" t="s">
        <v>232</v>
      </c>
    </row>
    <row r="55098" spans="119:119" x14ac:dyDescent="0.2">
      <c r="DO55098" s="303" t="s">
        <v>232</v>
      </c>
    </row>
    <row r="55099" spans="119:119" x14ac:dyDescent="0.2">
      <c r="DO55099" s="303" t="s">
        <v>232</v>
      </c>
    </row>
    <row r="55100" spans="119:119" x14ac:dyDescent="0.2">
      <c r="DO55100" s="303" t="s">
        <v>232</v>
      </c>
    </row>
    <row r="55101" spans="119:119" x14ac:dyDescent="0.2">
      <c r="DO55101" s="303" t="s">
        <v>232</v>
      </c>
    </row>
    <row r="55102" spans="119:119" x14ac:dyDescent="0.2">
      <c r="DO55102" s="303" t="s">
        <v>232</v>
      </c>
    </row>
    <row r="55103" spans="119:119" x14ac:dyDescent="0.2">
      <c r="DO55103" s="303" t="s">
        <v>232</v>
      </c>
    </row>
    <row r="55104" spans="119:119" x14ac:dyDescent="0.2">
      <c r="DO55104" s="303" t="s">
        <v>232</v>
      </c>
    </row>
    <row r="55105" spans="119:119" x14ac:dyDescent="0.2">
      <c r="DO55105" s="303" t="s">
        <v>232</v>
      </c>
    </row>
    <row r="55106" spans="119:119" x14ac:dyDescent="0.2">
      <c r="DO55106" s="303" t="s">
        <v>232</v>
      </c>
    </row>
    <row r="55107" spans="119:119" x14ac:dyDescent="0.2">
      <c r="DO55107" s="303" t="s">
        <v>232</v>
      </c>
    </row>
    <row r="55108" spans="119:119" x14ac:dyDescent="0.2">
      <c r="DO55108" s="303" t="s">
        <v>232</v>
      </c>
    </row>
    <row r="55109" spans="119:119" x14ac:dyDescent="0.2">
      <c r="DO55109" s="303" t="s">
        <v>232</v>
      </c>
    </row>
    <row r="55110" spans="119:119" x14ac:dyDescent="0.2">
      <c r="DO55110" s="303" t="s">
        <v>232</v>
      </c>
    </row>
    <row r="55111" spans="119:119" x14ac:dyDescent="0.2">
      <c r="DO55111" s="303" t="s">
        <v>232</v>
      </c>
    </row>
    <row r="55112" spans="119:119" x14ac:dyDescent="0.2">
      <c r="DO55112" s="303" t="s">
        <v>232</v>
      </c>
    </row>
    <row r="55113" spans="119:119" x14ac:dyDescent="0.2">
      <c r="DO55113" s="303" t="s">
        <v>232</v>
      </c>
    </row>
    <row r="55114" spans="119:119" x14ac:dyDescent="0.2">
      <c r="DO55114" s="303" t="s">
        <v>232</v>
      </c>
    </row>
    <row r="55115" spans="119:119" x14ac:dyDescent="0.2">
      <c r="DO55115" s="303" t="s">
        <v>232</v>
      </c>
    </row>
    <row r="55116" spans="119:119" x14ac:dyDescent="0.2">
      <c r="DO55116" s="303" t="s">
        <v>232</v>
      </c>
    </row>
    <row r="55117" spans="119:119" x14ac:dyDescent="0.2">
      <c r="DO55117" s="303" t="s">
        <v>232</v>
      </c>
    </row>
    <row r="55118" spans="119:119" x14ac:dyDescent="0.2">
      <c r="DO55118" s="303" t="s">
        <v>232</v>
      </c>
    </row>
    <row r="55119" spans="119:119" x14ac:dyDescent="0.2">
      <c r="DO55119" s="303" t="s">
        <v>232</v>
      </c>
    </row>
    <row r="55120" spans="119:119" x14ac:dyDescent="0.2">
      <c r="DO55120" s="303" t="s">
        <v>232</v>
      </c>
    </row>
    <row r="55121" spans="119:119" x14ac:dyDescent="0.2">
      <c r="DO55121" s="303" t="s">
        <v>232</v>
      </c>
    </row>
    <row r="55122" spans="119:119" x14ac:dyDescent="0.2">
      <c r="DO55122" s="303" t="s">
        <v>232</v>
      </c>
    </row>
    <row r="55123" spans="119:119" x14ac:dyDescent="0.2">
      <c r="DO55123" s="303" t="s">
        <v>232</v>
      </c>
    </row>
    <row r="55124" spans="119:119" x14ac:dyDescent="0.2">
      <c r="DO55124" s="303" t="s">
        <v>232</v>
      </c>
    </row>
    <row r="55125" spans="119:119" x14ac:dyDescent="0.2">
      <c r="DO55125" s="303" t="s">
        <v>232</v>
      </c>
    </row>
    <row r="55126" spans="119:119" x14ac:dyDescent="0.2">
      <c r="DO55126" s="303" t="s">
        <v>232</v>
      </c>
    </row>
    <row r="55127" spans="119:119" x14ac:dyDescent="0.2">
      <c r="DO55127" s="303" t="s">
        <v>232</v>
      </c>
    </row>
    <row r="55128" spans="119:119" x14ac:dyDescent="0.2">
      <c r="DO55128" s="303" t="s">
        <v>232</v>
      </c>
    </row>
    <row r="55129" spans="119:119" x14ac:dyDescent="0.2">
      <c r="DO55129" s="303" t="s">
        <v>232</v>
      </c>
    </row>
    <row r="55130" spans="119:119" x14ac:dyDescent="0.2">
      <c r="DO55130" s="303" t="s">
        <v>232</v>
      </c>
    </row>
    <row r="55131" spans="119:119" x14ac:dyDescent="0.2">
      <c r="DO55131" s="303" t="s">
        <v>232</v>
      </c>
    </row>
    <row r="55132" spans="119:119" x14ac:dyDescent="0.2">
      <c r="DO55132" s="303" t="s">
        <v>232</v>
      </c>
    </row>
    <row r="55133" spans="119:119" x14ac:dyDescent="0.2">
      <c r="DO55133" s="303" t="s">
        <v>232</v>
      </c>
    </row>
    <row r="55134" spans="119:119" x14ac:dyDescent="0.2">
      <c r="DO55134" s="303" t="s">
        <v>232</v>
      </c>
    </row>
    <row r="55135" spans="119:119" x14ac:dyDescent="0.2">
      <c r="DO55135" s="303" t="s">
        <v>232</v>
      </c>
    </row>
    <row r="55136" spans="119:119" x14ac:dyDescent="0.2">
      <c r="DO55136" s="303" t="s">
        <v>232</v>
      </c>
    </row>
    <row r="55137" spans="119:119" x14ac:dyDescent="0.2">
      <c r="DO55137" s="303" t="s">
        <v>232</v>
      </c>
    </row>
    <row r="55138" spans="119:119" x14ac:dyDescent="0.2">
      <c r="DO55138" s="303" t="s">
        <v>232</v>
      </c>
    </row>
    <row r="55139" spans="119:119" x14ac:dyDescent="0.2">
      <c r="DO55139" s="303" t="s">
        <v>232</v>
      </c>
    </row>
    <row r="55140" spans="119:119" x14ac:dyDescent="0.2">
      <c r="DO55140" s="303" t="s">
        <v>232</v>
      </c>
    </row>
    <row r="55141" spans="119:119" x14ac:dyDescent="0.2">
      <c r="DO55141" s="303" t="s">
        <v>232</v>
      </c>
    </row>
    <row r="55142" spans="119:119" x14ac:dyDescent="0.2">
      <c r="DO55142" s="303" t="s">
        <v>232</v>
      </c>
    </row>
    <row r="55143" spans="119:119" x14ac:dyDescent="0.2">
      <c r="DO55143" s="303" t="s">
        <v>232</v>
      </c>
    </row>
    <row r="55144" spans="119:119" x14ac:dyDescent="0.2">
      <c r="DO55144" s="303" t="s">
        <v>232</v>
      </c>
    </row>
    <row r="55145" spans="119:119" x14ac:dyDescent="0.2">
      <c r="DO55145" s="303" t="s">
        <v>232</v>
      </c>
    </row>
    <row r="55146" spans="119:119" x14ac:dyDescent="0.2">
      <c r="DO55146" s="303" t="s">
        <v>232</v>
      </c>
    </row>
    <row r="55147" spans="119:119" x14ac:dyDescent="0.2">
      <c r="DO55147" s="303" t="s">
        <v>232</v>
      </c>
    </row>
    <row r="55148" spans="119:119" x14ac:dyDescent="0.2">
      <c r="DO55148" s="303" t="s">
        <v>232</v>
      </c>
    </row>
    <row r="55149" spans="119:119" x14ac:dyDescent="0.2">
      <c r="DO55149" s="303" t="s">
        <v>232</v>
      </c>
    </row>
    <row r="55150" spans="119:119" x14ac:dyDescent="0.2">
      <c r="DO55150" s="303" t="s">
        <v>232</v>
      </c>
    </row>
    <row r="55151" spans="119:119" x14ac:dyDescent="0.2">
      <c r="DO55151" s="303" t="s">
        <v>232</v>
      </c>
    </row>
    <row r="55152" spans="119:119" x14ac:dyDescent="0.2">
      <c r="DO55152" s="303" t="s">
        <v>232</v>
      </c>
    </row>
    <row r="55153" spans="119:119" x14ac:dyDescent="0.2">
      <c r="DO55153" s="303" t="s">
        <v>232</v>
      </c>
    </row>
    <row r="55154" spans="119:119" x14ac:dyDescent="0.2">
      <c r="DO55154" s="303" t="s">
        <v>232</v>
      </c>
    </row>
    <row r="55155" spans="119:119" x14ac:dyDescent="0.2">
      <c r="DO55155" s="303" t="s">
        <v>232</v>
      </c>
    </row>
    <row r="55156" spans="119:119" x14ac:dyDescent="0.2">
      <c r="DO55156" s="303" t="s">
        <v>232</v>
      </c>
    </row>
    <row r="55157" spans="119:119" x14ac:dyDescent="0.2">
      <c r="DO55157" s="303" t="s">
        <v>232</v>
      </c>
    </row>
    <row r="55158" spans="119:119" x14ac:dyDescent="0.2">
      <c r="DO55158" s="303" t="s">
        <v>232</v>
      </c>
    </row>
    <row r="55159" spans="119:119" x14ac:dyDescent="0.2">
      <c r="DO55159" s="303" t="s">
        <v>232</v>
      </c>
    </row>
    <row r="55160" spans="119:119" x14ac:dyDescent="0.2">
      <c r="DO55160" s="303" t="s">
        <v>232</v>
      </c>
    </row>
    <row r="55161" spans="119:119" x14ac:dyDescent="0.2">
      <c r="DO55161" s="303" t="s">
        <v>232</v>
      </c>
    </row>
    <row r="55162" spans="119:119" x14ac:dyDescent="0.2">
      <c r="DO55162" s="303" t="s">
        <v>232</v>
      </c>
    </row>
    <row r="55163" spans="119:119" x14ac:dyDescent="0.2">
      <c r="DO55163" s="303" t="s">
        <v>232</v>
      </c>
    </row>
    <row r="55164" spans="119:119" x14ac:dyDescent="0.2">
      <c r="DO55164" s="303" t="s">
        <v>232</v>
      </c>
    </row>
    <row r="55165" spans="119:119" x14ac:dyDescent="0.2">
      <c r="DO55165" s="303" t="s">
        <v>232</v>
      </c>
    </row>
    <row r="55166" spans="119:119" x14ac:dyDescent="0.2">
      <c r="DO55166" s="303" t="s">
        <v>232</v>
      </c>
    </row>
    <row r="55167" spans="119:119" x14ac:dyDescent="0.2">
      <c r="DO55167" s="303" t="s">
        <v>232</v>
      </c>
    </row>
    <row r="55168" spans="119:119" x14ac:dyDescent="0.2">
      <c r="DO55168" s="303" t="s">
        <v>232</v>
      </c>
    </row>
    <row r="55169" spans="119:119" x14ac:dyDescent="0.2">
      <c r="DO55169" s="303" t="s">
        <v>232</v>
      </c>
    </row>
    <row r="55170" spans="119:119" x14ac:dyDescent="0.2">
      <c r="DO55170" s="303" t="s">
        <v>232</v>
      </c>
    </row>
    <row r="55171" spans="119:119" x14ac:dyDescent="0.2">
      <c r="DO55171" s="303" t="s">
        <v>232</v>
      </c>
    </row>
    <row r="55172" spans="119:119" x14ac:dyDescent="0.2">
      <c r="DO55172" s="303" t="s">
        <v>232</v>
      </c>
    </row>
    <row r="55173" spans="119:119" x14ac:dyDescent="0.2">
      <c r="DO55173" s="303" t="s">
        <v>232</v>
      </c>
    </row>
    <row r="55174" spans="119:119" x14ac:dyDescent="0.2">
      <c r="DO55174" s="303" t="s">
        <v>232</v>
      </c>
    </row>
    <row r="55175" spans="119:119" x14ac:dyDescent="0.2">
      <c r="DO55175" s="303" t="s">
        <v>232</v>
      </c>
    </row>
    <row r="55176" spans="119:119" x14ac:dyDescent="0.2">
      <c r="DO55176" s="303" t="s">
        <v>232</v>
      </c>
    </row>
    <row r="55177" spans="119:119" x14ac:dyDescent="0.2">
      <c r="DO55177" s="303" t="s">
        <v>232</v>
      </c>
    </row>
    <row r="55178" spans="119:119" x14ac:dyDescent="0.2">
      <c r="DO55178" s="303" t="s">
        <v>232</v>
      </c>
    </row>
    <row r="55179" spans="119:119" x14ac:dyDescent="0.2">
      <c r="DO55179" s="303" t="s">
        <v>232</v>
      </c>
    </row>
    <row r="55180" spans="119:119" x14ac:dyDescent="0.2">
      <c r="DO55180" s="303" t="s">
        <v>232</v>
      </c>
    </row>
    <row r="55181" spans="119:119" x14ac:dyDescent="0.2">
      <c r="DO55181" s="303" t="s">
        <v>232</v>
      </c>
    </row>
    <row r="55182" spans="119:119" x14ac:dyDescent="0.2">
      <c r="DO55182" s="303" t="s">
        <v>232</v>
      </c>
    </row>
    <row r="55183" spans="119:119" x14ac:dyDescent="0.2">
      <c r="DO55183" s="303" t="s">
        <v>232</v>
      </c>
    </row>
    <row r="55184" spans="119:119" x14ac:dyDescent="0.2">
      <c r="DO55184" s="303" t="s">
        <v>232</v>
      </c>
    </row>
    <row r="55185" spans="119:119" x14ac:dyDescent="0.2">
      <c r="DO55185" s="303" t="s">
        <v>232</v>
      </c>
    </row>
    <row r="55186" spans="119:119" x14ac:dyDescent="0.2">
      <c r="DO55186" s="303" t="s">
        <v>232</v>
      </c>
    </row>
    <row r="55187" spans="119:119" x14ac:dyDescent="0.2">
      <c r="DO55187" s="303" t="s">
        <v>232</v>
      </c>
    </row>
    <row r="55188" spans="119:119" x14ac:dyDescent="0.2">
      <c r="DO55188" s="303" t="s">
        <v>232</v>
      </c>
    </row>
    <row r="55189" spans="119:119" x14ac:dyDescent="0.2">
      <c r="DO55189" s="303" t="s">
        <v>232</v>
      </c>
    </row>
    <row r="55190" spans="119:119" x14ac:dyDescent="0.2">
      <c r="DO55190" s="303" t="s">
        <v>232</v>
      </c>
    </row>
    <row r="55191" spans="119:119" x14ac:dyDescent="0.2">
      <c r="DO55191" s="303" t="s">
        <v>232</v>
      </c>
    </row>
    <row r="55192" spans="119:119" x14ac:dyDescent="0.2">
      <c r="DO55192" s="303" t="s">
        <v>232</v>
      </c>
    </row>
    <row r="55193" spans="119:119" x14ac:dyDescent="0.2">
      <c r="DO55193" s="303" t="s">
        <v>232</v>
      </c>
    </row>
    <row r="55194" spans="119:119" x14ac:dyDescent="0.2">
      <c r="DO55194" s="303" t="s">
        <v>232</v>
      </c>
    </row>
    <row r="55195" spans="119:119" x14ac:dyDescent="0.2">
      <c r="DO55195" s="303" t="s">
        <v>232</v>
      </c>
    </row>
    <row r="55196" spans="119:119" x14ac:dyDescent="0.2">
      <c r="DO55196" s="303" t="s">
        <v>232</v>
      </c>
    </row>
    <row r="55197" spans="119:119" x14ac:dyDescent="0.2">
      <c r="DO55197" s="303" t="s">
        <v>232</v>
      </c>
    </row>
    <row r="55198" spans="119:119" x14ac:dyDescent="0.2">
      <c r="DO55198" s="303" t="s">
        <v>232</v>
      </c>
    </row>
    <row r="55199" spans="119:119" x14ac:dyDescent="0.2">
      <c r="DO55199" s="303" t="s">
        <v>232</v>
      </c>
    </row>
    <row r="55200" spans="119:119" x14ac:dyDescent="0.2">
      <c r="DO55200" s="303" t="s">
        <v>232</v>
      </c>
    </row>
    <row r="55201" spans="119:119" x14ac:dyDescent="0.2">
      <c r="DO55201" s="303" t="s">
        <v>232</v>
      </c>
    </row>
    <row r="55202" spans="119:119" x14ac:dyDescent="0.2">
      <c r="DO55202" s="303" t="s">
        <v>232</v>
      </c>
    </row>
    <row r="55203" spans="119:119" x14ac:dyDescent="0.2">
      <c r="DO55203" s="303" t="s">
        <v>232</v>
      </c>
    </row>
    <row r="55204" spans="119:119" x14ac:dyDescent="0.2">
      <c r="DO55204" s="303" t="s">
        <v>232</v>
      </c>
    </row>
    <row r="55205" spans="119:119" x14ac:dyDescent="0.2">
      <c r="DO55205" s="303" t="s">
        <v>232</v>
      </c>
    </row>
    <row r="55206" spans="119:119" x14ac:dyDescent="0.2">
      <c r="DO55206" s="303" t="s">
        <v>232</v>
      </c>
    </row>
    <row r="55207" spans="119:119" x14ac:dyDescent="0.2">
      <c r="DO55207" s="303" t="s">
        <v>232</v>
      </c>
    </row>
    <row r="55208" spans="119:119" x14ac:dyDescent="0.2">
      <c r="DO55208" s="303" t="s">
        <v>232</v>
      </c>
    </row>
    <row r="55209" spans="119:119" x14ac:dyDescent="0.2">
      <c r="DO55209" s="303" t="s">
        <v>232</v>
      </c>
    </row>
    <row r="55210" spans="119:119" x14ac:dyDescent="0.2">
      <c r="DO55210" s="303" t="s">
        <v>232</v>
      </c>
    </row>
    <row r="55211" spans="119:119" x14ac:dyDescent="0.2">
      <c r="DO55211" s="303" t="s">
        <v>232</v>
      </c>
    </row>
    <row r="55212" spans="119:119" x14ac:dyDescent="0.2">
      <c r="DO55212" s="303" t="s">
        <v>232</v>
      </c>
    </row>
    <row r="55213" spans="119:119" x14ac:dyDescent="0.2">
      <c r="DO55213" s="303" t="s">
        <v>232</v>
      </c>
    </row>
    <row r="55214" spans="119:119" x14ac:dyDescent="0.2">
      <c r="DO55214" s="303" t="s">
        <v>232</v>
      </c>
    </row>
    <row r="55215" spans="119:119" x14ac:dyDescent="0.2">
      <c r="DO55215" s="303" t="s">
        <v>232</v>
      </c>
    </row>
    <row r="55216" spans="119:119" x14ac:dyDescent="0.2">
      <c r="DO55216" s="303" t="s">
        <v>232</v>
      </c>
    </row>
    <row r="55217" spans="119:119" x14ac:dyDescent="0.2">
      <c r="DO55217" s="303" t="s">
        <v>232</v>
      </c>
    </row>
    <row r="55218" spans="119:119" x14ac:dyDescent="0.2">
      <c r="DO55218" s="303" t="s">
        <v>232</v>
      </c>
    </row>
    <row r="55219" spans="119:119" x14ac:dyDescent="0.2">
      <c r="DO55219" s="303" t="s">
        <v>232</v>
      </c>
    </row>
    <row r="55220" spans="119:119" x14ac:dyDescent="0.2">
      <c r="DO55220" s="303" t="s">
        <v>232</v>
      </c>
    </row>
    <row r="55221" spans="119:119" x14ac:dyDescent="0.2">
      <c r="DO55221" s="303" t="s">
        <v>232</v>
      </c>
    </row>
    <row r="55222" spans="119:119" x14ac:dyDescent="0.2">
      <c r="DO55222" s="303" t="s">
        <v>232</v>
      </c>
    </row>
    <row r="55223" spans="119:119" x14ac:dyDescent="0.2">
      <c r="DO55223" s="303" t="s">
        <v>232</v>
      </c>
    </row>
    <row r="55224" spans="119:119" x14ac:dyDescent="0.2">
      <c r="DO55224" s="303" t="s">
        <v>232</v>
      </c>
    </row>
    <row r="55225" spans="119:119" x14ac:dyDescent="0.2">
      <c r="DO55225" s="303" t="s">
        <v>232</v>
      </c>
    </row>
    <row r="55226" spans="119:119" x14ac:dyDescent="0.2">
      <c r="DO55226" s="303" t="s">
        <v>232</v>
      </c>
    </row>
    <row r="55227" spans="119:119" x14ac:dyDescent="0.2">
      <c r="DO55227" s="303" t="s">
        <v>232</v>
      </c>
    </row>
    <row r="55228" spans="119:119" x14ac:dyDescent="0.2">
      <c r="DO55228" s="303" t="s">
        <v>232</v>
      </c>
    </row>
    <row r="55229" spans="119:119" x14ac:dyDescent="0.2">
      <c r="DO55229" s="303" t="s">
        <v>232</v>
      </c>
    </row>
    <row r="55230" spans="119:119" x14ac:dyDescent="0.2">
      <c r="DO55230" s="303" t="s">
        <v>232</v>
      </c>
    </row>
    <row r="55231" spans="119:119" x14ac:dyDescent="0.2">
      <c r="DO55231" s="303" t="s">
        <v>232</v>
      </c>
    </row>
    <row r="55232" spans="119:119" x14ac:dyDescent="0.2">
      <c r="DO55232" s="303" t="s">
        <v>232</v>
      </c>
    </row>
    <row r="55233" spans="119:119" x14ac:dyDescent="0.2">
      <c r="DO55233" s="303" t="s">
        <v>232</v>
      </c>
    </row>
    <row r="55234" spans="119:119" x14ac:dyDescent="0.2">
      <c r="DO55234" s="303" t="s">
        <v>232</v>
      </c>
    </row>
    <row r="55235" spans="119:119" x14ac:dyDescent="0.2">
      <c r="DO55235" s="303" t="s">
        <v>232</v>
      </c>
    </row>
    <row r="55236" spans="119:119" x14ac:dyDescent="0.2">
      <c r="DO55236" s="303" t="s">
        <v>232</v>
      </c>
    </row>
    <row r="55237" spans="119:119" x14ac:dyDescent="0.2">
      <c r="DO55237" s="303" t="s">
        <v>232</v>
      </c>
    </row>
    <row r="55238" spans="119:119" x14ac:dyDescent="0.2">
      <c r="DO55238" s="303" t="s">
        <v>232</v>
      </c>
    </row>
    <row r="55239" spans="119:119" x14ac:dyDescent="0.2">
      <c r="DO55239" s="303" t="s">
        <v>232</v>
      </c>
    </row>
    <row r="55240" spans="119:119" x14ac:dyDescent="0.2">
      <c r="DO55240" s="303" t="s">
        <v>232</v>
      </c>
    </row>
    <row r="55241" spans="119:119" x14ac:dyDescent="0.2">
      <c r="DO55241" s="303" t="s">
        <v>232</v>
      </c>
    </row>
    <row r="55242" spans="119:119" x14ac:dyDescent="0.2">
      <c r="DO55242" s="303" t="s">
        <v>232</v>
      </c>
    </row>
    <row r="55243" spans="119:119" x14ac:dyDescent="0.2">
      <c r="DO55243" s="303" t="s">
        <v>232</v>
      </c>
    </row>
    <row r="55244" spans="119:119" x14ac:dyDescent="0.2">
      <c r="DO55244" s="303" t="s">
        <v>232</v>
      </c>
    </row>
    <row r="55245" spans="119:119" x14ac:dyDescent="0.2">
      <c r="DO55245" s="303" t="s">
        <v>232</v>
      </c>
    </row>
    <row r="55246" spans="119:119" x14ac:dyDescent="0.2">
      <c r="DO55246" s="303" t="s">
        <v>232</v>
      </c>
    </row>
    <row r="55247" spans="119:119" x14ac:dyDescent="0.2">
      <c r="DO55247" s="303" t="s">
        <v>232</v>
      </c>
    </row>
    <row r="55248" spans="119:119" x14ac:dyDescent="0.2">
      <c r="DO55248" s="303" t="s">
        <v>232</v>
      </c>
    </row>
    <row r="55249" spans="119:119" x14ac:dyDescent="0.2">
      <c r="DO55249" s="303" t="s">
        <v>232</v>
      </c>
    </row>
    <row r="55250" spans="119:119" x14ac:dyDescent="0.2">
      <c r="DO55250" s="303" t="s">
        <v>232</v>
      </c>
    </row>
    <row r="55251" spans="119:119" x14ac:dyDescent="0.2">
      <c r="DO55251" s="303" t="s">
        <v>232</v>
      </c>
    </row>
    <row r="55252" spans="119:119" x14ac:dyDescent="0.2">
      <c r="DO55252" s="303" t="s">
        <v>232</v>
      </c>
    </row>
    <row r="55253" spans="119:119" x14ac:dyDescent="0.2">
      <c r="DO55253" s="303" t="s">
        <v>232</v>
      </c>
    </row>
    <row r="55254" spans="119:119" x14ac:dyDescent="0.2">
      <c r="DO55254" s="303" t="s">
        <v>232</v>
      </c>
    </row>
    <row r="55255" spans="119:119" x14ac:dyDescent="0.2">
      <c r="DO55255" s="303" t="s">
        <v>232</v>
      </c>
    </row>
    <row r="55256" spans="119:119" x14ac:dyDescent="0.2">
      <c r="DO55256" s="303" t="s">
        <v>232</v>
      </c>
    </row>
    <row r="55257" spans="119:119" x14ac:dyDescent="0.2">
      <c r="DO55257" s="303" t="s">
        <v>232</v>
      </c>
    </row>
    <row r="55258" spans="119:119" x14ac:dyDescent="0.2">
      <c r="DO55258" s="303" t="s">
        <v>232</v>
      </c>
    </row>
    <row r="55259" spans="119:119" x14ac:dyDescent="0.2">
      <c r="DO55259" s="303" t="s">
        <v>232</v>
      </c>
    </row>
    <row r="55260" spans="119:119" x14ac:dyDescent="0.2">
      <c r="DO55260" s="303" t="s">
        <v>232</v>
      </c>
    </row>
    <row r="55261" spans="119:119" x14ac:dyDescent="0.2">
      <c r="DO55261" s="303" t="s">
        <v>232</v>
      </c>
    </row>
    <row r="55262" spans="119:119" x14ac:dyDescent="0.2">
      <c r="DO55262" s="303" t="s">
        <v>232</v>
      </c>
    </row>
    <row r="55263" spans="119:119" x14ac:dyDescent="0.2">
      <c r="DO55263" s="303" t="s">
        <v>232</v>
      </c>
    </row>
    <row r="55264" spans="119:119" x14ac:dyDescent="0.2">
      <c r="DO55264" s="303" t="s">
        <v>232</v>
      </c>
    </row>
    <row r="55265" spans="119:119" x14ac:dyDescent="0.2">
      <c r="DO55265" s="303" t="s">
        <v>232</v>
      </c>
    </row>
    <row r="55266" spans="119:119" x14ac:dyDescent="0.2">
      <c r="DO55266" s="303" t="s">
        <v>232</v>
      </c>
    </row>
    <row r="55267" spans="119:119" x14ac:dyDescent="0.2">
      <c r="DO55267" s="303" t="s">
        <v>232</v>
      </c>
    </row>
    <row r="55268" spans="119:119" x14ac:dyDescent="0.2">
      <c r="DO55268" s="303" t="s">
        <v>232</v>
      </c>
    </row>
    <row r="55269" spans="119:119" x14ac:dyDescent="0.2">
      <c r="DO55269" s="303" t="s">
        <v>232</v>
      </c>
    </row>
    <row r="55270" spans="119:119" x14ac:dyDescent="0.2">
      <c r="DO55270" s="303" t="s">
        <v>232</v>
      </c>
    </row>
    <row r="55271" spans="119:119" x14ac:dyDescent="0.2">
      <c r="DO55271" s="303" t="s">
        <v>232</v>
      </c>
    </row>
    <row r="55272" spans="119:119" x14ac:dyDescent="0.2">
      <c r="DO55272" s="303" t="s">
        <v>232</v>
      </c>
    </row>
    <row r="55273" spans="119:119" x14ac:dyDescent="0.2">
      <c r="DO55273" s="303" t="s">
        <v>232</v>
      </c>
    </row>
    <row r="55274" spans="119:119" x14ac:dyDescent="0.2">
      <c r="DO55274" s="303" t="s">
        <v>232</v>
      </c>
    </row>
    <row r="55275" spans="119:119" x14ac:dyDescent="0.2">
      <c r="DO55275" s="303" t="s">
        <v>232</v>
      </c>
    </row>
    <row r="55276" spans="119:119" x14ac:dyDescent="0.2">
      <c r="DO55276" s="303" t="s">
        <v>232</v>
      </c>
    </row>
    <row r="55277" spans="119:119" x14ac:dyDescent="0.2">
      <c r="DO55277" s="303" t="s">
        <v>232</v>
      </c>
    </row>
    <row r="55278" spans="119:119" x14ac:dyDescent="0.2">
      <c r="DO55278" s="303" t="s">
        <v>232</v>
      </c>
    </row>
    <row r="55279" spans="119:119" x14ac:dyDescent="0.2">
      <c r="DO55279" s="303" t="s">
        <v>232</v>
      </c>
    </row>
    <row r="55280" spans="119:119" x14ac:dyDescent="0.2">
      <c r="DO55280" s="303" t="s">
        <v>232</v>
      </c>
    </row>
    <row r="55281" spans="119:119" x14ac:dyDescent="0.2">
      <c r="DO55281" s="303" t="s">
        <v>232</v>
      </c>
    </row>
    <row r="55282" spans="119:119" x14ac:dyDescent="0.2">
      <c r="DO55282" s="303" t="s">
        <v>232</v>
      </c>
    </row>
    <row r="55283" spans="119:119" x14ac:dyDescent="0.2">
      <c r="DO55283" s="303" t="s">
        <v>232</v>
      </c>
    </row>
    <row r="55284" spans="119:119" x14ac:dyDescent="0.2">
      <c r="DO55284" s="303" t="s">
        <v>232</v>
      </c>
    </row>
    <row r="55285" spans="119:119" x14ac:dyDescent="0.2">
      <c r="DO55285" s="303" t="s">
        <v>232</v>
      </c>
    </row>
    <row r="55286" spans="119:119" x14ac:dyDescent="0.2">
      <c r="DO55286" s="303" t="s">
        <v>232</v>
      </c>
    </row>
    <row r="55287" spans="119:119" x14ac:dyDescent="0.2">
      <c r="DO55287" s="303" t="s">
        <v>232</v>
      </c>
    </row>
    <row r="55288" spans="119:119" x14ac:dyDescent="0.2">
      <c r="DO55288" s="303" t="s">
        <v>232</v>
      </c>
    </row>
    <row r="55289" spans="119:119" x14ac:dyDescent="0.2">
      <c r="DO55289" s="303" t="s">
        <v>232</v>
      </c>
    </row>
    <row r="55290" spans="119:119" x14ac:dyDescent="0.2">
      <c r="DO55290" s="303" t="s">
        <v>232</v>
      </c>
    </row>
    <row r="55291" spans="119:119" x14ac:dyDescent="0.2">
      <c r="DO55291" s="303" t="s">
        <v>232</v>
      </c>
    </row>
    <row r="55292" spans="119:119" x14ac:dyDescent="0.2">
      <c r="DO55292" s="303" t="s">
        <v>232</v>
      </c>
    </row>
    <row r="55293" spans="119:119" x14ac:dyDescent="0.2">
      <c r="DO55293" s="303" t="s">
        <v>232</v>
      </c>
    </row>
    <row r="55294" spans="119:119" x14ac:dyDescent="0.2">
      <c r="DO55294" s="303" t="s">
        <v>232</v>
      </c>
    </row>
    <row r="55295" spans="119:119" x14ac:dyDescent="0.2">
      <c r="DO55295" s="303" t="s">
        <v>232</v>
      </c>
    </row>
    <row r="55296" spans="119:119" x14ac:dyDescent="0.2">
      <c r="DO55296" s="303" t="s">
        <v>232</v>
      </c>
    </row>
    <row r="55297" spans="119:119" x14ac:dyDescent="0.2">
      <c r="DO55297" s="303" t="s">
        <v>232</v>
      </c>
    </row>
    <row r="55298" spans="119:119" x14ac:dyDescent="0.2">
      <c r="DO55298" s="303" t="s">
        <v>232</v>
      </c>
    </row>
    <row r="55299" spans="119:119" x14ac:dyDescent="0.2">
      <c r="DO55299" s="303" t="s">
        <v>232</v>
      </c>
    </row>
    <row r="55300" spans="119:119" x14ac:dyDescent="0.2">
      <c r="DO55300" s="303" t="s">
        <v>232</v>
      </c>
    </row>
    <row r="55301" spans="119:119" x14ac:dyDescent="0.2">
      <c r="DO55301" s="303" t="s">
        <v>232</v>
      </c>
    </row>
    <row r="55302" spans="119:119" x14ac:dyDescent="0.2">
      <c r="DO55302" s="303" t="s">
        <v>232</v>
      </c>
    </row>
    <row r="55303" spans="119:119" x14ac:dyDescent="0.2">
      <c r="DO55303" s="303" t="s">
        <v>232</v>
      </c>
    </row>
    <row r="55304" spans="119:119" x14ac:dyDescent="0.2">
      <c r="DO55304" s="303" t="s">
        <v>232</v>
      </c>
    </row>
    <row r="55305" spans="119:119" x14ac:dyDescent="0.2">
      <c r="DO55305" s="303" t="s">
        <v>232</v>
      </c>
    </row>
    <row r="55306" spans="119:119" x14ac:dyDescent="0.2">
      <c r="DO55306" s="303" t="s">
        <v>232</v>
      </c>
    </row>
    <row r="55307" spans="119:119" x14ac:dyDescent="0.2">
      <c r="DO55307" s="303" t="s">
        <v>232</v>
      </c>
    </row>
    <row r="55308" spans="119:119" x14ac:dyDescent="0.2">
      <c r="DO55308" s="303" t="s">
        <v>232</v>
      </c>
    </row>
    <row r="55309" spans="119:119" x14ac:dyDescent="0.2">
      <c r="DO55309" s="303" t="s">
        <v>232</v>
      </c>
    </row>
    <row r="55310" spans="119:119" x14ac:dyDescent="0.2">
      <c r="DO55310" s="303" t="s">
        <v>232</v>
      </c>
    </row>
    <row r="55311" spans="119:119" x14ac:dyDescent="0.2">
      <c r="DO55311" s="303" t="s">
        <v>232</v>
      </c>
    </row>
    <row r="55312" spans="119:119" x14ac:dyDescent="0.2">
      <c r="DO55312" s="303" t="s">
        <v>232</v>
      </c>
    </row>
    <row r="55313" spans="119:119" x14ac:dyDescent="0.2">
      <c r="DO55313" s="303" t="s">
        <v>232</v>
      </c>
    </row>
    <row r="55314" spans="119:119" x14ac:dyDescent="0.2">
      <c r="DO55314" s="303" t="s">
        <v>232</v>
      </c>
    </row>
    <row r="55315" spans="119:119" x14ac:dyDescent="0.2">
      <c r="DO55315" s="303" t="s">
        <v>232</v>
      </c>
    </row>
    <row r="55316" spans="119:119" x14ac:dyDescent="0.2">
      <c r="DO55316" s="303" t="s">
        <v>232</v>
      </c>
    </row>
    <row r="55317" spans="119:119" x14ac:dyDescent="0.2">
      <c r="DO55317" s="303" t="s">
        <v>232</v>
      </c>
    </row>
    <row r="55318" spans="119:119" x14ac:dyDescent="0.2">
      <c r="DO55318" s="303" t="s">
        <v>232</v>
      </c>
    </row>
    <row r="55319" spans="119:119" x14ac:dyDescent="0.2">
      <c r="DO55319" s="303" t="s">
        <v>232</v>
      </c>
    </row>
    <row r="55320" spans="119:119" x14ac:dyDescent="0.2">
      <c r="DO55320" s="303" t="s">
        <v>232</v>
      </c>
    </row>
    <row r="55321" spans="119:119" x14ac:dyDescent="0.2">
      <c r="DO55321" s="303" t="s">
        <v>232</v>
      </c>
    </row>
    <row r="55322" spans="119:119" x14ac:dyDescent="0.2">
      <c r="DO55322" s="303" t="s">
        <v>232</v>
      </c>
    </row>
    <row r="55323" spans="119:119" x14ac:dyDescent="0.2">
      <c r="DO55323" s="303" t="s">
        <v>232</v>
      </c>
    </row>
    <row r="55324" spans="119:119" x14ac:dyDescent="0.2">
      <c r="DO55324" s="303" t="s">
        <v>232</v>
      </c>
    </row>
    <row r="55325" spans="119:119" x14ac:dyDescent="0.2">
      <c r="DO55325" s="303" t="s">
        <v>232</v>
      </c>
    </row>
    <row r="55326" spans="119:119" x14ac:dyDescent="0.2">
      <c r="DO55326" s="303" t="s">
        <v>232</v>
      </c>
    </row>
    <row r="55327" spans="119:119" x14ac:dyDescent="0.2">
      <c r="DO55327" s="303" t="s">
        <v>232</v>
      </c>
    </row>
    <row r="55328" spans="119:119" x14ac:dyDescent="0.2">
      <c r="DO55328" s="303" t="s">
        <v>232</v>
      </c>
    </row>
    <row r="55329" spans="119:119" x14ac:dyDescent="0.2">
      <c r="DO55329" s="303" t="s">
        <v>232</v>
      </c>
    </row>
    <row r="55330" spans="119:119" x14ac:dyDescent="0.2">
      <c r="DO55330" s="303" t="s">
        <v>232</v>
      </c>
    </row>
    <row r="55331" spans="119:119" x14ac:dyDescent="0.2">
      <c r="DO55331" s="303" t="s">
        <v>232</v>
      </c>
    </row>
    <row r="55332" spans="119:119" x14ac:dyDescent="0.2">
      <c r="DO55332" s="303" t="s">
        <v>232</v>
      </c>
    </row>
    <row r="55333" spans="119:119" x14ac:dyDescent="0.2">
      <c r="DO55333" s="303" t="s">
        <v>232</v>
      </c>
    </row>
    <row r="55334" spans="119:119" x14ac:dyDescent="0.2">
      <c r="DO55334" s="303" t="s">
        <v>232</v>
      </c>
    </row>
    <row r="55335" spans="119:119" x14ac:dyDescent="0.2">
      <c r="DO55335" s="303" t="s">
        <v>232</v>
      </c>
    </row>
    <row r="55336" spans="119:119" x14ac:dyDescent="0.2">
      <c r="DO55336" s="303" t="s">
        <v>232</v>
      </c>
    </row>
    <row r="55337" spans="119:119" x14ac:dyDescent="0.2">
      <c r="DO55337" s="303" t="s">
        <v>232</v>
      </c>
    </row>
    <row r="55338" spans="119:119" x14ac:dyDescent="0.2">
      <c r="DO55338" s="303" t="s">
        <v>232</v>
      </c>
    </row>
    <row r="55339" spans="119:119" x14ac:dyDescent="0.2">
      <c r="DO55339" s="303" t="s">
        <v>232</v>
      </c>
    </row>
    <row r="55340" spans="119:119" x14ac:dyDescent="0.2">
      <c r="DO55340" s="303" t="s">
        <v>232</v>
      </c>
    </row>
    <row r="55341" spans="119:119" x14ac:dyDescent="0.2">
      <c r="DO55341" s="303" t="s">
        <v>232</v>
      </c>
    </row>
    <row r="55342" spans="119:119" x14ac:dyDescent="0.2">
      <c r="DO55342" s="303" t="s">
        <v>232</v>
      </c>
    </row>
    <row r="55343" spans="119:119" x14ac:dyDescent="0.2">
      <c r="DO55343" s="303" t="s">
        <v>232</v>
      </c>
    </row>
    <row r="55344" spans="119:119" x14ac:dyDescent="0.2">
      <c r="DO55344" s="303" t="s">
        <v>232</v>
      </c>
    </row>
    <row r="55345" spans="119:119" x14ac:dyDescent="0.2">
      <c r="DO55345" s="303" t="s">
        <v>232</v>
      </c>
    </row>
    <row r="55346" spans="119:119" x14ac:dyDescent="0.2">
      <c r="DO55346" s="303" t="s">
        <v>232</v>
      </c>
    </row>
    <row r="55347" spans="119:119" x14ac:dyDescent="0.2">
      <c r="DO55347" s="303" t="s">
        <v>232</v>
      </c>
    </row>
    <row r="55348" spans="119:119" x14ac:dyDescent="0.2">
      <c r="DO55348" s="303" t="s">
        <v>232</v>
      </c>
    </row>
    <row r="55349" spans="119:119" x14ac:dyDescent="0.2">
      <c r="DO55349" s="303" t="s">
        <v>232</v>
      </c>
    </row>
    <row r="55350" spans="119:119" x14ac:dyDescent="0.2">
      <c r="DO55350" s="303" t="s">
        <v>232</v>
      </c>
    </row>
    <row r="55351" spans="119:119" x14ac:dyDescent="0.2">
      <c r="DO55351" s="303" t="s">
        <v>232</v>
      </c>
    </row>
    <row r="55352" spans="119:119" x14ac:dyDescent="0.2">
      <c r="DO55352" s="303" t="s">
        <v>232</v>
      </c>
    </row>
    <row r="55353" spans="119:119" x14ac:dyDescent="0.2">
      <c r="DO55353" s="303" t="s">
        <v>232</v>
      </c>
    </row>
    <row r="55354" spans="119:119" x14ac:dyDescent="0.2">
      <c r="DO55354" s="303" t="s">
        <v>232</v>
      </c>
    </row>
    <row r="55355" spans="119:119" x14ac:dyDescent="0.2">
      <c r="DO55355" s="303" t="s">
        <v>232</v>
      </c>
    </row>
    <row r="55356" spans="119:119" x14ac:dyDescent="0.2">
      <c r="DO55356" s="303" t="s">
        <v>232</v>
      </c>
    </row>
    <row r="55357" spans="119:119" x14ac:dyDescent="0.2">
      <c r="DO55357" s="303" t="s">
        <v>232</v>
      </c>
    </row>
    <row r="55358" spans="119:119" x14ac:dyDescent="0.2">
      <c r="DO55358" s="303" t="s">
        <v>232</v>
      </c>
    </row>
    <row r="55359" spans="119:119" x14ac:dyDescent="0.2">
      <c r="DO55359" s="303" t="s">
        <v>232</v>
      </c>
    </row>
    <row r="55360" spans="119:119" x14ac:dyDescent="0.2">
      <c r="DO55360" s="303" t="s">
        <v>232</v>
      </c>
    </row>
    <row r="55361" spans="119:119" x14ac:dyDescent="0.2">
      <c r="DO55361" s="303" t="s">
        <v>232</v>
      </c>
    </row>
    <row r="55362" spans="119:119" x14ac:dyDescent="0.2">
      <c r="DO55362" s="303" t="s">
        <v>232</v>
      </c>
    </row>
    <row r="55363" spans="119:119" x14ac:dyDescent="0.2">
      <c r="DO55363" s="303" t="s">
        <v>232</v>
      </c>
    </row>
    <row r="55364" spans="119:119" x14ac:dyDescent="0.2">
      <c r="DO55364" s="303" t="s">
        <v>232</v>
      </c>
    </row>
    <row r="55365" spans="119:119" x14ac:dyDescent="0.2">
      <c r="DO55365" s="303" t="s">
        <v>232</v>
      </c>
    </row>
    <row r="55366" spans="119:119" x14ac:dyDescent="0.2">
      <c r="DO55366" s="303" t="s">
        <v>232</v>
      </c>
    </row>
    <row r="55367" spans="119:119" x14ac:dyDescent="0.2">
      <c r="DO55367" s="303" t="s">
        <v>232</v>
      </c>
    </row>
    <row r="55368" spans="119:119" x14ac:dyDescent="0.2">
      <c r="DO55368" s="303" t="s">
        <v>232</v>
      </c>
    </row>
    <row r="55369" spans="119:119" x14ac:dyDescent="0.2">
      <c r="DO55369" s="303" t="s">
        <v>232</v>
      </c>
    </row>
    <row r="55370" spans="119:119" x14ac:dyDescent="0.2">
      <c r="DO55370" s="303" t="s">
        <v>232</v>
      </c>
    </row>
    <row r="55371" spans="119:119" x14ac:dyDescent="0.2">
      <c r="DO55371" s="303" t="s">
        <v>232</v>
      </c>
    </row>
    <row r="55372" spans="119:119" x14ac:dyDescent="0.2">
      <c r="DO55372" s="303" t="s">
        <v>232</v>
      </c>
    </row>
    <row r="55373" spans="119:119" x14ac:dyDescent="0.2">
      <c r="DO55373" s="303" t="s">
        <v>232</v>
      </c>
    </row>
    <row r="55374" spans="119:119" x14ac:dyDescent="0.2">
      <c r="DO55374" s="303" t="s">
        <v>232</v>
      </c>
    </row>
    <row r="55375" spans="119:119" x14ac:dyDescent="0.2">
      <c r="DO55375" s="303" t="s">
        <v>232</v>
      </c>
    </row>
    <row r="55376" spans="119:119" x14ac:dyDescent="0.2">
      <c r="DO55376" s="303" t="s">
        <v>232</v>
      </c>
    </row>
    <row r="55377" spans="119:119" x14ac:dyDescent="0.2">
      <c r="DO55377" s="303" t="s">
        <v>232</v>
      </c>
    </row>
    <row r="55378" spans="119:119" x14ac:dyDescent="0.2">
      <c r="DO55378" s="303" t="s">
        <v>232</v>
      </c>
    </row>
    <row r="55379" spans="119:119" x14ac:dyDescent="0.2">
      <c r="DO55379" s="303" t="s">
        <v>232</v>
      </c>
    </row>
    <row r="55380" spans="119:119" x14ac:dyDescent="0.2">
      <c r="DO55380" s="303" t="s">
        <v>232</v>
      </c>
    </row>
    <row r="55381" spans="119:119" x14ac:dyDescent="0.2">
      <c r="DO55381" s="303" t="s">
        <v>232</v>
      </c>
    </row>
    <row r="55382" spans="119:119" x14ac:dyDescent="0.2">
      <c r="DO55382" s="303" t="s">
        <v>232</v>
      </c>
    </row>
    <row r="55383" spans="119:119" x14ac:dyDescent="0.2">
      <c r="DO55383" s="303" t="s">
        <v>232</v>
      </c>
    </row>
    <row r="55384" spans="119:119" x14ac:dyDescent="0.2">
      <c r="DO55384" s="303" t="s">
        <v>232</v>
      </c>
    </row>
    <row r="55385" spans="119:119" x14ac:dyDescent="0.2">
      <c r="DO55385" s="303" t="s">
        <v>232</v>
      </c>
    </row>
    <row r="55386" spans="119:119" x14ac:dyDescent="0.2">
      <c r="DO55386" s="303" t="s">
        <v>232</v>
      </c>
    </row>
    <row r="55387" spans="119:119" x14ac:dyDescent="0.2">
      <c r="DO55387" s="303" t="s">
        <v>232</v>
      </c>
    </row>
    <row r="55388" spans="119:119" x14ac:dyDescent="0.2">
      <c r="DO55388" s="303" t="s">
        <v>232</v>
      </c>
    </row>
    <row r="55389" spans="119:119" x14ac:dyDescent="0.2">
      <c r="DO55389" s="303" t="s">
        <v>232</v>
      </c>
    </row>
    <row r="55390" spans="119:119" x14ac:dyDescent="0.2">
      <c r="DO55390" s="303" t="s">
        <v>232</v>
      </c>
    </row>
    <row r="55391" spans="119:119" x14ac:dyDescent="0.2">
      <c r="DO55391" s="303" t="s">
        <v>232</v>
      </c>
    </row>
    <row r="55392" spans="119:119" x14ac:dyDescent="0.2">
      <c r="DO55392" s="303" t="s">
        <v>232</v>
      </c>
    </row>
    <row r="55393" spans="119:119" x14ac:dyDescent="0.2">
      <c r="DO55393" s="303" t="s">
        <v>232</v>
      </c>
    </row>
    <row r="55394" spans="119:119" x14ac:dyDescent="0.2">
      <c r="DO55394" s="303" t="s">
        <v>232</v>
      </c>
    </row>
    <row r="55395" spans="119:119" x14ac:dyDescent="0.2">
      <c r="DO55395" s="303" t="s">
        <v>232</v>
      </c>
    </row>
    <row r="55396" spans="119:119" x14ac:dyDescent="0.2">
      <c r="DO55396" s="303" t="s">
        <v>232</v>
      </c>
    </row>
    <row r="55397" spans="119:119" x14ac:dyDescent="0.2">
      <c r="DO55397" s="303" t="s">
        <v>232</v>
      </c>
    </row>
    <row r="55398" spans="119:119" x14ac:dyDescent="0.2">
      <c r="DO55398" s="303" t="s">
        <v>232</v>
      </c>
    </row>
    <row r="55399" spans="119:119" x14ac:dyDescent="0.2">
      <c r="DO55399" s="303" t="s">
        <v>232</v>
      </c>
    </row>
    <row r="55400" spans="119:119" x14ac:dyDescent="0.2">
      <c r="DO55400" s="303" t="s">
        <v>232</v>
      </c>
    </row>
    <row r="55401" spans="119:119" x14ac:dyDescent="0.2">
      <c r="DO55401" s="303" t="s">
        <v>232</v>
      </c>
    </row>
    <row r="55402" spans="119:119" x14ac:dyDescent="0.2">
      <c r="DO55402" s="303" t="s">
        <v>232</v>
      </c>
    </row>
    <row r="55403" spans="119:119" x14ac:dyDescent="0.2">
      <c r="DO55403" s="303" t="s">
        <v>232</v>
      </c>
    </row>
    <row r="55404" spans="119:119" x14ac:dyDescent="0.2">
      <c r="DO55404" s="303" t="s">
        <v>232</v>
      </c>
    </row>
    <row r="55405" spans="119:119" x14ac:dyDescent="0.2">
      <c r="DO55405" s="303" t="s">
        <v>232</v>
      </c>
    </row>
    <row r="55406" spans="119:119" x14ac:dyDescent="0.2">
      <c r="DO55406" s="303" t="s">
        <v>232</v>
      </c>
    </row>
    <row r="55407" spans="119:119" x14ac:dyDescent="0.2">
      <c r="DO55407" s="303" t="s">
        <v>232</v>
      </c>
    </row>
    <row r="55408" spans="119:119" x14ac:dyDescent="0.2">
      <c r="DO55408" s="303" t="s">
        <v>232</v>
      </c>
    </row>
    <row r="55409" spans="119:119" x14ac:dyDescent="0.2">
      <c r="DO55409" s="303" t="s">
        <v>232</v>
      </c>
    </row>
    <row r="55410" spans="119:119" x14ac:dyDescent="0.2">
      <c r="DO55410" s="303" t="s">
        <v>232</v>
      </c>
    </row>
    <row r="55411" spans="119:119" x14ac:dyDescent="0.2">
      <c r="DO55411" s="303" t="s">
        <v>232</v>
      </c>
    </row>
    <row r="55412" spans="119:119" x14ac:dyDescent="0.2">
      <c r="DO55412" s="303" t="s">
        <v>232</v>
      </c>
    </row>
    <row r="55413" spans="119:119" x14ac:dyDescent="0.2">
      <c r="DO55413" s="303" t="s">
        <v>232</v>
      </c>
    </row>
    <row r="55414" spans="119:119" x14ac:dyDescent="0.2">
      <c r="DO55414" s="303" t="s">
        <v>232</v>
      </c>
    </row>
    <row r="55415" spans="119:119" x14ac:dyDescent="0.2">
      <c r="DO55415" s="303" t="s">
        <v>232</v>
      </c>
    </row>
    <row r="55416" spans="119:119" x14ac:dyDescent="0.2">
      <c r="DO55416" s="303" t="s">
        <v>232</v>
      </c>
    </row>
    <row r="55417" spans="119:119" x14ac:dyDescent="0.2">
      <c r="DO55417" s="303" t="s">
        <v>232</v>
      </c>
    </row>
    <row r="55418" spans="119:119" x14ac:dyDescent="0.2">
      <c r="DO55418" s="303" t="s">
        <v>232</v>
      </c>
    </row>
    <row r="55419" spans="119:119" x14ac:dyDescent="0.2">
      <c r="DO55419" s="303" t="s">
        <v>232</v>
      </c>
    </row>
    <row r="55420" spans="119:119" x14ac:dyDescent="0.2">
      <c r="DO55420" s="303" t="s">
        <v>232</v>
      </c>
    </row>
    <row r="55421" spans="119:119" x14ac:dyDescent="0.2">
      <c r="DO55421" s="303" t="s">
        <v>232</v>
      </c>
    </row>
    <row r="55422" spans="119:119" x14ac:dyDescent="0.2">
      <c r="DO55422" s="303" t="s">
        <v>232</v>
      </c>
    </row>
    <row r="55423" spans="119:119" x14ac:dyDescent="0.2">
      <c r="DO55423" s="303" t="s">
        <v>232</v>
      </c>
    </row>
    <row r="55424" spans="119:119" x14ac:dyDescent="0.2">
      <c r="DO55424" s="303" t="s">
        <v>232</v>
      </c>
    </row>
    <row r="55425" spans="119:119" x14ac:dyDescent="0.2">
      <c r="DO55425" s="303" t="s">
        <v>232</v>
      </c>
    </row>
    <row r="55426" spans="119:119" x14ac:dyDescent="0.2">
      <c r="DO55426" s="303" t="s">
        <v>232</v>
      </c>
    </row>
    <row r="55427" spans="119:119" x14ac:dyDescent="0.2">
      <c r="DO55427" s="303" t="s">
        <v>232</v>
      </c>
    </row>
    <row r="55428" spans="119:119" x14ac:dyDescent="0.2">
      <c r="DO55428" s="303" t="s">
        <v>232</v>
      </c>
    </row>
    <row r="55429" spans="119:119" x14ac:dyDescent="0.2">
      <c r="DO55429" s="303" t="s">
        <v>232</v>
      </c>
    </row>
    <row r="55430" spans="119:119" x14ac:dyDescent="0.2">
      <c r="DO55430" s="303" t="s">
        <v>232</v>
      </c>
    </row>
    <row r="55431" spans="119:119" x14ac:dyDescent="0.2">
      <c r="DO55431" s="303" t="s">
        <v>232</v>
      </c>
    </row>
    <row r="55432" spans="119:119" x14ac:dyDescent="0.2">
      <c r="DO55432" s="303" t="s">
        <v>232</v>
      </c>
    </row>
    <row r="55433" spans="119:119" x14ac:dyDescent="0.2">
      <c r="DO55433" s="303" t="s">
        <v>232</v>
      </c>
    </row>
    <row r="55434" spans="119:119" x14ac:dyDescent="0.2">
      <c r="DO55434" s="303" t="s">
        <v>232</v>
      </c>
    </row>
    <row r="55435" spans="119:119" x14ac:dyDescent="0.2">
      <c r="DO55435" s="303" t="s">
        <v>232</v>
      </c>
    </row>
    <row r="55436" spans="119:119" x14ac:dyDescent="0.2">
      <c r="DO55436" s="303" t="s">
        <v>232</v>
      </c>
    </row>
    <row r="55437" spans="119:119" x14ac:dyDescent="0.2">
      <c r="DO55437" s="303" t="s">
        <v>232</v>
      </c>
    </row>
    <row r="55438" spans="119:119" x14ac:dyDescent="0.2">
      <c r="DO55438" s="303" t="s">
        <v>232</v>
      </c>
    </row>
    <row r="55439" spans="119:119" x14ac:dyDescent="0.2">
      <c r="DO55439" s="303" t="s">
        <v>232</v>
      </c>
    </row>
    <row r="55440" spans="119:119" x14ac:dyDescent="0.2">
      <c r="DO55440" s="303" t="s">
        <v>232</v>
      </c>
    </row>
    <row r="55441" spans="119:119" x14ac:dyDescent="0.2">
      <c r="DO55441" s="303" t="s">
        <v>232</v>
      </c>
    </row>
    <row r="55442" spans="119:119" x14ac:dyDescent="0.2">
      <c r="DO55442" s="303" t="s">
        <v>232</v>
      </c>
    </row>
    <row r="55443" spans="119:119" x14ac:dyDescent="0.2">
      <c r="DO55443" s="303" t="s">
        <v>232</v>
      </c>
    </row>
    <row r="55444" spans="119:119" x14ac:dyDescent="0.2">
      <c r="DO55444" s="303" t="s">
        <v>232</v>
      </c>
    </row>
    <row r="55445" spans="119:119" x14ac:dyDescent="0.2">
      <c r="DO55445" s="303" t="s">
        <v>232</v>
      </c>
    </row>
    <row r="55446" spans="119:119" x14ac:dyDescent="0.2">
      <c r="DO55446" s="303" t="s">
        <v>232</v>
      </c>
    </row>
    <row r="55447" spans="119:119" x14ac:dyDescent="0.2">
      <c r="DO55447" s="303" t="s">
        <v>232</v>
      </c>
    </row>
    <row r="55448" spans="119:119" x14ac:dyDescent="0.2">
      <c r="DO55448" s="303" t="s">
        <v>232</v>
      </c>
    </row>
    <row r="55449" spans="119:119" x14ac:dyDescent="0.2">
      <c r="DO55449" s="303" t="s">
        <v>232</v>
      </c>
    </row>
    <row r="55450" spans="119:119" x14ac:dyDescent="0.2">
      <c r="DO55450" s="303" t="s">
        <v>232</v>
      </c>
    </row>
    <row r="55451" spans="119:119" x14ac:dyDescent="0.2">
      <c r="DO55451" s="303" t="s">
        <v>232</v>
      </c>
    </row>
    <row r="55452" spans="119:119" x14ac:dyDescent="0.2">
      <c r="DO55452" s="303" t="s">
        <v>232</v>
      </c>
    </row>
    <row r="55453" spans="119:119" x14ac:dyDescent="0.2">
      <c r="DO55453" s="303" t="s">
        <v>232</v>
      </c>
    </row>
    <row r="55454" spans="119:119" x14ac:dyDescent="0.2">
      <c r="DO55454" s="303" t="s">
        <v>232</v>
      </c>
    </row>
    <row r="55455" spans="119:119" x14ac:dyDescent="0.2">
      <c r="DO55455" s="303" t="s">
        <v>232</v>
      </c>
    </row>
    <row r="55456" spans="119:119" x14ac:dyDescent="0.2">
      <c r="DO55456" s="303" t="s">
        <v>232</v>
      </c>
    </row>
    <row r="55457" spans="119:119" x14ac:dyDescent="0.2">
      <c r="DO55457" s="303" t="s">
        <v>232</v>
      </c>
    </row>
    <row r="55458" spans="119:119" x14ac:dyDescent="0.2">
      <c r="DO55458" s="303" t="s">
        <v>232</v>
      </c>
    </row>
    <row r="55459" spans="119:119" x14ac:dyDescent="0.2">
      <c r="DO55459" s="303" t="s">
        <v>232</v>
      </c>
    </row>
    <row r="55460" spans="119:119" x14ac:dyDescent="0.2">
      <c r="DO55460" s="303" t="s">
        <v>232</v>
      </c>
    </row>
    <row r="55461" spans="119:119" x14ac:dyDescent="0.2">
      <c r="DO55461" s="303" t="s">
        <v>232</v>
      </c>
    </row>
    <row r="55462" spans="119:119" x14ac:dyDescent="0.2">
      <c r="DO55462" s="303" t="s">
        <v>232</v>
      </c>
    </row>
    <row r="55463" spans="119:119" x14ac:dyDescent="0.2">
      <c r="DO55463" s="303" t="s">
        <v>232</v>
      </c>
    </row>
    <row r="55464" spans="119:119" x14ac:dyDescent="0.2">
      <c r="DO55464" s="303" t="s">
        <v>232</v>
      </c>
    </row>
    <row r="55465" spans="119:119" x14ac:dyDescent="0.2">
      <c r="DO55465" s="303" t="s">
        <v>232</v>
      </c>
    </row>
    <row r="55466" spans="119:119" x14ac:dyDescent="0.2">
      <c r="DO55466" s="303" t="s">
        <v>232</v>
      </c>
    </row>
    <row r="55467" spans="119:119" x14ac:dyDescent="0.2">
      <c r="DO55467" s="303" t="s">
        <v>232</v>
      </c>
    </row>
    <row r="55468" spans="119:119" x14ac:dyDescent="0.2">
      <c r="DO55468" s="303" t="s">
        <v>232</v>
      </c>
    </row>
    <row r="55469" spans="119:119" x14ac:dyDescent="0.2">
      <c r="DO55469" s="303" t="s">
        <v>232</v>
      </c>
    </row>
    <row r="55470" spans="119:119" x14ac:dyDescent="0.2">
      <c r="DO55470" s="303" t="s">
        <v>232</v>
      </c>
    </row>
    <row r="55471" spans="119:119" x14ac:dyDescent="0.2">
      <c r="DO55471" s="303" t="s">
        <v>232</v>
      </c>
    </row>
    <row r="55472" spans="119:119" x14ac:dyDescent="0.2">
      <c r="DO55472" s="303" t="s">
        <v>232</v>
      </c>
    </row>
    <row r="55473" spans="119:119" x14ac:dyDescent="0.2">
      <c r="DO55473" s="303" t="s">
        <v>232</v>
      </c>
    </row>
    <row r="55474" spans="119:119" x14ac:dyDescent="0.2">
      <c r="DO55474" s="303" t="s">
        <v>232</v>
      </c>
    </row>
    <row r="55475" spans="119:119" x14ac:dyDescent="0.2">
      <c r="DO55475" s="303" t="s">
        <v>232</v>
      </c>
    </row>
    <row r="55476" spans="119:119" x14ac:dyDescent="0.2">
      <c r="DO55476" s="303" t="s">
        <v>232</v>
      </c>
    </row>
    <row r="55477" spans="119:119" x14ac:dyDescent="0.2">
      <c r="DO55477" s="303" t="s">
        <v>232</v>
      </c>
    </row>
    <row r="55478" spans="119:119" x14ac:dyDescent="0.2">
      <c r="DO55478" s="303" t="s">
        <v>232</v>
      </c>
    </row>
    <row r="55479" spans="119:119" x14ac:dyDescent="0.2">
      <c r="DO55479" s="303" t="s">
        <v>232</v>
      </c>
    </row>
    <row r="55480" spans="119:119" x14ac:dyDescent="0.2">
      <c r="DO55480" s="303" t="s">
        <v>232</v>
      </c>
    </row>
    <row r="55481" spans="119:119" x14ac:dyDescent="0.2">
      <c r="DO55481" s="303" t="s">
        <v>232</v>
      </c>
    </row>
    <row r="55482" spans="119:119" x14ac:dyDescent="0.2">
      <c r="DO55482" s="303" t="s">
        <v>232</v>
      </c>
    </row>
    <row r="55483" spans="119:119" x14ac:dyDescent="0.2">
      <c r="DO55483" s="303" t="s">
        <v>232</v>
      </c>
    </row>
    <row r="55484" spans="119:119" x14ac:dyDescent="0.2">
      <c r="DO55484" s="303" t="s">
        <v>232</v>
      </c>
    </row>
    <row r="55485" spans="119:119" x14ac:dyDescent="0.2">
      <c r="DO55485" s="303" t="s">
        <v>232</v>
      </c>
    </row>
    <row r="55486" spans="119:119" x14ac:dyDescent="0.2">
      <c r="DO55486" s="303" t="s">
        <v>232</v>
      </c>
    </row>
    <row r="55487" spans="119:119" x14ac:dyDescent="0.2">
      <c r="DO55487" s="303" t="s">
        <v>232</v>
      </c>
    </row>
    <row r="55488" spans="119:119" x14ac:dyDescent="0.2">
      <c r="DO55488" s="303" t="s">
        <v>232</v>
      </c>
    </row>
    <row r="55489" spans="119:119" x14ac:dyDescent="0.2">
      <c r="DO55489" s="303" t="s">
        <v>232</v>
      </c>
    </row>
    <row r="55490" spans="119:119" x14ac:dyDescent="0.2">
      <c r="DO55490" s="303" t="s">
        <v>232</v>
      </c>
    </row>
    <row r="55491" spans="119:119" x14ac:dyDescent="0.2">
      <c r="DO55491" s="303" t="s">
        <v>232</v>
      </c>
    </row>
    <row r="55492" spans="119:119" x14ac:dyDescent="0.2">
      <c r="DO55492" s="303" t="s">
        <v>232</v>
      </c>
    </row>
    <row r="55493" spans="119:119" x14ac:dyDescent="0.2">
      <c r="DO55493" s="303" t="s">
        <v>232</v>
      </c>
    </row>
    <row r="55494" spans="119:119" x14ac:dyDescent="0.2">
      <c r="DO55494" s="303" t="s">
        <v>232</v>
      </c>
    </row>
    <row r="55495" spans="119:119" x14ac:dyDescent="0.2">
      <c r="DO55495" s="303" t="s">
        <v>232</v>
      </c>
    </row>
    <row r="55496" spans="119:119" x14ac:dyDescent="0.2">
      <c r="DO55496" s="303" t="s">
        <v>232</v>
      </c>
    </row>
    <row r="55497" spans="119:119" x14ac:dyDescent="0.2">
      <c r="DO55497" s="303" t="s">
        <v>232</v>
      </c>
    </row>
    <row r="55498" spans="119:119" x14ac:dyDescent="0.2">
      <c r="DO55498" s="303" t="s">
        <v>232</v>
      </c>
    </row>
    <row r="55499" spans="119:119" x14ac:dyDescent="0.2">
      <c r="DO55499" s="303" t="s">
        <v>232</v>
      </c>
    </row>
    <row r="55500" spans="119:119" x14ac:dyDescent="0.2">
      <c r="DO55500" s="303" t="s">
        <v>232</v>
      </c>
    </row>
    <row r="55501" spans="119:119" x14ac:dyDescent="0.2">
      <c r="DO55501" s="303" t="s">
        <v>232</v>
      </c>
    </row>
    <row r="55502" spans="119:119" x14ac:dyDescent="0.2">
      <c r="DO55502" s="303" t="s">
        <v>232</v>
      </c>
    </row>
    <row r="55503" spans="119:119" x14ac:dyDescent="0.2">
      <c r="DO55503" s="303" t="s">
        <v>232</v>
      </c>
    </row>
    <row r="55504" spans="119:119" x14ac:dyDescent="0.2">
      <c r="DO55504" s="303" t="s">
        <v>232</v>
      </c>
    </row>
    <row r="55505" spans="119:119" x14ac:dyDescent="0.2">
      <c r="DO55505" s="303" t="s">
        <v>232</v>
      </c>
    </row>
    <row r="55506" spans="119:119" x14ac:dyDescent="0.2">
      <c r="DO55506" s="303" t="s">
        <v>232</v>
      </c>
    </row>
    <row r="55507" spans="119:119" x14ac:dyDescent="0.2">
      <c r="DO55507" s="303" t="s">
        <v>232</v>
      </c>
    </row>
    <row r="55508" spans="119:119" x14ac:dyDescent="0.2">
      <c r="DO55508" s="303" t="s">
        <v>232</v>
      </c>
    </row>
    <row r="55509" spans="119:119" x14ac:dyDescent="0.2">
      <c r="DO55509" s="303" t="s">
        <v>232</v>
      </c>
    </row>
    <row r="55510" spans="119:119" x14ac:dyDescent="0.2">
      <c r="DO55510" s="303" t="s">
        <v>232</v>
      </c>
    </row>
    <row r="55511" spans="119:119" x14ac:dyDescent="0.2">
      <c r="DO55511" s="303" t="s">
        <v>232</v>
      </c>
    </row>
    <row r="55512" spans="119:119" x14ac:dyDescent="0.2">
      <c r="DO55512" s="303" t="s">
        <v>232</v>
      </c>
    </row>
    <row r="55513" spans="119:119" x14ac:dyDescent="0.2">
      <c r="DO55513" s="303" t="s">
        <v>232</v>
      </c>
    </row>
    <row r="55514" spans="119:119" x14ac:dyDescent="0.2">
      <c r="DO55514" s="303" t="s">
        <v>232</v>
      </c>
    </row>
    <row r="55515" spans="119:119" x14ac:dyDescent="0.2">
      <c r="DO55515" s="303" t="s">
        <v>232</v>
      </c>
    </row>
    <row r="55516" spans="119:119" x14ac:dyDescent="0.2">
      <c r="DO55516" s="303" t="s">
        <v>232</v>
      </c>
    </row>
    <row r="55517" spans="119:119" x14ac:dyDescent="0.2">
      <c r="DO55517" s="303" t="s">
        <v>232</v>
      </c>
    </row>
    <row r="55518" spans="119:119" x14ac:dyDescent="0.2">
      <c r="DO55518" s="303" t="s">
        <v>232</v>
      </c>
    </row>
    <row r="55519" spans="119:119" x14ac:dyDescent="0.2">
      <c r="DO55519" s="303" t="s">
        <v>232</v>
      </c>
    </row>
    <row r="55520" spans="119:119" x14ac:dyDescent="0.2">
      <c r="DO55520" s="303" t="s">
        <v>232</v>
      </c>
    </row>
    <row r="55521" spans="119:119" x14ac:dyDescent="0.2">
      <c r="DO55521" s="303" t="s">
        <v>232</v>
      </c>
    </row>
    <row r="55522" spans="119:119" x14ac:dyDescent="0.2">
      <c r="DO55522" s="303" t="s">
        <v>232</v>
      </c>
    </row>
    <row r="55523" spans="119:119" x14ac:dyDescent="0.2">
      <c r="DO55523" s="303" t="s">
        <v>232</v>
      </c>
    </row>
    <row r="55524" spans="119:119" x14ac:dyDescent="0.2">
      <c r="DO55524" s="303" t="s">
        <v>232</v>
      </c>
    </row>
    <row r="55525" spans="119:119" x14ac:dyDescent="0.2">
      <c r="DO55525" s="303" t="s">
        <v>232</v>
      </c>
    </row>
    <row r="55526" spans="119:119" x14ac:dyDescent="0.2">
      <c r="DO55526" s="303" t="s">
        <v>232</v>
      </c>
    </row>
    <row r="55527" spans="119:119" x14ac:dyDescent="0.2">
      <c r="DO55527" s="303" t="s">
        <v>232</v>
      </c>
    </row>
    <row r="55528" spans="119:119" x14ac:dyDescent="0.2">
      <c r="DO55528" s="303" t="s">
        <v>232</v>
      </c>
    </row>
    <row r="55529" spans="119:119" x14ac:dyDescent="0.2">
      <c r="DO55529" s="303" t="s">
        <v>232</v>
      </c>
    </row>
    <row r="55530" spans="119:119" x14ac:dyDescent="0.2">
      <c r="DO55530" s="303" t="s">
        <v>232</v>
      </c>
    </row>
    <row r="55531" spans="119:119" x14ac:dyDescent="0.2">
      <c r="DO55531" s="303" t="s">
        <v>232</v>
      </c>
    </row>
    <row r="55532" spans="119:119" x14ac:dyDescent="0.2">
      <c r="DO55532" s="303" t="s">
        <v>232</v>
      </c>
    </row>
    <row r="55533" spans="119:119" x14ac:dyDescent="0.2">
      <c r="DO55533" s="303" t="s">
        <v>232</v>
      </c>
    </row>
    <row r="55534" spans="119:119" x14ac:dyDescent="0.2">
      <c r="DO55534" s="303" t="s">
        <v>232</v>
      </c>
    </row>
    <row r="55535" spans="119:119" x14ac:dyDescent="0.2">
      <c r="DO55535" s="303" t="s">
        <v>232</v>
      </c>
    </row>
    <row r="55536" spans="119:119" x14ac:dyDescent="0.2">
      <c r="DO55536" s="303" t="s">
        <v>232</v>
      </c>
    </row>
    <row r="55537" spans="119:119" x14ac:dyDescent="0.2">
      <c r="DO55537" s="303" t="s">
        <v>232</v>
      </c>
    </row>
    <row r="55538" spans="119:119" x14ac:dyDescent="0.2">
      <c r="DO55538" s="303" t="s">
        <v>232</v>
      </c>
    </row>
    <row r="55539" spans="119:119" x14ac:dyDescent="0.2">
      <c r="DO55539" s="303" t="s">
        <v>232</v>
      </c>
    </row>
    <row r="55540" spans="119:119" x14ac:dyDescent="0.2">
      <c r="DO55540" s="303" t="s">
        <v>232</v>
      </c>
    </row>
    <row r="55541" spans="119:119" x14ac:dyDescent="0.2">
      <c r="DO55541" s="303" t="s">
        <v>232</v>
      </c>
    </row>
    <row r="55542" spans="119:119" x14ac:dyDescent="0.2">
      <c r="DO55542" s="303" t="s">
        <v>232</v>
      </c>
    </row>
    <row r="55543" spans="119:119" x14ac:dyDescent="0.2">
      <c r="DO55543" s="303" t="s">
        <v>232</v>
      </c>
    </row>
    <row r="55544" spans="119:119" x14ac:dyDescent="0.2">
      <c r="DO55544" s="303" t="s">
        <v>232</v>
      </c>
    </row>
    <row r="55545" spans="119:119" x14ac:dyDescent="0.2">
      <c r="DO55545" s="303" t="s">
        <v>232</v>
      </c>
    </row>
    <row r="55546" spans="119:119" x14ac:dyDescent="0.2">
      <c r="DO55546" s="303" t="s">
        <v>232</v>
      </c>
    </row>
    <row r="55547" spans="119:119" x14ac:dyDescent="0.2">
      <c r="DO55547" s="303" t="s">
        <v>232</v>
      </c>
    </row>
    <row r="55548" spans="119:119" x14ac:dyDescent="0.2">
      <c r="DO55548" s="303" t="s">
        <v>232</v>
      </c>
    </row>
    <row r="55549" spans="119:119" x14ac:dyDescent="0.2">
      <c r="DO55549" s="303" t="s">
        <v>232</v>
      </c>
    </row>
    <row r="55550" spans="119:119" x14ac:dyDescent="0.2">
      <c r="DO55550" s="303" t="s">
        <v>232</v>
      </c>
    </row>
    <row r="55551" spans="119:119" x14ac:dyDescent="0.2">
      <c r="DO55551" s="303" t="s">
        <v>232</v>
      </c>
    </row>
    <row r="55552" spans="119:119" x14ac:dyDescent="0.2">
      <c r="DO55552" s="303" t="s">
        <v>232</v>
      </c>
    </row>
    <row r="55553" spans="119:119" x14ac:dyDescent="0.2">
      <c r="DO55553" s="303" t="s">
        <v>232</v>
      </c>
    </row>
    <row r="55554" spans="119:119" x14ac:dyDescent="0.2">
      <c r="DO55554" s="303" t="s">
        <v>232</v>
      </c>
    </row>
    <row r="55555" spans="119:119" x14ac:dyDescent="0.2">
      <c r="DO55555" s="303" t="s">
        <v>232</v>
      </c>
    </row>
    <row r="55556" spans="119:119" x14ac:dyDescent="0.2">
      <c r="DO55556" s="303" t="s">
        <v>232</v>
      </c>
    </row>
    <row r="55557" spans="119:119" x14ac:dyDescent="0.2">
      <c r="DO55557" s="303" t="s">
        <v>232</v>
      </c>
    </row>
    <row r="55558" spans="119:119" x14ac:dyDescent="0.2">
      <c r="DO55558" s="303" t="s">
        <v>232</v>
      </c>
    </row>
    <row r="55559" spans="119:119" x14ac:dyDescent="0.2">
      <c r="DO55559" s="303" t="s">
        <v>232</v>
      </c>
    </row>
    <row r="55560" spans="119:119" x14ac:dyDescent="0.2">
      <c r="DO55560" s="303" t="s">
        <v>232</v>
      </c>
    </row>
    <row r="55561" spans="119:119" x14ac:dyDescent="0.2">
      <c r="DO55561" s="303" t="s">
        <v>232</v>
      </c>
    </row>
    <row r="55562" spans="119:119" x14ac:dyDescent="0.2">
      <c r="DO55562" s="303" t="s">
        <v>232</v>
      </c>
    </row>
    <row r="55563" spans="119:119" x14ac:dyDescent="0.2">
      <c r="DO55563" s="303" t="s">
        <v>232</v>
      </c>
    </row>
    <row r="55564" spans="119:119" x14ac:dyDescent="0.2">
      <c r="DO55564" s="303" t="s">
        <v>232</v>
      </c>
    </row>
    <row r="55565" spans="119:119" x14ac:dyDescent="0.2">
      <c r="DO55565" s="303" t="s">
        <v>232</v>
      </c>
    </row>
    <row r="55566" spans="119:119" x14ac:dyDescent="0.2">
      <c r="DO55566" s="303" t="s">
        <v>232</v>
      </c>
    </row>
    <row r="55567" spans="119:119" x14ac:dyDescent="0.2">
      <c r="DO55567" s="303" t="s">
        <v>232</v>
      </c>
    </row>
    <row r="55568" spans="119:119" x14ac:dyDescent="0.2">
      <c r="DO55568" s="303" t="s">
        <v>232</v>
      </c>
    </row>
    <row r="55569" spans="119:119" x14ac:dyDescent="0.2">
      <c r="DO55569" s="303" t="s">
        <v>232</v>
      </c>
    </row>
    <row r="55570" spans="119:119" x14ac:dyDescent="0.2">
      <c r="DO55570" s="303" t="s">
        <v>232</v>
      </c>
    </row>
    <row r="55571" spans="119:119" x14ac:dyDescent="0.2">
      <c r="DO55571" s="303" t="s">
        <v>232</v>
      </c>
    </row>
    <row r="55572" spans="119:119" x14ac:dyDescent="0.2">
      <c r="DO55572" s="303" t="s">
        <v>232</v>
      </c>
    </row>
    <row r="55573" spans="119:119" x14ac:dyDescent="0.2">
      <c r="DO55573" s="303" t="s">
        <v>232</v>
      </c>
    </row>
    <row r="55574" spans="119:119" x14ac:dyDescent="0.2">
      <c r="DO55574" s="303" t="s">
        <v>232</v>
      </c>
    </row>
    <row r="55575" spans="119:119" x14ac:dyDescent="0.2">
      <c r="DO55575" s="303" t="s">
        <v>232</v>
      </c>
    </row>
    <row r="55576" spans="119:119" x14ac:dyDescent="0.2">
      <c r="DO55576" s="303" t="s">
        <v>232</v>
      </c>
    </row>
    <row r="55577" spans="119:119" x14ac:dyDescent="0.2">
      <c r="DO55577" s="303" t="s">
        <v>232</v>
      </c>
    </row>
    <row r="55578" spans="119:119" x14ac:dyDescent="0.2">
      <c r="DO55578" s="303" t="s">
        <v>232</v>
      </c>
    </row>
    <row r="55579" spans="119:119" x14ac:dyDescent="0.2">
      <c r="DO55579" s="303" t="s">
        <v>232</v>
      </c>
    </row>
    <row r="55580" spans="119:119" x14ac:dyDescent="0.2">
      <c r="DO55580" s="303" t="s">
        <v>232</v>
      </c>
    </row>
    <row r="55581" spans="119:119" x14ac:dyDescent="0.2">
      <c r="DO55581" s="303" t="s">
        <v>232</v>
      </c>
    </row>
    <row r="55582" spans="119:119" x14ac:dyDescent="0.2">
      <c r="DO55582" s="303" t="s">
        <v>232</v>
      </c>
    </row>
    <row r="55583" spans="119:119" x14ac:dyDescent="0.2">
      <c r="DO55583" s="303" t="s">
        <v>232</v>
      </c>
    </row>
    <row r="55584" spans="119:119" x14ac:dyDescent="0.2">
      <c r="DO55584" s="303" t="s">
        <v>232</v>
      </c>
    </row>
    <row r="55585" spans="119:119" x14ac:dyDescent="0.2">
      <c r="DO55585" s="303" t="s">
        <v>232</v>
      </c>
    </row>
    <row r="55586" spans="119:119" x14ac:dyDescent="0.2">
      <c r="DO55586" s="303" t="s">
        <v>232</v>
      </c>
    </row>
    <row r="55587" spans="119:119" x14ac:dyDescent="0.2">
      <c r="DO55587" s="303" t="s">
        <v>232</v>
      </c>
    </row>
    <row r="55588" spans="119:119" x14ac:dyDescent="0.2">
      <c r="DO55588" s="303" t="s">
        <v>232</v>
      </c>
    </row>
    <row r="55589" spans="119:119" x14ac:dyDescent="0.2">
      <c r="DO55589" s="303" t="s">
        <v>232</v>
      </c>
    </row>
    <row r="55590" spans="119:119" x14ac:dyDescent="0.2">
      <c r="DO55590" s="303" t="s">
        <v>232</v>
      </c>
    </row>
    <row r="55591" spans="119:119" x14ac:dyDescent="0.2">
      <c r="DO55591" s="303" t="s">
        <v>232</v>
      </c>
    </row>
    <row r="55592" spans="119:119" x14ac:dyDescent="0.2">
      <c r="DO55592" s="303" t="s">
        <v>232</v>
      </c>
    </row>
    <row r="55593" spans="119:119" x14ac:dyDescent="0.2">
      <c r="DO55593" s="303" t="s">
        <v>232</v>
      </c>
    </row>
    <row r="55594" spans="119:119" x14ac:dyDescent="0.2">
      <c r="DO55594" s="303" t="s">
        <v>232</v>
      </c>
    </row>
    <row r="55595" spans="119:119" x14ac:dyDescent="0.2">
      <c r="DO55595" s="303" t="s">
        <v>232</v>
      </c>
    </row>
    <row r="55596" spans="119:119" x14ac:dyDescent="0.2">
      <c r="DO55596" s="303" t="s">
        <v>232</v>
      </c>
    </row>
    <row r="55597" spans="119:119" x14ac:dyDescent="0.2">
      <c r="DO55597" s="303" t="s">
        <v>232</v>
      </c>
    </row>
    <row r="55598" spans="119:119" x14ac:dyDescent="0.2">
      <c r="DO55598" s="303" t="s">
        <v>232</v>
      </c>
    </row>
    <row r="55599" spans="119:119" x14ac:dyDescent="0.2">
      <c r="DO55599" s="303" t="s">
        <v>232</v>
      </c>
    </row>
    <row r="55600" spans="119:119" x14ac:dyDescent="0.2">
      <c r="DO55600" s="303" t="s">
        <v>232</v>
      </c>
    </row>
    <row r="55601" spans="119:119" x14ac:dyDescent="0.2">
      <c r="DO55601" s="303" t="s">
        <v>232</v>
      </c>
    </row>
    <row r="55602" spans="119:119" x14ac:dyDescent="0.2">
      <c r="DO55602" s="303" t="s">
        <v>232</v>
      </c>
    </row>
    <row r="55603" spans="119:119" x14ac:dyDescent="0.2">
      <c r="DO55603" s="303" t="s">
        <v>232</v>
      </c>
    </row>
    <row r="55604" spans="119:119" x14ac:dyDescent="0.2">
      <c r="DO55604" s="303" t="s">
        <v>232</v>
      </c>
    </row>
    <row r="55605" spans="119:119" x14ac:dyDescent="0.2">
      <c r="DO55605" s="303" t="s">
        <v>232</v>
      </c>
    </row>
    <row r="55606" spans="119:119" x14ac:dyDescent="0.2">
      <c r="DO55606" s="303" t="s">
        <v>232</v>
      </c>
    </row>
    <row r="55607" spans="119:119" x14ac:dyDescent="0.2">
      <c r="DO55607" s="303" t="s">
        <v>232</v>
      </c>
    </row>
    <row r="55608" spans="119:119" x14ac:dyDescent="0.2">
      <c r="DO55608" s="303" t="s">
        <v>232</v>
      </c>
    </row>
    <row r="55609" spans="119:119" x14ac:dyDescent="0.2">
      <c r="DO55609" s="303" t="s">
        <v>232</v>
      </c>
    </row>
    <row r="55610" spans="119:119" x14ac:dyDescent="0.2">
      <c r="DO55610" s="303" t="s">
        <v>232</v>
      </c>
    </row>
    <row r="55611" spans="119:119" x14ac:dyDescent="0.2">
      <c r="DO55611" s="303" t="s">
        <v>232</v>
      </c>
    </row>
    <row r="55612" spans="119:119" x14ac:dyDescent="0.2">
      <c r="DO55612" s="303" t="s">
        <v>232</v>
      </c>
    </row>
    <row r="55613" spans="119:119" x14ac:dyDescent="0.2">
      <c r="DO55613" s="303" t="s">
        <v>232</v>
      </c>
    </row>
    <row r="55614" spans="119:119" x14ac:dyDescent="0.2">
      <c r="DO55614" s="303" t="s">
        <v>232</v>
      </c>
    </row>
    <row r="55615" spans="119:119" x14ac:dyDescent="0.2">
      <c r="DO55615" s="303" t="s">
        <v>232</v>
      </c>
    </row>
    <row r="55616" spans="119:119" x14ac:dyDescent="0.2">
      <c r="DO55616" s="303" t="s">
        <v>232</v>
      </c>
    </row>
    <row r="55617" spans="119:119" x14ac:dyDescent="0.2">
      <c r="DO55617" s="303" t="s">
        <v>232</v>
      </c>
    </row>
    <row r="55618" spans="119:119" x14ac:dyDescent="0.2">
      <c r="DO55618" s="303" t="s">
        <v>232</v>
      </c>
    </row>
    <row r="55619" spans="119:119" x14ac:dyDescent="0.2">
      <c r="DO55619" s="303" t="s">
        <v>232</v>
      </c>
    </row>
    <row r="55620" spans="119:119" x14ac:dyDescent="0.2">
      <c r="DO55620" s="303" t="s">
        <v>232</v>
      </c>
    </row>
    <row r="55621" spans="119:119" x14ac:dyDescent="0.2">
      <c r="DO55621" s="303" t="s">
        <v>232</v>
      </c>
    </row>
    <row r="55622" spans="119:119" x14ac:dyDescent="0.2">
      <c r="DO55622" s="303" t="s">
        <v>232</v>
      </c>
    </row>
    <row r="55623" spans="119:119" x14ac:dyDescent="0.2">
      <c r="DO55623" s="303" t="s">
        <v>232</v>
      </c>
    </row>
    <row r="55624" spans="119:119" x14ac:dyDescent="0.2">
      <c r="DO55624" s="303" t="s">
        <v>232</v>
      </c>
    </row>
    <row r="55625" spans="119:119" x14ac:dyDescent="0.2">
      <c r="DO55625" s="303" t="s">
        <v>232</v>
      </c>
    </row>
    <row r="55626" spans="119:119" x14ac:dyDescent="0.2">
      <c r="DO55626" s="303" t="s">
        <v>232</v>
      </c>
    </row>
    <row r="55627" spans="119:119" x14ac:dyDescent="0.2">
      <c r="DO55627" s="303" t="s">
        <v>232</v>
      </c>
    </row>
    <row r="55628" spans="119:119" x14ac:dyDescent="0.2">
      <c r="DO55628" s="303" t="s">
        <v>232</v>
      </c>
    </row>
    <row r="55629" spans="119:119" x14ac:dyDescent="0.2">
      <c r="DO55629" s="303" t="s">
        <v>232</v>
      </c>
    </row>
    <row r="55630" spans="119:119" x14ac:dyDescent="0.2">
      <c r="DO55630" s="303" t="s">
        <v>232</v>
      </c>
    </row>
    <row r="55631" spans="119:119" x14ac:dyDescent="0.2">
      <c r="DO55631" s="303" t="s">
        <v>232</v>
      </c>
    </row>
    <row r="55632" spans="119:119" x14ac:dyDescent="0.2">
      <c r="DO55632" s="303" t="s">
        <v>232</v>
      </c>
    </row>
    <row r="55633" spans="119:119" x14ac:dyDescent="0.2">
      <c r="DO55633" s="303" t="s">
        <v>232</v>
      </c>
    </row>
    <row r="55634" spans="119:119" x14ac:dyDescent="0.2">
      <c r="DO55634" s="303" t="s">
        <v>232</v>
      </c>
    </row>
    <row r="55635" spans="119:119" x14ac:dyDescent="0.2">
      <c r="DO55635" s="303" t="s">
        <v>232</v>
      </c>
    </row>
    <row r="55636" spans="119:119" x14ac:dyDescent="0.2">
      <c r="DO55636" s="303" t="s">
        <v>232</v>
      </c>
    </row>
    <row r="55637" spans="119:119" x14ac:dyDescent="0.2">
      <c r="DO55637" s="303" t="s">
        <v>232</v>
      </c>
    </row>
    <row r="55638" spans="119:119" x14ac:dyDescent="0.2">
      <c r="DO55638" s="303" t="s">
        <v>232</v>
      </c>
    </row>
    <row r="55639" spans="119:119" x14ac:dyDescent="0.2">
      <c r="DO55639" s="303" t="s">
        <v>232</v>
      </c>
    </row>
    <row r="55640" spans="119:119" x14ac:dyDescent="0.2">
      <c r="DO55640" s="303" t="s">
        <v>232</v>
      </c>
    </row>
    <row r="55641" spans="119:119" x14ac:dyDescent="0.2">
      <c r="DO55641" s="303" t="s">
        <v>232</v>
      </c>
    </row>
    <row r="55642" spans="119:119" x14ac:dyDescent="0.2">
      <c r="DO55642" s="303" t="s">
        <v>232</v>
      </c>
    </row>
    <row r="55643" spans="119:119" x14ac:dyDescent="0.2">
      <c r="DO55643" s="303" t="s">
        <v>232</v>
      </c>
    </row>
    <row r="55644" spans="119:119" x14ac:dyDescent="0.2">
      <c r="DO55644" s="303" t="s">
        <v>232</v>
      </c>
    </row>
    <row r="55645" spans="119:119" x14ac:dyDescent="0.2">
      <c r="DO55645" s="303" t="s">
        <v>232</v>
      </c>
    </row>
    <row r="55646" spans="119:119" x14ac:dyDescent="0.2">
      <c r="DO55646" s="303" t="s">
        <v>232</v>
      </c>
    </row>
    <row r="55647" spans="119:119" x14ac:dyDescent="0.2">
      <c r="DO55647" s="303" t="s">
        <v>232</v>
      </c>
    </row>
    <row r="55648" spans="119:119" x14ac:dyDescent="0.2">
      <c r="DO55648" s="303" t="s">
        <v>232</v>
      </c>
    </row>
    <row r="55649" spans="119:119" x14ac:dyDescent="0.2">
      <c r="DO55649" s="303" t="s">
        <v>232</v>
      </c>
    </row>
    <row r="55650" spans="119:119" x14ac:dyDescent="0.2">
      <c r="DO55650" s="303" t="s">
        <v>232</v>
      </c>
    </row>
    <row r="55651" spans="119:119" x14ac:dyDescent="0.2">
      <c r="DO55651" s="303" t="s">
        <v>232</v>
      </c>
    </row>
    <row r="55652" spans="119:119" x14ac:dyDescent="0.2">
      <c r="DO55652" s="303" t="s">
        <v>232</v>
      </c>
    </row>
    <row r="55653" spans="119:119" x14ac:dyDescent="0.2">
      <c r="DO55653" s="303" t="s">
        <v>232</v>
      </c>
    </row>
    <row r="55654" spans="119:119" x14ac:dyDescent="0.2">
      <c r="DO55654" s="303" t="s">
        <v>232</v>
      </c>
    </row>
    <row r="55655" spans="119:119" x14ac:dyDescent="0.2">
      <c r="DO55655" s="303" t="s">
        <v>232</v>
      </c>
    </row>
    <row r="55656" spans="119:119" x14ac:dyDescent="0.2">
      <c r="DO55656" s="303" t="s">
        <v>232</v>
      </c>
    </row>
    <row r="55657" spans="119:119" x14ac:dyDescent="0.2">
      <c r="DO55657" s="303" t="s">
        <v>232</v>
      </c>
    </row>
    <row r="55658" spans="119:119" x14ac:dyDescent="0.2">
      <c r="DO55658" s="303" t="s">
        <v>232</v>
      </c>
    </row>
    <row r="55659" spans="119:119" x14ac:dyDescent="0.2">
      <c r="DO55659" s="303" t="s">
        <v>232</v>
      </c>
    </row>
    <row r="55660" spans="119:119" x14ac:dyDescent="0.2">
      <c r="DO55660" s="303" t="s">
        <v>232</v>
      </c>
    </row>
    <row r="55661" spans="119:119" x14ac:dyDescent="0.2">
      <c r="DO55661" s="303" t="s">
        <v>232</v>
      </c>
    </row>
    <row r="55662" spans="119:119" x14ac:dyDescent="0.2">
      <c r="DO55662" s="303" t="s">
        <v>232</v>
      </c>
    </row>
    <row r="55663" spans="119:119" x14ac:dyDescent="0.2">
      <c r="DO55663" s="303" t="s">
        <v>232</v>
      </c>
    </row>
    <row r="55664" spans="119:119" x14ac:dyDescent="0.2">
      <c r="DO55664" s="303" t="s">
        <v>232</v>
      </c>
    </row>
    <row r="55665" spans="119:119" x14ac:dyDescent="0.2">
      <c r="DO55665" s="303" t="s">
        <v>232</v>
      </c>
    </row>
    <row r="55666" spans="119:119" x14ac:dyDescent="0.2">
      <c r="DO55666" s="303" t="s">
        <v>232</v>
      </c>
    </row>
    <row r="55667" spans="119:119" x14ac:dyDescent="0.2">
      <c r="DO55667" s="303" t="s">
        <v>232</v>
      </c>
    </row>
    <row r="55668" spans="119:119" x14ac:dyDescent="0.2">
      <c r="DO55668" s="303" t="s">
        <v>232</v>
      </c>
    </row>
    <row r="55669" spans="119:119" x14ac:dyDescent="0.2">
      <c r="DO55669" s="303" t="s">
        <v>232</v>
      </c>
    </row>
    <row r="55670" spans="119:119" x14ac:dyDescent="0.2">
      <c r="DO55670" s="303" t="s">
        <v>232</v>
      </c>
    </row>
    <row r="55671" spans="119:119" x14ac:dyDescent="0.2">
      <c r="DO55671" s="303" t="s">
        <v>232</v>
      </c>
    </row>
    <row r="55672" spans="119:119" x14ac:dyDescent="0.2">
      <c r="DO55672" s="303" t="s">
        <v>232</v>
      </c>
    </row>
    <row r="55673" spans="119:119" x14ac:dyDescent="0.2">
      <c r="DO55673" s="303" t="s">
        <v>232</v>
      </c>
    </row>
    <row r="55674" spans="119:119" x14ac:dyDescent="0.2">
      <c r="DO55674" s="303" t="s">
        <v>232</v>
      </c>
    </row>
    <row r="55675" spans="119:119" x14ac:dyDescent="0.2">
      <c r="DO55675" s="303" t="s">
        <v>232</v>
      </c>
    </row>
    <row r="55676" spans="119:119" x14ac:dyDescent="0.2">
      <c r="DO55676" s="303" t="s">
        <v>232</v>
      </c>
    </row>
    <row r="55677" spans="119:119" x14ac:dyDescent="0.2">
      <c r="DO55677" s="303" t="s">
        <v>232</v>
      </c>
    </row>
    <row r="55678" spans="119:119" x14ac:dyDescent="0.2">
      <c r="DO55678" s="303" t="s">
        <v>232</v>
      </c>
    </row>
    <row r="55679" spans="119:119" x14ac:dyDescent="0.2">
      <c r="DO55679" s="303" t="s">
        <v>232</v>
      </c>
    </row>
    <row r="55680" spans="119:119" x14ac:dyDescent="0.2">
      <c r="DO55680" s="303" t="s">
        <v>232</v>
      </c>
    </row>
    <row r="55681" spans="119:119" x14ac:dyDescent="0.2">
      <c r="DO55681" s="303" t="s">
        <v>232</v>
      </c>
    </row>
    <row r="55682" spans="119:119" x14ac:dyDescent="0.2">
      <c r="DO55682" s="303" t="s">
        <v>232</v>
      </c>
    </row>
    <row r="55683" spans="119:119" x14ac:dyDescent="0.2">
      <c r="DO55683" s="303" t="s">
        <v>232</v>
      </c>
    </row>
    <row r="55684" spans="119:119" x14ac:dyDescent="0.2">
      <c r="DO55684" s="303" t="s">
        <v>232</v>
      </c>
    </row>
    <row r="55685" spans="119:119" x14ac:dyDescent="0.2">
      <c r="DO55685" s="303" t="s">
        <v>232</v>
      </c>
    </row>
    <row r="55686" spans="119:119" x14ac:dyDescent="0.2">
      <c r="DO55686" s="303" t="s">
        <v>232</v>
      </c>
    </row>
    <row r="55687" spans="119:119" x14ac:dyDescent="0.2">
      <c r="DO55687" s="303" t="s">
        <v>232</v>
      </c>
    </row>
    <row r="55688" spans="119:119" x14ac:dyDescent="0.2">
      <c r="DO55688" s="303" t="s">
        <v>232</v>
      </c>
    </row>
    <row r="55689" spans="119:119" x14ac:dyDescent="0.2">
      <c r="DO55689" s="303" t="s">
        <v>232</v>
      </c>
    </row>
    <row r="55690" spans="119:119" x14ac:dyDescent="0.2">
      <c r="DO55690" s="303" t="s">
        <v>232</v>
      </c>
    </row>
    <row r="55691" spans="119:119" x14ac:dyDescent="0.2">
      <c r="DO55691" s="303" t="s">
        <v>232</v>
      </c>
    </row>
    <row r="55692" spans="119:119" x14ac:dyDescent="0.2">
      <c r="DO55692" s="303" t="s">
        <v>232</v>
      </c>
    </row>
    <row r="55693" spans="119:119" x14ac:dyDescent="0.2">
      <c r="DO55693" s="303" t="s">
        <v>232</v>
      </c>
    </row>
    <row r="55694" spans="119:119" x14ac:dyDescent="0.2">
      <c r="DO55694" s="303" t="s">
        <v>232</v>
      </c>
    </row>
    <row r="55695" spans="119:119" x14ac:dyDescent="0.2">
      <c r="DO55695" s="303" t="s">
        <v>232</v>
      </c>
    </row>
    <row r="55696" spans="119:119" x14ac:dyDescent="0.2">
      <c r="DO55696" s="303" t="s">
        <v>232</v>
      </c>
    </row>
    <row r="55697" spans="119:119" x14ac:dyDescent="0.2">
      <c r="DO55697" s="303" t="s">
        <v>232</v>
      </c>
    </row>
    <row r="55698" spans="119:119" x14ac:dyDescent="0.2">
      <c r="DO55698" s="303" t="s">
        <v>232</v>
      </c>
    </row>
    <row r="55699" spans="119:119" x14ac:dyDescent="0.2">
      <c r="DO55699" s="303" t="s">
        <v>232</v>
      </c>
    </row>
    <row r="55700" spans="119:119" x14ac:dyDescent="0.2">
      <c r="DO55700" s="303" t="s">
        <v>232</v>
      </c>
    </row>
    <row r="55701" spans="119:119" x14ac:dyDescent="0.2">
      <c r="DO55701" s="303" t="s">
        <v>232</v>
      </c>
    </row>
    <row r="55702" spans="119:119" x14ac:dyDescent="0.2">
      <c r="DO55702" s="303" t="s">
        <v>232</v>
      </c>
    </row>
    <row r="55703" spans="119:119" x14ac:dyDescent="0.2">
      <c r="DO55703" s="303" t="s">
        <v>232</v>
      </c>
    </row>
    <row r="55704" spans="119:119" x14ac:dyDescent="0.2">
      <c r="DO55704" s="303" t="s">
        <v>232</v>
      </c>
    </row>
    <row r="55705" spans="119:119" x14ac:dyDescent="0.2">
      <c r="DO55705" s="303" t="s">
        <v>232</v>
      </c>
    </row>
    <row r="55706" spans="119:119" x14ac:dyDescent="0.2">
      <c r="DO55706" s="303" t="s">
        <v>232</v>
      </c>
    </row>
    <row r="55707" spans="119:119" x14ac:dyDescent="0.2">
      <c r="DO55707" s="303" t="s">
        <v>232</v>
      </c>
    </row>
    <row r="55708" spans="119:119" x14ac:dyDescent="0.2">
      <c r="DO55708" s="303" t="s">
        <v>232</v>
      </c>
    </row>
    <row r="55709" spans="119:119" x14ac:dyDescent="0.2">
      <c r="DO55709" s="303" t="s">
        <v>232</v>
      </c>
    </row>
    <row r="55710" spans="119:119" x14ac:dyDescent="0.2">
      <c r="DO55710" s="303" t="s">
        <v>232</v>
      </c>
    </row>
    <row r="55711" spans="119:119" x14ac:dyDescent="0.2">
      <c r="DO55711" s="303" t="s">
        <v>232</v>
      </c>
    </row>
    <row r="55712" spans="119:119" x14ac:dyDescent="0.2">
      <c r="DO55712" s="303" t="s">
        <v>232</v>
      </c>
    </row>
    <row r="55713" spans="119:119" x14ac:dyDescent="0.2">
      <c r="DO55713" s="303" t="s">
        <v>232</v>
      </c>
    </row>
    <row r="55714" spans="119:119" x14ac:dyDescent="0.2">
      <c r="DO55714" s="303" t="s">
        <v>232</v>
      </c>
    </row>
    <row r="55715" spans="119:119" x14ac:dyDescent="0.2">
      <c r="DO55715" s="303" t="s">
        <v>232</v>
      </c>
    </row>
    <row r="55716" spans="119:119" x14ac:dyDescent="0.2">
      <c r="DO55716" s="303" t="s">
        <v>232</v>
      </c>
    </row>
    <row r="55717" spans="119:119" x14ac:dyDescent="0.2">
      <c r="DO55717" s="303" t="s">
        <v>232</v>
      </c>
    </row>
    <row r="55718" spans="119:119" x14ac:dyDescent="0.2">
      <c r="DO55718" s="303" t="s">
        <v>232</v>
      </c>
    </row>
    <row r="55719" spans="119:119" x14ac:dyDescent="0.2">
      <c r="DO55719" s="303" t="s">
        <v>232</v>
      </c>
    </row>
    <row r="55720" spans="119:119" x14ac:dyDescent="0.2">
      <c r="DO55720" s="303" t="s">
        <v>232</v>
      </c>
    </row>
    <row r="55721" spans="119:119" x14ac:dyDescent="0.2">
      <c r="DO55721" s="303" t="s">
        <v>232</v>
      </c>
    </row>
    <row r="55722" spans="119:119" x14ac:dyDescent="0.2">
      <c r="DO55722" s="303" t="s">
        <v>232</v>
      </c>
    </row>
    <row r="55723" spans="119:119" x14ac:dyDescent="0.2">
      <c r="DO55723" s="303" t="s">
        <v>232</v>
      </c>
    </row>
    <row r="55724" spans="119:119" x14ac:dyDescent="0.2">
      <c r="DO55724" s="303" t="s">
        <v>232</v>
      </c>
    </row>
    <row r="55725" spans="119:119" x14ac:dyDescent="0.2">
      <c r="DO55725" s="303" t="s">
        <v>232</v>
      </c>
    </row>
    <row r="55726" spans="119:119" x14ac:dyDescent="0.2">
      <c r="DO55726" s="303" t="s">
        <v>232</v>
      </c>
    </row>
    <row r="55727" spans="119:119" x14ac:dyDescent="0.2">
      <c r="DO55727" s="303" t="s">
        <v>232</v>
      </c>
    </row>
    <row r="55728" spans="119:119" x14ac:dyDescent="0.2">
      <c r="DO55728" s="303" t="s">
        <v>232</v>
      </c>
    </row>
    <row r="55729" spans="119:119" x14ac:dyDescent="0.2">
      <c r="DO55729" s="303" t="s">
        <v>232</v>
      </c>
    </row>
    <row r="55730" spans="119:119" x14ac:dyDescent="0.2">
      <c r="DO55730" s="303" t="s">
        <v>232</v>
      </c>
    </row>
    <row r="55731" spans="119:119" x14ac:dyDescent="0.2">
      <c r="DO55731" s="303" t="s">
        <v>232</v>
      </c>
    </row>
    <row r="55732" spans="119:119" x14ac:dyDescent="0.2">
      <c r="DO55732" s="303" t="s">
        <v>232</v>
      </c>
    </row>
    <row r="55733" spans="119:119" x14ac:dyDescent="0.2">
      <c r="DO55733" s="303" t="s">
        <v>232</v>
      </c>
    </row>
    <row r="55734" spans="119:119" x14ac:dyDescent="0.2">
      <c r="DO55734" s="303" t="s">
        <v>232</v>
      </c>
    </row>
    <row r="55735" spans="119:119" x14ac:dyDescent="0.2">
      <c r="DO55735" s="303" t="s">
        <v>232</v>
      </c>
    </row>
    <row r="55736" spans="119:119" x14ac:dyDescent="0.2">
      <c r="DO55736" s="303" t="s">
        <v>232</v>
      </c>
    </row>
    <row r="55737" spans="119:119" x14ac:dyDescent="0.2">
      <c r="DO55737" s="303" t="s">
        <v>232</v>
      </c>
    </row>
    <row r="55738" spans="119:119" x14ac:dyDescent="0.2">
      <c r="DO55738" s="303" t="s">
        <v>232</v>
      </c>
    </row>
    <row r="55739" spans="119:119" x14ac:dyDescent="0.2">
      <c r="DO55739" s="303" t="s">
        <v>232</v>
      </c>
    </row>
    <row r="55740" spans="119:119" x14ac:dyDescent="0.2">
      <c r="DO55740" s="303" t="s">
        <v>232</v>
      </c>
    </row>
    <row r="55741" spans="119:119" x14ac:dyDescent="0.2">
      <c r="DO55741" s="303" t="s">
        <v>232</v>
      </c>
    </row>
    <row r="55742" spans="119:119" x14ac:dyDescent="0.2">
      <c r="DO55742" s="303" t="s">
        <v>232</v>
      </c>
    </row>
    <row r="55743" spans="119:119" x14ac:dyDescent="0.2">
      <c r="DO55743" s="303" t="s">
        <v>232</v>
      </c>
    </row>
    <row r="55744" spans="119:119" x14ac:dyDescent="0.2">
      <c r="DO55744" s="303" t="s">
        <v>232</v>
      </c>
    </row>
    <row r="55745" spans="119:119" x14ac:dyDescent="0.2">
      <c r="DO55745" s="303" t="s">
        <v>232</v>
      </c>
    </row>
    <row r="55746" spans="119:119" x14ac:dyDescent="0.2">
      <c r="DO55746" s="303" t="s">
        <v>232</v>
      </c>
    </row>
    <row r="55747" spans="119:119" x14ac:dyDescent="0.2">
      <c r="DO55747" s="303" t="s">
        <v>232</v>
      </c>
    </row>
    <row r="55748" spans="119:119" x14ac:dyDescent="0.2">
      <c r="DO55748" s="303" t="s">
        <v>232</v>
      </c>
    </row>
    <row r="55749" spans="119:119" x14ac:dyDescent="0.2">
      <c r="DO55749" s="303" t="s">
        <v>232</v>
      </c>
    </row>
    <row r="55750" spans="119:119" x14ac:dyDescent="0.2">
      <c r="DO55750" s="303" t="s">
        <v>232</v>
      </c>
    </row>
    <row r="55751" spans="119:119" x14ac:dyDescent="0.2">
      <c r="DO55751" s="303" t="s">
        <v>232</v>
      </c>
    </row>
    <row r="55752" spans="119:119" x14ac:dyDescent="0.2">
      <c r="DO55752" s="303" t="s">
        <v>232</v>
      </c>
    </row>
    <row r="55753" spans="119:119" x14ac:dyDescent="0.2">
      <c r="DO55753" s="303" t="s">
        <v>232</v>
      </c>
    </row>
    <row r="55754" spans="119:119" x14ac:dyDescent="0.2">
      <c r="DO55754" s="303" t="s">
        <v>232</v>
      </c>
    </row>
    <row r="55755" spans="119:119" x14ac:dyDescent="0.2">
      <c r="DO55755" s="303" t="s">
        <v>232</v>
      </c>
    </row>
    <row r="55756" spans="119:119" x14ac:dyDescent="0.2">
      <c r="DO55756" s="303" t="s">
        <v>232</v>
      </c>
    </row>
    <row r="55757" spans="119:119" x14ac:dyDescent="0.2">
      <c r="DO55757" s="303" t="s">
        <v>232</v>
      </c>
    </row>
    <row r="55758" spans="119:119" x14ac:dyDescent="0.2">
      <c r="DO55758" s="303" t="s">
        <v>232</v>
      </c>
    </row>
    <row r="55759" spans="119:119" x14ac:dyDescent="0.2">
      <c r="DO55759" s="303" t="s">
        <v>232</v>
      </c>
    </row>
    <row r="55760" spans="119:119" x14ac:dyDescent="0.2">
      <c r="DO55760" s="303" t="s">
        <v>232</v>
      </c>
    </row>
    <row r="55761" spans="119:119" x14ac:dyDescent="0.2">
      <c r="DO55761" s="303" t="s">
        <v>232</v>
      </c>
    </row>
    <row r="55762" spans="119:119" x14ac:dyDescent="0.2">
      <c r="DO55762" s="303" t="s">
        <v>232</v>
      </c>
    </row>
    <row r="55763" spans="119:119" x14ac:dyDescent="0.2">
      <c r="DO55763" s="303" t="s">
        <v>232</v>
      </c>
    </row>
    <row r="55764" spans="119:119" x14ac:dyDescent="0.2">
      <c r="DO55764" s="303" t="s">
        <v>232</v>
      </c>
    </row>
    <row r="55765" spans="119:119" x14ac:dyDescent="0.2">
      <c r="DO55765" s="303" t="s">
        <v>232</v>
      </c>
    </row>
    <row r="55766" spans="119:119" x14ac:dyDescent="0.2">
      <c r="DO55766" s="303" t="s">
        <v>232</v>
      </c>
    </row>
    <row r="55767" spans="119:119" x14ac:dyDescent="0.2">
      <c r="DO55767" s="303" t="s">
        <v>232</v>
      </c>
    </row>
    <row r="55768" spans="119:119" x14ac:dyDescent="0.2">
      <c r="DO55768" s="303" t="s">
        <v>232</v>
      </c>
    </row>
    <row r="55769" spans="119:119" x14ac:dyDescent="0.2">
      <c r="DO55769" s="303" t="s">
        <v>232</v>
      </c>
    </row>
    <row r="55770" spans="119:119" x14ac:dyDescent="0.2">
      <c r="DO55770" s="303" t="s">
        <v>232</v>
      </c>
    </row>
    <row r="55771" spans="119:119" x14ac:dyDescent="0.2">
      <c r="DO55771" s="303" t="s">
        <v>232</v>
      </c>
    </row>
    <row r="55772" spans="119:119" x14ac:dyDescent="0.2">
      <c r="DO55772" s="303" t="s">
        <v>232</v>
      </c>
    </row>
    <row r="55773" spans="119:119" x14ac:dyDescent="0.2">
      <c r="DO55773" s="303" t="s">
        <v>232</v>
      </c>
    </row>
    <row r="55774" spans="119:119" x14ac:dyDescent="0.2">
      <c r="DO55774" s="303" t="s">
        <v>232</v>
      </c>
    </row>
    <row r="55775" spans="119:119" x14ac:dyDescent="0.2">
      <c r="DO55775" s="303" t="s">
        <v>232</v>
      </c>
    </row>
    <row r="55776" spans="119:119" x14ac:dyDescent="0.2">
      <c r="DO55776" s="303" t="s">
        <v>232</v>
      </c>
    </row>
    <row r="55777" spans="119:119" x14ac:dyDescent="0.2">
      <c r="DO55777" s="303" t="s">
        <v>232</v>
      </c>
    </row>
    <row r="55778" spans="119:119" x14ac:dyDescent="0.2">
      <c r="DO55778" s="303" t="s">
        <v>232</v>
      </c>
    </row>
    <row r="55779" spans="119:119" x14ac:dyDescent="0.2">
      <c r="DO55779" s="303" t="s">
        <v>232</v>
      </c>
    </row>
    <row r="55780" spans="119:119" x14ac:dyDescent="0.2">
      <c r="DO55780" s="303" t="s">
        <v>232</v>
      </c>
    </row>
    <row r="55781" spans="119:119" x14ac:dyDescent="0.2">
      <c r="DO55781" s="303" t="s">
        <v>232</v>
      </c>
    </row>
    <row r="55782" spans="119:119" x14ac:dyDescent="0.2">
      <c r="DO55782" s="303" t="s">
        <v>232</v>
      </c>
    </row>
    <row r="55783" spans="119:119" x14ac:dyDescent="0.2">
      <c r="DO55783" s="303" t="s">
        <v>232</v>
      </c>
    </row>
    <row r="55784" spans="119:119" x14ac:dyDescent="0.2">
      <c r="DO55784" s="303" t="s">
        <v>232</v>
      </c>
    </row>
    <row r="55785" spans="119:119" x14ac:dyDescent="0.2">
      <c r="DO55785" s="303" t="s">
        <v>232</v>
      </c>
    </row>
    <row r="55786" spans="119:119" x14ac:dyDescent="0.2">
      <c r="DO55786" s="303" t="s">
        <v>232</v>
      </c>
    </row>
    <row r="55787" spans="119:119" x14ac:dyDescent="0.2">
      <c r="DO55787" s="303" t="s">
        <v>232</v>
      </c>
    </row>
    <row r="55788" spans="119:119" x14ac:dyDescent="0.2">
      <c r="DO55788" s="303" t="s">
        <v>232</v>
      </c>
    </row>
    <row r="55789" spans="119:119" x14ac:dyDescent="0.2">
      <c r="DO55789" s="303" t="s">
        <v>232</v>
      </c>
    </row>
    <row r="55790" spans="119:119" x14ac:dyDescent="0.2">
      <c r="DO55790" s="303" t="s">
        <v>232</v>
      </c>
    </row>
    <row r="55791" spans="119:119" x14ac:dyDescent="0.2">
      <c r="DO55791" s="303" t="s">
        <v>232</v>
      </c>
    </row>
    <row r="55792" spans="119:119" x14ac:dyDescent="0.2">
      <c r="DO55792" s="303" t="s">
        <v>232</v>
      </c>
    </row>
    <row r="55793" spans="119:119" x14ac:dyDescent="0.2">
      <c r="DO55793" s="303" t="s">
        <v>232</v>
      </c>
    </row>
    <row r="55794" spans="119:119" x14ac:dyDescent="0.2">
      <c r="DO55794" s="303" t="s">
        <v>232</v>
      </c>
    </row>
    <row r="55795" spans="119:119" x14ac:dyDescent="0.2">
      <c r="DO55795" s="303" t="s">
        <v>232</v>
      </c>
    </row>
    <row r="55796" spans="119:119" x14ac:dyDescent="0.2">
      <c r="DO55796" s="303" t="s">
        <v>232</v>
      </c>
    </row>
    <row r="55797" spans="119:119" x14ac:dyDescent="0.2">
      <c r="DO55797" s="303" t="s">
        <v>232</v>
      </c>
    </row>
    <row r="55798" spans="119:119" x14ac:dyDescent="0.2">
      <c r="DO55798" s="303" t="s">
        <v>232</v>
      </c>
    </row>
    <row r="55799" spans="119:119" x14ac:dyDescent="0.2">
      <c r="DO55799" s="303" t="s">
        <v>232</v>
      </c>
    </row>
    <row r="55800" spans="119:119" x14ac:dyDescent="0.2">
      <c r="DO55800" s="303" t="s">
        <v>232</v>
      </c>
    </row>
    <row r="55801" spans="119:119" x14ac:dyDescent="0.2">
      <c r="DO55801" s="303" t="s">
        <v>232</v>
      </c>
    </row>
    <row r="55802" spans="119:119" x14ac:dyDescent="0.2">
      <c r="DO55802" s="303" t="s">
        <v>232</v>
      </c>
    </row>
    <row r="55803" spans="119:119" x14ac:dyDescent="0.2">
      <c r="DO55803" s="303" t="s">
        <v>232</v>
      </c>
    </row>
    <row r="55804" spans="119:119" x14ac:dyDescent="0.2">
      <c r="DO55804" s="303" t="s">
        <v>232</v>
      </c>
    </row>
    <row r="55805" spans="119:119" x14ac:dyDescent="0.2">
      <c r="DO55805" s="303" t="s">
        <v>232</v>
      </c>
    </row>
    <row r="55806" spans="119:119" x14ac:dyDescent="0.2">
      <c r="DO55806" s="303" t="s">
        <v>232</v>
      </c>
    </row>
    <row r="55807" spans="119:119" x14ac:dyDescent="0.2">
      <c r="DO55807" s="303" t="s">
        <v>232</v>
      </c>
    </row>
    <row r="55808" spans="119:119" x14ac:dyDescent="0.2">
      <c r="DO55808" s="303" t="s">
        <v>232</v>
      </c>
    </row>
    <row r="55809" spans="119:119" x14ac:dyDescent="0.2">
      <c r="DO55809" s="303" t="s">
        <v>232</v>
      </c>
    </row>
    <row r="55810" spans="119:119" x14ac:dyDescent="0.2">
      <c r="DO55810" s="303" t="s">
        <v>232</v>
      </c>
    </row>
    <row r="55811" spans="119:119" x14ac:dyDescent="0.2">
      <c r="DO55811" s="303" t="s">
        <v>232</v>
      </c>
    </row>
    <row r="55812" spans="119:119" x14ac:dyDescent="0.2">
      <c r="DO55812" s="303" t="s">
        <v>232</v>
      </c>
    </row>
    <row r="55813" spans="119:119" x14ac:dyDescent="0.2">
      <c r="DO55813" s="303" t="s">
        <v>232</v>
      </c>
    </row>
    <row r="55814" spans="119:119" x14ac:dyDescent="0.2">
      <c r="DO55814" s="303" t="s">
        <v>232</v>
      </c>
    </row>
    <row r="55815" spans="119:119" x14ac:dyDescent="0.2">
      <c r="DO55815" s="303" t="s">
        <v>232</v>
      </c>
    </row>
    <row r="55816" spans="119:119" x14ac:dyDescent="0.2">
      <c r="DO55816" s="303" t="s">
        <v>232</v>
      </c>
    </row>
    <row r="55817" spans="119:119" x14ac:dyDescent="0.2">
      <c r="DO55817" s="303" t="s">
        <v>232</v>
      </c>
    </row>
    <row r="55818" spans="119:119" x14ac:dyDescent="0.2">
      <c r="DO55818" s="303" t="s">
        <v>232</v>
      </c>
    </row>
    <row r="55819" spans="119:119" x14ac:dyDescent="0.2">
      <c r="DO55819" s="303" t="s">
        <v>232</v>
      </c>
    </row>
    <row r="55820" spans="119:119" x14ac:dyDescent="0.2">
      <c r="DO55820" s="303" t="s">
        <v>232</v>
      </c>
    </row>
    <row r="55821" spans="119:119" x14ac:dyDescent="0.2">
      <c r="DO55821" s="303" t="s">
        <v>232</v>
      </c>
    </row>
    <row r="55822" spans="119:119" x14ac:dyDescent="0.2">
      <c r="DO55822" s="303" t="s">
        <v>232</v>
      </c>
    </row>
    <row r="55823" spans="119:119" x14ac:dyDescent="0.2">
      <c r="DO55823" s="303" t="s">
        <v>232</v>
      </c>
    </row>
    <row r="55824" spans="119:119" x14ac:dyDescent="0.2">
      <c r="DO55824" s="303" t="s">
        <v>232</v>
      </c>
    </row>
    <row r="55825" spans="119:119" x14ac:dyDescent="0.2">
      <c r="DO55825" s="303" t="s">
        <v>232</v>
      </c>
    </row>
    <row r="55826" spans="119:119" x14ac:dyDescent="0.2">
      <c r="DO55826" s="303" t="s">
        <v>232</v>
      </c>
    </row>
    <row r="55827" spans="119:119" x14ac:dyDescent="0.2">
      <c r="DO55827" s="303" t="s">
        <v>232</v>
      </c>
    </row>
    <row r="55828" spans="119:119" x14ac:dyDescent="0.2">
      <c r="DO55828" s="303" t="s">
        <v>232</v>
      </c>
    </row>
    <row r="55829" spans="119:119" x14ac:dyDescent="0.2">
      <c r="DO55829" s="303" t="s">
        <v>232</v>
      </c>
    </row>
    <row r="55830" spans="119:119" x14ac:dyDescent="0.2">
      <c r="DO55830" s="303" t="s">
        <v>232</v>
      </c>
    </row>
    <row r="55831" spans="119:119" x14ac:dyDescent="0.2">
      <c r="DO55831" s="303" t="s">
        <v>232</v>
      </c>
    </row>
    <row r="55832" spans="119:119" x14ac:dyDescent="0.2">
      <c r="DO55832" s="303" t="s">
        <v>232</v>
      </c>
    </row>
    <row r="55833" spans="119:119" x14ac:dyDescent="0.2">
      <c r="DO55833" s="303" t="s">
        <v>232</v>
      </c>
    </row>
    <row r="55834" spans="119:119" x14ac:dyDescent="0.2">
      <c r="DO55834" s="303" t="s">
        <v>232</v>
      </c>
    </row>
    <row r="55835" spans="119:119" x14ac:dyDescent="0.2">
      <c r="DO55835" s="303" t="s">
        <v>232</v>
      </c>
    </row>
    <row r="55836" spans="119:119" x14ac:dyDescent="0.2">
      <c r="DO55836" s="303" t="s">
        <v>232</v>
      </c>
    </row>
    <row r="55837" spans="119:119" x14ac:dyDescent="0.2">
      <c r="DO55837" s="303" t="s">
        <v>232</v>
      </c>
    </row>
    <row r="55838" spans="119:119" x14ac:dyDescent="0.2">
      <c r="DO55838" s="303" t="s">
        <v>232</v>
      </c>
    </row>
    <row r="55839" spans="119:119" x14ac:dyDescent="0.2">
      <c r="DO55839" s="303" t="s">
        <v>232</v>
      </c>
    </row>
    <row r="55840" spans="119:119" x14ac:dyDescent="0.2">
      <c r="DO55840" s="303" t="s">
        <v>232</v>
      </c>
    </row>
    <row r="55841" spans="119:119" x14ac:dyDescent="0.2">
      <c r="DO55841" s="303" t="s">
        <v>232</v>
      </c>
    </row>
    <row r="55842" spans="119:119" x14ac:dyDescent="0.2">
      <c r="DO55842" s="303" t="s">
        <v>232</v>
      </c>
    </row>
    <row r="55843" spans="119:119" x14ac:dyDescent="0.2">
      <c r="DO55843" s="303" t="s">
        <v>232</v>
      </c>
    </row>
    <row r="55844" spans="119:119" x14ac:dyDescent="0.2">
      <c r="DO55844" s="303" t="s">
        <v>232</v>
      </c>
    </row>
    <row r="55845" spans="119:119" x14ac:dyDescent="0.2">
      <c r="DO55845" s="303" t="s">
        <v>232</v>
      </c>
    </row>
    <row r="55846" spans="119:119" x14ac:dyDescent="0.2">
      <c r="DO55846" s="303" t="s">
        <v>232</v>
      </c>
    </row>
    <row r="55847" spans="119:119" x14ac:dyDescent="0.2">
      <c r="DO55847" s="303" t="s">
        <v>232</v>
      </c>
    </row>
    <row r="55848" spans="119:119" x14ac:dyDescent="0.2">
      <c r="DO55848" s="303" t="s">
        <v>232</v>
      </c>
    </row>
    <row r="55849" spans="119:119" x14ac:dyDescent="0.2">
      <c r="DO55849" s="303" t="s">
        <v>232</v>
      </c>
    </row>
    <row r="55850" spans="119:119" x14ac:dyDescent="0.2">
      <c r="DO55850" s="303" t="s">
        <v>232</v>
      </c>
    </row>
    <row r="55851" spans="119:119" x14ac:dyDescent="0.2">
      <c r="DO55851" s="303" t="s">
        <v>232</v>
      </c>
    </row>
    <row r="55852" spans="119:119" x14ac:dyDescent="0.2">
      <c r="DO55852" s="303" t="s">
        <v>232</v>
      </c>
    </row>
    <row r="55853" spans="119:119" x14ac:dyDescent="0.2">
      <c r="DO55853" s="303" t="s">
        <v>232</v>
      </c>
    </row>
    <row r="55854" spans="119:119" x14ac:dyDescent="0.2">
      <c r="DO55854" s="303" t="s">
        <v>232</v>
      </c>
    </row>
    <row r="55855" spans="119:119" x14ac:dyDescent="0.2">
      <c r="DO55855" s="303" t="s">
        <v>232</v>
      </c>
    </row>
    <row r="55856" spans="119:119" x14ac:dyDescent="0.2">
      <c r="DO55856" s="303" t="s">
        <v>232</v>
      </c>
    </row>
    <row r="55857" spans="119:119" x14ac:dyDescent="0.2">
      <c r="DO55857" s="303" t="s">
        <v>232</v>
      </c>
    </row>
    <row r="55858" spans="119:119" x14ac:dyDescent="0.2">
      <c r="DO55858" s="303" t="s">
        <v>232</v>
      </c>
    </row>
    <row r="55859" spans="119:119" x14ac:dyDescent="0.2">
      <c r="DO55859" s="303" t="s">
        <v>232</v>
      </c>
    </row>
    <row r="55860" spans="119:119" x14ac:dyDescent="0.2">
      <c r="DO55860" s="303" t="s">
        <v>232</v>
      </c>
    </row>
    <row r="55861" spans="119:119" x14ac:dyDescent="0.2">
      <c r="DO55861" s="303" t="s">
        <v>232</v>
      </c>
    </row>
    <row r="55862" spans="119:119" x14ac:dyDescent="0.2">
      <c r="DO55862" s="303" t="s">
        <v>232</v>
      </c>
    </row>
    <row r="55863" spans="119:119" x14ac:dyDescent="0.2">
      <c r="DO55863" s="303" t="s">
        <v>232</v>
      </c>
    </row>
    <row r="55864" spans="119:119" x14ac:dyDescent="0.2">
      <c r="DO55864" s="303" t="s">
        <v>232</v>
      </c>
    </row>
    <row r="55865" spans="119:119" x14ac:dyDescent="0.2">
      <c r="DO55865" s="303" t="s">
        <v>232</v>
      </c>
    </row>
    <row r="55866" spans="119:119" x14ac:dyDescent="0.2">
      <c r="DO55866" s="303" t="s">
        <v>232</v>
      </c>
    </row>
    <row r="55867" spans="119:119" x14ac:dyDescent="0.2">
      <c r="DO55867" s="303" t="s">
        <v>232</v>
      </c>
    </row>
    <row r="55868" spans="119:119" x14ac:dyDescent="0.2">
      <c r="DO55868" s="303" t="s">
        <v>232</v>
      </c>
    </row>
    <row r="55869" spans="119:119" x14ac:dyDescent="0.2">
      <c r="DO55869" s="303" t="s">
        <v>232</v>
      </c>
    </row>
    <row r="55870" spans="119:119" x14ac:dyDescent="0.2">
      <c r="DO55870" s="303" t="s">
        <v>232</v>
      </c>
    </row>
    <row r="55871" spans="119:119" x14ac:dyDescent="0.2">
      <c r="DO55871" s="303" t="s">
        <v>232</v>
      </c>
    </row>
    <row r="55872" spans="119:119" x14ac:dyDescent="0.2">
      <c r="DO55872" s="303" t="s">
        <v>232</v>
      </c>
    </row>
    <row r="55873" spans="119:119" x14ac:dyDescent="0.2">
      <c r="DO55873" s="303" t="s">
        <v>232</v>
      </c>
    </row>
    <row r="55874" spans="119:119" x14ac:dyDescent="0.2">
      <c r="DO55874" s="303" t="s">
        <v>232</v>
      </c>
    </row>
    <row r="55875" spans="119:119" x14ac:dyDescent="0.2">
      <c r="DO55875" s="303" t="s">
        <v>232</v>
      </c>
    </row>
    <row r="55876" spans="119:119" x14ac:dyDescent="0.2">
      <c r="DO55876" s="303" t="s">
        <v>232</v>
      </c>
    </row>
    <row r="55877" spans="119:119" x14ac:dyDescent="0.2">
      <c r="DO55877" s="303" t="s">
        <v>232</v>
      </c>
    </row>
    <row r="55878" spans="119:119" x14ac:dyDescent="0.2">
      <c r="DO55878" s="303" t="s">
        <v>232</v>
      </c>
    </row>
    <row r="55879" spans="119:119" x14ac:dyDescent="0.2">
      <c r="DO55879" s="303" t="s">
        <v>232</v>
      </c>
    </row>
    <row r="55880" spans="119:119" x14ac:dyDescent="0.2">
      <c r="DO55880" s="303" t="s">
        <v>232</v>
      </c>
    </row>
    <row r="55881" spans="119:119" x14ac:dyDescent="0.2">
      <c r="DO55881" s="303" t="s">
        <v>232</v>
      </c>
    </row>
    <row r="55882" spans="119:119" x14ac:dyDescent="0.2">
      <c r="DO55882" s="303" t="s">
        <v>232</v>
      </c>
    </row>
    <row r="55883" spans="119:119" x14ac:dyDescent="0.2">
      <c r="DO55883" s="303" t="s">
        <v>232</v>
      </c>
    </row>
    <row r="55884" spans="119:119" x14ac:dyDescent="0.2">
      <c r="DO55884" s="303" t="s">
        <v>232</v>
      </c>
    </row>
    <row r="55885" spans="119:119" x14ac:dyDescent="0.2">
      <c r="DO55885" s="303" t="s">
        <v>232</v>
      </c>
    </row>
    <row r="55886" spans="119:119" x14ac:dyDescent="0.2">
      <c r="DO55886" s="303" t="s">
        <v>232</v>
      </c>
    </row>
    <row r="55887" spans="119:119" x14ac:dyDescent="0.2">
      <c r="DO55887" s="303" t="s">
        <v>232</v>
      </c>
    </row>
    <row r="55888" spans="119:119" x14ac:dyDescent="0.2">
      <c r="DO55888" s="303" t="s">
        <v>232</v>
      </c>
    </row>
    <row r="55889" spans="119:119" x14ac:dyDescent="0.2">
      <c r="DO55889" s="303" t="s">
        <v>232</v>
      </c>
    </row>
    <row r="55890" spans="119:119" x14ac:dyDescent="0.2">
      <c r="DO55890" s="303" t="s">
        <v>232</v>
      </c>
    </row>
    <row r="55891" spans="119:119" x14ac:dyDescent="0.2">
      <c r="DO55891" s="303" t="s">
        <v>232</v>
      </c>
    </row>
    <row r="55892" spans="119:119" x14ac:dyDescent="0.2">
      <c r="DO55892" s="303" t="s">
        <v>232</v>
      </c>
    </row>
    <row r="55893" spans="119:119" x14ac:dyDescent="0.2">
      <c r="DO55893" s="303" t="s">
        <v>232</v>
      </c>
    </row>
    <row r="55894" spans="119:119" x14ac:dyDescent="0.2">
      <c r="DO55894" s="303" t="s">
        <v>232</v>
      </c>
    </row>
    <row r="55895" spans="119:119" x14ac:dyDescent="0.2">
      <c r="DO55895" s="303" t="s">
        <v>232</v>
      </c>
    </row>
    <row r="55896" spans="119:119" x14ac:dyDescent="0.2">
      <c r="DO55896" s="303" t="s">
        <v>232</v>
      </c>
    </row>
    <row r="55897" spans="119:119" x14ac:dyDescent="0.2">
      <c r="DO55897" s="303" t="s">
        <v>232</v>
      </c>
    </row>
    <row r="55898" spans="119:119" x14ac:dyDescent="0.2">
      <c r="DO55898" s="303" t="s">
        <v>232</v>
      </c>
    </row>
    <row r="55899" spans="119:119" x14ac:dyDescent="0.2">
      <c r="DO55899" s="303" t="s">
        <v>232</v>
      </c>
    </row>
    <row r="55900" spans="119:119" x14ac:dyDescent="0.2">
      <c r="DO55900" s="303" t="s">
        <v>232</v>
      </c>
    </row>
    <row r="55901" spans="119:119" x14ac:dyDescent="0.2">
      <c r="DO55901" s="303" t="s">
        <v>232</v>
      </c>
    </row>
    <row r="55902" spans="119:119" x14ac:dyDescent="0.2">
      <c r="DO55902" s="303" t="s">
        <v>232</v>
      </c>
    </row>
    <row r="55903" spans="119:119" x14ac:dyDescent="0.2">
      <c r="DO55903" s="303" t="s">
        <v>232</v>
      </c>
    </row>
    <row r="55904" spans="119:119" x14ac:dyDescent="0.2">
      <c r="DO55904" s="303" t="s">
        <v>232</v>
      </c>
    </row>
    <row r="55905" spans="119:119" x14ac:dyDescent="0.2">
      <c r="DO55905" s="303" t="s">
        <v>232</v>
      </c>
    </row>
    <row r="55906" spans="119:119" x14ac:dyDescent="0.2">
      <c r="DO55906" s="303" t="s">
        <v>232</v>
      </c>
    </row>
    <row r="55907" spans="119:119" x14ac:dyDescent="0.2">
      <c r="DO55907" s="303" t="s">
        <v>232</v>
      </c>
    </row>
    <row r="55908" spans="119:119" x14ac:dyDescent="0.2">
      <c r="DO55908" s="303" t="s">
        <v>232</v>
      </c>
    </row>
    <row r="55909" spans="119:119" x14ac:dyDescent="0.2">
      <c r="DO55909" s="303" t="s">
        <v>232</v>
      </c>
    </row>
    <row r="55910" spans="119:119" x14ac:dyDescent="0.2">
      <c r="DO55910" s="303" t="s">
        <v>232</v>
      </c>
    </row>
    <row r="55911" spans="119:119" x14ac:dyDescent="0.2">
      <c r="DO55911" s="303" t="s">
        <v>232</v>
      </c>
    </row>
    <row r="55912" spans="119:119" x14ac:dyDescent="0.2">
      <c r="DO55912" s="303" t="s">
        <v>232</v>
      </c>
    </row>
    <row r="55913" spans="119:119" x14ac:dyDescent="0.2">
      <c r="DO55913" s="303" t="s">
        <v>232</v>
      </c>
    </row>
    <row r="55914" spans="119:119" x14ac:dyDescent="0.2">
      <c r="DO55914" s="303" t="s">
        <v>232</v>
      </c>
    </row>
    <row r="55915" spans="119:119" x14ac:dyDescent="0.2">
      <c r="DO55915" s="303" t="s">
        <v>232</v>
      </c>
    </row>
    <row r="55916" spans="119:119" x14ac:dyDescent="0.2">
      <c r="DO55916" s="303" t="s">
        <v>232</v>
      </c>
    </row>
    <row r="55917" spans="119:119" x14ac:dyDescent="0.2">
      <c r="DO55917" s="303" t="s">
        <v>232</v>
      </c>
    </row>
    <row r="55918" spans="119:119" x14ac:dyDescent="0.2">
      <c r="DO55918" s="303" t="s">
        <v>232</v>
      </c>
    </row>
    <row r="55919" spans="119:119" x14ac:dyDescent="0.2">
      <c r="DO55919" s="303" t="s">
        <v>232</v>
      </c>
    </row>
    <row r="55920" spans="119:119" x14ac:dyDescent="0.2">
      <c r="DO55920" s="303" t="s">
        <v>232</v>
      </c>
    </row>
    <row r="55921" spans="119:119" x14ac:dyDescent="0.2">
      <c r="DO55921" s="303" t="s">
        <v>232</v>
      </c>
    </row>
    <row r="55922" spans="119:119" x14ac:dyDescent="0.2">
      <c r="DO55922" s="303" t="s">
        <v>232</v>
      </c>
    </row>
    <row r="55923" spans="119:119" x14ac:dyDescent="0.2">
      <c r="DO55923" s="303" t="s">
        <v>232</v>
      </c>
    </row>
    <row r="55924" spans="119:119" x14ac:dyDescent="0.2">
      <c r="DO55924" s="303" t="s">
        <v>232</v>
      </c>
    </row>
    <row r="55925" spans="119:119" x14ac:dyDescent="0.2">
      <c r="DO55925" s="303" t="s">
        <v>232</v>
      </c>
    </row>
    <row r="55926" spans="119:119" x14ac:dyDescent="0.2">
      <c r="DO55926" s="303" t="s">
        <v>232</v>
      </c>
    </row>
    <row r="55927" spans="119:119" x14ac:dyDescent="0.2">
      <c r="DO55927" s="303" t="s">
        <v>232</v>
      </c>
    </row>
    <row r="55928" spans="119:119" x14ac:dyDescent="0.2">
      <c r="DO55928" s="303" t="s">
        <v>232</v>
      </c>
    </row>
    <row r="55929" spans="119:119" x14ac:dyDescent="0.2">
      <c r="DO55929" s="303" t="s">
        <v>232</v>
      </c>
    </row>
    <row r="55930" spans="119:119" x14ac:dyDescent="0.2">
      <c r="DO55930" s="303" t="s">
        <v>232</v>
      </c>
    </row>
    <row r="55931" spans="119:119" x14ac:dyDescent="0.2">
      <c r="DO55931" s="303" t="s">
        <v>232</v>
      </c>
    </row>
    <row r="55932" spans="119:119" x14ac:dyDescent="0.2">
      <c r="DO55932" s="303" t="s">
        <v>232</v>
      </c>
    </row>
    <row r="55933" spans="119:119" x14ac:dyDescent="0.2">
      <c r="DO55933" s="303" t="s">
        <v>232</v>
      </c>
    </row>
    <row r="55934" spans="119:119" x14ac:dyDescent="0.2">
      <c r="DO55934" s="303" t="s">
        <v>232</v>
      </c>
    </row>
    <row r="55935" spans="119:119" x14ac:dyDescent="0.2">
      <c r="DO55935" s="303" t="s">
        <v>232</v>
      </c>
    </row>
    <row r="55936" spans="119:119" x14ac:dyDescent="0.2">
      <c r="DO55936" s="303" t="s">
        <v>232</v>
      </c>
    </row>
    <row r="55937" spans="119:119" x14ac:dyDescent="0.2">
      <c r="DO55937" s="303" t="s">
        <v>232</v>
      </c>
    </row>
    <row r="55938" spans="119:119" x14ac:dyDescent="0.2">
      <c r="DO55938" s="303" t="s">
        <v>232</v>
      </c>
    </row>
    <row r="55939" spans="119:119" x14ac:dyDescent="0.2">
      <c r="DO55939" s="303" t="s">
        <v>232</v>
      </c>
    </row>
    <row r="55940" spans="119:119" x14ac:dyDescent="0.2">
      <c r="DO55940" s="303" t="s">
        <v>232</v>
      </c>
    </row>
    <row r="55941" spans="119:119" x14ac:dyDescent="0.2">
      <c r="DO55941" s="303" t="s">
        <v>232</v>
      </c>
    </row>
    <row r="55942" spans="119:119" x14ac:dyDescent="0.2">
      <c r="DO55942" s="303" t="s">
        <v>232</v>
      </c>
    </row>
    <row r="55943" spans="119:119" x14ac:dyDescent="0.2">
      <c r="DO55943" s="303" t="s">
        <v>232</v>
      </c>
    </row>
    <row r="55944" spans="119:119" x14ac:dyDescent="0.2">
      <c r="DO55944" s="303" t="s">
        <v>232</v>
      </c>
    </row>
    <row r="55945" spans="119:119" x14ac:dyDescent="0.2">
      <c r="DO55945" s="303" t="s">
        <v>232</v>
      </c>
    </row>
    <row r="55946" spans="119:119" x14ac:dyDescent="0.2">
      <c r="DO55946" s="303" t="s">
        <v>232</v>
      </c>
    </row>
    <row r="55947" spans="119:119" x14ac:dyDescent="0.2">
      <c r="DO55947" s="303" t="s">
        <v>232</v>
      </c>
    </row>
    <row r="55948" spans="119:119" x14ac:dyDescent="0.2">
      <c r="DO55948" s="303" t="s">
        <v>232</v>
      </c>
    </row>
    <row r="55949" spans="119:119" x14ac:dyDescent="0.2">
      <c r="DO55949" s="303" t="s">
        <v>232</v>
      </c>
    </row>
    <row r="55950" spans="119:119" x14ac:dyDescent="0.2">
      <c r="DO55950" s="303" t="s">
        <v>232</v>
      </c>
    </row>
    <row r="55951" spans="119:119" x14ac:dyDescent="0.2">
      <c r="DO55951" s="303" t="s">
        <v>232</v>
      </c>
    </row>
    <row r="55952" spans="119:119" x14ac:dyDescent="0.2">
      <c r="DO55952" s="303" t="s">
        <v>232</v>
      </c>
    </row>
    <row r="55953" spans="119:119" x14ac:dyDescent="0.2">
      <c r="DO55953" s="303" t="s">
        <v>232</v>
      </c>
    </row>
    <row r="55954" spans="119:119" x14ac:dyDescent="0.2">
      <c r="DO55954" s="303" t="s">
        <v>232</v>
      </c>
    </row>
    <row r="55955" spans="119:119" x14ac:dyDescent="0.2">
      <c r="DO55955" s="303" t="s">
        <v>232</v>
      </c>
    </row>
    <row r="55956" spans="119:119" x14ac:dyDescent="0.2">
      <c r="DO55956" s="303" t="s">
        <v>232</v>
      </c>
    </row>
    <row r="55957" spans="119:119" x14ac:dyDescent="0.2">
      <c r="DO55957" s="303" t="s">
        <v>232</v>
      </c>
    </row>
    <row r="55958" spans="119:119" x14ac:dyDescent="0.2">
      <c r="DO55958" s="303" t="s">
        <v>232</v>
      </c>
    </row>
    <row r="55959" spans="119:119" x14ac:dyDescent="0.2">
      <c r="DO55959" s="303" t="s">
        <v>232</v>
      </c>
    </row>
    <row r="55960" spans="119:119" x14ac:dyDescent="0.2">
      <c r="DO55960" s="303" t="s">
        <v>232</v>
      </c>
    </row>
    <row r="55961" spans="119:119" x14ac:dyDescent="0.2">
      <c r="DO55961" s="303" t="s">
        <v>232</v>
      </c>
    </row>
    <row r="55962" spans="119:119" x14ac:dyDescent="0.2">
      <c r="DO55962" s="303" t="s">
        <v>232</v>
      </c>
    </row>
    <row r="55963" spans="119:119" x14ac:dyDescent="0.2">
      <c r="DO55963" s="303" t="s">
        <v>232</v>
      </c>
    </row>
    <row r="55964" spans="119:119" x14ac:dyDescent="0.2">
      <c r="DO55964" s="303" t="s">
        <v>232</v>
      </c>
    </row>
    <row r="55965" spans="119:119" x14ac:dyDescent="0.2">
      <c r="DO55965" s="303" t="s">
        <v>232</v>
      </c>
    </row>
    <row r="55966" spans="119:119" x14ac:dyDescent="0.2">
      <c r="DO55966" s="303" t="s">
        <v>232</v>
      </c>
    </row>
    <row r="55967" spans="119:119" x14ac:dyDescent="0.2">
      <c r="DO55967" s="303" t="s">
        <v>232</v>
      </c>
    </row>
    <row r="55968" spans="119:119" x14ac:dyDescent="0.2">
      <c r="DO55968" s="303" t="s">
        <v>232</v>
      </c>
    </row>
    <row r="55969" spans="119:119" x14ac:dyDescent="0.2">
      <c r="DO55969" s="303" t="s">
        <v>232</v>
      </c>
    </row>
    <row r="55970" spans="119:119" x14ac:dyDescent="0.2">
      <c r="DO55970" s="303" t="s">
        <v>232</v>
      </c>
    </row>
    <row r="55971" spans="119:119" x14ac:dyDescent="0.2">
      <c r="DO55971" s="303" t="s">
        <v>232</v>
      </c>
    </row>
    <row r="55972" spans="119:119" x14ac:dyDescent="0.2">
      <c r="DO55972" s="303" t="s">
        <v>232</v>
      </c>
    </row>
    <row r="55973" spans="119:119" x14ac:dyDescent="0.2">
      <c r="DO55973" s="303" t="s">
        <v>232</v>
      </c>
    </row>
    <row r="55974" spans="119:119" x14ac:dyDescent="0.2">
      <c r="DO55974" s="303" t="s">
        <v>232</v>
      </c>
    </row>
    <row r="55975" spans="119:119" x14ac:dyDescent="0.2">
      <c r="DO55975" s="303" t="s">
        <v>232</v>
      </c>
    </row>
    <row r="55976" spans="119:119" x14ac:dyDescent="0.2">
      <c r="DO55976" s="303" t="s">
        <v>232</v>
      </c>
    </row>
    <row r="55977" spans="119:119" x14ac:dyDescent="0.2">
      <c r="DO55977" s="303" t="s">
        <v>232</v>
      </c>
    </row>
    <row r="55978" spans="119:119" x14ac:dyDescent="0.2">
      <c r="DO55978" s="303" t="s">
        <v>232</v>
      </c>
    </row>
    <row r="55979" spans="119:119" x14ac:dyDescent="0.2">
      <c r="DO55979" s="303" t="s">
        <v>232</v>
      </c>
    </row>
    <row r="55980" spans="119:119" x14ac:dyDescent="0.2">
      <c r="DO55980" s="303" t="s">
        <v>232</v>
      </c>
    </row>
    <row r="55981" spans="119:119" x14ac:dyDescent="0.2">
      <c r="DO55981" s="303" t="s">
        <v>232</v>
      </c>
    </row>
    <row r="55982" spans="119:119" x14ac:dyDescent="0.2">
      <c r="DO55982" s="303" t="s">
        <v>232</v>
      </c>
    </row>
    <row r="55983" spans="119:119" x14ac:dyDescent="0.2">
      <c r="DO55983" s="303" t="s">
        <v>232</v>
      </c>
    </row>
    <row r="55984" spans="119:119" x14ac:dyDescent="0.2">
      <c r="DO55984" s="303" t="s">
        <v>232</v>
      </c>
    </row>
    <row r="55985" spans="119:119" x14ac:dyDescent="0.2">
      <c r="DO55985" s="303" t="s">
        <v>232</v>
      </c>
    </row>
    <row r="55986" spans="119:119" x14ac:dyDescent="0.2">
      <c r="DO55986" s="303" t="s">
        <v>232</v>
      </c>
    </row>
    <row r="55987" spans="119:119" x14ac:dyDescent="0.2">
      <c r="DO55987" s="303" t="s">
        <v>232</v>
      </c>
    </row>
    <row r="55988" spans="119:119" x14ac:dyDescent="0.2">
      <c r="DO55988" s="303" t="s">
        <v>232</v>
      </c>
    </row>
    <row r="55989" spans="119:119" x14ac:dyDescent="0.2">
      <c r="DO55989" s="303" t="s">
        <v>232</v>
      </c>
    </row>
    <row r="55990" spans="119:119" x14ac:dyDescent="0.2">
      <c r="DO55990" s="303" t="s">
        <v>232</v>
      </c>
    </row>
    <row r="55991" spans="119:119" x14ac:dyDescent="0.2">
      <c r="DO55991" s="303" t="s">
        <v>232</v>
      </c>
    </row>
    <row r="55992" spans="119:119" x14ac:dyDescent="0.2">
      <c r="DO55992" s="303" t="s">
        <v>232</v>
      </c>
    </row>
    <row r="55993" spans="119:119" x14ac:dyDescent="0.2">
      <c r="DO55993" s="303" t="s">
        <v>232</v>
      </c>
    </row>
    <row r="55994" spans="119:119" x14ac:dyDescent="0.2">
      <c r="DO55994" s="303" t="s">
        <v>232</v>
      </c>
    </row>
    <row r="55995" spans="119:119" x14ac:dyDescent="0.2">
      <c r="DO55995" s="303" t="s">
        <v>232</v>
      </c>
    </row>
    <row r="55996" spans="119:119" x14ac:dyDescent="0.2">
      <c r="DO55996" s="303" t="s">
        <v>232</v>
      </c>
    </row>
    <row r="55997" spans="119:119" x14ac:dyDescent="0.2">
      <c r="DO55997" s="303" t="s">
        <v>232</v>
      </c>
    </row>
    <row r="55998" spans="119:119" x14ac:dyDescent="0.2">
      <c r="DO55998" s="303" t="s">
        <v>232</v>
      </c>
    </row>
    <row r="55999" spans="119:119" x14ac:dyDescent="0.2">
      <c r="DO55999" s="303" t="s">
        <v>232</v>
      </c>
    </row>
    <row r="56000" spans="119:119" x14ac:dyDescent="0.2">
      <c r="DO56000" s="303" t="s">
        <v>232</v>
      </c>
    </row>
    <row r="56001" spans="119:119" x14ac:dyDescent="0.2">
      <c r="DO56001" s="303" t="s">
        <v>232</v>
      </c>
    </row>
    <row r="56002" spans="119:119" x14ac:dyDescent="0.2">
      <c r="DO56002" s="303" t="s">
        <v>232</v>
      </c>
    </row>
    <row r="56003" spans="119:119" x14ac:dyDescent="0.2">
      <c r="DO56003" s="303" t="s">
        <v>232</v>
      </c>
    </row>
    <row r="56004" spans="119:119" x14ac:dyDescent="0.2">
      <c r="DO56004" s="303" t="s">
        <v>232</v>
      </c>
    </row>
    <row r="56005" spans="119:119" x14ac:dyDescent="0.2">
      <c r="DO56005" s="303" t="s">
        <v>232</v>
      </c>
    </row>
    <row r="56006" spans="119:119" x14ac:dyDescent="0.2">
      <c r="DO56006" s="303" t="s">
        <v>232</v>
      </c>
    </row>
    <row r="56007" spans="119:119" x14ac:dyDescent="0.2">
      <c r="DO56007" s="303" t="s">
        <v>232</v>
      </c>
    </row>
    <row r="56008" spans="119:119" x14ac:dyDescent="0.2">
      <c r="DO56008" s="303" t="s">
        <v>232</v>
      </c>
    </row>
    <row r="56009" spans="119:119" x14ac:dyDescent="0.2">
      <c r="DO56009" s="303" t="s">
        <v>232</v>
      </c>
    </row>
    <row r="56010" spans="119:119" x14ac:dyDescent="0.2">
      <c r="DO56010" s="303" t="s">
        <v>232</v>
      </c>
    </row>
    <row r="56011" spans="119:119" x14ac:dyDescent="0.2">
      <c r="DO56011" s="303" t="s">
        <v>232</v>
      </c>
    </row>
    <row r="56012" spans="119:119" x14ac:dyDescent="0.2">
      <c r="DO56012" s="303" t="s">
        <v>232</v>
      </c>
    </row>
    <row r="56013" spans="119:119" x14ac:dyDescent="0.2">
      <c r="DO56013" s="303" t="s">
        <v>232</v>
      </c>
    </row>
    <row r="56014" spans="119:119" x14ac:dyDescent="0.2">
      <c r="DO56014" s="303" t="s">
        <v>232</v>
      </c>
    </row>
    <row r="56015" spans="119:119" x14ac:dyDescent="0.2">
      <c r="DO56015" s="303" t="s">
        <v>232</v>
      </c>
    </row>
    <row r="56016" spans="119:119" x14ac:dyDescent="0.2">
      <c r="DO56016" s="303" t="s">
        <v>232</v>
      </c>
    </row>
    <row r="56017" spans="119:119" x14ac:dyDescent="0.2">
      <c r="DO56017" s="303" t="s">
        <v>232</v>
      </c>
    </row>
    <row r="56018" spans="119:119" x14ac:dyDescent="0.2">
      <c r="DO56018" s="303" t="s">
        <v>232</v>
      </c>
    </row>
    <row r="56019" spans="119:119" x14ac:dyDescent="0.2">
      <c r="DO56019" s="303" t="s">
        <v>232</v>
      </c>
    </row>
    <row r="56020" spans="119:119" x14ac:dyDescent="0.2">
      <c r="DO56020" s="303" t="s">
        <v>232</v>
      </c>
    </row>
    <row r="56021" spans="119:119" x14ac:dyDescent="0.2">
      <c r="DO56021" s="303" t="s">
        <v>232</v>
      </c>
    </row>
    <row r="56022" spans="119:119" x14ac:dyDescent="0.2">
      <c r="DO56022" s="303" t="s">
        <v>232</v>
      </c>
    </row>
    <row r="56023" spans="119:119" x14ac:dyDescent="0.2">
      <c r="DO56023" s="303" t="s">
        <v>232</v>
      </c>
    </row>
    <row r="56024" spans="119:119" x14ac:dyDescent="0.2">
      <c r="DO56024" s="303" t="s">
        <v>232</v>
      </c>
    </row>
    <row r="56025" spans="119:119" x14ac:dyDescent="0.2">
      <c r="DO56025" s="303" t="s">
        <v>232</v>
      </c>
    </row>
    <row r="56026" spans="119:119" x14ac:dyDescent="0.2">
      <c r="DO56026" s="303" t="s">
        <v>232</v>
      </c>
    </row>
    <row r="56027" spans="119:119" x14ac:dyDescent="0.2">
      <c r="DO56027" s="303" t="s">
        <v>232</v>
      </c>
    </row>
    <row r="56028" spans="119:119" x14ac:dyDescent="0.2">
      <c r="DO56028" s="303" t="s">
        <v>232</v>
      </c>
    </row>
    <row r="56029" spans="119:119" x14ac:dyDescent="0.2">
      <c r="DO56029" s="303" t="s">
        <v>232</v>
      </c>
    </row>
    <row r="56030" spans="119:119" x14ac:dyDescent="0.2">
      <c r="DO56030" s="303" t="s">
        <v>232</v>
      </c>
    </row>
    <row r="56031" spans="119:119" x14ac:dyDescent="0.2">
      <c r="DO56031" s="303" t="s">
        <v>232</v>
      </c>
    </row>
    <row r="56032" spans="119:119" x14ac:dyDescent="0.2">
      <c r="DO56032" s="303" t="s">
        <v>232</v>
      </c>
    </row>
    <row r="56033" spans="119:119" x14ac:dyDescent="0.2">
      <c r="DO56033" s="303" t="s">
        <v>232</v>
      </c>
    </row>
    <row r="56034" spans="119:119" x14ac:dyDescent="0.2">
      <c r="DO56034" s="303" t="s">
        <v>232</v>
      </c>
    </row>
    <row r="56035" spans="119:119" x14ac:dyDescent="0.2">
      <c r="DO56035" s="303" t="s">
        <v>232</v>
      </c>
    </row>
    <row r="56036" spans="119:119" x14ac:dyDescent="0.2">
      <c r="DO56036" s="303" t="s">
        <v>232</v>
      </c>
    </row>
    <row r="56037" spans="119:119" x14ac:dyDescent="0.2">
      <c r="DO56037" s="303" t="s">
        <v>232</v>
      </c>
    </row>
    <row r="56038" spans="119:119" x14ac:dyDescent="0.2">
      <c r="DO56038" s="303" t="s">
        <v>232</v>
      </c>
    </row>
    <row r="56039" spans="119:119" x14ac:dyDescent="0.2">
      <c r="DO56039" s="303" t="s">
        <v>232</v>
      </c>
    </row>
    <row r="56040" spans="119:119" x14ac:dyDescent="0.2">
      <c r="DO56040" s="303" t="s">
        <v>232</v>
      </c>
    </row>
    <row r="56041" spans="119:119" x14ac:dyDescent="0.2">
      <c r="DO56041" s="303" t="s">
        <v>232</v>
      </c>
    </row>
    <row r="56042" spans="119:119" x14ac:dyDescent="0.2">
      <c r="DO56042" s="303" t="s">
        <v>232</v>
      </c>
    </row>
    <row r="56043" spans="119:119" x14ac:dyDescent="0.2">
      <c r="DO56043" s="303" t="s">
        <v>232</v>
      </c>
    </row>
    <row r="56044" spans="119:119" x14ac:dyDescent="0.2">
      <c r="DO56044" s="303" t="s">
        <v>232</v>
      </c>
    </row>
    <row r="56045" spans="119:119" x14ac:dyDescent="0.2">
      <c r="DO56045" s="303" t="s">
        <v>232</v>
      </c>
    </row>
    <row r="56046" spans="119:119" x14ac:dyDescent="0.2">
      <c r="DO56046" s="303" t="s">
        <v>232</v>
      </c>
    </row>
    <row r="56047" spans="119:119" x14ac:dyDescent="0.2">
      <c r="DO56047" s="303" t="s">
        <v>232</v>
      </c>
    </row>
    <row r="56048" spans="119:119" x14ac:dyDescent="0.2">
      <c r="DO56048" s="303" t="s">
        <v>232</v>
      </c>
    </row>
    <row r="56049" spans="119:119" x14ac:dyDescent="0.2">
      <c r="DO56049" s="303" t="s">
        <v>232</v>
      </c>
    </row>
    <row r="56050" spans="119:119" x14ac:dyDescent="0.2">
      <c r="DO56050" s="303" t="s">
        <v>232</v>
      </c>
    </row>
    <row r="56051" spans="119:119" x14ac:dyDescent="0.2">
      <c r="DO56051" s="303" t="s">
        <v>232</v>
      </c>
    </row>
    <row r="56052" spans="119:119" x14ac:dyDescent="0.2">
      <c r="DO56052" s="303" t="s">
        <v>232</v>
      </c>
    </row>
    <row r="56053" spans="119:119" x14ac:dyDescent="0.2">
      <c r="DO56053" s="303" t="s">
        <v>232</v>
      </c>
    </row>
    <row r="56054" spans="119:119" x14ac:dyDescent="0.2">
      <c r="DO56054" s="303" t="s">
        <v>232</v>
      </c>
    </row>
    <row r="56055" spans="119:119" x14ac:dyDescent="0.2">
      <c r="DO56055" s="303" t="s">
        <v>232</v>
      </c>
    </row>
    <row r="56056" spans="119:119" x14ac:dyDescent="0.2">
      <c r="DO56056" s="303" t="s">
        <v>232</v>
      </c>
    </row>
    <row r="56057" spans="119:119" x14ac:dyDescent="0.2">
      <c r="DO56057" s="303" t="s">
        <v>232</v>
      </c>
    </row>
    <row r="56058" spans="119:119" x14ac:dyDescent="0.2">
      <c r="DO56058" s="303" t="s">
        <v>232</v>
      </c>
    </row>
    <row r="56059" spans="119:119" x14ac:dyDescent="0.2">
      <c r="DO56059" s="303" t="s">
        <v>232</v>
      </c>
    </row>
    <row r="56060" spans="119:119" x14ac:dyDescent="0.2">
      <c r="DO56060" s="303" t="s">
        <v>232</v>
      </c>
    </row>
    <row r="56061" spans="119:119" x14ac:dyDescent="0.2">
      <c r="DO56061" s="303" t="s">
        <v>232</v>
      </c>
    </row>
    <row r="56062" spans="119:119" x14ac:dyDescent="0.2">
      <c r="DO56062" s="303" t="s">
        <v>232</v>
      </c>
    </row>
    <row r="56063" spans="119:119" x14ac:dyDescent="0.2">
      <c r="DO56063" s="303" t="s">
        <v>232</v>
      </c>
    </row>
    <row r="56064" spans="119:119" x14ac:dyDescent="0.2">
      <c r="DO56064" s="303" t="s">
        <v>232</v>
      </c>
    </row>
    <row r="56065" spans="119:119" x14ac:dyDescent="0.2">
      <c r="DO56065" s="303" t="s">
        <v>232</v>
      </c>
    </row>
    <row r="56066" spans="119:119" x14ac:dyDescent="0.2">
      <c r="DO56066" s="303" t="s">
        <v>232</v>
      </c>
    </row>
    <row r="56067" spans="119:119" x14ac:dyDescent="0.2">
      <c r="DO56067" s="303" t="s">
        <v>232</v>
      </c>
    </row>
    <row r="56068" spans="119:119" x14ac:dyDescent="0.2">
      <c r="DO56068" s="303" t="s">
        <v>232</v>
      </c>
    </row>
    <row r="56069" spans="119:119" x14ac:dyDescent="0.2">
      <c r="DO56069" s="303" t="s">
        <v>232</v>
      </c>
    </row>
    <row r="56070" spans="119:119" x14ac:dyDescent="0.2">
      <c r="DO56070" s="303" t="s">
        <v>232</v>
      </c>
    </row>
    <row r="56071" spans="119:119" x14ac:dyDescent="0.2">
      <c r="DO56071" s="303" t="s">
        <v>232</v>
      </c>
    </row>
    <row r="56072" spans="119:119" x14ac:dyDescent="0.2">
      <c r="DO56072" s="303" t="s">
        <v>232</v>
      </c>
    </row>
    <row r="56073" spans="119:119" x14ac:dyDescent="0.2">
      <c r="DO56073" s="303" t="s">
        <v>232</v>
      </c>
    </row>
    <row r="56074" spans="119:119" x14ac:dyDescent="0.2">
      <c r="DO56074" s="303" t="s">
        <v>232</v>
      </c>
    </row>
    <row r="56075" spans="119:119" x14ac:dyDescent="0.2">
      <c r="DO56075" s="303" t="s">
        <v>232</v>
      </c>
    </row>
    <row r="56076" spans="119:119" x14ac:dyDescent="0.2">
      <c r="DO56076" s="303" t="s">
        <v>232</v>
      </c>
    </row>
    <row r="56077" spans="119:119" x14ac:dyDescent="0.2">
      <c r="DO56077" s="303" t="s">
        <v>232</v>
      </c>
    </row>
    <row r="56078" spans="119:119" x14ac:dyDescent="0.2">
      <c r="DO56078" s="303" t="s">
        <v>232</v>
      </c>
    </row>
    <row r="56079" spans="119:119" x14ac:dyDescent="0.2">
      <c r="DO56079" s="303" t="s">
        <v>232</v>
      </c>
    </row>
    <row r="56080" spans="119:119" x14ac:dyDescent="0.2">
      <c r="DO56080" s="303" t="s">
        <v>232</v>
      </c>
    </row>
    <row r="56081" spans="119:119" x14ac:dyDescent="0.2">
      <c r="DO56081" s="303" t="s">
        <v>232</v>
      </c>
    </row>
    <row r="56082" spans="119:119" x14ac:dyDescent="0.2">
      <c r="DO56082" s="303" t="s">
        <v>232</v>
      </c>
    </row>
    <row r="56083" spans="119:119" x14ac:dyDescent="0.2">
      <c r="DO56083" s="303" t="s">
        <v>232</v>
      </c>
    </row>
    <row r="56084" spans="119:119" x14ac:dyDescent="0.2">
      <c r="DO56084" s="303" t="s">
        <v>232</v>
      </c>
    </row>
    <row r="56085" spans="119:119" x14ac:dyDescent="0.2">
      <c r="DO56085" s="303" t="s">
        <v>232</v>
      </c>
    </row>
    <row r="56086" spans="119:119" x14ac:dyDescent="0.2">
      <c r="DO56086" s="303" t="s">
        <v>232</v>
      </c>
    </row>
    <row r="56087" spans="119:119" x14ac:dyDescent="0.2">
      <c r="DO56087" s="303" t="s">
        <v>232</v>
      </c>
    </row>
    <row r="56088" spans="119:119" x14ac:dyDescent="0.2">
      <c r="DO56088" s="303" t="s">
        <v>232</v>
      </c>
    </row>
    <row r="56089" spans="119:119" x14ac:dyDescent="0.2">
      <c r="DO56089" s="303" t="s">
        <v>232</v>
      </c>
    </row>
    <row r="56090" spans="119:119" x14ac:dyDescent="0.2">
      <c r="DO56090" s="303" t="s">
        <v>232</v>
      </c>
    </row>
    <row r="56091" spans="119:119" x14ac:dyDescent="0.2">
      <c r="DO56091" s="303" t="s">
        <v>232</v>
      </c>
    </row>
    <row r="56092" spans="119:119" x14ac:dyDescent="0.2">
      <c r="DO56092" s="303" t="s">
        <v>232</v>
      </c>
    </row>
    <row r="56093" spans="119:119" x14ac:dyDescent="0.2">
      <c r="DO56093" s="303" t="s">
        <v>232</v>
      </c>
    </row>
    <row r="56094" spans="119:119" x14ac:dyDescent="0.2">
      <c r="DO56094" s="303" t="s">
        <v>232</v>
      </c>
    </row>
    <row r="56095" spans="119:119" x14ac:dyDescent="0.2">
      <c r="DO56095" s="303" t="s">
        <v>232</v>
      </c>
    </row>
    <row r="56096" spans="119:119" x14ac:dyDescent="0.2">
      <c r="DO56096" s="303" t="s">
        <v>232</v>
      </c>
    </row>
    <row r="56097" spans="119:119" x14ac:dyDescent="0.2">
      <c r="DO56097" s="303" t="s">
        <v>232</v>
      </c>
    </row>
    <row r="56098" spans="119:119" x14ac:dyDescent="0.2">
      <c r="DO56098" s="303" t="s">
        <v>232</v>
      </c>
    </row>
    <row r="56099" spans="119:119" x14ac:dyDescent="0.2">
      <c r="DO56099" s="303" t="s">
        <v>232</v>
      </c>
    </row>
    <row r="56100" spans="119:119" x14ac:dyDescent="0.2">
      <c r="DO56100" s="303" t="s">
        <v>232</v>
      </c>
    </row>
    <row r="56101" spans="119:119" x14ac:dyDescent="0.2">
      <c r="DO56101" s="303" t="s">
        <v>232</v>
      </c>
    </row>
    <row r="56102" spans="119:119" x14ac:dyDescent="0.2">
      <c r="DO56102" s="303" t="s">
        <v>232</v>
      </c>
    </row>
    <row r="56103" spans="119:119" x14ac:dyDescent="0.2">
      <c r="DO56103" s="303" t="s">
        <v>232</v>
      </c>
    </row>
    <row r="56104" spans="119:119" x14ac:dyDescent="0.2">
      <c r="DO56104" s="303" t="s">
        <v>232</v>
      </c>
    </row>
    <row r="56105" spans="119:119" x14ac:dyDescent="0.2">
      <c r="DO56105" s="303" t="s">
        <v>232</v>
      </c>
    </row>
    <row r="56106" spans="119:119" x14ac:dyDescent="0.2">
      <c r="DO56106" s="303" t="s">
        <v>232</v>
      </c>
    </row>
    <row r="56107" spans="119:119" x14ac:dyDescent="0.2">
      <c r="DO56107" s="303" t="s">
        <v>232</v>
      </c>
    </row>
    <row r="56108" spans="119:119" x14ac:dyDescent="0.2">
      <c r="DO56108" s="303" t="s">
        <v>232</v>
      </c>
    </row>
    <row r="56109" spans="119:119" x14ac:dyDescent="0.2">
      <c r="DO56109" s="303" t="s">
        <v>232</v>
      </c>
    </row>
    <row r="56110" spans="119:119" x14ac:dyDescent="0.2">
      <c r="DO56110" s="303" t="s">
        <v>232</v>
      </c>
    </row>
    <row r="56111" spans="119:119" x14ac:dyDescent="0.2">
      <c r="DO56111" s="303" t="s">
        <v>232</v>
      </c>
    </row>
    <row r="56112" spans="119:119" x14ac:dyDescent="0.2">
      <c r="DO56112" s="303" t="s">
        <v>232</v>
      </c>
    </row>
    <row r="56113" spans="119:119" x14ac:dyDescent="0.2">
      <c r="DO56113" s="303" t="s">
        <v>232</v>
      </c>
    </row>
    <row r="56114" spans="119:119" x14ac:dyDescent="0.2">
      <c r="DO56114" s="303" t="s">
        <v>232</v>
      </c>
    </row>
    <row r="56115" spans="119:119" x14ac:dyDescent="0.2">
      <c r="DO56115" s="303" t="s">
        <v>232</v>
      </c>
    </row>
    <row r="56116" spans="119:119" x14ac:dyDescent="0.2">
      <c r="DO56116" s="303" t="s">
        <v>232</v>
      </c>
    </row>
    <row r="56117" spans="119:119" x14ac:dyDescent="0.2">
      <c r="DO56117" s="303" t="s">
        <v>232</v>
      </c>
    </row>
    <row r="56118" spans="119:119" x14ac:dyDescent="0.2">
      <c r="DO56118" s="303" t="s">
        <v>232</v>
      </c>
    </row>
    <row r="56119" spans="119:119" x14ac:dyDescent="0.2">
      <c r="DO56119" s="303" t="s">
        <v>232</v>
      </c>
    </row>
    <row r="56120" spans="119:119" x14ac:dyDescent="0.2">
      <c r="DO56120" s="303" t="s">
        <v>232</v>
      </c>
    </row>
    <row r="56121" spans="119:119" x14ac:dyDescent="0.2">
      <c r="DO56121" s="303" t="s">
        <v>232</v>
      </c>
    </row>
    <row r="56122" spans="119:119" x14ac:dyDescent="0.2">
      <c r="DO56122" s="303" t="s">
        <v>232</v>
      </c>
    </row>
    <row r="56123" spans="119:119" x14ac:dyDescent="0.2">
      <c r="DO56123" s="303" t="s">
        <v>232</v>
      </c>
    </row>
    <row r="56124" spans="119:119" x14ac:dyDescent="0.2">
      <c r="DO56124" s="303" t="s">
        <v>232</v>
      </c>
    </row>
    <row r="56125" spans="119:119" x14ac:dyDescent="0.2">
      <c r="DO56125" s="303" t="s">
        <v>232</v>
      </c>
    </row>
    <row r="56126" spans="119:119" x14ac:dyDescent="0.2">
      <c r="DO56126" s="303" t="s">
        <v>232</v>
      </c>
    </row>
    <row r="56127" spans="119:119" x14ac:dyDescent="0.2">
      <c r="DO56127" s="303" t="s">
        <v>232</v>
      </c>
    </row>
    <row r="56128" spans="119:119" x14ac:dyDescent="0.2">
      <c r="DO56128" s="303" t="s">
        <v>232</v>
      </c>
    </row>
    <row r="56129" spans="119:119" x14ac:dyDescent="0.2">
      <c r="DO56129" s="303" t="s">
        <v>232</v>
      </c>
    </row>
    <row r="56130" spans="119:119" x14ac:dyDescent="0.2">
      <c r="DO56130" s="303" t="s">
        <v>232</v>
      </c>
    </row>
    <row r="56131" spans="119:119" x14ac:dyDescent="0.2">
      <c r="DO56131" s="303" t="s">
        <v>232</v>
      </c>
    </row>
    <row r="56132" spans="119:119" x14ac:dyDescent="0.2">
      <c r="DO56132" s="303" t="s">
        <v>232</v>
      </c>
    </row>
    <row r="56133" spans="119:119" x14ac:dyDescent="0.2">
      <c r="DO56133" s="303" t="s">
        <v>232</v>
      </c>
    </row>
    <row r="56134" spans="119:119" x14ac:dyDescent="0.2">
      <c r="DO56134" s="303" t="s">
        <v>232</v>
      </c>
    </row>
    <row r="56135" spans="119:119" x14ac:dyDescent="0.2">
      <c r="DO56135" s="303" t="s">
        <v>232</v>
      </c>
    </row>
    <row r="56136" spans="119:119" x14ac:dyDescent="0.2">
      <c r="DO56136" s="303" t="s">
        <v>232</v>
      </c>
    </row>
    <row r="56137" spans="119:119" x14ac:dyDescent="0.2">
      <c r="DO56137" s="303" t="s">
        <v>232</v>
      </c>
    </row>
    <row r="56138" spans="119:119" x14ac:dyDescent="0.2">
      <c r="DO56138" s="303" t="s">
        <v>232</v>
      </c>
    </row>
    <row r="56139" spans="119:119" x14ac:dyDescent="0.2">
      <c r="DO56139" s="303" t="s">
        <v>232</v>
      </c>
    </row>
    <row r="56140" spans="119:119" x14ac:dyDescent="0.2">
      <c r="DO56140" s="303" t="s">
        <v>232</v>
      </c>
    </row>
    <row r="56141" spans="119:119" x14ac:dyDescent="0.2">
      <c r="DO56141" s="303" t="s">
        <v>232</v>
      </c>
    </row>
    <row r="56142" spans="119:119" x14ac:dyDescent="0.2">
      <c r="DO56142" s="303" t="s">
        <v>232</v>
      </c>
    </row>
    <row r="56143" spans="119:119" x14ac:dyDescent="0.2">
      <c r="DO56143" s="303" t="s">
        <v>232</v>
      </c>
    </row>
    <row r="56144" spans="119:119" x14ac:dyDescent="0.2">
      <c r="DO56144" s="303" t="s">
        <v>232</v>
      </c>
    </row>
    <row r="56145" spans="119:119" x14ac:dyDescent="0.2">
      <c r="DO56145" s="303" t="s">
        <v>232</v>
      </c>
    </row>
    <row r="56146" spans="119:119" x14ac:dyDescent="0.2">
      <c r="DO56146" s="303" t="s">
        <v>232</v>
      </c>
    </row>
    <row r="56147" spans="119:119" x14ac:dyDescent="0.2">
      <c r="DO56147" s="303" t="s">
        <v>232</v>
      </c>
    </row>
    <row r="56148" spans="119:119" x14ac:dyDescent="0.2">
      <c r="DO56148" s="303" t="s">
        <v>232</v>
      </c>
    </row>
    <row r="56149" spans="119:119" x14ac:dyDescent="0.2">
      <c r="DO56149" s="303" t="s">
        <v>232</v>
      </c>
    </row>
    <row r="56150" spans="119:119" x14ac:dyDescent="0.2">
      <c r="DO56150" s="303" t="s">
        <v>232</v>
      </c>
    </row>
    <row r="56151" spans="119:119" x14ac:dyDescent="0.2">
      <c r="DO56151" s="303" t="s">
        <v>232</v>
      </c>
    </row>
    <row r="56152" spans="119:119" x14ac:dyDescent="0.2">
      <c r="DO56152" s="303" t="s">
        <v>232</v>
      </c>
    </row>
    <row r="56153" spans="119:119" x14ac:dyDescent="0.2">
      <c r="DO56153" s="303" t="s">
        <v>232</v>
      </c>
    </row>
    <row r="56154" spans="119:119" x14ac:dyDescent="0.2">
      <c r="DO56154" s="303" t="s">
        <v>232</v>
      </c>
    </row>
    <row r="56155" spans="119:119" x14ac:dyDescent="0.2">
      <c r="DO56155" s="303" t="s">
        <v>232</v>
      </c>
    </row>
    <row r="56156" spans="119:119" x14ac:dyDescent="0.2">
      <c r="DO56156" s="303" t="s">
        <v>232</v>
      </c>
    </row>
    <row r="56157" spans="119:119" x14ac:dyDescent="0.2">
      <c r="DO56157" s="303" t="s">
        <v>232</v>
      </c>
    </row>
    <row r="56158" spans="119:119" x14ac:dyDescent="0.2">
      <c r="DO56158" s="303" t="s">
        <v>232</v>
      </c>
    </row>
    <row r="56159" spans="119:119" x14ac:dyDescent="0.2">
      <c r="DO56159" s="303" t="s">
        <v>232</v>
      </c>
    </row>
    <row r="56160" spans="119:119" x14ac:dyDescent="0.2">
      <c r="DO56160" s="303" t="s">
        <v>232</v>
      </c>
    </row>
    <row r="56161" spans="119:119" x14ac:dyDescent="0.2">
      <c r="DO56161" s="303" t="s">
        <v>232</v>
      </c>
    </row>
    <row r="56162" spans="119:119" x14ac:dyDescent="0.2">
      <c r="DO56162" s="303" t="s">
        <v>232</v>
      </c>
    </row>
    <row r="56163" spans="119:119" x14ac:dyDescent="0.2">
      <c r="DO56163" s="303" t="s">
        <v>232</v>
      </c>
    </row>
    <row r="56164" spans="119:119" x14ac:dyDescent="0.2">
      <c r="DO56164" s="303" t="s">
        <v>232</v>
      </c>
    </row>
    <row r="56165" spans="119:119" x14ac:dyDescent="0.2">
      <c r="DO56165" s="303" t="s">
        <v>232</v>
      </c>
    </row>
    <row r="56166" spans="119:119" x14ac:dyDescent="0.2">
      <c r="DO56166" s="303" t="s">
        <v>232</v>
      </c>
    </row>
    <row r="56167" spans="119:119" x14ac:dyDescent="0.2">
      <c r="DO56167" s="303" t="s">
        <v>232</v>
      </c>
    </row>
    <row r="56168" spans="119:119" x14ac:dyDescent="0.2">
      <c r="DO56168" s="303" t="s">
        <v>232</v>
      </c>
    </row>
    <row r="56169" spans="119:119" x14ac:dyDescent="0.2">
      <c r="DO56169" s="303" t="s">
        <v>232</v>
      </c>
    </row>
    <row r="56170" spans="119:119" x14ac:dyDescent="0.2">
      <c r="DO56170" s="303" t="s">
        <v>232</v>
      </c>
    </row>
    <row r="56171" spans="119:119" x14ac:dyDescent="0.2">
      <c r="DO56171" s="303" t="s">
        <v>232</v>
      </c>
    </row>
    <row r="56172" spans="119:119" x14ac:dyDescent="0.2">
      <c r="DO56172" s="303" t="s">
        <v>232</v>
      </c>
    </row>
    <row r="56173" spans="119:119" x14ac:dyDescent="0.2">
      <c r="DO56173" s="303" t="s">
        <v>232</v>
      </c>
    </row>
    <row r="56174" spans="119:119" x14ac:dyDescent="0.2">
      <c r="DO56174" s="303" t="s">
        <v>232</v>
      </c>
    </row>
    <row r="56175" spans="119:119" x14ac:dyDescent="0.2">
      <c r="DO56175" s="303" t="s">
        <v>232</v>
      </c>
    </row>
    <row r="56176" spans="119:119" x14ac:dyDescent="0.2">
      <c r="DO56176" s="303" t="s">
        <v>232</v>
      </c>
    </row>
    <row r="56177" spans="119:119" x14ac:dyDescent="0.2">
      <c r="DO56177" s="303" t="s">
        <v>232</v>
      </c>
    </row>
    <row r="56178" spans="119:119" x14ac:dyDescent="0.2">
      <c r="DO56178" s="303" t="s">
        <v>232</v>
      </c>
    </row>
    <row r="56179" spans="119:119" x14ac:dyDescent="0.2">
      <c r="DO56179" s="303" t="s">
        <v>232</v>
      </c>
    </row>
    <row r="56180" spans="119:119" x14ac:dyDescent="0.2">
      <c r="DO56180" s="303" t="s">
        <v>232</v>
      </c>
    </row>
    <row r="56181" spans="119:119" x14ac:dyDescent="0.2">
      <c r="DO56181" s="303" t="s">
        <v>232</v>
      </c>
    </row>
    <row r="56182" spans="119:119" x14ac:dyDescent="0.2">
      <c r="DO56182" s="303" t="s">
        <v>232</v>
      </c>
    </row>
    <row r="56183" spans="119:119" x14ac:dyDescent="0.2">
      <c r="DO56183" s="303" t="s">
        <v>232</v>
      </c>
    </row>
    <row r="56184" spans="119:119" x14ac:dyDescent="0.2">
      <c r="DO56184" s="303" t="s">
        <v>232</v>
      </c>
    </row>
    <row r="56185" spans="119:119" x14ac:dyDescent="0.2">
      <c r="DO56185" s="303" t="s">
        <v>232</v>
      </c>
    </row>
    <row r="56186" spans="119:119" x14ac:dyDescent="0.2">
      <c r="DO56186" s="303" t="s">
        <v>232</v>
      </c>
    </row>
    <row r="56187" spans="119:119" x14ac:dyDescent="0.2">
      <c r="DO56187" s="303" t="s">
        <v>232</v>
      </c>
    </row>
    <row r="56188" spans="119:119" x14ac:dyDescent="0.2">
      <c r="DO56188" s="303" t="s">
        <v>232</v>
      </c>
    </row>
    <row r="56189" spans="119:119" x14ac:dyDescent="0.2">
      <c r="DO56189" s="303" t="s">
        <v>232</v>
      </c>
    </row>
    <row r="56190" spans="119:119" x14ac:dyDescent="0.2">
      <c r="DO56190" s="303" t="s">
        <v>232</v>
      </c>
    </row>
    <row r="56191" spans="119:119" x14ac:dyDescent="0.2">
      <c r="DO56191" s="303" t="s">
        <v>232</v>
      </c>
    </row>
    <row r="56192" spans="119:119" x14ac:dyDescent="0.2">
      <c r="DO56192" s="303" t="s">
        <v>232</v>
      </c>
    </row>
    <row r="56193" spans="119:119" x14ac:dyDescent="0.2">
      <c r="DO56193" s="303" t="s">
        <v>232</v>
      </c>
    </row>
    <row r="56194" spans="119:119" x14ac:dyDescent="0.2">
      <c r="DO56194" s="303" t="s">
        <v>232</v>
      </c>
    </row>
    <row r="56195" spans="119:119" x14ac:dyDescent="0.2">
      <c r="DO56195" s="303" t="s">
        <v>232</v>
      </c>
    </row>
    <row r="56196" spans="119:119" x14ac:dyDescent="0.2">
      <c r="DO56196" s="303" t="s">
        <v>232</v>
      </c>
    </row>
    <row r="56197" spans="119:119" x14ac:dyDescent="0.2">
      <c r="DO56197" s="303" t="s">
        <v>232</v>
      </c>
    </row>
    <row r="56198" spans="119:119" x14ac:dyDescent="0.2">
      <c r="DO56198" s="303" t="s">
        <v>232</v>
      </c>
    </row>
    <row r="56199" spans="119:119" x14ac:dyDescent="0.2">
      <c r="DO56199" s="303" t="s">
        <v>232</v>
      </c>
    </row>
    <row r="56200" spans="119:119" x14ac:dyDescent="0.2">
      <c r="DO56200" s="303" t="s">
        <v>232</v>
      </c>
    </row>
    <row r="56201" spans="119:119" x14ac:dyDescent="0.2">
      <c r="DO56201" s="303" t="s">
        <v>232</v>
      </c>
    </row>
    <row r="56202" spans="119:119" x14ac:dyDescent="0.2">
      <c r="DO56202" s="303" t="s">
        <v>232</v>
      </c>
    </row>
    <row r="56203" spans="119:119" x14ac:dyDescent="0.2">
      <c r="DO56203" s="303" t="s">
        <v>232</v>
      </c>
    </row>
    <row r="56204" spans="119:119" x14ac:dyDescent="0.2">
      <c r="DO56204" s="303" t="s">
        <v>232</v>
      </c>
    </row>
    <row r="56205" spans="119:119" x14ac:dyDescent="0.2">
      <c r="DO56205" s="303" t="s">
        <v>232</v>
      </c>
    </row>
    <row r="56206" spans="119:119" x14ac:dyDescent="0.2">
      <c r="DO56206" s="303" t="s">
        <v>232</v>
      </c>
    </row>
    <row r="56207" spans="119:119" x14ac:dyDescent="0.2">
      <c r="DO56207" s="303" t="s">
        <v>232</v>
      </c>
    </row>
    <row r="56208" spans="119:119" x14ac:dyDescent="0.2">
      <c r="DO56208" s="303" t="s">
        <v>232</v>
      </c>
    </row>
    <row r="56209" spans="119:119" x14ac:dyDescent="0.2">
      <c r="DO56209" s="303" t="s">
        <v>232</v>
      </c>
    </row>
    <row r="56210" spans="119:119" x14ac:dyDescent="0.2">
      <c r="DO56210" s="303" t="s">
        <v>232</v>
      </c>
    </row>
    <row r="56211" spans="119:119" x14ac:dyDescent="0.2">
      <c r="DO56211" s="303" t="s">
        <v>232</v>
      </c>
    </row>
    <row r="56212" spans="119:119" x14ac:dyDescent="0.2">
      <c r="DO56212" s="303" t="s">
        <v>232</v>
      </c>
    </row>
    <row r="56213" spans="119:119" x14ac:dyDescent="0.2">
      <c r="DO56213" s="303" t="s">
        <v>232</v>
      </c>
    </row>
    <row r="56214" spans="119:119" x14ac:dyDescent="0.2">
      <c r="DO56214" s="303" t="s">
        <v>232</v>
      </c>
    </row>
    <row r="56215" spans="119:119" x14ac:dyDescent="0.2">
      <c r="DO56215" s="303" t="s">
        <v>232</v>
      </c>
    </row>
    <row r="56216" spans="119:119" x14ac:dyDescent="0.2">
      <c r="DO56216" s="303" t="s">
        <v>232</v>
      </c>
    </row>
    <row r="56217" spans="119:119" x14ac:dyDescent="0.2">
      <c r="DO56217" s="303" t="s">
        <v>232</v>
      </c>
    </row>
    <row r="56218" spans="119:119" x14ac:dyDescent="0.2">
      <c r="DO56218" s="303" t="s">
        <v>232</v>
      </c>
    </row>
    <row r="56219" spans="119:119" x14ac:dyDescent="0.2">
      <c r="DO56219" s="303" t="s">
        <v>232</v>
      </c>
    </row>
    <row r="56220" spans="119:119" x14ac:dyDescent="0.2">
      <c r="DO56220" s="303" t="s">
        <v>232</v>
      </c>
    </row>
    <row r="56221" spans="119:119" x14ac:dyDescent="0.2">
      <c r="DO56221" s="303" t="s">
        <v>232</v>
      </c>
    </row>
    <row r="56222" spans="119:119" x14ac:dyDescent="0.2">
      <c r="DO56222" s="303" t="s">
        <v>232</v>
      </c>
    </row>
    <row r="56223" spans="119:119" x14ac:dyDescent="0.2">
      <c r="DO56223" s="303" t="s">
        <v>232</v>
      </c>
    </row>
    <row r="56224" spans="119:119" x14ac:dyDescent="0.2">
      <c r="DO56224" s="303" t="s">
        <v>232</v>
      </c>
    </row>
    <row r="56225" spans="119:119" x14ac:dyDescent="0.2">
      <c r="DO56225" s="303" t="s">
        <v>232</v>
      </c>
    </row>
    <row r="56226" spans="119:119" x14ac:dyDescent="0.2">
      <c r="DO56226" s="303" t="s">
        <v>232</v>
      </c>
    </row>
    <row r="56227" spans="119:119" x14ac:dyDescent="0.2">
      <c r="DO56227" s="303" t="s">
        <v>232</v>
      </c>
    </row>
    <row r="56228" spans="119:119" x14ac:dyDescent="0.2">
      <c r="DO56228" s="303" t="s">
        <v>232</v>
      </c>
    </row>
    <row r="56229" spans="119:119" x14ac:dyDescent="0.2">
      <c r="DO56229" s="303" t="s">
        <v>232</v>
      </c>
    </row>
    <row r="56230" spans="119:119" x14ac:dyDescent="0.2">
      <c r="DO56230" s="303" t="s">
        <v>232</v>
      </c>
    </row>
    <row r="56231" spans="119:119" x14ac:dyDescent="0.2">
      <c r="DO56231" s="303" t="s">
        <v>232</v>
      </c>
    </row>
    <row r="56232" spans="119:119" x14ac:dyDescent="0.2">
      <c r="DO56232" s="303" t="s">
        <v>232</v>
      </c>
    </row>
    <row r="56233" spans="119:119" x14ac:dyDescent="0.2">
      <c r="DO56233" s="303" t="s">
        <v>232</v>
      </c>
    </row>
    <row r="56234" spans="119:119" x14ac:dyDescent="0.2">
      <c r="DO56234" s="303" t="s">
        <v>232</v>
      </c>
    </row>
    <row r="56235" spans="119:119" x14ac:dyDescent="0.2">
      <c r="DO56235" s="303" t="s">
        <v>232</v>
      </c>
    </row>
    <row r="56236" spans="119:119" x14ac:dyDescent="0.2">
      <c r="DO56236" s="303" t="s">
        <v>232</v>
      </c>
    </row>
    <row r="56237" spans="119:119" x14ac:dyDescent="0.2">
      <c r="DO56237" s="303" t="s">
        <v>232</v>
      </c>
    </row>
    <row r="56238" spans="119:119" x14ac:dyDescent="0.2">
      <c r="DO56238" s="303" t="s">
        <v>232</v>
      </c>
    </row>
    <row r="56239" spans="119:119" x14ac:dyDescent="0.2">
      <c r="DO56239" s="303" t="s">
        <v>232</v>
      </c>
    </row>
    <row r="56240" spans="119:119" x14ac:dyDescent="0.2">
      <c r="DO56240" s="303" t="s">
        <v>232</v>
      </c>
    </row>
    <row r="56241" spans="119:119" x14ac:dyDescent="0.2">
      <c r="DO56241" s="303" t="s">
        <v>232</v>
      </c>
    </row>
    <row r="56242" spans="119:119" x14ac:dyDescent="0.2">
      <c r="DO56242" s="303" t="s">
        <v>232</v>
      </c>
    </row>
    <row r="56243" spans="119:119" x14ac:dyDescent="0.2">
      <c r="DO56243" s="303" t="s">
        <v>232</v>
      </c>
    </row>
    <row r="56244" spans="119:119" x14ac:dyDescent="0.2">
      <c r="DO56244" s="303" t="s">
        <v>232</v>
      </c>
    </row>
    <row r="56245" spans="119:119" x14ac:dyDescent="0.2">
      <c r="DO56245" s="303" t="s">
        <v>232</v>
      </c>
    </row>
    <row r="56246" spans="119:119" x14ac:dyDescent="0.2">
      <c r="DO56246" s="303" t="s">
        <v>232</v>
      </c>
    </row>
    <row r="56247" spans="119:119" x14ac:dyDescent="0.2">
      <c r="DO56247" s="303" t="s">
        <v>232</v>
      </c>
    </row>
    <row r="56248" spans="119:119" x14ac:dyDescent="0.2">
      <c r="DO56248" s="303" t="s">
        <v>232</v>
      </c>
    </row>
    <row r="56249" spans="119:119" x14ac:dyDescent="0.2">
      <c r="DO56249" s="303" t="s">
        <v>232</v>
      </c>
    </row>
    <row r="56250" spans="119:119" x14ac:dyDescent="0.2">
      <c r="DO56250" s="303" t="s">
        <v>232</v>
      </c>
    </row>
    <row r="56251" spans="119:119" x14ac:dyDescent="0.2">
      <c r="DO56251" s="303" t="s">
        <v>232</v>
      </c>
    </row>
    <row r="56252" spans="119:119" x14ac:dyDescent="0.2">
      <c r="DO56252" s="303" t="s">
        <v>232</v>
      </c>
    </row>
    <row r="56253" spans="119:119" x14ac:dyDescent="0.2">
      <c r="DO56253" s="303" t="s">
        <v>232</v>
      </c>
    </row>
    <row r="56254" spans="119:119" x14ac:dyDescent="0.2">
      <c r="DO56254" s="303" t="s">
        <v>232</v>
      </c>
    </row>
    <row r="56255" spans="119:119" x14ac:dyDescent="0.2">
      <c r="DO56255" s="303" t="s">
        <v>232</v>
      </c>
    </row>
    <row r="56256" spans="119:119" x14ac:dyDescent="0.2">
      <c r="DO56256" s="303" t="s">
        <v>232</v>
      </c>
    </row>
    <row r="56257" spans="119:119" x14ac:dyDescent="0.2">
      <c r="DO56257" s="303" t="s">
        <v>232</v>
      </c>
    </row>
    <row r="56258" spans="119:119" x14ac:dyDescent="0.2">
      <c r="DO56258" s="303" t="s">
        <v>232</v>
      </c>
    </row>
    <row r="56259" spans="119:119" x14ac:dyDescent="0.2">
      <c r="DO56259" s="303" t="s">
        <v>232</v>
      </c>
    </row>
    <row r="56260" spans="119:119" x14ac:dyDescent="0.2">
      <c r="DO56260" s="303" t="s">
        <v>232</v>
      </c>
    </row>
    <row r="56261" spans="119:119" x14ac:dyDescent="0.2">
      <c r="DO56261" s="303" t="s">
        <v>232</v>
      </c>
    </row>
    <row r="56262" spans="119:119" x14ac:dyDescent="0.2">
      <c r="DO56262" s="303" t="s">
        <v>232</v>
      </c>
    </row>
    <row r="56263" spans="119:119" x14ac:dyDescent="0.2">
      <c r="DO56263" s="303" t="s">
        <v>232</v>
      </c>
    </row>
    <row r="56264" spans="119:119" x14ac:dyDescent="0.2">
      <c r="DO56264" s="303" t="s">
        <v>232</v>
      </c>
    </row>
    <row r="56265" spans="119:119" x14ac:dyDescent="0.2">
      <c r="DO56265" s="303" t="s">
        <v>232</v>
      </c>
    </row>
    <row r="56266" spans="119:119" x14ac:dyDescent="0.2">
      <c r="DO56266" s="303" t="s">
        <v>232</v>
      </c>
    </row>
    <row r="56267" spans="119:119" x14ac:dyDescent="0.2">
      <c r="DO56267" s="303" t="s">
        <v>232</v>
      </c>
    </row>
    <row r="56268" spans="119:119" x14ac:dyDescent="0.2">
      <c r="DO56268" s="303" t="s">
        <v>232</v>
      </c>
    </row>
    <row r="56269" spans="119:119" x14ac:dyDescent="0.2">
      <c r="DO56269" s="303" t="s">
        <v>232</v>
      </c>
    </row>
    <row r="56270" spans="119:119" x14ac:dyDescent="0.2">
      <c r="DO56270" s="303" t="s">
        <v>232</v>
      </c>
    </row>
    <row r="56271" spans="119:119" x14ac:dyDescent="0.2">
      <c r="DO56271" s="303" t="s">
        <v>232</v>
      </c>
    </row>
    <row r="56272" spans="119:119" x14ac:dyDescent="0.2">
      <c r="DO56272" s="303" t="s">
        <v>232</v>
      </c>
    </row>
    <row r="56273" spans="119:119" x14ac:dyDescent="0.2">
      <c r="DO56273" s="303" t="s">
        <v>232</v>
      </c>
    </row>
    <row r="56274" spans="119:119" x14ac:dyDescent="0.2">
      <c r="DO56274" s="303" t="s">
        <v>232</v>
      </c>
    </row>
    <row r="56275" spans="119:119" x14ac:dyDescent="0.2">
      <c r="DO56275" s="303" t="s">
        <v>232</v>
      </c>
    </row>
    <row r="56276" spans="119:119" x14ac:dyDescent="0.2">
      <c r="DO56276" s="303" t="s">
        <v>232</v>
      </c>
    </row>
    <row r="56277" spans="119:119" x14ac:dyDescent="0.2">
      <c r="DO56277" s="303" t="s">
        <v>232</v>
      </c>
    </row>
    <row r="56278" spans="119:119" x14ac:dyDescent="0.2">
      <c r="DO56278" s="303" t="s">
        <v>232</v>
      </c>
    </row>
    <row r="56279" spans="119:119" x14ac:dyDescent="0.2">
      <c r="DO56279" s="303" t="s">
        <v>232</v>
      </c>
    </row>
    <row r="56280" spans="119:119" x14ac:dyDescent="0.2">
      <c r="DO56280" s="303" t="s">
        <v>232</v>
      </c>
    </row>
    <row r="56281" spans="119:119" x14ac:dyDescent="0.2">
      <c r="DO56281" s="303" t="s">
        <v>232</v>
      </c>
    </row>
    <row r="56282" spans="119:119" x14ac:dyDescent="0.2">
      <c r="DO56282" s="303" t="s">
        <v>232</v>
      </c>
    </row>
    <row r="56283" spans="119:119" x14ac:dyDescent="0.2">
      <c r="DO56283" s="303" t="s">
        <v>232</v>
      </c>
    </row>
    <row r="56284" spans="119:119" x14ac:dyDescent="0.2">
      <c r="DO56284" s="303" t="s">
        <v>232</v>
      </c>
    </row>
    <row r="56285" spans="119:119" x14ac:dyDescent="0.2">
      <c r="DO56285" s="303" t="s">
        <v>232</v>
      </c>
    </row>
    <row r="56286" spans="119:119" x14ac:dyDescent="0.2">
      <c r="DO56286" s="303" t="s">
        <v>232</v>
      </c>
    </row>
    <row r="56287" spans="119:119" x14ac:dyDescent="0.2">
      <c r="DO56287" s="303" t="s">
        <v>232</v>
      </c>
    </row>
    <row r="56288" spans="119:119" x14ac:dyDescent="0.2">
      <c r="DO56288" s="303" t="s">
        <v>232</v>
      </c>
    </row>
    <row r="56289" spans="119:119" x14ac:dyDescent="0.2">
      <c r="DO56289" s="303" t="s">
        <v>232</v>
      </c>
    </row>
    <row r="56290" spans="119:119" x14ac:dyDescent="0.2">
      <c r="DO56290" s="303" t="s">
        <v>232</v>
      </c>
    </row>
    <row r="56291" spans="119:119" x14ac:dyDescent="0.2">
      <c r="DO56291" s="303" t="s">
        <v>232</v>
      </c>
    </row>
    <row r="56292" spans="119:119" x14ac:dyDescent="0.2">
      <c r="DO56292" s="303" t="s">
        <v>232</v>
      </c>
    </row>
    <row r="56293" spans="119:119" x14ac:dyDescent="0.2">
      <c r="DO56293" s="303" t="s">
        <v>232</v>
      </c>
    </row>
    <row r="56294" spans="119:119" x14ac:dyDescent="0.2">
      <c r="DO56294" s="303" t="s">
        <v>232</v>
      </c>
    </row>
    <row r="56295" spans="119:119" x14ac:dyDescent="0.2">
      <c r="DO56295" s="303" t="s">
        <v>232</v>
      </c>
    </row>
    <row r="56296" spans="119:119" x14ac:dyDescent="0.2">
      <c r="DO56296" s="303" t="s">
        <v>232</v>
      </c>
    </row>
    <row r="56297" spans="119:119" x14ac:dyDescent="0.2">
      <c r="DO56297" s="303" t="s">
        <v>232</v>
      </c>
    </row>
    <row r="56298" spans="119:119" x14ac:dyDescent="0.2">
      <c r="DO56298" s="303" t="s">
        <v>232</v>
      </c>
    </row>
    <row r="56299" spans="119:119" x14ac:dyDescent="0.2">
      <c r="DO56299" s="303" t="s">
        <v>232</v>
      </c>
    </row>
    <row r="56300" spans="119:119" x14ac:dyDescent="0.2">
      <c r="DO56300" s="303" t="s">
        <v>232</v>
      </c>
    </row>
    <row r="56301" spans="119:119" x14ac:dyDescent="0.2">
      <c r="DO56301" s="303" t="s">
        <v>232</v>
      </c>
    </row>
    <row r="56302" spans="119:119" x14ac:dyDescent="0.2">
      <c r="DO56302" s="303" t="s">
        <v>232</v>
      </c>
    </row>
    <row r="56303" spans="119:119" x14ac:dyDescent="0.2">
      <c r="DO56303" s="303" t="s">
        <v>232</v>
      </c>
    </row>
    <row r="56304" spans="119:119" x14ac:dyDescent="0.2">
      <c r="DO56304" s="303" t="s">
        <v>232</v>
      </c>
    </row>
    <row r="56305" spans="119:119" x14ac:dyDescent="0.2">
      <c r="DO56305" s="303" t="s">
        <v>232</v>
      </c>
    </row>
    <row r="56306" spans="119:119" x14ac:dyDescent="0.2">
      <c r="DO56306" s="303" t="s">
        <v>232</v>
      </c>
    </row>
    <row r="56307" spans="119:119" x14ac:dyDescent="0.2">
      <c r="DO56307" s="303" t="s">
        <v>232</v>
      </c>
    </row>
    <row r="56308" spans="119:119" x14ac:dyDescent="0.2">
      <c r="DO56308" s="303" t="s">
        <v>232</v>
      </c>
    </row>
    <row r="56309" spans="119:119" x14ac:dyDescent="0.2">
      <c r="DO56309" s="303" t="s">
        <v>232</v>
      </c>
    </row>
    <row r="56310" spans="119:119" x14ac:dyDescent="0.2">
      <c r="DO56310" s="303" t="s">
        <v>232</v>
      </c>
    </row>
    <row r="56311" spans="119:119" x14ac:dyDescent="0.2">
      <c r="DO56311" s="303" t="s">
        <v>232</v>
      </c>
    </row>
    <row r="56312" spans="119:119" x14ac:dyDescent="0.2">
      <c r="DO56312" s="303" t="s">
        <v>232</v>
      </c>
    </row>
    <row r="56313" spans="119:119" x14ac:dyDescent="0.2">
      <c r="DO56313" s="303" t="s">
        <v>232</v>
      </c>
    </row>
    <row r="56314" spans="119:119" x14ac:dyDescent="0.2">
      <c r="DO56314" s="303" t="s">
        <v>232</v>
      </c>
    </row>
    <row r="56315" spans="119:119" x14ac:dyDescent="0.2">
      <c r="DO56315" s="303" t="s">
        <v>232</v>
      </c>
    </row>
    <row r="56316" spans="119:119" x14ac:dyDescent="0.2">
      <c r="DO56316" s="303" t="s">
        <v>232</v>
      </c>
    </row>
    <row r="56317" spans="119:119" x14ac:dyDescent="0.2">
      <c r="DO56317" s="303" t="s">
        <v>232</v>
      </c>
    </row>
    <row r="56318" spans="119:119" x14ac:dyDescent="0.2">
      <c r="DO56318" s="303" t="s">
        <v>232</v>
      </c>
    </row>
    <row r="56319" spans="119:119" x14ac:dyDescent="0.2">
      <c r="DO56319" s="303" t="s">
        <v>232</v>
      </c>
    </row>
    <row r="56320" spans="119:119" x14ac:dyDescent="0.2">
      <c r="DO56320" s="303" t="s">
        <v>232</v>
      </c>
    </row>
    <row r="56321" spans="119:119" x14ac:dyDescent="0.2">
      <c r="DO56321" s="303" t="s">
        <v>232</v>
      </c>
    </row>
    <row r="56322" spans="119:119" x14ac:dyDescent="0.2">
      <c r="DO56322" s="303" t="s">
        <v>232</v>
      </c>
    </row>
    <row r="56323" spans="119:119" x14ac:dyDescent="0.2">
      <c r="DO56323" s="303" t="s">
        <v>232</v>
      </c>
    </row>
    <row r="56324" spans="119:119" x14ac:dyDescent="0.2">
      <c r="DO56324" s="303" t="s">
        <v>232</v>
      </c>
    </row>
    <row r="56325" spans="119:119" x14ac:dyDescent="0.2">
      <c r="DO56325" s="303" t="s">
        <v>232</v>
      </c>
    </row>
    <row r="56326" spans="119:119" x14ac:dyDescent="0.2">
      <c r="DO56326" s="303" t="s">
        <v>232</v>
      </c>
    </row>
    <row r="56327" spans="119:119" x14ac:dyDescent="0.2">
      <c r="DO56327" s="303" t="s">
        <v>232</v>
      </c>
    </row>
    <row r="56328" spans="119:119" x14ac:dyDescent="0.2">
      <c r="DO56328" s="303" t="s">
        <v>232</v>
      </c>
    </row>
    <row r="56329" spans="119:119" x14ac:dyDescent="0.2">
      <c r="DO56329" s="303" t="s">
        <v>232</v>
      </c>
    </row>
    <row r="56330" spans="119:119" x14ac:dyDescent="0.2">
      <c r="DO56330" s="303" t="s">
        <v>232</v>
      </c>
    </row>
    <row r="56331" spans="119:119" x14ac:dyDescent="0.2">
      <c r="DO56331" s="303" t="s">
        <v>232</v>
      </c>
    </row>
    <row r="56332" spans="119:119" x14ac:dyDescent="0.2">
      <c r="DO56332" s="303" t="s">
        <v>232</v>
      </c>
    </row>
    <row r="56333" spans="119:119" x14ac:dyDescent="0.2">
      <c r="DO56333" s="303" t="s">
        <v>232</v>
      </c>
    </row>
    <row r="56334" spans="119:119" x14ac:dyDescent="0.2">
      <c r="DO56334" s="303" t="s">
        <v>232</v>
      </c>
    </row>
    <row r="56335" spans="119:119" x14ac:dyDescent="0.2">
      <c r="DO56335" s="303" t="s">
        <v>232</v>
      </c>
    </row>
    <row r="56336" spans="119:119" x14ac:dyDescent="0.2">
      <c r="DO56336" s="303" t="s">
        <v>232</v>
      </c>
    </row>
    <row r="56337" spans="119:119" x14ac:dyDescent="0.2">
      <c r="DO56337" s="303" t="s">
        <v>232</v>
      </c>
    </row>
    <row r="56338" spans="119:119" x14ac:dyDescent="0.2">
      <c r="DO56338" s="303" t="s">
        <v>232</v>
      </c>
    </row>
    <row r="56339" spans="119:119" x14ac:dyDescent="0.2">
      <c r="DO56339" s="303" t="s">
        <v>232</v>
      </c>
    </row>
    <row r="56340" spans="119:119" x14ac:dyDescent="0.2">
      <c r="DO56340" s="303" t="s">
        <v>232</v>
      </c>
    </row>
    <row r="56341" spans="119:119" x14ac:dyDescent="0.2">
      <c r="DO56341" s="303" t="s">
        <v>232</v>
      </c>
    </row>
    <row r="56342" spans="119:119" x14ac:dyDescent="0.2">
      <c r="DO56342" s="303" t="s">
        <v>232</v>
      </c>
    </row>
    <row r="56343" spans="119:119" x14ac:dyDescent="0.2">
      <c r="DO56343" s="303" t="s">
        <v>232</v>
      </c>
    </row>
    <row r="56344" spans="119:119" x14ac:dyDescent="0.2">
      <c r="DO56344" s="303" t="s">
        <v>232</v>
      </c>
    </row>
    <row r="56345" spans="119:119" x14ac:dyDescent="0.2">
      <c r="DO56345" s="303" t="s">
        <v>232</v>
      </c>
    </row>
    <row r="56346" spans="119:119" x14ac:dyDescent="0.2">
      <c r="DO56346" s="303" t="s">
        <v>232</v>
      </c>
    </row>
    <row r="56347" spans="119:119" x14ac:dyDescent="0.2">
      <c r="DO56347" s="303" t="s">
        <v>232</v>
      </c>
    </row>
    <row r="56348" spans="119:119" x14ac:dyDescent="0.2">
      <c r="DO56348" s="303" t="s">
        <v>232</v>
      </c>
    </row>
    <row r="56349" spans="119:119" x14ac:dyDescent="0.2">
      <c r="DO56349" s="303" t="s">
        <v>232</v>
      </c>
    </row>
    <row r="56350" spans="119:119" x14ac:dyDescent="0.2">
      <c r="DO56350" s="303" t="s">
        <v>232</v>
      </c>
    </row>
    <row r="56351" spans="119:119" x14ac:dyDescent="0.2">
      <c r="DO56351" s="303" t="s">
        <v>232</v>
      </c>
    </row>
    <row r="56352" spans="119:119" x14ac:dyDescent="0.2">
      <c r="DO56352" s="303" t="s">
        <v>232</v>
      </c>
    </row>
    <row r="56353" spans="119:119" x14ac:dyDescent="0.2">
      <c r="DO56353" s="303" t="s">
        <v>232</v>
      </c>
    </row>
    <row r="56354" spans="119:119" x14ac:dyDescent="0.2">
      <c r="DO56354" s="303" t="s">
        <v>232</v>
      </c>
    </row>
    <row r="56355" spans="119:119" x14ac:dyDescent="0.2">
      <c r="DO56355" s="303" t="s">
        <v>232</v>
      </c>
    </row>
    <row r="56356" spans="119:119" x14ac:dyDescent="0.2">
      <c r="DO56356" s="303" t="s">
        <v>232</v>
      </c>
    </row>
    <row r="56357" spans="119:119" x14ac:dyDescent="0.2">
      <c r="DO56357" s="303" t="s">
        <v>232</v>
      </c>
    </row>
    <row r="56358" spans="119:119" x14ac:dyDescent="0.2">
      <c r="DO56358" s="303" t="s">
        <v>232</v>
      </c>
    </row>
    <row r="56359" spans="119:119" x14ac:dyDescent="0.2">
      <c r="DO56359" s="303" t="s">
        <v>232</v>
      </c>
    </row>
    <row r="56360" spans="119:119" x14ac:dyDescent="0.2">
      <c r="DO56360" s="303" t="s">
        <v>232</v>
      </c>
    </row>
    <row r="56361" spans="119:119" x14ac:dyDescent="0.2">
      <c r="DO56361" s="303" t="s">
        <v>232</v>
      </c>
    </row>
    <row r="56362" spans="119:119" x14ac:dyDescent="0.2">
      <c r="DO56362" s="303" t="s">
        <v>232</v>
      </c>
    </row>
    <row r="56363" spans="119:119" x14ac:dyDescent="0.2">
      <c r="DO56363" s="303" t="s">
        <v>232</v>
      </c>
    </row>
    <row r="56364" spans="119:119" x14ac:dyDescent="0.2">
      <c r="DO56364" s="303" t="s">
        <v>232</v>
      </c>
    </row>
    <row r="56365" spans="119:119" x14ac:dyDescent="0.2">
      <c r="DO56365" s="303" t="s">
        <v>232</v>
      </c>
    </row>
    <row r="56366" spans="119:119" x14ac:dyDescent="0.2">
      <c r="DO56366" s="303" t="s">
        <v>232</v>
      </c>
    </row>
    <row r="56367" spans="119:119" x14ac:dyDescent="0.2">
      <c r="DO56367" s="303" t="s">
        <v>232</v>
      </c>
    </row>
    <row r="56368" spans="119:119" x14ac:dyDescent="0.2">
      <c r="DO56368" s="303" t="s">
        <v>232</v>
      </c>
    </row>
    <row r="56369" spans="119:119" x14ac:dyDescent="0.2">
      <c r="DO56369" s="303" t="s">
        <v>232</v>
      </c>
    </row>
    <row r="56370" spans="119:119" x14ac:dyDescent="0.2">
      <c r="DO56370" s="303" t="s">
        <v>232</v>
      </c>
    </row>
    <row r="56371" spans="119:119" x14ac:dyDescent="0.2">
      <c r="DO56371" s="303" t="s">
        <v>232</v>
      </c>
    </row>
    <row r="56372" spans="119:119" x14ac:dyDescent="0.2">
      <c r="DO56372" s="303" t="s">
        <v>232</v>
      </c>
    </row>
    <row r="56373" spans="119:119" x14ac:dyDescent="0.2">
      <c r="DO56373" s="303" t="s">
        <v>232</v>
      </c>
    </row>
    <row r="56374" spans="119:119" x14ac:dyDescent="0.2">
      <c r="DO56374" s="303" t="s">
        <v>232</v>
      </c>
    </row>
    <row r="56375" spans="119:119" x14ac:dyDescent="0.2">
      <c r="DO56375" s="303" t="s">
        <v>232</v>
      </c>
    </row>
    <row r="56376" spans="119:119" x14ac:dyDescent="0.2">
      <c r="DO56376" s="303" t="s">
        <v>232</v>
      </c>
    </row>
    <row r="56377" spans="119:119" x14ac:dyDescent="0.2">
      <c r="DO56377" s="303" t="s">
        <v>232</v>
      </c>
    </row>
    <row r="56378" spans="119:119" x14ac:dyDescent="0.2">
      <c r="DO56378" s="303" t="s">
        <v>232</v>
      </c>
    </row>
    <row r="56379" spans="119:119" x14ac:dyDescent="0.2">
      <c r="DO56379" s="303" t="s">
        <v>232</v>
      </c>
    </row>
    <row r="56380" spans="119:119" x14ac:dyDescent="0.2">
      <c r="DO56380" s="303" t="s">
        <v>232</v>
      </c>
    </row>
    <row r="56381" spans="119:119" x14ac:dyDescent="0.2">
      <c r="DO56381" s="303" t="s">
        <v>232</v>
      </c>
    </row>
    <row r="56382" spans="119:119" x14ac:dyDescent="0.2">
      <c r="DO56382" s="303" t="s">
        <v>232</v>
      </c>
    </row>
    <row r="56383" spans="119:119" x14ac:dyDescent="0.2">
      <c r="DO56383" s="303" t="s">
        <v>232</v>
      </c>
    </row>
    <row r="56384" spans="119:119" x14ac:dyDescent="0.2">
      <c r="DO56384" s="303" t="s">
        <v>232</v>
      </c>
    </row>
    <row r="56385" spans="119:119" x14ac:dyDescent="0.2">
      <c r="DO56385" s="303" t="s">
        <v>232</v>
      </c>
    </row>
    <row r="56386" spans="119:119" x14ac:dyDescent="0.2">
      <c r="DO56386" s="303" t="s">
        <v>232</v>
      </c>
    </row>
    <row r="56387" spans="119:119" x14ac:dyDescent="0.2">
      <c r="DO56387" s="303" t="s">
        <v>232</v>
      </c>
    </row>
    <row r="56388" spans="119:119" x14ac:dyDescent="0.2">
      <c r="DO56388" s="303" t="s">
        <v>232</v>
      </c>
    </row>
    <row r="56389" spans="119:119" x14ac:dyDescent="0.2">
      <c r="DO56389" s="303" t="s">
        <v>232</v>
      </c>
    </row>
    <row r="56390" spans="119:119" x14ac:dyDescent="0.2">
      <c r="DO56390" s="303" t="s">
        <v>232</v>
      </c>
    </row>
    <row r="56391" spans="119:119" x14ac:dyDescent="0.2">
      <c r="DO56391" s="303" t="s">
        <v>232</v>
      </c>
    </row>
    <row r="56392" spans="119:119" x14ac:dyDescent="0.2">
      <c r="DO56392" s="303" t="s">
        <v>232</v>
      </c>
    </row>
    <row r="56393" spans="119:119" x14ac:dyDescent="0.2">
      <c r="DO56393" s="303" t="s">
        <v>232</v>
      </c>
    </row>
    <row r="56394" spans="119:119" x14ac:dyDescent="0.2">
      <c r="DO56394" s="303" t="s">
        <v>232</v>
      </c>
    </row>
    <row r="56395" spans="119:119" x14ac:dyDescent="0.2">
      <c r="DO56395" s="303" t="s">
        <v>232</v>
      </c>
    </row>
    <row r="56396" spans="119:119" x14ac:dyDescent="0.2">
      <c r="DO56396" s="303" t="s">
        <v>232</v>
      </c>
    </row>
    <row r="56397" spans="119:119" x14ac:dyDescent="0.2">
      <c r="DO56397" s="303" t="s">
        <v>232</v>
      </c>
    </row>
    <row r="56398" spans="119:119" x14ac:dyDescent="0.2">
      <c r="DO56398" s="303" t="s">
        <v>232</v>
      </c>
    </row>
    <row r="56399" spans="119:119" x14ac:dyDescent="0.2">
      <c r="DO56399" s="303" t="s">
        <v>232</v>
      </c>
    </row>
    <row r="56400" spans="119:119" x14ac:dyDescent="0.2">
      <c r="DO56400" s="303" t="s">
        <v>232</v>
      </c>
    </row>
    <row r="56401" spans="119:119" x14ac:dyDescent="0.2">
      <c r="DO56401" s="303" t="s">
        <v>232</v>
      </c>
    </row>
    <row r="56402" spans="119:119" x14ac:dyDescent="0.2">
      <c r="DO56402" s="303" t="s">
        <v>232</v>
      </c>
    </row>
    <row r="56403" spans="119:119" x14ac:dyDescent="0.2">
      <c r="DO56403" s="303" t="s">
        <v>232</v>
      </c>
    </row>
    <row r="56404" spans="119:119" x14ac:dyDescent="0.2">
      <c r="DO56404" s="303" t="s">
        <v>232</v>
      </c>
    </row>
    <row r="56405" spans="119:119" x14ac:dyDescent="0.2">
      <c r="DO56405" s="303" t="s">
        <v>232</v>
      </c>
    </row>
    <row r="56406" spans="119:119" x14ac:dyDescent="0.2">
      <c r="DO56406" s="303" t="s">
        <v>232</v>
      </c>
    </row>
    <row r="56407" spans="119:119" x14ac:dyDescent="0.2">
      <c r="DO56407" s="303" t="s">
        <v>232</v>
      </c>
    </row>
    <row r="56408" spans="119:119" x14ac:dyDescent="0.2">
      <c r="DO56408" s="303" t="s">
        <v>232</v>
      </c>
    </row>
    <row r="56409" spans="119:119" x14ac:dyDescent="0.2">
      <c r="DO56409" s="303" t="s">
        <v>232</v>
      </c>
    </row>
    <row r="56410" spans="119:119" x14ac:dyDescent="0.2">
      <c r="DO56410" s="303" t="s">
        <v>232</v>
      </c>
    </row>
    <row r="56411" spans="119:119" x14ac:dyDescent="0.2">
      <c r="DO56411" s="303" t="s">
        <v>232</v>
      </c>
    </row>
    <row r="56412" spans="119:119" x14ac:dyDescent="0.2">
      <c r="DO56412" s="303" t="s">
        <v>232</v>
      </c>
    </row>
    <row r="56413" spans="119:119" x14ac:dyDescent="0.2">
      <c r="DO56413" s="303" t="s">
        <v>232</v>
      </c>
    </row>
    <row r="56414" spans="119:119" x14ac:dyDescent="0.2">
      <c r="DO56414" s="303" t="s">
        <v>232</v>
      </c>
    </row>
    <row r="56415" spans="119:119" x14ac:dyDescent="0.2">
      <c r="DO56415" s="303" t="s">
        <v>232</v>
      </c>
    </row>
    <row r="56416" spans="119:119" x14ac:dyDescent="0.2">
      <c r="DO56416" s="303" t="s">
        <v>232</v>
      </c>
    </row>
    <row r="56417" spans="119:119" x14ac:dyDescent="0.2">
      <c r="DO56417" s="303" t="s">
        <v>232</v>
      </c>
    </row>
    <row r="56418" spans="119:119" x14ac:dyDescent="0.2">
      <c r="DO56418" s="303" t="s">
        <v>232</v>
      </c>
    </row>
    <row r="56419" spans="119:119" x14ac:dyDescent="0.2">
      <c r="DO56419" s="303" t="s">
        <v>232</v>
      </c>
    </row>
    <row r="56420" spans="119:119" x14ac:dyDescent="0.2">
      <c r="DO56420" s="303" t="s">
        <v>232</v>
      </c>
    </row>
    <row r="56421" spans="119:119" x14ac:dyDescent="0.2">
      <c r="DO56421" s="303" t="s">
        <v>232</v>
      </c>
    </row>
    <row r="56422" spans="119:119" x14ac:dyDescent="0.2">
      <c r="DO56422" s="303" t="s">
        <v>232</v>
      </c>
    </row>
    <row r="56423" spans="119:119" x14ac:dyDescent="0.2">
      <c r="DO56423" s="303" t="s">
        <v>232</v>
      </c>
    </row>
    <row r="56424" spans="119:119" x14ac:dyDescent="0.2">
      <c r="DO56424" s="303" t="s">
        <v>232</v>
      </c>
    </row>
    <row r="56425" spans="119:119" x14ac:dyDescent="0.2">
      <c r="DO56425" s="303" t="s">
        <v>232</v>
      </c>
    </row>
    <row r="56426" spans="119:119" x14ac:dyDescent="0.2">
      <c r="DO56426" s="303" t="s">
        <v>232</v>
      </c>
    </row>
    <row r="56427" spans="119:119" x14ac:dyDescent="0.2">
      <c r="DO56427" s="303" t="s">
        <v>232</v>
      </c>
    </row>
    <row r="56428" spans="119:119" x14ac:dyDescent="0.2">
      <c r="DO56428" s="303" t="s">
        <v>232</v>
      </c>
    </row>
    <row r="56429" spans="119:119" x14ac:dyDescent="0.2">
      <c r="DO56429" s="303" t="s">
        <v>232</v>
      </c>
    </row>
    <row r="56430" spans="119:119" x14ac:dyDescent="0.2">
      <c r="DO56430" s="303" t="s">
        <v>232</v>
      </c>
    </row>
    <row r="56431" spans="119:119" x14ac:dyDescent="0.2">
      <c r="DO56431" s="303" t="s">
        <v>232</v>
      </c>
    </row>
    <row r="56432" spans="119:119" x14ac:dyDescent="0.2">
      <c r="DO56432" s="303" t="s">
        <v>232</v>
      </c>
    </row>
    <row r="56433" spans="119:119" x14ac:dyDescent="0.2">
      <c r="DO56433" s="303" t="s">
        <v>232</v>
      </c>
    </row>
    <row r="56434" spans="119:119" x14ac:dyDescent="0.2">
      <c r="DO56434" s="303" t="s">
        <v>232</v>
      </c>
    </row>
    <row r="56435" spans="119:119" x14ac:dyDescent="0.2">
      <c r="DO56435" s="303" t="s">
        <v>232</v>
      </c>
    </row>
    <row r="56436" spans="119:119" x14ac:dyDescent="0.2">
      <c r="DO56436" s="303" t="s">
        <v>232</v>
      </c>
    </row>
    <row r="56437" spans="119:119" x14ac:dyDescent="0.2">
      <c r="DO56437" s="303" t="s">
        <v>232</v>
      </c>
    </row>
    <row r="56438" spans="119:119" x14ac:dyDescent="0.2">
      <c r="DO56438" s="303" t="s">
        <v>232</v>
      </c>
    </row>
    <row r="56439" spans="119:119" x14ac:dyDescent="0.2">
      <c r="DO56439" s="303" t="s">
        <v>232</v>
      </c>
    </row>
    <row r="56440" spans="119:119" x14ac:dyDescent="0.2">
      <c r="DO56440" s="303" t="s">
        <v>232</v>
      </c>
    </row>
    <row r="56441" spans="119:119" x14ac:dyDescent="0.2">
      <c r="DO56441" s="303" t="s">
        <v>232</v>
      </c>
    </row>
    <row r="56442" spans="119:119" x14ac:dyDescent="0.2">
      <c r="DO56442" s="303" t="s">
        <v>232</v>
      </c>
    </row>
    <row r="56443" spans="119:119" x14ac:dyDescent="0.2">
      <c r="DO56443" s="303" t="s">
        <v>232</v>
      </c>
    </row>
    <row r="56444" spans="119:119" x14ac:dyDescent="0.2">
      <c r="DO56444" s="303" t="s">
        <v>232</v>
      </c>
    </row>
    <row r="56445" spans="119:119" x14ac:dyDescent="0.2">
      <c r="DO56445" s="303" t="s">
        <v>232</v>
      </c>
    </row>
    <row r="56446" spans="119:119" x14ac:dyDescent="0.2">
      <c r="DO56446" s="303" t="s">
        <v>232</v>
      </c>
    </row>
    <row r="56447" spans="119:119" x14ac:dyDescent="0.2">
      <c r="DO56447" s="303" t="s">
        <v>232</v>
      </c>
    </row>
    <row r="56448" spans="119:119" x14ac:dyDescent="0.2">
      <c r="DO56448" s="303" t="s">
        <v>232</v>
      </c>
    </row>
    <row r="56449" spans="119:119" x14ac:dyDescent="0.2">
      <c r="DO56449" s="303" t="s">
        <v>232</v>
      </c>
    </row>
    <row r="56450" spans="119:119" x14ac:dyDescent="0.2">
      <c r="DO56450" s="303" t="s">
        <v>232</v>
      </c>
    </row>
    <row r="56451" spans="119:119" x14ac:dyDescent="0.2">
      <c r="DO56451" s="303" t="s">
        <v>232</v>
      </c>
    </row>
    <row r="56452" spans="119:119" x14ac:dyDescent="0.2">
      <c r="DO56452" s="303" t="s">
        <v>232</v>
      </c>
    </row>
    <row r="56453" spans="119:119" x14ac:dyDescent="0.2">
      <c r="DO56453" s="303" t="s">
        <v>232</v>
      </c>
    </row>
    <row r="56454" spans="119:119" x14ac:dyDescent="0.2">
      <c r="DO56454" s="303" t="s">
        <v>232</v>
      </c>
    </row>
    <row r="56455" spans="119:119" x14ac:dyDescent="0.2">
      <c r="DO56455" s="303" t="s">
        <v>232</v>
      </c>
    </row>
    <row r="56456" spans="119:119" x14ac:dyDescent="0.2">
      <c r="DO56456" s="303" t="s">
        <v>232</v>
      </c>
    </row>
    <row r="56457" spans="119:119" x14ac:dyDescent="0.2">
      <c r="DO56457" s="303" t="s">
        <v>232</v>
      </c>
    </row>
    <row r="56458" spans="119:119" x14ac:dyDescent="0.2">
      <c r="DO56458" s="303" t="s">
        <v>232</v>
      </c>
    </row>
    <row r="56459" spans="119:119" x14ac:dyDescent="0.2">
      <c r="DO56459" s="303" t="s">
        <v>232</v>
      </c>
    </row>
    <row r="56460" spans="119:119" x14ac:dyDescent="0.2">
      <c r="DO56460" s="303" t="s">
        <v>232</v>
      </c>
    </row>
    <row r="56461" spans="119:119" x14ac:dyDescent="0.2">
      <c r="DO56461" s="303" t="s">
        <v>232</v>
      </c>
    </row>
    <row r="56462" spans="119:119" x14ac:dyDescent="0.2">
      <c r="DO56462" s="303" t="s">
        <v>232</v>
      </c>
    </row>
    <row r="56463" spans="119:119" x14ac:dyDescent="0.2">
      <c r="DO56463" s="303" t="s">
        <v>232</v>
      </c>
    </row>
    <row r="56464" spans="119:119" x14ac:dyDescent="0.2">
      <c r="DO56464" s="303" t="s">
        <v>232</v>
      </c>
    </row>
    <row r="56465" spans="119:119" x14ac:dyDescent="0.2">
      <c r="DO56465" s="303" t="s">
        <v>232</v>
      </c>
    </row>
    <row r="56466" spans="119:119" x14ac:dyDescent="0.2">
      <c r="DO56466" s="303" t="s">
        <v>232</v>
      </c>
    </row>
    <row r="56467" spans="119:119" x14ac:dyDescent="0.2">
      <c r="DO56467" s="303" t="s">
        <v>232</v>
      </c>
    </row>
    <row r="56468" spans="119:119" x14ac:dyDescent="0.2">
      <c r="DO56468" s="303" t="s">
        <v>232</v>
      </c>
    </row>
    <row r="56469" spans="119:119" x14ac:dyDescent="0.2">
      <c r="DO56469" s="303" t="s">
        <v>232</v>
      </c>
    </row>
    <row r="56470" spans="119:119" x14ac:dyDescent="0.2">
      <c r="DO56470" s="303" t="s">
        <v>232</v>
      </c>
    </row>
    <row r="56471" spans="119:119" x14ac:dyDescent="0.2">
      <c r="DO56471" s="303" t="s">
        <v>232</v>
      </c>
    </row>
    <row r="56472" spans="119:119" x14ac:dyDescent="0.2">
      <c r="DO56472" s="303" t="s">
        <v>232</v>
      </c>
    </row>
    <row r="56473" spans="119:119" x14ac:dyDescent="0.2">
      <c r="DO56473" s="303" t="s">
        <v>232</v>
      </c>
    </row>
    <row r="56474" spans="119:119" x14ac:dyDescent="0.2">
      <c r="DO56474" s="303" t="s">
        <v>232</v>
      </c>
    </row>
    <row r="56475" spans="119:119" x14ac:dyDescent="0.2">
      <c r="DO56475" s="303" t="s">
        <v>232</v>
      </c>
    </row>
    <row r="56476" spans="119:119" x14ac:dyDescent="0.2">
      <c r="DO56476" s="303" t="s">
        <v>232</v>
      </c>
    </row>
    <row r="56477" spans="119:119" x14ac:dyDescent="0.2">
      <c r="DO56477" s="303" t="s">
        <v>232</v>
      </c>
    </row>
    <row r="56478" spans="119:119" x14ac:dyDescent="0.2">
      <c r="DO56478" s="303" t="s">
        <v>232</v>
      </c>
    </row>
    <row r="56479" spans="119:119" x14ac:dyDescent="0.2">
      <c r="DO56479" s="303" t="s">
        <v>232</v>
      </c>
    </row>
    <row r="56480" spans="119:119" x14ac:dyDescent="0.2">
      <c r="DO56480" s="303" t="s">
        <v>232</v>
      </c>
    </row>
    <row r="56481" spans="119:119" x14ac:dyDescent="0.2">
      <c r="DO56481" s="303" t="s">
        <v>232</v>
      </c>
    </row>
    <row r="56482" spans="119:119" x14ac:dyDescent="0.2">
      <c r="DO56482" s="303" t="s">
        <v>232</v>
      </c>
    </row>
    <row r="56483" spans="119:119" x14ac:dyDescent="0.2">
      <c r="DO56483" s="303" t="s">
        <v>232</v>
      </c>
    </row>
    <row r="56484" spans="119:119" x14ac:dyDescent="0.2">
      <c r="DO56484" s="303" t="s">
        <v>232</v>
      </c>
    </row>
    <row r="56485" spans="119:119" x14ac:dyDescent="0.2">
      <c r="DO56485" s="303" t="s">
        <v>232</v>
      </c>
    </row>
    <row r="56486" spans="119:119" x14ac:dyDescent="0.2">
      <c r="DO56486" s="303" t="s">
        <v>232</v>
      </c>
    </row>
    <row r="56487" spans="119:119" x14ac:dyDescent="0.2">
      <c r="DO56487" s="303" t="s">
        <v>232</v>
      </c>
    </row>
    <row r="56488" spans="119:119" x14ac:dyDescent="0.2">
      <c r="DO56488" s="303" t="s">
        <v>232</v>
      </c>
    </row>
    <row r="56489" spans="119:119" x14ac:dyDescent="0.2">
      <c r="DO56489" s="303" t="s">
        <v>232</v>
      </c>
    </row>
    <row r="56490" spans="119:119" x14ac:dyDescent="0.2">
      <c r="DO56490" s="303" t="s">
        <v>232</v>
      </c>
    </row>
    <row r="56491" spans="119:119" x14ac:dyDescent="0.2">
      <c r="DO56491" s="303" t="s">
        <v>232</v>
      </c>
    </row>
    <row r="56492" spans="119:119" x14ac:dyDescent="0.2">
      <c r="DO56492" s="303" t="s">
        <v>232</v>
      </c>
    </row>
    <row r="56493" spans="119:119" x14ac:dyDescent="0.2">
      <c r="DO56493" s="303" t="s">
        <v>232</v>
      </c>
    </row>
    <row r="56494" spans="119:119" x14ac:dyDescent="0.2">
      <c r="DO56494" s="303" t="s">
        <v>232</v>
      </c>
    </row>
    <row r="56495" spans="119:119" x14ac:dyDescent="0.2">
      <c r="DO56495" s="303" t="s">
        <v>232</v>
      </c>
    </row>
    <row r="56496" spans="119:119" x14ac:dyDescent="0.2">
      <c r="DO56496" s="303" t="s">
        <v>232</v>
      </c>
    </row>
    <row r="56497" spans="119:119" x14ac:dyDescent="0.2">
      <c r="DO56497" s="303" t="s">
        <v>232</v>
      </c>
    </row>
    <row r="56498" spans="119:119" x14ac:dyDescent="0.2">
      <c r="DO56498" s="303" t="s">
        <v>232</v>
      </c>
    </row>
    <row r="56499" spans="119:119" x14ac:dyDescent="0.2">
      <c r="DO56499" s="303" t="s">
        <v>232</v>
      </c>
    </row>
    <row r="56500" spans="119:119" x14ac:dyDescent="0.2">
      <c r="DO56500" s="303" t="s">
        <v>232</v>
      </c>
    </row>
    <row r="56501" spans="119:119" x14ac:dyDescent="0.2">
      <c r="DO56501" s="303" t="s">
        <v>232</v>
      </c>
    </row>
    <row r="56502" spans="119:119" x14ac:dyDescent="0.2">
      <c r="DO56502" s="303" t="s">
        <v>232</v>
      </c>
    </row>
    <row r="56503" spans="119:119" x14ac:dyDescent="0.2">
      <c r="DO56503" s="303" t="s">
        <v>232</v>
      </c>
    </row>
    <row r="56504" spans="119:119" x14ac:dyDescent="0.2">
      <c r="DO56504" s="303" t="s">
        <v>232</v>
      </c>
    </row>
    <row r="56505" spans="119:119" x14ac:dyDescent="0.2">
      <c r="DO56505" s="303" t="s">
        <v>232</v>
      </c>
    </row>
    <row r="56506" spans="119:119" x14ac:dyDescent="0.2">
      <c r="DO56506" s="303" t="s">
        <v>232</v>
      </c>
    </row>
    <row r="56507" spans="119:119" x14ac:dyDescent="0.2">
      <c r="DO56507" s="303" t="s">
        <v>232</v>
      </c>
    </row>
    <row r="56508" spans="119:119" x14ac:dyDescent="0.2">
      <c r="DO56508" s="303" t="s">
        <v>232</v>
      </c>
    </row>
    <row r="56509" spans="119:119" x14ac:dyDescent="0.2">
      <c r="DO56509" s="303" t="s">
        <v>232</v>
      </c>
    </row>
    <row r="56510" spans="119:119" x14ac:dyDescent="0.2">
      <c r="DO56510" s="303" t="s">
        <v>232</v>
      </c>
    </row>
    <row r="56511" spans="119:119" x14ac:dyDescent="0.2">
      <c r="DO56511" s="303" t="s">
        <v>232</v>
      </c>
    </row>
    <row r="56512" spans="119:119" x14ac:dyDescent="0.2">
      <c r="DO56512" s="303" t="s">
        <v>232</v>
      </c>
    </row>
    <row r="56513" spans="119:119" x14ac:dyDescent="0.2">
      <c r="DO56513" s="303" t="s">
        <v>232</v>
      </c>
    </row>
    <row r="56514" spans="119:119" x14ac:dyDescent="0.2">
      <c r="DO56514" s="303" t="s">
        <v>232</v>
      </c>
    </row>
    <row r="56515" spans="119:119" x14ac:dyDescent="0.2">
      <c r="DO56515" s="303" t="s">
        <v>232</v>
      </c>
    </row>
    <row r="56516" spans="119:119" x14ac:dyDescent="0.2">
      <c r="DO56516" s="303" t="s">
        <v>232</v>
      </c>
    </row>
    <row r="56517" spans="119:119" x14ac:dyDescent="0.2">
      <c r="DO56517" s="303" t="s">
        <v>232</v>
      </c>
    </row>
    <row r="56518" spans="119:119" x14ac:dyDescent="0.2">
      <c r="DO56518" s="303" t="s">
        <v>232</v>
      </c>
    </row>
    <row r="56519" spans="119:119" x14ac:dyDescent="0.2">
      <c r="DO56519" s="303" t="s">
        <v>232</v>
      </c>
    </row>
    <row r="56520" spans="119:119" x14ac:dyDescent="0.2">
      <c r="DO56520" s="303" t="s">
        <v>232</v>
      </c>
    </row>
    <row r="56521" spans="119:119" x14ac:dyDescent="0.2">
      <c r="DO56521" s="303" t="s">
        <v>232</v>
      </c>
    </row>
    <row r="56522" spans="119:119" x14ac:dyDescent="0.2">
      <c r="DO56522" s="303" t="s">
        <v>232</v>
      </c>
    </row>
    <row r="56523" spans="119:119" x14ac:dyDescent="0.2">
      <c r="DO56523" s="303" t="s">
        <v>232</v>
      </c>
    </row>
    <row r="56524" spans="119:119" x14ac:dyDescent="0.2">
      <c r="DO56524" s="303" t="s">
        <v>232</v>
      </c>
    </row>
    <row r="56525" spans="119:119" x14ac:dyDescent="0.2">
      <c r="DO56525" s="303" t="s">
        <v>232</v>
      </c>
    </row>
    <row r="56526" spans="119:119" x14ac:dyDescent="0.2">
      <c r="DO56526" s="303" t="s">
        <v>232</v>
      </c>
    </row>
    <row r="56527" spans="119:119" x14ac:dyDescent="0.2">
      <c r="DO56527" s="303" t="s">
        <v>232</v>
      </c>
    </row>
    <row r="56528" spans="119:119" x14ac:dyDescent="0.2">
      <c r="DO56528" s="303" t="s">
        <v>232</v>
      </c>
    </row>
    <row r="56529" spans="119:119" x14ac:dyDescent="0.2">
      <c r="DO56529" s="303" t="s">
        <v>232</v>
      </c>
    </row>
    <row r="56530" spans="119:119" x14ac:dyDescent="0.2">
      <c r="DO56530" s="303" t="s">
        <v>232</v>
      </c>
    </row>
    <row r="56531" spans="119:119" x14ac:dyDescent="0.2">
      <c r="DO56531" s="303" t="s">
        <v>232</v>
      </c>
    </row>
    <row r="56532" spans="119:119" x14ac:dyDescent="0.2">
      <c r="DO56532" s="303" t="s">
        <v>232</v>
      </c>
    </row>
    <row r="56533" spans="119:119" x14ac:dyDescent="0.2">
      <c r="DO56533" s="303" t="s">
        <v>232</v>
      </c>
    </row>
    <row r="56534" spans="119:119" x14ac:dyDescent="0.2">
      <c r="DO56534" s="303" t="s">
        <v>232</v>
      </c>
    </row>
    <row r="56535" spans="119:119" x14ac:dyDescent="0.2">
      <c r="DO56535" s="303" t="s">
        <v>232</v>
      </c>
    </row>
    <row r="56536" spans="119:119" x14ac:dyDescent="0.2">
      <c r="DO56536" s="303" t="s">
        <v>232</v>
      </c>
    </row>
    <row r="56537" spans="119:119" x14ac:dyDescent="0.2">
      <c r="DO56537" s="303" t="s">
        <v>232</v>
      </c>
    </row>
    <row r="56538" spans="119:119" x14ac:dyDescent="0.2">
      <c r="DO56538" s="303" t="s">
        <v>232</v>
      </c>
    </row>
    <row r="56539" spans="119:119" x14ac:dyDescent="0.2">
      <c r="DO56539" s="303" t="s">
        <v>232</v>
      </c>
    </row>
    <row r="56540" spans="119:119" x14ac:dyDescent="0.2">
      <c r="DO56540" s="303" t="s">
        <v>232</v>
      </c>
    </row>
    <row r="56541" spans="119:119" x14ac:dyDescent="0.2">
      <c r="DO56541" s="303" t="s">
        <v>232</v>
      </c>
    </row>
    <row r="56542" spans="119:119" x14ac:dyDescent="0.2">
      <c r="DO56542" s="303" t="s">
        <v>232</v>
      </c>
    </row>
    <row r="56543" spans="119:119" x14ac:dyDescent="0.2">
      <c r="DO56543" s="303" t="s">
        <v>232</v>
      </c>
    </row>
    <row r="56544" spans="119:119" x14ac:dyDescent="0.2">
      <c r="DO56544" s="303" t="s">
        <v>232</v>
      </c>
    </row>
    <row r="56545" spans="119:119" x14ac:dyDescent="0.2">
      <c r="DO56545" s="303" t="s">
        <v>232</v>
      </c>
    </row>
    <row r="56546" spans="119:119" x14ac:dyDescent="0.2">
      <c r="DO56546" s="303" t="s">
        <v>232</v>
      </c>
    </row>
    <row r="56547" spans="119:119" x14ac:dyDescent="0.2">
      <c r="DO56547" s="303" t="s">
        <v>232</v>
      </c>
    </row>
    <row r="56548" spans="119:119" x14ac:dyDescent="0.2">
      <c r="DO56548" s="303" t="s">
        <v>232</v>
      </c>
    </row>
    <row r="56549" spans="119:119" x14ac:dyDescent="0.2">
      <c r="DO56549" s="303" t="s">
        <v>232</v>
      </c>
    </row>
    <row r="56550" spans="119:119" x14ac:dyDescent="0.2">
      <c r="DO56550" s="303" t="s">
        <v>232</v>
      </c>
    </row>
    <row r="56551" spans="119:119" x14ac:dyDescent="0.2">
      <c r="DO56551" s="303" t="s">
        <v>232</v>
      </c>
    </row>
    <row r="56552" spans="119:119" x14ac:dyDescent="0.2">
      <c r="DO56552" s="303" t="s">
        <v>232</v>
      </c>
    </row>
    <row r="56553" spans="119:119" x14ac:dyDescent="0.2">
      <c r="DO56553" s="303" t="s">
        <v>232</v>
      </c>
    </row>
    <row r="56554" spans="119:119" x14ac:dyDescent="0.2">
      <c r="DO56554" s="303" t="s">
        <v>232</v>
      </c>
    </row>
    <row r="56555" spans="119:119" x14ac:dyDescent="0.2">
      <c r="DO56555" s="303" t="s">
        <v>232</v>
      </c>
    </row>
    <row r="56556" spans="119:119" x14ac:dyDescent="0.2">
      <c r="DO56556" s="303" t="s">
        <v>232</v>
      </c>
    </row>
    <row r="56557" spans="119:119" x14ac:dyDescent="0.2">
      <c r="DO56557" s="303" t="s">
        <v>232</v>
      </c>
    </row>
    <row r="56558" spans="119:119" x14ac:dyDescent="0.2">
      <c r="DO56558" s="303" t="s">
        <v>232</v>
      </c>
    </row>
    <row r="56559" spans="119:119" x14ac:dyDescent="0.2">
      <c r="DO56559" s="303" t="s">
        <v>232</v>
      </c>
    </row>
    <row r="56560" spans="119:119" x14ac:dyDescent="0.2">
      <c r="DO56560" s="303" t="s">
        <v>232</v>
      </c>
    </row>
    <row r="56561" spans="119:119" x14ac:dyDescent="0.2">
      <c r="DO56561" s="303" t="s">
        <v>232</v>
      </c>
    </row>
    <row r="56562" spans="119:119" x14ac:dyDescent="0.2">
      <c r="DO56562" s="303" t="s">
        <v>232</v>
      </c>
    </row>
    <row r="56563" spans="119:119" x14ac:dyDescent="0.2">
      <c r="DO56563" s="303" t="s">
        <v>232</v>
      </c>
    </row>
    <row r="56564" spans="119:119" x14ac:dyDescent="0.2">
      <c r="DO56564" s="303" t="s">
        <v>232</v>
      </c>
    </row>
    <row r="56565" spans="119:119" x14ac:dyDescent="0.2">
      <c r="DO56565" s="303" t="s">
        <v>232</v>
      </c>
    </row>
    <row r="56566" spans="119:119" x14ac:dyDescent="0.2">
      <c r="DO56566" s="303" t="s">
        <v>232</v>
      </c>
    </row>
    <row r="56567" spans="119:119" x14ac:dyDescent="0.2">
      <c r="DO56567" s="303" t="s">
        <v>232</v>
      </c>
    </row>
    <row r="56568" spans="119:119" x14ac:dyDescent="0.2">
      <c r="DO56568" s="303" t="s">
        <v>232</v>
      </c>
    </row>
    <row r="56569" spans="119:119" x14ac:dyDescent="0.2">
      <c r="DO56569" s="303" t="s">
        <v>232</v>
      </c>
    </row>
    <row r="56570" spans="119:119" x14ac:dyDescent="0.2">
      <c r="DO56570" s="303" t="s">
        <v>232</v>
      </c>
    </row>
    <row r="56571" spans="119:119" x14ac:dyDescent="0.2">
      <c r="DO56571" s="303" t="s">
        <v>232</v>
      </c>
    </row>
    <row r="56572" spans="119:119" x14ac:dyDescent="0.2">
      <c r="DO56572" s="303" t="s">
        <v>232</v>
      </c>
    </row>
    <row r="56573" spans="119:119" x14ac:dyDescent="0.2">
      <c r="DO56573" s="303" t="s">
        <v>232</v>
      </c>
    </row>
    <row r="56574" spans="119:119" x14ac:dyDescent="0.2">
      <c r="DO56574" s="303" t="s">
        <v>232</v>
      </c>
    </row>
    <row r="56575" spans="119:119" x14ac:dyDescent="0.2">
      <c r="DO56575" s="303" t="s">
        <v>232</v>
      </c>
    </row>
    <row r="56576" spans="119:119" x14ac:dyDescent="0.2">
      <c r="DO56576" s="303" t="s">
        <v>232</v>
      </c>
    </row>
    <row r="56577" spans="119:119" x14ac:dyDescent="0.2">
      <c r="DO56577" s="303" t="s">
        <v>232</v>
      </c>
    </row>
    <row r="56578" spans="119:119" x14ac:dyDescent="0.2">
      <c r="DO56578" s="303" t="s">
        <v>232</v>
      </c>
    </row>
    <row r="56579" spans="119:119" x14ac:dyDescent="0.2">
      <c r="DO56579" s="303" t="s">
        <v>232</v>
      </c>
    </row>
    <row r="56580" spans="119:119" x14ac:dyDescent="0.2">
      <c r="DO56580" s="303" t="s">
        <v>232</v>
      </c>
    </row>
    <row r="56581" spans="119:119" x14ac:dyDescent="0.2">
      <c r="DO56581" s="303" t="s">
        <v>232</v>
      </c>
    </row>
    <row r="56582" spans="119:119" x14ac:dyDescent="0.2">
      <c r="DO56582" s="303" t="s">
        <v>232</v>
      </c>
    </row>
    <row r="56583" spans="119:119" x14ac:dyDescent="0.2">
      <c r="DO56583" s="303" t="s">
        <v>232</v>
      </c>
    </row>
    <row r="56584" spans="119:119" x14ac:dyDescent="0.2">
      <c r="DO56584" s="303" t="s">
        <v>232</v>
      </c>
    </row>
    <row r="56585" spans="119:119" x14ac:dyDescent="0.2">
      <c r="DO56585" s="303" t="s">
        <v>232</v>
      </c>
    </row>
    <row r="56586" spans="119:119" x14ac:dyDescent="0.2">
      <c r="DO56586" s="303" t="s">
        <v>232</v>
      </c>
    </row>
    <row r="56587" spans="119:119" x14ac:dyDescent="0.2">
      <c r="DO56587" s="303" t="s">
        <v>232</v>
      </c>
    </row>
    <row r="56588" spans="119:119" x14ac:dyDescent="0.2">
      <c r="DO56588" s="303" t="s">
        <v>232</v>
      </c>
    </row>
    <row r="56589" spans="119:119" x14ac:dyDescent="0.2">
      <c r="DO56589" s="303" t="s">
        <v>232</v>
      </c>
    </row>
    <row r="56590" spans="119:119" x14ac:dyDescent="0.2">
      <c r="DO56590" s="303" t="s">
        <v>232</v>
      </c>
    </row>
    <row r="56591" spans="119:119" x14ac:dyDescent="0.2">
      <c r="DO56591" s="303" t="s">
        <v>232</v>
      </c>
    </row>
    <row r="56592" spans="119:119" x14ac:dyDescent="0.2">
      <c r="DO56592" s="303" t="s">
        <v>232</v>
      </c>
    </row>
    <row r="56593" spans="119:119" x14ac:dyDescent="0.2">
      <c r="DO56593" s="303" t="s">
        <v>232</v>
      </c>
    </row>
    <row r="56594" spans="119:119" x14ac:dyDescent="0.2">
      <c r="DO56594" s="303" t="s">
        <v>232</v>
      </c>
    </row>
    <row r="56595" spans="119:119" x14ac:dyDescent="0.2">
      <c r="DO56595" s="303" t="s">
        <v>232</v>
      </c>
    </row>
    <row r="56596" spans="119:119" x14ac:dyDescent="0.2">
      <c r="DO56596" s="303" t="s">
        <v>232</v>
      </c>
    </row>
    <row r="56597" spans="119:119" x14ac:dyDescent="0.2">
      <c r="DO56597" s="303" t="s">
        <v>232</v>
      </c>
    </row>
    <row r="56598" spans="119:119" x14ac:dyDescent="0.2">
      <c r="DO56598" s="303" t="s">
        <v>232</v>
      </c>
    </row>
    <row r="56599" spans="119:119" x14ac:dyDescent="0.2">
      <c r="DO56599" s="303" t="s">
        <v>232</v>
      </c>
    </row>
    <row r="56600" spans="119:119" x14ac:dyDescent="0.2">
      <c r="DO56600" s="303" t="s">
        <v>232</v>
      </c>
    </row>
    <row r="56601" spans="119:119" x14ac:dyDescent="0.2">
      <c r="DO56601" s="303" t="s">
        <v>232</v>
      </c>
    </row>
    <row r="56602" spans="119:119" x14ac:dyDescent="0.2">
      <c r="DO56602" s="303" t="s">
        <v>232</v>
      </c>
    </row>
    <row r="56603" spans="119:119" x14ac:dyDescent="0.2">
      <c r="DO56603" s="303" t="s">
        <v>232</v>
      </c>
    </row>
    <row r="56604" spans="119:119" x14ac:dyDescent="0.2">
      <c r="DO56604" s="303" t="s">
        <v>232</v>
      </c>
    </row>
    <row r="56605" spans="119:119" x14ac:dyDescent="0.2">
      <c r="DO56605" s="303" t="s">
        <v>232</v>
      </c>
    </row>
    <row r="56606" spans="119:119" x14ac:dyDescent="0.2">
      <c r="DO56606" s="303" t="s">
        <v>232</v>
      </c>
    </row>
    <row r="56607" spans="119:119" x14ac:dyDescent="0.2">
      <c r="DO56607" s="303" t="s">
        <v>232</v>
      </c>
    </row>
    <row r="56608" spans="119:119" x14ac:dyDescent="0.2">
      <c r="DO56608" s="303" t="s">
        <v>232</v>
      </c>
    </row>
    <row r="56609" spans="119:119" x14ac:dyDescent="0.2">
      <c r="DO56609" s="303" t="s">
        <v>232</v>
      </c>
    </row>
    <row r="56610" spans="119:119" x14ac:dyDescent="0.2">
      <c r="DO56610" s="303" t="s">
        <v>232</v>
      </c>
    </row>
    <row r="56611" spans="119:119" x14ac:dyDescent="0.2">
      <c r="DO56611" s="303" t="s">
        <v>232</v>
      </c>
    </row>
    <row r="56612" spans="119:119" x14ac:dyDescent="0.2">
      <c r="DO56612" s="303" t="s">
        <v>232</v>
      </c>
    </row>
    <row r="56613" spans="119:119" x14ac:dyDescent="0.2">
      <c r="DO56613" s="303" t="s">
        <v>232</v>
      </c>
    </row>
    <row r="56614" spans="119:119" x14ac:dyDescent="0.2">
      <c r="DO56614" s="303" t="s">
        <v>232</v>
      </c>
    </row>
    <row r="56615" spans="119:119" x14ac:dyDescent="0.2">
      <c r="DO56615" s="303" t="s">
        <v>232</v>
      </c>
    </row>
    <row r="56616" spans="119:119" x14ac:dyDescent="0.2">
      <c r="DO56616" s="303" t="s">
        <v>232</v>
      </c>
    </row>
    <row r="56617" spans="119:119" x14ac:dyDescent="0.2">
      <c r="DO56617" s="303" t="s">
        <v>232</v>
      </c>
    </row>
    <row r="56618" spans="119:119" x14ac:dyDescent="0.2">
      <c r="DO56618" s="303" t="s">
        <v>232</v>
      </c>
    </row>
    <row r="56619" spans="119:119" x14ac:dyDescent="0.2">
      <c r="DO56619" s="303" t="s">
        <v>232</v>
      </c>
    </row>
    <row r="56620" spans="119:119" x14ac:dyDescent="0.2">
      <c r="DO56620" s="303" t="s">
        <v>232</v>
      </c>
    </row>
    <row r="56621" spans="119:119" x14ac:dyDescent="0.2">
      <c r="DO56621" s="303" t="s">
        <v>232</v>
      </c>
    </row>
    <row r="56622" spans="119:119" x14ac:dyDescent="0.2">
      <c r="DO56622" s="303" t="s">
        <v>232</v>
      </c>
    </row>
    <row r="56623" spans="119:119" x14ac:dyDescent="0.2">
      <c r="DO56623" s="303" t="s">
        <v>232</v>
      </c>
    </row>
    <row r="56624" spans="119:119" x14ac:dyDescent="0.2">
      <c r="DO56624" s="303" t="s">
        <v>232</v>
      </c>
    </row>
    <row r="56625" spans="119:119" x14ac:dyDescent="0.2">
      <c r="DO56625" s="303" t="s">
        <v>232</v>
      </c>
    </row>
    <row r="56626" spans="119:119" x14ac:dyDescent="0.2">
      <c r="DO56626" s="303" t="s">
        <v>232</v>
      </c>
    </row>
    <row r="56627" spans="119:119" x14ac:dyDescent="0.2">
      <c r="DO56627" s="303" t="s">
        <v>232</v>
      </c>
    </row>
    <row r="56628" spans="119:119" x14ac:dyDescent="0.2">
      <c r="DO56628" s="303" t="s">
        <v>232</v>
      </c>
    </row>
    <row r="56629" spans="119:119" x14ac:dyDescent="0.2">
      <c r="DO56629" s="303" t="s">
        <v>232</v>
      </c>
    </row>
    <row r="56630" spans="119:119" x14ac:dyDescent="0.2">
      <c r="DO56630" s="303" t="s">
        <v>232</v>
      </c>
    </row>
    <row r="56631" spans="119:119" x14ac:dyDescent="0.2">
      <c r="DO56631" s="303" t="s">
        <v>232</v>
      </c>
    </row>
    <row r="56632" spans="119:119" x14ac:dyDescent="0.2">
      <c r="DO56632" s="303" t="s">
        <v>232</v>
      </c>
    </row>
    <row r="56633" spans="119:119" x14ac:dyDescent="0.2">
      <c r="DO56633" s="303" t="s">
        <v>232</v>
      </c>
    </row>
    <row r="56634" spans="119:119" x14ac:dyDescent="0.2">
      <c r="DO56634" s="303" t="s">
        <v>232</v>
      </c>
    </row>
    <row r="56635" spans="119:119" x14ac:dyDescent="0.2">
      <c r="DO56635" s="303" t="s">
        <v>232</v>
      </c>
    </row>
    <row r="56636" spans="119:119" x14ac:dyDescent="0.2">
      <c r="DO56636" s="303" t="s">
        <v>232</v>
      </c>
    </row>
    <row r="56637" spans="119:119" x14ac:dyDescent="0.2">
      <c r="DO56637" s="303" t="s">
        <v>232</v>
      </c>
    </row>
    <row r="56638" spans="119:119" x14ac:dyDescent="0.2">
      <c r="DO56638" s="303" t="s">
        <v>232</v>
      </c>
    </row>
    <row r="56639" spans="119:119" x14ac:dyDescent="0.2">
      <c r="DO56639" s="303" t="s">
        <v>232</v>
      </c>
    </row>
    <row r="56640" spans="119:119" x14ac:dyDescent="0.2">
      <c r="DO56640" s="303" t="s">
        <v>232</v>
      </c>
    </row>
    <row r="56641" spans="119:119" x14ac:dyDescent="0.2">
      <c r="DO56641" s="303" t="s">
        <v>232</v>
      </c>
    </row>
    <row r="56642" spans="119:119" x14ac:dyDescent="0.2">
      <c r="DO56642" s="303" t="s">
        <v>232</v>
      </c>
    </row>
    <row r="56643" spans="119:119" x14ac:dyDescent="0.2">
      <c r="DO56643" s="303" t="s">
        <v>232</v>
      </c>
    </row>
    <row r="56644" spans="119:119" x14ac:dyDescent="0.2">
      <c r="DO56644" s="303" t="s">
        <v>232</v>
      </c>
    </row>
    <row r="56645" spans="119:119" x14ac:dyDescent="0.2">
      <c r="DO56645" s="303" t="s">
        <v>232</v>
      </c>
    </row>
    <row r="56646" spans="119:119" x14ac:dyDescent="0.2">
      <c r="DO56646" s="303" t="s">
        <v>232</v>
      </c>
    </row>
    <row r="56647" spans="119:119" x14ac:dyDescent="0.2">
      <c r="DO56647" s="303" t="s">
        <v>232</v>
      </c>
    </row>
    <row r="56648" spans="119:119" x14ac:dyDescent="0.2">
      <c r="DO56648" s="303" t="s">
        <v>232</v>
      </c>
    </row>
    <row r="56649" spans="119:119" x14ac:dyDescent="0.2">
      <c r="DO56649" s="303" t="s">
        <v>232</v>
      </c>
    </row>
    <row r="56650" spans="119:119" x14ac:dyDescent="0.2">
      <c r="DO56650" s="303" t="s">
        <v>232</v>
      </c>
    </row>
    <row r="56651" spans="119:119" x14ac:dyDescent="0.2">
      <c r="DO56651" s="303" t="s">
        <v>232</v>
      </c>
    </row>
    <row r="56652" spans="119:119" x14ac:dyDescent="0.2">
      <c r="DO56652" s="303" t="s">
        <v>232</v>
      </c>
    </row>
    <row r="56653" spans="119:119" x14ac:dyDescent="0.2">
      <c r="DO56653" s="303" t="s">
        <v>232</v>
      </c>
    </row>
    <row r="56654" spans="119:119" x14ac:dyDescent="0.2">
      <c r="DO56654" s="303" t="s">
        <v>232</v>
      </c>
    </row>
    <row r="56655" spans="119:119" x14ac:dyDescent="0.2">
      <c r="DO56655" s="303" t="s">
        <v>232</v>
      </c>
    </row>
    <row r="56656" spans="119:119" x14ac:dyDescent="0.2">
      <c r="DO56656" s="303" t="s">
        <v>232</v>
      </c>
    </row>
    <row r="56657" spans="119:119" x14ac:dyDescent="0.2">
      <c r="DO56657" s="303" t="s">
        <v>232</v>
      </c>
    </row>
    <row r="56658" spans="119:119" x14ac:dyDescent="0.2">
      <c r="DO56658" s="303" t="s">
        <v>232</v>
      </c>
    </row>
    <row r="56659" spans="119:119" x14ac:dyDescent="0.2">
      <c r="DO56659" s="303" t="s">
        <v>232</v>
      </c>
    </row>
    <row r="56660" spans="119:119" x14ac:dyDescent="0.2">
      <c r="DO56660" s="303" t="s">
        <v>232</v>
      </c>
    </row>
    <row r="56661" spans="119:119" x14ac:dyDescent="0.2">
      <c r="DO56661" s="303" t="s">
        <v>232</v>
      </c>
    </row>
    <row r="56662" spans="119:119" x14ac:dyDescent="0.2">
      <c r="DO56662" s="303" t="s">
        <v>232</v>
      </c>
    </row>
    <row r="56663" spans="119:119" x14ac:dyDescent="0.2">
      <c r="DO56663" s="303" t="s">
        <v>232</v>
      </c>
    </row>
    <row r="56664" spans="119:119" x14ac:dyDescent="0.2">
      <c r="DO56664" s="303" t="s">
        <v>232</v>
      </c>
    </row>
    <row r="56665" spans="119:119" x14ac:dyDescent="0.2">
      <c r="DO56665" s="303" t="s">
        <v>232</v>
      </c>
    </row>
    <row r="56666" spans="119:119" x14ac:dyDescent="0.2">
      <c r="DO56666" s="303" t="s">
        <v>232</v>
      </c>
    </row>
    <row r="56667" spans="119:119" x14ac:dyDescent="0.2">
      <c r="DO56667" s="303" t="s">
        <v>232</v>
      </c>
    </row>
    <row r="56668" spans="119:119" x14ac:dyDescent="0.2">
      <c r="DO56668" s="303" t="s">
        <v>232</v>
      </c>
    </row>
    <row r="56669" spans="119:119" x14ac:dyDescent="0.2">
      <c r="DO56669" s="303" t="s">
        <v>232</v>
      </c>
    </row>
    <row r="56670" spans="119:119" x14ac:dyDescent="0.2">
      <c r="DO56670" s="303" t="s">
        <v>232</v>
      </c>
    </row>
    <row r="56671" spans="119:119" x14ac:dyDescent="0.2">
      <c r="DO56671" s="303" t="s">
        <v>232</v>
      </c>
    </row>
    <row r="56672" spans="119:119" x14ac:dyDescent="0.2">
      <c r="DO56672" s="303" t="s">
        <v>232</v>
      </c>
    </row>
    <row r="56673" spans="119:119" x14ac:dyDescent="0.2">
      <c r="DO56673" s="303" t="s">
        <v>232</v>
      </c>
    </row>
    <row r="56674" spans="119:119" x14ac:dyDescent="0.2">
      <c r="DO56674" s="303" t="s">
        <v>232</v>
      </c>
    </row>
    <row r="56675" spans="119:119" x14ac:dyDescent="0.2">
      <c r="DO56675" s="303" t="s">
        <v>232</v>
      </c>
    </row>
    <row r="56676" spans="119:119" x14ac:dyDescent="0.2">
      <c r="DO56676" s="303" t="s">
        <v>232</v>
      </c>
    </row>
    <row r="56677" spans="119:119" x14ac:dyDescent="0.2">
      <c r="DO56677" s="303" t="s">
        <v>232</v>
      </c>
    </row>
    <row r="56678" spans="119:119" x14ac:dyDescent="0.2">
      <c r="DO56678" s="303" t="s">
        <v>232</v>
      </c>
    </row>
    <row r="56679" spans="119:119" x14ac:dyDescent="0.2">
      <c r="DO56679" s="303" t="s">
        <v>232</v>
      </c>
    </row>
    <row r="56680" spans="119:119" x14ac:dyDescent="0.2">
      <c r="DO56680" s="303" t="s">
        <v>232</v>
      </c>
    </row>
    <row r="56681" spans="119:119" x14ac:dyDescent="0.2">
      <c r="DO56681" s="303" t="s">
        <v>232</v>
      </c>
    </row>
    <row r="56682" spans="119:119" x14ac:dyDescent="0.2">
      <c r="DO56682" s="303" t="s">
        <v>232</v>
      </c>
    </row>
    <row r="56683" spans="119:119" x14ac:dyDescent="0.2">
      <c r="DO56683" s="303" t="s">
        <v>232</v>
      </c>
    </row>
    <row r="56684" spans="119:119" x14ac:dyDescent="0.2">
      <c r="DO56684" s="303" t="s">
        <v>232</v>
      </c>
    </row>
    <row r="56685" spans="119:119" x14ac:dyDescent="0.2">
      <c r="DO56685" s="303" t="s">
        <v>232</v>
      </c>
    </row>
    <row r="56686" spans="119:119" x14ac:dyDescent="0.2">
      <c r="DO56686" s="303" t="s">
        <v>232</v>
      </c>
    </row>
    <row r="56687" spans="119:119" x14ac:dyDescent="0.2">
      <c r="DO56687" s="303" t="s">
        <v>232</v>
      </c>
    </row>
    <row r="56688" spans="119:119" x14ac:dyDescent="0.2">
      <c r="DO56688" s="303" t="s">
        <v>232</v>
      </c>
    </row>
    <row r="56689" spans="119:119" x14ac:dyDescent="0.2">
      <c r="DO56689" s="303" t="s">
        <v>232</v>
      </c>
    </row>
    <row r="56690" spans="119:119" x14ac:dyDescent="0.2">
      <c r="DO56690" s="303" t="s">
        <v>232</v>
      </c>
    </row>
    <row r="56691" spans="119:119" x14ac:dyDescent="0.2">
      <c r="DO56691" s="303" t="s">
        <v>232</v>
      </c>
    </row>
    <row r="56692" spans="119:119" x14ac:dyDescent="0.2">
      <c r="DO56692" s="303" t="s">
        <v>232</v>
      </c>
    </row>
    <row r="56693" spans="119:119" x14ac:dyDescent="0.2">
      <c r="DO56693" s="303" t="s">
        <v>232</v>
      </c>
    </row>
    <row r="56694" spans="119:119" x14ac:dyDescent="0.2">
      <c r="DO56694" s="303" t="s">
        <v>232</v>
      </c>
    </row>
    <row r="56695" spans="119:119" x14ac:dyDescent="0.2">
      <c r="DO56695" s="303" t="s">
        <v>232</v>
      </c>
    </row>
    <row r="56696" spans="119:119" x14ac:dyDescent="0.2">
      <c r="DO56696" s="303" t="s">
        <v>232</v>
      </c>
    </row>
    <row r="56697" spans="119:119" x14ac:dyDescent="0.2">
      <c r="DO56697" s="303" t="s">
        <v>232</v>
      </c>
    </row>
    <row r="56698" spans="119:119" x14ac:dyDescent="0.2">
      <c r="DO56698" s="303" t="s">
        <v>232</v>
      </c>
    </row>
    <row r="56699" spans="119:119" x14ac:dyDescent="0.2">
      <c r="DO56699" s="303" t="s">
        <v>232</v>
      </c>
    </row>
    <row r="56700" spans="119:119" x14ac:dyDescent="0.2">
      <c r="DO56700" s="303" t="s">
        <v>232</v>
      </c>
    </row>
    <row r="56701" spans="119:119" x14ac:dyDescent="0.2">
      <c r="DO56701" s="303" t="s">
        <v>232</v>
      </c>
    </row>
    <row r="56702" spans="119:119" x14ac:dyDescent="0.2">
      <c r="DO56702" s="303" t="s">
        <v>232</v>
      </c>
    </row>
    <row r="56703" spans="119:119" x14ac:dyDescent="0.2">
      <c r="DO56703" s="303" t="s">
        <v>232</v>
      </c>
    </row>
    <row r="56704" spans="119:119" x14ac:dyDescent="0.2">
      <c r="DO56704" s="303" t="s">
        <v>232</v>
      </c>
    </row>
    <row r="56705" spans="119:119" x14ac:dyDescent="0.2">
      <c r="DO56705" s="303" t="s">
        <v>232</v>
      </c>
    </row>
    <row r="56706" spans="119:119" x14ac:dyDescent="0.2">
      <c r="DO56706" s="303" t="s">
        <v>232</v>
      </c>
    </row>
    <row r="56707" spans="119:119" x14ac:dyDescent="0.2">
      <c r="DO56707" s="303" t="s">
        <v>232</v>
      </c>
    </row>
    <row r="56708" spans="119:119" x14ac:dyDescent="0.2">
      <c r="DO56708" s="303" t="s">
        <v>232</v>
      </c>
    </row>
    <row r="56709" spans="119:119" x14ac:dyDescent="0.2">
      <c r="DO56709" s="303" t="s">
        <v>232</v>
      </c>
    </row>
    <row r="56710" spans="119:119" x14ac:dyDescent="0.2">
      <c r="DO56710" s="303" t="s">
        <v>232</v>
      </c>
    </row>
    <row r="56711" spans="119:119" x14ac:dyDescent="0.2">
      <c r="DO56711" s="303" t="s">
        <v>232</v>
      </c>
    </row>
    <row r="56712" spans="119:119" x14ac:dyDescent="0.2">
      <c r="DO56712" s="303" t="s">
        <v>232</v>
      </c>
    </row>
    <row r="56713" spans="119:119" x14ac:dyDescent="0.2">
      <c r="DO56713" s="303" t="s">
        <v>232</v>
      </c>
    </row>
    <row r="56714" spans="119:119" x14ac:dyDescent="0.2">
      <c r="DO56714" s="303" t="s">
        <v>232</v>
      </c>
    </row>
    <row r="56715" spans="119:119" x14ac:dyDescent="0.2">
      <c r="DO56715" s="303" t="s">
        <v>232</v>
      </c>
    </row>
    <row r="56716" spans="119:119" x14ac:dyDescent="0.2">
      <c r="DO56716" s="303" t="s">
        <v>232</v>
      </c>
    </row>
    <row r="56717" spans="119:119" x14ac:dyDescent="0.2">
      <c r="DO56717" s="303" t="s">
        <v>232</v>
      </c>
    </row>
    <row r="56718" spans="119:119" x14ac:dyDescent="0.2">
      <c r="DO56718" s="303" t="s">
        <v>232</v>
      </c>
    </row>
    <row r="56719" spans="119:119" x14ac:dyDescent="0.2">
      <c r="DO56719" s="303" t="s">
        <v>232</v>
      </c>
    </row>
    <row r="56720" spans="119:119" x14ac:dyDescent="0.2">
      <c r="DO56720" s="303" t="s">
        <v>232</v>
      </c>
    </row>
    <row r="56721" spans="119:119" x14ac:dyDescent="0.2">
      <c r="DO56721" s="303" t="s">
        <v>232</v>
      </c>
    </row>
    <row r="56722" spans="119:119" x14ac:dyDescent="0.2">
      <c r="DO56722" s="303" t="s">
        <v>232</v>
      </c>
    </row>
    <row r="56723" spans="119:119" x14ac:dyDescent="0.2">
      <c r="DO56723" s="303" t="s">
        <v>232</v>
      </c>
    </row>
    <row r="56724" spans="119:119" x14ac:dyDescent="0.2">
      <c r="DO56724" s="303" t="s">
        <v>232</v>
      </c>
    </row>
    <row r="56725" spans="119:119" x14ac:dyDescent="0.2">
      <c r="DO56725" s="303" t="s">
        <v>232</v>
      </c>
    </row>
    <row r="56726" spans="119:119" x14ac:dyDescent="0.2">
      <c r="DO56726" s="303" t="s">
        <v>232</v>
      </c>
    </row>
    <row r="56727" spans="119:119" x14ac:dyDescent="0.2">
      <c r="DO56727" s="303" t="s">
        <v>232</v>
      </c>
    </row>
    <row r="56728" spans="119:119" x14ac:dyDescent="0.2">
      <c r="DO56728" s="303" t="s">
        <v>232</v>
      </c>
    </row>
    <row r="56729" spans="119:119" x14ac:dyDescent="0.2">
      <c r="DO56729" s="303" t="s">
        <v>232</v>
      </c>
    </row>
    <row r="56730" spans="119:119" x14ac:dyDescent="0.2">
      <c r="DO56730" s="303" t="s">
        <v>232</v>
      </c>
    </row>
    <row r="56731" spans="119:119" x14ac:dyDescent="0.2">
      <c r="DO56731" s="303" t="s">
        <v>232</v>
      </c>
    </row>
    <row r="56732" spans="119:119" x14ac:dyDescent="0.2">
      <c r="DO56732" s="303" t="s">
        <v>232</v>
      </c>
    </row>
    <row r="56733" spans="119:119" x14ac:dyDescent="0.2">
      <c r="DO56733" s="303" t="s">
        <v>232</v>
      </c>
    </row>
    <row r="56734" spans="119:119" x14ac:dyDescent="0.2">
      <c r="DO56734" s="303" t="s">
        <v>232</v>
      </c>
    </row>
    <row r="56735" spans="119:119" x14ac:dyDescent="0.2">
      <c r="DO56735" s="303" t="s">
        <v>232</v>
      </c>
    </row>
    <row r="56736" spans="119:119" x14ac:dyDescent="0.2">
      <c r="DO56736" s="303" t="s">
        <v>232</v>
      </c>
    </row>
    <row r="56737" spans="119:119" x14ac:dyDescent="0.2">
      <c r="DO56737" s="303" t="s">
        <v>232</v>
      </c>
    </row>
    <row r="56738" spans="119:119" x14ac:dyDescent="0.2">
      <c r="DO56738" s="303" t="s">
        <v>232</v>
      </c>
    </row>
    <row r="56739" spans="119:119" x14ac:dyDescent="0.2">
      <c r="DO56739" s="303" t="s">
        <v>232</v>
      </c>
    </row>
    <row r="56740" spans="119:119" x14ac:dyDescent="0.2">
      <c r="DO56740" s="303" t="s">
        <v>232</v>
      </c>
    </row>
    <row r="56741" spans="119:119" x14ac:dyDescent="0.2">
      <c r="DO56741" s="303" t="s">
        <v>232</v>
      </c>
    </row>
    <row r="56742" spans="119:119" x14ac:dyDescent="0.2">
      <c r="DO56742" s="303" t="s">
        <v>232</v>
      </c>
    </row>
    <row r="56743" spans="119:119" x14ac:dyDescent="0.2">
      <c r="DO56743" s="303" t="s">
        <v>232</v>
      </c>
    </row>
    <row r="56744" spans="119:119" x14ac:dyDescent="0.2">
      <c r="DO56744" s="303" t="s">
        <v>232</v>
      </c>
    </row>
    <row r="56745" spans="119:119" x14ac:dyDescent="0.2">
      <c r="DO56745" s="303" t="s">
        <v>232</v>
      </c>
    </row>
    <row r="56746" spans="119:119" x14ac:dyDescent="0.2">
      <c r="DO56746" s="303" t="s">
        <v>232</v>
      </c>
    </row>
    <row r="56747" spans="119:119" x14ac:dyDescent="0.2">
      <c r="DO56747" s="303" t="s">
        <v>232</v>
      </c>
    </row>
    <row r="56748" spans="119:119" x14ac:dyDescent="0.2">
      <c r="DO56748" s="303" t="s">
        <v>232</v>
      </c>
    </row>
    <row r="56749" spans="119:119" x14ac:dyDescent="0.2">
      <c r="DO56749" s="303" t="s">
        <v>232</v>
      </c>
    </row>
    <row r="56750" spans="119:119" x14ac:dyDescent="0.2">
      <c r="DO56750" s="303" t="s">
        <v>232</v>
      </c>
    </row>
    <row r="56751" spans="119:119" x14ac:dyDescent="0.2">
      <c r="DO56751" s="303" t="s">
        <v>232</v>
      </c>
    </row>
    <row r="56752" spans="119:119" x14ac:dyDescent="0.2">
      <c r="DO56752" s="303" t="s">
        <v>232</v>
      </c>
    </row>
    <row r="56753" spans="119:119" x14ac:dyDescent="0.2">
      <c r="DO56753" s="303" t="s">
        <v>232</v>
      </c>
    </row>
    <row r="56754" spans="119:119" x14ac:dyDescent="0.2">
      <c r="DO56754" s="303" t="s">
        <v>232</v>
      </c>
    </row>
    <row r="56755" spans="119:119" x14ac:dyDescent="0.2">
      <c r="DO56755" s="303" t="s">
        <v>232</v>
      </c>
    </row>
    <row r="56756" spans="119:119" x14ac:dyDescent="0.2">
      <c r="DO56756" s="303" t="s">
        <v>232</v>
      </c>
    </row>
    <row r="56757" spans="119:119" x14ac:dyDescent="0.2">
      <c r="DO56757" s="303" t="s">
        <v>232</v>
      </c>
    </row>
    <row r="56758" spans="119:119" x14ac:dyDescent="0.2">
      <c r="DO56758" s="303" t="s">
        <v>232</v>
      </c>
    </row>
    <row r="56759" spans="119:119" x14ac:dyDescent="0.2">
      <c r="DO56759" s="303" t="s">
        <v>232</v>
      </c>
    </row>
    <row r="56760" spans="119:119" x14ac:dyDescent="0.2">
      <c r="DO56760" s="303" t="s">
        <v>232</v>
      </c>
    </row>
    <row r="56761" spans="119:119" x14ac:dyDescent="0.2">
      <c r="DO56761" s="303" t="s">
        <v>232</v>
      </c>
    </row>
    <row r="56762" spans="119:119" x14ac:dyDescent="0.2">
      <c r="DO56762" s="303" t="s">
        <v>232</v>
      </c>
    </row>
    <row r="56763" spans="119:119" x14ac:dyDescent="0.2">
      <c r="DO56763" s="303" t="s">
        <v>232</v>
      </c>
    </row>
    <row r="56764" spans="119:119" x14ac:dyDescent="0.2">
      <c r="DO56764" s="303" t="s">
        <v>232</v>
      </c>
    </row>
    <row r="56765" spans="119:119" x14ac:dyDescent="0.2">
      <c r="DO56765" s="303" t="s">
        <v>232</v>
      </c>
    </row>
    <row r="56766" spans="119:119" x14ac:dyDescent="0.2">
      <c r="DO56766" s="303" t="s">
        <v>232</v>
      </c>
    </row>
    <row r="56767" spans="119:119" x14ac:dyDescent="0.2">
      <c r="DO56767" s="303" t="s">
        <v>232</v>
      </c>
    </row>
    <row r="56768" spans="119:119" x14ac:dyDescent="0.2">
      <c r="DO56768" s="303" t="s">
        <v>232</v>
      </c>
    </row>
    <row r="56769" spans="119:119" x14ac:dyDescent="0.2">
      <c r="DO56769" s="303" t="s">
        <v>232</v>
      </c>
    </row>
    <row r="56770" spans="119:119" x14ac:dyDescent="0.2">
      <c r="DO56770" s="303" t="s">
        <v>232</v>
      </c>
    </row>
    <row r="56771" spans="119:119" x14ac:dyDescent="0.2">
      <c r="DO56771" s="303" t="s">
        <v>232</v>
      </c>
    </row>
    <row r="56772" spans="119:119" x14ac:dyDescent="0.2">
      <c r="DO56772" s="303" t="s">
        <v>232</v>
      </c>
    </row>
    <row r="56773" spans="119:119" x14ac:dyDescent="0.2">
      <c r="DO56773" s="303" t="s">
        <v>232</v>
      </c>
    </row>
    <row r="56774" spans="119:119" x14ac:dyDescent="0.2">
      <c r="DO56774" s="303" t="s">
        <v>232</v>
      </c>
    </row>
    <row r="56775" spans="119:119" x14ac:dyDescent="0.2">
      <c r="DO56775" s="303" t="s">
        <v>232</v>
      </c>
    </row>
    <row r="56776" spans="119:119" x14ac:dyDescent="0.2">
      <c r="DO56776" s="303" t="s">
        <v>232</v>
      </c>
    </row>
    <row r="56777" spans="119:119" x14ac:dyDescent="0.2">
      <c r="DO56777" s="303" t="s">
        <v>232</v>
      </c>
    </row>
    <row r="56778" spans="119:119" x14ac:dyDescent="0.2">
      <c r="DO56778" s="303" t="s">
        <v>232</v>
      </c>
    </row>
    <row r="56779" spans="119:119" x14ac:dyDescent="0.2">
      <c r="DO56779" s="303" t="s">
        <v>232</v>
      </c>
    </row>
    <row r="56780" spans="119:119" x14ac:dyDescent="0.2">
      <c r="DO56780" s="303" t="s">
        <v>232</v>
      </c>
    </row>
    <row r="56781" spans="119:119" x14ac:dyDescent="0.2">
      <c r="DO56781" s="303" t="s">
        <v>232</v>
      </c>
    </row>
    <row r="56782" spans="119:119" x14ac:dyDescent="0.2">
      <c r="DO56782" s="303" t="s">
        <v>232</v>
      </c>
    </row>
    <row r="56783" spans="119:119" x14ac:dyDescent="0.2">
      <c r="DO56783" s="303" t="s">
        <v>232</v>
      </c>
    </row>
    <row r="56784" spans="119:119" x14ac:dyDescent="0.2">
      <c r="DO56784" s="303" t="s">
        <v>232</v>
      </c>
    </row>
    <row r="56785" spans="119:119" x14ac:dyDescent="0.2">
      <c r="DO56785" s="303" t="s">
        <v>232</v>
      </c>
    </row>
    <row r="56786" spans="119:119" x14ac:dyDescent="0.2">
      <c r="DO56786" s="303" t="s">
        <v>232</v>
      </c>
    </row>
    <row r="56787" spans="119:119" x14ac:dyDescent="0.2">
      <c r="DO56787" s="303" t="s">
        <v>232</v>
      </c>
    </row>
    <row r="56788" spans="119:119" x14ac:dyDescent="0.2">
      <c r="DO56788" s="303" t="s">
        <v>232</v>
      </c>
    </row>
    <row r="56789" spans="119:119" x14ac:dyDescent="0.2">
      <c r="DO56789" s="303" t="s">
        <v>232</v>
      </c>
    </row>
    <row r="56790" spans="119:119" x14ac:dyDescent="0.2">
      <c r="DO56790" s="303" t="s">
        <v>232</v>
      </c>
    </row>
    <row r="56791" spans="119:119" x14ac:dyDescent="0.2">
      <c r="DO56791" s="303" t="s">
        <v>232</v>
      </c>
    </row>
    <row r="56792" spans="119:119" x14ac:dyDescent="0.2">
      <c r="DO56792" s="303" t="s">
        <v>232</v>
      </c>
    </row>
    <row r="56793" spans="119:119" x14ac:dyDescent="0.2">
      <c r="DO56793" s="303" t="s">
        <v>232</v>
      </c>
    </row>
    <row r="56794" spans="119:119" x14ac:dyDescent="0.2">
      <c r="DO56794" s="303" t="s">
        <v>232</v>
      </c>
    </row>
    <row r="56795" spans="119:119" x14ac:dyDescent="0.2">
      <c r="DO56795" s="303" t="s">
        <v>232</v>
      </c>
    </row>
    <row r="56796" spans="119:119" x14ac:dyDescent="0.2">
      <c r="DO56796" s="303" t="s">
        <v>232</v>
      </c>
    </row>
    <row r="56797" spans="119:119" x14ac:dyDescent="0.2">
      <c r="DO56797" s="303" t="s">
        <v>232</v>
      </c>
    </row>
    <row r="56798" spans="119:119" x14ac:dyDescent="0.2">
      <c r="DO56798" s="303" t="s">
        <v>232</v>
      </c>
    </row>
    <row r="56799" spans="119:119" x14ac:dyDescent="0.2">
      <c r="DO56799" s="303" t="s">
        <v>232</v>
      </c>
    </row>
    <row r="56800" spans="119:119" x14ac:dyDescent="0.2">
      <c r="DO56800" s="303" t="s">
        <v>232</v>
      </c>
    </row>
    <row r="56801" spans="119:119" x14ac:dyDescent="0.2">
      <c r="DO56801" s="303" t="s">
        <v>232</v>
      </c>
    </row>
    <row r="56802" spans="119:119" x14ac:dyDescent="0.2">
      <c r="DO56802" s="303" t="s">
        <v>232</v>
      </c>
    </row>
    <row r="56803" spans="119:119" x14ac:dyDescent="0.2">
      <c r="DO56803" s="303" t="s">
        <v>232</v>
      </c>
    </row>
    <row r="56804" spans="119:119" x14ac:dyDescent="0.2">
      <c r="DO56804" s="303" t="s">
        <v>232</v>
      </c>
    </row>
    <row r="56805" spans="119:119" x14ac:dyDescent="0.2">
      <c r="DO56805" s="303" t="s">
        <v>232</v>
      </c>
    </row>
    <row r="56806" spans="119:119" x14ac:dyDescent="0.2">
      <c r="DO56806" s="303" t="s">
        <v>232</v>
      </c>
    </row>
    <row r="56807" spans="119:119" x14ac:dyDescent="0.2">
      <c r="DO56807" s="303" t="s">
        <v>232</v>
      </c>
    </row>
    <row r="56808" spans="119:119" x14ac:dyDescent="0.2">
      <c r="DO56808" s="303" t="s">
        <v>232</v>
      </c>
    </row>
    <row r="56809" spans="119:119" x14ac:dyDescent="0.2">
      <c r="DO56809" s="303" t="s">
        <v>232</v>
      </c>
    </row>
    <row r="56810" spans="119:119" x14ac:dyDescent="0.2">
      <c r="DO56810" s="303" t="s">
        <v>232</v>
      </c>
    </row>
    <row r="56811" spans="119:119" x14ac:dyDescent="0.2">
      <c r="DO56811" s="303" t="s">
        <v>232</v>
      </c>
    </row>
    <row r="56812" spans="119:119" x14ac:dyDescent="0.2">
      <c r="DO56812" s="303" t="s">
        <v>232</v>
      </c>
    </row>
    <row r="56813" spans="119:119" x14ac:dyDescent="0.2">
      <c r="DO56813" s="303" t="s">
        <v>232</v>
      </c>
    </row>
    <row r="56814" spans="119:119" x14ac:dyDescent="0.2">
      <c r="DO56814" s="303" t="s">
        <v>232</v>
      </c>
    </row>
    <row r="56815" spans="119:119" x14ac:dyDescent="0.2">
      <c r="DO56815" s="303" t="s">
        <v>232</v>
      </c>
    </row>
    <row r="56816" spans="119:119" x14ac:dyDescent="0.2">
      <c r="DO56816" s="303" t="s">
        <v>232</v>
      </c>
    </row>
    <row r="56817" spans="119:119" x14ac:dyDescent="0.2">
      <c r="DO56817" s="303" t="s">
        <v>232</v>
      </c>
    </row>
    <row r="56818" spans="119:119" x14ac:dyDescent="0.2">
      <c r="DO56818" s="303" t="s">
        <v>232</v>
      </c>
    </row>
    <row r="56819" spans="119:119" x14ac:dyDescent="0.2">
      <c r="DO56819" s="303" t="s">
        <v>232</v>
      </c>
    </row>
    <row r="56820" spans="119:119" x14ac:dyDescent="0.2">
      <c r="DO56820" s="303" t="s">
        <v>232</v>
      </c>
    </row>
    <row r="56821" spans="119:119" x14ac:dyDescent="0.2">
      <c r="DO56821" s="303" t="s">
        <v>232</v>
      </c>
    </row>
    <row r="56822" spans="119:119" x14ac:dyDescent="0.2">
      <c r="DO56822" s="303" t="s">
        <v>232</v>
      </c>
    </row>
    <row r="56823" spans="119:119" x14ac:dyDescent="0.2">
      <c r="DO56823" s="303" t="s">
        <v>232</v>
      </c>
    </row>
    <row r="56824" spans="119:119" x14ac:dyDescent="0.2">
      <c r="DO56824" s="303" t="s">
        <v>232</v>
      </c>
    </row>
    <row r="56825" spans="119:119" x14ac:dyDescent="0.2">
      <c r="DO56825" s="303" t="s">
        <v>232</v>
      </c>
    </row>
    <row r="56826" spans="119:119" x14ac:dyDescent="0.2">
      <c r="DO56826" s="303" t="s">
        <v>232</v>
      </c>
    </row>
    <row r="56827" spans="119:119" x14ac:dyDescent="0.2">
      <c r="DO56827" s="303" t="s">
        <v>232</v>
      </c>
    </row>
    <row r="56828" spans="119:119" x14ac:dyDescent="0.2">
      <c r="DO56828" s="303" t="s">
        <v>232</v>
      </c>
    </row>
    <row r="56829" spans="119:119" x14ac:dyDescent="0.2">
      <c r="DO56829" s="303" t="s">
        <v>232</v>
      </c>
    </row>
    <row r="56830" spans="119:119" x14ac:dyDescent="0.2">
      <c r="DO56830" s="303" t="s">
        <v>232</v>
      </c>
    </row>
    <row r="56831" spans="119:119" x14ac:dyDescent="0.2">
      <c r="DO56831" s="303" t="s">
        <v>232</v>
      </c>
    </row>
    <row r="56832" spans="119:119" x14ac:dyDescent="0.2">
      <c r="DO56832" s="303" t="s">
        <v>232</v>
      </c>
    </row>
    <row r="56833" spans="119:119" x14ac:dyDescent="0.2">
      <c r="DO56833" s="303" t="s">
        <v>232</v>
      </c>
    </row>
    <row r="56834" spans="119:119" x14ac:dyDescent="0.2">
      <c r="DO56834" s="303" t="s">
        <v>232</v>
      </c>
    </row>
    <row r="56835" spans="119:119" x14ac:dyDescent="0.2">
      <c r="DO56835" s="303" t="s">
        <v>232</v>
      </c>
    </row>
    <row r="56836" spans="119:119" x14ac:dyDescent="0.2">
      <c r="DO56836" s="303" t="s">
        <v>232</v>
      </c>
    </row>
    <row r="56837" spans="119:119" x14ac:dyDescent="0.2">
      <c r="DO56837" s="303" t="s">
        <v>232</v>
      </c>
    </row>
    <row r="56838" spans="119:119" x14ac:dyDescent="0.2">
      <c r="DO56838" s="303" t="s">
        <v>232</v>
      </c>
    </row>
    <row r="56839" spans="119:119" x14ac:dyDescent="0.2">
      <c r="DO56839" s="303" t="s">
        <v>232</v>
      </c>
    </row>
    <row r="56840" spans="119:119" x14ac:dyDescent="0.2">
      <c r="DO56840" s="303" t="s">
        <v>232</v>
      </c>
    </row>
    <row r="56841" spans="119:119" x14ac:dyDescent="0.2">
      <c r="DO56841" s="303" t="s">
        <v>232</v>
      </c>
    </row>
    <row r="56842" spans="119:119" x14ac:dyDescent="0.2">
      <c r="DO56842" s="303" t="s">
        <v>232</v>
      </c>
    </row>
    <row r="56843" spans="119:119" x14ac:dyDescent="0.2">
      <c r="DO56843" s="303" t="s">
        <v>232</v>
      </c>
    </row>
    <row r="56844" spans="119:119" x14ac:dyDescent="0.2">
      <c r="DO56844" s="303" t="s">
        <v>232</v>
      </c>
    </row>
    <row r="56845" spans="119:119" x14ac:dyDescent="0.2">
      <c r="DO56845" s="303" t="s">
        <v>232</v>
      </c>
    </row>
    <row r="56846" spans="119:119" x14ac:dyDescent="0.2">
      <c r="DO56846" s="303" t="s">
        <v>232</v>
      </c>
    </row>
    <row r="56847" spans="119:119" x14ac:dyDescent="0.2">
      <c r="DO56847" s="303" t="s">
        <v>232</v>
      </c>
    </row>
    <row r="56848" spans="119:119" x14ac:dyDescent="0.2">
      <c r="DO56848" s="303" t="s">
        <v>232</v>
      </c>
    </row>
    <row r="56849" spans="119:119" x14ac:dyDescent="0.2">
      <c r="DO56849" s="303" t="s">
        <v>232</v>
      </c>
    </row>
    <row r="56850" spans="119:119" x14ac:dyDescent="0.2">
      <c r="DO56850" s="303" t="s">
        <v>232</v>
      </c>
    </row>
    <row r="56851" spans="119:119" x14ac:dyDescent="0.2">
      <c r="DO56851" s="303" t="s">
        <v>232</v>
      </c>
    </row>
    <row r="56852" spans="119:119" x14ac:dyDescent="0.2">
      <c r="DO56852" s="303" t="s">
        <v>232</v>
      </c>
    </row>
    <row r="56853" spans="119:119" x14ac:dyDescent="0.2">
      <c r="DO56853" s="303" t="s">
        <v>232</v>
      </c>
    </row>
    <row r="56854" spans="119:119" x14ac:dyDescent="0.2">
      <c r="DO56854" s="303" t="s">
        <v>232</v>
      </c>
    </row>
    <row r="56855" spans="119:119" x14ac:dyDescent="0.2">
      <c r="DO56855" s="303" t="s">
        <v>232</v>
      </c>
    </row>
    <row r="56856" spans="119:119" x14ac:dyDescent="0.2">
      <c r="DO56856" s="303" t="s">
        <v>232</v>
      </c>
    </row>
    <row r="56857" spans="119:119" x14ac:dyDescent="0.2">
      <c r="DO56857" s="303" t="s">
        <v>232</v>
      </c>
    </row>
    <row r="56858" spans="119:119" x14ac:dyDescent="0.2">
      <c r="DO56858" s="303" t="s">
        <v>232</v>
      </c>
    </row>
    <row r="56859" spans="119:119" x14ac:dyDescent="0.2">
      <c r="DO56859" s="303" t="s">
        <v>232</v>
      </c>
    </row>
    <row r="56860" spans="119:119" x14ac:dyDescent="0.2">
      <c r="DO56860" s="303" t="s">
        <v>232</v>
      </c>
    </row>
    <row r="56861" spans="119:119" x14ac:dyDescent="0.2">
      <c r="DO56861" s="303" t="s">
        <v>232</v>
      </c>
    </row>
    <row r="56862" spans="119:119" x14ac:dyDescent="0.2">
      <c r="DO56862" s="303" t="s">
        <v>232</v>
      </c>
    </row>
    <row r="56863" spans="119:119" x14ac:dyDescent="0.2">
      <c r="DO56863" s="303" t="s">
        <v>232</v>
      </c>
    </row>
    <row r="56864" spans="119:119" x14ac:dyDescent="0.2">
      <c r="DO56864" s="303" t="s">
        <v>232</v>
      </c>
    </row>
    <row r="56865" spans="119:119" x14ac:dyDescent="0.2">
      <c r="DO56865" s="303" t="s">
        <v>232</v>
      </c>
    </row>
    <row r="56866" spans="119:119" x14ac:dyDescent="0.2">
      <c r="DO56866" s="303" t="s">
        <v>232</v>
      </c>
    </row>
    <row r="56867" spans="119:119" x14ac:dyDescent="0.2">
      <c r="DO56867" s="303" t="s">
        <v>232</v>
      </c>
    </row>
    <row r="56868" spans="119:119" x14ac:dyDescent="0.2">
      <c r="DO56868" s="303" t="s">
        <v>232</v>
      </c>
    </row>
    <row r="56869" spans="119:119" x14ac:dyDescent="0.2">
      <c r="DO56869" s="303" t="s">
        <v>232</v>
      </c>
    </row>
    <row r="56870" spans="119:119" x14ac:dyDescent="0.2">
      <c r="DO56870" s="303" t="s">
        <v>232</v>
      </c>
    </row>
    <row r="56871" spans="119:119" x14ac:dyDescent="0.2">
      <c r="DO56871" s="303" t="s">
        <v>232</v>
      </c>
    </row>
    <row r="56872" spans="119:119" x14ac:dyDescent="0.2">
      <c r="DO56872" s="303" t="s">
        <v>232</v>
      </c>
    </row>
    <row r="56873" spans="119:119" x14ac:dyDescent="0.2">
      <c r="DO56873" s="303" t="s">
        <v>232</v>
      </c>
    </row>
    <row r="56874" spans="119:119" x14ac:dyDescent="0.2">
      <c r="DO56874" s="303" t="s">
        <v>232</v>
      </c>
    </row>
    <row r="56875" spans="119:119" x14ac:dyDescent="0.2">
      <c r="DO56875" s="303" t="s">
        <v>232</v>
      </c>
    </row>
    <row r="56876" spans="119:119" x14ac:dyDescent="0.2">
      <c r="DO56876" s="303" t="s">
        <v>232</v>
      </c>
    </row>
    <row r="56877" spans="119:119" x14ac:dyDescent="0.2">
      <c r="DO56877" s="303" t="s">
        <v>232</v>
      </c>
    </row>
    <row r="56878" spans="119:119" x14ac:dyDescent="0.2">
      <c r="DO56878" s="303" t="s">
        <v>232</v>
      </c>
    </row>
    <row r="56879" spans="119:119" x14ac:dyDescent="0.2">
      <c r="DO56879" s="303" t="s">
        <v>232</v>
      </c>
    </row>
    <row r="56880" spans="119:119" x14ac:dyDescent="0.2">
      <c r="DO56880" s="303" t="s">
        <v>232</v>
      </c>
    </row>
    <row r="56881" spans="119:119" x14ac:dyDescent="0.2">
      <c r="DO56881" s="303" t="s">
        <v>232</v>
      </c>
    </row>
    <row r="56882" spans="119:119" x14ac:dyDescent="0.2">
      <c r="DO56882" s="303" t="s">
        <v>232</v>
      </c>
    </row>
    <row r="56883" spans="119:119" x14ac:dyDescent="0.2">
      <c r="DO56883" s="303" t="s">
        <v>232</v>
      </c>
    </row>
    <row r="56884" spans="119:119" x14ac:dyDescent="0.2">
      <c r="DO56884" s="303" t="s">
        <v>232</v>
      </c>
    </row>
    <row r="56885" spans="119:119" x14ac:dyDescent="0.2">
      <c r="DO56885" s="303" t="s">
        <v>232</v>
      </c>
    </row>
    <row r="56886" spans="119:119" x14ac:dyDescent="0.2">
      <c r="DO56886" s="303" t="s">
        <v>232</v>
      </c>
    </row>
    <row r="56887" spans="119:119" x14ac:dyDescent="0.2">
      <c r="DO56887" s="303" t="s">
        <v>232</v>
      </c>
    </row>
    <row r="56888" spans="119:119" x14ac:dyDescent="0.2">
      <c r="DO56888" s="303" t="s">
        <v>232</v>
      </c>
    </row>
    <row r="56889" spans="119:119" x14ac:dyDescent="0.2">
      <c r="DO56889" s="303" t="s">
        <v>232</v>
      </c>
    </row>
    <row r="56890" spans="119:119" x14ac:dyDescent="0.2">
      <c r="DO56890" s="303" t="s">
        <v>232</v>
      </c>
    </row>
    <row r="56891" spans="119:119" x14ac:dyDescent="0.2">
      <c r="DO56891" s="303" t="s">
        <v>232</v>
      </c>
    </row>
    <row r="56892" spans="119:119" x14ac:dyDescent="0.2">
      <c r="DO56892" s="303" t="s">
        <v>232</v>
      </c>
    </row>
    <row r="56893" spans="119:119" x14ac:dyDescent="0.2">
      <c r="DO56893" s="303" t="s">
        <v>232</v>
      </c>
    </row>
    <row r="56894" spans="119:119" x14ac:dyDescent="0.2">
      <c r="DO56894" s="303" t="s">
        <v>232</v>
      </c>
    </row>
    <row r="56895" spans="119:119" x14ac:dyDescent="0.2">
      <c r="DO56895" s="303" t="s">
        <v>232</v>
      </c>
    </row>
    <row r="56896" spans="119:119" x14ac:dyDescent="0.2">
      <c r="DO56896" s="303" t="s">
        <v>232</v>
      </c>
    </row>
    <row r="56897" spans="119:119" x14ac:dyDescent="0.2">
      <c r="DO56897" s="303" t="s">
        <v>232</v>
      </c>
    </row>
    <row r="56898" spans="119:119" x14ac:dyDescent="0.2">
      <c r="DO56898" s="303" t="s">
        <v>232</v>
      </c>
    </row>
    <row r="56899" spans="119:119" x14ac:dyDescent="0.2">
      <c r="DO56899" s="303" t="s">
        <v>232</v>
      </c>
    </row>
    <row r="56900" spans="119:119" x14ac:dyDescent="0.2">
      <c r="DO56900" s="303" t="s">
        <v>232</v>
      </c>
    </row>
    <row r="56901" spans="119:119" x14ac:dyDescent="0.2">
      <c r="DO56901" s="303" t="s">
        <v>232</v>
      </c>
    </row>
    <row r="56902" spans="119:119" x14ac:dyDescent="0.2">
      <c r="DO56902" s="303" t="s">
        <v>232</v>
      </c>
    </row>
    <row r="56903" spans="119:119" x14ac:dyDescent="0.2">
      <c r="DO56903" s="303" t="s">
        <v>232</v>
      </c>
    </row>
    <row r="56904" spans="119:119" x14ac:dyDescent="0.2">
      <c r="DO56904" s="303" t="s">
        <v>232</v>
      </c>
    </row>
    <row r="56905" spans="119:119" x14ac:dyDescent="0.2">
      <c r="DO56905" s="303" t="s">
        <v>232</v>
      </c>
    </row>
    <row r="56906" spans="119:119" x14ac:dyDescent="0.2">
      <c r="DO56906" s="303" t="s">
        <v>232</v>
      </c>
    </row>
    <row r="56907" spans="119:119" x14ac:dyDescent="0.2">
      <c r="DO56907" s="303" t="s">
        <v>232</v>
      </c>
    </row>
    <row r="56908" spans="119:119" x14ac:dyDescent="0.2">
      <c r="DO56908" s="303" t="s">
        <v>232</v>
      </c>
    </row>
    <row r="56909" spans="119:119" x14ac:dyDescent="0.2">
      <c r="DO56909" s="303" t="s">
        <v>232</v>
      </c>
    </row>
    <row r="56910" spans="119:119" x14ac:dyDescent="0.2">
      <c r="DO56910" s="303" t="s">
        <v>232</v>
      </c>
    </row>
    <row r="56911" spans="119:119" x14ac:dyDescent="0.2">
      <c r="DO56911" s="303" t="s">
        <v>232</v>
      </c>
    </row>
    <row r="56912" spans="119:119" x14ac:dyDescent="0.2">
      <c r="DO56912" s="303" t="s">
        <v>232</v>
      </c>
    </row>
    <row r="56913" spans="119:119" x14ac:dyDescent="0.2">
      <c r="DO56913" s="303" t="s">
        <v>232</v>
      </c>
    </row>
    <row r="56914" spans="119:119" x14ac:dyDescent="0.2">
      <c r="DO56914" s="303" t="s">
        <v>232</v>
      </c>
    </row>
    <row r="56915" spans="119:119" x14ac:dyDescent="0.2">
      <c r="DO56915" s="303" t="s">
        <v>232</v>
      </c>
    </row>
    <row r="56916" spans="119:119" x14ac:dyDescent="0.2">
      <c r="DO56916" s="303" t="s">
        <v>232</v>
      </c>
    </row>
    <row r="56917" spans="119:119" x14ac:dyDescent="0.2">
      <c r="DO56917" s="303" t="s">
        <v>232</v>
      </c>
    </row>
    <row r="56918" spans="119:119" x14ac:dyDescent="0.2">
      <c r="DO56918" s="303" t="s">
        <v>232</v>
      </c>
    </row>
    <row r="56919" spans="119:119" x14ac:dyDescent="0.2">
      <c r="DO56919" s="303" t="s">
        <v>232</v>
      </c>
    </row>
    <row r="56920" spans="119:119" x14ac:dyDescent="0.2">
      <c r="DO56920" s="303" t="s">
        <v>232</v>
      </c>
    </row>
    <row r="56921" spans="119:119" x14ac:dyDescent="0.2">
      <c r="DO56921" s="303" t="s">
        <v>232</v>
      </c>
    </row>
    <row r="56922" spans="119:119" x14ac:dyDescent="0.2">
      <c r="DO56922" s="303" t="s">
        <v>232</v>
      </c>
    </row>
    <row r="56923" spans="119:119" x14ac:dyDescent="0.2">
      <c r="DO56923" s="303" t="s">
        <v>232</v>
      </c>
    </row>
    <row r="56924" spans="119:119" x14ac:dyDescent="0.2">
      <c r="DO56924" s="303" t="s">
        <v>232</v>
      </c>
    </row>
    <row r="56925" spans="119:119" x14ac:dyDescent="0.2">
      <c r="DO56925" s="303" t="s">
        <v>232</v>
      </c>
    </row>
    <row r="56926" spans="119:119" x14ac:dyDescent="0.2">
      <c r="DO56926" s="303" t="s">
        <v>232</v>
      </c>
    </row>
    <row r="56927" spans="119:119" x14ac:dyDescent="0.2">
      <c r="DO56927" s="303" t="s">
        <v>232</v>
      </c>
    </row>
    <row r="56928" spans="119:119" x14ac:dyDescent="0.2">
      <c r="DO56928" s="303" t="s">
        <v>232</v>
      </c>
    </row>
    <row r="56929" spans="119:119" x14ac:dyDescent="0.2">
      <c r="DO56929" s="303" t="s">
        <v>232</v>
      </c>
    </row>
    <row r="56930" spans="119:119" x14ac:dyDescent="0.2">
      <c r="DO56930" s="303" t="s">
        <v>232</v>
      </c>
    </row>
    <row r="56931" spans="119:119" x14ac:dyDescent="0.2">
      <c r="DO56931" s="303" t="s">
        <v>232</v>
      </c>
    </row>
    <row r="56932" spans="119:119" x14ac:dyDescent="0.2">
      <c r="DO56932" s="303" t="s">
        <v>232</v>
      </c>
    </row>
    <row r="56933" spans="119:119" x14ac:dyDescent="0.2">
      <c r="DO56933" s="303" t="s">
        <v>232</v>
      </c>
    </row>
    <row r="56934" spans="119:119" x14ac:dyDescent="0.2">
      <c r="DO56934" s="303" t="s">
        <v>232</v>
      </c>
    </row>
    <row r="56935" spans="119:119" x14ac:dyDescent="0.2">
      <c r="DO56935" s="303" t="s">
        <v>232</v>
      </c>
    </row>
    <row r="56936" spans="119:119" x14ac:dyDescent="0.2">
      <c r="DO56936" s="303" t="s">
        <v>232</v>
      </c>
    </row>
    <row r="56937" spans="119:119" x14ac:dyDescent="0.2">
      <c r="DO56937" s="303" t="s">
        <v>232</v>
      </c>
    </row>
    <row r="56938" spans="119:119" x14ac:dyDescent="0.2">
      <c r="DO56938" s="303" t="s">
        <v>232</v>
      </c>
    </row>
    <row r="56939" spans="119:119" x14ac:dyDescent="0.2">
      <c r="DO56939" s="303" t="s">
        <v>232</v>
      </c>
    </row>
    <row r="56940" spans="119:119" x14ac:dyDescent="0.2">
      <c r="DO56940" s="303" t="s">
        <v>232</v>
      </c>
    </row>
    <row r="56941" spans="119:119" x14ac:dyDescent="0.2">
      <c r="DO56941" s="303" t="s">
        <v>232</v>
      </c>
    </row>
    <row r="56942" spans="119:119" x14ac:dyDescent="0.2">
      <c r="DO56942" s="303" t="s">
        <v>232</v>
      </c>
    </row>
    <row r="56943" spans="119:119" x14ac:dyDescent="0.2">
      <c r="DO56943" s="303" t="s">
        <v>232</v>
      </c>
    </row>
    <row r="56944" spans="119:119" x14ac:dyDescent="0.2">
      <c r="DO56944" s="303" t="s">
        <v>232</v>
      </c>
    </row>
    <row r="56945" spans="119:119" x14ac:dyDescent="0.2">
      <c r="DO56945" s="303" t="s">
        <v>232</v>
      </c>
    </row>
    <row r="56946" spans="119:119" x14ac:dyDescent="0.2">
      <c r="DO56946" s="303" t="s">
        <v>232</v>
      </c>
    </row>
    <row r="56947" spans="119:119" x14ac:dyDescent="0.2">
      <c r="DO56947" s="303" t="s">
        <v>232</v>
      </c>
    </row>
    <row r="56948" spans="119:119" x14ac:dyDescent="0.2">
      <c r="DO56948" s="303" t="s">
        <v>232</v>
      </c>
    </row>
    <row r="56949" spans="119:119" x14ac:dyDescent="0.2">
      <c r="DO56949" s="303" t="s">
        <v>232</v>
      </c>
    </row>
    <row r="56950" spans="119:119" x14ac:dyDescent="0.2">
      <c r="DO56950" s="303" t="s">
        <v>232</v>
      </c>
    </row>
    <row r="56951" spans="119:119" x14ac:dyDescent="0.2">
      <c r="DO56951" s="303" t="s">
        <v>232</v>
      </c>
    </row>
    <row r="56952" spans="119:119" x14ac:dyDescent="0.2">
      <c r="DO56952" s="303" t="s">
        <v>232</v>
      </c>
    </row>
    <row r="56953" spans="119:119" x14ac:dyDescent="0.2">
      <c r="DO56953" s="303" t="s">
        <v>232</v>
      </c>
    </row>
    <row r="56954" spans="119:119" x14ac:dyDescent="0.2">
      <c r="DO56954" s="303" t="s">
        <v>232</v>
      </c>
    </row>
    <row r="56955" spans="119:119" x14ac:dyDescent="0.2">
      <c r="DO56955" s="303" t="s">
        <v>232</v>
      </c>
    </row>
    <row r="56956" spans="119:119" x14ac:dyDescent="0.2">
      <c r="DO56956" s="303" t="s">
        <v>232</v>
      </c>
    </row>
    <row r="56957" spans="119:119" x14ac:dyDescent="0.2">
      <c r="DO56957" s="303" t="s">
        <v>232</v>
      </c>
    </row>
    <row r="56958" spans="119:119" x14ac:dyDescent="0.2">
      <c r="DO56958" s="303" t="s">
        <v>232</v>
      </c>
    </row>
    <row r="56959" spans="119:119" x14ac:dyDescent="0.2">
      <c r="DO56959" s="303" t="s">
        <v>232</v>
      </c>
    </row>
    <row r="56960" spans="119:119" x14ac:dyDescent="0.2">
      <c r="DO56960" s="303" t="s">
        <v>232</v>
      </c>
    </row>
    <row r="56961" spans="119:119" x14ac:dyDescent="0.2">
      <c r="DO56961" s="303" t="s">
        <v>232</v>
      </c>
    </row>
    <row r="56962" spans="119:119" x14ac:dyDescent="0.2">
      <c r="DO56962" s="303" t="s">
        <v>232</v>
      </c>
    </row>
    <row r="56963" spans="119:119" x14ac:dyDescent="0.2">
      <c r="DO56963" s="303" t="s">
        <v>232</v>
      </c>
    </row>
    <row r="56964" spans="119:119" x14ac:dyDescent="0.2">
      <c r="DO56964" s="303" t="s">
        <v>232</v>
      </c>
    </row>
    <row r="56965" spans="119:119" x14ac:dyDescent="0.2">
      <c r="DO56965" s="303" t="s">
        <v>232</v>
      </c>
    </row>
    <row r="56966" spans="119:119" x14ac:dyDescent="0.2">
      <c r="DO56966" s="303" t="s">
        <v>232</v>
      </c>
    </row>
    <row r="56967" spans="119:119" x14ac:dyDescent="0.2">
      <c r="DO56967" s="303" t="s">
        <v>232</v>
      </c>
    </row>
    <row r="56968" spans="119:119" x14ac:dyDescent="0.2">
      <c r="DO56968" s="303" t="s">
        <v>232</v>
      </c>
    </row>
    <row r="56969" spans="119:119" x14ac:dyDescent="0.2">
      <c r="DO56969" s="303" t="s">
        <v>232</v>
      </c>
    </row>
    <row r="56970" spans="119:119" x14ac:dyDescent="0.2">
      <c r="DO56970" s="303" t="s">
        <v>232</v>
      </c>
    </row>
    <row r="56971" spans="119:119" x14ac:dyDescent="0.2">
      <c r="DO56971" s="303" t="s">
        <v>232</v>
      </c>
    </row>
    <row r="56972" spans="119:119" x14ac:dyDescent="0.2">
      <c r="DO56972" s="303" t="s">
        <v>232</v>
      </c>
    </row>
    <row r="56973" spans="119:119" x14ac:dyDescent="0.2">
      <c r="DO56973" s="303" t="s">
        <v>232</v>
      </c>
    </row>
    <row r="56974" spans="119:119" x14ac:dyDescent="0.2">
      <c r="DO56974" s="303" t="s">
        <v>232</v>
      </c>
    </row>
    <row r="56975" spans="119:119" x14ac:dyDescent="0.2">
      <c r="DO56975" s="303" t="s">
        <v>232</v>
      </c>
    </row>
    <row r="56976" spans="119:119" x14ac:dyDescent="0.2">
      <c r="DO56976" s="303" t="s">
        <v>232</v>
      </c>
    </row>
    <row r="56977" spans="119:119" x14ac:dyDescent="0.2">
      <c r="DO56977" s="303" t="s">
        <v>232</v>
      </c>
    </row>
    <row r="56978" spans="119:119" x14ac:dyDescent="0.2">
      <c r="DO56978" s="303" t="s">
        <v>232</v>
      </c>
    </row>
    <row r="56979" spans="119:119" x14ac:dyDescent="0.2">
      <c r="DO56979" s="303" t="s">
        <v>232</v>
      </c>
    </row>
    <row r="56980" spans="119:119" x14ac:dyDescent="0.2">
      <c r="DO56980" s="303" t="s">
        <v>232</v>
      </c>
    </row>
    <row r="56981" spans="119:119" x14ac:dyDescent="0.2">
      <c r="DO56981" s="303" t="s">
        <v>232</v>
      </c>
    </row>
    <row r="56982" spans="119:119" x14ac:dyDescent="0.2">
      <c r="DO56982" s="303" t="s">
        <v>232</v>
      </c>
    </row>
    <row r="56983" spans="119:119" x14ac:dyDescent="0.2">
      <c r="DO56983" s="303" t="s">
        <v>232</v>
      </c>
    </row>
    <row r="56984" spans="119:119" x14ac:dyDescent="0.2">
      <c r="DO56984" s="303" t="s">
        <v>232</v>
      </c>
    </row>
    <row r="56985" spans="119:119" x14ac:dyDescent="0.2">
      <c r="DO56985" s="303" t="s">
        <v>232</v>
      </c>
    </row>
    <row r="56986" spans="119:119" x14ac:dyDescent="0.2">
      <c r="DO56986" s="303" t="s">
        <v>232</v>
      </c>
    </row>
    <row r="56987" spans="119:119" x14ac:dyDescent="0.2">
      <c r="DO56987" s="303" t="s">
        <v>232</v>
      </c>
    </row>
    <row r="56988" spans="119:119" x14ac:dyDescent="0.2">
      <c r="DO56988" s="303" t="s">
        <v>232</v>
      </c>
    </row>
    <row r="56989" spans="119:119" x14ac:dyDescent="0.2">
      <c r="DO56989" s="303" t="s">
        <v>232</v>
      </c>
    </row>
    <row r="56990" spans="119:119" x14ac:dyDescent="0.2">
      <c r="DO56990" s="303" t="s">
        <v>232</v>
      </c>
    </row>
    <row r="56991" spans="119:119" x14ac:dyDescent="0.2">
      <c r="DO56991" s="303" t="s">
        <v>232</v>
      </c>
    </row>
    <row r="56992" spans="119:119" x14ac:dyDescent="0.2">
      <c r="DO56992" s="303" t="s">
        <v>232</v>
      </c>
    </row>
    <row r="56993" spans="119:119" x14ac:dyDescent="0.2">
      <c r="DO56993" s="303" t="s">
        <v>232</v>
      </c>
    </row>
    <row r="56994" spans="119:119" x14ac:dyDescent="0.2">
      <c r="DO56994" s="303" t="s">
        <v>232</v>
      </c>
    </row>
    <row r="56995" spans="119:119" x14ac:dyDescent="0.2">
      <c r="DO56995" s="303" t="s">
        <v>232</v>
      </c>
    </row>
    <row r="56996" spans="119:119" x14ac:dyDescent="0.2">
      <c r="DO56996" s="303" t="s">
        <v>232</v>
      </c>
    </row>
    <row r="56997" spans="119:119" x14ac:dyDescent="0.2">
      <c r="DO56997" s="303" t="s">
        <v>232</v>
      </c>
    </row>
    <row r="56998" spans="119:119" x14ac:dyDescent="0.2">
      <c r="DO56998" s="303" t="s">
        <v>232</v>
      </c>
    </row>
    <row r="56999" spans="119:119" x14ac:dyDescent="0.2">
      <c r="DO56999" s="303" t="s">
        <v>232</v>
      </c>
    </row>
    <row r="57000" spans="119:119" x14ac:dyDescent="0.2">
      <c r="DO57000" s="303" t="s">
        <v>232</v>
      </c>
    </row>
    <row r="57001" spans="119:119" x14ac:dyDescent="0.2">
      <c r="DO57001" s="303" t="s">
        <v>232</v>
      </c>
    </row>
    <row r="57002" spans="119:119" x14ac:dyDescent="0.2">
      <c r="DO57002" s="303" t="s">
        <v>232</v>
      </c>
    </row>
    <row r="57003" spans="119:119" x14ac:dyDescent="0.2">
      <c r="DO57003" s="303" t="s">
        <v>232</v>
      </c>
    </row>
    <row r="57004" spans="119:119" x14ac:dyDescent="0.2">
      <c r="DO57004" s="303" t="s">
        <v>232</v>
      </c>
    </row>
    <row r="57005" spans="119:119" x14ac:dyDescent="0.2">
      <c r="DO57005" s="303" t="s">
        <v>232</v>
      </c>
    </row>
    <row r="57006" spans="119:119" x14ac:dyDescent="0.2">
      <c r="DO57006" s="303" t="s">
        <v>232</v>
      </c>
    </row>
    <row r="57007" spans="119:119" x14ac:dyDescent="0.2">
      <c r="DO57007" s="303" t="s">
        <v>232</v>
      </c>
    </row>
    <row r="57008" spans="119:119" x14ac:dyDescent="0.2">
      <c r="DO57008" s="303" t="s">
        <v>232</v>
      </c>
    </row>
    <row r="57009" spans="119:119" x14ac:dyDescent="0.2">
      <c r="DO57009" s="303" t="s">
        <v>232</v>
      </c>
    </row>
    <row r="57010" spans="119:119" x14ac:dyDescent="0.2">
      <c r="DO57010" s="303" t="s">
        <v>232</v>
      </c>
    </row>
    <row r="57011" spans="119:119" x14ac:dyDescent="0.2">
      <c r="DO57011" s="303" t="s">
        <v>232</v>
      </c>
    </row>
    <row r="57012" spans="119:119" x14ac:dyDescent="0.2">
      <c r="DO57012" s="303" t="s">
        <v>232</v>
      </c>
    </row>
    <row r="57013" spans="119:119" x14ac:dyDescent="0.2">
      <c r="DO57013" s="303" t="s">
        <v>232</v>
      </c>
    </row>
    <row r="57014" spans="119:119" x14ac:dyDescent="0.2">
      <c r="DO57014" s="303" t="s">
        <v>232</v>
      </c>
    </row>
    <row r="57015" spans="119:119" x14ac:dyDescent="0.2">
      <c r="DO57015" s="303" t="s">
        <v>232</v>
      </c>
    </row>
    <row r="57016" spans="119:119" x14ac:dyDescent="0.2">
      <c r="DO57016" s="303" t="s">
        <v>232</v>
      </c>
    </row>
    <row r="57017" spans="119:119" x14ac:dyDescent="0.2">
      <c r="DO57017" s="303" t="s">
        <v>232</v>
      </c>
    </row>
    <row r="57018" spans="119:119" x14ac:dyDescent="0.2">
      <c r="DO57018" s="303" t="s">
        <v>232</v>
      </c>
    </row>
    <row r="57019" spans="119:119" x14ac:dyDescent="0.2">
      <c r="DO57019" s="303" t="s">
        <v>232</v>
      </c>
    </row>
    <row r="57020" spans="119:119" x14ac:dyDescent="0.2">
      <c r="DO57020" s="303" t="s">
        <v>232</v>
      </c>
    </row>
    <row r="57021" spans="119:119" x14ac:dyDescent="0.2">
      <c r="DO57021" s="303" t="s">
        <v>232</v>
      </c>
    </row>
    <row r="57022" spans="119:119" x14ac:dyDescent="0.2">
      <c r="DO57022" s="303" t="s">
        <v>232</v>
      </c>
    </row>
    <row r="57023" spans="119:119" x14ac:dyDescent="0.2">
      <c r="DO57023" s="303" t="s">
        <v>232</v>
      </c>
    </row>
    <row r="57024" spans="119:119" x14ac:dyDescent="0.2">
      <c r="DO57024" s="303" t="s">
        <v>232</v>
      </c>
    </row>
    <row r="57025" spans="119:119" x14ac:dyDescent="0.2">
      <c r="DO57025" s="303" t="s">
        <v>232</v>
      </c>
    </row>
    <row r="57026" spans="119:119" x14ac:dyDescent="0.2">
      <c r="DO57026" s="303" t="s">
        <v>232</v>
      </c>
    </row>
    <row r="57027" spans="119:119" x14ac:dyDescent="0.2">
      <c r="DO57027" s="303" t="s">
        <v>232</v>
      </c>
    </row>
    <row r="57028" spans="119:119" x14ac:dyDescent="0.2">
      <c r="DO57028" s="303" t="s">
        <v>232</v>
      </c>
    </row>
    <row r="57029" spans="119:119" x14ac:dyDescent="0.2">
      <c r="DO57029" s="303" t="s">
        <v>232</v>
      </c>
    </row>
    <row r="57030" spans="119:119" x14ac:dyDescent="0.2">
      <c r="DO57030" s="303" t="s">
        <v>232</v>
      </c>
    </row>
    <row r="57031" spans="119:119" x14ac:dyDescent="0.2">
      <c r="DO57031" s="303" t="s">
        <v>232</v>
      </c>
    </row>
    <row r="57032" spans="119:119" x14ac:dyDescent="0.2">
      <c r="DO57032" s="303" t="s">
        <v>232</v>
      </c>
    </row>
    <row r="57033" spans="119:119" x14ac:dyDescent="0.2">
      <c r="DO57033" s="303" t="s">
        <v>232</v>
      </c>
    </row>
    <row r="57034" spans="119:119" x14ac:dyDescent="0.2">
      <c r="DO57034" s="303" t="s">
        <v>232</v>
      </c>
    </row>
    <row r="57035" spans="119:119" x14ac:dyDescent="0.2">
      <c r="DO57035" s="303" t="s">
        <v>232</v>
      </c>
    </row>
    <row r="57036" spans="119:119" x14ac:dyDescent="0.2">
      <c r="DO57036" s="303" t="s">
        <v>232</v>
      </c>
    </row>
    <row r="57037" spans="119:119" x14ac:dyDescent="0.2">
      <c r="DO57037" s="303" t="s">
        <v>232</v>
      </c>
    </row>
    <row r="57038" spans="119:119" x14ac:dyDescent="0.2">
      <c r="DO57038" s="303" t="s">
        <v>232</v>
      </c>
    </row>
    <row r="57039" spans="119:119" x14ac:dyDescent="0.2">
      <c r="DO57039" s="303" t="s">
        <v>232</v>
      </c>
    </row>
    <row r="57040" spans="119:119" x14ac:dyDescent="0.2">
      <c r="DO57040" s="303" t="s">
        <v>232</v>
      </c>
    </row>
    <row r="57041" spans="119:119" x14ac:dyDescent="0.2">
      <c r="DO57041" s="303" t="s">
        <v>232</v>
      </c>
    </row>
    <row r="57042" spans="119:119" x14ac:dyDescent="0.2">
      <c r="DO57042" s="303" t="s">
        <v>232</v>
      </c>
    </row>
    <row r="57043" spans="119:119" x14ac:dyDescent="0.2">
      <c r="DO57043" s="303" t="s">
        <v>232</v>
      </c>
    </row>
    <row r="57044" spans="119:119" x14ac:dyDescent="0.2">
      <c r="DO57044" s="303" t="s">
        <v>232</v>
      </c>
    </row>
    <row r="57045" spans="119:119" x14ac:dyDescent="0.2">
      <c r="DO57045" s="303" t="s">
        <v>232</v>
      </c>
    </row>
    <row r="57046" spans="119:119" x14ac:dyDescent="0.2">
      <c r="DO57046" s="303" t="s">
        <v>232</v>
      </c>
    </row>
    <row r="57047" spans="119:119" x14ac:dyDescent="0.2">
      <c r="DO57047" s="303" t="s">
        <v>232</v>
      </c>
    </row>
    <row r="57048" spans="119:119" x14ac:dyDescent="0.2">
      <c r="DO57048" s="303" t="s">
        <v>232</v>
      </c>
    </row>
    <row r="57049" spans="119:119" x14ac:dyDescent="0.2">
      <c r="DO57049" s="303" t="s">
        <v>232</v>
      </c>
    </row>
    <row r="57050" spans="119:119" x14ac:dyDescent="0.2">
      <c r="DO57050" s="303" t="s">
        <v>232</v>
      </c>
    </row>
    <row r="57051" spans="119:119" x14ac:dyDescent="0.2">
      <c r="DO57051" s="303" t="s">
        <v>232</v>
      </c>
    </row>
    <row r="57052" spans="119:119" x14ac:dyDescent="0.2">
      <c r="DO57052" s="303" t="s">
        <v>232</v>
      </c>
    </row>
    <row r="57053" spans="119:119" x14ac:dyDescent="0.2">
      <c r="DO57053" s="303" t="s">
        <v>232</v>
      </c>
    </row>
    <row r="57054" spans="119:119" x14ac:dyDescent="0.2">
      <c r="DO57054" s="303" t="s">
        <v>232</v>
      </c>
    </row>
    <row r="57055" spans="119:119" x14ac:dyDescent="0.2">
      <c r="DO57055" s="303" t="s">
        <v>232</v>
      </c>
    </row>
    <row r="57056" spans="119:119" x14ac:dyDescent="0.2">
      <c r="DO57056" s="303" t="s">
        <v>232</v>
      </c>
    </row>
    <row r="57057" spans="119:119" x14ac:dyDescent="0.2">
      <c r="DO57057" s="303" t="s">
        <v>232</v>
      </c>
    </row>
    <row r="57058" spans="119:119" x14ac:dyDescent="0.2">
      <c r="DO57058" s="303" t="s">
        <v>232</v>
      </c>
    </row>
    <row r="57059" spans="119:119" x14ac:dyDescent="0.2">
      <c r="DO57059" s="303" t="s">
        <v>232</v>
      </c>
    </row>
    <row r="57060" spans="119:119" x14ac:dyDescent="0.2">
      <c r="DO57060" s="303" t="s">
        <v>232</v>
      </c>
    </row>
    <row r="57061" spans="119:119" x14ac:dyDescent="0.2">
      <c r="DO57061" s="303" t="s">
        <v>232</v>
      </c>
    </row>
    <row r="57062" spans="119:119" x14ac:dyDescent="0.2">
      <c r="DO57062" s="303" t="s">
        <v>232</v>
      </c>
    </row>
    <row r="57063" spans="119:119" x14ac:dyDescent="0.2">
      <c r="DO57063" s="303" t="s">
        <v>232</v>
      </c>
    </row>
    <row r="57064" spans="119:119" x14ac:dyDescent="0.2">
      <c r="DO57064" s="303" t="s">
        <v>232</v>
      </c>
    </row>
    <row r="57065" spans="119:119" x14ac:dyDescent="0.2">
      <c r="DO57065" s="303" t="s">
        <v>232</v>
      </c>
    </row>
    <row r="57066" spans="119:119" x14ac:dyDescent="0.2">
      <c r="DO57066" s="303" t="s">
        <v>232</v>
      </c>
    </row>
    <row r="57067" spans="119:119" x14ac:dyDescent="0.2">
      <c r="DO57067" s="303" t="s">
        <v>232</v>
      </c>
    </row>
    <row r="57068" spans="119:119" x14ac:dyDescent="0.2">
      <c r="DO57068" s="303" t="s">
        <v>232</v>
      </c>
    </row>
    <row r="57069" spans="119:119" x14ac:dyDescent="0.2">
      <c r="DO57069" s="303" t="s">
        <v>232</v>
      </c>
    </row>
    <row r="57070" spans="119:119" x14ac:dyDescent="0.2">
      <c r="DO57070" s="303" t="s">
        <v>232</v>
      </c>
    </row>
    <row r="57071" spans="119:119" x14ac:dyDescent="0.2">
      <c r="DO57071" s="303" t="s">
        <v>232</v>
      </c>
    </row>
    <row r="57072" spans="119:119" x14ac:dyDescent="0.2">
      <c r="DO57072" s="303" t="s">
        <v>232</v>
      </c>
    </row>
    <row r="57073" spans="119:119" x14ac:dyDescent="0.2">
      <c r="DO57073" s="303" t="s">
        <v>232</v>
      </c>
    </row>
    <row r="57074" spans="119:119" x14ac:dyDescent="0.2">
      <c r="DO57074" s="303" t="s">
        <v>232</v>
      </c>
    </row>
    <row r="57075" spans="119:119" x14ac:dyDescent="0.2">
      <c r="DO57075" s="303" t="s">
        <v>232</v>
      </c>
    </row>
    <row r="57076" spans="119:119" x14ac:dyDescent="0.2">
      <c r="DO57076" s="303" t="s">
        <v>232</v>
      </c>
    </row>
    <row r="57077" spans="119:119" x14ac:dyDescent="0.2">
      <c r="DO57077" s="303" t="s">
        <v>232</v>
      </c>
    </row>
    <row r="57078" spans="119:119" x14ac:dyDescent="0.2">
      <c r="DO57078" s="303" t="s">
        <v>232</v>
      </c>
    </row>
    <row r="57079" spans="119:119" x14ac:dyDescent="0.2">
      <c r="DO57079" s="303" t="s">
        <v>232</v>
      </c>
    </row>
    <row r="57080" spans="119:119" x14ac:dyDescent="0.2">
      <c r="DO57080" s="303" t="s">
        <v>232</v>
      </c>
    </row>
    <row r="57081" spans="119:119" x14ac:dyDescent="0.2">
      <c r="DO57081" s="303" t="s">
        <v>232</v>
      </c>
    </row>
    <row r="57082" spans="119:119" x14ac:dyDescent="0.2">
      <c r="DO57082" s="303" t="s">
        <v>232</v>
      </c>
    </row>
    <row r="57083" spans="119:119" x14ac:dyDescent="0.2">
      <c r="DO57083" s="303" t="s">
        <v>232</v>
      </c>
    </row>
    <row r="57084" spans="119:119" x14ac:dyDescent="0.2">
      <c r="DO57084" s="303" t="s">
        <v>232</v>
      </c>
    </row>
    <row r="57085" spans="119:119" x14ac:dyDescent="0.2">
      <c r="DO57085" s="303" t="s">
        <v>232</v>
      </c>
    </row>
    <row r="57086" spans="119:119" x14ac:dyDescent="0.2">
      <c r="DO57086" s="303" t="s">
        <v>232</v>
      </c>
    </row>
    <row r="57087" spans="119:119" x14ac:dyDescent="0.2">
      <c r="DO57087" s="303" t="s">
        <v>232</v>
      </c>
    </row>
    <row r="57088" spans="119:119" x14ac:dyDescent="0.2">
      <c r="DO57088" s="303" t="s">
        <v>232</v>
      </c>
    </row>
    <row r="57089" spans="119:119" x14ac:dyDescent="0.2">
      <c r="DO57089" s="303" t="s">
        <v>232</v>
      </c>
    </row>
    <row r="57090" spans="119:119" x14ac:dyDescent="0.2">
      <c r="DO57090" s="303" t="s">
        <v>232</v>
      </c>
    </row>
    <row r="57091" spans="119:119" x14ac:dyDescent="0.2">
      <c r="DO57091" s="303" t="s">
        <v>232</v>
      </c>
    </row>
    <row r="57092" spans="119:119" x14ac:dyDescent="0.2">
      <c r="DO57092" s="303" t="s">
        <v>232</v>
      </c>
    </row>
    <row r="57093" spans="119:119" x14ac:dyDescent="0.2">
      <c r="DO57093" s="303" t="s">
        <v>232</v>
      </c>
    </row>
    <row r="57094" spans="119:119" x14ac:dyDescent="0.2">
      <c r="DO57094" s="303" t="s">
        <v>232</v>
      </c>
    </row>
    <row r="57095" spans="119:119" x14ac:dyDescent="0.2">
      <c r="DO57095" s="303" t="s">
        <v>232</v>
      </c>
    </row>
    <row r="57096" spans="119:119" x14ac:dyDescent="0.2">
      <c r="DO57096" s="303" t="s">
        <v>232</v>
      </c>
    </row>
    <row r="57097" spans="119:119" x14ac:dyDescent="0.2">
      <c r="DO57097" s="303" t="s">
        <v>232</v>
      </c>
    </row>
    <row r="57098" spans="119:119" x14ac:dyDescent="0.2">
      <c r="DO57098" s="303" t="s">
        <v>232</v>
      </c>
    </row>
    <row r="57099" spans="119:119" x14ac:dyDescent="0.2">
      <c r="DO57099" s="303" t="s">
        <v>232</v>
      </c>
    </row>
    <row r="57100" spans="119:119" x14ac:dyDescent="0.2">
      <c r="DO57100" s="303" t="s">
        <v>232</v>
      </c>
    </row>
    <row r="57101" spans="119:119" x14ac:dyDescent="0.2">
      <c r="DO57101" s="303" t="s">
        <v>232</v>
      </c>
    </row>
    <row r="57102" spans="119:119" x14ac:dyDescent="0.2">
      <c r="DO57102" s="303" t="s">
        <v>232</v>
      </c>
    </row>
    <row r="57103" spans="119:119" x14ac:dyDescent="0.2">
      <c r="DO57103" s="303" t="s">
        <v>232</v>
      </c>
    </row>
    <row r="57104" spans="119:119" x14ac:dyDescent="0.2">
      <c r="DO57104" s="303" t="s">
        <v>232</v>
      </c>
    </row>
    <row r="57105" spans="119:119" x14ac:dyDescent="0.2">
      <c r="DO57105" s="303" t="s">
        <v>232</v>
      </c>
    </row>
    <row r="57106" spans="119:119" x14ac:dyDescent="0.2">
      <c r="DO57106" s="303" t="s">
        <v>232</v>
      </c>
    </row>
    <row r="57107" spans="119:119" x14ac:dyDescent="0.2">
      <c r="DO57107" s="303" t="s">
        <v>232</v>
      </c>
    </row>
    <row r="57108" spans="119:119" x14ac:dyDescent="0.2">
      <c r="DO57108" s="303" t="s">
        <v>232</v>
      </c>
    </row>
    <row r="57109" spans="119:119" x14ac:dyDescent="0.2">
      <c r="DO57109" s="303" t="s">
        <v>232</v>
      </c>
    </row>
    <row r="57110" spans="119:119" x14ac:dyDescent="0.2">
      <c r="DO57110" s="303" t="s">
        <v>232</v>
      </c>
    </row>
    <row r="57111" spans="119:119" x14ac:dyDescent="0.2">
      <c r="DO57111" s="303" t="s">
        <v>232</v>
      </c>
    </row>
    <row r="57112" spans="119:119" x14ac:dyDescent="0.2">
      <c r="DO57112" s="303" t="s">
        <v>232</v>
      </c>
    </row>
    <row r="57113" spans="119:119" x14ac:dyDescent="0.2">
      <c r="DO57113" s="303" t="s">
        <v>232</v>
      </c>
    </row>
    <row r="57114" spans="119:119" x14ac:dyDescent="0.2">
      <c r="DO57114" s="303" t="s">
        <v>232</v>
      </c>
    </row>
    <row r="57115" spans="119:119" x14ac:dyDescent="0.2">
      <c r="DO57115" s="303" t="s">
        <v>232</v>
      </c>
    </row>
    <row r="57116" spans="119:119" x14ac:dyDescent="0.2">
      <c r="DO57116" s="303" t="s">
        <v>232</v>
      </c>
    </row>
    <row r="57117" spans="119:119" x14ac:dyDescent="0.2">
      <c r="DO57117" s="303" t="s">
        <v>232</v>
      </c>
    </row>
    <row r="57118" spans="119:119" x14ac:dyDescent="0.2">
      <c r="DO57118" s="303" t="s">
        <v>232</v>
      </c>
    </row>
    <row r="57119" spans="119:119" x14ac:dyDescent="0.2">
      <c r="DO57119" s="303" t="s">
        <v>232</v>
      </c>
    </row>
    <row r="57120" spans="119:119" x14ac:dyDescent="0.2">
      <c r="DO57120" s="303" t="s">
        <v>232</v>
      </c>
    </row>
    <row r="57121" spans="119:119" x14ac:dyDescent="0.2">
      <c r="DO57121" s="303" t="s">
        <v>232</v>
      </c>
    </row>
    <row r="57122" spans="119:119" x14ac:dyDescent="0.2">
      <c r="DO57122" s="303" t="s">
        <v>232</v>
      </c>
    </row>
    <row r="57123" spans="119:119" x14ac:dyDescent="0.2">
      <c r="DO57123" s="303" t="s">
        <v>232</v>
      </c>
    </row>
    <row r="57124" spans="119:119" x14ac:dyDescent="0.2">
      <c r="DO57124" s="303" t="s">
        <v>232</v>
      </c>
    </row>
    <row r="57125" spans="119:119" x14ac:dyDescent="0.2">
      <c r="DO57125" s="303" t="s">
        <v>232</v>
      </c>
    </row>
    <row r="57126" spans="119:119" x14ac:dyDescent="0.2">
      <c r="DO57126" s="303" t="s">
        <v>232</v>
      </c>
    </row>
    <row r="57127" spans="119:119" x14ac:dyDescent="0.2">
      <c r="DO57127" s="303" t="s">
        <v>232</v>
      </c>
    </row>
    <row r="57128" spans="119:119" x14ac:dyDescent="0.2">
      <c r="DO57128" s="303" t="s">
        <v>232</v>
      </c>
    </row>
    <row r="57129" spans="119:119" x14ac:dyDescent="0.2">
      <c r="DO57129" s="303" t="s">
        <v>232</v>
      </c>
    </row>
    <row r="57130" spans="119:119" x14ac:dyDescent="0.2">
      <c r="DO57130" s="303" t="s">
        <v>232</v>
      </c>
    </row>
    <row r="57131" spans="119:119" x14ac:dyDescent="0.2">
      <c r="DO57131" s="303" t="s">
        <v>232</v>
      </c>
    </row>
    <row r="57132" spans="119:119" x14ac:dyDescent="0.2">
      <c r="DO57132" s="303" t="s">
        <v>232</v>
      </c>
    </row>
    <row r="57133" spans="119:119" x14ac:dyDescent="0.2">
      <c r="DO57133" s="303" t="s">
        <v>232</v>
      </c>
    </row>
    <row r="57134" spans="119:119" x14ac:dyDescent="0.2">
      <c r="DO57134" s="303" t="s">
        <v>232</v>
      </c>
    </row>
    <row r="57135" spans="119:119" x14ac:dyDescent="0.2">
      <c r="DO57135" s="303" t="s">
        <v>232</v>
      </c>
    </row>
    <row r="57136" spans="119:119" x14ac:dyDescent="0.2">
      <c r="DO57136" s="303" t="s">
        <v>232</v>
      </c>
    </row>
    <row r="57137" spans="119:119" x14ac:dyDescent="0.2">
      <c r="DO57137" s="303" t="s">
        <v>232</v>
      </c>
    </row>
    <row r="57138" spans="119:119" x14ac:dyDescent="0.2">
      <c r="DO57138" s="303" t="s">
        <v>232</v>
      </c>
    </row>
    <row r="57139" spans="119:119" x14ac:dyDescent="0.2">
      <c r="DO57139" s="303" t="s">
        <v>232</v>
      </c>
    </row>
    <row r="57140" spans="119:119" x14ac:dyDescent="0.2">
      <c r="DO57140" s="303" t="s">
        <v>232</v>
      </c>
    </row>
    <row r="57141" spans="119:119" x14ac:dyDescent="0.2">
      <c r="DO57141" s="303" t="s">
        <v>232</v>
      </c>
    </row>
    <row r="57142" spans="119:119" x14ac:dyDescent="0.2">
      <c r="DO57142" s="303" t="s">
        <v>232</v>
      </c>
    </row>
    <row r="57143" spans="119:119" x14ac:dyDescent="0.2">
      <c r="DO57143" s="303" t="s">
        <v>232</v>
      </c>
    </row>
    <row r="57144" spans="119:119" x14ac:dyDescent="0.2">
      <c r="DO57144" s="303" t="s">
        <v>232</v>
      </c>
    </row>
    <row r="57145" spans="119:119" x14ac:dyDescent="0.2">
      <c r="DO57145" s="303" t="s">
        <v>232</v>
      </c>
    </row>
    <row r="57146" spans="119:119" x14ac:dyDescent="0.2">
      <c r="DO57146" s="303" t="s">
        <v>232</v>
      </c>
    </row>
    <row r="57147" spans="119:119" x14ac:dyDescent="0.2">
      <c r="DO57147" s="303" t="s">
        <v>232</v>
      </c>
    </row>
    <row r="57148" spans="119:119" x14ac:dyDescent="0.2">
      <c r="DO57148" s="303" t="s">
        <v>232</v>
      </c>
    </row>
    <row r="57149" spans="119:119" x14ac:dyDescent="0.2">
      <c r="DO57149" s="303" t="s">
        <v>232</v>
      </c>
    </row>
    <row r="57150" spans="119:119" x14ac:dyDescent="0.2">
      <c r="DO57150" s="303" t="s">
        <v>232</v>
      </c>
    </row>
    <row r="57151" spans="119:119" x14ac:dyDescent="0.2">
      <c r="DO57151" s="303" t="s">
        <v>232</v>
      </c>
    </row>
    <row r="57152" spans="119:119" x14ac:dyDescent="0.2">
      <c r="DO57152" s="303" t="s">
        <v>232</v>
      </c>
    </row>
    <row r="57153" spans="119:119" x14ac:dyDescent="0.2">
      <c r="DO57153" s="303" t="s">
        <v>232</v>
      </c>
    </row>
    <row r="57154" spans="119:119" x14ac:dyDescent="0.2">
      <c r="DO57154" s="303" t="s">
        <v>232</v>
      </c>
    </row>
    <row r="57155" spans="119:119" x14ac:dyDescent="0.2">
      <c r="DO57155" s="303" t="s">
        <v>232</v>
      </c>
    </row>
    <row r="57156" spans="119:119" x14ac:dyDescent="0.2">
      <c r="DO57156" s="303" t="s">
        <v>232</v>
      </c>
    </row>
    <row r="57157" spans="119:119" x14ac:dyDescent="0.2">
      <c r="DO57157" s="303" t="s">
        <v>232</v>
      </c>
    </row>
    <row r="57158" spans="119:119" x14ac:dyDescent="0.2">
      <c r="DO57158" s="303" t="s">
        <v>232</v>
      </c>
    </row>
    <row r="57159" spans="119:119" x14ac:dyDescent="0.2">
      <c r="DO57159" s="303" t="s">
        <v>232</v>
      </c>
    </row>
    <row r="57160" spans="119:119" x14ac:dyDescent="0.2">
      <c r="DO57160" s="303" t="s">
        <v>232</v>
      </c>
    </row>
    <row r="57161" spans="119:119" x14ac:dyDescent="0.2">
      <c r="DO57161" s="303" t="s">
        <v>232</v>
      </c>
    </row>
    <row r="57162" spans="119:119" x14ac:dyDescent="0.2">
      <c r="DO57162" s="303" t="s">
        <v>232</v>
      </c>
    </row>
    <row r="57163" spans="119:119" x14ac:dyDescent="0.2">
      <c r="DO57163" s="303" t="s">
        <v>232</v>
      </c>
    </row>
    <row r="57164" spans="119:119" x14ac:dyDescent="0.2">
      <c r="DO57164" s="303" t="s">
        <v>232</v>
      </c>
    </row>
    <row r="57165" spans="119:119" x14ac:dyDescent="0.2">
      <c r="DO57165" s="303" t="s">
        <v>232</v>
      </c>
    </row>
    <row r="57166" spans="119:119" x14ac:dyDescent="0.2">
      <c r="DO57166" s="303" t="s">
        <v>232</v>
      </c>
    </row>
    <row r="57167" spans="119:119" x14ac:dyDescent="0.2">
      <c r="DO57167" s="303" t="s">
        <v>232</v>
      </c>
    </row>
    <row r="57168" spans="119:119" x14ac:dyDescent="0.2">
      <c r="DO57168" s="303" t="s">
        <v>232</v>
      </c>
    </row>
    <row r="57169" spans="119:119" x14ac:dyDescent="0.2">
      <c r="DO57169" s="303" t="s">
        <v>232</v>
      </c>
    </row>
    <row r="57170" spans="119:119" x14ac:dyDescent="0.2">
      <c r="DO57170" s="303" t="s">
        <v>232</v>
      </c>
    </row>
    <row r="57171" spans="119:119" x14ac:dyDescent="0.2">
      <c r="DO57171" s="303" t="s">
        <v>232</v>
      </c>
    </row>
    <row r="57172" spans="119:119" x14ac:dyDescent="0.2">
      <c r="DO57172" s="303" t="s">
        <v>232</v>
      </c>
    </row>
    <row r="57173" spans="119:119" x14ac:dyDescent="0.2">
      <c r="DO57173" s="303" t="s">
        <v>232</v>
      </c>
    </row>
    <row r="57174" spans="119:119" x14ac:dyDescent="0.2">
      <c r="DO57174" s="303" t="s">
        <v>232</v>
      </c>
    </row>
    <row r="57175" spans="119:119" x14ac:dyDescent="0.2">
      <c r="DO57175" s="303" t="s">
        <v>232</v>
      </c>
    </row>
    <row r="57176" spans="119:119" x14ac:dyDescent="0.2">
      <c r="DO57176" s="303" t="s">
        <v>232</v>
      </c>
    </row>
    <row r="57177" spans="119:119" x14ac:dyDescent="0.2">
      <c r="DO57177" s="303" t="s">
        <v>232</v>
      </c>
    </row>
    <row r="57178" spans="119:119" x14ac:dyDescent="0.2">
      <c r="DO57178" s="303" t="s">
        <v>232</v>
      </c>
    </row>
    <row r="57179" spans="119:119" x14ac:dyDescent="0.2">
      <c r="DO57179" s="303" t="s">
        <v>232</v>
      </c>
    </row>
    <row r="57180" spans="119:119" x14ac:dyDescent="0.2">
      <c r="DO57180" s="303" t="s">
        <v>232</v>
      </c>
    </row>
    <row r="57181" spans="119:119" x14ac:dyDescent="0.2">
      <c r="DO57181" s="303" t="s">
        <v>232</v>
      </c>
    </row>
    <row r="57182" spans="119:119" x14ac:dyDescent="0.2">
      <c r="DO57182" s="303" t="s">
        <v>232</v>
      </c>
    </row>
    <row r="57183" spans="119:119" x14ac:dyDescent="0.2">
      <c r="DO57183" s="303" t="s">
        <v>232</v>
      </c>
    </row>
    <row r="57184" spans="119:119" x14ac:dyDescent="0.2">
      <c r="DO57184" s="303" t="s">
        <v>232</v>
      </c>
    </row>
    <row r="57185" spans="119:119" x14ac:dyDescent="0.2">
      <c r="DO57185" s="303" t="s">
        <v>232</v>
      </c>
    </row>
    <row r="57186" spans="119:119" x14ac:dyDescent="0.2">
      <c r="DO57186" s="303" t="s">
        <v>232</v>
      </c>
    </row>
    <row r="57187" spans="119:119" x14ac:dyDescent="0.2">
      <c r="DO57187" s="303" t="s">
        <v>232</v>
      </c>
    </row>
    <row r="57188" spans="119:119" x14ac:dyDescent="0.2">
      <c r="DO57188" s="303" t="s">
        <v>232</v>
      </c>
    </row>
    <row r="57189" spans="119:119" x14ac:dyDescent="0.2">
      <c r="DO57189" s="303" t="s">
        <v>232</v>
      </c>
    </row>
    <row r="57190" spans="119:119" x14ac:dyDescent="0.2">
      <c r="DO57190" s="303" t="s">
        <v>232</v>
      </c>
    </row>
    <row r="57191" spans="119:119" x14ac:dyDescent="0.2">
      <c r="DO57191" s="303" t="s">
        <v>232</v>
      </c>
    </row>
    <row r="57192" spans="119:119" x14ac:dyDescent="0.2">
      <c r="DO57192" s="303" t="s">
        <v>232</v>
      </c>
    </row>
    <row r="57193" spans="119:119" x14ac:dyDescent="0.2">
      <c r="DO57193" s="303" t="s">
        <v>232</v>
      </c>
    </row>
    <row r="57194" spans="119:119" x14ac:dyDescent="0.2">
      <c r="DO57194" s="303" t="s">
        <v>232</v>
      </c>
    </row>
    <row r="57195" spans="119:119" x14ac:dyDescent="0.2">
      <c r="DO57195" s="303" t="s">
        <v>232</v>
      </c>
    </row>
    <row r="57196" spans="119:119" x14ac:dyDescent="0.2">
      <c r="DO57196" s="303" t="s">
        <v>232</v>
      </c>
    </row>
    <row r="57197" spans="119:119" x14ac:dyDescent="0.2">
      <c r="DO57197" s="303" t="s">
        <v>232</v>
      </c>
    </row>
    <row r="57198" spans="119:119" x14ac:dyDescent="0.2">
      <c r="DO57198" s="303" t="s">
        <v>232</v>
      </c>
    </row>
    <row r="57199" spans="119:119" x14ac:dyDescent="0.2">
      <c r="DO57199" s="303" t="s">
        <v>232</v>
      </c>
    </row>
    <row r="57200" spans="119:119" x14ac:dyDescent="0.2">
      <c r="DO57200" s="303" t="s">
        <v>232</v>
      </c>
    </row>
    <row r="57201" spans="119:119" x14ac:dyDescent="0.2">
      <c r="DO57201" s="303" t="s">
        <v>232</v>
      </c>
    </row>
    <row r="57202" spans="119:119" x14ac:dyDescent="0.2">
      <c r="DO57202" s="303" t="s">
        <v>232</v>
      </c>
    </row>
    <row r="57203" spans="119:119" x14ac:dyDescent="0.2">
      <c r="DO57203" s="303" t="s">
        <v>232</v>
      </c>
    </row>
    <row r="57204" spans="119:119" x14ac:dyDescent="0.2">
      <c r="DO57204" s="303" t="s">
        <v>232</v>
      </c>
    </row>
    <row r="57205" spans="119:119" x14ac:dyDescent="0.2">
      <c r="DO57205" s="303" t="s">
        <v>232</v>
      </c>
    </row>
    <row r="57206" spans="119:119" x14ac:dyDescent="0.2">
      <c r="DO57206" s="303" t="s">
        <v>232</v>
      </c>
    </row>
    <row r="57207" spans="119:119" x14ac:dyDescent="0.2">
      <c r="DO57207" s="303" t="s">
        <v>232</v>
      </c>
    </row>
    <row r="57208" spans="119:119" x14ac:dyDescent="0.2">
      <c r="DO57208" s="303" t="s">
        <v>232</v>
      </c>
    </row>
    <row r="57209" spans="119:119" x14ac:dyDescent="0.2">
      <c r="DO57209" s="303" t="s">
        <v>232</v>
      </c>
    </row>
    <row r="57210" spans="119:119" x14ac:dyDescent="0.2">
      <c r="DO57210" s="303" t="s">
        <v>232</v>
      </c>
    </row>
    <row r="57211" spans="119:119" x14ac:dyDescent="0.2">
      <c r="DO57211" s="303" t="s">
        <v>232</v>
      </c>
    </row>
    <row r="57212" spans="119:119" x14ac:dyDescent="0.2">
      <c r="DO57212" s="303" t="s">
        <v>232</v>
      </c>
    </row>
    <row r="57213" spans="119:119" x14ac:dyDescent="0.2">
      <c r="DO57213" s="303" t="s">
        <v>232</v>
      </c>
    </row>
    <row r="57214" spans="119:119" x14ac:dyDescent="0.2">
      <c r="DO57214" s="303" t="s">
        <v>232</v>
      </c>
    </row>
    <row r="57215" spans="119:119" x14ac:dyDescent="0.2">
      <c r="DO57215" s="303" t="s">
        <v>232</v>
      </c>
    </row>
    <row r="57216" spans="119:119" x14ac:dyDescent="0.2">
      <c r="DO57216" s="303" t="s">
        <v>232</v>
      </c>
    </row>
    <row r="57217" spans="119:119" x14ac:dyDescent="0.2">
      <c r="DO57217" s="303" t="s">
        <v>232</v>
      </c>
    </row>
    <row r="57218" spans="119:119" x14ac:dyDescent="0.2">
      <c r="DO57218" s="303" t="s">
        <v>232</v>
      </c>
    </row>
    <row r="57219" spans="119:119" x14ac:dyDescent="0.2">
      <c r="DO57219" s="303" t="s">
        <v>232</v>
      </c>
    </row>
    <row r="57220" spans="119:119" x14ac:dyDescent="0.2">
      <c r="DO57220" s="303" t="s">
        <v>232</v>
      </c>
    </row>
    <row r="57221" spans="119:119" x14ac:dyDescent="0.2">
      <c r="DO57221" s="303" t="s">
        <v>232</v>
      </c>
    </row>
    <row r="57222" spans="119:119" x14ac:dyDescent="0.2">
      <c r="DO57222" s="303" t="s">
        <v>232</v>
      </c>
    </row>
    <row r="57223" spans="119:119" x14ac:dyDescent="0.2">
      <c r="DO57223" s="303" t="s">
        <v>232</v>
      </c>
    </row>
    <row r="57224" spans="119:119" x14ac:dyDescent="0.2">
      <c r="DO57224" s="303" t="s">
        <v>232</v>
      </c>
    </row>
    <row r="57225" spans="119:119" x14ac:dyDescent="0.2">
      <c r="DO57225" s="303" t="s">
        <v>232</v>
      </c>
    </row>
    <row r="57226" spans="119:119" x14ac:dyDescent="0.2">
      <c r="DO57226" s="303" t="s">
        <v>232</v>
      </c>
    </row>
    <row r="57227" spans="119:119" x14ac:dyDescent="0.2">
      <c r="DO57227" s="303" t="s">
        <v>232</v>
      </c>
    </row>
    <row r="57228" spans="119:119" x14ac:dyDescent="0.2">
      <c r="DO57228" s="303" t="s">
        <v>232</v>
      </c>
    </row>
    <row r="57229" spans="119:119" x14ac:dyDescent="0.2">
      <c r="DO57229" s="303" t="s">
        <v>232</v>
      </c>
    </row>
    <row r="57230" spans="119:119" x14ac:dyDescent="0.2">
      <c r="DO57230" s="303" t="s">
        <v>232</v>
      </c>
    </row>
    <row r="57231" spans="119:119" x14ac:dyDescent="0.2">
      <c r="DO57231" s="303" t="s">
        <v>232</v>
      </c>
    </row>
    <row r="57232" spans="119:119" x14ac:dyDescent="0.2">
      <c r="DO57232" s="303" t="s">
        <v>232</v>
      </c>
    </row>
    <row r="57233" spans="119:119" x14ac:dyDescent="0.2">
      <c r="DO57233" s="303" t="s">
        <v>232</v>
      </c>
    </row>
    <row r="57234" spans="119:119" x14ac:dyDescent="0.2">
      <c r="DO57234" s="303" t="s">
        <v>232</v>
      </c>
    </row>
    <row r="57235" spans="119:119" x14ac:dyDescent="0.2">
      <c r="DO57235" s="303" t="s">
        <v>232</v>
      </c>
    </row>
    <row r="57236" spans="119:119" x14ac:dyDescent="0.2">
      <c r="DO57236" s="303" t="s">
        <v>232</v>
      </c>
    </row>
    <row r="57237" spans="119:119" x14ac:dyDescent="0.2">
      <c r="DO57237" s="303" t="s">
        <v>232</v>
      </c>
    </row>
    <row r="57238" spans="119:119" x14ac:dyDescent="0.2">
      <c r="DO57238" s="303" t="s">
        <v>232</v>
      </c>
    </row>
    <row r="57239" spans="119:119" x14ac:dyDescent="0.2">
      <c r="DO57239" s="303" t="s">
        <v>232</v>
      </c>
    </row>
    <row r="57240" spans="119:119" x14ac:dyDescent="0.2">
      <c r="DO57240" s="303" t="s">
        <v>232</v>
      </c>
    </row>
    <row r="57241" spans="119:119" x14ac:dyDescent="0.2">
      <c r="DO57241" s="303" t="s">
        <v>232</v>
      </c>
    </row>
    <row r="57242" spans="119:119" x14ac:dyDescent="0.2">
      <c r="DO57242" s="303" t="s">
        <v>232</v>
      </c>
    </row>
    <row r="57243" spans="119:119" x14ac:dyDescent="0.2">
      <c r="DO57243" s="303" t="s">
        <v>232</v>
      </c>
    </row>
    <row r="57244" spans="119:119" x14ac:dyDescent="0.2">
      <c r="DO57244" s="303" t="s">
        <v>232</v>
      </c>
    </row>
    <row r="57245" spans="119:119" x14ac:dyDescent="0.2">
      <c r="DO57245" s="303" t="s">
        <v>232</v>
      </c>
    </row>
    <row r="57246" spans="119:119" x14ac:dyDescent="0.2">
      <c r="DO57246" s="303" t="s">
        <v>232</v>
      </c>
    </row>
    <row r="57247" spans="119:119" x14ac:dyDescent="0.2">
      <c r="DO57247" s="303" t="s">
        <v>232</v>
      </c>
    </row>
    <row r="57248" spans="119:119" x14ac:dyDescent="0.2">
      <c r="DO57248" s="303" t="s">
        <v>232</v>
      </c>
    </row>
    <row r="57249" spans="119:119" x14ac:dyDescent="0.2">
      <c r="DO57249" s="303" t="s">
        <v>232</v>
      </c>
    </row>
    <row r="57250" spans="119:119" x14ac:dyDescent="0.2">
      <c r="DO57250" s="303" t="s">
        <v>232</v>
      </c>
    </row>
    <row r="57251" spans="119:119" x14ac:dyDescent="0.2">
      <c r="DO57251" s="303" t="s">
        <v>232</v>
      </c>
    </row>
    <row r="57252" spans="119:119" x14ac:dyDescent="0.2">
      <c r="DO57252" s="303" t="s">
        <v>232</v>
      </c>
    </row>
    <row r="57253" spans="119:119" x14ac:dyDescent="0.2">
      <c r="DO57253" s="303" t="s">
        <v>232</v>
      </c>
    </row>
    <row r="57254" spans="119:119" x14ac:dyDescent="0.2">
      <c r="DO57254" s="303" t="s">
        <v>232</v>
      </c>
    </row>
    <row r="57255" spans="119:119" x14ac:dyDescent="0.2">
      <c r="DO57255" s="303" t="s">
        <v>232</v>
      </c>
    </row>
    <row r="57256" spans="119:119" x14ac:dyDescent="0.2">
      <c r="DO57256" s="303" t="s">
        <v>232</v>
      </c>
    </row>
    <row r="57257" spans="119:119" x14ac:dyDescent="0.2">
      <c r="DO57257" s="303" t="s">
        <v>232</v>
      </c>
    </row>
    <row r="57258" spans="119:119" x14ac:dyDescent="0.2">
      <c r="DO57258" s="303" t="s">
        <v>232</v>
      </c>
    </row>
    <row r="57259" spans="119:119" x14ac:dyDescent="0.2">
      <c r="DO57259" s="303" t="s">
        <v>232</v>
      </c>
    </row>
    <row r="57260" spans="119:119" x14ac:dyDescent="0.2">
      <c r="DO57260" s="303" t="s">
        <v>232</v>
      </c>
    </row>
    <row r="57261" spans="119:119" x14ac:dyDescent="0.2">
      <c r="DO57261" s="303" t="s">
        <v>232</v>
      </c>
    </row>
    <row r="57262" spans="119:119" x14ac:dyDescent="0.2">
      <c r="DO57262" s="303" t="s">
        <v>232</v>
      </c>
    </row>
    <row r="57263" spans="119:119" x14ac:dyDescent="0.2">
      <c r="DO57263" s="303" t="s">
        <v>232</v>
      </c>
    </row>
    <row r="57264" spans="119:119" x14ac:dyDescent="0.2">
      <c r="DO57264" s="303" t="s">
        <v>232</v>
      </c>
    </row>
    <row r="57265" spans="119:119" x14ac:dyDescent="0.2">
      <c r="DO57265" s="303" t="s">
        <v>232</v>
      </c>
    </row>
    <row r="57266" spans="119:119" x14ac:dyDescent="0.2">
      <c r="DO57266" s="303" t="s">
        <v>232</v>
      </c>
    </row>
    <row r="57267" spans="119:119" x14ac:dyDescent="0.2">
      <c r="DO57267" s="303" t="s">
        <v>232</v>
      </c>
    </row>
    <row r="57268" spans="119:119" x14ac:dyDescent="0.2">
      <c r="DO57268" s="303" t="s">
        <v>232</v>
      </c>
    </row>
    <row r="57269" spans="119:119" x14ac:dyDescent="0.2">
      <c r="DO57269" s="303" t="s">
        <v>232</v>
      </c>
    </row>
    <row r="57270" spans="119:119" x14ac:dyDescent="0.2">
      <c r="DO57270" s="303" t="s">
        <v>232</v>
      </c>
    </row>
    <row r="57271" spans="119:119" x14ac:dyDescent="0.2">
      <c r="DO57271" s="303" t="s">
        <v>232</v>
      </c>
    </row>
    <row r="57272" spans="119:119" x14ac:dyDescent="0.2">
      <c r="DO57272" s="303" t="s">
        <v>232</v>
      </c>
    </row>
    <row r="57273" spans="119:119" x14ac:dyDescent="0.2">
      <c r="DO57273" s="303" t="s">
        <v>232</v>
      </c>
    </row>
    <row r="57274" spans="119:119" x14ac:dyDescent="0.2">
      <c r="DO57274" s="303" t="s">
        <v>232</v>
      </c>
    </row>
    <row r="57275" spans="119:119" x14ac:dyDescent="0.2">
      <c r="DO57275" s="303" t="s">
        <v>232</v>
      </c>
    </row>
    <row r="57276" spans="119:119" x14ac:dyDescent="0.2">
      <c r="DO57276" s="303" t="s">
        <v>232</v>
      </c>
    </row>
    <row r="57277" spans="119:119" x14ac:dyDescent="0.2">
      <c r="DO57277" s="303" t="s">
        <v>232</v>
      </c>
    </row>
    <row r="57278" spans="119:119" x14ac:dyDescent="0.2">
      <c r="DO57278" s="303" t="s">
        <v>232</v>
      </c>
    </row>
    <row r="57279" spans="119:119" x14ac:dyDescent="0.2">
      <c r="DO57279" s="303" t="s">
        <v>232</v>
      </c>
    </row>
    <row r="57280" spans="119:119" x14ac:dyDescent="0.2">
      <c r="DO57280" s="303" t="s">
        <v>232</v>
      </c>
    </row>
    <row r="57281" spans="119:119" x14ac:dyDescent="0.2">
      <c r="DO57281" s="303" t="s">
        <v>232</v>
      </c>
    </row>
    <row r="57282" spans="119:119" x14ac:dyDescent="0.2">
      <c r="DO57282" s="303" t="s">
        <v>232</v>
      </c>
    </row>
    <row r="57283" spans="119:119" x14ac:dyDescent="0.2">
      <c r="DO57283" s="303" t="s">
        <v>232</v>
      </c>
    </row>
    <row r="57284" spans="119:119" x14ac:dyDescent="0.2">
      <c r="DO57284" s="303" t="s">
        <v>232</v>
      </c>
    </row>
    <row r="57285" spans="119:119" x14ac:dyDescent="0.2">
      <c r="DO57285" s="303" t="s">
        <v>232</v>
      </c>
    </row>
    <row r="57286" spans="119:119" x14ac:dyDescent="0.2">
      <c r="DO57286" s="303" t="s">
        <v>232</v>
      </c>
    </row>
    <row r="57287" spans="119:119" x14ac:dyDescent="0.2">
      <c r="DO57287" s="303" t="s">
        <v>232</v>
      </c>
    </row>
    <row r="57288" spans="119:119" x14ac:dyDescent="0.2">
      <c r="DO57288" s="303" t="s">
        <v>232</v>
      </c>
    </row>
    <row r="57289" spans="119:119" x14ac:dyDescent="0.2">
      <c r="DO57289" s="303" t="s">
        <v>232</v>
      </c>
    </row>
    <row r="57290" spans="119:119" x14ac:dyDescent="0.2">
      <c r="DO57290" s="303" t="s">
        <v>232</v>
      </c>
    </row>
    <row r="57291" spans="119:119" x14ac:dyDescent="0.2">
      <c r="DO57291" s="303" t="s">
        <v>232</v>
      </c>
    </row>
    <row r="57292" spans="119:119" x14ac:dyDescent="0.2">
      <c r="DO57292" s="303" t="s">
        <v>232</v>
      </c>
    </row>
    <row r="57293" spans="119:119" x14ac:dyDescent="0.2">
      <c r="DO57293" s="303" t="s">
        <v>232</v>
      </c>
    </row>
    <row r="57294" spans="119:119" x14ac:dyDescent="0.2">
      <c r="DO57294" s="303" t="s">
        <v>232</v>
      </c>
    </row>
    <row r="57295" spans="119:119" x14ac:dyDescent="0.2">
      <c r="DO57295" s="303" t="s">
        <v>232</v>
      </c>
    </row>
    <row r="57296" spans="119:119" x14ac:dyDescent="0.2">
      <c r="DO57296" s="303" t="s">
        <v>232</v>
      </c>
    </row>
    <row r="57297" spans="119:119" x14ac:dyDescent="0.2">
      <c r="DO57297" s="303" t="s">
        <v>232</v>
      </c>
    </row>
    <row r="57298" spans="119:119" x14ac:dyDescent="0.2">
      <c r="DO57298" s="303" t="s">
        <v>232</v>
      </c>
    </row>
    <row r="57299" spans="119:119" x14ac:dyDescent="0.2">
      <c r="DO57299" s="303" t="s">
        <v>232</v>
      </c>
    </row>
    <row r="57300" spans="119:119" x14ac:dyDescent="0.2">
      <c r="DO57300" s="303" t="s">
        <v>232</v>
      </c>
    </row>
    <row r="57301" spans="119:119" x14ac:dyDescent="0.2">
      <c r="DO57301" s="303" t="s">
        <v>232</v>
      </c>
    </row>
    <row r="57302" spans="119:119" x14ac:dyDescent="0.2">
      <c r="DO57302" s="303" t="s">
        <v>232</v>
      </c>
    </row>
    <row r="57303" spans="119:119" x14ac:dyDescent="0.2">
      <c r="DO57303" s="303" t="s">
        <v>232</v>
      </c>
    </row>
    <row r="57304" spans="119:119" x14ac:dyDescent="0.2">
      <c r="DO57304" s="303" t="s">
        <v>232</v>
      </c>
    </row>
    <row r="57305" spans="119:119" x14ac:dyDescent="0.2">
      <c r="DO57305" s="303" t="s">
        <v>232</v>
      </c>
    </row>
    <row r="57306" spans="119:119" x14ac:dyDescent="0.2">
      <c r="DO57306" s="303" t="s">
        <v>232</v>
      </c>
    </row>
    <row r="57307" spans="119:119" x14ac:dyDescent="0.2">
      <c r="DO57307" s="303" t="s">
        <v>232</v>
      </c>
    </row>
    <row r="57308" spans="119:119" x14ac:dyDescent="0.2">
      <c r="DO57308" s="303" t="s">
        <v>232</v>
      </c>
    </row>
    <row r="57309" spans="119:119" x14ac:dyDescent="0.2">
      <c r="DO57309" s="303" t="s">
        <v>232</v>
      </c>
    </row>
    <row r="57310" spans="119:119" x14ac:dyDescent="0.2">
      <c r="DO57310" s="303" t="s">
        <v>232</v>
      </c>
    </row>
    <row r="57311" spans="119:119" x14ac:dyDescent="0.2">
      <c r="DO57311" s="303" t="s">
        <v>232</v>
      </c>
    </row>
    <row r="57312" spans="119:119" x14ac:dyDescent="0.2">
      <c r="DO57312" s="303" t="s">
        <v>232</v>
      </c>
    </row>
    <row r="57313" spans="119:119" x14ac:dyDescent="0.2">
      <c r="DO57313" s="303" t="s">
        <v>232</v>
      </c>
    </row>
    <row r="57314" spans="119:119" x14ac:dyDescent="0.2">
      <c r="DO57314" s="303" t="s">
        <v>232</v>
      </c>
    </row>
    <row r="57315" spans="119:119" x14ac:dyDescent="0.2">
      <c r="DO57315" s="303" t="s">
        <v>232</v>
      </c>
    </row>
    <row r="57316" spans="119:119" x14ac:dyDescent="0.2">
      <c r="DO57316" s="303" t="s">
        <v>232</v>
      </c>
    </row>
    <row r="57317" spans="119:119" x14ac:dyDescent="0.2">
      <c r="DO57317" s="303" t="s">
        <v>232</v>
      </c>
    </row>
    <row r="57318" spans="119:119" x14ac:dyDescent="0.2">
      <c r="DO57318" s="303" t="s">
        <v>232</v>
      </c>
    </row>
    <row r="57319" spans="119:119" x14ac:dyDescent="0.2">
      <c r="DO57319" s="303" t="s">
        <v>232</v>
      </c>
    </row>
    <row r="57320" spans="119:119" x14ac:dyDescent="0.2">
      <c r="DO57320" s="303" t="s">
        <v>232</v>
      </c>
    </row>
    <row r="57321" spans="119:119" x14ac:dyDescent="0.2">
      <c r="DO57321" s="303" t="s">
        <v>232</v>
      </c>
    </row>
    <row r="57322" spans="119:119" x14ac:dyDescent="0.2">
      <c r="DO57322" s="303" t="s">
        <v>232</v>
      </c>
    </row>
    <row r="57323" spans="119:119" x14ac:dyDescent="0.2">
      <c r="DO57323" s="303" t="s">
        <v>232</v>
      </c>
    </row>
    <row r="57324" spans="119:119" x14ac:dyDescent="0.2">
      <c r="DO57324" s="303" t="s">
        <v>232</v>
      </c>
    </row>
    <row r="57325" spans="119:119" x14ac:dyDescent="0.2">
      <c r="DO57325" s="303" t="s">
        <v>232</v>
      </c>
    </row>
    <row r="57326" spans="119:119" x14ac:dyDescent="0.2">
      <c r="DO57326" s="303" t="s">
        <v>232</v>
      </c>
    </row>
    <row r="57327" spans="119:119" x14ac:dyDescent="0.2">
      <c r="DO57327" s="303" t="s">
        <v>232</v>
      </c>
    </row>
    <row r="57328" spans="119:119" x14ac:dyDescent="0.2">
      <c r="DO57328" s="303" t="s">
        <v>232</v>
      </c>
    </row>
    <row r="57329" spans="119:119" x14ac:dyDescent="0.2">
      <c r="DO57329" s="303" t="s">
        <v>232</v>
      </c>
    </row>
    <row r="57330" spans="119:119" x14ac:dyDescent="0.2">
      <c r="DO57330" s="303" t="s">
        <v>232</v>
      </c>
    </row>
    <row r="57331" spans="119:119" x14ac:dyDescent="0.2">
      <c r="DO57331" s="303" t="s">
        <v>232</v>
      </c>
    </row>
    <row r="57332" spans="119:119" x14ac:dyDescent="0.2">
      <c r="DO57332" s="303" t="s">
        <v>232</v>
      </c>
    </row>
    <row r="57333" spans="119:119" x14ac:dyDescent="0.2">
      <c r="DO57333" s="303" t="s">
        <v>232</v>
      </c>
    </row>
    <row r="57334" spans="119:119" x14ac:dyDescent="0.2">
      <c r="DO57334" s="303" t="s">
        <v>232</v>
      </c>
    </row>
    <row r="57335" spans="119:119" x14ac:dyDescent="0.2">
      <c r="DO57335" s="303" t="s">
        <v>232</v>
      </c>
    </row>
    <row r="57336" spans="119:119" x14ac:dyDescent="0.2">
      <c r="DO57336" s="303" t="s">
        <v>232</v>
      </c>
    </row>
    <row r="57337" spans="119:119" x14ac:dyDescent="0.2">
      <c r="DO57337" s="303" t="s">
        <v>232</v>
      </c>
    </row>
    <row r="57338" spans="119:119" x14ac:dyDescent="0.2">
      <c r="DO57338" s="303" t="s">
        <v>232</v>
      </c>
    </row>
    <row r="57339" spans="119:119" x14ac:dyDescent="0.2">
      <c r="DO57339" s="303" t="s">
        <v>232</v>
      </c>
    </row>
    <row r="57340" spans="119:119" x14ac:dyDescent="0.2">
      <c r="DO57340" s="303" t="s">
        <v>232</v>
      </c>
    </row>
    <row r="57341" spans="119:119" x14ac:dyDescent="0.2">
      <c r="DO57341" s="303" t="s">
        <v>232</v>
      </c>
    </row>
    <row r="57342" spans="119:119" x14ac:dyDescent="0.2">
      <c r="DO57342" s="303" t="s">
        <v>232</v>
      </c>
    </row>
    <row r="57343" spans="119:119" x14ac:dyDescent="0.2">
      <c r="DO57343" s="303" t="s">
        <v>232</v>
      </c>
    </row>
    <row r="57344" spans="119:119" x14ac:dyDescent="0.2">
      <c r="DO57344" s="303" t="s">
        <v>232</v>
      </c>
    </row>
    <row r="57345" spans="119:119" x14ac:dyDescent="0.2">
      <c r="DO57345" s="303" t="s">
        <v>232</v>
      </c>
    </row>
    <row r="57346" spans="119:119" x14ac:dyDescent="0.2">
      <c r="DO57346" s="303" t="s">
        <v>232</v>
      </c>
    </row>
    <row r="57347" spans="119:119" x14ac:dyDescent="0.2">
      <c r="DO57347" s="303" t="s">
        <v>232</v>
      </c>
    </row>
    <row r="57348" spans="119:119" x14ac:dyDescent="0.2">
      <c r="DO57348" s="303" t="s">
        <v>232</v>
      </c>
    </row>
    <row r="57349" spans="119:119" x14ac:dyDescent="0.2">
      <c r="DO57349" s="303" t="s">
        <v>232</v>
      </c>
    </row>
    <row r="57350" spans="119:119" x14ac:dyDescent="0.2">
      <c r="DO57350" s="303" t="s">
        <v>232</v>
      </c>
    </row>
    <row r="57351" spans="119:119" x14ac:dyDescent="0.2">
      <c r="DO57351" s="303" t="s">
        <v>232</v>
      </c>
    </row>
    <row r="57352" spans="119:119" x14ac:dyDescent="0.2">
      <c r="DO57352" s="303" t="s">
        <v>232</v>
      </c>
    </row>
    <row r="57353" spans="119:119" x14ac:dyDescent="0.2">
      <c r="DO57353" s="303" t="s">
        <v>232</v>
      </c>
    </row>
    <row r="57354" spans="119:119" x14ac:dyDescent="0.2">
      <c r="DO57354" s="303" t="s">
        <v>232</v>
      </c>
    </row>
    <row r="57355" spans="119:119" x14ac:dyDescent="0.2">
      <c r="DO57355" s="303" t="s">
        <v>232</v>
      </c>
    </row>
    <row r="57356" spans="119:119" x14ac:dyDescent="0.2">
      <c r="DO57356" s="303" t="s">
        <v>232</v>
      </c>
    </row>
    <row r="57357" spans="119:119" x14ac:dyDescent="0.2">
      <c r="DO57357" s="303" t="s">
        <v>232</v>
      </c>
    </row>
    <row r="57358" spans="119:119" x14ac:dyDescent="0.2">
      <c r="DO57358" s="303" t="s">
        <v>232</v>
      </c>
    </row>
    <row r="57359" spans="119:119" x14ac:dyDescent="0.2">
      <c r="DO57359" s="303" t="s">
        <v>232</v>
      </c>
    </row>
    <row r="57360" spans="119:119" x14ac:dyDescent="0.2">
      <c r="DO57360" s="303" t="s">
        <v>232</v>
      </c>
    </row>
    <row r="57361" spans="119:119" x14ac:dyDescent="0.2">
      <c r="DO57361" s="303" t="s">
        <v>232</v>
      </c>
    </row>
    <row r="57362" spans="119:119" x14ac:dyDescent="0.2">
      <c r="DO57362" s="303" t="s">
        <v>232</v>
      </c>
    </row>
    <row r="57363" spans="119:119" x14ac:dyDescent="0.2">
      <c r="DO57363" s="303" t="s">
        <v>232</v>
      </c>
    </row>
    <row r="57364" spans="119:119" x14ac:dyDescent="0.2">
      <c r="DO57364" s="303" t="s">
        <v>232</v>
      </c>
    </row>
    <row r="57365" spans="119:119" x14ac:dyDescent="0.2">
      <c r="DO57365" s="303" t="s">
        <v>232</v>
      </c>
    </row>
    <row r="57366" spans="119:119" x14ac:dyDescent="0.2">
      <c r="DO57366" s="303" t="s">
        <v>232</v>
      </c>
    </row>
    <row r="57367" spans="119:119" x14ac:dyDescent="0.2">
      <c r="DO57367" s="303" t="s">
        <v>232</v>
      </c>
    </row>
    <row r="57368" spans="119:119" x14ac:dyDescent="0.2">
      <c r="DO57368" s="303" t="s">
        <v>232</v>
      </c>
    </row>
    <row r="57369" spans="119:119" x14ac:dyDescent="0.2">
      <c r="DO57369" s="303" t="s">
        <v>232</v>
      </c>
    </row>
    <row r="57370" spans="119:119" x14ac:dyDescent="0.2">
      <c r="DO57370" s="303" t="s">
        <v>232</v>
      </c>
    </row>
    <row r="57371" spans="119:119" x14ac:dyDescent="0.2">
      <c r="DO57371" s="303" t="s">
        <v>232</v>
      </c>
    </row>
    <row r="57372" spans="119:119" x14ac:dyDescent="0.2">
      <c r="DO57372" s="303" t="s">
        <v>232</v>
      </c>
    </row>
    <row r="57373" spans="119:119" x14ac:dyDescent="0.2">
      <c r="DO57373" s="303" t="s">
        <v>232</v>
      </c>
    </row>
    <row r="57374" spans="119:119" x14ac:dyDescent="0.2">
      <c r="DO57374" s="303" t="s">
        <v>232</v>
      </c>
    </row>
    <row r="57375" spans="119:119" x14ac:dyDescent="0.2">
      <c r="DO57375" s="303" t="s">
        <v>232</v>
      </c>
    </row>
    <row r="57376" spans="119:119" x14ac:dyDescent="0.2">
      <c r="DO57376" s="303" t="s">
        <v>232</v>
      </c>
    </row>
    <row r="57377" spans="119:119" x14ac:dyDescent="0.2">
      <c r="DO57377" s="303" t="s">
        <v>232</v>
      </c>
    </row>
    <row r="57378" spans="119:119" x14ac:dyDescent="0.2">
      <c r="DO57378" s="303" t="s">
        <v>232</v>
      </c>
    </row>
    <row r="57379" spans="119:119" x14ac:dyDescent="0.2">
      <c r="DO57379" s="303" t="s">
        <v>232</v>
      </c>
    </row>
    <row r="57380" spans="119:119" x14ac:dyDescent="0.2">
      <c r="DO57380" s="303" t="s">
        <v>232</v>
      </c>
    </row>
    <row r="57381" spans="119:119" x14ac:dyDescent="0.2">
      <c r="DO57381" s="303" t="s">
        <v>232</v>
      </c>
    </row>
    <row r="57382" spans="119:119" x14ac:dyDescent="0.2">
      <c r="DO57382" s="303" t="s">
        <v>232</v>
      </c>
    </row>
    <row r="57383" spans="119:119" x14ac:dyDescent="0.2">
      <c r="DO57383" s="303" t="s">
        <v>232</v>
      </c>
    </row>
    <row r="57384" spans="119:119" x14ac:dyDescent="0.2">
      <c r="DO57384" s="303" t="s">
        <v>232</v>
      </c>
    </row>
    <row r="57385" spans="119:119" x14ac:dyDescent="0.2">
      <c r="DO57385" s="303" t="s">
        <v>232</v>
      </c>
    </row>
    <row r="57386" spans="119:119" x14ac:dyDescent="0.2">
      <c r="DO57386" s="303" t="s">
        <v>232</v>
      </c>
    </row>
    <row r="57387" spans="119:119" x14ac:dyDescent="0.2">
      <c r="DO57387" s="303" t="s">
        <v>232</v>
      </c>
    </row>
    <row r="57388" spans="119:119" x14ac:dyDescent="0.2">
      <c r="DO57388" s="303" t="s">
        <v>232</v>
      </c>
    </row>
    <row r="57389" spans="119:119" x14ac:dyDescent="0.2">
      <c r="DO57389" s="303" t="s">
        <v>232</v>
      </c>
    </row>
    <row r="57390" spans="119:119" x14ac:dyDescent="0.2">
      <c r="DO57390" s="303" t="s">
        <v>232</v>
      </c>
    </row>
    <row r="57391" spans="119:119" x14ac:dyDescent="0.2">
      <c r="DO57391" s="303" t="s">
        <v>232</v>
      </c>
    </row>
    <row r="57392" spans="119:119" x14ac:dyDescent="0.2">
      <c r="DO57392" s="303" t="s">
        <v>232</v>
      </c>
    </row>
    <row r="57393" spans="119:119" x14ac:dyDescent="0.2">
      <c r="DO57393" s="303" t="s">
        <v>232</v>
      </c>
    </row>
    <row r="57394" spans="119:119" x14ac:dyDescent="0.2">
      <c r="DO57394" s="303" t="s">
        <v>232</v>
      </c>
    </row>
    <row r="57395" spans="119:119" x14ac:dyDescent="0.2">
      <c r="DO57395" s="303" t="s">
        <v>232</v>
      </c>
    </row>
    <row r="57396" spans="119:119" x14ac:dyDescent="0.2">
      <c r="DO57396" s="303" t="s">
        <v>232</v>
      </c>
    </row>
    <row r="57397" spans="119:119" x14ac:dyDescent="0.2">
      <c r="DO57397" s="303" t="s">
        <v>232</v>
      </c>
    </row>
    <row r="57398" spans="119:119" x14ac:dyDescent="0.2">
      <c r="DO57398" s="303" t="s">
        <v>232</v>
      </c>
    </row>
    <row r="57399" spans="119:119" x14ac:dyDescent="0.2">
      <c r="DO57399" s="303" t="s">
        <v>232</v>
      </c>
    </row>
    <row r="57400" spans="119:119" x14ac:dyDescent="0.2">
      <c r="DO57400" s="303" t="s">
        <v>232</v>
      </c>
    </row>
    <row r="57401" spans="119:119" x14ac:dyDescent="0.2">
      <c r="DO57401" s="303" t="s">
        <v>232</v>
      </c>
    </row>
    <row r="57402" spans="119:119" x14ac:dyDescent="0.2">
      <c r="DO57402" s="303" t="s">
        <v>232</v>
      </c>
    </row>
    <row r="57403" spans="119:119" x14ac:dyDescent="0.2">
      <c r="DO57403" s="303" t="s">
        <v>232</v>
      </c>
    </row>
    <row r="57404" spans="119:119" x14ac:dyDescent="0.2">
      <c r="DO57404" s="303" t="s">
        <v>232</v>
      </c>
    </row>
    <row r="57405" spans="119:119" x14ac:dyDescent="0.2">
      <c r="DO57405" s="303" t="s">
        <v>232</v>
      </c>
    </row>
    <row r="57406" spans="119:119" x14ac:dyDescent="0.2">
      <c r="DO57406" s="303" t="s">
        <v>232</v>
      </c>
    </row>
    <row r="57407" spans="119:119" x14ac:dyDescent="0.2">
      <c r="DO57407" s="303" t="s">
        <v>232</v>
      </c>
    </row>
    <row r="57408" spans="119:119" x14ac:dyDescent="0.2">
      <c r="DO57408" s="303" t="s">
        <v>232</v>
      </c>
    </row>
    <row r="57409" spans="119:119" x14ac:dyDescent="0.2">
      <c r="DO57409" s="303" t="s">
        <v>232</v>
      </c>
    </row>
    <row r="57410" spans="119:119" x14ac:dyDescent="0.2">
      <c r="DO57410" s="303" t="s">
        <v>232</v>
      </c>
    </row>
    <row r="57411" spans="119:119" x14ac:dyDescent="0.2">
      <c r="DO57411" s="303" t="s">
        <v>232</v>
      </c>
    </row>
    <row r="57412" spans="119:119" x14ac:dyDescent="0.2">
      <c r="DO57412" s="303" t="s">
        <v>232</v>
      </c>
    </row>
    <row r="57413" spans="119:119" x14ac:dyDescent="0.2">
      <c r="DO57413" s="303" t="s">
        <v>232</v>
      </c>
    </row>
    <row r="57414" spans="119:119" x14ac:dyDescent="0.2">
      <c r="DO57414" s="303" t="s">
        <v>232</v>
      </c>
    </row>
    <row r="57415" spans="119:119" x14ac:dyDescent="0.2">
      <c r="DO57415" s="303" t="s">
        <v>232</v>
      </c>
    </row>
    <row r="57416" spans="119:119" x14ac:dyDescent="0.2">
      <c r="DO57416" s="303" t="s">
        <v>232</v>
      </c>
    </row>
    <row r="57417" spans="119:119" x14ac:dyDescent="0.2">
      <c r="DO57417" s="303" t="s">
        <v>232</v>
      </c>
    </row>
    <row r="57418" spans="119:119" x14ac:dyDescent="0.2">
      <c r="DO57418" s="303" t="s">
        <v>232</v>
      </c>
    </row>
    <row r="57419" spans="119:119" x14ac:dyDescent="0.2">
      <c r="DO57419" s="303" t="s">
        <v>232</v>
      </c>
    </row>
    <row r="57420" spans="119:119" x14ac:dyDescent="0.2">
      <c r="DO57420" s="303" t="s">
        <v>232</v>
      </c>
    </row>
    <row r="57421" spans="119:119" x14ac:dyDescent="0.2">
      <c r="DO57421" s="303" t="s">
        <v>232</v>
      </c>
    </row>
    <row r="57422" spans="119:119" x14ac:dyDescent="0.2">
      <c r="DO57422" s="303" t="s">
        <v>232</v>
      </c>
    </row>
    <row r="57423" spans="119:119" x14ac:dyDescent="0.2">
      <c r="DO57423" s="303" t="s">
        <v>232</v>
      </c>
    </row>
    <row r="57424" spans="119:119" x14ac:dyDescent="0.2">
      <c r="DO57424" s="303" t="s">
        <v>232</v>
      </c>
    </row>
    <row r="57425" spans="119:119" x14ac:dyDescent="0.2">
      <c r="DO57425" s="303" t="s">
        <v>232</v>
      </c>
    </row>
    <row r="57426" spans="119:119" x14ac:dyDescent="0.2">
      <c r="DO57426" s="303" t="s">
        <v>232</v>
      </c>
    </row>
    <row r="57427" spans="119:119" x14ac:dyDescent="0.2">
      <c r="DO57427" s="303" t="s">
        <v>232</v>
      </c>
    </row>
    <row r="57428" spans="119:119" x14ac:dyDescent="0.2">
      <c r="DO57428" s="303" t="s">
        <v>232</v>
      </c>
    </row>
    <row r="57429" spans="119:119" x14ac:dyDescent="0.2">
      <c r="DO57429" s="303" t="s">
        <v>232</v>
      </c>
    </row>
    <row r="57430" spans="119:119" x14ac:dyDescent="0.2">
      <c r="DO57430" s="303" t="s">
        <v>232</v>
      </c>
    </row>
    <row r="57431" spans="119:119" x14ac:dyDescent="0.2">
      <c r="DO57431" s="303" t="s">
        <v>232</v>
      </c>
    </row>
    <row r="57432" spans="119:119" x14ac:dyDescent="0.2">
      <c r="DO57432" s="303" t="s">
        <v>232</v>
      </c>
    </row>
    <row r="57433" spans="119:119" x14ac:dyDescent="0.2">
      <c r="DO57433" s="303" t="s">
        <v>232</v>
      </c>
    </row>
    <row r="57434" spans="119:119" x14ac:dyDescent="0.2">
      <c r="DO57434" s="303" t="s">
        <v>232</v>
      </c>
    </row>
    <row r="57435" spans="119:119" x14ac:dyDescent="0.2">
      <c r="DO57435" s="303" t="s">
        <v>232</v>
      </c>
    </row>
    <row r="57436" spans="119:119" x14ac:dyDescent="0.2">
      <c r="DO57436" s="303" t="s">
        <v>232</v>
      </c>
    </row>
    <row r="57437" spans="119:119" x14ac:dyDescent="0.2">
      <c r="DO57437" s="303" t="s">
        <v>232</v>
      </c>
    </row>
    <row r="57438" spans="119:119" x14ac:dyDescent="0.2">
      <c r="DO57438" s="303" t="s">
        <v>232</v>
      </c>
    </row>
    <row r="57439" spans="119:119" x14ac:dyDescent="0.2">
      <c r="DO57439" s="303" t="s">
        <v>232</v>
      </c>
    </row>
    <row r="57440" spans="119:119" x14ac:dyDescent="0.2">
      <c r="DO57440" s="303" t="s">
        <v>232</v>
      </c>
    </row>
    <row r="57441" spans="119:119" x14ac:dyDescent="0.2">
      <c r="DO57441" s="303" t="s">
        <v>232</v>
      </c>
    </row>
    <row r="57442" spans="119:119" x14ac:dyDescent="0.2">
      <c r="DO57442" s="303" t="s">
        <v>232</v>
      </c>
    </row>
    <row r="57443" spans="119:119" x14ac:dyDescent="0.2">
      <c r="DO57443" s="303" t="s">
        <v>232</v>
      </c>
    </row>
    <row r="57444" spans="119:119" x14ac:dyDescent="0.2">
      <c r="DO57444" s="303" t="s">
        <v>232</v>
      </c>
    </row>
    <row r="57445" spans="119:119" x14ac:dyDescent="0.2">
      <c r="DO57445" s="303" t="s">
        <v>232</v>
      </c>
    </row>
    <row r="57446" spans="119:119" x14ac:dyDescent="0.2">
      <c r="DO57446" s="303" t="s">
        <v>232</v>
      </c>
    </row>
    <row r="57447" spans="119:119" x14ac:dyDescent="0.2">
      <c r="DO57447" s="303" t="s">
        <v>232</v>
      </c>
    </row>
    <row r="57448" spans="119:119" x14ac:dyDescent="0.2">
      <c r="DO57448" s="303" t="s">
        <v>232</v>
      </c>
    </row>
    <row r="57449" spans="119:119" x14ac:dyDescent="0.2">
      <c r="DO57449" s="303" t="s">
        <v>232</v>
      </c>
    </row>
    <row r="57450" spans="119:119" x14ac:dyDescent="0.2">
      <c r="DO57450" s="303" t="s">
        <v>232</v>
      </c>
    </row>
    <row r="57451" spans="119:119" x14ac:dyDescent="0.2">
      <c r="DO57451" s="303" t="s">
        <v>232</v>
      </c>
    </row>
    <row r="57452" spans="119:119" x14ac:dyDescent="0.2">
      <c r="DO57452" s="303" t="s">
        <v>232</v>
      </c>
    </row>
    <row r="57453" spans="119:119" x14ac:dyDescent="0.2">
      <c r="DO57453" s="303" t="s">
        <v>232</v>
      </c>
    </row>
    <row r="57454" spans="119:119" x14ac:dyDescent="0.2">
      <c r="DO57454" s="303" t="s">
        <v>232</v>
      </c>
    </row>
    <row r="57455" spans="119:119" x14ac:dyDescent="0.2">
      <c r="DO57455" s="303" t="s">
        <v>232</v>
      </c>
    </row>
    <row r="57456" spans="119:119" x14ac:dyDescent="0.2">
      <c r="DO57456" s="303" t="s">
        <v>232</v>
      </c>
    </row>
    <row r="57457" spans="119:119" x14ac:dyDescent="0.2">
      <c r="DO57457" s="303" t="s">
        <v>232</v>
      </c>
    </row>
    <row r="57458" spans="119:119" x14ac:dyDescent="0.2">
      <c r="DO57458" s="303" t="s">
        <v>232</v>
      </c>
    </row>
    <row r="57459" spans="119:119" x14ac:dyDescent="0.2">
      <c r="DO57459" s="303" t="s">
        <v>232</v>
      </c>
    </row>
    <row r="57460" spans="119:119" x14ac:dyDescent="0.2">
      <c r="DO57460" s="303" t="s">
        <v>232</v>
      </c>
    </row>
    <row r="57461" spans="119:119" x14ac:dyDescent="0.2">
      <c r="DO57461" s="303" t="s">
        <v>232</v>
      </c>
    </row>
    <row r="57462" spans="119:119" x14ac:dyDescent="0.2">
      <c r="DO57462" s="303" t="s">
        <v>232</v>
      </c>
    </row>
    <row r="57463" spans="119:119" x14ac:dyDescent="0.2">
      <c r="DO57463" s="303" t="s">
        <v>232</v>
      </c>
    </row>
    <row r="57464" spans="119:119" x14ac:dyDescent="0.2">
      <c r="DO57464" s="303" t="s">
        <v>232</v>
      </c>
    </row>
    <row r="57465" spans="119:119" x14ac:dyDescent="0.2">
      <c r="DO57465" s="303" t="s">
        <v>232</v>
      </c>
    </row>
    <row r="57466" spans="119:119" x14ac:dyDescent="0.2">
      <c r="DO57466" s="303" t="s">
        <v>232</v>
      </c>
    </row>
    <row r="57467" spans="119:119" x14ac:dyDescent="0.2">
      <c r="DO57467" s="303" t="s">
        <v>232</v>
      </c>
    </row>
    <row r="57468" spans="119:119" x14ac:dyDescent="0.2">
      <c r="DO57468" s="303" t="s">
        <v>232</v>
      </c>
    </row>
    <row r="57469" spans="119:119" x14ac:dyDescent="0.2">
      <c r="DO57469" s="303" t="s">
        <v>232</v>
      </c>
    </row>
    <row r="57470" spans="119:119" x14ac:dyDescent="0.2">
      <c r="DO57470" s="303" t="s">
        <v>232</v>
      </c>
    </row>
    <row r="57471" spans="119:119" x14ac:dyDescent="0.2">
      <c r="DO57471" s="303" t="s">
        <v>232</v>
      </c>
    </row>
    <row r="57472" spans="119:119" x14ac:dyDescent="0.2">
      <c r="DO57472" s="303" t="s">
        <v>232</v>
      </c>
    </row>
    <row r="57473" spans="119:119" x14ac:dyDescent="0.2">
      <c r="DO57473" s="303" t="s">
        <v>232</v>
      </c>
    </row>
    <row r="57474" spans="119:119" x14ac:dyDescent="0.2">
      <c r="DO57474" s="303" t="s">
        <v>232</v>
      </c>
    </row>
    <row r="57475" spans="119:119" x14ac:dyDescent="0.2">
      <c r="DO57475" s="303" t="s">
        <v>232</v>
      </c>
    </row>
    <row r="57476" spans="119:119" x14ac:dyDescent="0.2">
      <c r="DO57476" s="303" t="s">
        <v>232</v>
      </c>
    </row>
    <row r="57477" spans="119:119" x14ac:dyDescent="0.2">
      <c r="DO57477" s="303" t="s">
        <v>232</v>
      </c>
    </row>
    <row r="57478" spans="119:119" x14ac:dyDescent="0.2">
      <c r="DO57478" s="303" t="s">
        <v>232</v>
      </c>
    </row>
    <row r="57479" spans="119:119" x14ac:dyDescent="0.2">
      <c r="DO57479" s="303" t="s">
        <v>232</v>
      </c>
    </row>
    <row r="57480" spans="119:119" x14ac:dyDescent="0.2">
      <c r="DO57480" s="303" t="s">
        <v>232</v>
      </c>
    </row>
    <row r="57481" spans="119:119" x14ac:dyDescent="0.2">
      <c r="DO57481" s="303" t="s">
        <v>232</v>
      </c>
    </row>
    <row r="57482" spans="119:119" x14ac:dyDescent="0.2">
      <c r="DO57482" s="303" t="s">
        <v>232</v>
      </c>
    </row>
    <row r="57483" spans="119:119" x14ac:dyDescent="0.2">
      <c r="DO57483" s="303" t="s">
        <v>232</v>
      </c>
    </row>
    <row r="57484" spans="119:119" x14ac:dyDescent="0.2">
      <c r="DO57484" s="303" t="s">
        <v>232</v>
      </c>
    </row>
    <row r="57485" spans="119:119" x14ac:dyDescent="0.2">
      <c r="DO57485" s="303" t="s">
        <v>232</v>
      </c>
    </row>
    <row r="57486" spans="119:119" x14ac:dyDescent="0.2">
      <c r="DO57486" s="303" t="s">
        <v>232</v>
      </c>
    </row>
    <row r="57487" spans="119:119" x14ac:dyDescent="0.2">
      <c r="DO57487" s="303" t="s">
        <v>232</v>
      </c>
    </row>
    <row r="57488" spans="119:119" x14ac:dyDescent="0.2">
      <c r="DO57488" s="303" t="s">
        <v>232</v>
      </c>
    </row>
    <row r="57489" spans="119:119" x14ac:dyDescent="0.2">
      <c r="DO57489" s="303" t="s">
        <v>232</v>
      </c>
    </row>
    <row r="57490" spans="119:119" x14ac:dyDescent="0.2">
      <c r="DO57490" s="303" t="s">
        <v>232</v>
      </c>
    </row>
    <row r="57491" spans="119:119" x14ac:dyDescent="0.2">
      <c r="DO57491" s="303" t="s">
        <v>232</v>
      </c>
    </row>
    <row r="57492" spans="119:119" x14ac:dyDescent="0.2">
      <c r="DO57492" s="303" t="s">
        <v>232</v>
      </c>
    </row>
    <row r="57493" spans="119:119" x14ac:dyDescent="0.2">
      <c r="DO57493" s="303" t="s">
        <v>232</v>
      </c>
    </row>
    <row r="57494" spans="119:119" x14ac:dyDescent="0.2">
      <c r="DO57494" s="303" t="s">
        <v>232</v>
      </c>
    </row>
    <row r="57495" spans="119:119" x14ac:dyDescent="0.2">
      <c r="DO57495" s="303" t="s">
        <v>232</v>
      </c>
    </row>
    <row r="57496" spans="119:119" x14ac:dyDescent="0.2">
      <c r="DO57496" s="303" t="s">
        <v>232</v>
      </c>
    </row>
    <row r="57497" spans="119:119" x14ac:dyDescent="0.2">
      <c r="DO57497" s="303" t="s">
        <v>232</v>
      </c>
    </row>
    <row r="57498" spans="119:119" x14ac:dyDescent="0.2">
      <c r="DO57498" s="303" t="s">
        <v>232</v>
      </c>
    </row>
    <row r="57499" spans="119:119" x14ac:dyDescent="0.2">
      <c r="DO57499" s="303" t="s">
        <v>232</v>
      </c>
    </row>
    <row r="57500" spans="119:119" x14ac:dyDescent="0.2">
      <c r="DO57500" s="303" t="s">
        <v>232</v>
      </c>
    </row>
    <row r="57501" spans="119:119" x14ac:dyDescent="0.2">
      <c r="DO57501" s="303" t="s">
        <v>232</v>
      </c>
    </row>
    <row r="57502" spans="119:119" x14ac:dyDescent="0.2">
      <c r="DO57502" s="303" t="s">
        <v>232</v>
      </c>
    </row>
    <row r="57503" spans="119:119" x14ac:dyDescent="0.2">
      <c r="DO57503" s="303" t="s">
        <v>232</v>
      </c>
    </row>
    <row r="57504" spans="119:119" x14ac:dyDescent="0.2">
      <c r="DO57504" s="303" t="s">
        <v>232</v>
      </c>
    </row>
    <row r="57505" spans="119:119" x14ac:dyDescent="0.2">
      <c r="DO57505" s="303" t="s">
        <v>232</v>
      </c>
    </row>
    <row r="57506" spans="119:119" x14ac:dyDescent="0.2">
      <c r="DO57506" s="303" t="s">
        <v>232</v>
      </c>
    </row>
    <row r="57507" spans="119:119" x14ac:dyDescent="0.2">
      <c r="DO57507" s="303" t="s">
        <v>232</v>
      </c>
    </row>
    <row r="57508" spans="119:119" x14ac:dyDescent="0.2">
      <c r="DO57508" s="303" t="s">
        <v>232</v>
      </c>
    </row>
    <row r="57509" spans="119:119" x14ac:dyDescent="0.2">
      <c r="DO57509" s="303" t="s">
        <v>232</v>
      </c>
    </row>
    <row r="57510" spans="119:119" x14ac:dyDescent="0.2">
      <c r="DO57510" s="303" t="s">
        <v>232</v>
      </c>
    </row>
    <row r="57511" spans="119:119" x14ac:dyDescent="0.2">
      <c r="DO57511" s="303" t="s">
        <v>232</v>
      </c>
    </row>
    <row r="57512" spans="119:119" x14ac:dyDescent="0.2">
      <c r="DO57512" s="303" t="s">
        <v>232</v>
      </c>
    </row>
    <row r="57513" spans="119:119" x14ac:dyDescent="0.2">
      <c r="DO57513" s="303" t="s">
        <v>232</v>
      </c>
    </row>
    <row r="57514" spans="119:119" x14ac:dyDescent="0.2">
      <c r="DO57514" s="303" t="s">
        <v>232</v>
      </c>
    </row>
    <row r="57515" spans="119:119" x14ac:dyDescent="0.2">
      <c r="DO57515" s="303" t="s">
        <v>232</v>
      </c>
    </row>
    <row r="57516" spans="119:119" x14ac:dyDescent="0.2">
      <c r="DO57516" s="303" t="s">
        <v>232</v>
      </c>
    </row>
    <row r="57517" spans="119:119" x14ac:dyDescent="0.2">
      <c r="DO57517" s="303" t="s">
        <v>232</v>
      </c>
    </row>
    <row r="57518" spans="119:119" x14ac:dyDescent="0.2">
      <c r="DO57518" s="303" t="s">
        <v>232</v>
      </c>
    </row>
    <row r="57519" spans="119:119" x14ac:dyDescent="0.2">
      <c r="DO57519" s="303" t="s">
        <v>232</v>
      </c>
    </row>
    <row r="57520" spans="119:119" x14ac:dyDescent="0.2">
      <c r="DO57520" s="303" t="s">
        <v>232</v>
      </c>
    </row>
    <row r="57521" spans="119:119" x14ac:dyDescent="0.2">
      <c r="DO57521" s="303" t="s">
        <v>232</v>
      </c>
    </row>
    <row r="57522" spans="119:119" x14ac:dyDescent="0.2">
      <c r="DO57522" s="303" t="s">
        <v>232</v>
      </c>
    </row>
    <row r="57523" spans="119:119" x14ac:dyDescent="0.2">
      <c r="DO57523" s="303" t="s">
        <v>232</v>
      </c>
    </row>
    <row r="57524" spans="119:119" x14ac:dyDescent="0.2">
      <c r="DO57524" s="303" t="s">
        <v>232</v>
      </c>
    </row>
    <row r="57525" spans="119:119" x14ac:dyDescent="0.2">
      <c r="DO57525" s="303" t="s">
        <v>232</v>
      </c>
    </row>
    <row r="57526" spans="119:119" x14ac:dyDescent="0.2">
      <c r="DO57526" s="303" t="s">
        <v>232</v>
      </c>
    </row>
    <row r="57527" spans="119:119" x14ac:dyDescent="0.2">
      <c r="DO57527" s="303" t="s">
        <v>232</v>
      </c>
    </row>
    <row r="57528" spans="119:119" x14ac:dyDescent="0.2">
      <c r="DO57528" s="303" t="s">
        <v>232</v>
      </c>
    </row>
    <row r="57529" spans="119:119" x14ac:dyDescent="0.2">
      <c r="DO57529" s="303" t="s">
        <v>232</v>
      </c>
    </row>
    <row r="57530" spans="119:119" x14ac:dyDescent="0.2">
      <c r="DO57530" s="303" t="s">
        <v>232</v>
      </c>
    </row>
    <row r="57531" spans="119:119" x14ac:dyDescent="0.2">
      <c r="DO57531" s="303" t="s">
        <v>232</v>
      </c>
    </row>
    <row r="57532" spans="119:119" x14ac:dyDescent="0.2">
      <c r="DO57532" s="303" t="s">
        <v>232</v>
      </c>
    </row>
    <row r="57533" spans="119:119" x14ac:dyDescent="0.2">
      <c r="DO57533" s="303" t="s">
        <v>232</v>
      </c>
    </row>
    <row r="57534" spans="119:119" x14ac:dyDescent="0.2">
      <c r="DO57534" s="303" t="s">
        <v>232</v>
      </c>
    </row>
    <row r="57535" spans="119:119" x14ac:dyDescent="0.2">
      <c r="DO57535" s="303" t="s">
        <v>232</v>
      </c>
    </row>
    <row r="57536" spans="119:119" x14ac:dyDescent="0.2">
      <c r="DO57536" s="303" t="s">
        <v>232</v>
      </c>
    </row>
    <row r="57537" spans="119:119" x14ac:dyDescent="0.2">
      <c r="DO57537" s="303" t="s">
        <v>232</v>
      </c>
    </row>
    <row r="57538" spans="119:119" x14ac:dyDescent="0.2">
      <c r="DO57538" s="303" t="s">
        <v>232</v>
      </c>
    </row>
    <row r="57539" spans="119:119" x14ac:dyDescent="0.2">
      <c r="DO57539" s="303" t="s">
        <v>232</v>
      </c>
    </row>
    <row r="57540" spans="119:119" x14ac:dyDescent="0.2">
      <c r="DO57540" s="303" t="s">
        <v>232</v>
      </c>
    </row>
    <row r="57541" spans="119:119" x14ac:dyDescent="0.2">
      <c r="DO57541" s="303" t="s">
        <v>232</v>
      </c>
    </row>
    <row r="57542" spans="119:119" x14ac:dyDescent="0.2">
      <c r="DO57542" s="303" t="s">
        <v>232</v>
      </c>
    </row>
    <row r="57543" spans="119:119" x14ac:dyDescent="0.2">
      <c r="DO57543" s="303" t="s">
        <v>232</v>
      </c>
    </row>
    <row r="57544" spans="119:119" x14ac:dyDescent="0.2">
      <c r="DO57544" s="303" t="s">
        <v>232</v>
      </c>
    </row>
    <row r="57545" spans="119:119" x14ac:dyDescent="0.2">
      <c r="DO57545" s="303" t="s">
        <v>232</v>
      </c>
    </row>
    <row r="57546" spans="119:119" x14ac:dyDescent="0.2">
      <c r="DO57546" s="303" t="s">
        <v>232</v>
      </c>
    </row>
    <row r="57547" spans="119:119" x14ac:dyDescent="0.2">
      <c r="DO57547" s="303" t="s">
        <v>232</v>
      </c>
    </row>
    <row r="57548" spans="119:119" x14ac:dyDescent="0.2">
      <c r="DO57548" s="303" t="s">
        <v>232</v>
      </c>
    </row>
    <row r="57549" spans="119:119" x14ac:dyDescent="0.2">
      <c r="DO57549" s="303" t="s">
        <v>232</v>
      </c>
    </row>
    <row r="57550" spans="119:119" x14ac:dyDescent="0.2">
      <c r="DO57550" s="303" t="s">
        <v>232</v>
      </c>
    </row>
    <row r="57551" spans="119:119" x14ac:dyDescent="0.2">
      <c r="DO57551" s="303" t="s">
        <v>232</v>
      </c>
    </row>
    <row r="57552" spans="119:119" x14ac:dyDescent="0.2">
      <c r="DO57552" s="303" t="s">
        <v>232</v>
      </c>
    </row>
    <row r="57553" spans="119:119" x14ac:dyDescent="0.2">
      <c r="DO57553" s="303" t="s">
        <v>232</v>
      </c>
    </row>
    <row r="57554" spans="119:119" x14ac:dyDescent="0.2">
      <c r="DO57554" s="303" t="s">
        <v>232</v>
      </c>
    </row>
    <row r="57555" spans="119:119" x14ac:dyDescent="0.2">
      <c r="DO57555" s="303" t="s">
        <v>232</v>
      </c>
    </row>
    <row r="57556" spans="119:119" x14ac:dyDescent="0.2">
      <c r="DO57556" s="303" t="s">
        <v>232</v>
      </c>
    </row>
    <row r="57557" spans="119:119" x14ac:dyDescent="0.2">
      <c r="DO57557" s="303" t="s">
        <v>232</v>
      </c>
    </row>
    <row r="57558" spans="119:119" x14ac:dyDescent="0.2">
      <c r="DO57558" s="303" t="s">
        <v>232</v>
      </c>
    </row>
    <row r="57559" spans="119:119" x14ac:dyDescent="0.2">
      <c r="DO57559" s="303" t="s">
        <v>232</v>
      </c>
    </row>
    <row r="57560" spans="119:119" x14ac:dyDescent="0.2">
      <c r="DO57560" s="303" t="s">
        <v>232</v>
      </c>
    </row>
    <row r="57561" spans="119:119" x14ac:dyDescent="0.2">
      <c r="DO57561" s="303" t="s">
        <v>232</v>
      </c>
    </row>
    <row r="57562" spans="119:119" x14ac:dyDescent="0.2">
      <c r="DO57562" s="303" t="s">
        <v>232</v>
      </c>
    </row>
    <row r="57563" spans="119:119" x14ac:dyDescent="0.2">
      <c r="DO57563" s="303" t="s">
        <v>232</v>
      </c>
    </row>
    <row r="57564" spans="119:119" x14ac:dyDescent="0.2">
      <c r="DO57564" s="303" t="s">
        <v>232</v>
      </c>
    </row>
    <row r="57565" spans="119:119" x14ac:dyDescent="0.2">
      <c r="DO57565" s="303" t="s">
        <v>232</v>
      </c>
    </row>
    <row r="57566" spans="119:119" x14ac:dyDescent="0.2">
      <c r="DO57566" s="303" t="s">
        <v>232</v>
      </c>
    </row>
    <row r="57567" spans="119:119" x14ac:dyDescent="0.2">
      <c r="DO57567" s="303" t="s">
        <v>232</v>
      </c>
    </row>
    <row r="57568" spans="119:119" x14ac:dyDescent="0.2">
      <c r="DO57568" s="303" t="s">
        <v>232</v>
      </c>
    </row>
    <row r="57569" spans="119:119" x14ac:dyDescent="0.2">
      <c r="DO57569" s="303" t="s">
        <v>232</v>
      </c>
    </row>
    <row r="57570" spans="119:119" x14ac:dyDescent="0.2">
      <c r="DO57570" s="303" t="s">
        <v>232</v>
      </c>
    </row>
    <row r="57571" spans="119:119" x14ac:dyDescent="0.2">
      <c r="DO57571" s="303" t="s">
        <v>232</v>
      </c>
    </row>
    <row r="57572" spans="119:119" x14ac:dyDescent="0.2">
      <c r="DO57572" s="303" t="s">
        <v>232</v>
      </c>
    </row>
    <row r="57573" spans="119:119" x14ac:dyDescent="0.2">
      <c r="DO57573" s="303" t="s">
        <v>232</v>
      </c>
    </row>
    <row r="57574" spans="119:119" x14ac:dyDescent="0.2">
      <c r="DO57574" s="303" t="s">
        <v>232</v>
      </c>
    </row>
    <row r="57575" spans="119:119" x14ac:dyDescent="0.2">
      <c r="DO57575" s="303" t="s">
        <v>232</v>
      </c>
    </row>
    <row r="57576" spans="119:119" x14ac:dyDescent="0.2">
      <c r="DO57576" s="303" t="s">
        <v>232</v>
      </c>
    </row>
    <row r="57577" spans="119:119" x14ac:dyDescent="0.2">
      <c r="DO57577" s="303" t="s">
        <v>232</v>
      </c>
    </row>
    <row r="57578" spans="119:119" x14ac:dyDescent="0.2">
      <c r="DO57578" s="303" t="s">
        <v>232</v>
      </c>
    </row>
    <row r="57579" spans="119:119" x14ac:dyDescent="0.2">
      <c r="DO57579" s="303" t="s">
        <v>232</v>
      </c>
    </row>
    <row r="57580" spans="119:119" x14ac:dyDescent="0.2">
      <c r="DO57580" s="303" t="s">
        <v>232</v>
      </c>
    </row>
    <row r="57581" spans="119:119" x14ac:dyDescent="0.2">
      <c r="DO57581" s="303" t="s">
        <v>232</v>
      </c>
    </row>
    <row r="57582" spans="119:119" x14ac:dyDescent="0.2">
      <c r="DO57582" s="303" t="s">
        <v>232</v>
      </c>
    </row>
    <row r="57583" spans="119:119" x14ac:dyDescent="0.2">
      <c r="DO57583" s="303" t="s">
        <v>232</v>
      </c>
    </row>
    <row r="57584" spans="119:119" x14ac:dyDescent="0.2">
      <c r="DO57584" s="303" t="s">
        <v>232</v>
      </c>
    </row>
    <row r="57585" spans="119:119" x14ac:dyDescent="0.2">
      <c r="DO57585" s="303" t="s">
        <v>232</v>
      </c>
    </row>
    <row r="57586" spans="119:119" x14ac:dyDescent="0.2">
      <c r="DO57586" s="303" t="s">
        <v>232</v>
      </c>
    </row>
    <row r="57587" spans="119:119" x14ac:dyDescent="0.2">
      <c r="DO57587" s="303" t="s">
        <v>232</v>
      </c>
    </row>
    <row r="57588" spans="119:119" x14ac:dyDescent="0.2">
      <c r="DO57588" s="303" t="s">
        <v>232</v>
      </c>
    </row>
    <row r="57589" spans="119:119" x14ac:dyDescent="0.2">
      <c r="DO57589" s="303" t="s">
        <v>232</v>
      </c>
    </row>
    <row r="57590" spans="119:119" x14ac:dyDescent="0.2">
      <c r="DO57590" s="303" t="s">
        <v>232</v>
      </c>
    </row>
    <row r="57591" spans="119:119" x14ac:dyDescent="0.2">
      <c r="DO57591" s="303" t="s">
        <v>232</v>
      </c>
    </row>
    <row r="57592" spans="119:119" x14ac:dyDescent="0.2">
      <c r="DO57592" s="303" t="s">
        <v>232</v>
      </c>
    </row>
    <row r="57593" spans="119:119" x14ac:dyDescent="0.2">
      <c r="DO57593" s="303" t="s">
        <v>232</v>
      </c>
    </row>
    <row r="57594" spans="119:119" x14ac:dyDescent="0.2">
      <c r="DO57594" s="303" t="s">
        <v>232</v>
      </c>
    </row>
    <row r="57595" spans="119:119" x14ac:dyDescent="0.2">
      <c r="DO57595" s="303" t="s">
        <v>232</v>
      </c>
    </row>
    <row r="57596" spans="119:119" x14ac:dyDescent="0.2">
      <c r="DO57596" s="303" t="s">
        <v>232</v>
      </c>
    </row>
    <row r="57597" spans="119:119" x14ac:dyDescent="0.2">
      <c r="DO57597" s="303" t="s">
        <v>232</v>
      </c>
    </row>
    <row r="57598" spans="119:119" x14ac:dyDescent="0.2">
      <c r="DO57598" s="303" t="s">
        <v>232</v>
      </c>
    </row>
    <row r="57599" spans="119:119" x14ac:dyDescent="0.2">
      <c r="DO57599" s="303" t="s">
        <v>232</v>
      </c>
    </row>
    <row r="57600" spans="119:119" x14ac:dyDescent="0.2">
      <c r="DO57600" s="303" t="s">
        <v>232</v>
      </c>
    </row>
    <row r="57601" spans="119:119" x14ac:dyDescent="0.2">
      <c r="DO57601" s="303" t="s">
        <v>232</v>
      </c>
    </row>
    <row r="57602" spans="119:119" x14ac:dyDescent="0.2">
      <c r="DO57602" s="303" t="s">
        <v>232</v>
      </c>
    </row>
    <row r="57603" spans="119:119" x14ac:dyDescent="0.2">
      <c r="DO57603" s="303" t="s">
        <v>232</v>
      </c>
    </row>
    <row r="57604" spans="119:119" x14ac:dyDescent="0.2">
      <c r="DO57604" s="303" t="s">
        <v>232</v>
      </c>
    </row>
    <row r="57605" spans="119:119" x14ac:dyDescent="0.2">
      <c r="DO57605" s="303" t="s">
        <v>232</v>
      </c>
    </row>
    <row r="57606" spans="119:119" x14ac:dyDescent="0.2">
      <c r="DO57606" s="303" t="s">
        <v>232</v>
      </c>
    </row>
    <row r="57607" spans="119:119" x14ac:dyDescent="0.2">
      <c r="DO57607" s="303" t="s">
        <v>232</v>
      </c>
    </row>
    <row r="57608" spans="119:119" x14ac:dyDescent="0.2">
      <c r="DO57608" s="303" t="s">
        <v>232</v>
      </c>
    </row>
    <row r="57609" spans="119:119" x14ac:dyDescent="0.2">
      <c r="DO57609" s="303" t="s">
        <v>232</v>
      </c>
    </row>
    <row r="57610" spans="119:119" x14ac:dyDescent="0.2">
      <c r="DO57610" s="303" t="s">
        <v>232</v>
      </c>
    </row>
    <row r="57611" spans="119:119" x14ac:dyDescent="0.2">
      <c r="DO57611" s="303" t="s">
        <v>232</v>
      </c>
    </row>
    <row r="57612" spans="119:119" x14ac:dyDescent="0.2">
      <c r="DO57612" s="303" t="s">
        <v>232</v>
      </c>
    </row>
    <row r="57613" spans="119:119" x14ac:dyDescent="0.2">
      <c r="DO57613" s="303" t="s">
        <v>232</v>
      </c>
    </row>
    <row r="57614" spans="119:119" x14ac:dyDescent="0.2">
      <c r="DO57614" s="303" t="s">
        <v>232</v>
      </c>
    </row>
    <row r="57615" spans="119:119" x14ac:dyDescent="0.2">
      <c r="DO57615" s="303" t="s">
        <v>232</v>
      </c>
    </row>
    <row r="57616" spans="119:119" x14ac:dyDescent="0.2">
      <c r="DO57616" s="303" t="s">
        <v>232</v>
      </c>
    </row>
    <row r="57617" spans="119:119" x14ac:dyDescent="0.2">
      <c r="DO57617" s="303" t="s">
        <v>232</v>
      </c>
    </row>
    <row r="57618" spans="119:119" x14ac:dyDescent="0.2">
      <c r="DO57618" s="303" t="s">
        <v>232</v>
      </c>
    </row>
    <row r="57619" spans="119:119" x14ac:dyDescent="0.2">
      <c r="DO57619" s="303" t="s">
        <v>232</v>
      </c>
    </row>
    <row r="57620" spans="119:119" x14ac:dyDescent="0.2">
      <c r="DO57620" s="303" t="s">
        <v>232</v>
      </c>
    </row>
    <row r="57621" spans="119:119" x14ac:dyDescent="0.2">
      <c r="DO57621" s="303" t="s">
        <v>232</v>
      </c>
    </row>
    <row r="57622" spans="119:119" x14ac:dyDescent="0.2">
      <c r="DO57622" s="303" t="s">
        <v>232</v>
      </c>
    </row>
    <row r="57623" spans="119:119" x14ac:dyDescent="0.2">
      <c r="DO57623" s="303" t="s">
        <v>232</v>
      </c>
    </row>
    <row r="57624" spans="119:119" x14ac:dyDescent="0.2">
      <c r="DO57624" s="303" t="s">
        <v>232</v>
      </c>
    </row>
    <row r="57625" spans="119:119" x14ac:dyDescent="0.2">
      <c r="DO57625" s="303" t="s">
        <v>232</v>
      </c>
    </row>
    <row r="57626" spans="119:119" x14ac:dyDescent="0.2">
      <c r="DO57626" s="303" t="s">
        <v>232</v>
      </c>
    </row>
    <row r="57627" spans="119:119" x14ac:dyDescent="0.2">
      <c r="DO57627" s="303" t="s">
        <v>232</v>
      </c>
    </row>
    <row r="57628" spans="119:119" x14ac:dyDescent="0.2">
      <c r="DO57628" s="303" t="s">
        <v>232</v>
      </c>
    </row>
    <row r="57629" spans="119:119" x14ac:dyDescent="0.2">
      <c r="DO57629" s="303" t="s">
        <v>232</v>
      </c>
    </row>
    <row r="57630" spans="119:119" x14ac:dyDescent="0.2">
      <c r="DO57630" s="303" t="s">
        <v>232</v>
      </c>
    </row>
    <row r="57631" spans="119:119" x14ac:dyDescent="0.2">
      <c r="DO57631" s="303" t="s">
        <v>232</v>
      </c>
    </row>
    <row r="57632" spans="119:119" x14ac:dyDescent="0.2">
      <c r="DO57632" s="303" t="s">
        <v>232</v>
      </c>
    </row>
    <row r="57633" spans="119:119" x14ac:dyDescent="0.2">
      <c r="DO57633" s="303" t="s">
        <v>232</v>
      </c>
    </row>
    <row r="57634" spans="119:119" x14ac:dyDescent="0.2">
      <c r="DO57634" s="303" t="s">
        <v>232</v>
      </c>
    </row>
    <row r="57635" spans="119:119" x14ac:dyDescent="0.2">
      <c r="DO57635" s="303" t="s">
        <v>232</v>
      </c>
    </row>
    <row r="57636" spans="119:119" x14ac:dyDescent="0.2">
      <c r="DO57636" s="303" t="s">
        <v>232</v>
      </c>
    </row>
    <row r="57637" spans="119:119" x14ac:dyDescent="0.2">
      <c r="DO57637" s="303" t="s">
        <v>232</v>
      </c>
    </row>
    <row r="57638" spans="119:119" x14ac:dyDescent="0.2">
      <c r="DO57638" s="303" t="s">
        <v>232</v>
      </c>
    </row>
    <row r="57639" spans="119:119" x14ac:dyDescent="0.2">
      <c r="DO57639" s="303" t="s">
        <v>232</v>
      </c>
    </row>
    <row r="57640" spans="119:119" x14ac:dyDescent="0.2">
      <c r="DO57640" s="303" t="s">
        <v>232</v>
      </c>
    </row>
    <row r="57641" spans="119:119" x14ac:dyDescent="0.2">
      <c r="DO57641" s="303" t="s">
        <v>232</v>
      </c>
    </row>
    <row r="57642" spans="119:119" x14ac:dyDescent="0.2">
      <c r="DO57642" s="303" t="s">
        <v>232</v>
      </c>
    </row>
    <row r="57643" spans="119:119" x14ac:dyDescent="0.2">
      <c r="DO57643" s="303" t="s">
        <v>232</v>
      </c>
    </row>
    <row r="57644" spans="119:119" x14ac:dyDescent="0.2">
      <c r="DO57644" s="303" t="s">
        <v>232</v>
      </c>
    </row>
    <row r="57645" spans="119:119" x14ac:dyDescent="0.2">
      <c r="DO57645" s="303" t="s">
        <v>232</v>
      </c>
    </row>
    <row r="57646" spans="119:119" x14ac:dyDescent="0.2">
      <c r="DO57646" s="303" t="s">
        <v>232</v>
      </c>
    </row>
    <row r="57647" spans="119:119" x14ac:dyDescent="0.2">
      <c r="DO57647" s="303" t="s">
        <v>232</v>
      </c>
    </row>
    <row r="57648" spans="119:119" x14ac:dyDescent="0.2">
      <c r="DO57648" s="303" t="s">
        <v>232</v>
      </c>
    </row>
    <row r="57649" spans="119:119" x14ac:dyDescent="0.2">
      <c r="DO57649" s="303" t="s">
        <v>232</v>
      </c>
    </row>
    <row r="57650" spans="119:119" x14ac:dyDescent="0.2">
      <c r="DO57650" s="303" t="s">
        <v>232</v>
      </c>
    </row>
    <row r="57651" spans="119:119" x14ac:dyDescent="0.2">
      <c r="DO57651" s="303" t="s">
        <v>232</v>
      </c>
    </row>
    <row r="57652" spans="119:119" x14ac:dyDescent="0.2">
      <c r="DO57652" s="303" t="s">
        <v>232</v>
      </c>
    </row>
    <row r="57653" spans="119:119" x14ac:dyDescent="0.2">
      <c r="DO57653" s="303" t="s">
        <v>232</v>
      </c>
    </row>
    <row r="57654" spans="119:119" x14ac:dyDescent="0.2">
      <c r="DO57654" s="303" t="s">
        <v>232</v>
      </c>
    </row>
    <row r="57655" spans="119:119" x14ac:dyDescent="0.2">
      <c r="DO57655" s="303" t="s">
        <v>232</v>
      </c>
    </row>
    <row r="57656" spans="119:119" x14ac:dyDescent="0.2">
      <c r="DO57656" s="303" t="s">
        <v>232</v>
      </c>
    </row>
    <row r="57657" spans="119:119" x14ac:dyDescent="0.2">
      <c r="DO57657" s="303" t="s">
        <v>232</v>
      </c>
    </row>
    <row r="57658" spans="119:119" x14ac:dyDescent="0.2">
      <c r="DO57658" s="303" t="s">
        <v>232</v>
      </c>
    </row>
    <row r="57659" spans="119:119" x14ac:dyDescent="0.2">
      <c r="DO57659" s="303" t="s">
        <v>232</v>
      </c>
    </row>
    <row r="57660" spans="119:119" x14ac:dyDescent="0.2">
      <c r="DO57660" s="303" t="s">
        <v>232</v>
      </c>
    </row>
    <row r="57661" spans="119:119" x14ac:dyDescent="0.2">
      <c r="DO57661" s="303" t="s">
        <v>232</v>
      </c>
    </row>
    <row r="57662" spans="119:119" x14ac:dyDescent="0.2">
      <c r="DO57662" s="303" t="s">
        <v>232</v>
      </c>
    </row>
    <row r="57663" spans="119:119" x14ac:dyDescent="0.2">
      <c r="DO57663" s="303" t="s">
        <v>232</v>
      </c>
    </row>
    <row r="57664" spans="119:119" x14ac:dyDescent="0.2">
      <c r="DO57664" s="303" t="s">
        <v>232</v>
      </c>
    </row>
    <row r="57665" spans="119:119" x14ac:dyDescent="0.2">
      <c r="DO57665" s="303" t="s">
        <v>232</v>
      </c>
    </row>
    <row r="57666" spans="119:119" x14ac:dyDescent="0.2">
      <c r="DO57666" s="303" t="s">
        <v>232</v>
      </c>
    </row>
    <row r="57667" spans="119:119" x14ac:dyDescent="0.2">
      <c r="DO57667" s="303" t="s">
        <v>232</v>
      </c>
    </row>
    <row r="57668" spans="119:119" x14ac:dyDescent="0.2">
      <c r="DO57668" s="303" t="s">
        <v>232</v>
      </c>
    </row>
    <row r="57669" spans="119:119" x14ac:dyDescent="0.2">
      <c r="DO57669" s="303" t="s">
        <v>232</v>
      </c>
    </row>
    <row r="57670" spans="119:119" x14ac:dyDescent="0.2">
      <c r="DO57670" s="303" t="s">
        <v>232</v>
      </c>
    </row>
    <row r="57671" spans="119:119" x14ac:dyDescent="0.2">
      <c r="DO57671" s="303" t="s">
        <v>232</v>
      </c>
    </row>
    <row r="57672" spans="119:119" x14ac:dyDescent="0.2">
      <c r="DO57672" s="303" t="s">
        <v>232</v>
      </c>
    </row>
    <row r="57673" spans="119:119" x14ac:dyDescent="0.2">
      <c r="DO57673" s="303" t="s">
        <v>232</v>
      </c>
    </row>
    <row r="57674" spans="119:119" x14ac:dyDescent="0.2">
      <c r="DO57674" s="303" t="s">
        <v>232</v>
      </c>
    </row>
    <row r="57675" spans="119:119" x14ac:dyDescent="0.2">
      <c r="DO57675" s="303" t="s">
        <v>232</v>
      </c>
    </row>
    <row r="57676" spans="119:119" x14ac:dyDescent="0.2">
      <c r="DO57676" s="303" t="s">
        <v>232</v>
      </c>
    </row>
    <row r="57677" spans="119:119" x14ac:dyDescent="0.2">
      <c r="DO57677" s="303" t="s">
        <v>232</v>
      </c>
    </row>
    <row r="57678" spans="119:119" x14ac:dyDescent="0.2">
      <c r="DO57678" s="303" t="s">
        <v>232</v>
      </c>
    </row>
    <row r="57679" spans="119:119" x14ac:dyDescent="0.2">
      <c r="DO57679" s="303" t="s">
        <v>232</v>
      </c>
    </row>
    <row r="57680" spans="119:119" x14ac:dyDescent="0.2">
      <c r="DO57680" s="303" t="s">
        <v>232</v>
      </c>
    </row>
    <row r="57681" spans="119:119" x14ac:dyDescent="0.2">
      <c r="DO57681" s="303" t="s">
        <v>232</v>
      </c>
    </row>
    <row r="57682" spans="119:119" x14ac:dyDescent="0.2">
      <c r="DO57682" s="303" t="s">
        <v>232</v>
      </c>
    </row>
    <row r="57683" spans="119:119" x14ac:dyDescent="0.2">
      <c r="DO57683" s="303" t="s">
        <v>232</v>
      </c>
    </row>
    <row r="57684" spans="119:119" x14ac:dyDescent="0.2">
      <c r="DO57684" s="303" t="s">
        <v>232</v>
      </c>
    </row>
    <row r="57685" spans="119:119" x14ac:dyDescent="0.2">
      <c r="DO57685" s="303" t="s">
        <v>232</v>
      </c>
    </row>
    <row r="57686" spans="119:119" x14ac:dyDescent="0.2">
      <c r="DO57686" s="303" t="s">
        <v>232</v>
      </c>
    </row>
    <row r="57687" spans="119:119" x14ac:dyDescent="0.2">
      <c r="DO57687" s="303" t="s">
        <v>232</v>
      </c>
    </row>
    <row r="57688" spans="119:119" x14ac:dyDescent="0.2">
      <c r="DO57688" s="303" t="s">
        <v>232</v>
      </c>
    </row>
    <row r="57689" spans="119:119" x14ac:dyDescent="0.2">
      <c r="DO57689" s="303" t="s">
        <v>232</v>
      </c>
    </row>
    <row r="57690" spans="119:119" x14ac:dyDescent="0.2">
      <c r="DO57690" s="303" t="s">
        <v>232</v>
      </c>
    </row>
    <row r="57691" spans="119:119" x14ac:dyDescent="0.2">
      <c r="DO57691" s="303" t="s">
        <v>232</v>
      </c>
    </row>
    <row r="57692" spans="119:119" x14ac:dyDescent="0.2">
      <c r="DO57692" s="303" t="s">
        <v>232</v>
      </c>
    </row>
    <row r="57693" spans="119:119" x14ac:dyDescent="0.2">
      <c r="DO57693" s="303" t="s">
        <v>232</v>
      </c>
    </row>
    <row r="57694" spans="119:119" x14ac:dyDescent="0.2">
      <c r="DO57694" s="303" t="s">
        <v>232</v>
      </c>
    </row>
    <row r="57695" spans="119:119" x14ac:dyDescent="0.2">
      <c r="DO57695" s="303" t="s">
        <v>232</v>
      </c>
    </row>
    <row r="57696" spans="119:119" x14ac:dyDescent="0.2">
      <c r="DO57696" s="303" t="s">
        <v>232</v>
      </c>
    </row>
    <row r="57697" spans="119:119" x14ac:dyDescent="0.2">
      <c r="DO57697" s="303" t="s">
        <v>232</v>
      </c>
    </row>
    <row r="57698" spans="119:119" x14ac:dyDescent="0.2">
      <c r="DO57698" s="303" t="s">
        <v>232</v>
      </c>
    </row>
    <row r="57699" spans="119:119" x14ac:dyDescent="0.2">
      <c r="DO57699" s="303" t="s">
        <v>232</v>
      </c>
    </row>
    <row r="57700" spans="119:119" x14ac:dyDescent="0.2">
      <c r="DO57700" s="303" t="s">
        <v>232</v>
      </c>
    </row>
    <row r="57701" spans="119:119" x14ac:dyDescent="0.2">
      <c r="DO57701" s="303" t="s">
        <v>232</v>
      </c>
    </row>
    <row r="57702" spans="119:119" x14ac:dyDescent="0.2">
      <c r="DO57702" s="303" t="s">
        <v>232</v>
      </c>
    </row>
    <row r="57703" spans="119:119" x14ac:dyDescent="0.2">
      <c r="DO57703" s="303" t="s">
        <v>232</v>
      </c>
    </row>
    <row r="57704" spans="119:119" x14ac:dyDescent="0.2">
      <c r="DO57704" s="303" t="s">
        <v>232</v>
      </c>
    </row>
    <row r="57705" spans="119:119" x14ac:dyDescent="0.2">
      <c r="DO57705" s="303" t="s">
        <v>232</v>
      </c>
    </row>
    <row r="57706" spans="119:119" x14ac:dyDescent="0.2">
      <c r="DO57706" s="303" t="s">
        <v>232</v>
      </c>
    </row>
    <row r="57707" spans="119:119" x14ac:dyDescent="0.2">
      <c r="DO57707" s="303" t="s">
        <v>232</v>
      </c>
    </row>
    <row r="57708" spans="119:119" x14ac:dyDescent="0.2">
      <c r="DO57708" s="303" t="s">
        <v>232</v>
      </c>
    </row>
    <row r="57709" spans="119:119" x14ac:dyDescent="0.2">
      <c r="DO57709" s="303" t="s">
        <v>232</v>
      </c>
    </row>
    <row r="57710" spans="119:119" x14ac:dyDescent="0.2">
      <c r="DO57710" s="303" t="s">
        <v>232</v>
      </c>
    </row>
    <row r="57711" spans="119:119" x14ac:dyDescent="0.2">
      <c r="DO57711" s="303" t="s">
        <v>232</v>
      </c>
    </row>
    <row r="57712" spans="119:119" x14ac:dyDescent="0.2">
      <c r="DO57712" s="303" t="s">
        <v>232</v>
      </c>
    </row>
    <row r="57713" spans="119:119" x14ac:dyDescent="0.2">
      <c r="DO57713" s="303" t="s">
        <v>232</v>
      </c>
    </row>
    <row r="57714" spans="119:119" x14ac:dyDescent="0.2">
      <c r="DO57714" s="303" t="s">
        <v>232</v>
      </c>
    </row>
    <row r="57715" spans="119:119" x14ac:dyDescent="0.2">
      <c r="DO57715" s="303" t="s">
        <v>232</v>
      </c>
    </row>
    <row r="57716" spans="119:119" x14ac:dyDescent="0.2">
      <c r="DO57716" s="303" t="s">
        <v>232</v>
      </c>
    </row>
    <row r="57717" spans="119:119" x14ac:dyDescent="0.2">
      <c r="DO57717" s="303" t="s">
        <v>232</v>
      </c>
    </row>
    <row r="57718" spans="119:119" x14ac:dyDescent="0.2">
      <c r="DO57718" s="303" t="s">
        <v>232</v>
      </c>
    </row>
    <row r="57719" spans="119:119" x14ac:dyDescent="0.2">
      <c r="DO57719" s="303" t="s">
        <v>232</v>
      </c>
    </row>
    <row r="57720" spans="119:119" x14ac:dyDescent="0.2">
      <c r="DO57720" s="303" t="s">
        <v>232</v>
      </c>
    </row>
    <row r="57721" spans="119:119" x14ac:dyDescent="0.2">
      <c r="DO57721" s="303" t="s">
        <v>232</v>
      </c>
    </row>
    <row r="57722" spans="119:119" x14ac:dyDescent="0.2">
      <c r="DO57722" s="303" t="s">
        <v>232</v>
      </c>
    </row>
    <row r="57723" spans="119:119" x14ac:dyDescent="0.2">
      <c r="DO57723" s="303" t="s">
        <v>232</v>
      </c>
    </row>
    <row r="57724" spans="119:119" x14ac:dyDescent="0.2">
      <c r="DO57724" s="303" t="s">
        <v>232</v>
      </c>
    </row>
    <row r="57725" spans="119:119" x14ac:dyDescent="0.2">
      <c r="DO57725" s="303" t="s">
        <v>232</v>
      </c>
    </row>
    <row r="57726" spans="119:119" x14ac:dyDescent="0.2">
      <c r="DO57726" s="303" t="s">
        <v>232</v>
      </c>
    </row>
    <row r="57727" spans="119:119" x14ac:dyDescent="0.2">
      <c r="DO57727" s="303" t="s">
        <v>232</v>
      </c>
    </row>
    <row r="57728" spans="119:119" x14ac:dyDescent="0.2">
      <c r="DO57728" s="303" t="s">
        <v>232</v>
      </c>
    </row>
    <row r="57729" spans="119:119" x14ac:dyDescent="0.2">
      <c r="DO57729" s="303" t="s">
        <v>232</v>
      </c>
    </row>
    <row r="57730" spans="119:119" x14ac:dyDescent="0.2">
      <c r="DO57730" s="303" t="s">
        <v>232</v>
      </c>
    </row>
    <row r="57731" spans="119:119" x14ac:dyDescent="0.2">
      <c r="DO57731" s="303" t="s">
        <v>232</v>
      </c>
    </row>
    <row r="57732" spans="119:119" x14ac:dyDescent="0.2">
      <c r="DO57732" s="303" t="s">
        <v>232</v>
      </c>
    </row>
    <row r="57733" spans="119:119" x14ac:dyDescent="0.2">
      <c r="DO57733" s="303" t="s">
        <v>232</v>
      </c>
    </row>
    <row r="57734" spans="119:119" x14ac:dyDescent="0.2">
      <c r="DO57734" s="303" t="s">
        <v>232</v>
      </c>
    </row>
    <row r="57735" spans="119:119" x14ac:dyDescent="0.2">
      <c r="DO57735" s="303" t="s">
        <v>232</v>
      </c>
    </row>
    <row r="57736" spans="119:119" x14ac:dyDescent="0.2">
      <c r="DO57736" s="303" t="s">
        <v>232</v>
      </c>
    </row>
    <row r="57737" spans="119:119" x14ac:dyDescent="0.2">
      <c r="DO57737" s="303" t="s">
        <v>232</v>
      </c>
    </row>
    <row r="57738" spans="119:119" x14ac:dyDescent="0.2">
      <c r="DO57738" s="303" t="s">
        <v>232</v>
      </c>
    </row>
    <row r="57739" spans="119:119" x14ac:dyDescent="0.2">
      <c r="DO57739" s="303" t="s">
        <v>232</v>
      </c>
    </row>
    <row r="57740" spans="119:119" x14ac:dyDescent="0.2">
      <c r="DO57740" s="303" t="s">
        <v>232</v>
      </c>
    </row>
    <row r="57741" spans="119:119" x14ac:dyDescent="0.2">
      <c r="DO57741" s="303" t="s">
        <v>232</v>
      </c>
    </row>
    <row r="57742" spans="119:119" x14ac:dyDescent="0.2">
      <c r="DO57742" s="303" t="s">
        <v>232</v>
      </c>
    </row>
    <row r="57743" spans="119:119" x14ac:dyDescent="0.2">
      <c r="DO57743" s="303" t="s">
        <v>232</v>
      </c>
    </row>
    <row r="57744" spans="119:119" x14ac:dyDescent="0.2">
      <c r="DO57744" s="303" t="s">
        <v>232</v>
      </c>
    </row>
    <row r="57745" spans="119:119" x14ac:dyDescent="0.2">
      <c r="DO57745" s="303" t="s">
        <v>232</v>
      </c>
    </row>
    <row r="57746" spans="119:119" x14ac:dyDescent="0.2">
      <c r="DO57746" s="303" t="s">
        <v>232</v>
      </c>
    </row>
    <row r="57747" spans="119:119" x14ac:dyDescent="0.2">
      <c r="DO57747" s="303" t="s">
        <v>232</v>
      </c>
    </row>
    <row r="57748" spans="119:119" x14ac:dyDescent="0.2">
      <c r="DO57748" s="303" t="s">
        <v>232</v>
      </c>
    </row>
    <row r="57749" spans="119:119" x14ac:dyDescent="0.2">
      <c r="DO57749" s="303" t="s">
        <v>232</v>
      </c>
    </row>
    <row r="57750" spans="119:119" x14ac:dyDescent="0.2">
      <c r="DO57750" s="303" t="s">
        <v>232</v>
      </c>
    </row>
    <row r="57751" spans="119:119" x14ac:dyDescent="0.2">
      <c r="DO57751" s="303" t="s">
        <v>232</v>
      </c>
    </row>
    <row r="57752" spans="119:119" x14ac:dyDescent="0.2">
      <c r="DO57752" s="303" t="s">
        <v>232</v>
      </c>
    </row>
    <row r="57753" spans="119:119" x14ac:dyDescent="0.2">
      <c r="DO57753" s="303" t="s">
        <v>232</v>
      </c>
    </row>
    <row r="57754" spans="119:119" x14ac:dyDescent="0.2">
      <c r="DO57754" s="303" t="s">
        <v>232</v>
      </c>
    </row>
    <row r="57755" spans="119:119" x14ac:dyDescent="0.2">
      <c r="DO57755" s="303" t="s">
        <v>232</v>
      </c>
    </row>
    <row r="57756" spans="119:119" x14ac:dyDescent="0.2">
      <c r="DO57756" s="303" t="s">
        <v>232</v>
      </c>
    </row>
    <row r="57757" spans="119:119" x14ac:dyDescent="0.2">
      <c r="DO57757" s="303" t="s">
        <v>232</v>
      </c>
    </row>
    <row r="57758" spans="119:119" x14ac:dyDescent="0.2">
      <c r="DO57758" s="303" t="s">
        <v>232</v>
      </c>
    </row>
    <row r="57759" spans="119:119" x14ac:dyDescent="0.2">
      <c r="DO57759" s="303" t="s">
        <v>232</v>
      </c>
    </row>
    <row r="57760" spans="119:119" x14ac:dyDescent="0.2">
      <c r="DO57760" s="303" t="s">
        <v>232</v>
      </c>
    </row>
    <row r="57761" spans="119:119" x14ac:dyDescent="0.2">
      <c r="DO57761" s="303" t="s">
        <v>232</v>
      </c>
    </row>
    <row r="57762" spans="119:119" x14ac:dyDescent="0.2">
      <c r="DO57762" s="303" t="s">
        <v>232</v>
      </c>
    </row>
    <row r="57763" spans="119:119" x14ac:dyDescent="0.2">
      <c r="DO57763" s="303" t="s">
        <v>232</v>
      </c>
    </row>
    <row r="57764" spans="119:119" x14ac:dyDescent="0.2">
      <c r="DO57764" s="303" t="s">
        <v>232</v>
      </c>
    </row>
    <row r="57765" spans="119:119" x14ac:dyDescent="0.2">
      <c r="DO57765" s="303" t="s">
        <v>232</v>
      </c>
    </row>
    <row r="57766" spans="119:119" x14ac:dyDescent="0.2">
      <c r="DO57766" s="303" t="s">
        <v>232</v>
      </c>
    </row>
    <row r="57767" spans="119:119" x14ac:dyDescent="0.2">
      <c r="DO57767" s="303" t="s">
        <v>232</v>
      </c>
    </row>
    <row r="57768" spans="119:119" x14ac:dyDescent="0.2">
      <c r="DO57768" s="303" t="s">
        <v>232</v>
      </c>
    </row>
    <row r="57769" spans="119:119" x14ac:dyDescent="0.2">
      <c r="DO57769" s="303" t="s">
        <v>232</v>
      </c>
    </row>
    <row r="57770" spans="119:119" x14ac:dyDescent="0.2">
      <c r="DO57770" s="303" t="s">
        <v>232</v>
      </c>
    </row>
    <row r="57771" spans="119:119" x14ac:dyDescent="0.2">
      <c r="DO57771" s="303" t="s">
        <v>232</v>
      </c>
    </row>
    <row r="57772" spans="119:119" x14ac:dyDescent="0.2">
      <c r="DO57772" s="303" t="s">
        <v>232</v>
      </c>
    </row>
    <row r="57773" spans="119:119" x14ac:dyDescent="0.2">
      <c r="DO57773" s="303" t="s">
        <v>232</v>
      </c>
    </row>
    <row r="57774" spans="119:119" x14ac:dyDescent="0.2">
      <c r="DO57774" s="303" t="s">
        <v>232</v>
      </c>
    </row>
    <row r="57775" spans="119:119" x14ac:dyDescent="0.2">
      <c r="DO57775" s="303" t="s">
        <v>232</v>
      </c>
    </row>
    <row r="57776" spans="119:119" x14ac:dyDescent="0.2">
      <c r="DO57776" s="303" t="s">
        <v>232</v>
      </c>
    </row>
    <row r="57777" spans="119:119" x14ac:dyDescent="0.2">
      <c r="DO57777" s="303" t="s">
        <v>232</v>
      </c>
    </row>
    <row r="57778" spans="119:119" x14ac:dyDescent="0.2">
      <c r="DO57778" s="303" t="s">
        <v>232</v>
      </c>
    </row>
    <row r="57779" spans="119:119" x14ac:dyDescent="0.2">
      <c r="DO57779" s="303" t="s">
        <v>232</v>
      </c>
    </row>
    <row r="57780" spans="119:119" x14ac:dyDescent="0.2">
      <c r="DO57780" s="303" t="s">
        <v>232</v>
      </c>
    </row>
    <row r="57781" spans="119:119" x14ac:dyDescent="0.2">
      <c r="DO57781" s="303" t="s">
        <v>232</v>
      </c>
    </row>
    <row r="57782" spans="119:119" x14ac:dyDescent="0.2">
      <c r="DO57782" s="303" t="s">
        <v>232</v>
      </c>
    </row>
    <row r="57783" spans="119:119" x14ac:dyDescent="0.2">
      <c r="DO57783" s="303" t="s">
        <v>232</v>
      </c>
    </row>
    <row r="57784" spans="119:119" x14ac:dyDescent="0.2">
      <c r="DO57784" s="303" t="s">
        <v>232</v>
      </c>
    </row>
    <row r="57785" spans="119:119" x14ac:dyDescent="0.2">
      <c r="DO57785" s="303" t="s">
        <v>232</v>
      </c>
    </row>
    <row r="57786" spans="119:119" x14ac:dyDescent="0.2">
      <c r="DO57786" s="303" t="s">
        <v>232</v>
      </c>
    </row>
    <row r="57787" spans="119:119" x14ac:dyDescent="0.2">
      <c r="DO57787" s="303" t="s">
        <v>232</v>
      </c>
    </row>
    <row r="57788" spans="119:119" x14ac:dyDescent="0.2">
      <c r="DO57788" s="303" t="s">
        <v>232</v>
      </c>
    </row>
    <row r="57789" spans="119:119" x14ac:dyDescent="0.2">
      <c r="DO57789" s="303" t="s">
        <v>232</v>
      </c>
    </row>
    <row r="57790" spans="119:119" x14ac:dyDescent="0.2">
      <c r="DO57790" s="303" t="s">
        <v>232</v>
      </c>
    </row>
    <row r="57791" spans="119:119" x14ac:dyDescent="0.2">
      <c r="DO57791" s="303" t="s">
        <v>232</v>
      </c>
    </row>
    <row r="57792" spans="119:119" x14ac:dyDescent="0.2">
      <c r="DO57792" s="303" t="s">
        <v>232</v>
      </c>
    </row>
    <row r="57793" spans="119:119" x14ac:dyDescent="0.2">
      <c r="DO57793" s="303" t="s">
        <v>232</v>
      </c>
    </row>
    <row r="57794" spans="119:119" x14ac:dyDescent="0.2">
      <c r="DO57794" s="303" t="s">
        <v>232</v>
      </c>
    </row>
    <row r="57795" spans="119:119" x14ac:dyDescent="0.2">
      <c r="DO57795" s="303" t="s">
        <v>232</v>
      </c>
    </row>
    <row r="57796" spans="119:119" x14ac:dyDescent="0.2">
      <c r="DO57796" s="303" t="s">
        <v>232</v>
      </c>
    </row>
    <row r="57797" spans="119:119" x14ac:dyDescent="0.2">
      <c r="DO57797" s="303" t="s">
        <v>232</v>
      </c>
    </row>
    <row r="57798" spans="119:119" x14ac:dyDescent="0.2">
      <c r="DO57798" s="303" t="s">
        <v>232</v>
      </c>
    </row>
    <row r="57799" spans="119:119" x14ac:dyDescent="0.2">
      <c r="DO57799" s="303" t="s">
        <v>232</v>
      </c>
    </row>
    <row r="57800" spans="119:119" x14ac:dyDescent="0.2">
      <c r="DO57800" s="303" t="s">
        <v>232</v>
      </c>
    </row>
    <row r="57801" spans="119:119" x14ac:dyDescent="0.2">
      <c r="DO57801" s="303" t="s">
        <v>232</v>
      </c>
    </row>
    <row r="57802" spans="119:119" x14ac:dyDescent="0.2">
      <c r="DO57802" s="303" t="s">
        <v>232</v>
      </c>
    </row>
    <row r="57803" spans="119:119" x14ac:dyDescent="0.2">
      <c r="DO57803" s="303" t="s">
        <v>232</v>
      </c>
    </row>
    <row r="57804" spans="119:119" x14ac:dyDescent="0.2">
      <c r="DO57804" s="303" t="s">
        <v>232</v>
      </c>
    </row>
    <row r="57805" spans="119:119" x14ac:dyDescent="0.2">
      <c r="DO57805" s="303" t="s">
        <v>232</v>
      </c>
    </row>
    <row r="57806" spans="119:119" x14ac:dyDescent="0.2">
      <c r="DO57806" s="303" t="s">
        <v>232</v>
      </c>
    </row>
    <row r="57807" spans="119:119" x14ac:dyDescent="0.2">
      <c r="DO57807" s="303" t="s">
        <v>232</v>
      </c>
    </row>
    <row r="57808" spans="119:119" x14ac:dyDescent="0.2">
      <c r="DO57808" s="303" t="s">
        <v>232</v>
      </c>
    </row>
    <row r="57809" spans="119:119" x14ac:dyDescent="0.2">
      <c r="DO57809" s="303" t="s">
        <v>232</v>
      </c>
    </row>
    <row r="57810" spans="119:119" x14ac:dyDescent="0.2">
      <c r="DO57810" s="303" t="s">
        <v>232</v>
      </c>
    </row>
    <row r="57811" spans="119:119" x14ac:dyDescent="0.2">
      <c r="DO57811" s="303" t="s">
        <v>232</v>
      </c>
    </row>
    <row r="57812" spans="119:119" x14ac:dyDescent="0.2">
      <c r="DO57812" s="303" t="s">
        <v>232</v>
      </c>
    </row>
    <row r="57813" spans="119:119" x14ac:dyDescent="0.2">
      <c r="DO57813" s="303" t="s">
        <v>232</v>
      </c>
    </row>
    <row r="57814" spans="119:119" x14ac:dyDescent="0.2">
      <c r="DO57814" s="303" t="s">
        <v>232</v>
      </c>
    </row>
    <row r="57815" spans="119:119" x14ac:dyDescent="0.2">
      <c r="DO57815" s="303" t="s">
        <v>232</v>
      </c>
    </row>
    <row r="57816" spans="119:119" x14ac:dyDescent="0.2">
      <c r="DO57816" s="303" t="s">
        <v>232</v>
      </c>
    </row>
    <row r="57817" spans="119:119" x14ac:dyDescent="0.2">
      <c r="DO57817" s="303" t="s">
        <v>232</v>
      </c>
    </row>
    <row r="57818" spans="119:119" x14ac:dyDescent="0.2">
      <c r="DO57818" s="303" t="s">
        <v>232</v>
      </c>
    </row>
    <row r="57819" spans="119:119" x14ac:dyDescent="0.2">
      <c r="DO57819" s="303" t="s">
        <v>232</v>
      </c>
    </row>
    <row r="57820" spans="119:119" x14ac:dyDescent="0.2">
      <c r="DO57820" s="303" t="s">
        <v>232</v>
      </c>
    </row>
    <row r="57821" spans="119:119" x14ac:dyDescent="0.2">
      <c r="DO57821" s="303" t="s">
        <v>232</v>
      </c>
    </row>
    <row r="57822" spans="119:119" x14ac:dyDescent="0.2">
      <c r="DO57822" s="303" t="s">
        <v>232</v>
      </c>
    </row>
    <row r="57823" spans="119:119" x14ac:dyDescent="0.2">
      <c r="DO57823" s="303" t="s">
        <v>232</v>
      </c>
    </row>
    <row r="57824" spans="119:119" x14ac:dyDescent="0.2">
      <c r="DO57824" s="303" t="s">
        <v>232</v>
      </c>
    </row>
    <row r="57825" spans="119:119" x14ac:dyDescent="0.2">
      <c r="DO57825" s="303" t="s">
        <v>232</v>
      </c>
    </row>
    <row r="57826" spans="119:119" x14ac:dyDescent="0.2">
      <c r="DO57826" s="303" t="s">
        <v>232</v>
      </c>
    </row>
    <row r="57827" spans="119:119" x14ac:dyDescent="0.2">
      <c r="DO57827" s="303" t="s">
        <v>232</v>
      </c>
    </row>
    <row r="57828" spans="119:119" x14ac:dyDescent="0.2">
      <c r="DO57828" s="303" t="s">
        <v>232</v>
      </c>
    </row>
    <row r="57829" spans="119:119" x14ac:dyDescent="0.2">
      <c r="DO57829" s="303" t="s">
        <v>232</v>
      </c>
    </row>
    <row r="57830" spans="119:119" x14ac:dyDescent="0.2">
      <c r="DO57830" s="303" t="s">
        <v>232</v>
      </c>
    </row>
    <row r="57831" spans="119:119" x14ac:dyDescent="0.2">
      <c r="DO57831" s="303" t="s">
        <v>232</v>
      </c>
    </row>
    <row r="57832" spans="119:119" x14ac:dyDescent="0.2">
      <c r="DO57832" s="303" t="s">
        <v>232</v>
      </c>
    </row>
    <row r="57833" spans="119:119" x14ac:dyDescent="0.2">
      <c r="DO57833" s="303" t="s">
        <v>232</v>
      </c>
    </row>
    <row r="57834" spans="119:119" x14ac:dyDescent="0.2">
      <c r="DO57834" s="303" t="s">
        <v>232</v>
      </c>
    </row>
    <row r="57835" spans="119:119" x14ac:dyDescent="0.2">
      <c r="DO57835" s="303" t="s">
        <v>232</v>
      </c>
    </row>
    <row r="57836" spans="119:119" x14ac:dyDescent="0.2">
      <c r="DO57836" s="303" t="s">
        <v>232</v>
      </c>
    </row>
    <row r="57837" spans="119:119" x14ac:dyDescent="0.2">
      <c r="DO57837" s="303" t="s">
        <v>232</v>
      </c>
    </row>
    <row r="57838" spans="119:119" x14ac:dyDescent="0.2">
      <c r="DO57838" s="303" t="s">
        <v>232</v>
      </c>
    </row>
    <row r="57839" spans="119:119" x14ac:dyDescent="0.2">
      <c r="DO57839" s="303" t="s">
        <v>232</v>
      </c>
    </row>
    <row r="57840" spans="119:119" x14ac:dyDescent="0.2">
      <c r="DO57840" s="303" t="s">
        <v>232</v>
      </c>
    </row>
    <row r="57841" spans="119:119" x14ac:dyDescent="0.2">
      <c r="DO57841" s="303" t="s">
        <v>232</v>
      </c>
    </row>
    <row r="57842" spans="119:119" x14ac:dyDescent="0.2">
      <c r="DO57842" s="303" t="s">
        <v>232</v>
      </c>
    </row>
    <row r="57843" spans="119:119" x14ac:dyDescent="0.2">
      <c r="DO57843" s="303" t="s">
        <v>232</v>
      </c>
    </row>
    <row r="57844" spans="119:119" x14ac:dyDescent="0.2">
      <c r="DO57844" s="303" t="s">
        <v>232</v>
      </c>
    </row>
    <row r="57845" spans="119:119" x14ac:dyDescent="0.2">
      <c r="DO57845" s="303" t="s">
        <v>232</v>
      </c>
    </row>
    <row r="57846" spans="119:119" x14ac:dyDescent="0.2">
      <c r="DO57846" s="303" t="s">
        <v>232</v>
      </c>
    </row>
    <row r="57847" spans="119:119" x14ac:dyDescent="0.2">
      <c r="DO57847" s="303" t="s">
        <v>232</v>
      </c>
    </row>
    <row r="57848" spans="119:119" x14ac:dyDescent="0.2">
      <c r="DO57848" s="303" t="s">
        <v>232</v>
      </c>
    </row>
    <row r="57849" spans="119:119" x14ac:dyDescent="0.2">
      <c r="DO57849" s="303" t="s">
        <v>232</v>
      </c>
    </row>
    <row r="57850" spans="119:119" x14ac:dyDescent="0.2">
      <c r="DO57850" s="303" t="s">
        <v>232</v>
      </c>
    </row>
    <row r="57851" spans="119:119" x14ac:dyDescent="0.2">
      <c r="DO57851" s="303" t="s">
        <v>232</v>
      </c>
    </row>
    <row r="57852" spans="119:119" x14ac:dyDescent="0.2">
      <c r="DO57852" s="303" t="s">
        <v>232</v>
      </c>
    </row>
    <row r="57853" spans="119:119" x14ac:dyDescent="0.2">
      <c r="DO57853" s="303" t="s">
        <v>232</v>
      </c>
    </row>
    <row r="57854" spans="119:119" x14ac:dyDescent="0.2">
      <c r="DO57854" s="303" t="s">
        <v>232</v>
      </c>
    </row>
    <row r="57855" spans="119:119" x14ac:dyDescent="0.2">
      <c r="DO57855" s="303" t="s">
        <v>232</v>
      </c>
    </row>
    <row r="57856" spans="119:119" x14ac:dyDescent="0.2">
      <c r="DO57856" s="303" t="s">
        <v>232</v>
      </c>
    </row>
    <row r="57857" spans="119:119" x14ac:dyDescent="0.2">
      <c r="DO57857" s="303" t="s">
        <v>232</v>
      </c>
    </row>
    <row r="57858" spans="119:119" x14ac:dyDescent="0.2">
      <c r="DO57858" s="303" t="s">
        <v>232</v>
      </c>
    </row>
    <row r="57859" spans="119:119" x14ac:dyDescent="0.2">
      <c r="DO57859" s="303" t="s">
        <v>232</v>
      </c>
    </row>
    <row r="57860" spans="119:119" x14ac:dyDescent="0.2">
      <c r="DO57860" s="303" t="s">
        <v>232</v>
      </c>
    </row>
    <row r="57861" spans="119:119" x14ac:dyDescent="0.2">
      <c r="DO57861" s="303" t="s">
        <v>232</v>
      </c>
    </row>
    <row r="57862" spans="119:119" x14ac:dyDescent="0.2">
      <c r="DO57862" s="303" t="s">
        <v>232</v>
      </c>
    </row>
    <row r="57863" spans="119:119" x14ac:dyDescent="0.2">
      <c r="DO57863" s="303" t="s">
        <v>232</v>
      </c>
    </row>
    <row r="57864" spans="119:119" x14ac:dyDescent="0.2">
      <c r="DO57864" s="303" t="s">
        <v>232</v>
      </c>
    </row>
    <row r="57865" spans="119:119" x14ac:dyDescent="0.2">
      <c r="DO57865" s="303" t="s">
        <v>232</v>
      </c>
    </row>
    <row r="57866" spans="119:119" x14ac:dyDescent="0.2">
      <c r="DO57866" s="303" t="s">
        <v>232</v>
      </c>
    </row>
    <row r="57867" spans="119:119" x14ac:dyDescent="0.2">
      <c r="DO57867" s="303" t="s">
        <v>232</v>
      </c>
    </row>
    <row r="57868" spans="119:119" x14ac:dyDescent="0.2">
      <c r="DO57868" s="303" t="s">
        <v>232</v>
      </c>
    </row>
    <row r="57869" spans="119:119" x14ac:dyDescent="0.2">
      <c r="DO57869" s="303" t="s">
        <v>232</v>
      </c>
    </row>
    <row r="57870" spans="119:119" x14ac:dyDescent="0.2">
      <c r="DO57870" s="303" t="s">
        <v>232</v>
      </c>
    </row>
    <row r="57871" spans="119:119" x14ac:dyDescent="0.2">
      <c r="DO57871" s="303" t="s">
        <v>232</v>
      </c>
    </row>
    <row r="57872" spans="119:119" x14ac:dyDescent="0.2">
      <c r="DO57872" s="303" t="s">
        <v>232</v>
      </c>
    </row>
    <row r="57873" spans="119:119" x14ac:dyDescent="0.2">
      <c r="DO57873" s="303" t="s">
        <v>232</v>
      </c>
    </row>
    <row r="57874" spans="119:119" x14ac:dyDescent="0.2">
      <c r="DO57874" s="303" t="s">
        <v>232</v>
      </c>
    </row>
    <row r="57875" spans="119:119" x14ac:dyDescent="0.2">
      <c r="DO57875" s="303" t="s">
        <v>232</v>
      </c>
    </row>
    <row r="57876" spans="119:119" x14ac:dyDescent="0.2">
      <c r="DO57876" s="303" t="s">
        <v>232</v>
      </c>
    </row>
    <row r="57877" spans="119:119" x14ac:dyDescent="0.2">
      <c r="DO57877" s="303" t="s">
        <v>232</v>
      </c>
    </row>
    <row r="57878" spans="119:119" x14ac:dyDescent="0.2">
      <c r="DO57878" s="303" t="s">
        <v>232</v>
      </c>
    </row>
    <row r="57879" spans="119:119" x14ac:dyDescent="0.2">
      <c r="DO57879" s="303" t="s">
        <v>232</v>
      </c>
    </row>
    <row r="57880" spans="119:119" x14ac:dyDescent="0.2">
      <c r="DO57880" s="303" t="s">
        <v>232</v>
      </c>
    </row>
    <row r="57881" spans="119:119" x14ac:dyDescent="0.2">
      <c r="DO57881" s="303" t="s">
        <v>232</v>
      </c>
    </row>
    <row r="57882" spans="119:119" x14ac:dyDescent="0.2">
      <c r="DO57882" s="303" t="s">
        <v>232</v>
      </c>
    </row>
    <row r="57883" spans="119:119" x14ac:dyDescent="0.2">
      <c r="DO57883" s="303" t="s">
        <v>232</v>
      </c>
    </row>
    <row r="57884" spans="119:119" x14ac:dyDescent="0.2">
      <c r="DO57884" s="303" t="s">
        <v>232</v>
      </c>
    </row>
    <row r="57885" spans="119:119" x14ac:dyDescent="0.2">
      <c r="DO57885" s="303" t="s">
        <v>232</v>
      </c>
    </row>
    <row r="57886" spans="119:119" x14ac:dyDescent="0.2">
      <c r="DO57886" s="303" t="s">
        <v>232</v>
      </c>
    </row>
    <row r="57887" spans="119:119" x14ac:dyDescent="0.2">
      <c r="DO57887" s="303" t="s">
        <v>232</v>
      </c>
    </row>
    <row r="57888" spans="119:119" x14ac:dyDescent="0.2">
      <c r="DO57888" s="303" t="s">
        <v>232</v>
      </c>
    </row>
    <row r="57889" spans="119:119" x14ac:dyDescent="0.2">
      <c r="DO57889" s="303" t="s">
        <v>232</v>
      </c>
    </row>
    <row r="57890" spans="119:119" x14ac:dyDescent="0.2">
      <c r="DO57890" s="303" t="s">
        <v>232</v>
      </c>
    </row>
    <row r="57891" spans="119:119" x14ac:dyDescent="0.2">
      <c r="DO57891" s="303" t="s">
        <v>232</v>
      </c>
    </row>
    <row r="57892" spans="119:119" x14ac:dyDescent="0.2">
      <c r="DO57892" s="303" t="s">
        <v>232</v>
      </c>
    </row>
    <row r="57893" spans="119:119" x14ac:dyDescent="0.2">
      <c r="DO57893" s="303" t="s">
        <v>232</v>
      </c>
    </row>
    <row r="57894" spans="119:119" x14ac:dyDescent="0.2">
      <c r="DO57894" s="303" t="s">
        <v>232</v>
      </c>
    </row>
    <row r="57895" spans="119:119" x14ac:dyDescent="0.2">
      <c r="DO57895" s="303" t="s">
        <v>232</v>
      </c>
    </row>
    <row r="57896" spans="119:119" x14ac:dyDescent="0.2">
      <c r="DO57896" s="303" t="s">
        <v>232</v>
      </c>
    </row>
    <row r="57897" spans="119:119" x14ac:dyDescent="0.2">
      <c r="DO57897" s="303" t="s">
        <v>232</v>
      </c>
    </row>
    <row r="57898" spans="119:119" x14ac:dyDescent="0.2">
      <c r="DO57898" s="303" t="s">
        <v>232</v>
      </c>
    </row>
    <row r="57899" spans="119:119" x14ac:dyDescent="0.2">
      <c r="DO57899" s="303" t="s">
        <v>232</v>
      </c>
    </row>
    <row r="57900" spans="119:119" x14ac:dyDescent="0.2">
      <c r="DO57900" s="303" t="s">
        <v>232</v>
      </c>
    </row>
    <row r="57901" spans="119:119" x14ac:dyDescent="0.2">
      <c r="DO57901" s="303" t="s">
        <v>232</v>
      </c>
    </row>
    <row r="57902" spans="119:119" x14ac:dyDescent="0.2">
      <c r="DO57902" s="303" t="s">
        <v>232</v>
      </c>
    </row>
    <row r="57903" spans="119:119" x14ac:dyDescent="0.2">
      <c r="DO57903" s="303" t="s">
        <v>232</v>
      </c>
    </row>
    <row r="57904" spans="119:119" x14ac:dyDescent="0.2">
      <c r="DO57904" s="303" t="s">
        <v>232</v>
      </c>
    </row>
    <row r="57905" spans="119:119" x14ac:dyDescent="0.2">
      <c r="DO57905" s="303" t="s">
        <v>232</v>
      </c>
    </row>
    <row r="57906" spans="119:119" x14ac:dyDescent="0.2">
      <c r="DO57906" s="303" t="s">
        <v>232</v>
      </c>
    </row>
    <row r="57907" spans="119:119" x14ac:dyDescent="0.2">
      <c r="DO57907" s="303" t="s">
        <v>232</v>
      </c>
    </row>
    <row r="57908" spans="119:119" x14ac:dyDescent="0.2">
      <c r="DO57908" s="303" t="s">
        <v>232</v>
      </c>
    </row>
    <row r="57909" spans="119:119" x14ac:dyDescent="0.2">
      <c r="DO57909" s="303" t="s">
        <v>232</v>
      </c>
    </row>
    <row r="57910" spans="119:119" x14ac:dyDescent="0.2">
      <c r="DO57910" s="303" t="s">
        <v>232</v>
      </c>
    </row>
    <row r="57911" spans="119:119" x14ac:dyDescent="0.2">
      <c r="DO57911" s="303" t="s">
        <v>232</v>
      </c>
    </row>
    <row r="57912" spans="119:119" x14ac:dyDescent="0.2">
      <c r="DO57912" s="303" t="s">
        <v>232</v>
      </c>
    </row>
    <row r="57913" spans="119:119" x14ac:dyDescent="0.2">
      <c r="DO57913" s="303" t="s">
        <v>232</v>
      </c>
    </row>
    <row r="57914" spans="119:119" x14ac:dyDescent="0.2">
      <c r="DO57914" s="303" t="s">
        <v>232</v>
      </c>
    </row>
    <row r="57915" spans="119:119" x14ac:dyDescent="0.2">
      <c r="DO57915" s="303" t="s">
        <v>232</v>
      </c>
    </row>
    <row r="57916" spans="119:119" x14ac:dyDescent="0.2">
      <c r="DO57916" s="303" t="s">
        <v>232</v>
      </c>
    </row>
    <row r="57917" spans="119:119" x14ac:dyDescent="0.2">
      <c r="DO57917" s="303" t="s">
        <v>232</v>
      </c>
    </row>
    <row r="57918" spans="119:119" x14ac:dyDescent="0.2">
      <c r="DO57918" s="303" t="s">
        <v>232</v>
      </c>
    </row>
    <row r="57919" spans="119:119" x14ac:dyDescent="0.2">
      <c r="DO57919" s="303" t="s">
        <v>232</v>
      </c>
    </row>
    <row r="57920" spans="119:119" x14ac:dyDescent="0.2">
      <c r="DO57920" s="303" t="s">
        <v>232</v>
      </c>
    </row>
    <row r="57921" spans="119:119" x14ac:dyDescent="0.2">
      <c r="DO57921" s="303" t="s">
        <v>232</v>
      </c>
    </row>
    <row r="57922" spans="119:119" x14ac:dyDescent="0.2">
      <c r="DO57922" s="303" t="s">
        <v>232</v>
      </c>
    </row>
    <row r="57923" spans="119:119" x14ac:dyDescent="0.2">
      <c r="DO57923" s="303" t="s">
        <v>232</v>
      </c>
    </row>
    <row r="57924" spans="119:119" x14ac:dyDescent="0.2">
      <c r="DO57924" s="303" t="s">
        <v>232</v>
      </c>
    </row>
    <row r="57925" spans="119:119" x14ac:dyDescent="0.2">
      <c r="DO57925" s="303" t="s">
        <v>232</v>
      </c>
    </row>
    <row r="57926" spans="119:119" x14ac:dyDescent="0.2">
      <c r="DO57926" s="303" t="s">
        <v>232</v>
      </c>
    </row>
    <row r="57927" spans="119:119" x14ac:dyDescent="0.2">
      <c r="DO57927" s="303" t="s">
        <v>232</v>
      </c>
    </row>
    <row r="57928" spans="119:119" x14ac:dyDescent="0.2">
      <c r="DO57928" s="303" t="s">
        <v>232</v>
      </c>
    </row>
    <row r="57929" spans="119:119" x14ac:dyDescent="0.2">
      <c r="DO57929" s="303" t="s">
        <v>232</v>
      </c>
    </row>
    <row r="57930" spans="119:119" x14ac:dyDescent="0.2">
      <c r="DO57930" s="303" t="s">
        <v>232</v>
      </c>
    </row>
    <row r="57931" spans="119:119" x14ac:dyDescent="0.2">
      <c r="DO57931" s="303" t="s">
        <v>232</v>
      </c>
    </row>
    <row r="57932" spans="119:119" x14ac:dyDescent="0.2">
      <c r="DO57932" s="303" t="s">
        <v>232</v>
      </c>
    </row>
    <row r="57933" spans="119:119" x14ac:dyDescent="0.2">
      <c r="DO57933" s="303" t="s">
        <v>232</v>
      </c>
    </row>
    <row r="57934" spans="119:119" x14ac:dyDescent="0.2">
      <c r="DO57934" s="303" t="s">
        <v>232</v>
      </c>
    </row>
    <row r="57935" spans="119:119" x14ac:dyDescent="0.2">
      <c r="DO57935" s="303" t="s">
        <v>232</v>
      </c>
    </row>
    <row r="57936" spans="119:119" x14ac:dyDescent="0.2">
      <c r="DO57936" s="303" t="s">
        <v>232</v>
      </c>
    </row>
    <row r="57937" spans="119:119" x14ac:dyDescent="0.2">
      <c r="DO57937" s="303" t="s">
        <v>232</v>
      </c>
    </row>
    <row r="57938" spans="119:119" x14ac:dyDescent="0.2">
      <c r="DO57938" s="303" t="s">
        <v>232</v>
      </c>
    </row>
    <row r="57939" spans="119:119" x14ac:dyDescent="0.2">
      <c r="DO57939" s="303" t="s">
        <v>232</v>
      </c>
    </row>
    <row r="57940" spans="119:119" x14ac:dyDescent="0.2">
      <c r="DO57940" s="303" t="s">
        <v>232</v>
      </c>
    </row>
    <row r="57941" spans="119:119" x14ac:dyDescent="0.2">
      <c r="DO57941" s="303" t="s">
        <v>232</v>
      </c>
    </row>
    <row r="57942" spans="119:119" x14ac:dyDescent="0.2">
      <c r="DO57942" s="303" t="s">
        <v>232</v>
      </c>
    </row>
    <row r="57943" spans="119:119" x14ac:dyDescent="0.2">
      <c r="DO57943" s="303" t="s">
        <v>232</v>
      </c>
    </row>
    <row r="57944" spans="119:119" x14ac:dyDescent="0.2">
      <c r="DO57944" s="303" t="s">
        <v>232</v>
      </c>
    </row>
    <row r="57945" spans="119:119" x14ac:dyDescent="0.2">
      <c r="DO57945" s="303" t="s">
        <v>232</v>
      </c>
    </row>
    <row r="57946" spans="119:119" x14ac:dyDescent="0.2">
      <c r="DO57946" s="303" t="s">
        <v>232</v>
      </c>
    </row>
    <row r="57947" spans="119:119" x14ac:dyDescent="0.2">
      <c r="DO57947" s="303" t="s">
        <v>232</v>
      </c>
    </row>
    <row r="57948" spans="119:119" x14ac:dyDescent="0.2">
      <c r="DO57948" s="303" t="s">
        <v>232</v>
      </c>
    </row>
    <row r="57949" spans="119:119" x14ac:dyDescent="0.2">
      <c r="DO57949" s="303" t="s">
        <v>232</v>
      </c>
    </row>
    <row r="57950" spans="119:119" x14ac:dyDescent="0.2">
      <c r="DO57950" s="303" t="s">
        <v>232</v>
      </c>
    </row>
    <row r="57951" spans="119:119" x14ac:dyDescent="0.2">
      <c r="DO57951" s="303" t="s">
        <v>232</v>
      </c>
    </row>
    <row r="57952" spans="119:119" x14ac:dyDescent="0.2">
      <c r="DO57952" s="303" t="s">
        <v>232</v>
      </c>
    </row>
    <row r="57953" spans="119:119" x14ac:dyDescent="0.2">
      <c r="DO57953" s="303" t="s">
        <v>232</v>
      </c>
    </row>
    <row r="57954" spans="119:119" x14ac:dyDescent="0.2">
      <c r="DO57954" s="303" t="s">
        <v>232</v>
      </c>
    </row>
    <row r="57955" spans="119:119" x14ac:dyDescent="0.2">
      <c r="DO57955" s="303" t="s">
        <v>232</v>
      </c>
    </row>
    <row r="57956" spans="119:119" x14ac:dyDescent="0.2">
      <c r="DO57956" s="303" t="s">
        <v>232</v>
      </c>
    </row>
    <row r="57957" spans="119:119" x14ac:dyDescent="0.2">
      <c r="DO57957" s="303" t="s">
        <v>232</v>
      </c>
    </row>
    <row r="57958" spans="119:119" x14ac:dyDescent="0.2">
      <c r="DO57958" s="303" t="s">
        <v>232</v>
      </c>
    </row>
    <row r="57959" spans="119:119" x14ac:dyDescent="0.2">
      <c r="DO57959" s="303" t="s">
        <v>232</v>
      </c>
    </row>
    <row r="57960" spans="119:119" x14ac:dyDescent="0.2">
      <c r="DO57960" s="303" t="s">
        <v>232</v>
      </c>
    </row>
    <row r="57961" spans="119:119" x14ac:dyDescent="0.2">
      <c r="DO57961" s="303" t="s">
        <v>232</v>
      </c>
    </row>
    <row r="57962" spans="119:119" x14ac:dyDescent="0.2">
      <c r="DO57962" s="303" t="s">
        <v>232</v>
      </c>
    </row>
    <row r="57963" spans="119:119" x14ac:dyDescent="0.2">
      <c r="DO57963" s="303" t="s">
        <v>232</v>
      </c>
    </row>
    <row r="57964" spans="119:119" x14ac:dyDescent="0.2">
      <c r="DO57964" s="303" t="s">
        <v>232</v>
      </c>
    </row>
    <row r="57965" spans="119:119" x14ac:dyDescent="0.2">
      <c r="DO57965" s="303" t="s">
        <v>232</v>
      </c>
    </row>
    <row r="57966" spans="119:119" x14ac:dyDescent="0.2">
      <c r="DO57966" s="303" t="s">
        <v>232</v>
      </c>
    </row>
    <row r="57967" spans="119:119" x14ac:dyDescent="0.2">
      <c r="DO57967" s="303" t="s">
        <v>232</v>
      </c>
    </row>
    <row r="57968" spans="119:119" x14ac:dyDescent="0.2">
      <c r="DO57968" s="303" t="s">
        <v>232</v>
      </c>
    </row>
    <row r="57969" spans="119:119" x14ac:dyDescent="0.2">
      <c r="DO57969" s="303" t="s">
        <v>232</v>
      </c>
    </row>
    <row r="57970" spans="119:119" x14ac:dyDescent="0.2">
      <c r="DO57970" s="303" t="s">
        <v>232</v>
      </c>
    </row>
    <row r="57971" spans="119:119" x14ac:dyDescent="0.2">
      <c r="DO57971" s="303" t="s">
        <v>232</v>
      </c>
    </row>
    <row r="57972" spans="119:119" x14ac:dyDescent="0.2">
      <c r="DO57972" s="303" t="s">
        <v>232</v>
      </c>
    </row>
    <row r="57973" spans="119:119" x14ac:dyDescent="0.2">
      <c r="DO57973" s="303" t="s">
        <v>232</v>
      </c>
    </row>
    <row r="57974" spans="119:119" x14ac:dyDescent="0.2">
      <c r="DO57974" s="303" t="s">
        <v>232</v>
      </c>
    </row>
    <row r="57975" spans="119:119" x14ac:dyDescent="0.2">
      <c r="DO57975" s="303" t="s">
        <v>232</v>
      </c>
    </row>
    <row r="57976" spans="119:119" x14ac:dyDescent="0.2">
      <c r="DO57976" s="303" t="s">
        <v>232</v>
      </c>
    </row>
    <row r="57977" spans="119:119" x14ac:dyDescent="0.2">
      <c r="DO57977" s="303" t="s">
        <v>232</v>
      </c>
    </row>
    <row r="57978" spans="119:119" x14ac:dyDescent="0.2">
      <c r="DO57978" s="303" t="s">
        <v>232</v>
      </c>
    </row>
    <row r="57979" spans="119:119" x14ac:dyDescent="0.2">
      <c r="DO57979" s="303" t="s">
        <v>232</v>
      </c>
    </row>
    <row r="57980" spans="119:119" x14ac:dyDescent="0.2">
      <c r="DO57980" s="303" t="s">
        <v>232</v>
      </c>
    </row>
    <row r="57981" spans="119:119" x14ac:dyDescent="0.2">
      <c r="DO57981" s="303" t="s">
        <v>232</v>
      </c>
    </row>
    <row r="57982" spans="119:119" x14ac:dyDescent="0.2">
      <c r="DO57982" s="303" t="s">
        <v>232</v>
      </c>
    </row>
    <row r="57983" spans="119:119" x14ac:dyDescent="0.2">
      <c r="DO57983" s="303" t="s">
        <v>232</v>
      </c>
    </row>
    <row r="57984" spans="119:119" x14ac:dyDescent="0.2">
      <c r="DO57984" s="303" t="s">
        <v>232</v>
      </c>
    </row>
    <row r="57985" spans="119:119" x14ac:dyDescent="0.2">
      <c r="DO57985" s="303" t="s">
        <v>232</v>
      </c>
    </row>
    <row r="57986" spans="119:119" x14ac:dyDescent="0.2">
      <c r="DO57986" s="303" t="s">
        <v>232</v>
      </c>
    </row>
    <row r="57987" spans="119:119" x14ac:dyDescent="0.2">
      <c r="DO57987" s="303" t="s">
        <v>232</v>
      </c>
    </row>
    <row r="57988" spans="119:119" x14ac:dyDescent="0.2">
      <c r="DO57988" s="303" t="s">
        <v>232</v>
      </c>
    </row>
    <row r="57989" spans="119:119" x14ac:dyDescent="0.2">
      <c r="DO57989" s="303" t="s">
        <v>232</v>
      </c>
    </row>
    <row r="57990" spans="119:119" x14ac:dyDescent="0.2">
      <c r="DO57990" s="303" t="s">
        <v>232</v>
      </c>
    </row>
    <row r="57991" spans="119:119" x14ac:dyDescent="0.2">
      <c r="DO57991" s="303" t="s">
        <v>232</v>
      </c>
    </row>
    <row r="57992" spans="119:119" x14ac:dyDescent="0.2">
      <c r="DO57992" s="303" t="s">
        <v>232</v>
      </c>
    </row>
    <row r="57993" spans="119:119" x14ac:dyDescent="0.2">
      <c r="DO57993" s="303" t="s">
        <v>232</v>
      </c>
    </row>
    <row r="57994" spans="119:119" x14ac:dyDescent="0.2">
      <c r="DO57994" s="303" t="s">
        <v>232</v>
      </c>
    </row>
    <row r="57995" spans="119:119" x14ac:dyDescent="0.2">
      <c r="DO57995" s="303" t="s">
        <v>232</v>
      </c>
    </row>
    <row r="57996" spans="119:119" x14ac:dyDescent="0.2">
      <c r="DO57996" s="303" t="s">
        <v>232</v>
      </c>
    </row>
    <row r="57997" spans="119:119" x14ac:dyDescent="0.2">
      <c r="DO57997" s="303" t="s">
        <v>232</v>
      </c>
    </row>
    <row r="57998" spans="119:119" x14ac:dyDescent="0.2">
      <c r="DO57998" s="303" t="s">
        <v>232</v>
      </c>
    </row>
    <row r="57999" spans="119:119" x14ac:dyDescent="0.2">
      <c r="DO57999" s="303" t="s">
        <v>232</v>
      </c>
    </row>
    <row r="58000" spans="119:119" x14ac:dyDescent="0.2">
      <c r="DO58000" s="303" t="s">
        <v>232</v>
      </c>
    </row>
    <row r="58001" spans="119:119" x14ac:dyDescent="0.2">
      <c r="DO58001" s="303" t="s">
        <v>232</v>
      </c>
    </row>
    <row r="58002" spans="119:119" x14ac:dyDescent="0.2">
      <c r="DO58002" s="303" t="s">
        <v>232</v>
      </c>
    </row>
    <row r="58003" spans="119:119" x14ac:dyDescent="0.2">
      <c r="DO58003" s="303" t="s">
        <v>232</v>
      </c>
    </row>
    <row r="58004" spans="119:119" x14ac:dyDescent="0.2">
      <c r="DO58004" s="303" t="s">
        <v>232</v>
      </c>
    </row>
    <row r="58005" spans="119:119" x14ac:dyDescent="0.2">
      <c r="DO58005" s="303" t="s">
        <v>232</v>
      </c>
    </row>
    <row r="58006" spans="119:119" x14ac:dyDescent="0.2">
      <c r="DO58006" s="303" t="s">
        <v>232</v>
      </c>
    </row>
    <row r="58007" spans="119:119" x14ac:dyDescent="0.2">
      <c r="DO58007" s="303" t="s">
        <v>232</v>
      </c>
    </row>
    <row r="58008" spans="119:119" x14ac:dyDescent="0.2">
      <c r="DO58008" s="303" t="s">
        <v>232</v>
      </c>
    </row>
    <row r="58009" spans="119:119" x14ac:dyDescent="0.2">
      <c r="DO58009" s="303" t="s">
        <v>232</v>
      </c>
    </row>
    <row r="58010" spans="119:119" x14ac:dyDescent="0.2">
      <c r="DO58010" s="303" t="s">
        <v>232</v>
      </c>
    </row>
    <row r="58011" spans="119:119" x14ac:dyDescent="0.2">
      <c r="DO58011" s="303" t="s">
        <v>232</v>
      </c>
    </row>
    <row r="58012" spans="119:119" x14ac:dyDescent="0.2">
      <c r="DO58012" s="303" t="s">
        <v>232</v>
      </c>
    </row>
    <row r="58013" spans="119:119" x14ac:dyDescent="0.2">
      <c r="DO58013" s="303" t="s">
        <v>232</v>
      </c>
    </row>
    <row r="58014" spans="119:119" x14ac:dyDescent="0.2">
      <c r="DO58014" s="303" t="s">
        <v>232</v>
      </c>
    </row>
    <row r="58015" spans="119:119" x14ac:dyDescent="0.2">
      <c r="DO58015" s="303" t="s">
        <v>232</v>
      </c>
    </row>
    <row r="58016" spans="119:119" x14ac:dyDescent="0.2">
      <c r="DO58016" s="303" t="s">
        <v>232</v>
      </c>
    </row>
    <row r="58017" spans="119:119" x14ac:dyDescent="0.2">
      <c r="DO58017" s="303" t="s">
        <v>232</v>
      </c>
    </row>
    <row r="58018" spans="119:119" x14ac:dyDescent="0.2">
      <c r="DO58018" s="303" t="s">
        <v>232</v>
      </c>
    </row>
    <row r="58019" spans="119:119" x14ac:dyDescent="0.2">
      <c r="DO58019" s="303" t="s">
        <v>232</v>
      </c>
    </row>
    <row r="58020" spans="119:119" x14ac:dyDescent="0.2">
      <c r="DO58020" s="303" t="s">
        <v>232</v>
      </c>
    </row>
    <row r="58021" spans="119:119" x14ac:dyDescent="0.2">
      <c r="DO58021" s="303" t="s">
        <v>232</v>
      </c>
    </row>
    <row r="58022" spans="119:119" x14ac:dyDescent="0.2">
      <c r="DO58022" s="303" t="s">
        <v>232</v>
      </c>
    </row>
    <row r="58023" spans="119:119" x14ac:dyDescent="0.2">
      <c r="DO58023" s="303" t="s">
        <v>232</v>
      </c>
    </row>
    <row r="58024" spans="119:119" x14ac:dyDescent="0.2">
      <c r="DO58024" s="303" t="s">
        <v>232</v>
      </c>
    </row>
    <row r="58025" spans="119:119" x14ac:dyDescent="0.2">
      <c r="DO58025" s="303" t="s">
        <v>232</v>
      </c>
    </row>
    <row r="58026" spans="119:119" x14ac:dyDescent="0.2">
      <c r="DO58026" s="303" t="s">
        <v>232</v>
      </c>
    </row>
    <row r="58027" spans="119:119" x14ac:dyDescent="0.2">
      <c r="DO58027" s="303" t="s">
        <v>232</v>
      </c>
    </row>
    <row r="58028" spans="119:119" x14ac:dyDescent="0.2">
      <c r="DO58028" s="303" t="s">
        <v>232</v>
      </c>
    </row>
    <row r="58029" spans="119:119" x14ac:dyDescent="0.2">
      <c r="DO58029" s="303" t="s">
        <v>232</v>
      </c>
    </row>
    <row r="58030" spans="119:119" x14ac:dyDescent="0.2">
      <c r="DO58030" s="303" t="s">
        <v>232</v>
      </c>
    </row>
    <row r="58031" spans="119:119" x14ac:dyDescent="0.2">
      <c r="DO58031" s="303" t="s">
        <v>232</v>
      </c>
    </row>
    <row r="58032" spans="119:119" x14ac:dyDescent="0.2">
      <c r="DO58032" s="303" t="s">
        <v>232</v>
      </c>
    </row>
    <row r="58033" spans="119:119" x14ac:dyDescent="0.2">
      <c r="DO58033" s="303" t="s">
        <v>232</v>
      </c>
    </row>
    <row r="58034" spans="119:119" x14ac:dyDescent="0.2">
      <c r="DO58034" s="303" t="s">
        <v>232</v>
      </c>
    </row>
    <row r="58035" spans="119:119" x14ac:dyDescent="0.2">
      <c r="DO58035" s="303" t="s">
        <v>232</v>
      </c>
    </row>
    <row r="58036" spans="119:119" x14ac:dyDescent="0.2">
      <c r="DO58036" s="303" t="s">
        <v>232</v>
      </c>
    </row>
    <row r="58037" spans="119:119" x14ac:dyDescent="0.2">
      <c r="DO58037" s="303" t="s">
        <v>232</v>
      </c>
    </row>
    <row r="58038" spans="119:119" x14ac:dyDescent="0.2">
      <c r="DO58038" s="303" t="s">
        <v>232</v>
      </c>
    </row>
    <row r="58039" spans="119:119" x14ac:dyDescent="0.2">
      <c r="DO58039" s="303" t="s">
        <v>232</v>
      </c>
    </row>
    <row r="58040" spans="119:119" x14ac:dyDescent="0.2">
      <c r="DO58040" s="303" t="s">
        <v>232</v>
      </c>
    </row>
    <row r="58041" spans="119:119" x14ac:dyDescent="0.2">
      <c r="DO58041" s="303" t="s">
        <v>232</v>
      </c>
    </row>
    <row r="58042" spans="119:119" x14ac:dyDescent="0.2">
      <c r="DO58042" s="303" t="s">
        <v>232</v>
      </c>
    </row>
    <row r="58043" spans="119:119" x14ac:dyDescent="0.2">
      <c r="DO58043" s="303" t="s">
        <v>232</v>
      </c>
    </row>
    <row r="58044" spans="119:119" x14ac:dyDescent="0.2">
      <c r="DO58044" s="303" t="s">
        <v>232</v>
      </c>
    </row>
    <row r="58045" spans="119:119" x14ac:dyDescent="0.2">
      <c r="DO58045" s="303" t="s">
        <v>232</v>
      </c>
    </row>
    <row r="58046" spans="119:119" x14ac:dyDescent="0.2">
      <c r="DO58046" s="303" t="s">
        <v>232</v>
      </c>
    </row>
    <row r="58047" spans="119:119" x14ac:dyDescent="0.2">
      <c r="DO58047" s="303" t="s">
        <v>232</v>
      </c>
    </row>
    <row r="58048" spans="119:119" x14ac:dyDescent="0.2">
      <c r="DO58048" s="303" t="s">
        <v>232</v>
      </c>
    </row>
    <row r="58049" spans="119:119" x14ac:dyDescent="0.2">
      <c r="DO58049" s="303" t="s">
        <v>232</v>
      </c>
    </row>
    <row r="58050" spans="119:119" x14ac:dyDescent="0.2">
      <c r="DO58050" s="303" t="s">
        <v>232</v>
      </c>
    </row>
    <row r="58051" spans="119:119" x14ac:dyDescent="0.2">
      <c r="DO58051" s="303" t="s">
        <v>232</v>
      </c>
    </row>
    <row r="58052" spans="119:119" x14ac:dyDescent="0.2">
      <c r="DO58052" s="303" t="s">
        <v>232</v>
      </c>
    </row>
    <row r="58053" spans="119:119" x14ac:dyDescent="0.2">
      <c r="DO58053" s="303" t="s">
        <v>232</v>
      </c>
    </row>
    <row r="58054" spans="119:119" x14ac:dyDescent="0.2">
      <c r="DO58054" s="303" t="s">
        <v>232</v>
      </c>
    </row>
    <row r="58055" spans="119:119" x14ac:dyDescent="0.2">
      <c r="DO58055" s="303" t="s">
        <v>232</v>
      </c>
    </row>
    <row r="58056" spans="119:119" x14ac:dyDescent="0.2">
      <c r="DO58056" s="303" t="s">
        <v>232</v>
      </c>
    </row>
    <row r="58057" spans="119:119" x14ac:dyDescent="0.2">
      <c r="DO58057" s="303" t="s">
        <v>232</v>
      </c>
    </row>
    <row r="58058" spans="119:119" x14ac:dyDescent="0.2">
      <c r="DO58058" s="303" t="s">
        <v>232</v>
      </c>
    </row>
    <row r="58059" spans="119:119" x14ac:dyDescent="0.2">
      <c r="DO58059" s="303" t="s">
        <v>232</v>
      </c>
    </row>
    <row r="58060" spans="119:119" x14ac:dyDescent="0.2">
      <c r="DO58060" s="303" t="s">
        <v>232</v>
      </c>
    </row>
    <row r="58061" spans="119:119" x14ac:dyDescent="0.2">
      <c r="DO58061" s="303" t="s">
        <v>232</v>
      </c>
    </row>
    <row r="58062" spans="119:119" x14ac:dyDescent="0.2">
      <c r="DO58062" s="303" t="s">
        <v>232</v>
      </c>
    </row>
    <row r="58063" spans="119:119" x14ac:dyDescent="0.2">
      <c r="DO58063" s="303" t="s">
        <v>232</v>
      </c>
    </row>
    <row r="58064" spans="119:119" x14ac:dyDescent="0.2">
      <c r="DO58064" s="303" t="s">
        <v>232</v>
      </c>
    </row>
    <row r="58065" spans="119:119" x14ac:dyDescent="0.2">
      <c r="DO58065" s="303" t="s">
        <v>232</v>
      </c>
    </row>
    <row r="58066" spans="119:119" x14ac:dyDescent="0.2">
      <c r="DO58066" s="303" t="s">
        <v>232</v>
      </c>
    </row>
    <row r="58067" spans="119:119" x14ac:dyDescent="0.2">
      <c r="DO58067" s="303" t="s">
        <v>232</v>
      </c>
    </row>
    <row r="58068" spans="119:119" x14ac:dyDescent="0.2">
      <c r="DO58068" s="303" t="s">
        <v>232</v>
      </c>
    </row>
    <row r="58069" spans="119:119" x14ac:dyDescent="0.2">
      <c r="DO58069" s="303" t="s">
        <v>232</v>
      </c>
    </row>
    <row r="58070" spans="119:119" x14ac:dyDescent="0.2">
      <c r="DO58070" s="303" t="s">
        <v>232</v>
      </c>
    </row>
    <row r="58071" spans="119:119" x14ac:dyDescent="0.2">
      <c r="DO58071" s="303" t="s">
        <v>232</v>
      </c>
    </row>
    <row r="58072" spans="119:119" x14ac:dyDescent="0.2">
      <c r="DO58072" s="303" t="s">
        <v>232</v>
      </c>
    </row>
    <row r="58073" spans="119:119" x14ac:dyDescent="0.2">
      <c r="DO58073" s="303" t="s">
        <v>232</v>
      </c>
    </row>
    <row r="58074" spans="119:119" x14ac:dyDescent="0.2">
      <c r="DO58074" s="303" t="s">
        <v>232</v>
      </c>
    </row>
    <row r="58075" spans="119:119" x14ac:dyDescent="0.2">
      <c r="DO58075" s="303" t="s">
        <v>232</v>
      </c>
    </row>
    <row r="58076" spans="119:119" x14ac:dyDescent="0.2">
      <c r="DO58076" s="303" t="s">
        <v>232</v>
      </c>
    </row>
    <row r="58077" spans="119:119" x14ac:dyDescent="0.2">
      <c r="DO58077" s="303" t="s">
        <v>232</v>
      </c>
    </row>
    <row r="58078" spans="119:119" x14ac:dyDescent="0.2">
      <c r="DO58078" s="303" t="s">
        <v>232</v>
      </c>
    </row>
    <row r="58079" spans="119:119" x14ac:dyDescent="0.2">
      <c r="DO58079" s="303" t="s">
        <v>232</v>
      </c>
    </row>
    <row r="58080" spans="119:119" x14ac:dyDescent="0.2">
      <c r="DO58080" s="303" t="s">
        <v>232</v>
      </c>
    </row>
    <row r="58081" spans="119:119" x14ac:dyDescent="0.2">
      <c r="DO58081" s="303" t="s">
        <v>232</v>
      </c>
    </row>
    <row r="58082" spans="119:119" x14ac:dyDescent="0.2">
      <c r="DO58082" s="303" t="s">
        <v>232</v>
      </c>
    </row>
    <row r="58083" spans="119:119" x14ac:dyDescent="0.2">
      <c r="DO58083" s="303" t="s">
        <v>232</v>
      </c>
    </row>
    <row r="58084" spans="119:119" x14ac:dyDescent="0.2">
      <c r="DO58084" s="303" t="s">
        <v>232</v>
      </c>
    </row>
    <row r="58085" spans="119:119" x14ac:dyDescent="0.2">
      <c r="DO58085" s="303" t="s">
        <v>232</v>
      </c>
    </row>
    <row r="58086" spans="119:119" x14ac:dyDescent="0.2">
      <c r="DO58086" s="303" t="s">
        <v>232</v>
      </c>
    </row>
    <row r="58087" spans="119:119" x14ac:dyDescent="0.2">
      <c r="DO58087" s="303" t="s">
        <v>232</v>
      </c>
    </row>
    <row r="58088" spans="119:119" x14ac:dyDescent="0.2">
      <c r="DO58088" s="303" t="s">
        <v>232</v>
      </c>
    </row>
    <row r="58089" spans="119:119" x14ac:dyDescent="0.2">
      <c r="DO58089" s="303" t="s">
        <v>232</v>
      </c>
    </row>
    <row r="58090" spans="119:119" x14ac:dyDescent="0.2">
      <c r="DO58090" s="303" t="s">
        <v>232</v>
      </c>
    </row>
    <row r="58091" spans="119:119" x14ac:dyDescent="0.2">
      <c r="DO58091" s="303" t="s">
        <v>232</v>
      </c>
    </row>
    <row r="58092" spans="119:119" x14ac:dyDescent="0.2">
      <c r="DO58092" s="303" t="s">
        <v>232</v>
      </c>
    </row>
    <row r="58093" spans="119:119" x14ac:dyDescent="0.2">
      <c r="DO58093" s="303" t="s">
        <v>232</v>
      </c>
    </row>
    <row r="58094" spans="119:119" x14ac:dyDescent="0.2">
      <c r="DO58094" s="303" t="s">
        <v>232</v>
      </c>
    </row>
    <row r="58095" spans="119:119" x14ac:dyDescent="0.2">
      <c r="DO58095" s="303" t="s">
        <v>232</v>
      </c>
    </row>
    <row r="58096" spans="119:119" x14ac:dyDescent="0.2">
      <c r="DO58096" s="303" t="s">
        <v>232</v>
      </c>
    </row>
    <row r="58097" spans="119:119" x14ac:dyDescent="0.2">
      <c r="DO58097" s="303" t="s">
        <v>232</v>
      </c>
    </row>
    <row r="58098" spans="119:119" x14ac:dyDescent="0.2">
      <c r="DO58098" s="303" t="s">
        <v>232</v>
      </c>
    </row>
    <row r="58099" spans="119:119" x14ac:dyDescent="0.2">
      <c r="DO58099" s="303" t="s">
        <v>232</v>
      </c>
    </row>
    <row r="58100" spans="119:119" x14ac:dyDescent="0.2">
      <c r="DO58100" s="303" t="s">
        <v>232</v>
      </c>
    </row>
    <row r="58101" spans="119:119" x14ac:dyDescent="0.2">
      <c r="DO58101" s="303" t="s">
        <v>232</v>
      </c>
    </row>
    <row r="58102" spans="119:119" x14ac:dyDescent="0.2">
      <c r="DO58102" s="303" t="s">
        <v>232</v>
      </c>
    </row>
    <row r="58103" spans="119:119" x14ac:dyDescent="0.2">
      <c r="DO58103" s="303" t="s">
        <v>232</v>
      </c>
    </row>
    <row r="58104" spans="119:119" x14ac:dyDescent="0.2">
      <c r="DO58104" s="303" t="s">
        <v>232</v>
      </c>
    </row>
    <row r="58105" spans="119:119" x14ac:dyDescent="0.2">
      <c r="DO58105" s="303" t="s">
        <v>232</v>
      </c>
    </row>
    <row r="58106" spans="119:119" x14ac:dyDescent="0.2">
      <c r="DO58106" s="303" t="s">
        <v>232</v>
      </c>
    </row>
    <row r="58107" spans="119:119" x14ac:dyDescent="0.2">
      <c r="DO58107" s="303" t="s">
        <v>232</v>
      </c>
    </row>
    <row r="58108" spans="119:119" x14ac:dyDescent="0.2">
      <c r="DO58108" s="303" t="s">
        <v>232</v>
      </c>
    </row>
    <row r="58109" spans="119:119" x14ac:dyDescent="0.2">
      <c r="DO58109" s="303" t="s">
        <v>232</v>
      </c>
    </row>
    <row r="58110" spans="119:119" x14ac:dyDescent="0.2">
      <c r="DO58110" s="303" t="s">
        <v>232</v>
      </c>
    </row>
    <row r="58111" spans="119:119" x14ac:dyDescent="0.2">
      <c r="DO58111" s="303" t="s">
        <v>232</v>
      </c>
    </row>
    <row r="58112" spans="119:119" x14ac:dyDescent="0.2">
      <c r="DO58112" s="303" t="s">
        <v>232</v>
      </c>
    </row>
    <row r="58113" spans="119:119" x14ac:dyDescent="0.2">
      <c r="DO58113" s="303" t="s">
        <v>232</v>
      </c>
    </row>
    <row r="58114" spans="119:119" x14ac:dyDescent="0.2">
      <c r="DO58114" s="303" t="s">
        <v>232</v>
      </c>
    </row>
    <row r="58115" spans="119:119" x14ac:dyDescent="0.2">
      <c r="DO58115" s="303" t="s">
        <v>232</v>
      </c>
    </row>
    <row r="58116" spans="119:119" x14ac:dyDescent="0.2">
      <c r="DO58116" s="303" t="s">
        <v>232</v>
      </c>
    </row>
    <row r="58117" spans="119:119" x14ac:dyDescent="0.2">
      <c r="DO58117" s="303" t="s">
        <v>232</v>
      </c>
    </row>
    <row r="58118" spans="119:119" x14ac:dyDescent="0.2">
      <c r="DO58118" s="303" t="s">
        <v>232</v>
      </c>
    </row>
    <row r="58119" spans="119:119" x14ac:dyDescent="0.2">
      <c r="DO58119" s="303" t="s">
        <v>232</v>
      </c>
    </row>
    <row r="58120" spans="119:119" x14ac:dyDescent="0.2">
      <c r="DO58120" s="303" t="s">
        <v>232</v>
      </c>
    </row>
    <row r="58121" spans="119:119" x14ac:dyDescent="0.2">
      <c r="DO58121" s="303" t="s">
        <v>232</v>
      </c>
    </row>
    <row r="58122" spans="119:119" x14ac:dyDescent="0.2">
      <c r="DO58122" s="303" t="s">
        <v>232</v>
      </c>
    </row>
    <row r="58123" spans="119:119" x14ac:dyDescent="0.2">
      <c r="DO58123" s="303" t="s">
        <v>232</v>
      </c>
    </row>
    <row r="58124" spans="119:119" x14ac:dyDescent="0.2">
      <c r="DO58124" s="303" t="s">
        <v>232</v>
      </c>
    </row>
    <row r="58125" spans="119:119" x14ac:dyDescent="0.2">
      <c r="DO58125" s="303" t="s">
        <v>232</v>
      </c>
    </row>
    <row r="58126" spans="119:119" x14ac:dyDescent="0.2">
      <c r="DO58126" s="303" t="s">
        <v>232</v>
      </c>
    </row>
    <row r="58127" spans="119:119" x14ac:dyDescent="0.2">
      <c r="DO58127" s="303" t="s">
        <v>232</v>
      </c>
    </row>
    <row r="58128" spans="119:119" x14ac:dyDescent="0.2">
      <c r="DO58128" s="303" t="s">
        <v>232</v>
      </c>
    </row>
    <row r="58129" spans="119:119" x14ac:dyDescent="0.2">
      <c r="DO58129" s="303" t="s">
        <v>232</v>
      </c>
    </row>
    <row r="58130" spans="119:119" x14ac:dyDescent="0.2">
      <c r="DO58130" s="303" t="s">
        <v>232</v>
      </c>
    </row>
    <row r="58131" spans="119:119" x14ac:dyDescent="0.2">
      <c r="DO58131" s="303" t="s">
        <v>232</v>
      </c>
    </row>
    <row r="58132" spans="119:119" x14ac:dyDescent="0.2">
      <c r="DO58132" s="303" t="s">
        <v>232</v>
      </c>
    </row>
    <row r="58133" spans="119:119" x14ac:dyDescent="0.2">
      <c r="DO58133" s="303" t="s">
        <v>232</v>
      </c>
    </row>
    <row r="58134" spans="119:119" x14ac:dyDescent="0.2">
      <c r="DO58134" s="303" t="s">
        <v>232</v>
      </c>
    </row>
    <row r="58135" spans="119:119" x14ac:dyDescent="0.2">
      <c r="DO58135" s="303" t="s">
        <v>232</v>
      </c>
    </row>
    <row r="58136" spans="119:119" x14ac:dyDescent="0.2">
      <c r="DO58136" s="303" t="s">
        <v>232</v>
      </c>
    </row>
    <row r="58137" spans="119:119" x14ac:dyDescent="0.2">
      <c r="DO58137" s="303" t="s">
        <v>232</v>
      </c>
    </row>
    <row r="58138" spans="119:119" x14ac:dyDescent="0.2">
      <c r="DO58138" s="303" t="s">
        <v>232</v>
      </c>
    </row>
    <row r="58139" spans="119:119" x14ac:dyDescent="0.2">
      <c r="DO58139" s="303" t="s">
        <v>232</v>
      </c>
    </row>
    <row r="58140" spans="119:119" x14ac:dyDescent="0.2">
      <c r="DO58140" s="303" t="s">
        <v>232</v>
      </c>
    </row>
    <row r="58141" spans="119:119" x14ac:dyDescent="0.2">
      <c r="DO58141" s="303" t="s">
        <v>232</v>
      </c>
    </row>
    <row r="58142" spans="119:119" x14ac:dyDescent="0.2">
      <c r="DO58142" s="303" t="s">
        <v>232</v>
      </c>
    </row>
    <row r="58143" spans="119:119" x14ac:dyDescent="0.2">
      <c r="DO58143" s="303" t="s">
        <v>232</v>
      </c>
    </row>
    <row r="58144" spans="119:119" x14ac:dyDescent="0.2">
      <c r="DO58144" s="303" t="s">
        <v>232</v>
      </c>
    </row>
    <row r="58145" spans="119:119" x14ac:dyDescent="0.2">
      <c r="DO58145" s="303" t="s">
        <v>232</v>
      </c>
    </row>
    <row r="58146" spans="119:119" x14ac:dyDescent="0.2">
      <c r="DO58146" s="303" t="s">
        <v>232</v>
      </c>
    </row>
    <row r="58147" spans="119:119" x14ac:dyDescent="0.2">
      <c r="DO58147" s="303" t="s">
        <v>232</v>
      </c>
    </row>
    <row r="58148" spans="119:119" x14ac:dyDescent="0.2">
      <c r="DO58148" s="303" t="s">
        <v>232</v>
      </c>
    </row>
    <row r="58149" spans="119:119" x14ac:dyDescent="0.2">
      <c r="DO58149" s="303" t="s">
        <v>232</v>
      </c>
    </row>
    <row r="58150" spans="119:119" x14ac:dyDescent="0.2">
      <c r="DO58150" s="303" t="s">
        <v>232</v>
      </c>
    </row>
    <row r="58151" spans="119:119" x14ac:dyDescent="0.2">
      <c r="DO58151" s="303" t="s">
        <v>232</v>
      </c>
    </row>
    <row r="58152" spans="119:119" x14ac:dyDescent="0.2">
      <c r="DO58152" s="303" t="s">
        <v>232</v>
      </c>
    </row>
    <row r="58153" spans="119:119" x14ac:dyDescent="0.2">
      <c r="DO58153" s="303" t="s">
        <v>232</v>
      </c>
    </row>
    <row r="58154" spans="119:119" x14ac:dyDescent="0.2">
      <c r="DO58154" s="303" t="s">
        <v>232</v>
      </c>
    </row>
    <row r="58155" spans="119:119" x14ac:dyDescent="0.2">
      <c r="DO58155" s="303" t="s">
        <v>232</v>
      </c>
    </row>
    <row r="58156" spans="119:119" x14ac:dyDescent="0.2">
      <c r="DO58156" s="303" t="s">
        <v>232</v>
      </c>
    </row>
    <row r="58157" spans="119:119" x14ac:dyDescent="0.2">
      <c r="DO58157" s="303" t="s">
        <v>232</v>
      </c>
    </row>
    <row r="58158" spans="119:119" x14ac:dyDescent="0.2">
      <c r="DO58158" s="303" t="s">
        <v>232</v>
      </c>
    </row>
    <row r="58159" spans="119:119" x14ac:dyDescent="0.2">
      <c r="DO58159" s="303" t="s">
        <v>232</v>
      </c>
    </row>
    <row r="58160" spans="119:119" x14ac:dyDescent="0.2">
      <c r="DO58160" s="303" t="s">
        <v>232</v>
      </c>
    </row>
    <row r="58161" spans="119:119" x14ac:dyDescent="0.2">
      <c r="DO58161" s="303" t="s">
        <v>232</v>
      </c>
    </row>
    <row r="58162" spans="119:119" x14ac:dyDescent="0.2">
      <c r="DO58162" s="303" t="s">
        <v>232</v>
      </c>
    </row>
    <row r="58163" spans="119:119" x14ac:dyDescent="0.2">
      <c r="DO58163" s="303" t="s">
        <v>232</v>
      </c>
    </row>
    <row r="58164" spans="119:119" x14ac:dyDescent="0.2">
      <c r="DO58164" s="303" t="s">
        <v>232</v>
      </c>
    </row>
    <row r="58165" spans="119:119" x14ac:dyDescent="0.2">
      <c r="DO58165" s="303" t="s">
        <v>232</v>
      </c>
    </row>
    <row r="58166" spans="119:119" x14ac:dyDescent="0.2">
      <c r="DO58166" s="303" t="s">
        <v>232</v>
      </c>
    </row>
    <row r="58167" spans="119:119" x14ac:dyDescent="0.2">
      <c r="DO58167" s="303" t="s">
        <v>232</v>
      </c>
    </row>
    <row r="58168" spans="119:119" x14ac:dyDescent="0.2">
      <c r="DO58168" s="303" t="s">
        <v>232</v>
      </c>
    </row>
    <row r="58169" spans="119:119" x14ac:dyDescent="0.2">
      <c r="DO58169" s="303" t="s">
        <v>232</v>
      </c>
    </row>
    <row r="58170" spans="119:119" x14ac:dyDescent="0.2">
      <c r="DO58170" s="303" t="s">
        <v>232</v>
      </c>
    </row>
    <row r="58171" spans="119:119" x14ac:dyDescent="0.2">
      <c r="DO58171" s="303" t="s">
        <v>232</v>
      </c>
    </row>
    <row r="58172" spans="119:119" x14ac:dyDescent="0.2">
      <c r="DO58172" s="303" t="s">
        <v>232</v>
      </c>
    </row>
    <row r="58173" spans="119:119" x14ac:dyDescent="0.2">
      <c r="DO58173" s="303" t="s">
        <v>232</v>
      </c>
    </row>
    <row r="58174" spans="119:119" x14ac:dyDescent="0.2">
      <c r="DO58174" s="303" t="s">
        <v>232</v>
      </c>
    </row>
    <row r="58175" spans="119:119" x14ac:dyDescent="0.2">
      <c r="DO58175" s="303" t="s">
        <v>232</v>
      </c>
    </row>
    <row r="58176" spans="119:119" x14ac:dyDescent="0.2">
      <c r="DO58176" s="303" t="s">
        <v>232</v>
      </c>
    </row>
    <row r="58177" spans="119:119" x14ac:dyDescent="0.2">
      <c r="DO58177" s="303" t="s">
        <v>232</v>
      </c>
    </row>
    <row r="58178" spans="119:119" x14ac:dyDescent="0.2">
      <c r="DO58178" s="303" t="s">
        <v>232</v>
      </c>
    </row>
    <row r="58179" spans="119:119" x14ac:dyDescent="0.2">
      <c r="DO58179" s="303" t="s">
        <v>232</v>
      </c>
    </row>
    <row r="58180" spans="119:119" x14ac:dyDescent="0.2">
      <c r="DO58180" s="303" t="s">
        <v>232</v>
      </c>
    </row>
    <row r="58181" spans="119:119" x14ac:dyDescent="0.2">
      <c r="DO58181" s="303" t="s">
        <v>232</v>
      </c>
    </row>
    <row r="58182" spans="119:119" x14ac:dyDescent="0.2">
      <c r="DO58182" s="303" t="s">
        <v>232</v>
      </c>
    </row>
    <row r="58183" spans="119:119" x14ac:dyDescent="0.2">
      <c r="DO58183" s="303" t="s">
        <v>232</v>
      </c>
    </row>
    <row r="58184" spans="119:119" x14ac:dyDescent="0.2">
      <c r="DO58184" s="303" t="s">
        <v>232</v>
      </c>
    </row>
    <row r="58185" spans="119:119" x14ac:dyDescent="0.2">
      <c r="DO58185" s="303" t="s">
        <v>232</v>
      </c>
    </row>
    <row r="58186" spans="119:119" x14ac:dyDescent="0.2">
      <c r="DO58186" s="303" t="s">
        <v>232</v>
      </c>
    </row>
    <row r="58187" spans="119:119" x14ac:dyDescent="0.2">
      <c r="DO58187" s="303" t="s">
        <v>232</v>
      </c>
    </row>
    <row r="58188" spans="119:119" x14ac:dyDescent="0.2">
      <c r="DO58188" s="303" t="s">
        <v>232</v>
      </c>
    </row>
    <row r="58189" spans="119:119" x14ac:dyDescent="0.2">
      <c r="DO58189" s="303" t="s">
        <v>232</v>
      </c>
    </row>
    <row r="58190" spans="119:119" x14ac:dyDescent="0.2">
      <c r="DO58190" s="303" t="s">
        <v>232</v>
      </c>
    </row>
    <row r="58191" spans="119:119" x14ac:dyDescent="0.2">
      <c r="DO58191" s="303" t="s">
        <v>232</v>
      </c>
    </row>
    <row r="58192" spans="119:119" x14ac:dyDescent="0.2">
      <c r="DO58192" s="303" t="s">
        <v>232</v>
      </c>
    </row>
    <row r="58193" spans="119:119" x14ac:dyDescent="0.2">
      <c r="DO58193" s="303" t="s">
        <v>232</v>
      </c>
    </row>
    <row r="58194" spans="119:119" x14ac:dyDescent="0.2">
      <c r="DO58194" s="303" t="s">
        <v>232</v>
      </c>
    </row>
    <row r="58195" spans="119:119" x14ac:dyDescent="0.2">
      <c r="DO58195" s="303" t="s">
        <v>232</v>
      </c>
    </row>
    <row r="58196" spans="119:119" x14ac:dyDescent="0.2">
      <c r="DO58196" s="303" t="s">
        <v>232</v>
      </c>
    </row>
    <row r="58197" spans="119:119" x14ac:dyDescent="0.2">
      <c r="DO58197" s="303" t="s">
        <v>232</v>
      </c>
    </row>
    <row r="58198" spans="119:119" x14ac:dyDescent="0.2">
      <c r="DO58198" s="303" t="s">
        <v>232</v>
      </c>
    </row>
    <row r="58199" spans="119:119" x14ac:dyDescent="0.2">
      <c r="DO58199" s="303" t="s">
        <v>232</v>
      </c>
    </row>
    <row r="58200" spans="119:119" x14ac:dyDescent="0.2">
      <c r="DO58200" s="303" t="s">
        <v>232</v>
      </c>
    </row>
    <row r="58201" spans="119:119" x14ac:dyDescent="0.2">
      <c r="DO58201" s="303" t="s">
        <v>232</v>
      </c>
    </row>
    <row r="58202" spans="119:119" x14ac:dyDescent="0.2">
      <c r="DO58202" s="303" t="s">
        <v>232</v>
      </c>
    </row>
    <row r="58203" spans="119:119" x14ac:dyDescent="0.2">
      <c r="DO58203" s="303" t="s">
        <v>232</v>
      </c>
    </row>
    <row r="58204" spans="119:119" x14ac:dyDescent="0.2">
      <c r="DO58204" s="303" t="s">
        <v>232</v>
      </c>
    </row>
    <row r="58205" spans="119:119" x14ac:dyDescent="0.2">
      <c r="DO58205" s="303" t="s">
        <v>232</v>
      </c>
    </row>
    <row r="58206" spans="119:119" x14ac:dyDescent="0.2">
      <c r="DO58206" s="303" t="s">
        <v>232</v>
      </c>
    </row>
    <row r="58207" spans="119:119" x14ac:dyDescent="0.2">
      <c r="DO58207" s="303" t="s">
        <v>232</v>
      </c>
    </row>
    <row r="58208" spans="119:119" x14ac:dyDescent="0.2">
      <c r="DO58208" s="303" t="s">
        <v>232</v>
      </c>
    </row>
    <row r="58209" spans="119:119" x14ac:dyDescent="0.2">
      <c r="DO58209" s="303" t="s">
        <v>232</v>
      </c>
    </row>
    <row r="58210" spans="119:119" x14ac:dyDescent="0.2">
      <c r="DO58210" s="303" t="s">
        <v>232</v>
      </c>
    </row>
    <row r="58211" spans="119:119" x14ac:dyDescent="0.2">
      <c r="DO58211" s="303" t="s">
        <v>232</v>
      </c>
    </row>
    <row r="58212" spans="119:119" x14ac:dyDescent="0.2">
      <c r="DO58212" s="303" t="s">
        <v>232</v>
      </c>
    </row>
    <row r="58213" spans="119:119" x14ac:dyDescent="0.2">
      <c r="DO58213" s="303" t="s">
        <v>232</v>
      </c>
    </row>
    <row r="58214" spans="119:119" x14ac:dyDescent="0.2">
      <c r="DO58214" s="303" t="s">
        <v>232</v>
      </c>
    </row>
    <row r="58215" spans="119:119" x14ac:dyDescent="0.2">
      <c r="DO58215" s="303" t="s">
        <v>232</v>
      </c>
    </row>
    <row r="58216" spans="119:119" x14ac:dyDescent="0.2">
      <c r="DO58216" s="303" t="s">
        <v>232</v>
      </c>
    </row>
    <row r="58217" spans="119:119" x14ac:dyDescent="0.2">
      <c r="DO58217" s="303" t="s">
        <v>232</v>
      </c>
    </row>
    <row r="58218" spans="119:119" x14ac:dyDescent="0.2">
      <c r="DO58218" s="303" t="s">
        <v>232</v>
      </c>
    </row>
    <row r="58219" spans="119:119" x14ac:dyDescent="0.2">
      <c r="DO58219" s="303" t="s">
        <v>232</v>
      </c>
    </row>
    <row r="58220" spans="119:119" x14ac:dyDescent="0.2">
      <c r="DO58220" s="303" t="s">
        <v>232</v>
      </c>
    </row>
    <row r="58221" spans="119:119" x14ac:dyDescent="0.2">
      <c r="DO58221" s="303" t="s">
        <v>232</v>
      </c>
    </row>
    <row r="58222" spans="119:119" x14ac:dyDescent="0.2">
      <c r="DO58222" s="303" t="s">
        <v>232</v>
      </c>
    </row>
    <row r="58223" spans="119:119" x14ac:dyDescent="0.2">
      <c r="DO58223" s="303" t="s">
        <v>232</v>
      </c>
    </row>
    <row r="58224" spans="119:119" x14ac:dyDescent="0.2">
      <c r="DO58224" s="303" t="s">
        <v>232</v>
      </c>
    </row>
    <row r="58225" spans="119:119" x14ac:dyDescent="0.2">
      <c r="DO58225" s="303" t="s">
        <v>232</v>
      </c>
    </row>
    <row r="58226" spans="119:119" x14ac:dyDescent="0.2">
      <c r="DO58226" s="303" t="s">
        <v>232</v>
      </c>
    </row>
    <row r="58227" spans="119:119" x14ac:dyDescent="0.2">
      <c r="DO58227" s="303" t="s">
        <v>232</v>
      </c>
    </row>
    <row r="58228" spans="119:119" x14ac:dyDescent="0.2">
      <c r="DO58228" s="303" t="s">
        <v>232</v>
      </c>
    </row>
    <row r="58229" spans="119:119" x14ac:dyDescent="0.2">
      <c r="DO58229" s="303" t="s">
        <v>232</v>
      </c>
    </row>
    <row r="58230" spans="119:119" x14ac:dyDescent="0.2">
      <c r="DO58230" s="303" t="s">
        <v>232</v>
      </c>
    </row>
    <row r="58231" spans="119:119" x14ac:dyDescent="0.2">
      <c r="DO58231" s="303" t="s">
        <v>232</v>
      </c>
    </row>
    <row r="58232" spans="119:119" x14ac:dyDescent="0.2">
      <c r="DO58232" s="303" t="s">
        <v>232</v>
      </c>
    </row>
    <row r="58233" spans="119:119" x14ac:dyDescent="0.2">
      <c r="DO58233" s="303" t="s">
        <v>232</v>
      </c>
    </row>
    <row r="58234" spans="119:119" x14ac:dyDescent="0.2">
      <c r="DO58234" s="303" t="s">
        <v>232</v>
      </c>
    </row>
    <row r="58235" spans="119:119" x14ac:dyDescent="0.2">
      <c r="DO58235" s="303" t="s">
        <v>232</v>
      </c>
    </row>
    <row r="58236" spans="119:119" x14ac:dyDescent="0.2">
      <c r="DO58236" s="303" t="s">
        <v>232</v>
      </c>
    </row>
    <row r="58237" spans="119:119" x14ac:dyDescent="0.2">
      <c r="DO58237" s="303" t="s">
        <v>232</v>
      </c>
    </row>
    <row r="58238" spans="119:119" x14ac:dyDescent="0.2">
      <c r="DO58238" s="303" t="s">
        <v>232</v>
      </c>
    </row>
    <row r="58239" spans="119:119" x14ac:dyDescent="0.2">
      <c r="DO58239" s="303" t="s">
        <v>232</v>
      </c>
    </row>
    <row r="58240" spans="119:119" x14ac:dyDescent="0.2">
      <c r="DO58240" s="303" t="s">
        <v>232</v>
      </c>
    </row>
    <row r="58241" spans="119:119" x14ac:dyDescent="0.2">
      <c r="DO58241" s="303" t="s">
        <v>232</v>
      </c>
    </row>
    <row r="58242" spans="119:119" x14ac:dyDescent="0.2">
      <c r="DO58242" s="303" t="s">
        <v>232</v>
      </c>
    </row>
    <row r="58243" spans="119:119" x14ac:dyDescent="0.2">
      <c r="DO58243" s="303" t="s">
        <v>232</v>
      </c>
    </row>
    <row r="58244" spans="119:119" x14ac:dyDescent="0.2">
      <c r="DO58244" s="303" t="s">
        <v>232</v>
      </c>
    </row>
    <row r="58245" spans="119:119" x14ac:dyDescent="0.2">
      <c r="DO58245" s="303" t="s">
        <v>232</v>
      </c>
    </row>
    <row r="58246" spans="119:119" x14ac:dyDescent="0.2">
      <c r="DO58246" s="303" t="s">
        <v>232</v>
      </c>
    </row>
    <row r="58247" spans="119:119" x14ac:dyDescent="0.2">
      <c r="DO58247" s="303" t="s">
        <v>232</v>
      </c>
    </row>
    <row r="58248" spans="119:119" x14ac:dyDescent="0.2">
      <c r="DO58248" s="303" t="s">
        <v>232</v>
      </c>
    </row>
    <row r="58249" spans="119:119" x14ac:dyDescent="0.2">
      <c r="DO58249" s="303" t="s">
        <v>232</v>
      </c>
    </row>
    <row r="58250" spans="119:119" x14ac:dyDescent="0.2">
      <c r="DO58250" s="303" t="s">
        <v>232</v>
      </c>
    </row>
    <row r="58251" spans="119:119" x14ac:dyDescent="0.2">
      <c r="DO58251" s="303" t="s">
        <v>232</v>
      </c>
    </row>
    <row r="58252" spans="119:119" x14ac:dyDescent="0.2">
      <c r="DO58252" s="303" t="s">
        <v>232</v>
      </c>
    </row>
    <row r="58253" spans="119:119" x14ac:dyDescent="0.2">
      <c r="DO58253" s="303" t="s">
        <v>232</v>
      </c>
    </row>
    <row r="58254" spans="119:119" x14ac:dyDescent="0.2">
      <c r="DO58254" s="303" t="s">
        <v>232</v>
      </c>
    </row>
    <row r="58255" spans="119:119" x14ac:dyDescent="0.2">
      <c r="DO58255" s="303" t="s">
        <v>232</v>
      </c>
    </row>
    <row r="58256" spans="119:119" x14ac:dyDescent="0.2">
      <c r="DO58256" s="303" t="s">
        <v>232</v>
      </c>
    </row>
    <row r="58257" spans="119:119" x14ac:dyDescent="0.2">
      <c r="DO58257" s="303" t="s">
        <v>232</v>
      </c>
    </row>
    <row r="58258" spans="119:119" x14ac:dyDescent="0.2">
      <c r="DO58258" s="303" t="s">
        <v>232</v>
      </c>
    </row>
    <row r="58259" spans="119:119" x14ac:dyDescent="0.2">
      <c r="DO58259" s="303" t="s">
        <v>232</v>
      </c>
    </row>
    <row r="58260" spans="119:119" x14ac:dyDescent="0.2">
      <c r="DO58260" s="303" t="s">
        <v>232</v>
      </c>
    </row>
    <row r="58261" spans="119:119" x14ac:dyDescent="0.2">
      <c r="DO58261" s="303" t="s">
        <v>232</v>
      </c>
    </row>
    <row r="58262" spans="119:119" x14ac:dyDescent="0.2">
      <c r="DO58262" s="303" t="s">
        <v>232</v>
      </c>
    </row>
    <row r="58263" spans="119:119" x14ac:dyDescent="0.2">
      <c r="DO58263" s="303" t="s">
        <v>232</v>
      </c>
    </row>
    <row r="58264" spans="119:119" x14ac:dyDescent="0.2">
      <c r="DO58264" s="303" t="s">
        <v>232</v>
      </c>
    </row>
    <row r="58265" spans="119:119" x14ac:dyDescent="0.2">
      <c r="DO58265" s="303" t="s">
        <v>232</v>
      </c>
    </row>
    <row r="58266" spans="119:119" x14ac:dyDescent="0.2">
      <c r="DO58266" s="303" t="s">
        <v>232</v>
      </c>
    </row>
    <row r="58267" spans="119:119" x14ac:dyDescent="0.2">
      <c r="DO58267" s="303" t="s">
        <v>232</v>
      </c>
    </row>
    <row r="58268" spans="119:119" x14ac:dyDescent="0.2">
      <c r="DO58268" s="303" t="s">
        <v>232</v>
      </c>
    </row>
    <row r="58269" spans="119:119" x14ac:dyDescent="0.2">
      <c r="DO58269" s="303" t="s">
        <v>232</v>
      </c>
    </row>
    <row r="58270" spans="119:119" x14ac:dyDescent="0.2">
      <c r="DO58270" s="303" t="s">
        <v>232</v>
      </c>
    </row>
    <row r="58271" spans="119:119" x14ac:dyDescent="0.2">
      <c r="DO58271" s="303" t="s">
        <v>232</v>
      </c>
    </row>
    <row r="58272" spans="119:119" x14ac:dyDescent="0.2">
      <c r="DO58272" s="303" t="s">
        <v>232</v>
      </c>
    </row>
    <row r="58273" spans="119:119" x14ac:dyDescent="0.2">
      <c r="DO58273" s="303" t="s">
        <v>232</v>
      </c>
    </row>
    <row r="58274" spans="119:119" x14ac:dyDescent="0.2">
      <c r="DO58274" s="303" t="s">
        <v>232</v>
      </c>
    </row>
    <row r="58275" spans="119:119" x14ac:dyDescent="0.2">
      <c r="DO58275" s="303" t="s">
        <v>232</v>
      </c>
    </row>
    <row r="58276" spans="119:119" x14ac:dyDescent="0.2">
      <c r="DO58276" s="303" t="s">
        <v>232</v>
      </c>
    </row>
    <row r="58277" spans="119:119" x14ac:dyDescent="0.2">
      <c r="DO58277" s="303" t="s">
        <v>232</v>
      </c>
    </row>
    <row r="58278" spans="119:119" x14ac:dyDescent="0.2">
      <c r="DO58278" s="303" t="s">
        <v>232</v>
      </c>
    </row>
    <row r="58279" spans="119:119" x14ac:dyDescent="0.2">
      <c r="DO58279" s="303" t="s">
        <v>232</v>
      </c>
    </row>
    <row r="58280" spans="119:119" x14ac:dyDescent="0.2">
      <c r="DO58280" s="303" t="s">
        <v>232</v>
      </c>
    </row>
    <row r="58281" spans="119:119" x14ac:dyDescent="0.2">
      <c r="DO58281" s="303" t="s">
        <v>232</v>
      </c>
    </row>
    <row r="58282" spans="119:119" x14ac:dyDescent="0.2">
      <c r="DO58282" s="303" t="s">
        <v>232</v>
      </c>
    </row>
    <row r="58283" spans="119:119" x14ac:dyDescent="0.2">
      <c r="DO58283" s="303" t="s">
        <v>232</v>
      </c>
    </row>
    <row r="58284" spans="119:119" x14ac:dyDescent="0.2">
      <c r="DO58284" s="303" t="s">
        <v>232</v>
      </c>
    </row>
    <row r="58285" spans="119:119" x14ac:dyDescent="0.2">
      <c r="DO58285" s="303" t="s">
        <v>232</v>
      </c>
    </row>
    <row r="58286" spans="119:119" x14ac:dyDescent="0.2">
      <c r="DO58286" s="303" t="s">
        <v>232</v>
      </c>
    </row>
    <row r="58287" spans="119:119" x14ac:dyDescent="0.2">
      <c r="DO58287" s="303" t="s">
        <v>232</v>
      </c>
    </row>
    <row r="58288" spans="119:119" x14ac:dyDescent="0.2">
      <c r="DO58288" s="303" t="s">
        <v>232</v>
      </c>
    </row>
    <row r="58289" spans="119:119" x14ac:dyDescent="0.2">
      <c r="DO58289" s="303" t="s">
        <v>232</v>
      </c>
    </row>
    <row r="58290" spans="119:119" x14ac:dyDescent="0.2">
      <c r="DO58290" s="303" t="s">
        <v>232</v>
      </c>
    </row>
    <row r="58291" spans="119:119" x14ac:dyDescent="0.2">
      <c r="DO58291" s="303" t="s">
        <v>232</v>
      </c>
    </row>
    <row r="58292" spans="119:119" x14ac:dyDescent="0.2">
      <c r="DO58292" s="303" t="s">
        <v>232</v>
      </c>
    </row>
    <row r="58293" spans="119:119" x14ac:dyDescent="0.2">
      <c r="DO58293" s="303" t="s">
        <v>232</v>
      </c>
    </row>
    <row r="58294" spans="119:119" x14ac:dyDescent="0.2">
      <c r="DO58294" s="303" t="s">
        <v>232</v>
      </c>
    </row>
    <row r="58295" spans="119:119" x14ac:dyDescent="0.2">
      <c r="DO58295" s="303" t="s">
        <v>232</v>
      </c>
    </row>
    <row r="58296" spans="119:119" x14ac:dyDescent="0.2">
      <c r="DO58296" s="303" t="s">
        <v>232</v>
      </c>
    </row>
    <row r="58297" spans="119:119" x14ac:dyDescent="0.2">
      <c r="DO58297" s="303" t="s">
        <v>232</v>
      </c>
    </row>
    <row r="58298" spans="119:119" x14ac:dyDescent="0.2">
      <c r="DO58298" s="303" t="s">
        <v>232</v>
      </c>
    </row>
    <row r="58299" spans="119:119" x14ac:dyDescent="0.2">
      <c r="DO58299" s="303" t="s">
        <v>232</v>
      </c>
    </row>
    <row r="58300" spans="119:119" x14ac:dyDescent="0.2">
      <c r="DO58300" s="303" t="s">
        <v>232</v>
      </c>
    </row>
    <row r="58301" spans="119:119" x14ac:dyDescent="0.2">
      <c r="DO58301" s="303" t="s">
        <v>232</v>
      </c>
    </row>
    <row r="58302" spans="119:119" x14ac:dyDescent="0.2">
      <c r="DO58302" s="303" t="s">
        <v>232</v>
      </c>
    </row>
    <row r="58303" spans="119:119" x14ac:dyDescent="0.2">
      <c r="DO58303" s="303" t="s">
        <v>232</v>
      </c>
    </row>
    <row r="58304" spans="119:119" x14ac:dyDescent="0.2">
      <c r="DO58304" s="303" t="s">
        <v>232</v>
      </c>
    </row>
    <row r="58305" spans="119:119" x14ac:dyDescent="0.2">
      <c r="DO58305" s="303" t="s">
        <v>232</v>
      </c>
    </row>
    <row r="58306" spans="119:119" x14ac:dyDescent="0.2">
      <c r="DO58306" s="303" t="s">
        <v>232</v>
      </c>
    </row>
    <row r="58307" spans="119:119" x14ac:dyDescent="0.2">
      <c r="DO58307" s="303" t="s">
        <v>232</v>
      </c>
    </row>
    <row r="58308" spans="119:119" x14ac:dyDescent="0.2">
      <c r="DO58308" s="303" t="s">
        <v>232</v>
      </c>
    </row>
    <row r="58309" spans="119:119" x14ac:dyDescent="0.2">
      <c r="DO58309" s="303" t="s">
        <v>232</v>
      </c>
    </row>
    <row r="58310" spans="119:119" x14ac:dyDescent="0.2">
      <c r="DO58310" s="303" t="s">
        <v>232</v>
      </c>
    </row>
    <row r="58311" spans="119:119" x14ac:dyDescent="0.2">
      <c r="DO58311" s="303" t="s">
        <v>232</v>
      </c>
    </row>
    <row r="58312" spans="119:119" x14ac:dyDescent="0.2">
      <c r="DO58312" s="303" t="s">
        <v>232</v>
      </c>
    </row>
    <row r="58313" spans="119:119" x14ac:dyDescent="0.2">
      <c r="DO58313" s="303" t="s">
        <v>232</v>
      </c>
    </row>
    <row r="58314" spans="119:119" x14ac:dyDescent="0.2">
      <c r="DO58314" s="303" t="s">
        <v>232</v>
      </c>
    </row>
    <row r="58315" spans="119:119" x14ac:dyDescent="0.2">
      <c r="DO58315" s="303" t="s">
        <v>232</v>
      </c>
    </row>
    <row r="58316" spans="119:119" x14ac:dyDescent="0.2">
      <c r="DO58316" s="303" t="s">
        <v>232</v>
      </c>
    </row>
    <row r="58317" spans="119:119" x14ac:dyDescent="0.2">
      <c r="DO58317" s="303" t="s">
        <v>232</v>
      </c>
    </row>
    <row r="58318" spans="119:119" x14ac:dyDescent="0.2">
      <c r="DO58318" s="303" t="s">
        <v>232</v>
      </c>
    </row>
    <row r="58319" spans="119:119" x14ac:dyDescent="0.2">
      <c r="DO58319" s="303" t="s">
        <v>232</v>
      </c>
    </row>
    <row r="58320" spans="119:119" x14ac:dyDescent="0.2">
      <c r="DO58320" s="303" t="s">
        <v>232</v>
      </c>
    </row>
    <row r="58321" spans="119:119" x14ac:dyDescent="0.2">
      <c r="DO58321" s="303" t="s">
        <v>232</v>
      </c>
    </row>
    <row r="58322" spans="119:119" x14ac:dyDescent="0.2">
      <c r="DO58322" s="303" t="s">
        <v>232</v>
      </c>
    </row>
    <row r="58323" spans="119:119" x14ac:dyDescent="0.2">
      <c r="DO58323" s="303" t="s">
        <v>232</v>
      </c>
    </row>
    <row r="58324" spans="119:119" x14ac:dyDescent="0.2">
      <c r="DO58324" s="303" t="s">
        <v>232</v>
      </c>
    </row>
    <row r="58325" spans="119:119" x14ac:dyDescent="0.2">
      <c r="DO58325" s="303" t="s">
        <v>232</v>
      </c>
    </row>
    <row r="58326" spans="119:119" x14ac:dyDescent="0.2">
      <c r="DO58326" s="303" t="s">
        <v>232</v>
      </c>
    </row>
    <row r="58327" spans="119:119" x14ac:dyDescent="0.2">
      <c r="DO58327" s="303" t="s">
        <v>232</v>
      </c>
    </row>
    <row r="58328" spans="119:119" x14ac:dyDescent="0.2">
      <c r="DO58328" s="303" t="s">
        <v>232</v>
      </c>
    </row>
    <row r="58329" spans="119:119" x14ac:dyDescent="0.2">
      <c r="DO58329" s="303" t="s">
        <v>232</v>
      </c>
    </row>
    <row r="58330" spans="119:119" x14ac:dyDescent="0.2">
      <c r="DO58330" s="303" t="s">
        <v>232</v>
      </c>
    </row>
    <row r="58331" spans="119:119" x14ac:dyDescent="0.2">
      <c r="DO58331" s="303" t="s">
        <v>232</v>
      </c>
    </row>
    <row r="58332" spans="119:119" x14ac:dyDescent="0.2">
      <c r="DO58332" s="303" t="s">
        <v>232</v>
      </c>
    </row>
    <row r="58333" spans="119:119" x14ac:dyDescent="0.2">
      <c r="DO58333" s="303" t="s">
        <v>232</v>
      </c>
    </row>
    <row r="58334" spans="119:119" x14ac:dyDescent="0.2">
      <c r="DO58334" s="303" t="s">
        <v>232</v>
      </c>
    </row>
    <row r="58335" spans="119:119" x14ac:dyDescent="0.2">
      <c r="DO58335" s="303" t="s">
        <v>232</v>
      </c>
    </row>
    <row r="58336" spans="119:119" x14ac:dyDescent="0.2">
      <c r="DO58336" s="303" t="s">
        <v>232</v>
      </c>
    </row>
    <row r="58337" spans="119:119" x14ac:dyDescent="0.2">
      <c r="DO58337" s="303" t="s">
        <v>232</v>
      </c>
    </row>
    <row r="58338" spans="119:119" x14ac:dyDescent="0.2">
      <c r="DO58338" s="303" t="s">
        <v>232</v>
      </c>
    </row>
    <row r="58339" spans="119:119" x14ac:dyDescent="0.2">
      <c r="DO58339" s="303" t="s">
        <v>232</v>
      </c>
    </row>
    <row r="58340" spans="119:119" x14ac:dyDescent="0.2">
      <c r="DO58340" s="303" t="s">
        <v>232</v>
      </c>
    </row>
    <row r="58341" spans="119:119" x14ac:dyDescent="0.2">
      <c r="DO58341" s="303" t="s">
        <v>232</v>
      </c>
    </row>
    <row r="58342" spans="119:119" x14ac:dyDescent="0.2">
      <c r="DO58342" s="303" t="s">
        <v>232</v>
      </c>
    </row>
    <row r="58343" spans="119:119" x14ac:dyDescent="0.2">
      <c r="DO58343" s="303" t="s">
        <v>232</v>
      </c>
    </row>
    <row r="58344" spans="119:119" x14ac:dyDescent="0.2">
      <c r="DO58344" s="303" t="s">
        <v>232</v>
      </c>
    </row>
    <row r="58345" spans="119:119" x14ac:dyDescent="0.2">
      <c r="DO58345" s="303" t="s">
        <v>232</v>
      </c>
    </row>
    <row r="58346" spans="119:119" x14ac:dyDescent="0.2">
      <c r="DO58346" s="303" t="s">
        <v>232</v>
      </c>
    </row>
    <row r="58347" spans="119:119" x14ac:dyDescent="0.2">
      <c r="DO58347" s="303" t="s">
        <v>232</v>
      </c>
    </row>
    <row r="58348" spans="119:119" x14ac:dyDescent="0.2">
      <c r="DO58348" s="303" t="s">
        <v>232</v>
      </c>
    </row>
    <row r="58349" spans="119:119" x14ac:dyDescent="0.2">
      <c r="DO58349" s="303" t="s">
        <v>232</v>
      </c>
    </row>
    <row r="58350" spans="119:119" x14ac:dyDescent="0.2">
      <c r="DO58350" s="303" t="s">
        <v>232</v>
      </c>
    </row>
    <row r="58351" spans="119:119" x14ac:dyDescent="0.2">
      <c r="DO58351" s="303" t="s">
        <v>232</v>
      </c>
    </row>
    <row r="58352" spans="119:119" x14ac:dyDescent="0.2">
      <c r="DO58352" s="303" t="s">
        <v>232</v>
      </c>
    </row>
    <row r="58353" spans="119:119" x14ac:dyDescent="0.2">
      <c r="DO58353" s="303" t="s">
        <v>232</v>
      </c>
    </row>
    <row r="58354" spans="119:119" x14ac:dyDescent="0.2">
      <c r="DO58354" s="303" t="s">
        <v>232</v>
      </c>
    </row>
    <row r="58355" spans="119:119" x14ac:dyDescent="0.2">
      <c r="DO58355" s="303" t="s">
        <v>232</v>
      </c>
    </row>
    <row r="58356" spans="119:119" x14ac:dyDescent="0.2">
      <c r="DO58356" s="303" t="s">
        <v>232</v>
      </c>
    </row>
    <row r="58357" spans="119:119" x14ac:dyDescent="0.2">
      <c r="DO58357" s="303" t="s">
        <v>232</v>
      </c>
    </row>
    <row r="58358" spans="119:119" x14ac:dyDescent="0.2">
      <c r="DO58358" s="303" t="s">
        <v>232</v>
      </c>
    </row>
    <row r="58359" spans="119:119" x14ac:dyDescent="0.2">
      <c r="DO58359" s="303" t="s">
        <v>232</v>
      </c>
    </row>
    <row r="58360" spans="119:119" x14ac:dyDescent="0.2">
      <c r="DO58360" s="303" t="s">
        <v>232</v>
      </c>
    </row>
    <row r="58361" spans="119:119" x14ac:dyDescent="0.2">
      <c r="DO58361" s="303" t="s">
        <v>232</v>
      </c>
    </row>
    <row r="58362" spans="119:119" x14ac:dyDescent="0.2">
      <c r="DO58362" s="303" t="s">
        <v>232</v>
      </c>
    </row>
    <row r="58363" spans="119:119" x14ac:dyDescent="0.2">
      <c r="DO58363" s="303" t="s">
        <v>232</v>
      </c>
    </row>
    <row r="58364" spans="119:119" x14ac:dyDescent="0.2">
      <c r="DO58364" s="303" t="s">
        <v>232</v>
      </c>
    </row>
    <row r="58365" spans="119:119" x14ac:dyDescent="0.2">
      <c r="DO58365" s="303" t="s">
        <v>232</v>
      </c>
    </row>
    <row r="58366" spans="119:119" x14ac:dyDescent="0.2">
      <c r="DO58366" s="303" t="s">
        <v>232</v>
      </c>
    </row>
    <row r="58367" spans="119:119" x14ac:dyDescent="0.2">
      <c r="DO58367" s="303" t="s">
        <v>232</v>
      </c>
    </row>
    <row r="58368" spans="119:119" x14ac:dyDescent="0.2">
      <c r="DO58368" s="303" t="s">
        <v>232</v>
      </c>
    </row>
    <row r="58369" spans="119:119" x14ac:dyDescent="0.2">
      <c r="DO58369" s="303" t="s">
        <v>232</v>
      </c>
    </row>
    <row r="58370" spans="119:119" x14ac:dyDescent="0.2">
      <c r="DO58370" s="303" t="s">
        <v>232</v>
      </c>
    </row>
    <row r="58371" spans="119:119" x14ac:dyDescent="0.2">
      <c r="DO58371" s="303" t="s">
        <v>232</v>
      </c>
    </row>
    <row r="58372" spans="119:119" x14ac:dyDescent="0.2">
      <c r="DO58372" s="303" t="s">
        <v>232</v>
      </c>
    </row>
    <row r="58373" spans="119:119" x14ac:dyDescent="0.2">
      <c r="DO58373" s="303" t="s">
        <v>232</v>
      </c>
    </row>
    <row r="58374" spans="119:119" x14ac:dyDescent="0.2">
      <c r="DO58374" s="303" t="s">
        <v>232</v>
      </c>
    </row>
    <row r="58375" spans="119:119" x14ac:dyDescent="0.2">
      <c r="DO58375" s="303" t="s">
        <v>232</v>
      </c>
    </row>
    <row r="58376" spans="119:119" x14ac:dyDescent="0.2">
      <c r="DO58376" s="303" t="s">
        <v>232</v>
      </c>
    </row>
    <row r="58377" spans="119:119" x14ac:dyDescent="0.2">
      <c r="DO58377" s="303" t="s">
        <v>232</v>
      </c>
    </row>
    <row r="58378" spans="119:119" x14ac:dyDescent="0.2">
      <c r="DO58378" s="303" t="s">
        <v>232</v>
      </c>
    </row>
    <row r="58379" spans="119:119" x14ac:dyDescent="0.2">
      <c r="DO58379" s="303" t="s">
        <v>232</v>
      </c>
    </row>
    <row r="58380" spans="119:119" x14ac:dyDescent="0.2">
      <c r="DO58380" s="303" t="s">
        <v>232</v>
      </c>
    </row>
    <row r="58381" spans="119:119" x14ac:dyDescent="0.2">
      <c r="DO58381" s="303" t="s">
        <v>232</v>
      </c>
    </row>
    <row r="58382" spans="119:119" x14ac:dyDescent="0.2">
      <c r="DO58382" s="303" t="s">
        <v>232</v>
      </c>
    </row>
    <row r="58383" spans="119:119" x14ac:dyDescent="0.2">
      <c r="DO58383" s="303" t="s">
        <v>232</v>
      </c>
    </row>
    <row r="58384" spans="119:119" x14ac:dyDescent="0.2">
      <c r="DO58384" s="303" t="s">
        <v>232</v>
      </c>
    </row>
    <row r="58385" spans="119:119" x14ac:dyDescent="0.2">
      <c r="DO58385" s="303" t="s">
        <v>232</v>
      </c>
    </row>
    <row r="58386" spans="119:119" x14ac:dyDescent="0.2">
      <c r="DO58386" s="303" t="s">
        <v>232</v>
      </c>
    </row>
    <row r="58387" spans="119:119" x14ac:dyDescent="0.2">
      <c r="DO58387" s="303" t="s">
        <v>232</v>
      </c>
    </row>
    <row r="58388" spans="119:119" x14ac:dyDescent="0.2">
      <c r="DO58388" s="303" t="s">
        <v>232</v>
      </c>
    </row>
    <row r="58389" spans="119:119" x14ac:dyDescent="0.2">
      <c r="DO58389" s="303" t="s">
        <v>232</v>
      </c>
    </row>
    <row r="58390" spans="119:119" x14ac:dyDescent="0.2">
      <c r="DO58390" s="303" t="s">
        <v>232</v>
      </c>
    </row>
    <row r="58391" spans="119:119" x14ac:dyDescent="0.2">
      <c r="DO58391" s="303" t="s">
        <v>232</v>
      </c>
    </row>
    <row r="58392" spans="119:119" x14ac:dyDescent="0.2">
      <c r="DO58392" s="303" t="s">
        <v>232</v>
      </c>
    </row>
    <row r="58393" spans="119:119" x14ac:dyDescent="0.2">
      <c r="DO58393" s="303" t="s">
        <v>232</v>
      </c>
    </row>
    <row r="58394" spans="119:119" x14ac:dyDescent="0.2">
      <c r="DO58394" s="303" t="s">
        <v>232</v>
      </c>
    </row>
    <row r="58395" spans="119:119" x14ac:dyDescent="0.2">
      <c r="DO58395" s="303" t="s">
        <v>232</v>
      </c>
    </row>
    <row r="58396" spans="119:119" x14ac:dyDescent="0.2">
      <c r="DO58396" s="303" t="s">
        <v>232</v>
      </c>
    </row>
    <row r="58397" spans="119:119" x14ac:dyDescent="0.2">
      <c r="DO58397" s="303" t="s">
        <v>232</v>
      </c>
    </row>
    <row r="58398" spans="119:119" x14ac:dyDescent="0.2">
      <c r="DO58398" s="303" t="s">
        <v>232</v>
      </c>
    </row>
    <row r="58399" spans="119:119" x14ac:dyDescent="0.2">
      <c r="DO58399" s="303" t="s">
        <v>232</v>
      </c>
    </row>
    <row r="58400" spans="119:119" x14ac:dyDescent="0.2">
      <c r="DO58400" s="303" t="s">
        <v>232</v>
      </c>
    </row>
    <row r="58401" spans="119:119" x14ac:dyDescent="0.2">
      <c r="DO58401" s="303" t="s">
        <v>232</v>
      </c>
    </row>
    <row r="58402" spans="119:119" x14ac:dyDescent="0.2">
      <c r="DO58402" s="303" t="s">
        <v>232</v>
      </c>
    </row>
    <row r="58403" spans="119:119" x14ac:dyDescent="0.2">
      <c r="DO58403" s="303" t="s">
        <v>232</v>
      </c>
    </row>
    <row r="58404" spans="119:119" x14ac:dyDescent="0.2">
      <c r="DO58404" s="303" t="s">
        <v>232</v>
      </c>
    </row>
    <row r="58405" spans="119:119" x14ac:dyDescent="0.2">
      <c r="DO58405" s="303" t="s">
        <v>232</v>
      </c>
    </row>
    <row r="58406" spans="119:119" x14ac:dyDescent="0.2">
      <c r="DO58406" s="303" t="s">
        <v>232</v>
      </c>
    </row>
    <row r="58407" spans="119:119" x14ac:dyDescent="0.2">
      <c r="DO58407" s="303" t="s">
        <v>232</v>
      </c>
    </row>
    <row r="58408" spans="119:119" x14ac:dyDescent="0.2">
      <c r="DO58408" s="303" t="s">
        <v>232</v>
      </c>
    </row>
    <row r="58409" spans="119:119" x14ac:dyDescent="0.2">
      <c r="DO58409" s="303" t="s">
        <v>232</v>
      </c>
    </row>
    <row r="58410" spans="119:119" x14ac:dyDescent="0.2">
      <c r="DO58410" s="303" t="s">
        <v>232</v>
      </c>
    </row>
    <row r="58411" spans="119:119" x14ac:dyDescent="0.2">
      <c r="DO58411" s="303" t="s">
        <v>232</v>
      </c>
    </row>
    <row r="58412" spans="119:119" x14ac:dyDescent="0.2">
      <c r="DO58412" s="303" t="s">
        <v>232</v>
      </c>
    </row>
    <row r="58413" spans="119:119" x14ac:dyDescent="0.2">
      <c r="DO58413" s="303" t="s">
        <v>232</v>
      </c>
    </row>
    <row r="58414" spans="119:119" x14ac:dyDescent="0.2">
      <c r="DO58414" s="303" t="s">
        <v>232</v>
      </c>
    </row>
    <row r="58415" spans="119:119" x14ac:dyDescent="0.2">
      <c r="DO58415" s="303" t="s">
        <v>232</v>
      </c>
    </row>
    <row r="58416" spans="119:119" x14ac:dyDescent="0.2">
      <c r="DO58416" s="303" t="s">
        <v>232</v>
      </c>
    </row>
    <row r="58417" spans="119:119" x14ac:dyDescent="0.2">
      <c r="DO58417" s="303" t="s">
        <v>232</v>
      </c>
    </row>
    <row r="58418" spans="119:119" x14ac:dyDescent="0.2">
      <c r="DO58418" s="303" t="s">
        <v>232</v>
      </c>
    </row>
    <row r="58419" spans="119:119" x14ac:dyDescent="0.2">
      <c r="DO58419" s="303" t="s">
        <v>232</v>
      </c>
    </row>
    <row r="58420" spans="119:119" x14ac:dyDescent="0.2">
      <c r="DO58420" s="303" t="s">
        <v>232</v>
      </c>
    </row>
    <row r="58421" spans="119:119" x14ac:dyDescent="0.2">
      <c r="DO58421" s="303" t="s">
        <v>232</v>
      </c>
    </row>
    <row r="58422" spans="119:119" x14ac:dyDescent="0.2">
      <c r="DO58422" s="303" t="s">
        <v>232</v>
      </c>
    </row>
    <row r="58423" spans="119:119" x14ac:dyDescent="0.2">
      <c r="DO58423" s="303" t="s">
        <v>232</v>
      </c>
    </row>
    <row r="58424" spans="119:119" x14ac:dyDescent="0.2">
      <c r="DO58424" s="303" t="s">
        <v>232</v>
      </c>
    </row>
    <row r="58425" spans="119:119" x14ac:dyDescent="0.2">
      <c r="DO58425" s="303" t="s">
        <v>232</v>
      </c>
    </row>
    <row r="58426" spans="119:119" x14ac:dyDescent="0.2">
      <c r="DO58426" s="303" t="s">
        <v>232</v>
      </c>
    </row>
    <row r="58427" spans="119:119" x14ac:dyDescent="0.2">
      <c r="DO58427" s="303" t="s">
        <v>232</v>
      </c>
    </row>
    <row r="58428" spans="119:119" x14ac:dyDescent="0.2">
      <c r="DO58428" s="303" t="s">
        <v>232</v>
      </c>
    </row>
    <row r="58429" spans="119:119" x14ac:dyDescent="0.2">
      <c r="DO58429" s="303" t="s">
        <v>232</v>
      </c>
    </row>
    <row r="58430" spans="119:119" x14ac:dyDescent="0.2">
      <c r="DO58430" s="303" t="s">
        <v>232</v>
      </c>
    </row>
    <row r="58431" spans="119:119" x14ac:dyDescent="0.2">
      <c r="DO58431" s="303" t="s">
        <v>232</v>
      </c>
    </row>
    <row r="58432" spans="119:119" x14ac:dyDescent="0.2">
      <c r="DO58432" s="303" t="s">
        <v>232</v>
      </c>
    </row>
    <row r="58433" spans="119:119" x14ac:dyDescent="0.2">
      <c r="DO58433" s="303" t="s">
        <v>232</v>
      </c>
    </row>
    <row r="58434" spans="119:119" x14ac:dyDescent="0.2">
      <c r="DO58434" s="303" t="s">
        <v>232</v>
      </c>
    </row>
    <row r="58435" spans="119:119" x14ac:dyDescent="0.2">
      <c r="DO58435" s="303" t="s">
        <v>232</v>
      </c>
    </row>
    <row r="58436" spans="119:119" x14ac:dyDescent="0.2">
      <c r="DO58436" s="303" t="s">
        <v>232</v>
      </c>
    </row>
    <row r="58437" spans="119:119" x14ac:dyDescent="0.2">
      <c r="DO58437" s="303" t="s">
        <v>232</v>
      </c>
    </row>
    <row r="58438" spans="119:119" x14ac:dyDescent="0.2">
      <c r="DO58438" s="303" t="s">
        <v>232</v>
      </c>
    </row>
    <row r="58439" spans="119:119" x14ac:dyDescent="0.2">
      <c r="DO58439" s="303" t="s">
        <v>232</v>
      </c>
    </row>
    <row r="58440" spans="119:119" x14ac:dyDescent="0.2">
      <c r="DO58440" s="303" t="s">
        <v>232</v>
      </c>
    </row>
    <row r="58441" spans="119:119" x14ac:dyDescent="0.2">
      <c r="DO58441" s="303" t="s">
        <v>232</v>
      </c>
    </row>
    <row r="58442" spans="119:119" x14ac:dyDescent="0.2">
      <c r="DO58442" s="303" t="s">
        <v>232</v>
      </c>
    </row>
    <row r="58443" spans="119:119" x14ac:dyDescent="0.2">
      <c r="DO58443" s="303" t="s">
        <v>232</v>
      </c>
    </row>
    <row r="58444" spans="119:119" x14ac:dyDescent="0.2">
      <c r="DO58444" s="303" t="s">
        <v>232</v>
      </c>
    </row>
    <row r="58445" spans="119:119" x14ac:dyDescent="0.2">
      <c r="DO58445" s="303" t="s">
        <v>232</v>
      </c>
    </row>
    <row r="58446" spans="119:119" x14ac:dyDescent="0.2">
      <c r="DO58446" s="303" t="s">
        <v>232</v>
      </c>
    </row>
    <row r="58447" spans="119:119" x14ac:dyDescent="0.2">
      <c r="DO58447" s="303" t="s">
        <v>232</v>
      </c>
    </row>
    <row r="58448" spans="119:119" x14ac:dyDescent="0.2">
      <c r="DO58448" s="303" t="s">
        <v>232</v>
      </c>
    </row>
    <row r="58449" spans="119:119" x14ac:dyDescent="0.2">
      <c r="DO58449" s="303" t="s">
        <v>232</v>
      </c>
    </row>
    <row r="58450" spans="119:119" x14ac:dyDescent="0.2">
      <c r="DO58450" s="303" t="s">
        <v>232</v>
      </c>
    </row>
    <row r="58451" spans="119:119" x14ac:dyDescent="0.2">
      <c r="DO58451" s="303" t="s">
        <v>232</v>
      </c>
    </row>
    <row r="58452" spans="119:119" x14ac:dyDescent="0.2">
      <c r="DO58452" s="303" t="s">
        <v>232</v>
      </c>
    </row>
    <row r="58453" spans="119:119" x14ac:dyDescent="0.2">
      <c r="DO58453" s="303" t="s">
        <v>232</v>
      </c>
    </row>
    <row r="58454" spans="119:119" x14ac:dyDescent="0.2">
      <c r="DO58454" s="303" t="s">
        <v>232</v>
      </c>
    </row>
    <row r="58455" spans="119:119" x14ac:dyDescent="0.2">
      <c r="DO58455" s="303" t="s">
        <v>232</v>
      </c>
    </row>
    <row r="58456" spans="119:119" x14ac:dyDescent="0.2">
      <c r="DO58456" s="303" t="s">
        <v>232</v>
      </c>
    </row>
    <row r="58457" spans="119:119" x14ac:dyDescent="0.2">
      <c r="DO58457" s="303" t="s">
        <v>232</v>
      </c>
    </row>
    <row r="58458" spans="119:119" x14ac:dyDescent="0.2">
      <c r="DO58458" s="303" t="s">
        <v>232</v>
      </c>
    </row>
    <row r="58459" spans="119:119" x14ac:dyDescent="0.2">
      <c r="DO58459" s="303" t="s">
        <v>232</v>
      </c>
    </row>
    <row r="58460" spans="119:119" x14ac:dyDescent="0.2">
      <c r="DO58460" s="303" t="s">
        <v>232</v>
      </c>
    </row>
    <row r="58461" spans="119:119" x14ac:dyDescent="0.2">
      <c r="DO58461" s="303" t="s">
        <v>232</v>
      </c>
    </row>
    <row r="58462" spans="119:119" x14ac:dyDescent="0.2">
      <c r="DO58462" s="303" t="s">
        <v>232</v>
      </c>
    </row>
    <row r="58463" spans="119:119" x14ac:dyDescent="0.2">
      <c r="DO58463" s="303" t="s">
        <v>232</v>
      </c>
    </row>
    <row r="58464" spans="119:119" x14ac:dyDescent="0.2">
      <c r="DO58464" s="303" t="s">
        <v>232</v>
      </c>
    </row>
    <row r="58465" spans="119:119" x14ac:dyDescent="0.2">
      <c r="DO58465" s="303" t="s">
        <v>232</v>
      </c>
    </row>
    <row r="58466" spans="119:119" x14ac:dyDescent="0.2">
      <c r="DO58466" s="303" t="s">
        <v>232</v>
      </c>
    </row>
    <row r="58467" spans="119:119" x14ac:dyDescent="0.2">
      <c r="DO58467" s="303" t="s">
        <v>232</v>
      </c>
    </row>
    <row r="58468" spans="119:119" x14ac:dyDescent="0.2">
      <c r="DO58468" s="303" t="s">
        <v>232</v>
      </c>
    </row>
    <row r="58469" spans="119:119" x14ac:dyDescent="0.2">
      <c r="DO58469" s="303" t="s">
        <v>232</v>
      </c>
    </row>
    <row r="58470" spans="119:119" x14ac:dyDescent="0.2">
      <c r="DO58470" s="303" t="s">
        <v>232</v>
      </c>
    </row>
    <row r="58471" spans="119:119" x14ac:dyDescent="0.2">
      <c r="DO58471" s="303" t="s">
        <v>232</v>
      </c>
    </row>
    <row r="58472" spans="119:119" x14ac:dyDescent="0.2">
      <c r="DO58472" s="303" t="s">
        <v>232</v>
      </c>
    </row>
    <row r="58473" spans="119:119" x14ac:dyDescent="0.2">
      <c r="DO58473" s="303" t="s">
        <v>232</v>
      </c>
    </row>
    <row r="58474" spans="119:119" x14ac:dyDescent="0.2">
      <c r="DO58474" s="303" t="s">
        <v>232</v>
      </c>
    </row>
    <row r="58475" spans="119:119" x14ac:dyDescent="0.2">
      <c r="DO58475" s="303" t="s">
        <v>232</v>
      </c>
    </row>
    <row r="58476" spans="119:119" x14ac:dyDescent="0.2">
      <c r="DO58476" s="303" t="s">
        <v>232</v>
      </c>
    </row>
    <row r="58477" spans="119:119" x14ac:dyDescent="0.2">
      <c r="DO58477" s="303" t="s">
        <v>232</v>
      </c>
    </row>
    <row r="58478" spans="119:119" x14ac:dyDescent="0.2">
      <c r="DO58478" s="303" t="s">
        <v>232</v>
      </c>
    </row>
    <row r="58479" spans="119:119" x14ac:dyDescent="0.2">
      <c r="DO58479" s="303" t="s">
        <v>232</v>
      </c>
    </row>
    <row r="58480" spans="119:119" x14ac:dyDescent="0.2">
      <c r="DO58480" s="303" t="s">
        <v>232</v>
      </c>
    </row>
    <row r="58481" spans="119:119" x14ac:dyDescent="0.2">
      <c r="DO58481" s="303" t="s">
        <v>232</v>
      </c>
    </row>
    <row r="58482" spans="119:119" x14ac:dyDescent="0.2">
      <c r="DO58482" s="303" t="s">
        <v>232</v>
      </c>
    </row>
    <row r="58483" spans="119:119" x14ac:dyDescent="0.2">
      <c r="DO58483" s="303" t="s">
        <v>232</v>
      </c>
    </row>
    <row r="58484" spans="119:119" x14ac:dyDescent="0.2">
      <c r="DO58484" s="303" t="s">
        <v>232</v>
      </c>
    </row>
    <row r="58485" spans="119:119" x14ac:dyDescent="0.2">
      <c r="DO58485" s="303" t="s">
        <v>232</v>
      </c>
    </row>
    <row r="58486" spans="119:119" x14ac:dyDescent="0.2">
      <c r="DO58486" s="303" t="s">
        <v>232</v>
      </c>
    </row>
    <row r="58487" spans="119:119" x14ac:dyDescent="0.2">
      <c r="DO58487" s="303" t="s">
        <v>232</v>
      </c>
    </row>
    <row r="58488" spans="119:119" x14ac:dyDescent="0.2">
      <c r="DO58488" s="303" t="s">
        <v>232</v>
      </c>
    </row>
    <row r="58489" spans="119:119" x14ac:dyDescent="0.2">
      <c r="DO58489" s="303" t="s">
        <v>232</v>
      </c>
    </row>
    <row r="58490" spans="119:119" x14ac:dyDescent="0.2">
      <c r="DO58490" s="303" t="s">
        <v>232</v>
      </c>
    </row>
    <row r="58491" spans="119:119" x14ac:dyDescent="0.2">
      <c r="DO58491" s="303" t="s">
        <v>232</v>
      </c>
    </row>
    <row r="58492" spans="119:119" x14ac:dyDescent="0.2">
      <c r="DO58492" s="303" t="s">
        <v>232</v>
      </c>
    </row>
    <row r="58493" spans="119:119" x14ac:dyDescent="0.2">
      <c r="DO58493" s="303" t="s">
        <v>232</v>
      </c>
    </row>
    <row r="58494" spans="119:119" x14ac:dyDescent="0.2">
      <c r="DO58494" s="303" t="s">
        <v>232</v>
      </c>
    </row>
    <row r="58495" spans="119:119" x14ac:dyDescent="0.2">
      <c r="DO58495" s="303" t="s">
        <v>232</v>
      </c>
    </row>
    <row r="58496" spans="119:119" x14ac:dyDescent="0.2">
      <c r="DO58496" s="303" t="s">
        <v>232</v>
      </c>
    </row>
    <row r="58497" spans="119:119" x14ac:dyDescent="0.2">
      <c r="DO58497" s="303" t="s">
        <v>232</v>
      </c>
    </row>
    <row r="58498" spans="119:119" x14ac:dyDescent="0.2">
      <c r="DO58498" s="303" t="s">
        <v>232</v>
      </c>
    </row>
    <row r="58499" spans="119:119" x14ac:dyDescent="0.2">
      <c r="DO58499" s="303" t="s">
        <v>232</v>
      </c>
    </row>
    <row r="58500" spans="119:119" x14ac:dyDescent="0.2">
      <c r="DO58500" s="303" t="s">
        <v>232</v>
      </c>
    </row>
    <row r="58501" spans="119:119" x14ac:dyDescent="0.2">
      <c r="DO58501" s="303" t="s">
        <v>232</v>
      </c>
    </row>
    <row r="58502" spans="119:119" x14ac:dyDescent="0.2">
      <c r="DO58502" s="303" t="s">
        <v>232</v>
      </c>
    </row>
    <row r="58503" spans="119:119" x14ac:dyDescent="0.2">
      <c r="DO58503" s="303" t="s">
        <v>232</v>
      </c>
    </row>
    <row r="58504" spans="119:119" x14ac:dyDescent="0.2">
      <c r="DO58504" s="303" t="s">
        <v>232</v>
      </c>
    </row>
    <row r="58505" spans="119:119" x14ac:dyDescent="0.2">
      <c r="DO58505" s="303" t="s">
        <v>232</v>
      </c>
    </row>
    <row r="58506" spans="119:119" x14ac:dyDescent="0.2">
      <c r="DO58506" s="303" t="s">
        <v>232</v>
      </c>
    </row>
    <row r="58507" spans="119:119" x14ac:dyDescent="0.2">
      <c r="DO58507" s="303" t="s">
        <v>232</v>
      </c>
    </row>
    <row r="58508" spans="119:119" x14ac:dyDescent="0.2">
      <c r="DO58508" s="303" t="s">
        <v>232</v>
      </c>
    </row>
    <row r="58509" spans="119:119" x14ac:dyDescent="0.2">
      <c r="DO58509" s="303" t="s">
        <v>232</v>
      </c>
    </row>
    <row r="58510" spans="119:119" x14ac:dyDescent="0.2">
      <c r="DO58510" s="303" t="s">
        <v>232</v>
      </c>
    </row>
    <row r="58511" spans="119:119" x14ac:dyDescent="0.2">
      <c r="DO58511" s="303" t="s">
        <v>232</v>
      </c>
    </row>
    <row r="58512" spans="119:119" x14ac:dyDescent="0.2">
      <c r="DO58512" s="303" t="s">
        <v>232</v>
      </c>
    </row>
    <row r="58513" spans="119:119" x14ac:dyDescent="0.2">
      <c r="DO58513" s="303" t="s">
        <v>232</v>
      </c>
    </row>
    <row r="58514" spans="119:119" x14ac:dyDescent="0.2">
      <c r="DO58514" s="303" t="s">
        <v>232</v>
      </c>
    </row>
    <row r="58515" spans="119:119" x14ac:dyDescent="0.2">
      <c r="DO58515" s="303" t="s">
        <v>232</v>
      </c>
    </row>
    <row r="58516" spans="119:119" x14ac:dyDescent="0.2">
      <c r="DO58516" s="303" t="s">
        <v>232</v>
      </c>
    </row>
    <row r="58517" spans="119:119" x14ac:dyDescent="0.2">
      <c r="DO58517" s="303" t="s">
        <v>232</v>
      </c>
    </row>
    <row r="58518" spans="119:119" x14ac:dyDescent="0.2">
      <c r="DO58518" s="303" t="s">
        <v>232</v>
      </c>
    </row>
    <row r="58519" spans="119:119" x14ac:dyDescent="0.2">
      <c r="DO58519" s="303" t="s">
        <v>232</v>
      </c>
    </row>
    <row r="58520" spans="119:119" x14ac:dyDescent="0.2">
      <c r="DO58520" s="303" t="s">
        <v>232</v>
      </c>
    </row>
    <row r="58521" spans="119:119" x14ac:dyDescent="0.2">
      <c r="DO58521" s="303" t="s">
        <v>232</v>
      </c>
    </row>
    <row r="58522" spans="119:119" x14ac:dyDescent="0.2">
      <c r="DO58522" s="303" t="s">
        <v>232</v>
      </c>
    </row>
    <row r="58523" spans="119:119" x14ac:dyDescent="0.2">
      <c r="DO58523" s="303" t="s">
        <v>232</v>
      </c>
    </row>
    <row r="58524" spans="119:119" x14ac:dyDescent="0.2">
      <c r="DO58524" s="303" t="s">
        <v>232</v>
      </c>
    </row>
    <row r="58525" spans="119:119" x14ac:dyDescent="0.2">
      <c r="DO58525" s="303" t="s">
        <v>232</v>
      </c>
    </row>
    <row r="58526" spans="119:119" x14ac:dyDescent="0.2">
      <c r="DO58526" s="303" t="s">
        <v>232</v>
      </c>
    </row>
    <row r="58527" spans="119:119" x14ac:dyDescent="0.2">
      <c r="DO58527" s="303" t="s">
        <v>232</v>
      </c>
    </row>
    <row r="58528" spans="119:119" x14ac:dyDescent="0.2">
      <c r="DO58528" s="303" t="s">
        <v>232</v>
      </c>
    </row>
    <row r="58529" spans="119:119" x14ac:dyDescent="0.2">
      <c r="DO58529" s="303" t="s">
        <v>232</v>
      </c>
    </row>
    <row r="58530" spans="119:119" x14ac:dyDescent="0.2">
      <c r="DO58530" s="303" t="s">
        <v>232</v>
      </c>
    </row>
    <row r="58531" spans="119:119" x14ac:dyDescent="0.2">
      <c r="DO58531" s="303" t="s">
        <v>232</v>
      </c>
    </row>
    <row r="58532" spans="119:119" x14ac:dyDescent="0.2">
      <c r="DO58532" s="303" t="s">
        <v>232</v>
      </c>
    </row>
    <row r="58533" spans="119:119" x14ac:dyDescent="0.2">
      <c r="DO58533" s="303" t="s">
        <v>232</v>
      </c>
    </row>
    <row r="58534" spans="119:119" x14ac:dyDescent="0.2">
      <c r="DO58534" s="303" t="s">
        <v>232</v>
      </c>
    </row>
    <row r="58535" spans="119:119" x14ac:dyDescent="0.2">
      <c r="DO58535" s="303" t="s">
        <v>232</v>
      </c>
    </row>
    <row r="58536" spans="119:119" x14ac:dyDescent="0.2">
      <c r="DO58536" s="303" t="s">
        <v>232</v>
      </c>
    </row>
    <row r="58537" spans="119:119" x14ac:dyDescent="0.2">
      <c r="DO58537" s="303" t="s">
        <v>232</v>
      </c>
    </row>
    <row r="58538" spans="119:119" x14ac:dyDescent="0.2">
      <c r="DO58538" s="303" t="s">
        <v>232</v>
      </c>
    </row>
    <row r="58539" spans="119:119" x14ac:dyDescent="0.2">
      <c r="DO58539" s="303" t="s">
        <v>232</v>
      </c>
    </row>
    <row r="58540" spans="119:119" x14ac:dyDescent="0.2">
      <c r="DO58540" s="303" t="s">
        <v>232</v>
      </c>
    </row>
    <row r="58541" spans="119:119" x14ac:dyDescent="0.2">
      <c r="DO58541" s="303" t="s">
        <v>232</v>
      </c>
    </row>
    <row r="58542" spans="119:119" x14ac:dyDescent="0.2">
      <c r="DO58542" s="303" t="s">
        <v>232</v>
      </c>
    </row>
    <row r="58543" spans="119:119" x14ac:dyDescent="0.2">
      <c r="DO58543" s="303" t="s">
        <v>232</v>
      </c>
    </row>
    <row r="58544" spans="119:119" x14ac:dyDescent="0.2">
      <c r="DO58544" s="303" t="s">
        <v>232</v>
      </c>
    </row>
    <row r="58545" spans="119:119" x14ac:dyDescent="0.2">
      <c r="DO58545" s="303" t="s">
        <v>232</v>
      </c>
    </row>
    <row r="58546" spans="119:119" x14ac:dyDescent="0.2">
      <c r="DO58546" s="303" t="s">
        <v>232</v>
      </c>
    </row>
    <row r="58547" spans="119:119" x14ac:dyDescent="0.2">
      <c r="DO58547" s="303" t="s">
        <v>232</v>
      </c>
    </row>
    <row r="58548" spans="119:119" x14ac:dyDescent="0.2">
      <c r="DO58548" s="303" t="s">
        <v>232</v>
      </c>
    </row>
    <row r="58549" spans="119:119" x14ac:dyDescent="0.2">
      <c r="DO58549" s="303" t="s">
        <v>232</v>
      </c>
    </row>
    <row r="58550" spans="119:119" x14ac:dyDescent="0.2">
      <c r="DO58550" s="303" t="s">
        <v>232</v>
      </c>
    </row>
    <row r="58551" spans="119:119" x14ac:dyDescent="0.2">
      <c r="DO58551" s="303" t="s">
        <v>232</v>
      </c>
    </row>
    <row r="58552" spans="119:119" x14ac:dyDescent="0.2">
      <c r="DO58552" s="303" t="s">
        <v>232</v>
      </c>
    </row>
    <row r="58553" spans="119:119" x14ac:dyDescent="0.2">
      <c r="DO58553" s="303" t="s">
        <v>232</v>
      </c>
    </row>
    <row r="58554" spans="119:119" x14ac:dyDescent="0.2">
      <c r="DO58554" s="303" t="s">
        <v>232</v>
      </c>
    </row>
    <row r="58555" spans="119:119" x14ac:dyDescent="0.2">
      <c r="DO58555" s="303" t="s">
        <v>232</v>
      </c>
    </row>
    <row r="58556" spans="119:119" x14ac:dyDescent="0.2">
      <c r="DO58556" s="303" t="s">
        <v>232</v>
      </c>
    </row>
    <row r="58557" spans="119:119" x14ac:dyDescent="0.2">
      <c r="DO58557" s="303" t="s">
        <v>232</v>
      </c>
    </row>
    <row r="58558" spans="119:119" x14ac:dyDescent="0.2">
      <c r="DO58558" s="303" t="s">
        <v>232</v>
      </c>
    </row>
    <row r="58559" spans="119:119" x14ac:dyDescent="0.2">
      <c r="DO58559" s="303" t="s">
        <v>232</v>
      </c>
    </row>
    <row r="58560" spans="119:119" x14ac:dyDescent="0.2">
      <c r="DO58560" s="303" t="s">
        <v>232</v>
      </c>
    </row>
    <row r="58561" spans="119:119" x14ac:dyDescent="0.2">
      <c r="DO58561" s="303" t="s">
        <v>232</v>
      </c>
    </row>
    <row r="58562" spans="119:119" x14ac:dyDescent="0.2">
      <c r="DO58562" s="303" t="s">
        <v>232</v>
      </c>
    </row>
    <row r="58563" spans="119:119" x14ac:dyDescent="0.2">
      <c r="DO58563" s="303" t="s">
        <v>232</v>
      </c>
    </row>
    <row r="58564" spans="119:119" x14ac:dyDescent="0.2">
      <c r="DO58564" s="303" t="s">
        <v>232</v>
      </c>
    </row>
    <row r="58565" spans="119:119" x14ac:dyDescent="0.2">
      <c r="DO58565" s="303" t="s">
        <v>232</v>
      </c>
    </row>
    <row r="58566" spans="119:119" x14ac:dyDescent="0.2">
      <c r="DO58566" s="303" t="s">
        <v>232</v>
      </c>
    </row>
    <row r="58567" spans="119:119" x14ac:dyDescent="0.2">
      <c r="DO58567" s="303" t="s">
        <v>232</v>
      </c>
    </row>
    <row r="58568" spans="119:119" x14ac:dyDescent="0.2">
      <c r="DO58568" s="303" t="s">
        <v>232</v>
      </c>
    </row>
    <row r="58569" spans="119:119" x14ac:dyDescent="0.2">
      <c r="DO58569" s="303" t="s">
        <v>232</v>
      </c>
    </row>
    <row r="58570" spans="119:119" x14ac:dyDescent="0.2">
      <c r="DO58570" s="303" t="s">
        <v>232</v>
      </c>
    </row>
    <row r="58571" spans="119:119" x14ac:dyDescent="0.2">
      <c r="DO58571" s="303" t="s">
        <v>232</v>
      </c>
    </row>
    <row r="58572" spans="119:119" x14ac:dyDescent="0.2">
      <c r="DO58572" s="303" t="s">
        <v>232</v>
      </c>
    </row>
    <row r="58573" spans="119:119" x14ac:dyDescent="0.2">
      <c r="DO58573" s="303" t="s">
        <v>232</v>
      </c>
    </row>
    <row r="58574" spans="119:119" x14ac:dyDescent="0.2">
      <c r="DO58574" s="303" t="s">
        <v>232</v>
      </c>
    </row>
    <row r="58575" spans="119:119" x14ac:dyDescent="0.2">
      <c r="DO58575" s="303" t="s">
        <v>232</v>
      </c>
    </row>
    <row r="58576" spans="119:119" x14ac:dyDescent="0.2">
      <c r="DO58576" s="303" t="s">
        <v>232</v>
      </c>
    </row>
    <row r="58577" spans="119:119" x14ac:dyDescent="0.2">
      <c r="DO58577" s="303" t="s">
        <v>232</v>
      </c>
    </row>
    <row r="58578" spans="119:119" x14ac:dyDescent="0.2">
      <c r="DO58578" s="303" t="s">
        <v>232</v>
      </c>
    </row>
    <row r="58579" spans="119:119" x14ac:dyDescent="0.2">
      <c r="DO58579" s="303" t="s">
        <v>232</v>
      </c>
    </row>
    <row r="58580" spans="119:119" x14ac:dyDescent="0.2">
      <c r="DO58580" s="303" t="s">
        <v>232</v>
      </c>
    </row>
    <row r="58581" spans="119:119" x14ac:dyDescent="0.2">
      <c r="DO58581" s="303" t="s">
        <v>232</v>
      </c>
    </row>
    <row r="58582" spans="119:119" x14ac:dyDescent="0.2">
      <c r="DO58582" s="303" t="s">
        <v>232</v>
      </c>
    </row>
    <row r="58583" spans="119:119" x14ac:dyDescent="0.2">
      <c r="DO58583" s="303" t="s">
        <v>232</v>
      </c>
    </row>
    <row r="58584" spans="119:119" x14ac:dyDescent="0.2">
      <c r="DO58584" s="303" t="s">
        <v>232</v>
      </c>
    </row>
    <row r="58585" spans="119:119" x14ac:dyDescent="0.2">
      <c r="DO58585" s="303" t="s">
        <v>232</v>
      </c>
    </row>
    <row r="58586" spans="119:119" x14ac:dyDescent="0.2">
      <c r="DO58586" s="303" t="s">
        <v>232</v>
      </c>
    </row>
    <row r="58587" spans="119:119" x14ac:dyDescent="0.2">
      <c r="DO58587" s="303" t="s">
        <v>232</v>
      </c>
    </row>
    <row r="58588" spans="119:119" x14ac:dyDescent="0.2">
      <c r="DO58588" s="303" t="s">
        <v>232</v>
      </c>
    </row>
    <row r="58589" spans="119:119" x14ac:dyDescent="0.2">
      <c r="DO58589" s="303" t="s">
        <v>232</v>
      </c>
    </row>
    <row r="58590" spans="119:119" x14ac:dyDescent="0.2">
      <c r="DO58590" s="303" t="s">
        <v>232</v>
      </c>
    </row>
    <row r="58591" spans="119:119" x14ac:dyDescent="0.2">
      <c r="DO58591" s="303" t="s">
        <v>232</v>
      </c>
    </row>
    <row r="58592" spans="119:119" x14ac:dyDescent="0.2">
      <c r="DO58592" s="303" t="s">
        <v>232</v>
      </c>
    </row>
    <row r="58593" spans="119:119" x14ac:dyDescent="0.2">
      <c r="DO58593" s="303" t="s">
        <v>232</v>
      </c>
    </row>
    <row r="58594" spans="119:119" x14ac:dyDescent="0.2">
      <c r="DO58594" s="303" t="s">
        <v>232</v>
      </c>
    </row>
    <row r="58595" spans="119:119" x14ac:dyDescent="0.2">
      <c r="DO58595" s="303" t="s">
        <v>232</v>
      </c>
    </row>
    <row r="58596" spans="119:119" x14ac:dyDescent="0.2">
      <c r="DO58596" s="303" t="s">
        <v>232</v>
      </c>
    </row>
    <row r="58597" spans="119:119" x14ac:dyDescent="0.2">
      <c r="DO58597" s="303" t="s">
        <v>232</v>
      </c>
    </row>
    <row r="58598" spans="119:119" x14ac:dyDescent="0.2">
      <c r="DO58598" s="303" t="s">
        <v>232</v>
      </c>
    </row>
    <row r="58599" spans="119:119" x14ac:dyDescent="0.2">
      <c r="DO58599" s="303" t="s">
        <v>232</v>
      </c>
    </row>
    <row r="58600" spans="119:119" x14ac:dyDescent="0.2">
      <c r="DO58600" s="303" t="s">
        <v>232</v>
      </c>
    </row>
    <row r="58601" spans="119:119" x14ac:dyDescent="0.2">
      <c r="DO58601" s="303" t="s">
        <v>232</v>
      </c>
    </row>
    <row r="58602" spans="119:119" x14ac:dyDescent="0.2">
      <c r="DO58602" s="303" t="s">
        <v>232</v>
      </c>
    </row>
    <row r="58603" spans="119:119" x14ac:dyDescent="0.2">
      <c r="DO58603" s="303" t="s">
        <v>232</v>
      </c>
    </row>
    <row r="58604" spans="119:119" x14ac:dyDescent="0.2">
      <c r="DO58604" s="303" t="s">
        <v>232</v>
      </c>
    </row>
    <row r="58605" spans="119:119" x14ac:dyDescent="0.2">
      <c r="DO58605" s="303" t="s">
        <v>232</v>
      </c>
    </row>
    <row r="58606" spans="119:119" x14ac:dyDescent="0.2">
      <c r="DO58606" s="303" t="s">
        <v>232</v>
      </c>
    </row>
    <row r="58607" spans="119:119" x14ac:dyDescent="0.2">
      <c r="DO58607" s="303" t="s">
        <v>232</v>
      </c>
    </row>
    <row r="58608" spans="119:119" x14ac:dyDescent="0.2">
      <c r="DO58608" s="303" t="s">
        <v>232</v>
      </c>
    </row>
    <row r="58609" spans="119:119" x14ac:dyDescent="0.2">
      <c r="DO58609" s="303" t="s">
        <v>232</v>
      </c>
    </row>
    <row r="58610" spans="119:119" x14ac:dyDescent="0.2">
      <c r="DO58610" s="303" t="s">
        <v>232</v>
      </c>
    </row>
    <row r="58611" spans="119:119" x14ac:dyDescent="0.2">
      <c r="DO58611" s="303" t="s">
        <v>232</v>
      </c>
    </row>
    <row r="58612" spans="119:119" x14ac:dyDescent="0.2">
      <c r="DO58612" s="303" t="s">
        <v>232</v>
      </c>
    </row>
    <row r="58613" spans="119:119" x14ac:dyDescent="0.2">
      <c r="DO58613" s="303" t="s">
        <v>232</v>
      </c>
    </row>
    <row r="58614" spans="119:119" x14ac:dyDescent="0.2">
      <c r="DO58614" s="303" t="s">
        <v>232</v>
      </c>
    </row>
    <row r="58615" spans="119:119" x14ac:dyDescent="0.2">
      <c r="DO58615" s="303" t="s">
        <v>232</v>
      </c>
    </row>
    <row r="58616" spans="119:119" x14ac:dyDescent="0.2">
      <c r="DO58616" s="303" t="s">
        <v>232</v>
      </c>
    </row>
    <row r="58617" spans="119:119" x14ac:dyDescent="0.2">
      <c r="DO58617" s="303" t="s">
        <v>232</v>
      </c>
    </row>
    <row r="58618" spans="119:119" x14ac:dyDescent="0.2">
      <c r="DO58618" s="303" t="s">
        <v>232</v>
      </c>
    </row>
    <row r="58619" spans="119:119" x14ac:dyDescent="0.2">
      <c r="DO58619" s="303" t="s">
        <v>232</v>
      </c>
    </row>
    <row r="58620" spans="119:119" x14ac:dyDescent="0.2">
      <c r="DO58620" s="303" t="s">
        <v>232</v>
      </c>
    </row>
    <row r="58621" spans="119:119" x14ac:dyDescent="0.2">
      <c r="DO58621" s="303" t="s">
        <v>232</v>
      </c>
    </row>
    <row r="58622" spans="119:119" x14ac:dyDescent="0.2">
      <c r="DO58622" s="303" t="s">
        <v>232</v>
      </c>
    </row>
    <row r="58623" spans="119:119" x14ac:dyDescent="0.2">
      <c r="DO58623" s="303" t="s">
        <v>232</v>
      </c>
    </row>
    <row r="58624" spans="119:119" x14ac:dyDescent="0.2">
      <c r="DO58624" s="303" t="s">
        <v>232</v>
      </c>
    </row>
    <row r="58625" spans="119:119" x14ac:dyDescent="0.2">
      <c r="DO58625" s="303" t="s">
        <v>232</v>
      </c>
    </row>
    <row r="58626" spans="119:119" x14ac:dyDescent="0.2">
      <c r="DO58626" s="303" t="s">
        <v>232</v>
      </c>
    </row>
    <row r="58627" spans="119:119" x14ac:dyDescent="0.2">
      <c r="DO58627" s="303" t="s">
        <v>232</v>
      </c>
    </row>
    <row r="58628" spans="119:119" x14ac:dyDescent="0.2">
      <c r="DO58628" s="303" t="s">
        <v>232</v>
      </c>
    </row>
    <row r="58629" spans="119:119" x14ac:dyDescent="0.2">
      <c r="DO58629" s="303" t="s">
        <v>232</v>
      </c>
    </row>
    <row r="58630" spans="119:119" x14ac:dyDescent="0.2">
      <c r="DO58630" s="303" t="s">
        <v>232</v>
      </c>
    </row>
    <row r="58631" spans="119:119" x14ac:dyDescent="0.2">
      <c r="DO58631" s="303" t="s">
        <v>232</v>
      </c>
    </row>
    <row r="58632" spans="119:119" x14ac:dyDescent="0.2">
      <c r="DO58632" s="303" t="s">
        <v>232</v>
      </c>
    </row>
    <row r="58633" spans="119:119" x14ac:dyDescent="0.2">
      <c r="DO58633" s="303" t="s">
        <v>232</v>
      </c>
    </row>
    <row r="58634" spans="119:119" x14ac:dyDescent="0.2">
      <c r="DO58634" s="303" t="s">
        <v>232</v>
      </c>
    </row>
    <row r="58635" spans="119:119" x14ac:dyDescent="0.2">
      <c r="DO58635" s="303" t="s">
        <v>232</v>
      </c>
    </row>
    <row r="58636" spans="119:119" x14ac:dyDescent="0.2">
      <c r="DO58636" s="303" t="s">
        <v>232</v>
      </c>
    </row>
    <row r="58637" spans="119:119" x14ac:dyDescent="0.2">
      <c r="DO58637" s="303" t="s">
        <v>232</v>
      </c>
    </row>
    <row r="58638" spans="119:119" x14ac:dyDescent="0.2">
      <c r="DO58638" s="303" t="s">
        <v>232</v>
      </c>
    </row>
    <row r="58639" spans="119:119" x14ac:dyDescent="0.2">
      <c r="DO58639" s="303" t="s">
        <v>232</v>
      </c>
    </row>
    <row r="58640" spans="119:119" x14ac:dyDescent="0.2">
      <c r="DO58640" s="303" t="s">
        <v>232</v>
      </c>
    </row>
    <row r="58641" spans="119:119" x14ac:dyDescent="0.2">
      <c r="DO58641" s="303" t="s">
        <v>232</v>
      </c>
    </row>
    <row r="58642" spans="119:119" x14ac:dyDescent="0.2">
      <c r="DO58642" s="303" t="s">
        <v>232</v>
      </c>
    </row>
    <row r="58643" spans="119:119" x14ac:dyDescent="0.2">
      <c r="DO58643" s="303" t="s">
        <v>232</v>
      </c>
    </row>
    <row r="58644" spans="119:119" x14ac:dyDescent="0.2">
      <c r="DO58644" s="303" t="s">
        <v>232</v>
      </c>
    </row>
    <row r="58645" spans="119:119" x14ac:dyDescent="0.2">
      <c r="DO58645" s="303" t="s">
        <v>232</v>
      </c>
    </row>
    <row r="58646" spans="119:119" x14ac:dyDescent="0.2">
      <c r="DO58646" s="303" t="s">
        <v>232</v>
      </c>
    </row>
    <row r="58647" spans="119:119" x14ac:dyDescent="0.2">
      <c r="DO58647" s="303" t="s">
        <v>232</v>
      </c>
    </row>
    <row r="58648" spans="119:119" x14ac:dyDescent="0.2">
      <c r="DO58648" s="303" t="s">
        <v>232</v>
      </c>
    </row>
    <row r="58649" spans="119:119" x14ac:dyDescent="0.2">
      <c r="DO58649" s="303" t="s">
        <v>232</v>
      </c>
    </row>
    <row r="58650" spans="119:119" x14ac:dyDescent="0.2">
      <c r="DO58650" s="303" t="s">
        <v>232</v>
      </c>
    </row>
    <row r="58651" spans="119:119" x14ac:dyDescent="0.2">
      <c r="DO58651" s="303" t="s">
        <v>232</v>
      </c>
    </row>
    <row r="58652" spans="119:119" x14ac:dyDescent="0.2">
      <c r="DO58652" s="303" t="s">
        <v>232</v>
      </c>
    </row>
    <row r="58653" spans="119:119" x14ac:dyDescent="0.2">
      <c r="DO58653" s="303" t="s">
        <v>232</v>
      </c>
    </row>
    <row r="58654" spans="119:119" x14ac:dyDescent="0.2">
      <c r="DO58654" s="303" t="s">
        <v>232</v>
      </c>
    </row>
    <row r="58655" spans="119:119" x14ac:dyDescent="0.2">
      <c r="DO58655" s="303" t="s">
        <v>232</v>
      </c>
    </row>
    <row r="58656" spans="119:119" x14ac:dyDescent="0.2">
      <c r="DO58656" s="303" t="s">
        <v>232</v>
      </c>
    </row>
    <row r="58657" spans="119:119" x14ac:dyDescent="0.2">
      <c r="DO58657" s="303" t="s">
        <v>232</v>
      </c>
    </row>
    <row r="58658" spans="119:119" x14ac:dyDescent="0.2">
      <c r="DO58658" s="303" t="s">
        <v>232</v>
      </c>
    </row>
    <row r="58659" spans="119:119" x14ac:dyDescent="0.2">
      <c r="DO58659" s="303" t="s">
        <v>232</v>
      </c>
    </row>
    <row r="58660" spans="119:119" x14ac:dyDescent="0.2">
      <c r="DO58660" s="303" t="s">
        <v>232</v>
      </c>
    </row>
    <row r="58661" spans="119:119" x14ac:dyDescent="0.2">
      <c r="DO58661" s="303" t="s">
        <v>232</v>
      </c>
    </row>
    <row r="58662" spans="119:119" x14ac:dyDescent="0.2">
      <c r="DO58662" s="303" t="s">
        <v>232</v>
      </c>
    </row>
    <row r="58663" spans="119:119" x14ac:dyDescent="0.2">
      <c r="DO58663" s="303" t="s">
        <v>232</v>
      </c>
    </row>
    <row r="58664" spans="119:119" x14ac:dyDescent="0.2">
      <c r="DO58664" s="303" t="s">
        <v>232</v>
      </c>
    </row>
    <row r="58665" spans="119:119" x14ac:dyDescent="0.2">
      <c r="DO58665" s="303" t="s">
        <v>232</v>
      </c>
    </row>
    <row r="58666" spans="119:119" x14ac:dyDescent="0.2">
      <c r="DO58666" s="303" t="s">
        <v>232</v>
      </c>
    </row>
    <row r="58667" spans="119:119" x14ac:dyDescent="0.2">
      <c r="DO58667" s="303" t="s">
        <v>232</v>
      </c>
    </row>
    <row r="58668" spans="119:119" x14ac:dyDescent="0.2">
      <c r="DO58668" s="303" t="s">
        <v>232</v>
      </c>
    </row>
    <row r="58669" spans="119:119" x14ac:dyDescent="0.2">
      <c r="DO58669" s="303" t="s">
        <v>232</v>
      </c>
    </row>
    <row r="58670" spans="119:119" x14ac:dyDescent="0.2">
      <c r="DO58670" s="303" t="s">
        <v>232</v>
      </c>
    </row>
    <row r="58671" spans="119:119" x14ac:dyDescent="0.2">
      <c r="DO58671" s="303" t="s">
        <v>232</v>
      </c>
    </row>
    <row r="58672" spans="119:119" x14ac:dyDescent="0.2">
      <c r="DO58672" s="303" t="s">
        <v>232</v>
      </c>
    </row>
    <row r="58673" spans="119:119" x14ac:dyDescent="0.2">
      <c r="DO58673" s="303" t="s">
        <v>232</v>
      </c>
    </row>
    <row r="58674" spans="119:119" x14ac:dyDescent="0.2">
      <c r="DO58674" s="303" t="s">
        <v>232</v>
      </c>
    </row>
    <row r="58675" spans="119:119" x14ac:dyDescent="0.2">
      <c r="DO58675" s="303" t="s">
        <v>232</v>
      </c>
    </row>
    <row r="58676" spans="119:119" x14ac:dyDescent="0.2">
      <c r="DO58676" s="303" t="s">
        <v>232</v>
      </c>
    </row>
    <row r="58677" spans="119:119" x14ac:dyDescent="0.2">
      <c r="DO58677" s="303" t="s">
        <v>232</v>
      </c>
    </row>
    <row r="58678" spans="119:119" x14ac:dyDescent="0.2">
      <c r="DO58678" s="303" t="s">
        <v>232</v>
      </c>
    </row>
    <row r="58679" spans="119:119" x14ac:dyDescent="0.2">
      <c r="DO58679" s="303" t="s">
        <v>232</v>
      </c>
    </row>
    <row r="58680" spans="119:119" x14ac:dyDescent="0.2">
      <c r="DO58680" s="303" t="s">
        <v>232</v>
      </c>
    </row>
    <row r="58681" spans="119:119" x14ac:dyDescent="0.2">
      <c r="DO58681" s="303" t="s">
        <v>232</v>
      </c>
    </row>
    <row r="58682" spans="119:119" x14ac:dyDescent="0.2">
      <c r="DO58682" s="303" t="s">
        <v>232</v>
      </c>
    </row>
    <row r="58683" spans="119:119" x14ac:dyDescent="0.2">
      <c r="DO58683" s="303" t="s">
        <v>232</v>
      </c>
    </row>
    <row r="58684" spans="119:119" x14ac:dyDescent="0.2">
      <c r="DO58684" s="303" t="s">
        <v>232</v>
      </c>
    </row>
    <row r="58685" spans="119:119" x14ac:dyDescent="0.2">
      <c r="DO58685" s="303" t="s">
        <v>232</v>
      </c>
    </row>
    <row r="58686" spans="119:119" x14ac:dyDescent="0.2">
      <c r="DO58686" s="303" t="s">
        <v>232</v>
      </c>
    </row>
    <row r="58687" spans="119:119" x14ac:dyDescent="0.2">
      <c r="DO58687" s="303" t="s">
        <v>232</v>
      </c>
    </row>
    <row r="58688" spans="119:119" x14ac:dyDescent="0.2">
      <c r="DO58688" s="303" t="s">
        <v>232</v>
      </c>
    </row>
    <row r="58689" spans="119:119" x14ac:dyDescent="0.2">
      <c r="DO58689" s="303" t="s">
        <v>232</v>
      </c>
    </row>
    <row r="58690" spans="119:119" x14ac:dyDescent="0.2">
      <c r="DO58690" s="303" t="s">
        <v>232</v>
      </c>
    </row>
    <row r="58691" spans="119:119" x14ac:dyDescent="0.2">
      <c r="DO58691" s="303" t="s">
        <v>232</v>
      </c>
    </row>
    <row r="58692" spans="119:119" x14ac:dyDescent="0.2">
      <c r="DO58692" s="303" t="s">
        <v>232</v>
      </c>
    </row>
    <row r="58693" spans="119:119" x14ac:dyDescent="0.2">
      <c r="DO58693" s="303" t="s">
        <v>232</v>
      </c>
    </row>
    <row r="58694" spans="119:119" x14ac:dyDescent="0.2">
      <c r="DO58694" s="303" t="s">
        <v>232</v>
      </c>
    </row>
    <row r="58695" spans="119:119" x14ac:dyDescent="0.2">
      <c r="DO58695" s="303" t="s">
        <v>232</v>
      </c>
    </row>
    <row r="58696" spans="119:119" x14ac:dyDescent="0.2">
      <c r="DO58696" s="303" t="s">
        <v>232</v>
      </c>
    </row>
    <row r="58697" spans="119:119" x14ac:dyDescent="0.2">
      <c r="DO58697" s="303" t="s">
        <v>232</v>
      </c>
    </row>
    <row r="58698" spans="119:119" x14ac:dyDescent="0.2">
      <c r="DO58698" s="303" t="s">
        <v>232</v>
      </c>
    </row>
    <row r="58699" spans="119:119" x14ac:dyDescent="0.2">
      <c r="DO58699" s="303" t="s">
        <v>232</v>
      </c>
    </row>
    <row r="58700" spans="119:119" x14ac:dyDescent="0.2">
      <c r="DO58700" s="303" t="s">
        <v>232</v>
      </c>
    </row>
    <row r="58701" spans="119:119" x14ac:dyDescent="0.2">
      <c r="DO58701" s="303" t="s">
        <v>232</v>
      </c>
    </row>
    <row r="58702" spans="119:119" x14ac:dyDescent="0.2">
      <c r="DO58702" s="303" t="s">
        <v>232</v>
      </c>
    </row>
    <row r="58703" spans="119:119" x14ac:dyDescent="0.2">
      <c r="DO58703" s="303" t="s">
        <v>232</v>
      </c>
    </row>
    <row r="58704" spans="119:119" x14ac:dyDescent="0.2">
      <c r="DO58704" s="303" t="s">
        <v>232</v>
      </c>
    </row>
    <row r="58705" spans="119:119" x14ac:dyDescent="0.2">
      <c r="DO58705" s="303" t="s">
        <v>232</v>
      </c>
    </row>
    <row r="58706" spans="119:119" x14ac:dyDescent="0.2">
      <c r="DO58706" s="303" t="s">
        <v>232</v>
      </c>
    </row>
    <row r="58707" spans="119:119" x14ac:dyDescent="0.2">
      <c r="DO58707" s="303" t="s">
        <v>232</v>
      </c>
    </row>
    <row r="58708" spans="119:119" x14ac:dyDescent="0.2">
      <c r="DO58708" s="303" t="s">
        <v>232</v>
      </c>
    </row>
    <row r="58709" spans="119:119" x14ac:dyDescent="0.2">
      <c r="DO58709" s="303" t="s">
        <v>232</v>
      </c>
    </row>
    <row r="58710" spans="119:119" x14ac:dyDescent="0.2">
      <c r="DO58710" s="303" t="s">
        <v>232</v>
      </c>
    </row>
    <row r="58711" spans="119:119" x14ac:dyDescent="0.2">
      <c r="DO58711" s="303" t="s">
        <v>232</v>
      </c>
    </row>
    <row r="58712" spans="119:119" x14ac:dyDescent="0.2">
      <c r="DO58712" s="303" t="s">
        <v>232</v>
      </c>
    </row>
    <row r="58713" spans="119:119" x14ac:dyDescent="0.2">
      <c r="DO58713" s="303" t="s">
        <v>232</v>
      </c>
    </row>
    <row r="58714" spans="119:119" x14ac:dyDescent="0.2">
      <c r="DO58714" s="303" t="s">
        <v>232</v>
      </c>
    </row>
    <row r="58715" spans="119:119" x14ac:dyDescent="0.2">
      <c r="DO58715" s="303" t="s">
        <v>232</v>
      </c>
    </row>
    <row r="58716" spans="119:119" x14ac:dyDescent="0.2">
      <c r="DO58716" s="303" t="s">
        <v>232</v>
      </c>
    </row>
    <row r="58717" spans="119:119" x14ac:dyDescent="0.2">
      <c r="DO58717" s="303" t="s">
        <v>232</v>
      </c>
    </row>
    <row r="58718" spans="119:119" x14ac:dyDescent="0.2">
      <c r="DO58718" s="303" t="s">
        <v>232</v>
      </c>
    </row>
    <row r="58719" spans="119:119" x14ac:dyDescent="0.2">
      <c r="DO58719" s="303" t="s">
        <v>232</v>
      </c>
    </row>
    <row r="58720" spans="119:119" x14ac:dyDescent="0.2">
      <c r="DO58720" s="303" t="s">
        <v>232</v>
      </c>
    </row>
    <row r="58721" spans="119:119" x14ac:dyDescent="0.2">
      <c r="DO58721" s="303" t="s">
        <v>232</v>
      </c>
    </row>
    <row r="58722" spans="119:119" x14ac:dyDescent="0.2">
      <c r="DO58722" s="303" t="s">
        <v>232</v>
      </c>
    </row>
    <row r="58723" spans="119:119" x14ac:dyDescent="0.2">
      <c r="DO58723" s="303" t="s">
        <v>232</v>
      </c>
    </row>
    <row r="58724" spans="119:119" x14ac:dyDescent="0.2">
      <c r="DO58724" s="303" t="s">
        <v>232</v>
      </c>
    </row>
    <row r="58725" spans="119:119" x14ac:dyDescent="0.2">
      <c r="DO58725" s="303" t="s">
        <v>232</v>
      </c>
    </row>
    <row r="58726" spans="119:119" x14ac:dyDescent="0.2">
      <c r="DO58726" s="303" t="s">
        <v>232</v>
      </c>
    </row>
    <row r="58727" spans="119:119" x14ac:dyDescent="0.2">
      <c r="DO58727" s="303" t="s">
        <v>232</v>
      </c>
    </row>
    <row r="58728" spans="119:119" x14ac:dyDescent="0.2">
      <c r="DO58728" s="303" t="s">
        <v>232</v>
      </c>
    </row>
    <row r="58729" spans="119:119" x14ac:dyDescent="0.2">
      <c r="DO58729" s="303" t="s">
        <v>232</v>
      </c>
    </row>
    <row r="58730" spans="119:119" x14ac:dyDescent="0.2">
      <c r="DO58730" s="303" t="s">
        <v>232</v>
      </c>
    </row>
    <row r="58731" spans="119:119" x14ac:dyDescent="0.2">
      <c r="DO58731" s="303" t="s">
        <v>232</v>
      </c>
    </row>
    <row r="58732" spans="119:119" x14ac:dyDescent="0.2">
      <c r="DO58732" s="303" t="s">
        <v>232</v>
      </c>
    </row>
    <row r="58733" spans="119:119" x14ac:dyDescent="0.2">
      <c r="DO58733" s="303" t="s">
        <v>232</v>
      </c>
    </row>
    <row r="58734" spans="119:119" x14ac:dyDescent="0.2">
      <c r="DO58734" s="303" t="s">
        <v>232</v>
      </c>
    </row>
    <row r="58735" spans="119:119" x14ac:dyDescent="0.2">
      <c r="DO58735" s="303" t="s">
        <v>232</v>
      </c>
    </row>
    <row r="58736" spans="119:119" x14ac:dyDescent="0.2">
      <c r="DO58736" s="303" t="s">
        <v>232</v>
      </c>
    </row>
    <row r="58737" spans="119:119" x14ac:dyDescent="0.2">
      <c r="DO58737" s="303" t="s">
        <v>232</v>
      </c>
    </row>
    <row r="58738" spans="119:119" x14ac:dyDescent="0.2">
      <c r="DO58738" s="303" t="s">
        <v>232</v>
      </c>
    </row>
    <row r="58739" spans="119:119" x14ac:dyDescent="0.2">
      <c r="DO58739" s="303" t="s">
        <v>232</v>
      </c>
    </row>
    <row r="58740" spans="119:119" x14ac:dyDescent="0.2">
      <c r="DO58740" s="303" t="s">
        <v>232</v>
      </c>
    </row>
    <row r="58741" spans="119:119" x14ac:dyDescent="0.2">
      <c r="DO58741" s="303" t="s">
        <v>232</v>
      </c>
    </row>
    <row r="58742" spans="119:119" x14ac:dyDescent="0.2">
      <c r="DO58742" s="303" t="s">
        <v>232</v>
      </c>
    </row>
    <row r="58743" spans="119:119" x14ac:dyDescent="0.2">
      <c r="DO58743" s="303" t="s">
        <v>232</v>
      </c>
    </row>
    <row r="58744" spans="119:119" x14ac:dyDescent="0.2">
      <c r="DO58744" s="303" t="s">
        <v>232</v>
      </c>
    </row>
    <row r="58745" spans="119:119" x14ac:dyDescent="0.2">
      <c r="DO58745" s="303" t="s">
        <v>232</v>
      </c>
    </row>
    <row r="58746" spans="119:119" x14ac:dyDescent="0.2">
      <c r="DO58746" s="303" t="s">
        <v>232</v>
      </c>
    </row>
    <row r="58747" spans="119:119" x14ac:dyDescent="0.2">
      <c r="DO58747" s="303" t="s">
        <v>232</v>
      </c>
    </row>
    <row r="58748" spans="119:119" x14ac:dyDescent="0.2">
      <c r="DO58748" s="303" t="s">
        <v>232</v>
      </c>
    </row>
    <row r="58749" spans="119:119" x14ac:dyDescent="0.2">
      <c r="DO58749" s="303" t="s">
        <v>232</v>
      </c>
    </row>
    <row r="58750" spans="119:119" x14ac:dyDescent="0.2">
      <c r="DO58750" s="303" t="s">
        <v>232</v>
      </c>
    </row>
    <row r="58751" spans="119:119" x14ac:dyDescent="0.2">
      <c r="DO58751" s="303" t="s">
        <v>232</v>
      </c>
    </row>
    <row r="58752" spans="119:119" x14ac:dyDescent="0.2">
      <c r="DO58752" s="303" t="s">
        <v>232</v>
      </c>
    </row>
    <row r="58753" spans="119:119" x14ac:dyDescent="0.2">
      <c r="DO58753" s="303" t="s">
        <v>232</v>
      </c>
    </row>
    <row r="58754" spans="119:119" x14ac:dyDescent="0.2">
      <c r="DO58754" s="303" t="s">
        <v>232</v>
      </c>
    </row>
    <row r="58755" spans="119:119" x14ac:dyDescent="0.2">
      <c r="DO58755" s="303" t="s">
        <v>232</v>
      </c>
    </row>
    <row r="58756" spans="119:119" x14ac:dyDescent="0.2">
      <c r="DO58756" s="303" t="s">
        <v>232</v>
      </c>
    </row>
    <row r="58757" spans="119:119" x14ac:dyDescent="0.2">
      <c r="DO58757" s="303" t="s">
        <v>232</v>
      </c>
    </row>
    <row r="58758" spans="119:119" x14ac:dyDescent="0.2">
      <c r="DO58758" s="303" t="s">
        <v>232</v>
      </c>
    </row>
    <row r="58759" spans="119:119" x14ac:dyDescent="0.2">
      <c r="DO58759" s="303" t="s">
        <v>232</v>
      </c>
    </row>
    <row r="58760" spans="119:119" x14ac:dyDescent="0.2">
      <c r="DO58760" s="303" t="s">
        <v>232</v>
      </c>
    </row>
    <row r="58761" spans="119:119" x14ac:dyDescent="0.2">
      <c r="DO58761" s="303" t="s">
        <v>232</v>
      </c>
    </row>
    <row r="58762" spans="119:119" x14ac:dyDescent="0.2">
      <c r="DO58762" s="303" t="s">
        <v>232</v>
      </c>
    </row>
    <row r="58763" spans="119:119" x14ac:dyDescent="0.2">
      <c r="DO58763" s="303" t="s">
        <v>232</v>
      </c>
    </row>
    <row r="58764" spans="119:119" x14ac:dyDescent="0.2">
      <c r="DO58764" s="303" t="s">
        <v>232</v>
      </c>
    </row>
    <row r="58765" spans="119:119" x14ac:dyDescent="0.2">
      <c r="DO58765" s="303" t="s">
        <v>232</v>
      </c>
    </row>
    <row r="58766" spans="119:119" x14ac:dyDescent="0.2">
      <c r="DO58766" s="303" t="s">
        <v>232</v>
      </c>
    </row>
    <row r="58767" spans="119:119" x14ac:dyDescent="0.2">
      <c r="DO58767" s="303" t="s">
        <v>232</v>
      </c>
    </row>
    <row r="58768" spans="119:119" x14ac:dyDescent="0.2">
      <c r="DO58768" s="303" t="s">
        <v>232</v>
      </c>
    </row>
    <row r="58769" spans="119:119" x14ac:dyDescent="0.2">
      <c r="DO58769" s="303" t="s">
        <v>232</v>
      </c>
    </row>
    <row r="58770" spans="119:119" x14ac:dyDescent="0.2">
      <c r="DO58770" s="303" t="s">
        <v>232</v>
      </c>
    </row>
    <row r="58771" spans="119:119" x14ac:dyDescent="0.2">
      <c r="DO58771" s="303" t="s">
        <v>232</v>
      </c>
    </row>
    <row r="58772" spans="119:119" x14ac:dyDescent="0.2">
      <c r="DO58772" s="303" t="s">
        <v>232</v>
      </c>
    </row>
    <row r="58773" spans="119:119" x14ac:dyDescent="0.2">
      <c r="DO58773" s="303" t="s">
        <v>232</v>
      </c>
    </row>
    <row r="58774" spans="119:119" x14ac:dyDescent="0.2">
      <c r="DO58774" s="303" t="s">
        <v>232</v>
      </c>
    </row>
    <row r="58775" spans="119:119" x14ac:dyDescent="0.2">
      <c r="DO58775" s="303" t="s">
        <v>232</v>
      </c>
    </row>
    <row r="58776" spans="119:119" x14ac:dyDescent="0.2">
      <c r="DO58776" s="303" t="s">
        <v>232</v>
      </c>
    </row>
    <row r="58777" spans="119:119" x14ac:dyDescent="0.2">
      <c r="DO58777" s="303" t="s">
        <v>232</v>
      </c>
    </row>
    <row r="58778" spans="119:119" x14ac:dyDescent="0.2">
      <c r="DO58778" s="303" t="s">
        <v>232</v>
      </c>
    </row>
    <row r="58779" spans="119:119" x14ac:dyDescent="0.2">
      <c r="DO58779" s="303" t="s">
        <v>232</v>
      </c>
    </row>
    <row r="58780" spans="119:119" x14ac:dyDescent="0.2">
      <c r="DO58780" s="303" t="s">
        <v>232</v>
      </c>
    </row>
    <row r="58781" spans="119:119" x14ac:dyDescent="0.2">
      <c r="DO58781" s="303" t="s">
        <v>232</v>
      </c>
    </row>
    <row r="58782" spans="119:119" x14ac:dyDescent="0.2">
      <c r="DO58782" s="303" t="s">
        <v>232</v>
      </c>
    </row>
    <row r="58783" spans="119:119" x14ac:dyDescent="0.2">
      <c r="DO58783" s="303" t="s">
        <v>232</v>
      </c>
    </row>
    <row r="58784" spans="119:119" x14ac:dyDescent="0.2">
      <c r="DO58784" s="303" t="s">
        <v>232</v>
      </c>
    </row>
    <row r="58785" spans="119:119" x14ac:dyDescent="0.2">
      <c r="DO58785" s="303" t="s">
        <v>232</v>
      </c>
    </row>
    <row r="58786" spans="119:119" x14ac:dyDescent="0.2">
      <c r="DO58786" s="303" t="s">
        <v>232</v>
      </c>
    </row>
    <row r="58787" spans="119:119" x14ac:dyDescent="0.2">
      <c r="DO58787" s="303" t="s">
        <v>232</v>
      </c>
    </row>
    <row r="58788" spans="119:119" x14ac:dyDescent="0.2">
      <c r="DO58788" s="303" t="s">
        <v>232</v>
      </c>
    </row>
    <row r="58789" spans="119:119" x14ac:dyDescent="0.2">
      <c r="DO58789" s="303" t="s">
        <v>232</v>
      </c>
    </row>
    <row r="58790" spans="119:119" x14ac:dyDescent="0.2">
      <c r="DO58790" s="303" t="s">
        <v>232</v>
      </c>
    </row>
    <row r="58791" spans="119:119" x14ac:dyDescent="0.2">
      <c r="DO58791" s="303" t="s">
        <v>232</v>
      </c>
    </row>
    <row r="58792" spans="119:119" x14ac:dyDescent="0.2">
      <c r="DO58792" s="303" t="s">
        <v>232</v>
      </c>
    </row>
    <row r="58793" spans="119:119" x14ac:dyDescent="0.2">
      <c r="DO58793" s="303" t="s">
        <v>232</v>
      </c>
    </row>
    <row r="58794" spans="119:119" x14ac:dyDescent="0.2">
      <c r="DO58794" s="303" t="s">
        <v>232</v>
      </c>
    </row>
    <row r="58795" spans="119:119" x14ac:dyDescent="0.2">
      <c r="DO58795" s="303" t="s">
        <v>232</v>
      </c>
    </row>
    <row r="58796" spans="119:119" x14ac:dyDescent="0.2">
      <c r="DO58796" s="303" t="s">
        <v>232</v>
      </c>
    </row>
    <row r="58797" spans="119:119" x14ac:dyDescent="0.2">
      <c r="DO58797" s="303" t="s">
        <v>232</v>
      </c>
    </row>
    <row r="58798" spans="119:119" x14ac:dyDescent="0.2">
      <c r="DO58798" s="303" t="s">
        <v>232</v>
      </c>
    </row>
    <row r="58799" spans="119:119" x14ac:dyDescent="0.2">
      <c r="DO58799" s="303" t="s">
        <v>232</v>
      </c>
    </row>
    <row r="58800" spans="119:119" x14ac:dyDescent="0.2">
      <c r="DO58800" s="303" t="s">
        <v>232</v>
      </c>
    </row>
    <row r="58801" spans="119:119" x14ac:dyDescent="0.2">
      <c r="DO58801" s="303" t="s">
        <v>232</v>
      </c>
    </row>
    <row r="58802" spans="119:119" x14ac:dyDescent="0.2">
      <c r="DO58802" s="303" t="s">
        <v>232</v>
      </c>
    </row>
    <row r="58803" spans="119:119" x14ac:dyDescent="0.2">
      <c r="DO58803" s="303" t="s">
        <v>232</v>
      </c>
    </row>
    <row r="58804" spans="119:119" x14ac:dyDescent="0.2">
      <c r="DO58804" s="303" t="s">
        <v>232</v>
      </c>
    </row>
    <row r="58805" spans="119:119" x14ac:dyDescent="0.2">
      <c r="DO58805" s="303" t="s">
        <v>232</v>
      </c>
    </row>
    <row r="58806" spans="119:119" x14ac:dyDescent="0.2">
      <c r="DO58806" s="303" t="s">
        <v>232</v>
      </c>
    </row>
    <row r="58807" spans="119:119" x14ac:dyDescent="0.2">
      <c r="DO58807" s="303" t="s">
        <v>232</v>
      </c>
    </row>
    <row r="58808" spans="119:119" x14ac:dyDescent="0.2">
      <c r="DO58808" s="303" t="s">
        <v>232</v>
      </c>
    </row>
    <row r="58809" spans="119:119" x14ac:dyDescent="0.2">
      <c r="DO58809" s="303" t="s">
        <v>232</v>
      </c>
    </row>
    <row r="58810" spans="119:119" x14ac:dyDescent="0.2">
      <c r="DO58810" s="303" t="s">
        <v>232</v>
      </c>
    </row>
    <row r="58811" spans="119:119" x14ac:dyDescent="0.2">
      <c r="DO58811" s="303" t="s">
        <v>232</v>
      </c>
    </row>
    <row r="58812" spans="119:119" x14ac:dyDescent="0.2">
      <c r="DO58812" s="303" t="s">
        <v>232</v>
      </c>
    </row>
    <row r="58813" spans="119:119" x14ac:dyDescent="0.2">
      <c r="DO58813" s="303" t="s">
        <v>232</v>
      </c>
    </row>
    <row r="58814" spans="119:119" x14ac:dyDescent="0.2">
      <c r="DO58814" s="303" t="s">
        <v>232</v>
      </c>
    </row>
    <row r="58815" spans="119:119" x14ac:dyDescent="0.2">
      <c r="DO58815" s="303" t="s">
        <v>232</v>
      </c>
    </row>
    <row r="58816" spans="119:119" x14ac:dyDescent="0.2">
      <c r="DO58816" s="303" t="s">
        <v>232</v>
      </c>
    </row>
    <row r="58817" spans="119:119" x14ac:dyDescent="0.2">
      <c r="DO58817" s="303" t="s">
        <v>232</v>
      </c>
    </row>
    <row r="58818" spans="119:119" x14ac:dyDescent="0.2">
      <c r="DO58818" s="303" t="s">
        <v>232</v>
      </c>
    </row>
    <row r="58819" spans="119:119" x14ac:dyDescent="0.2">
      <c r="DO58819" s="303" t="s">
        <v>232</v>
      </c>
    </row>
    <row r="58820" spans="119:119" x14ac:dyDescent="0.2">
      <c r="DO58820" s="303" t="s">
        <v>232</v>
      </c>
    </row>
    <row r="58821" spans="119:119" x14ac:dyDescent="0.2">
      <c r="DO58821" s="303" t="s">
        <v>232</v>
      </c>
    </row>
    <row r="58822" spans="119:119" x14ac:dyDescent="0.2">
      <c r="DO58822" s="303" t="s">
        <v>232</v>
      </c>
    </row>
    <row r="58823" spans="119:119" x14ac:dyDescent="0.2">
      <c r="DO58823" s="303" t="s">
        <v>232</v>
      </c>
    </row>
    <row r="58824" spans="119:119" x14ac:dyDescent="0.2">
      <c r="DO58824" s="303" t="s">
        <v>232</v>
      </c>
    </row>
    <row r="58825" spans="119:119" x14ac:dyDescent="0.2">
      <c r="DO58825" s="303" t="s">
        <v>232</v>
      </c>
    </row>
    <row r="58826" spans="119:119" x14ac:dyDescent="0.2">
      <c r="DO58826" s="303" t="s">
        <v>232</v>
      </c>
    </row>
    <row r="58827" spans="119:119" x14ac:dyDescent="0.2">
      <c r="DO58827" s="303" t="s">
        <v>232</v>
      </c>
    </row>
    <row r="58828" spans="119:119" x14ac:dyDescent="0.2">
      <c r="DO58828" s="303" t="s">
        <v>232</v>
      </c>
    </row>
    <row r="58829" spans="119:119" x14ac:dyDescent="0.2">
      <c r="DO58829" s="303" t="s">
        <v>232</v>
      </c>
    </row>
    <row r="58830" spans="119:119" x14ac:dyDescent="0.2">
      <c r="DO58830" s="303" t="s">
        <v>232</v>
      </c>
    </row>
    <row r="58831" spans="119:119" x14ac:dyDescent="0.2">
      <c r="DO58831" s="303" t="s">
        <v>232</v>
      </c>
    </row>
    <row r="58832" spans="119:119" x14ac:dyDescent="0.2">
      <c r="DO58832" s="303" t="s">
        <v>232</v>
      </c>
    </row>
    <row r="58833" spans="119:119" x14ac:dyDescent="0.2">
      <c r="DO58833" s="303" t="s">
        <v>232</v>
      </c>
    </row>
    <row r="58834" spans="119:119" x14ac:dyDescent="0.2">
      <c r="DO58834" s="303" t="s">
        <v>232</v>
      </c>
    </row>
    <row r="58835" spans="119:119" x14ac:dyDescent="0.2">
      <c r="DO58835" s="303" t="s">
        <v>232</v>
      </c>
    </row>
    <row r="58836" spans="119:119" x14ac:dyDescent="0.2">
      <c r="DO58836" s="303" t="s">
        <v>232</v>
      </c>
    </row>
    <row r="58837" spans="119:119" x14ac:dyDescent="0.2">
      <c r="DO58837" s="303" t="s">
        <v>232</v>
      </c>
    </row>
    <row r="58838" spans="119:119" x14ac:dyDescent="0.2">
      <c r="DO58838" s="303" t="s">
        <v>232</v>
      </c>
    </row>
    <row r="58839" spans="119:119" x14ac:dyDescent="0.2">
      <c r="DO58839" s="303" t="s">
        <v>232</v>
      </c>
    </row>
    <row r="58840" spans="119:119" x14ac:dyDescent="0.2">
      <c r="DO58840" s="303" t="s">
        <v>232</v>
      </c>
    </row>
    <row r="58841" spans="119:119" x14ac:dyDescent="0.2">
      <c r="DO58841" s="303" t="s">
        <v>232</v>
      </c>
    </row>
    <row r="58842" spans="119:119" x14ac:dyDescent="0.2">
      <c r="DO58842" s="303" t="s">
        <v>232</v>
      </c>
    </row>
    <row r="58843" spans="119:119" x14ac:dyDescent="0.2">
      <c r="DO58843" s="303" t="s">
        <v>232</v>
      </c>
    </row>
    <row r="58844" spans="119:119" x14ac:dyDescent="0.2">
      <c r="DO58844" s="303" t="s">
        <v>232</v>
      </c>
    </row>
    <row r="58845" spans="119:119" x14ac:dyDescent="0.2">
      <c r="DO58845" s="303" t="s">
        <v>232</v>
      </c>
    </row>
    <row r="58846" spans="119:119" x14ac:dyDescent="0.2">
      <c r="DO58846" s="303" t="s">
        <v>232</v>
      </c>
    </row>
    <row r="58847" spans="119:119" x14ac:dyDescent="0.2">
      <c r="DO58847" s="303" t="s">
        <v>232</v>
      </c>
    </row>
    <row r="58848" spans="119:119" x14ac:dyDescent="0.2">
      <c r="DO58848" s="303" t="s">
        <v>232</v>
      </c>
    </row>
    <row r="58849" spans="119:119" x14ac:dyDescent="0.2">
      <c r="DO58849" s="303" t="s">
        <v>232</v>
      </c>
    </row>
    <row r="58850" spans="119:119" x14ac:dyDescent="0.2">
      <c r="DO58850" s="303" t="s">
        <v>232</v>
      </c>
    </row>
    <row r="58851" spans="119:119" x14ac:dyDescent="0.2">
      <c r="DO58851" s="303" t="s">
        <v>232</v>
      </c>
    </row>
    <row r="58852" spans="119:119" x14ac:dyDescent="0.2">
      <c r="DO58852" s="303" t="s">
        <v>232</v>
      </c>
    </row>
    <row r="58853" spans="119:119" x14ac:dyDescent="0.2">
      <c r="DO58853" s="303" t="s">
        <v>232</v>
      </c>
    </row>
    <row r="58854" spans="119:119" x14ac:dyDescent="0.2">
      <c r="DO58854" s="303" t="s">
        <v>232</v>
      </c>
    </row>
    <row r="58855" spans="119:119" x14ac:dyDescent="0.2">
      <c r="DO58855" s="303" t="s">
        <v>232</v>
      </c>
    </row>
    <row r="58856" spans="119:119" x14ac:dyDescent="0.2">
      <c r="DO58856" s="303" t="s">
        <v>232</v>
      </c>
    </row>
    <row r="58857" spans="119:119" x14ac:dyDescent="0.2">
      <c r="DO58857" s="303" t="s">
        <v>232</v>
      </c>
    </row>
    <row r="58858" spans="119:119" x14ac:dyDescent="0.2">
      <c r="DO58858" s="303" t="s">
        <v>232</v>
      </c>
    </row>
    <row r="58859" spans="119:119" x14ac:dyDescent="0.2">
      <c r="DO58859" s="303" t="s">
        <v>232</v>
      </c>
    </row>
    <row r="58860" spans="119:119" x14ac:dyDescent="0.2">
      <c r="DO58860" s="303" t="s">
        <v>232</v>
      </c>
    </row>
    <row r="58861" spans="119:119" x14ac:dyDescent="0.2">
      <c r="DO58861" s="303" t="s">
        <v>232</v>
      </c>
    </row>
    <row r="58862" spans="119:119" x14ac:dyDescent="0.2">
      <c r="DO58862" s="303" t="s">
        <v>232</v>
      </c>
    </row>
    <row r="58863" spans="119:119" x14ac:dyDescent="0.2">
      <c r="DO58863" s="303" t="s">
        <v>232</v>
      </c>
    </row>
    <row r="58864" spans="119:119" x14ac:dyDescent="0.2">
      <c r="DO58864" s="303" t="s">
        <v>232</v>
      </c>
    </row>
    <row r="58865" spans="119:119" x14ac:dyDescent="0.2">
      <c r="DO58865" s="303" t="s">
        <v>232</v>
      </c>
    </row>
    <row r="58866" spans="119:119" x14ac:dyDescent="0.2">
      <c r="DO58866" s="303" t="s">
        <v>232</v>
      </c>
    </row>
    <row r="58867" spans="119:119" x14ac:dyDescent="0.2">
      <c r="DO58867" s="303" t="s">
        <v>232</v>
      </c>
    </row>
    <row r="58868" spans="119:119" x14ac:dyDescent="0.2">
      <c r="DO58868" s="303" t="s">
        <v>232</v>
      </c>
    </row>
    <row r="58869" spans="119:119" x14ac:dyDescent="0.2">
      <c r="DO58869" s="303" t="s">
        <v>232</v>
      </c>
    </row>
    <row r="58870" spans="119:119" x14ac:dyDescent="0.2">
      <c r="DO58870" s="303" t="s">
        <v>232</v>
      </c>
    </row>
    <row r="58871" spans="119:119" x14ac:dyDescent="0.2">
      <c r="DO58871" s="303" t="s">
        <v>232</v>
      </c>
    </row>
    <row r="58872" spans="119:119" x14ac:dyDescent="0.2">
      <c r="DO58872" s="303" t="s">
        <v>232</v>
      </c>
    </row>
    <row r="58873" spans="119:119" x14ac:dyDescent="0.2">
      <c r="DO58873" s="303" t="s">
        <v>232</v>
      </c>
    </row>
    <row r="58874" spans="119:119" x14ac:dyDescent="0.2">
      <c r="DO58874" s="303" t="s">
        <v>232</v>
      </c>
    </row>
    <row r="58875" spans="119:119" x14ac:dyDescent="0.2">
      <c r="DO58875" s="303" t="s">
        <v>232</v>
      </c>
    </row>
    <row r="58876" spans="119:119" x14ac:dyDescent="0.2">
      <c r="DO58876" s="303" t="s">
        <v>232</v>
      </c>
    </row>
    <row r="58877" spans="119:119" x14ac:dyDescent="0.2">
      <c r="DO58877" s="303" t="s">
        <v>232</v>
      </c>
    </row>
    <row r="58878" spans="119:119" x14ac:dyDescent="0.2">
      <c r="DO58878" s="303" t="s">
        <v>232</v>
      </c>
    </row>
    <row r="58879" spans="119:119" x14ac:dyDescent="0.2">
      <c r="DO58879" s="303" t="s">
        <v>232</v>
      </c>
    </row>
    <row r="58880" spans="119:119" x14ac:dyDescent="0.2">
      <c r="DO58880" s="303" t="s">
        <v>232</v>
      </c>
    </row>
    <row r="58881" spans="119:119" x14ac:dyDescent="0.2">
      <c r="DO58881" s="303" t="s">
        <v>232</v>
      </c>
    </row>
    <row r="58882" spans="119:119" x14ac:dyDescent="0.2">
      <c r="DO58882" s="303" t="s">
        <v>232</v>
      </c>
    </row>
    <row r="58883" spans="119:119" x14ac:dyDescent="0.2">
      <c r="DO58883" s="303" t="s">
        <v>232</v>
      </c>
    </row>
    <row r="58884" spans="119:119" x14ac:dyDescent="0.2">
      <c r="DO58884" s="303" t="s">
        <v>232</v>
      </c>
    </row>
    <row r="58885" spans="119:119" x14ac:dyDescent="0.2">
      <c r="DO58885" s="303" t="s">
        <v>232</v>
      </c>
    </row>
    <row r="58886" spans="119:119" x14ac:dyDescent="0.2">
      <c r="DO58886" s="303" t="s">
        <v>232</v>
      </c>
    </row>
    <row r="58887" spans="119:119" x14ac:dyDescent="0.2">
      <c r="DO58887" s="303" t="s">
        <v>232</v>
      </c>
    </row>
    <row r="58888" spans="119:119" x14ac:dyDescent="0.2">
      <c r="DO58888" s="303" t="s">
        <v>232</v>
      </c>
    </row>
    <row r="58889" spans="119:119" x14ac:dyDescent="0.2">
      <c r="DO58889" s="303" t="s">
        <v>232</v>
      </c>
    </row>
    <row r="58890" spans="119:119" x14ac:dyDescent="0.2">
      <c r="DO58890" s="303" t="s">
        <v>232</v>
      </c>
    </row>
    <row r="58891" spans="119:119" x14ac:dyDescent="0.2">
      <c r="DO58891" s="303" t="s">
        <v>232</v>
      </c>
    </row>
    <row r="58892" spans="119:119" x14ac:dyDescent="0.2">
      <c r="DO58892" s="303" t="s">
        <v>232</v>
      </c>
    </row>
    <row r="58893" spans="119:119" x14ac:dyDescent="0.2">
      <c r="DO58893" s="303" t="s">
        <v>232</v>
      </c>
    </row>
    <row r="58894" spans="119:119" x14ac:dyDescent="0.2">
      <c r="DO58894" s="303" t="s">
        <v>232</v>
      </c>
    </row>
    <row r="58895" spans="119:119" x14ac:dyDescent="0.2">
      <c r="DO58895" s="303" t="s">
        <v>232</v>
      </c>
    </row>
    <row r="58896" spans="119:119" x14ac:dyDescent="0.2">
      <c r="DO58896" s="303" t="s">
        <v>232</v>
      </c>
    </row>
    <row r="58897" spans="119:119" x14ac:dyDescent="0.2">
      <c r="DO58897" s="303" t="s">
        <v>232</v>
      </c>
    </row>
    <row r="58898" spans="119:119" x14ac:dyDescent="0.2">
      <c r="DO58898" s="303" t="s">
        <v>232</v>
      </c>
    </row>
    <row r="58899" spans="119:119" x14ac:dyDescent="0.2">
      <c r="DO58899" s="303" t="s">
        <v>232</v>
      </c>
    </row>
    <row r="58900" spans="119:119" x14ac:dyDescent="0.2">
      <c r="DO58900" s="303" t="s">
        <v>232</v>
      </c>
    </row>
    <row r="58901" spans="119:119" x14ac:dyDescent="0.2">
      <c r="DO58901" s="303" t="s">
        <v>232</v>
      </c>
    </row>
    <row r="58902" spans="119:119" x14ac:dyDescent="0.2">
      <c r="DO58902" s="303" t="s">
        <v>232</v>
      </c>
    </row>
    <row r="58903" spans="119:119" x14ac:dyDescent="0.2">
      <c r="DO58903" s="303" t="s">
        <v>232</v>
      </c>
    </row>
    <row r="58904" spans="119:119" x14ac:dyDescent="0.2">
      <c r="DO58904" s="303" t="s">
        <v>232</v>
      </c>
    </row>
    <row r="58905" spans="119:119" x14ac:dyDescent="0.2">
      <c r="DO58905" s="303" t="s">
        <v>232</v>
      </c>
    </row>
    <row r="58906" spans="119:119" x14ac:dyDescent="0.2">
      <c r="DO58906" s="303" t="s">
        <v>232</v>
      </c>
    </row>
    <row r="58907" spans="119:119" x14ac:dyDescent="0.2">
      <c r="DO58907" s="303" t="s">
        <v>232</v>
      </c>
    </row>
    <row r="58908" spans="119:119" x14ac:dyDescent="0.2">
      <c r="DO58908" s="303" t="s">
        <v>232</v>
      </c>
    </row>
    <row r="58909" spans="119:119" x14ac:dyDescent="0.2">
      <c r="DO58909" s="303" t="s">
        <v>232</v>
      </c>
    </row>
    <row r="58910" spans="119:119" x14ac:dyDescent="0.2">
      <c r="DO58910" s="303" t="s">
        <v>232</v>
      </c>
    </row>
    <row r="58911" spans="119:119" x14ac:dyDescent="0.2">
      <c r="DO58911" s="303" t="s">
        <v>232</v>
      </c>
    </row>
    <row r="58912" spans="119:119" x14ac:dyDescent="0.2">
      <c r="DO58912" s="303" t="s">
        <v>232</v>
      </c>
    </row>
    <row r="58913" spans="119:119" x14ac:dyDescent="0.2">
      <c r="DO58913" s="303" t="s">
        <v>232</v>
      </c>
    </row>
    <row r="58914" spans="119:119" x14ac:dyDescent="0.2">
      <c r="DO58914" s="303" t="s">
        <v>232</v>
      </c>
    </row>
    <row r="58915" spans="119:119" x14ac:dyDescent="0.2">
      <c r="DO58915" s="303" t="s">
        <v>232</v>
      </c>
    </row>
    <row r="58916" spans="119:119" x14ac:dyDescent="0.2">
      <c r="DO58916" s="303" t="s">
        <v>232</v>
      </c>
    </row>
    <row r="58917" spans="119:119" x14ac:dyDescent="0.2">
      <c r="DO58917" s="303" t="s">
        <v>232</v>
      </c>
    </row>
    <row r="58918" spans="119:119" x14ac:dyDescent="0.2">
      <c r="DO58918" s="303" t="s">
        <v>232</v>
      </c>
    </row>
    <row r="58919" spans="119:119" x14ac:dyDescent="0.2">
      <c r="DO58919" s="303" t="s">
        <v>232</v>
      </c>
    </row>
    <row r="58920" spans="119:119" x14ac:dyDescent="0.2">
      <c r="DO58920" s="303" t="s">
        <v>232</v>
      </c>
    </row>
    <row r="58921" spans="119:119" x14ac:dyDescent="0.2">
      <c r="DO58921" s="303" t="s">
        <v>232</v>
      </c>
    </row>
    <row r="58922" spans="119:119" x14ac:dyDescent="0.2">
      <c r="DO58922" s="303" t="s">
        <v>232</v>
      </c>
    </row>
    <row r="58923" spans="119:119" x14ac:dyDescent="0.2">
      <c r="DO58923" s="303" t="s">
        <v>232</v>
      </c>
    </row>
    <row r="58924" spans="119:119" x14ac:dyDescent="0.2">
      <c r="DO58924" s="303" t="s">
        <v>232</v>
      </c>
    </row>
    <row r="58925" spans="119:119" x14ac:dyDescent="0.2">
      <c r="DO58925" s="303" t="s">
        <v>232</v>
      </c>
    </row>
    <row r="58926" spans="119:119" x14ac:dyDescent="0.2">
      <c r="DO58926" s="303" t="s">
        <v>232</v>
      </c>
    </row>
    <row r="58927" spans="119:119" x14ac:dyDescent="0.2">
      <c r="DO58927" s="303" t="s">
        <v>232</v>
      </c>
    </row>
    <row r="58928" spans="119:119" x14ac:dyDescent="0.2">
      <c r="DO58928" s="303" t="s">
        <v>232</v>
      </c>
    </row>
    <row r="58929" spans="119:119" x14ac:dyDescent="0.2">
      <c r="DO58929" s="303" t="s">
        <v>232</v>
      </c>
    </row>
    <row r="58930" spans="119:119" x14ac:dyDescent="0.2">
      <c r="DO58930" s="303" t="s">
        <v>232</v>
      </c>
    </row>
    <row r="58931" spans="119:119" x14ac:dyDescent="0.2">
      <c r="DO58931" s="303" t="s">
        <v>232</v>
      </c>
    </row>
    <row r="58932" spans="119:119" x14ac:dyDescent="0.2">
      <c r="DO58932" s="303" t="s">
        <v>232</v>
      </c>
    </row>
    <row r="58933" spans="119:119" x14ac:dyDescent="0.2">
      <c r="DO58933" s="303" t="s">
        <v>232</v>
      </c>
    </row>
    <row r="58934" spans="119:119" x14ac:dyDescent="0.2">
      <c r="DO58934" s="303" t="s">
        <v>232</v>
      </c>
    </row>
    <row r="58935" spans="119:119" x14ac:dyDescent="0.2">
      <c r="DO58935" s="303" t="s">
        <v>232</v>
      </c>
    </row>
    <row r="58936" spans="119:119" x14ac:dyDescent="0.2">
      <c r="DO58936" s="303" t="s">
        <v>232</v>
      </c>
    </row>
    <row r="58937" spans="119:119" x14ac:dyDescent="0.2">
      <c r="DO58937" s="303" t="s">
        <v>232</v>
      </c>
    </row>
    <row r="58938" spans="119:119" x14ac:dyDescent="0.2">
      <c r="DO58938" s="303" t="s">
        <v>232</v>
      </c>
    </row>
    <row r="58939" spans="119:119" x14ac:dyDescent="0.2">
      <c r="DO58939" s="303" t="s">
        <v>232</v>
      </c>
    </row>
    <row r="58940" spans="119:119" x14ac:dyDescent="0.2">
      <c r="DO58940" s="303" t="s">
        <v>232</v>
      </c>
    </row>
    <row r="58941" spans="119:119" x14ac:dyDescent="0.2">
      <c r="DO58941" s="303" t="s">
        <v>232</v>
      </c>
    </row>
    <row r="58942" spans="119:119" x14ac:dyDescent="0.2">
      <c r="DO58942" s="303" t="s">
        <v>232</v>
      </c>
    </row>
    <row r="58943" spans="119:119" x14ac:dyDescent="0.2">
      <c r="DO58943" s="303" t="s">
        <v>232</v>
      </c>
    </row>
    <row r="58944" spans="119:119" x14ac:dyDescent="0.2">
      <c r="DO58944" s="303" t="s">
        <v>232</v>
      </c>
    </row>
    <row r="58945" spans="119:119" x14ac:dyDescent="0.2">
      <c r="DO58945" s="303" t="s">
        <v>232</v>
      </c>
    </row>
    <row r="58946" spans="119:119" x14ac:dyDescent="0.2">
      <c r="DO58946" s="303" t="s">
        <v>232</v>
      </c>
    </row>
    <row r="58947" spans="119:119" x14ac:dyDescent="0.2">
      <c r="DO58947" s="303" t="s">
        <v>232</v>
      </c>
    </row>
    <row r="58948" spans="119:119" x14ac:dyDescent="0.2">
      <c r="DO58948" s="303" t="s">
        <v>232</v>
      </c>
    </row>
    <row r="58949" spans="119:119" x14ac:dyDescent="0.2">
      <c r="DO58949" s="303" t="s">
        <v>232</v>
      </c>
    </row>
    <row r="58950" spans="119:119" x14ac:dyDescent="0.2">
      <c r="DO58950" s="303" t="s">
        <v>232</v>
      </c>
    </row>
    <row r="58951" spans="119:119" x14ac:dyDescent="0.2">
      <c r="DO58951" s="303" t="s">
        <v>232</v>
      </c>
    </row>
    <row r="58952" spans="119:119" x14ac:dyDescent="0.2">
      <c r="DO58952" s="303" t="s">
        <v>232</v>
      </c>
    </row>
    <row r="58953" spans="119:119" x14ac:dyDescent="0.2">
      <c r="DO58953" s="303" t="s">
        <v>232</v>
      </c>
    </row>
    <row r="58954" spans="119:119" x14ac:dyDescent="0.2">
      <c r="DO58954" s="303" t="s">
        <v>232</v>
      </c>
    </row>
    <row r="58955" spans="119:119" x14ac:dyDescent="0.2">
      <c r="DO58955" s="303" t="s">
        <v>232</v>
      </c>
    </row>
    <row r="58956" spans="119:119" x14ac:dyDescent="0.2">
      <c r="DO58956" s="303" t="s">
        <v>232</v>
      </c>
    </row>
    <row r="58957" spans="119:119" x14ac:dyDescent="0.2">
      <c r="DO58957" s="303" t="s">
        <v>232</v>
      </c>
    </row>
    <row r="58958" spans="119:119" x14ac:dyDescent="0.2">
      <c r="DO58958" s="303" t="s">
        <v>232</v>
      </c>
    </row>
    <row r="58959" spans="119:119" x14ac:dyDescent="0.2">
      <c r="DO58959" s="303" t="s">
        <v>232</v>
      </c>
    </row>
    <row r="58960" spans="119:119" x14ac:dyDescent="0.2">
      <c r="DO58960" s="303" t="s">
        <v>232</v>
      </c>
    </row>
    <row r="58961" spans="119:119" x14ac:dyDescent="0.2">
      <c r="DO58961" s="303" t="s">
        <v>232</v>
      </c>
    </row>
    <row r="58962" spans="119:119" x14ac:dyDescent="0.2">
      <c r="DO58962" s="303" t="s">
        <v>232</v>
      </c>
    </row>
    <row r="58963" spans="119:119" x14ac:dyDescent="0.2">
      <c r="DO58963" s="303" t="s">
        <v>232</v>
      </c>
    </row>
    <row r="58964" spans="119:119" x14ac:dyDescent="0.2">
      <c r="DO58964" s="303" t="s">
        <v>232</v>
      </c>
    </row>
    <row r="58965" spans="119:119" x14ac:dyDescent="0.2">
      <c r="DO58965" s="303" t="s">
        <v>232</v>
      </c>
    </row>
    <row r="58966" spans="119:119" x14ac:dyDescent="0.2">
      <c r="DO58966" s="303" t="s">
        <v>232</v>
      </c>
    </row>
    <row r="58967" spans="119:119" x14ac:dyDescent="0.2">
      <c r="DO58967" s="303" t="s">
        <v>232</v>
      </c>
    </row>
    <row r="58968" spans="119:119" x14ac:dyDescent="0.2">
      <c r="DO58968" s="303" t="s">
        <v>232</v>
      </c>
    </row>
    <row r="58969" spans="119:119" x14ac:dyDescent="0.2">
      <c r="DO58969" s="303" t="s">
        <v>232</v>
      </c>
    </row>
    <row r="58970" spans="119:119" x14ac:dyDescent="0.2">
      <c r="DO58970" s="303" t="s">
        <v>232</v>
      </c>
    </row>
    <row r="58971" spans="119:119" x14ac:dyDescent="0.2">
      <c r="DO58971" s="303" t="s">
        <v>232</v>
      </c>
    </row>
    <row r="58972" spans="119:119" x14ac:dyDescent="0.2">
      <c r="DO58972" s="303" t="s">
        <v>232</v>
      </c>
    </row>
    <row r="58973" spans="119:119" x14ac:dyDescent="0.2">
      <c r="DO58973" s="303" t="s">
        <v>232</v>
      </c>
    </row>
    <row r="58974" spans="119:119" x14ac:dyDescent="0.2">
      <c r="DO58974" s="303" t="s">
        <v>232</v>
      </c>
    </row>
    <row r="58975" spans="119:119" x14ac:dyDescent="0.2">
      <c r="DO58975" s="303" t="s">
        <v>232</v>
      </c>
    </row>
    <row r="58976" spans="119:119" x14ac:dyDescent="0.2">
      <c r="DO58976" s="303" t="s">
        <v>232</v>
      </c>
    </row>
    <row r="58977" spans="119:119" x14ac:dyDescent="0.2">
      <c r="DO58977" s="303" t="s">
        <v>232</v>
      </c>
    </row>
    <row r="58978" spans="119:119" x14ac:dyDescent="0.2">
      <c r="DO58978" s="303" t="s">
        <v>232</v>
      </c>
    </row>
    <row r="58979" spans="119:119" x14ac:dyDescent="0.2">
      <c r="DO58979" s="303" t="s">
        <v>232</v>
      </c>
    </row>
    <row r="58980" spans="119:119" x14ac:dyDescent="0.2">
      <c r="DO58980" s="303" t="s">
        <v>232</v>
      </c>
    </row>
    <row r="58981" spans="119:119" x14ac:dyDescent="0.2">
      <c r="DO58981" s="303" t="s">
        <v>232</v>
      </c>
    </row>
    <row r="58982" spans="119:119" x14ac:dyDescent="0.2">
      <c r="DO58982" s="303" t="s">
        <v>232</v>
      </c>
    </row>
    <row r="58983" spans="119:119" x14ac:dyDescent="0.2">
      <c r="DO58983" s="303" t="s">
        <v>232</v>
      </c>
    </row>
    <row r="58984" spans="119:119" x14ac:dyDescent="0.2">
      <c r="DO58984" s="303" t="s">
        <v>232</v>
      </c>
    </row>
    <row r="58985" spans="119:119" x14ac:dyDescent="0.2">
      <c r="DO58985" s="303" t="s">
        <v>232</v>
      </c>
    </row>
    <row r="58986" spans="119:119" x14ac:dyDescent="0.2">
      <c r="DO58986" s="303" t="s">
        <v>232</v>
      </c>
    </row>
    <row r="58987" spans="119:119" x14ac:dyDescent="0.2">
      <c r="DO58987" s="303" t="s">
        <v>232</v>
      </c>
    </row>
    <row r="58988" spans="119:119" x14ac:dyDescent="0.2">
      <c r="DO58988" s="303" t="s">
        <v>232</v>
      </c>
    </row>
    <row r="58989" spans="119:119" x14ac:dyDescent="0.2">
      <c r="DO58989" s="303" t="s">
        <v>232</v>
      </c>
    </row>
    <row r="58990" spans="119:119" x14ac:dyDescent="0.2">
      <c r="DO58990" s="303" t="s">
        <v>232</v>
      </c>
    </row>
    <row r="58991" spans="119:119" x14ac:dyDescent="0.2">
      <c r="DO58991" s="303" t="s">
        <v>232</v>
      </c>
    </row>
    <row r="58992" spans="119:119" x14ac:dyDescent="0.2">
      <c r="DO58992" s="303" t="s">
        <v>232</v>
      </c>
    </row>
    <row r="58993" spans="119:119" x14ac:dyDescent="0.2">
      <c r="DO58993" s="303" t="s">
        <v>232</v>
      </c>
    </row>
    <row r="58994" spans="119:119" x14ac:dyDescent="0.2">
      <c r="DO58994" s="303" t="s">
        <v>232</v>
      </c>
    </row>
    <row r="58995" spans="119:119" x14ac:dyDescent="0.2">
      <c r="DO58995" s="303" t="s">
        <v>232</v>
      </c>
    </row>
    <row r="58996" spans="119:119" x14ac:dyDescent="0.2">
      <c r="DO58996" s="303" t="s">
        <v>232</v>
      </c>
    </row>
    <row r="58997" spans="119:119" x14ac:dyDescent="0.2">
      <c r="DO58997" s="303" t="s">
        <v>232</v>
      </c>
    </row>
    <row r="58998" spans="119:119" x14ac:dyDescent="0.2">
      <c r="DO58998" s="303" t="s">
        <v>232</v>
      </c>
    </row>
    <row r="58999" spans="119:119" x14ac:dyDescent="0.2">
      <c r="DO58999" s="303" t="s">
        <v>232</v>
      </c>
    </row>
    <row r="59000" spans="119:119" x14ac:dyDescent="0.2">
      <c r="DO59000" s="303" t="s">
        <v>232</v>
      </c>
    </row>
    <row r="59001" spans="119:119" x14ac:dyDescent="0.2">
      <c r="DO59001" s="303" t="s">
        <v>232</v>
      </c>
    </row>
    <row r="59002" spans="119:119" x14ac:dyDescent="0.2">
      <c r="DO59002" s="303" t="s">
        <v>232</v>
      </c>
    </row>
    <row r="59003" spans="119:119" x14ac:dyDescent="0.2">
      <c r="DO59003" s="303" t="s">
        <v>232</v>
      </c>
    </row>
    <row r="59004" spans="119:119" x14ac:dyDescent="0.2">
      <c r="DO59004" s="303" t="s">
        <v>232</v>
      </c>
    </row>
    <row r="59005" spans="119:119" x14ac:dyDescent="0.2">
      <c r="DO59005" s="303" t="s">
        <v>232</v>
      </c>
    </row>
    <row r="59006" spans="119:119" x14ac:dyDescent="0.2">
      <c r="DO59006" s="303" t="s">
        <v>232</v>
      </c>
    </row>
    <row r="59007" spans="119:119" x14ac:dyDescent="0.2">
      <c r="DO59007" s="303" t="s">
        <v>232</v>
      </c>
    </row>
    <row r="59008" spans="119:119" x14ac:dyDescent="0.2">
      <c r="DO59008" s="303" t="s">
        <v>232</v>
      </c>
    </row>
    <row r="59009" spans="119:119" x14ac:dyDescent="0.2">
      <c r="DO59009" s="303" t="s">
        <v>232</v>
      </c>
    </row>
    <row r="59010" spans="119:119" x14ac:dyDescent="0.2">
      <c r="DO59010" s="303" t="s">
        <v>232</v>
      </c>
    </row>
    <row r="59011" spans="119:119" x14ac:dyDescent="0.2">
      <c r="DO59011" s="303" t="s">
        <v>232</v>
      </c>
    </row>
    <row r="59012" spans="119:119" x14ac:dyDescent="0.2">
      <c r="DO59012" s="303" t="s">
        <v>232</v>
      </c>
    </row>
    <row r="59013" spans="119:119" x14ac:dyDescent="0.2">
      <c r="DO59013" s="303" t="s">
        <v>232</v>
      </c>
    </row>
    <row r="59014" spans="119:119" x14ac:dyDescent="0.2">
      <c r="DO59014" s="303" t="s">
        <v>232</v>
      </c>
    </row>
    <row r="59015" spans="119:119" x14ac:dyDescent="0.2">
      <c r="DO59015" s="303" t="s">
        <v>232</v>
      </c>
    </row>
    <row r="59016" spans="119:119" x14ac:dyDescent="0.2">
      <c r="DO59016" s="303" t="s">
        <v>232</v>
      </c>
    </row>
    <row r="59017" spans="119:119" x14ac:dyDescent="0.2">
      <c r="DO59017" s="303" t="s">
        <v>232</v>
      </c>
    </row>
    <row r="59018" spans="119:119" x14ac:dyDescent="0.2">
      <c r="DO59018" s="303" t="s">
        <v>232</v>
      </c>
    </row>
    <row r="59019" spans="119:119" x14ac:dyDescent="0.2">
      <c r="DO59019" s="303" t="s">
        <v>232</v>
      </c>
    </row>
    <row r="59020" spans="119:119" x14ac:dyDescent="0.2">
      <c r="DO59020" s="303" t="s">
        <v>232</v>
      </c>
    </row>
    <row r="59021" spans="119:119" x14ac:dyDescent="0.2">
      <c r="DO59021" s="303" t="s">
        <v>232</v>
      </c>
    </row>
    <row r="59022" spans="119:119" x14ac:dyDescent="0.2">
      <c r="DO59022" s="303" t="s">
        <v>232</v>
      </c>
    </row>
    <row r="59023" spans="119:119" x14ac:dyDescent="0.2">
      <c r="DO59023" s="303" t="s">
        <v>232</v>
      </c>
    </row>
    <row r="59024" spans="119:119" x14ac:dyDescent="0.2">
      <c r="DO59024" s="303" t="s">
        <v>232</v>
      </c>
    </row>
    <row r="59025" spans="119:119" x14ac:dyDescent="0.2">
      <c r="DO59025" s="303" t="s">
        <v>232</v>
      </c>
    </row>
    <row r="59026" spans="119:119" x14ac:dyDescent="0.2">
      <c r="DO59026" s="303" t="s">
        <v>232</v>
      </c>
    </row>
    <row r="59027" spans="119:119" x14ac:dyDescent="0.2">
      <c r="DO59027" s="303" t="s">
        <v>232</v>
      </c>
    </row>
    <row r="59028" spans="119:119" x14ac:dyDescent="0.2">
      <c r="DO59028" s="303" t="s">
        <v>232</v>
      </c>
    </row>
    <row r="59029" spans="119:119" x14ac:dyDescent="0.2">
      <c r="DO59029" s="303" t="s">
        <v>232</v>
      </c>
    </row>
    <row r="59030" spans="119:119" x14ac:dyDescent="0.2">
      <c r="DO59030" s="303" t="s">
        <v>232</v>
      </c>
    </row>
    <row r="59031" spans="119:119" x14ac:dyDescent="0.2">
      <c r="DO59031" s="303" t="s">
        <v>232</v>
      </c>
    </row>
    <row r="59032" spans="119:119" x14ac:dyDescent="0.2">
      <c r="DO59032" s="303" t="s">
        <v>232</v>
      </c>
    </row>
    <row r="59033" spans="119:119" x14ac:dyDescent="0.2">
      <c r="DO59033" s="303" t="s">
        <v>232</v>
      </c>
    </row>
    <row r="59034" spans="119:119" x14ac:dyDescent="0.2">
      <c r="DO59034" s="303" t="s">
        <v>232</v>
      </c>
    </row>
    <row r="59035" spans="119:119" x14ac:dyDescent="0.2">
      <c r="DO59035" s="303" t="s">
        <v>232</v>
      </c>
    </row>
    <row r="59036" spans="119:119" x14ac:dyDescent="0.2">
      <c r="DO59036" s="303" t="s">
        <v>232</v>
      </c>
    </row>
    <row r="59037" spans="119:119" x14ac:dyDescent="0.2">
      <c r="DO59037" s="303" t="s">
        <v>232</v>
      </c>
    </row>
    <row r="59038" spans="119:119" x14ac:dyDescent="0.2">
      <c r="DO59038" s="303" t="s">
        <v>232</v>
      </c>
    </row>
    <row r="59039" spans="119:119" x14ac:dyDescent="0.2">
      <c r="DO59039" s="303" t="s">
        <v>232</v>
      </c>
    </row>
    <row r="59040" spans="119:119" x14ac:dyDescent="0.2">
      <c r="DO59040" s="303" t="s">
        <v>232</v>
      </c>
    </row>
    <row r="59041" spans="119:119" x14ac:dyDescent="0.2">
      <c r="DO59041" s="303" t="s">
        <v>232</v>
      </c>
    </row>
    <row r="59042" spans="119:119" x14ac:dyDescent="0.2">
      <c r="DO59042" s="303" t="s">
        <v>232</v>
      </c>
    </row>
    <row r="59043" spans="119:119" x14ac:dyDescent="0.2">
      <c r="DO59043" s="303" t="s">
        <v>232</v>
      </c>
    </row>
    <row r="59044" spans="119:119" x14ac:dyDescent="0.2">
      <c r="DO59044" s="303" t="s">
        <v>232</v>
      </c>
    </row>
    <row r="59045" spans="119:119" x14ac:dyDescent="0.2">
      <c r="DO59045" s="303" t="s">
        <v>232</v>
      </c>
    </row>
    <row r="59046" spans="119:119" x14ac:dyDescent="0.2">
      <c r="DO59046" s="303" t="s">
        <v>232</v>
      </c>
    </row>
    <row r="59047" spans="119:119" x14ac:dyDescent="0.2">
      <c r="DO59047" s="303" t="s">
        <v>232</v>
      </c>
    </row>
    <row r="59048" spans="119:119" x14ac:dyDescent="0.2">
      <c r="DO59048" s="303" t="s">
        <v>232</v>
      </c>
    </row>
    <row r="59049" spans="119:119" x14ac:dyDescent="0.2">
      <c r="DO59049" s="303" t="s">
        <v>232</v>
      </c>
    </row>
    <row r="59050" spans="119:119" x14ac:dyDescent="0.2">
      <c r="DO59050" s="303" t="s">
        <v>232</v>
      </c>
    </row>
    <row r="59051" spans="119:119" x14ac:dyDescent="0.2">
      <c r="DO59051" s="303" t="s">
        <v>232</v>
      </c>
    </row>
    <row r="59052" spans="119:119" x14ac:dyDescent="0.2">
      <c r="DO59052" s="303" t="s">
        <v>232</v>
      </c>
    </row>
    <row r="59053" spans="119:119" x14ac:dyDescent="0.2">
      <c r="DO59053" s="303" t="s">
        <v>232</v>
      </c>
    </row>
    <row r="59054" spans="119:119" x14ac:dyDescent="0.2">
      <c r="DO59054" s="303" t="s">
        <v>232</v>
      </c>
    </row>
    <row r="59055" spans="119:119" x14ac:dyDescent="0.2">
      <c r="DO59055" s="303" t="s">
        <v>232</v>
      </c>
    </row>
    <row r="59056" spans="119:119" x14ac:dyDescent="0.2">
      <c r="DO59056" s="303" t="s">
        <v>232</v>
      </c>
    </row>
    <row r="59057" spans="119:119" x14ac:dyDescent="0.2">
      <c r="DO59057" s="303" t="s">
        <v>232</v>
      </c>
    </row>
    <row r="59058" spans="119:119" x14ac:dyDescent="0.2">
      <c r="DO59058" s="303" t="s">
        <v>232</v>
      </c>
    </row>
    <row r="59059" spans="119:119" x14ac:dyDescent="0.2">
      <c r="DO59059" s="303" t="s">
        <v>232</v>
      </c>
    </row>
    <row r="59060" spans="119:119" x14ac:dyDescent="0.2">
      <c r="DO59060" s="303" t="s">
        <v>232</v>
      </c>
    </row>
    <row r="59061" spans="119:119" x14ac:dyDescent="0.2">
      <c r="DO59061" s="303" t="s">
        <v>232</v>
      </c>
    </row>
    <row r="59062" spans="119:119" x14ac:dyDescent="0.2">
      <c r="DO59062" s="303" t="s">
        <v>232</v>
      </c>
    </row>
    <row r="59063" spans="119:119" x14ac:dyDescent="0.2">
      <c r="DO59063" s="303" t="s">
        <v>232</v>
      </c>
    </row>
    <row r="59064" spans="119:119" x14ac:dyDescent="0.2">
      <c r="DO59064" s="303" t="s">
        <v>232</v>
      </c>
    </row>
    <row r="59065" spans="119:119" x14ac:dyDescent="0.2">
      <c r="DO59065" s="303" t="s">
        <v>232</v>
      </c>
    </row>
    <row r="59066" spans="119:119" x14ac:dyDescent="0.2">
      <c r="DO59066" s="303" t="s">
        <v>232</v>
      </c>
    </row>
    <row r="59067" spans="119:119" x14ac:dyDescent="0.2">
      <c r="DO59067" s="303" t="s">
        <v>232</v>
      </c>
    </row>
    <row r="59068" spans="119:119" x14ac:dyDescent="0.2">
      <c r="DO59068" s="303" t="s">
        <v>232</v>
      </c>
    </row>
    <row r="59069" spans="119:119" x14ac:dyDescent="0.2">
      <c r="DO59069" s="303" t="s">
        <v>232</v>
      </c>
    </row>
    <row r="59070" spans="119:119" x14ac:dyDescent="0.2">
      <c r="DO59070" s="303" t="s">
        <v>232</v>
      </c>
    </row>
    <row r="59071" spans="119:119" x14ac:dyDescent="0.2">
      <c r="DO59071" s="303" t="s">
        <v>232</v>
      </c>
    </row>
    <row r="59072" spans="119:119" x14ac:dyDescent="0.2">
      <c r="DO59072" s="303" t="s">
        <v>232</v>
      </c>
    </row>
    <row r="59073" spans="119:119" x14ac:dyDescent="0.2">
      <c r="DO59073" s="303" t="s">
        <v>232</v>
      </c>
    </row>
    <row r="59074" spans="119:119" x14ac:dyDescent="0.2">
      <c r="DO59074" s="303" t="s">
        <v>232</v>
      </c>
    </row>
    <row r="59075" spans="119:119" x14ac:dyDescent="0.2">
      <c r="DO59075" s="303" t="s">
        <v>232</v>
      </c>
    </row>
    <row r="59076" spans="119:119" x14ac:dyDescent="0.2">
      <c r="DO59076" s="303" t="s">
        <v>232</v>
      </c>
    </row>
    <row r="59077" spans="119:119" x14ac:dyDescent="0.2">
      <c r="DO59077" s="303" t="s">
        <v>232</v>
      </c>
    </row>
    <row r="59078" spans="119:119" x14ac:dyDescent="0.2">
      <c r="DO59078" s="303" t="s">
        <v>232</v>
      </c>
    </row>
    <row r="59079" spans="119:119" x14ac:dyDescent="0.2">
      <c r="DO59079" s="303" t="s">
        <v>232</v>
      </c>
    </row>
    <row r="59080" spans="119:119" x14ac:dyDescent="0.2">
      <c r="DO59080" s="303" t="s">
        <v>232</v>
      </c>
    </row>
    <row r="59081" spans="119:119" x14ac:dyDescent="0.2">
      <c r="DO59081" s="303" t="s">
        <v>232</v>
      </c>
    </row>
    <row r="59082" spans="119:119" x14ac:dyDescent="0.2">
      <c r="DO59082" s="303" t="s">
        <v>232</v>
      </c>
    </row>
    <row r="59083" spans="119:119" x14ac:dyDescent="0.2">
      <c r="DO59083" s="303" t="s">
        <v>232</v>
      </c>
    </row>
    <row r="59084" spans="119:119" x14ac:dyDescent="0.2">
      <c r="DO59084" s="303" t="s">
        <v>232</v>
      </c>
    </row>
    <row r="59085" spans="119:119" x14ac:dyDescent="0.2">
      <c r="DO59085" s="303" t="s">
        <v>232</v>
      </c>
    </row>
    <row r="59086" spans="119:119" x14ac:dyDescent="0.2">
      <c r="DO59086" s="303" t="s">
        <v>232</v>
      </c>
    </row>
    <row r="59087" spans="119:119" x14ac:dyDescent="0.2">
      <c r="DO59087" s="303" t="s">
        <v>232</v>
      </c>
    </row>
    <row r="59088" spans="119:119" x14ac:dyDescent="0.2">
      <c r="DO59088" s="303" t="s">
        <v>232</v>
      </c>
    </row>
    <row r="59089" spans="119:119" x14ac:dyDescent="0.2">
      <c r="DO59089" s="303" t="s">
        <v>232</v>
      </c>
    </row>
    <row r="59090" spans="119:119" x14ac:dyDescent="0.2">
      <c r="DO59090" s="303" t="s">
        <v>232</v>
      </c>
    </row>
    <row r="59091" spans="119:119" x14ac:dyDescent="0.2">
      <c r="DO59091" s="303" t="s">
        <v>232</v>
      </c>
    </row>
    <row r="59092" spans="119:119" x14ac:dyDescent="0.2">
      <c r="DO59092" s="303" t="s">
        <v>232</v>
      </c>
    </row>
    <row r="59093" spans="119:119" x14ac:dyDescent="0.2">
      <c r="DO59093" s="303" t="s">
        <v>232</v>
      </c>
    </row>
    <row r="59094" spans="119:119" x14ac:dyDescent="0.2">
      <c r="DO59094" s="303" t="s">
        <v>232</v>
      </c>
    </row>
    <row r="59095" spans="119:119" x14ac:dyDescent="0.2">
      <c r="DO59095" s="303" t="s">
        <v>232</v>
      </c>
    </row>
    <row r="59096" spans="119:119" x14ac:dyDescent="0.2">
      <c r="DO59096" s="303" t="s">
        <v>232</v>
      </c>
    </row>
    <row r="59097" spans="119:119" x14ac:dyDescent="0.2">
      <c r="DO59097" s="303" t="s">
        <v>232</v>
      </c>
    </row>
    <row r="59098" spans="119:119" x14ac:dyDescent="0.2">
      <c r="DO59098" s="303" t="s">
        <v>232</v>
      </c>
    </row>
    <row r="59099" spans="119:119" x14ac:dyDescent="0.2">
      <c r="DO59099" s="303" t="s">
        <v>232</v>
      </c>
    </row>
    <row r="59100" spans="119:119" x14ac:dyDescent="0.2">
      <c r="DO59100" s="303" t="s">
        <v>232</v>
      </c>
    </row>
    <row r="59101" spans="119:119" x14ac:dyDescent="0.2">
      <c r="DO59101" s="303" t="s">
        <v>232</v>
      </c>
    </row>
    <row r="59102" spans="119:119" x14ac:dyDescent="0.2">
      <c r="DO59102" s="303" t="s">
        <v>232</v>
      </c>
    </row>
    <row r="59103" spans="119:119" x14ac:dyDescent="0.2">
      <c r="DO59103" s="303" t="s">
        <v>232</v>
      </c>
    </row>
    <row r="59104" spans="119:119" x14ac:dyDescent="0.2">
      <c r="DO59104" s="303" t="s">
        <v>232</v>
      </c>
    </row>
    <row r="59105" spans="119:119" x14ac:dyDescent="0.2">
      <c r="DO59105" s="303" t="s">
        <v>232</v>
      </c>
    </row>
    <row r="59106" spans="119:119" x14ac:dyDescent="0.2">
      <c r="DO59106" s="303" t="s">
        <v>232</v>
      </c>
    </row>
    <row r="59107" spans="119:119" x14ac:dyDescent="0.2">
      <c r="DO59107" s="303" t="s">
        <v>232</v>
      </c>
    </row>
    <row r="59108" spans="119:119" x14ac:dyDescent="0.2">
      <c r="DO59108" s="303" t="s">
        <v>232</v>
      </c>
    </row>
    <row r="59109" spans="119:119" x14ac:dyDescent="0.2">
      <c r="DO59109" s="303" t="s">
        <v>232</v>
      </c>
    </row>
    <row r="59110" spans="119:119" x14ac:dyDescent="0.2">
      <c r="DO59110" s="303" t="s">
        <v>232</v>
      </c>
    </row>
    <row r="59111" spans="119:119" x14ac:dyDescent="0.2">
      <c r="DO59111" s="303" t="s">
        <v>232</v>
      </c>
    </row>
    <row r="59112" spans="119:119" x14ac:dyDescent="0.2">
      <c r="DO59112" s="303" t="s">
        <v>232</v>
      </c>
    </row>
    <row r="59113" spans="119:119" x14ac:dyDescent="0.2">
      <c r="DO59113" s="303" t="s">
        <v>232</v>
      </c>
    </row>
    <row r="59114" spans="119:119" x14ac:dyDescent="0.2">
      <c r="DO59114" s="303" t="s">
        <v>232</v>
      </c>
    </row>
    <row r="59115" spans="119:119" x14ac:dyDescent="0.2">
      <c r="DO59115" s="303" t="s">
        <v>232</v>
      </c>
    </row>
    <row r="59116" spans="119:119" x14ac:dyDescent="0.2">
      <c r="DO59116" s="303" t="s">
        <v>232</v>
      </c>
    </row>
    <row r="59117" spans="119:119" x14ac:dyDescent="0.2">
      <c r="DO59117" s="303" t="s">
        <v>232</v>
      </c>
    </row>
    <row r="59118" spans="119:119" x14ac:dyDescent="0.2">
      <c r="DO59118" s="303" t="s">
        <v>232</v>
      </c>
    </row>
    <row r="59119" spans="119:119" x14ac:dyDescent="0.2">
      <c r="DO59119" s="303" t="s">
        <v>232</v>
      </c>
    </row>
    <row r="59120" spans="119:119" x14ac:dyDescent="0.2">
      <c r="DO59120" s="303" t="s">
        <v>232</v>
      </c>
    </row>
    <row r="59121" spans="119:119" x14ac:dyDescent="0.2">
      <c r="DO59121" s="303" t="s">
        <v>232</v>
      </c>
    </row>
    <row r="59122" spans="119:119" x14ac:dyDescent="0.2">
      <c r="DO59122" s="303" t="s">
        <v>232</v>
      </c>
    </row>
    <row r="59123" spans="119:119" x14ac:dyDescent="0.2">
      <c r="DO59123" s="303" t="s">
        <v>232</v>
      </c>
    </row>
    <row r="59124" spans="119:119" x14ac:dyDescent="0.2">
      <c r="DO59124" s="303" t="s">
        <v>232</v>
      </c>
    </row>
    <row r="59125" spans="119:119" x14ac:dyDescent="0.2">
      <c r="DO59125" s="303" t="s">
        <v>232</v>
      </c>
    </row>
    <row r="59126" spans="119:119" x14ac:dyDescent="0.2">
      <c r="DO59126" s="303" t="s">
        <v>232</v>
      </c>
    </row>
    <row r="59127" spans="119:119" x14ac:dyDescent="0.2">
      <c r="DO59127" s="303" t="s">
        <v>232</v>
      </c>
    </row>
    <row r="59128" spans="119:119" x14ac:dyDescent="0.2">
      <c r="DO59128" s="303" t="s">
        <v>232</v>
      </c>
    </row>
    <row r="59129" spans="119:119" x14ac:dyDescent="0.2">
      <c r="DO59129" s="303" t="s">
        <v>232</v>
      </c>
    </row>
    <row r="59130" spans="119:119" x14ac:dyDescent="0.2">
      <c r="DO59130" s="303" t="s">
        <v>232</v>
      </c>
    </row>
    <row r="59131" spans="119:119" x14ac:dyDescent="0.2">
      <c r="DO59131" s="303" t="s">
        <v>232</v>
      </c>
    </row>
    <row r="59132" spans="119:119" x14ac:dyDescent="0.2">
      <c r="DO59132" s="303" t="s">
        <v>232</v>
      </c>
    </row>
    <row r="59133" spans="119:119" x14ac:dyDescent="0.2">
      <c r="DO59133" s="303" t="s">
        <v>232</v>
      </c>
    </row>
    <row r="59134" spans="119:119" x14ac:dyDescent="0.2">
      <c r="DO59134" s="303" t="s">
        <v>232</v>
      </c>
    </row>
    <row r="59135" spans="119:119" x14ac:dyDescent="0.2">
      <c r="DO59135" s="303" t="s">
        <v>232</v>
      </c>
    </row>
    <row r="59136" spans="119:119" x14ac:dyDescent="0.2">
      <c r="DO59136" s="303" t="s">
        <v>232</v>
      </c>
    </row>
    <row r="59137" spans="119:119" x14ac:dyDescent="0.2">
      <c r="DO59137" s="303" t="s">
        <v>232</v>
      </c>
    </row>
    <row r="59138" spans="119:119" x14ac:dyDescent="0.2">
      <c r="DO59138" s="303" t="s">
        <v>232</v>
      </c>
    </row>
    <row r="59139" spans="119:119" x14ac:dyDescent="0.2">
      <c r="DO59139" s="303" t="s">
        <v>232</v>
      </c>
    </row>
    <row r="59140" spans="119:119" x14ac:dyDescent="0.2">
      <c r="DO59140" s="303" t="s">
        <v>232</v>
      </c>
    </row>
    <row r="59141" spans="119:119" x14ac:dyDescent="0.2">
      <c r="DO59141" s="303" t="s">
        <v>232</v>
      </c>
    </row>
    <row r="59142" spans="119:119" x14ac:dyDescent="0.2">
      <c r="DO59142" s="303" t="s">
        <v>232</v>
      </c>
    </row>
    <row r="59143" spans="119:119" x14ac:dyDescent="0.2">
      <c r="DO59143" s="303" t="s">
        <v>232</v>
      </c>
    </row>
    <row r="59144" spans="119:119" x14ac:dyDescent="0.2">
      <c r="DO59144" s="303" t="s">
        <v>232</v>
      </c>
    </row>
    <row r="59145" spans="119:119" x14ac:dyDescent="0.2">
      <c r="DO59145" s="303" t="s">
        <v>232</v>
      </c>
    </row>
    <row r="59146" spans="119:119" x14ac:dyDescent="0.2">
      <c r="DO59146" s="303" t="s">
        <v>232</v>
      </c>
    </row>
    <row r="59147" spans="119:119" x14ac:dyDescent="0.2">
      <c r="DO59147" s="303" t="s">
        <v>232</v>
      </c>
    </row>
    <row r="59148" spans="119:119" x14ac:dyDescent="0.2">
      <c r="DO59148" s="303" t="s">
        <v>232</v>
      </c>
    </row>
    <row r="59149" spans="119:119" x14ac:dyDescent="0.2">
      <c r="DO59149" s="303" t="s">
        <v>232</v>
      </c>
    </row>
    <row r="59150" spans="119:119" x14ac:dyDescent="0.2">
      <c r="DO59150" s="303" t="s">
        <v>232</v>
      </c>
    </row>
    <row r="59151" spans="119:119" x14ac:dyDescent="0.2">
      <c r="DO59151" s="303" t="s">
        <v>232</v>
      </c>
    </row>
    <row r="59152" spans="119:119" x14ac:dyDescent="0.2">
      <c r="DO59152" s="303" t="s">
        <v>232</v>
      </c>
    </row>
    <row r="59153" spans="119:119" x14ac:dyDescent="0.2">
      <c r="DO59153" s="303" t="s">
        <v>232</v>
      </c>
    </row>
    <row r="59154" spans="119:119" x14ac:dyDescent="0.2">
      <c r="DO59154" s="303" t="s">
        <v>232</v>
      </c>
    </row>
    <row r="59155" spans="119:119" x14ac:dyDescent="0.2">
      <c r="DO59155" s="303" t="s">
        <v>232</v>
      </c>
    </row>
    <row r="59156" spans="119:119" x14ac:dyDescent="0.2">
      <c r="DO59156" s="303" t="s">
        <v>232</v>
      </c>
    </row>
    <row r="59157" spans="119:119" x14ac:dyDescent="0.2">
      <c r="DO59157" s="303" t="s">
        <v>232</v>
      </c>
    </row>
    <row r="59158" spans="119:119" x14ac:dyDescent="0.2">
      <c r="DO59158" s="303" t="s">
        <v>232</v>
      </c>
    </row>
    <row r="59159" spans="119:119" x14ac:dyDescent="0.2">
      <c r="DO59159" s="303" t="s">
        <v>232</v>
      </c>
    </row>
    <row r="59160" spans="119:119" x14ac:dyDescent="0.2">
      <c r="DO59160" s="303" t="s">
        <v>232</v>
      </c>
    </row>
    <row r="59161" spans="119:119" x14ac:dyDescent="0.2">
      <c r="DO59161" s="303" t="s">
        <v>232</v>
      </c>
    </row>
    <row r="59162" spans="119:119" x14ac:dyDescent="0.2">
      <c r="DO59162" s="303" t="s">
        <v>232</v>
      </c>
    </row>
    <row r="59163" spans="119:119" x14ac:dyDescent="0.2">
      <c r="DO59163" s="303" t="s">
        <v>232</v>
      </c>
    </row>
    <row r="59164" spans="119:119" x14ac:dyDescent="0.2">
      <c r="DO59164" s="303" t="s">
        <v>232</v>
      </c>
    </row>
    <row r="59165" spans="119:119" x14ac:dyDescent="0.2">
      <c r="DO59165" s="303" t="s">
        <v>232</v>
      </c>
    </row>
    <row r="59166" spans="119:119" x14ac:dyDescent="0.2">
      <c r="DO59166" s="303" t="s">
        <v>232</v>
      </c>
    </row>
    <row r="59167" spans="119:119" x14ac:dyDescent="0.2">
      <c r="DO59167" s="303" t="s">
        <v>232</v>
      </c>
    </row>
    <row r="59168" spans="119:119" x14ac:dyDescent="0.2">
      <c r="DO59168" s="303" t="s">
        <v>232</v>
      </c>
    </row>
    <row r="59169" spans="119:119" x14ac:dyDescent="0.2">
      <c r="DO59169" s="303" t="s">
        <v>232</v>
      </c>
    </row>
    <row r="59170" spans="119:119" x14ac:dyDescent="0.2">
      <c r="DO59170" s="303" t="s">
        <v>232</v>
      </c>
    </row>
    <row r="59171" spans="119:119" x14ac:dyDescent="0.2">
      <c r="DO59171" s="303" t="s">
        <v>232</v>
      </c>
    </row>
    <row r="59172" spans="119:119" x14ac:dyDescent="0.2">
      <c r="DO59172" s="303" t="s">
        <v>232</v>
      </c>
    </row>
    <row r="59173" spans="119:119" x14ac:dyDescent="0.2">
      <c r="DO59173" s="303" t="s">
        <v>232</v>
      </c>
    </row>
    <row r="59174" spans="119:119" x14ac:dyDescent="0.2">
      <c r="DO59174" s="303" t="s">
        <v>232</v>
      </c>
    </row>
    <row r="59175" spans="119:119" x14ac:dyDescent="0.2">
      <c r="DO59175" s="303" t="s">
        <v>232</v>
      </c>
    </row>
    <row r="59176" spans="119:119" x14ac:dyDescent="0.2">
      <c r="DO59176" s="303" t="s">
        <v>232</v>
      </c>
    </row>
    <row r="59177" spans="119:119" x14ac:dyDescent="0.2">
      <c r="DO59177" s="303" t="s">
        <v>232</v>
      </c>
    </row>
    <row r="59178" spans="119:119" x14ac:dyDescent="0.2">
      <c r="DO59178" s="303" t="s">
        <v>232</v>
      </c>
    </row>
    <row r="59179" spans="119:119" x14ac:dyDescent="0.2">
      <c r="DO59179" s="303" t="s">
        <v>232</v>
      </c>
    </row>
    <row r="59180" spans="119:119" x14ac:dyDescent="0.2">
      <c r="DO59180" s="303" t="s">
        <v>232</v>
      </c>
    </row>
    <row r="59181" spans="119:119" x14ac:dyDescent="0.2">
      <c r="DO59181" s="303" t="s">
        <v>232</v>
      </c>
    </row>
    <row r="59182" spans="119:119" x14ac:dyDescent="0.2">
      <c r="DO59182" s="303" t="s">
        <v>232</v>
      </c>
    </row>
    <row r="59183" spans="119:119" x14ac:dyDescent="0.2">
      <c r="DO59183" s="303" t="s">
        <v>232</v>
      </c>
    </row>
    <row r="59184" spans="119:119" x14ac:dyDescent="0.2">
      <c r="DO59184" s="303" t="s">
        <v>232</v>
      </c>
    </row>
    <row r="59185" spans="119:119" x14ac:dyDescent="0.2">
      <c r="DO59185" s="303" t="s">
        <v>232</v>
      </c>
    </row>
    <row r="59186" spans="119:119" x14ac:dyDescent="0.2">
      <c r="DO59186" s="303" t="s">
        <v>232</v>
      </c>
    </row>
    <row r="59187" spans="119:119" x14ac:dyDescent="0.2">
      <c r="DO59187" s="303" t="s">
        <v>232</v>
      </c>
    </row>
    <row r="59188" spans="119:119" x14ac:dyDescent="0.2">
      <c r="DO59188" s="303" t="s">
        <v>232</v>
      </c>
    </row>
    <row r="59189" spans="119:119" x14ac:dyDescent="0.2">
      <c r="DO59189" s="303" t="s">
        <v>232</v>
      </c>
    </row>
    <row r="59190" spans="119:119" x14ac:dyDescent="0.2">
      <c r="DO59190" s="303" t="s">
        <v>232</v>
      </c>
    </row>
    <row r="59191" spans="119:119" x14ac:dyDescent="0.2">
      <c r="DO59191" s="303" t="s">
        <v>232</v>
      </c>
    </row>
    <row r="59192" spans="119:119" x14ac:dyDescent="0.2">
      <c r="DO59192" s="303" t="s">
        <v>232</v>
      </c>
    </row>
    <row r="59193" spans="119:119" x14ac:dyDescent="0.2">
      <c r="DO59193" s="303" t="s">
        <v>232</v>
      </c>
    </row>
    <row r="59194" spans="119:119" x14ac:dyDescent="0.2">
      <c r="DO59194" s="303" t="s">
        <v>232</v>
      </c>
    </row>
    <row r="59195" spans="119:119" x14ac:dyDescent="0.2">
      <c r="DO59195" s="303" t="s">
        <v>232</v>
      </c>
    </row>
    <row r="59196" spans="119:119" x14ac:dyDescent="0.2">
      <c r="DO59196" s="303" t="s">
        <v>232</v>
      </c>
    </row>
    <row r="59197" spans="119:119" x14ac:dyDescent="0.2">
      <c r="DO59197" s="303" t="s">
        <v>232</v>
      </c>
    </row>
    <row r="59198" spans="119:119" x14ac:dyDescent="0.2">
      <c r="DO59198" s="303" t="s">
        <v>232</v>
      </c>
    </row>
    <row r="59199" spans="119:119" x14ac:dyDescent="0.2">
      <c r="DO59199" s="303" t="s">
        <v>232</v>
      </c>
    </row>
    <row r="59200" spans="119:119" x14ac:dyDescent="0.2">
      <c r="DO59200" s="303" t="s">
        <v>232</v>
      </c>
    </row>
    <row r="59201" spans="119:119" x14ac:dyDescent="0.2">
      <c r="DO59201" s="303" t="s">
        <v>232</v>
      </c>
    </row>
    <row r="59202" spans="119:119" x14ac:dyDescent="0.2">
      <c r="DO59202" s="303" t="s">
        <v>232</v>
      </c>
    </row>
    <row r="59203" spans="119:119" x14ac:dyDescent="0.2">
      <c r="DO59203" s="303" t="s">
        <v>232</v>
      </c>
    </row>
    <row r="59204" spans="119:119" x14ac:dyDescent="0.2">
      <c r="DO59204" s="303" t="s">
        <v>232</v>
      </c>
    </row>
    <row r="59205" spans="119:119" x14ac:dyDescent="0.2">
      <c r="DO59205" s="303" t="s">
        <v>232</v>
      </c>
    </row>
    <row r="59206" spans="119:119" x14ac:dyDescent="0.2">
      <c r="DO59206" s="303" t="s">
        <v>232</v>
      </c>
    </row>
    <row r="59207" spans="119:119" x14ac:dyDescent="0.2">
      <c r="DO59207" s="303" t="s">
        <v>232</v>
      </c>
    </row>
    <row r="59208" spans="119:119" x14ac:dyDescent="0.2">
      <c r="DO59208" s="303" t="s">
        <v>232</v>
      </c>
    </row>
    <row r="59209" spans="119:119" x14ac:dyDescent="0.2">
      <c r="DO59209" s="303" t="s">
        <v>232</v>
      </c>
    </row>
    <row r="59210" spans="119:119" x14ac:dyDescent="0.2">
      <c r="DO59210" s="303" t="s">
        <v>232</v>
      </c>
    </row>
    <row r="59211" spans="119:119" x14ac:dyDescent="0.2">
      <c r="DO59211" s="303" t="s">
        <v>232</v>
      </c>
    </row>
    <row r="59212" spans="119:119" x14ac:dyDescent="0.2">
      <c r="DO59212" s="303" t="s">
        <v>232</v>
      </c>
    </row>
    <row r="59213" spans="119:119" x14ac:dyDescent="0.2">
      <c r="DO59213" s="303" t="s">
        <v>232</v>
      </c>
    </row>
    <row r="59214" spans="119:119" x14ac:dyDescent="0.2">
      <c r="DO59214" s="303" t="s">
        <v>232</v>
      </c>
    </row>
    <row r="59215" spans="119:119" x14ac:dyDescent="0.2">
      <c r="DO59215" s="303" t="s">
        <v>232</v>
      </c>
    </row>
    <row r="59216" spans="119:119" x14ac:dyDescent="0.2">
      <c r="DO59216" s="303" t="s">
        <v>232</v>
      </c>
    </row>
    <row r="59217" spans="119:119" x14ac:dyDescent="0.2">
      <c r="DO59217" s="303" t="s">
        <v>232</v>
      </c>
    </row>
    <row r="59218" spans="119:119" x14ac:dyDescent="0.2">
      <c r="DO59218" s="303" t="s">
        <v>232</v>
      </c>
    </row>
    <row r="59219" spans="119:119" x14ac:dyDescent="0.2">
      <c r="DO59219" s="303" t="s">
        <v>232</v>
      </c>
    </row>
    <row r="59220" spans="119:119" x14ac:dyDescent="0.2">
      <c r="DO59220" s="303" t="s">
        <v>232</v>
      </c>
    </row>
    <row r="59221" spans="119:119" x14ac:dyDescent="0.2">
      <c r="DO59221" s="303" t="s">
        <v>232</v>
      </c>
    </row>
    <row r="59222" spans="119:119" x14ac:dyDescent="0.2">
      <c r="DO59222" s="303" t="s">
        <v>232</v>
      </c>
    </row>
    <row r="59223" spans="119:119" x14ac:dyDescent="0.2">
      <c r="DO59223" s="303" t="s">
        <v>232</v>
      </c>
    </row>
    <row r="59224" spans="119:119" x14ac:dyDescent="0.2">
      <c r="DO59224" s="303" t="s">
        <v>232</v>
      </c>
    </row>
    <row r="59225" spans="119:119" x14ac:dyDescent="0.2">
      <c r="DO59225" s="303" t="s">
        <v>232</v>
      </c>
    </row>
    <row r="59226" spans="119:119" x14ac:dyDescent="0.2">
      <c r="DO59226" s="303" t="s">
        <v>232</v>
      </c>
    </row>
    <row r="59227" spans="119:119" x14ac:dyDescent="0.2">
      <c r="DO59227" s="303" t="s">
        <v>232</v>
      </c>
    </row>
    <row r="59228" spans="119:119" x14ac:dyDescent="0.2">
      <c r="DO59228" s="303" t="s">
        <v>232</v>
      </c>
    </row>
    <row r="59229" spans="119:119" x14ac:dyDescent="0.2">
      <c r="DO59229" s="303" t="s">
        <v>232</v>
      </c>
    </row>
    <row r="59230" spans="119:119" x14ac:dyDescent="0.2">
      <c r="DO59230" s="303" t="s">
        <v>232</v>
      </c>
    </row>
    <row r="59231" spans="119:119" x14ac:dyDescent="0.2">
      <c r="DO59231" s="303" t="s">
        <v>232</v>
      </c>
    </row>
    <row r="59232" spans="119:119" x14ac:dyDescent="0.2">
      <c r="DO59232" s="303" t="s">
        <v>232</v>
      </c>
    </row>
    <row r="59233" spans="119:119" x14ac:dyDescent="0.2">
      <c r="DO59233" s="303" t="s">
        <v>232</v>
      </c>
    </row>
    <row r="59234" spans="119:119" x14ac:dyDescent="0.2">
      <c r="DO59234" s="303" t="s">
        <v>232</v>
      </c>
    </row>
    <row r="59235" spans="119:119" x14ac:dyDescent="0.2">
      <c r="DO59235" s="303" t="s">
        <v>232</v>
      </c>
    </row>
    <row r="59236" spans="119:119" x14ac:dyDescent="0.2">
      <c r="DO59236" s="303" t="s">
        <v>232</v>
      </c>
    </row>
    <row r="59237" spans="119:119" x14ac:dyDescent="0.2">
      <c r="DO59237" s="303" t="s">
        <v>232</v>
      </c>
    </row>
    <row r="59238" spans="119:119" x14ac:dyDescent="0.2">
      <c r="DO59238" s="303" t="s">
        <v>232</v>
      </c>
    </row>
    <row r="59239" spans="119:119" x14ac:dyDescent="0.2">
      <c r="DO59239" s="303" t="s">
        <v>232</v>
      </c>
    </row>
    <row r="59240" spans="119:119" x14ac:dyDescent="0.2">
      <c r="DO59240" s="303" t="s">
        <v>232</v>
      </c>
    </row>
    <row r="59241" spans="119:119" x14ac:dyDescent="0.2">
      <c r="DO59241" s="303" t="s">
        <v>232</v>
      </c>
    </row>
    <row r="59242" spans="119:119" x14ac:dyDescent="0.2">
      <c r="DO59242" s="303" t="s">
        <v>232</v>
      </c>
    </row>
    <row r="59243" spans="119:119" x14ac:dyDescent="0.2">
      <c r="DO59243" s="303" t="s">
        <v>232</v>
      </c>
    </row>
    <row r="59244" spans="119:119" x14ac:dyDescent="0.2">
      <c r="DO59244" s="303" t="s">
        <v>232</v>
      </c>
    </row>
    <row r="59245" spans="119:119" x14ac:dyDescent="0.2">
      <c r="DO59245" s="303" t="s">
        <v>232</v>
      </c>
    </row>
    <row r="59246" spans="119:119" x14ac:dyDescent="0.2">
      <c r="DO59246" s="303" t="s">
        <v>232</v>
      </c>
    </row>
    <row r="59247" spans="119:119" x14ac:dyDescent="0.2">
      <c r="DO59247" s="303" t="s">
        <v>232</v>
      </c>
    </row>
    <row r="59248" spans="119:119" x14ac:dyDescent="0.2">
      <c r="DO59248" s="303" t="s">
        <v>232</v>
      </c>
    </row>
    <row r="59249" spans="119:119" x14ac:dyDescent="0.2">
      <c r="DO59249" s="303" t="s">
        <v>232</v>
      </c>
    </row>
    <row r="59250" spans="119:119" x14ac:dyDescent="0.2">
      <c r="DO59250" s="303" t="s">
        <v>232</v>
      </c>
    </row>
    <row r="59251" spans="119:119" x14ac:dyDescent="0.2">
      <c r="DO59251" s="303" t="s">
        <v>232</v>
      </c>
    </row>
    <row r="59252" spans="119:119" x14ac:dyDescent="0.2">
      <c r="DO59252" s="303" t="s">
        <v>232</v>
      </c>
    </row>
    <row r="59253" spans="119:119" x14ac:dyDescent="0.2">
      <c r="DO59253" s="303" t="s">
        <v>232</v>
      </c>
    </row>
    <row r="59254" spans="119:119" x14ac:dyDescent="0.2">
      <c r="DO59254" s="303" t="s">
        <v>232</v>
      </c>
    </row>
    <row r="59255" spans="119:119" x14ac:dyDescent="0.2">
      <c r="DO59255" s="303" t="s">
        <v>232</v>
      </c>
    </row>
    <row r="59256" spans="119:119" x14ac:dyDescent="0.2">
      <c r="DO59256" s="303" t="s">
        <v>232</v>
      </c>
    </row>
    <row r="59257" spans="119:119" x14ac:dyDescent="0.2">
      <c r="DO59257" s="303" t="s">
        <v>232</v>
      </c>
    </row>
    <row r="59258" spans="119:119" x14ac:dyDescent="0.2">
      <c r="DO59258" s="303" t="s">
        <v>232</v>
      </c>
    </row>
    <row r="59259" spans="119:119" x14ac:dyDescent="0.2">
      <c r="DO59259" s="303" t="s">
        <v>232</v>
      </c>
    </row>
    <row r="59260" spans="119:119" x14ac:dyDescent="0.2">
      <c r="DO59260" s="303" t="s">
        <v>232</v>
      </c>
    </row>
    <row r="59261" spans="119:119" x14ac:dyDescent="0.2">
      <c r="DO59261" s="303" t="s">
        <v>232</v>
      </c>
    </row>
    <row r="59262" spans="119:119" x14ac:dyDescent="0.2">
      <c r="DO59262" s="303" t="s">
        <v>232</v>
      </c>
    </row>
    <row r="59263" spans="119:119" x14ac:dyDescent="0.2">
      <c r="DO59263" s="303" t="s">
        <v>232</v>
      </c>
    </row>
    <row r="59264" spans="119:119" x14ac:dyDescent="0.2">
      <c r="DO59264" s="303" t="s">
        <v>232</v>
      </c>
    </row>
    <row r="59265" spans="119:119" x14ac:dyDescent="0.2">
      <c r="DO59265" s="303" t="s">
        <v>232</v>
      </c>
    </row>
    <row r="59266" spans="119:119" x14ac:dyDescent="0.2">
      <c r="DO59266" s="303" t="s">
        <v>232</v>
      </c>
    </row>
    <row r="59267" spans="119:119" x14ac:dyDescent="0.2">
      <c r="DO59267" s="303" t="s">
        <v>232</v>
      </c>
    </row>
    <row r="59268" spans="119:119" x14ac:dyDescent="0.2">
      <c r="DO59268" s="303" t="s">
        <v>232</v>
      </c>
    </row>
    <row r="59269" spans="119:119" x14ac:dyDescent="0.2">
      <c r="DO59269" s="303" t="s">
        <v>232</v>
      </c>
    </row>
    <row r="59270" spans="119:119" x14ac:dyDescent="0.2">
      <c r="DO59270" s="303" t="s">
        <v>232</v>
      </c>
    </row>
    <row r="59271" spans="119:119" x14ac:dyDescent="0.2">
      <c r="DO59271" s="303" t="s">
        <v>232</v>
      </c>
    </row>
    <row r="59272" spans="119:119" x14ac:dyDescent="0.2">
      <c r="DO59272" s="303" t="s">
        <v>232</v>
      </c>
    </row>
    <row r="59273" spans="119:119" x14ac:dyDescent="0.2">
      <c r="DO59273" s="303" t="s">
        <v>232</v>
      </c>
    </row>
    <row r="59274" spans="119:119" x14ac:dyDescent="0.2">
      <c r="DO59274" s="303" t="s">
        <v>232</v>
      </c>
    </row>
    <row r="59275" spans="119:119" x14ac:dyDescent="0.2">
      <c r="DO59275" s="303" t="s">
        <v>232</v>
      </c>
    </row>
    <row r="59276" spans="119:119" x14ac:dyDescent="0.2">
      <c r="DO59276" s="303" t="s">
        <v>232</v>
      </c>
    </row>
    <row r="59277" spans="119:119" x14ac:dyDescent="0.2">
      <c r="DO59277" s="303" t="s">
        <v>232</v>
      </c>
    </row>
    <row r="59278" spans="119:119" x14ac:dyDescent="0.2">
      <c r="DO59278" s="303" t="s">
        <v>232</v>
      </c>
    </row>
    <row r="59279" spans="119:119" x14ac:dyDescent="0.2">
      <c r="DO59279" s="303" t="s">
        <v>232</v>
      </c>
    </row>
    <row r="59280" spans="119:119" x14ac:dyDescent="0.2">
      <c r="DO59280" s="303" t="s">
        <v>232</v>
      </c>
    </row>
    <row r="59281" spans="119:119" x14ac:dyDescent="0.2">
      <c r="DO59281" s="303" t="s">
        <v>232</v>
      </c>
    </row>
    <row r="59282" spans="119:119" x14ac:dyDescent="0.2">
      <c r="DO59282" s="303" t="s">
        <v>232</v>
      </c>
    </row>
    <row r="59283" spans="119:119" x14ac:dyDescent="0.2">
      <c r="DO59283" s="303" t="s">
        <v>232</v>
      </c>
    </row>
    <row r="59284" spans="119:119" x14ac:dyDescent="0.2">
      <c r="DO59284" s="303" t="s">
        <v>232</v>
      </c>
    </row>
    <row r="59285" spans="119:119" x14ac:dyDescent="0.2">
      <c r="DO59285" s="303" t="s">
        <v>232</v>
      </c>
    </row>
    <row r="59286" spans="119:119" x14ac:dyDescent="0.2">
      <c r="DO59286" s="303" t="s">
        <v>232</v>
      </c>
    </row>
    <row r="59287" spans="119:119" x14ac:dyDescent="0.2">
      <c r="DO59287" s="303" t="s">
        <v>232</v>
      </c>
    </row>
    <row r="59288" spans="119:119" x14ac:dyDescent="0.2">
      <c r="DO59288" s="303" t="s">
        <v>232</v>
      </c>
    </row>
    <row r="59289" spans="119:119" x14ac:dyDescent="0.2">
      <c r="DO59289" s="303" t="s">
        <v>232</v>
      </c>
    </row>
    <row r="59290" spans="119:119" x14ac:dyDescent="0.2">
      <c r="DO59290" s="303" t="s">
        <v>232</v>
      </c>
    </row>
    <row r="59291" spans="119:119" x14ac:dyDescent="0.2">
      <c r="DO59291" s="303" t="s">
        <v>232</v>
      </c>
    </row>
    <row r="59292" spans="119:119" x14ac:dyDescent="0.2">
      <c r="DO59292" s="303" t="s">
        <v>232</v>
      </c>
    </row>
    <row r="59293" spans="119:119" x14ac:dyDescent="0.2">
      <c r="DO59293" s="303" t="s">
        <v>232</v>
      </c>
    </row>
    <row r="59294" spans="119:119" x14ac:dyDescent="0.2">
      <c r="DO59294" s="303" t="s">
        <v>232</v>
      </c>
    </row>
    <row r="59295" spans="119:119" x14ac:dyDescent="0.2">
      <c r="DO59295" s="303" t="s">
        <v>232</v>
      </c>
    </row>
    <row r="59296" spans="119:119" x14ac:dyDescent="0.2">
      <c r="DO59296" s="303" t="s">
        <v>232</v>
      </c>
    </row>
    <row r="59297" spans="119:119" x14ac:dyDescent="0.2">
      <c r="DO59297" s="303" t="s">
        <v>232</v>
      </c>
    </row>
    <row r="59298" spans="119:119" x14ac:dyDescent="0.2">
      <c r="DO59298" s="303" t="s">
        <v>232</v>
      </c>
    </row>
    <row r="59299" spans="119:119" x14ac:dyDescent="0.2">
      <c r="DO59299" s="303" t="s">
        <v>232</v>
      </c>
    </row>
    <row r="59300" spans="119:119" x14ac:dyDescent="0.2">
      <c r="DO59300" s="303" t="s">
        <v>232</v>
      </c>
    </row>
    <row r="59301" spans="119:119" x14ac:dyDescent="0.2">
      <c r="DO59301" s="303" t="s">
        <v>232</v>
      </c>
    </row>
    <row r="59302" spans="119:119" x14ac:dyDescent="0.2">
      <c r="DO59302" s="303" t="s">
        <v>232</v>
      </c>
    </row>
    <row r="59303" spans="119:119" x14ac:dyDescent="0.2">
      <c r="DO59303" s="303" t="s">
        <v>232</v>
      </c>
    </row>
    <row r="59304" spans="119:119" x14ac:dyDescent="0.2">
      <c r="DO59304" s="303" t="s">
        <v>232</v>
      </c>
    </row>
    <row r="59305" spans="119:119" x14ac:dyDescent="0.2">
      <c r="DO59305" s="303" t="s">
        <v>232</v>
      </c>
    </row>
    <row r="59306" spans="119:119" x14ac:dyDescent="0.2">
      <c r="DO59306" s="303" t="s">
        <v>232</v>
      </c>
    </row>
    <row r="59307" spans="119:119" x14ac:dyDescent="0.2">
      <c r="DO59307" s="303" t="s">
        <v>232</v>
      </c>
    </row>
    <row r="59308" spans="119:119" x14ac:dyDescent="0.2">
      <c r="DO59308" s="303" t="s">
        <v>232</v>
      </c>
    </row>
    <row r="59309" spans="119:119" x14ac:dyDescent="0.2">
      <c r="DO59309" s="303" t="s">
        <v>232</v>
      </c>
    </row>
    <row r="59310" spans="119:119" x14ac:dyDescent="0.2">
      <c r="DO59310" s="303" t="s">
        <v>232</v>
      </c>
    </row>
    <row r="59311" spans="119:119" x14ac:dyDescent="0.2">
      <c r="DO59311" s="303" t="s">
        <v>232</v>
      </c>
    </row>
    <row r="59312" spans="119:119" x14ac:dyDescent="0.2">
      <c r="DO59312" s="303" t="s">
        <v>232</v>
      </c>
    </row>
    <row r="59313" spans="119:119" x14ac:dyDescent="0.2">
      <c r="DO59313" s="303" t="s">
        <v>232</v>
      </c>
    </row>
    <row r="59314" spans="119:119" x14ac:dyDescent="0.2">
      <c r="DO59314" s="303" t="s">
        <v>232</v>
      </c>
    </row>
    <row r="59315" spans="119:119" x14ac:dyDescent="0.2">
      <c r="DO59315" s="303" t="s">
        <v>232</v>
      </c>
    </row>
    <row r="59316" spans="119:119" x14ac:dyDescent="0.2">
      <c r="DO59316" s="303" t="s">
        <v>232</v>
      </c>
    </row>
    <row r="59317" spans="119:119" x14ac:dyDescent="0.2">
      <c r="DO59317" s="303" t="s">
        <v>232</v>
      </c>
    </row>
    <row r="59318" spans="119:119" x14ac:dyDescent="0.2">
      <c r="DO59318" s="303" t="s">
        <v>232</v>
      </c>
    </row>
    <row r="59319" spans="119:119" x14ac:dyDescent="0.2">
      <c r="DO59319" s="303" t="s">
        <v>232</v>
      </c>
    </row>
    <row r="59320" spans="119:119" x14ac:dyDescent="0.2">
      <c r="DO59320" s="303" t="s">
        <v>232</v>
      </c>
    </row>
    <row r="59321" spans="119:119" x14ac:dyDescent="0.2">
      <c r="DO59321" s="303" t="s">
        <v>232</v>
      </c>
    </row>
    <row r="59322" spans="119:119" x14ac:dyDescent="0.2">
      <c r="DO59322" s="303" t="s">
        <v>232</v>
      </c>
    </row>
    <row r="59323" spans="119:119" x14ac:dyDescent="0.2">
      <c r="DO59323" s="303" t="s">
        <v>232</v>
      </c>
    </row>
    <row r="59324" spans="119:119" x14ac:dyDescent="0.2">
      <c r="DO59324" s="303" t="s">
        <v>232</v>
      </c>
    </row>
    <row r="59325" spans="119:119" x14ac:dyDescent="0.2">
      <c r="DO59325" s="303" t="s">
        <v>232</v>
      </c>
    </row>
    <row r="59326" spans="119:119" x14ac:dyDescent="0.2">
      <c r="DO59326" s="303" t="s">
        <v>232</v>
      </c>
    </row>
    <row r="59327" spans="119:119" x14ac:dyDescent="0.2">
      <c r="DO59327" s="303" t="s">
        <v>232</v>
      </c>
    </row>
    <row r="59328" spans="119:119" x14ac:dyDescent="0.2">
      <c r="DO59328" s="303" t="s">
        <v>232</v>
      </c>
    </row>
    <row r="59329" spans="119:119" x14ac:dyDescent="0.2">
      <c r="DO59329" s="303" t="s">
        <v>232</v>
      </c>
    </row>
    <row r="59330" spans="119:119" x14ac:dyDescent="0.2">
      <c r="DO59330" s="303" t="s">
        <v>232</v>
      </c>
    </row>
    <row r="59331" spans="119:119" x14ac:dyDescent="0.2">
      <c r="DO59331" s="303" t="s">
        <v>232</v>
      </c>
    </row>
    <row r="59332" spans="119:119" x14ac:dyDescent="0.2">
      <c r="DO59332" s="303" t="s">
        <v>232</v>
      </c>
    </row>
    <row r="59333" spans="119:119" x14ac:dyDescent="0.2">
      <c r="DO59333" s="303" t="s">
        <v>232</v>
      </c>
    </row>
    <row r="59334" spans="119:119" x14ac:dyDescent="0.2">
      <c r="DO59334" s="303" t="s">
        <v>232</v>
      </c>
    </row>
    <row r="59335" spans="119:119" x14ac:dyDescent="0.2">
      <c r="DO59335" s="303" t="s">
        <v>232</v>
      </c>
    </row>
    <row r="59336" spans="119:119" x14ac:dyDescent="0.2">
      <c r="DO59336" s="303" t="s">
        <v>232</v>
      </c>
    </row>
    <row r="59337" spans="119:119" x14ac:dyDescent="0.2">
      <c r="DO59337" s="303" t="s">
        <v>232</v>
      </c>
    </row>
    <row r="59338" spans="119:119" x14ac:dyDescent="0.2">
      <c r="DO59338" s="303" t="s">
        <v>232</v>
      </c>
    </row>
    <row r="59339" spans="119:119" x14ac:dyDescent="0.2">
      <c r="DO59339" s="303" t="s">
        <v>232</v>
      </c>
    </row>
    <row r="59340" spans="119:119" x14ac:dyDescent="0.2">
      <c r="DO59340" s="303" t="s">
        <v>232</v>
      </c>
    </row>
    <row r="59341" spans="119:119" x14ac:dyDescent="0.2">
      <c r="DO59341" s="303" t="s">
        <v>232</v>
      </c>
    </row>
    <row r="59342" spans="119:119" x14ac:dyDescent="0.2">
      <c r="DO59342" s="303" t="s">
        <v>232</v>
      </c>
    </row>
    <row r="59343" spans="119:119" x14ac:dyDescent="0.2">
      <c r="DO59343" s="303" t="s">
        <v>232</v>
      </c>
    </row>
    <row r="59344" spans="119:119" x14ac:dyDescent="0.2">
      <c r="DO59344" s="303" t="s">
        <v>232</v>
      </c>
    </row>
    <row r="59345" spans="119:119" x14ac:dyDescent="0.2">
      <c r="DO59345" s="303" t="s">
        <v>232</v>
      </c>
    </row>
    <row r="59346" spans="119:119" x14ac:dyDescent="0.2">
      <c r="DO59346" s="303" t="s">
        <v>232</v>
      </c>
    </row>
    <row r="59347" spans="119:119" x14ac:dyDescent="0.2">
      <c r="DO59347" s="303" t="s">
        <v>232</v>
      </c>
    </row>
    <row r="59348" spans="119:119" x14ac:dyDescent="0.2">
      <c r="DO59348" s="303" t="s">
        <v>232</v>
      </c>
    </row>
    <row r="59349" spans="119:119" x14ac:dyDescent="0.2">
      <c r="DO59349" s="303" t="s">
        <v>232</v>
      </c>
    </row>
    <row r="59350" spans="119:119" x14ac:dyDescent="0.2">
      <c r="DO59350" s="303" t="s">
        <v>232</v>
      </c>
    </row>
    <row r="59351" spans="119:119" x14ac:dyDescent="0.2">
      <c r="DO59351" s="303" t="s">
        <v>232</v>
      </c>
    </row>
    <row r="59352" spans="119:119" x14ac:dyDescent="0.2">
      <c r="DO59352" s="303" t="s">
        <v>232</v>
      </c>
    </row>
    <row r="59353" spans="119:119" x14ac:dyDescent="0.2">
      <c r="DO59353" s="303" t="s">
        <v>232</v>
      </c>
    </row>
    <row r="59354" spans="119:119" x14ac:dyDescent="0.2">
      <c r="DO59354" s="303" t="s">
        <v>232</v>
      </c>
    </row>
    <row r="59355" spans="119:119" x14ac:dyDescent="0.2">
      <c r="DO59355" s="303" t="s">
        <v>232</v>
      </c>
    </row>
    <row r="59356" spans="119:119" x14ac:dyDescent="0.2">
      <c r="DO59356" s="303" t="s">
        <v>232</v>
      </c>
    </row>
    <row r="59357" spans="119:119" x14ac:dyDescent="0.2">
      <c r="DO59357" s="303" t="s">
        <v>232</v>
      </c>
    </row>
    <row r="59358" spans="119:119" x14ac:dyDescent="0.2">
      <c r="DO59358" s="303" t="s">
        <v>232</v>
      </c>
    </row>
    <row r="59359" spans="119:119" x14ac:dyDescent="0.2">
      <c r="DO59359" s="303" t="s">
        <v>232</v>
      </c>
    </row>
    <row r="59360" spans="119:119" x14ac:dyDescent="0.2">
      <c r="DO59360" s="303" t="s">
        <v>232</v>
      </c>
    </row>
    <row r="59361" spans="119:119" x14ac:dyDescent="0.2">
      <c r="DO59361" s="303" t="s">
        <v>232</v>
      </c>
    </row>
    <row r="59362" spans="119:119" x14ac:dyDescent="0.2">
      <c r="DO59362" s="303" t="s">
        <v>232</v>
      </c>
    </row>
    <row r="59363" spans="119:119" x14ac:dyDescent="0.2">
      <c r="DO59363" s="303" t="s">
        <v>232</v>
      </c>
    </row>
    <row r="59364" spans="119:119" x14ac:dyDescent="0.2">
      <c r="DO59364" s="303" t="s">
        <v>232</v>
      </c>
    </row>
    <row r="59365" spans="119:119" x14ac:dyDescent="0.2">
      <c r="DO59365" s="303" t="s">
        <v>232</v>
      </c>
    </row>
    <row r="59366" spans="119:119" x14ac:dyDescent="0.2">
      <c r="DO59366" s="303" t="s">
        <v>232</v>
      </c>
    </row>
    <row r="59367" spans="119:119" x14ac:dyDescent="0.2">
      <c r="DO59367" s="303" t="s">
        <v>232</v>
      </c>
    </row>
    <row r="59368" spans="119:119" x14ac:dyDescent="0.2">
      <c r="DO59368" s="303" t="s">
        <v>232</v>
      </c>
    </row>
    <row r="59369" spans="119:119" x14ac:dyDescent="0.2">
      <c r="DO59369" s="303" t="s">
        <v>232</v>
      </c>
    </row>
    <row r="59370" spans="119:119" x14ac:dyDescent="0.2">
      <c r="DO59370" s="303" t="s">
        <v>232</v>
      </c>
    </row>
    <row r="59371" spans="119:119" x14ac:dyDescent="0.2">
      <c r="DO59371" s="303" t="s">
        <v>232</v>
      </c>
    </row>
    <row r="59372" spans="119:119" x14ac:dyDescent="0.2">
      <c r="DO59372" s="303" t="s">
        <v>232</v>
      </c>
    </row>
    <row r="59373" spans="119:119" x14ac:dyDescent="0.2">
      <c r="DO59373" s="303" t="s">
        <v>232</v>
      </c>
    </row>
    <row r="59374" spans="119:119" x14ac:dyDescent="0.2">
      <c r="DO59374" s="303" t="s">
        <v>232</v>
      </c>
    </row>
    <row r="59375" spans="119:119" x14ac:dyDescent="0.2">
      <c r="DO59375" s="303" t="s">
        <v>232</v>
      </c>
    </row>
    <row r="59376" spans="119:119" x14ac:dyDescent="0.2">
      <c r="DO59376" s="303" t="s">
        <v>232</v>
      </c>
    </row>
    <row r="59377" spans="119:119" x14ac:dyDescent="0.2">
      <c r="DO59377" s="303" t="s">
        <v>232</v>
      </c>
    </row>
    <row r="59378" spans="119:119" x14ac:dyDescent="0.2">
      <c r="DO59378" s="303" t="s">
        <v>232</v>
      </c>
    </row>
    <row r="59379" spans="119:119" x14ac:dyDescent="0.2">
      <c r="DO59379" s="303" t="s">
        <v>232</v>
      </c>
    </row>
    <row r="59380" spans="119:119" x14ac:dyDescent="0.2">
      <c r="DO59380" s="303" t="s">
        <v>232</v>
      </c>
    </row>
    <row r="59381" spans="119:119" x14ac:dyDescent="0.2">
      <c r="DO59381" s="303" t="s">
        <v>232</v>
      </c>
    </row>
    <row r="59382" spans="119:119" x14ac:dyDescent="0.2">
      <c r="DO59382" s="303" t="s">
        <v>232</v>
      </c>
    </row>
    <row r="59383" spans="119:119" x14ac:dyDescent="0.2">
      <c r="DO59383" s="303" t="s">
        <v>232</v>
      </c>
    </row>
    <row r="59384" spans="119:119" x14ac:dyDescent="0.2">
      <c r="DO59384" s="303" t="s">
        <v>232</v>
      </c>
    </row>
    <row r="59385" spans="119:119" x14ac:dyDescent="0.2">
      <c r="DO59385" s="303" t="s">
        <v>232</v>
      </c>
    </row>
    <row r="59386" spans="119:119" x14ac:dyDescent="0.2">
      <c r="DO59386" s="303" t="s">
        <v>232</v>
      </c>
    </row>
    <row r="59387" spans="119:119" x14ac:dyDescent="0.2">
      <c r="DO59387" s="303" t="s">
        <v>232</v>
      </c>
    </row>
    <row r="59388" spans="119:119" x14ac:dyDescent="0.2">
      <c r="DO59388" s="303" t="s">
        <v>232</v>
      </c>
    </row>
    <row r="59389" spans="119:119" x14ac:dyDescent="0.2">
      <c r="DO59389" s="303" t="s">
        <v>232</v>
      </c>
    </row>
    <row r="59390" spans="119:119" x14ac:dyDescent="0.2">
      <c r="DO59390" s="303" t="s">
        <v>232</v>
      </c>
    </row>
    <row r="59391" spans="119:119" x14ac:dyDescent="0.2">
      <c r="DO59391" s="303" t="s">
        <v>232</v>
      </c>
    </row>
    <row r="59392" spans="119:119" x14ac:dyDescent="0.2">
      <c r="DO59392" s="303" t="s">
        <v>232</v>
      </c>
    </row>
    <row r="59393" spans="119:119" x14ac:dyDescent="0.2">
      <c r="DO59393" s="303" t="s">
        <v>232</v>
      </c>
    </row>
    <row r="59394" spans="119:119" x14ac:dyDescent="0.2">
      <c r="DO59394" s="303" t="s">
        <v>232</v>
      </c>
    </row>
    <row r="59395" spans="119:119" x14ac:dyDescent="0.2">
      <c r="DO59395" s="303" t="s">
        <v>232</v>
      </c>
    </row>
    <row r="59396" spans="119:119" x14ac:dyDescent="0.2">
      <c r="DO59396" s="303" t="s">
        <v>232</v>
      </c>
    </row>
    <row r="59397" spans="119:119" x14ac:dyDescent="0.2">
      <c r="DO59397" s="303" t="s">
        <v>232</v>
      </c>
    </row>
    <row r="59398" spans="119:119" x14ac:dyDescent="0.2">
      <c r="DO59398" s="303" t="s">
        <v>232</v>
      </c>
    </row>
    <row r="59399" spans="119:119" x14ac:dyDescent="0.2">
      <c r="DO59399" s="303" t="s">
        <v>232</v>
      </c>
    </row>
    <row r="59400" spans="119:119" x14ac:dyDescent="0.2">
      <c r="DO59400" s="303" t="s">
        <v>232</v>
      </c>
    </row>
    <row r="59401" spans="119:119" x14ac:dyDescent="0.2">
      <c r="DO59401" s="303" t="s">
        <v>232</v>
      </c>
    </row>
    <row r="59402" spans="119:119" x14ac:dyDescent="0.2">
      <c r="DO59402" s="303" t="s">
        <v>232</v>
      </c>
    </row>
    <row r="59403" spans="119:119" x14ac:dyDescent="0.2">
      <c r="DO59403" s="303" t="s">
        <v>232</v>
      </c>
    </row>
    <row r="59404" spans="119:119" x14ac:dyDescent="0.2">
      <c r="DO59404" s="303" t="s">
        <v>232</v>
      </c>
    </row>
    <row r="59405" spans="119:119" x14ac:dyDescent="0.2">
      <c r="DO59405" s="303" t="s">
        <v>232</v>
      </c>
    </row>
    <row r="59406" spans="119:119" x14ac:dyDescent="0.2">
      <c r="DO59406" s="303" t="s">
        <v>232</v>
      </c>
    </row>
    <row r="59407" spans="119:119" x14ac:dyDescent="0.2">
      <c r="DO59407" s="303" t="s">
        <v>232</v>
      </c>
    </row>
    <row r="59408" spans="119:119" x14ac:dyDescent="0.2">
      <c r="DO59408" s="303" t="s">
        <v>232</v>
      </c>
    </row>
    <row r="59409" spans="119:119" x14ac:dyDescent="0.2">
      <c r="DO59409" s="303" t="s">
        <v>232</v>
      </c>
    </row>
    <row r="59410" spans="119:119" x14ac:dyDescent="0.2">
      <c r="DO59410" s="303" t="s">
        <v>232</v>
      </c>
    </row>
    <row r="59411" spans="119:119" x14ac:dyDescent="0.2">
      <c r="DO59411" s="303" t="s">
        <v>232</v>
      </c>
    </row>
    <row r="59412" spans="119:119" x14ac:dyDescent="0.2">
      <c r="DO59412" s="303" t="s">
        <v>232</v>
      </c>
    </row>
    <row r="59413" spans="119:119" x14ac:dyDescent="0.2">
      <c r="DO59413" s="303" t="s">
        <v>232</v>
      </c>
    </row>
    <row r="59414" spans="119:119" x14ac:dyDescent="0.2">
      <c r="DO59414" s="303" t="s">
        <v>232</v>
      </c>
    </row>
    <row r="59415" spans="119:119" x14ac:dyDescent="0.2">
      <c r="DO59415" s="303" t="s">
        <v>232</v>
      </c>
    </row>
    <row r="59416" spans="119:119" x14ac:dyDescent="0.2">
      <c r="DO59416" s="303" t="s">
        <v>232</v>
      </c>
    </row>
    <row r="59417" spans="119:119" x14ac:dyDescent="0.2">
      <c r="DO59417" s="303" t="s">
        <v>232</v>
      </c>
    </row>
    <row r="59418" spans="119:119" x14ac:dyDescent="0.2">
      <c r="DO59418" s="303" t="s">
        <v>232</v>
      </c>
    </row>
    <row r="59419" spans="119:119" x14ac:dyDescent="0.2">
      <c r="DO59419" s="303" t="s">
        <v>232</v>
      </c>
    </row>
    <row r="59420" spans="119:119" x14ac:dyDescent="0.2">
      <c r="DO59420" s="303" t="s">
        <v>232</v>
      </c>
    </row>
    <row r="59421" spans="119:119" x14ac:dyDescent="0.2">
      <c r="DO59421" s="303" t="s">
        <v>232</v>
      </c>
    </row>
    <row r="59422" spans="119:119" x14ac:dyDescent="0.2">
      <c r="DO59422" s="303" t="s">
        <v>232</v>
      </c>
    </row>
    <row r="59423" spans="119:119" x14ac:dyDescent="0.2">
      <c r="DO59423" s="303" t="s">
        <v>232</v>
      </c>
    </row>
    <row r="59424" spans="119:119" x14ac:dyDescent="0.2">
      <c r="DO59424" s="303" t="s">
        <v>232</v>
      </c>
    </row>
    <row r="59425" spans="119:119" x14ac:dyDescent="0.2">
      <c r="DO59425" s="303" t="s">
        <v>232</v>
      </c>
    </row>
    <row r="59426" spans="119:119" x14ac:dyDescent="0.2">
      <c r="DO59426" s="303" t="s">
        <v>232</v>
      </c>
    </row>
    <row r="59427" spans="119:119" x14ac:dyDescent="0.2">
      <c r="DO59427" s="303" t="s">
        <v>232</v>
      </c>
    </row>
    <row r="59428" spans="119:119" x14ac:dyDescent="0.2">
      <c r="DO59428" s="303" t="s">
        <v>232</v>
      </c>
    </row>
    <row r="59429" spans="119:119" x14ac:dyDescent="0.2">
      <c r="DO59429" s="303" t="s">
        <v>232</v>
      </c>
    </row>
    <row r="59430" spans="119:119" x14ac:dyDescent="0.2">
      <c r="DO59430" s="303" t="s">
        <v>232</v>
      </c>
    </row>
    <row r="59431" spans="119:119" x14ac:dyDescent="0.2">
      <c r="DO59431" s="303" t="s">
        <v>232</v>
      </c>
    </row>
    <row r="59432" spans="119:119" x14ac:dyDescent="0.2">
      <c r="DO59432" s="303" t="s">
        <v>232</v>
      </c>
    </row>
    <row r="59433" spans="119:119" x14ac:dyDescent="0.2">
      <c r="DO59433" s="303" t="s">
        <v>232</v>
      </c>
    </row>
    <row r="59434" spans="119:119" x14ac:dyDescent="0.2">
      <c r="DO59434" s="303" t="s">
        <v>232</v>
      </c>
    </row>
    <row r="59435" spans="119:119" x14ac:dyDescent="0.2">
      <c r="DO59435" s="303" t="s">
        <v>232</v>
      </c>
    </row>
    <row r="59436" spans="119:119" x14ac:dyDescent="0.2">
      <c r="DO59436" s="303" t="s">
        <v>232</v>
      </c>
    </row>
    <row r="59437" spans="119:119" x14ac:dyDescent="0.2">
      <c r="DO59437" s="303" t="s">
        <v>232</v>
      </c>
    </row>
    <row r="59438" spans="119:119" x14ac:dyDescent="0.2">
      <c r="DO59438" s="303" t="s">
        <v>232</v>
      </c>
    </row>
    <row r="59439" spans="119:119" x14ac:dyDescent="0.2">
      <c r="DO59439" s="303" t="s">
        <v>232</v>
      </c>
    </row>
    <row r="59440" spans="119:119" x14ac:dyDescent="0.2">
      <c r="DO59440" s="303" t="s">
        <v>232</v>
      </c>
    </row>
    <row r="59441" spans="119:119" x14ac:dyDescent="0.2">
      <c r="DO59441" s="303" t="s">
        <v>232</v>
      </c>
    </row>
    <row r="59442" spans="119:119" x14ac:dyDescent="0.2">
      <c r="DO59442" s="303" t="s">
        <v>232</v>
      </c>
    </row>
    <row r="59443" spans="119:119" x14ac:dyDescent="0.2">
      <c r="DO59443" s="303" t="s">
        <v>232</v>
      </c>
    </row>
    <row r="59444" spans="119:119" x14ac:dyDescent="0.2">
      <c r="DO59444" s="303" t="s">
        <v>232</v>
      </c>
    </row>
    <row r="59445" spans="119:119" x14ac:dyDescent="0.2">
      <c r="DO59445" s="303" t="s">
        <v>232</v>
      </c>
    </row>
    <row r="59446" spans="119:119" x14ac:dyDescent="0.2">
      <c r="DO59446" s="303" t="s">
        <v>232</v>
      </c>
    </row>
    <row r="59447" spans="119:119" x14ac:dyDescent="0.2">
      <c r="DO59447" s="303" t="s">
        <v>232</v>
      </c>
    </row>
    <row r="59448" spans="119:119" x14ac:dyDescent="0.2">
      <c r="DO59448" s="303" t="s">
        <v>232</v>
      </c>
    </row>
    <row r="59449" spans="119:119" x14ac:dyDescent="0.2">
      <c r="DO59449" s="303" t="s">
        <v>232</v>
      </c>
    </row>
    <row r="59450" spans="119:119" x14ac:dyDescent="0.2">
      <c r="DO59450" s="303" t="s">
        <v>232</v>
      </c>
    </row>
    <row r="59451" spans="119:119" x14ac:dyDescent="0.2">
      <c r="DO59451" s="303" t="s">
        <v>232</v>
      </c>
    </row>
    <row r="59452" spans="119:119" x14ac:dyDescent="0.2">
      <c r="DO59452" s="303" t="s">
        <v>232</v>
      </c>
    </row>
    <row r="59453" spans="119:119" x14ac:dyDescent="0.2">
      <c r="DO59453" s="303" t="s">
        <v>232</v>
      </c>
    </row>
    <row r="59454" spans="119:119" x14ac:dyDescent="0.2">
      <c r="DO59454" s="303" t="s">
        <v>232</v>
      </c>
    </row>
    <row r="59455" spans="119:119" x14ac:dyDescent="0.2">
      <c r="DO59455" s="303" t="s">
        <v>232</v>
      </c>
    </row>
    <row r="59456" spans="119:119" x14ac:dyDescent="0.2">
      <c r="DO59456" s="303" t="s">
        <v>232</v>
      </c>
    </row>
    <row r="59457" spans="119:119" x14ac:dyDescent="0.2">
      <c r="DO59457" s="303" t="s">
        <v>232</v>
      </c>
    </row>
    <row r="59458" spans="119:119" x14ac:dyDescent="0.2">
      <c r="DO59458" s="303" t="s">
        <v>232</v>
      </c>
    </row>
    <row r="59459" spans="119:119" x14ac:dyDescent="0.2">
      <c r="DO59459" s="303" t="s">
        <v>232</v>
      </c>
    </row>
    <row r="59460" spans="119:119" x14ac:dyDescent="0.2">
      <c r="DO59460" s="303" t="s">
        <v>232</v>
      </c>
    </row>
    <row r="59461" spans="119:119" x14ac:dyDescent="0.2">
      <c r="DO59461" s="303" t="s">
        <v>232</v>
      </c>
    </row>
    <row r="59462" spans="119:119" x14ac:dyDescent="0.2">
      <c r="DO59462" s="303" t="s">
        <v>232</v>
      </c>
    </row>
    <row r="59463" spans="119:119" x14ac:dyDescent="0.2">
      <c r="DO59463" s="303" t="s">
        <v>232</v>
      </c>
    </row>
    <row r="59464" spans="119:119" x14ac:dyDescent="0.2">
      <c r="DO59464" s="303" t="s">
        <v>232</v>
      </c>
    </row>
    <row r="59465" spans="119:119" x14ac:dyDescent="0.2">
      <c r="DO59465" s="303" t="s">
        <v>232</v>
      </c>
    </row>
    <row r="59466" spans="119:119" x14ac:dyDescent="0.2">
      <c r="DO59466" s="303" t="s">
        <v>232</v>
      </c>
    </row>
    <row r="59467" spans="119:119" x14ac:dyDescent="0.2">
      <c r="DO59467" s="303" t="s">
        <v>232</v>
      </c>
    </row>
    <row r="59468" spans="119:119" x14ac:dyDescent="0.2">
      <c r="DO59468" s="303" t="s">
        <v>232</v>
      </c>
    </row>
    <row r="59469" spans="119:119" x14ac:dyDescent="0.2">
      <c r="DO59469" s="303" t="s">
        <v>232</v>
      </c>
    </row>
    <row r="59470" spans="119:119" x14ac:dyDescent="0.2">
      <c r="DO59470" s="303" t="s">
        <v>232</v>
      </c>
    </row>
    <row r="59471" spans="119:119" x14ac:dyDescent="0.2">
      <c r="DO59471" s="303" t="s">
        <v>232</v>
      </c>
    </row>
    <row r="59472" spans="119:119" x14ac:dyDescent="0.2">
      <c r="DO59472" s="303" t="s">
        <v>232</v>
      </c>
    </row>
    <row r="59473" spans="119:119" x14ac:dyDescent="0.2">
      <c r="DO59473" s="303" t="s">
        <v>232</v>
      </c>
    </row>
    <row r="59474" spans="119:119" x14ac:dyDescent="0.2">
      <c r="DO59474" s="303" t="s">
        <v>232</v>
      </c>
    </row>
    <row r="59475" spans="119:119" x14ac:dyDescent="0.2">
      <c r="DO59475" s="303" t="s">
        <v>232</v>
      </c>
    </row>
    <row r="59476" spans="119:119" x14ac:dyDescent="0.2">
      <c r="DO59476" s="303" t="s">
        <v>232</v>
      </c>
    </row>
    <row r="59477" spans="119:119" x14ac:dyDescent="0.2">
      <c r="DO59477" s="303" t="s">
        <v>232</v>
      </c>
    </row>
    <row r="59478" spans="119:119" x14ac:dyDescent="0.2">
      <c r="DO59478" s="303" t="s">
        <v>232</v>
      </c>
    </row>
    <row r="59479" spans="119:119" x14ac:dyDescent="0.2">
      <c r="DO59479" s="303" t="s">
        <v>232</v>
      </c>
    </row>
    <row r="59480" spans="119:119" x14ac:dyDescent="0.2">
      <c r="DO59480" s="303" t="s">
        <v>232</v>
      </c>
    </row>
    <row r="59481" spans="119:119" x14ac:dyDescent="0.2">
      <c r="DO59481" s="303" t="s">
        <v>232</v>
      </c>
    </row>
    <row r="59482" spans="119:119" x14ac:dyDescent="0.2">
      <c r="DO59482" s="303" t="s">
        <v>232</v>
      </c>
    </row>
    <row r="59483" spans="119:119" x14ac:dyDescent="0.2">
      <c r="DO59483" s="303" t="s">
        <v>232</v>
      </c>
    </row>
    <row r="59484" spans="119:119" x14ac:dyDescent="0.2">
      <c r="DO59484" s="303" t="s">
        <v>232</v>
      </c>
    </row>
    <row r="59485" spans="119:119" x14ac:dyDescent="0.2">
      <c r="DO59485" s="303" t="s">
        <v>232</v>
      </c>
    </row>
    <row r="59486" spans="119:119" x14ac:dyDescent="0.2">
      <c r="DO59486" s="303" t="s">
        <v>232</v>
      </c>
    </row>
    <row r="59487" spans="119:119" x14ac:dyDescent="0.2">
      <c r="DO59487" s="303" t="s">
        <v>232</v>
      </c>
    </row>
    <row r="59488" spans="119:119" x14ac:dyDescent="0.2">
      <c r="DO59488" s="303" t="s">
        <v>232</v>
      </c>
    </row>
    <row r="59489" spans="119:119" x14ac:dyDescent="0.2">
      <c r="DO59489" s="303" t="s">
        <v>232</v>
      </c>
    </row>
    <row r="59490" spans="119:119" x14ac:dyDescent="0.2">
      <c r="DO59490" s="303" t="s">
        <v>232</v>
      </c>
    </row>
    <row r="59491" spans="119:119" x14ac:dyDescent="0.2">
      <c r="DO59491" s="303" t="s">
        <v>232</v>
      </c>
    </row>
    <row r="59492" spans="119:119" x14ac:dyDescent="0.2">
      <c r="DO59492" s="303" t="s">
        <v>232</v>
      </c>
    </row>
    <row r="59493" spans="119:119" x14ac:dyDescent="0.2">
      <c r="DO59493" s="303" t="s">
        <v>232</v>
      </c>
    </row>
    <row r="59494" spans="119:119" x14ac:dyDescent="0.2">
      <c r="DO59494" s="303" t="s">
        <v>232</v>
      </c>
    </row>
    <row r="59495" spans="119:119" x14ac:dyDescent="0.2">
      <c r="DO59495" s="303" t="s">
        <v>232</v>
      </c>
    </row>
    <row r="59496" spans="119:119" x14ac:dyDescent="0.2">
      <c r="DO59496" s="303" t="s">
        <v>232</v>
      </c>
    </row>
    <row r="59497" spans="119:119" x14ac:dyDescent="0.2">
      <c r="DO59497" s="303" t="s">
        <v>232</v>
      </c>
    </row>
    <row r="59498" spans="119:119" x14ac:dyDescent="0.2">
      <c r="DO59498" s="303" t="s">
        <v>232</v>
      </c>
    </row>
    <row r="59499" spans="119:119" x14ac:dyDescent="0.2">
      <c r="DO59499" s="303" t="s">
        <v>232</v>
      </c>
    </row>
    <row r="59500" spans="119:119" x14ac:dyDescent="0.2">
      <c r="DO59500" s="303" t="s">
        <v>232</v>
      </c>
    </row>
    <row r="59501" spans="119:119" x14ac:dyDescent="0.2">
      <c r="DO59501" s="303" t="s">
        <v>232</v>
      </c>
    </row>
    <row r="59502" spans="119:119" x14ac:dyDescent="0.2">
      <c r="DO59502" s="303" t="s">
        <v>232</v>
      </c>
    </row>
    <row r="59503" spans="119:119" x14ac:dyDescent="0.2">
      <c r="DO59503" s="303" t="s">
        <v>232</v>
      </c>
    </row>
    <row r="59504" spans="119:119" x14ac:dyDescent="0.2">
      <c r="DO59504" s="303" t="s">
        <v>232</v>
      </c>
    </row>
    <row r="59505" spans="119:119" x14ac:dyDescent="0.2">
      <c r="DO59505" s="303" t="s">
        <v>232</v>
      </c>
    </row>
    <row r="59506" spans="119:119" x14ac:dyDescent="0.2">
      <c r="DO59506" s="303" t="s">
        <v>232</v>
      </c>
    </row>
    <row r="59507" spans="119:119" x14ac:dyDescent="0.2">
      <c r="DO59507" s="303" t="s">
        <v>232</v>
      </c>
    </row>
    <row r="59508" spans="119:119" x14ac:dyDescent="0.2">
      <c r="DO59508" s="303" t="s">
        <v>232</v>
      </c>
    </row>
    <row r="59509" spans="119:119" x14ac:dyDescent="0.2">
      <c r="DO59509" s="303" t="s">
        <v>232</v>
      </c>
    </row>
    <row r="59510" spans="119:119" x14ac:dyDescent="0.2">
      <c r="DO59510" s="303" t="s">
        <v>232</v>
      </c>
    </row>
    <row r="59511" spans="119:119" x14ac:dyDescent="0.2">
      <c r="DO59511" s="303" t="s">
        <v>232</v>
      </c>
    </row>
    <row r="59512" spans="119:119" x14ac:dyDescent="0.2">
      <c r="DO59512" s="303" t="s">
        <v>232</v>
      </c>
    </row>
    <row r="59513" spans="119:119" x14ac:dyDescent="0.2">
      <c r="DO59513" s="303" t="s">
        <v>232</v>
      </c>
    </row>
    <row r="59514" spans="119:119" x14ac:dyDescent="0.2">
      <c r="DO59514" s="303" t="s">
        <v>232</v>
      </c>
    </row>
    <row r="59515" spans="119:119" x14ac:dyDescent="0.2">
      <c r="DO59515" s="303" t="s">
        <v>232</v>
      </c>
    </row>
    <row r="59516" spans="119:119" x14ac:dyDescent="0.2">
      <c r="DO59516" s="303" t="s">
        <v>232</v>
      </c>
    </row>
    <row r="59517" spans="119:119" x14ac:dyDescent="0.2">
      <c r="DO59517" s="303" t="s">
        <v>232</v>
      </c>
    </row>
    <row r="59518" spans="119:119" x14ac:dyDescent="0.2">
      <c r="DO59518" s="303" t="s">
        <v>232</v>
      </c>
    </row>
    <row r="59519" spans="119:119" x14ac:dyDescent="0.2">
      <c r="DO59519" s="303" t="s">
        <v>232</v>
      </c>
    </row>
    <row r="59520" spans="119:119" x14ac:dyDescent="0.2">
      <c r="DO59520" s="303" t="s">
        <v>232</v>
      </c>
    </row>
    <row r="59521" spans="119:119" x14ac:dyDescent="0.2">
      <c r="DO59521" s="303" t="s">
        <v>232</v>
      </c>
    </row>
    <row r="59522" spans="119:119" x14ac:dyDescent="0.2">
      <c r="DO59522" s="303" t="s">
        <v>232</v>
      </c>
    </row>
    <row r="59523" spans="119:119" x14ac:dyDescent="0.2">
      <c r="DO59523" s="303" t="s">
        <v>232</v>
      </c>
    </row>
    <row r="59524" spans="119:119" x14ac:dyDescent="0.2">
      <c r="DO59524" s="303" t="s">
        <v>232</v>
      </c>
    </row>
    <row r="59525" spans="119:119" x14ac:dyDescent="0.2">
      <c r="DO59525" s="303" t="s">
        <v>232</v>
      </c>
    </row>
    <row r="59526" spans="119:119" x14ac:dyDescent="0.2">
      <c r="DO59526" s="303" t="s">
        <v>232</v>
      </c>
    </row>
    <row r="59527" spans="119:119" x14ac:dyDescent="0.2">
      <c r="DO59527" s="303" t="s">
        <v>232</v>
      </c>
    </row>
    <row r="59528" spans="119:119" x14ac:dyDescent="0.2">
      <c r="DO59528" s="303" t="s">
        <v>232</v>
      </c>
    </row>
    <row r="59529" spans="119:119" x14ac:dyDescent="0.2">
      <c r="DO59529" s="303" t="s">
        <v>232</v>
      </c>
    </row>
    <row r="59530" spans="119:119" x14ac:dyDescent="0.2">
      <c r="DO59530" s="303" t="s">
        <v>232</v>
      </c>
    </row>
    <row r="59531" spans="119:119" x14ac:dyDescent="0.2">
      <c r="DO59531" s="303" t="s">
        <v>232</v>
      </c>
    </row>
    <row r="59532" spans="119:119" x14ac:dyDescent="0.2">
      <c r="DO59532" s="303" t="s">
        <v>232</v>
      </c>
    </row>
    <row r="59533" spans="119:119" x14ac:dyDescent="0.2">
      <c r="DO59533" s="303" t="s">
        <v>232</v>
      </c>
    </row>
    <row r="59534" spans="119:119" x14ac:dyDescent="0.2">
      <c r="DO59534" s="303" t="s">
        <v>232</v>
      </c>
    </row>
    <row r="59535" spans="119:119" x14ac:dyDescent="0.2">
      <c r="DO59535" s="303" t="s">
        <v>232</v>
      </c>
    </row>
    <row r="59536" spans="119:119" x14ac:dyDescent="0.2">
      <c r="DO59536" s="303" t="s">
        <v>232</v>
      </c>
    </row>
    <row r="59537" spans="119:119" x14ac:dyDescent="0.2">
      <c r="DO59537" s="303" t="s">
        <v>232</v>
      </c>
    </row>
    <row r="59538" spans="119:119" x14ac:dyDescent="0.2">
      <c r="DO59538" s="303" t="s">
        <v>232</v>
      </c>
    </row>
    <row r="59539" spans="119:119" x14ac:dyDescent="0.2">
      <c r="DO59539" s="303" t="s">
        <v>232</v>
      </c>
    </row>
    <row r="59540" spans="119:119" x14ac:dyDescent="0.2">
      <c r="DO59540" s="303" t="s">
        <v>232</v>
      </c>
    </row>
    <row r="59541" spans="119:119" x14ac:dyDescent="0.2">
      <c r="DO59541" s="303" t="s">
        <v>232</v>
      </c>
    </row>
    <row r="59542" spans="119:119" x14ac:dyDescent="0.2">
      <c r="DO59542" s="303" t="s">
        <v>232</v>
      </c>
    </row>
    <row r="59543" spans="119:119" x14ac:dyDescent="0.2">
      <c r="DO59543" s="303" t="s">
        <v>232</v>
      </c>
    </row>
    <row r="59544" spans="119:119" x14ac:dyDescent="0.2">
      <c r="DO59544" s="303" t="s">
        <v>232</v>
      </c>
    </row>
    <row r="59545" spans="119:119" x14ac:dyDescent="0.2">
      <c r="DO59545" s="303" t="s">
        <v>232</v>
      </c>
    </row>
    <row r="59546" spans="119:119" x14ac:dyDescent="0.2">
      <c r="DO59546" s="303" t="s">
        <v>232</v>
      </c>
    </row>
    <row r="59547" spans="119:119" x14ac:dyDescent="0.2">
      <c r="DO59547" s="303" t="s">
        <v>232</v>
      </c>
    </row>
    <row r="59548" spans="119:119" x14ac:dyDescent="0.2">
      <c r="DO59548" s="303" t="s">
        <v>232</v>
      </c>
    </row>
    <row r="59549" spans="119:119" x14ac:dyDescent="0.2">
      <c r="DO59549" s="303" t="s">
        <v>232</v>
      </c>
    </row>
    <row r="59550" spans="119:119" x14ac:dyDescent="0.2">
      <c r="DO59550" s="303" t="s">
        <v>232</v>
      </c>
    </row>
    <row r="59551" spans="119:119" x14ac:dyDescent="0.2">
      <c r="DO59551" s="303" t="s">
        <v>232</v>
      </c>
    </row>
    <row r="59552" spans="119:119" x14ac:dyDescent="0.2">
      <c r="DO59552" s="303" t="s">
        <v>232</v>
      </c>
    </row>
    <row r="59553" spans="119:119" x14ac:dyDescent="0.2">
      <c r="DO59553" s="303" t="s">
        <v>232</v>
      </c>
    </row>
    <row r="59554" spans="119:119" x14ac:dyDescent="0.2">
      <c r="DO59554" s="303" t="s">
        <v>232</v>
      </c>
    </row>
    <row r="59555" spans="119:119" x14ac:dyDescent="0.2">
      <c r="DO59555" s="303" t="s">
        <v>232</v>
      </c>
    </row>
    <row r="59556" spans="119:119" x14ac:dyDescent="0.2">
      <c r="DO59556" s="303" t="s">
        <v>232</v>
      </c>
    </row>
    <row r="59557" spans="119:119" x14ac:dyDescent="0.2">
      <c r="DO59557" s="303" t="s">
        <v>232</v>
      </c>
    </row>
    <row r="59558" spans="119:119" x14ac:dyDescent="0.2">
      <c r="DO59558" s="303" t="s">
        <v>232</v>
      </c>
    </row>
    <row r="59559" spans="119:119" x14ac:dyDescent="0.2">
      <c r="DO59559" s="303" t="s">
        <v>232</v>
      </c>
    </row>
    <row r="59560" spans="119:119" x14ac:dyDescent="0.2">
      <c r="DO59560" s="303" t="s">
        <v>232</v>
      </c>
    </row>
    <row r="59561" spans="119:119" x14ac:dyDescent="0.2">
      <c r="DO59561" s="303" t="s">
        <v>232</v>
      </c>
    </row>
    <row r="59562" spans="119:119" x14ac:dyDescent="0.2">
      <c r="DO59562" s="303" t="s">
        <v>232</v>
      </c>
    </row>
    <row r="59563" spans="119:119" x14ac:dyDescent="0.2">
      <c r="DO59563" s="303" t="s">
        <v>232</v>
      </c>
    </row>
    <row r="59564" spans="119:119" x14ac:dyDescent="0.2">
      <c r="DO59564" s="303" t="s">
        <v>232</v>
      </c>
    </row>
    <row r="59565" spans="119:119" x14ac:dyDescent="0.2">
      <c r="DO59565" s="303" t="s">
        <v>232</v>
      </c>
    </row>
    <row r="59566" spans="119:119" x14ac:dyDescent="0.2">
      <c r="DO59566" s="303" t="s">
        <v>232</v>
      </c>
    </row>
    <row r="59567" spans="119:119" x14ac:dyDescent="0.2">
      <c r="DO59567" s="303" t="s">
        <v>232</v>
      </c>
    </row>
    <row r="59568" spans="119:119" x14ac:dyDescent="0.2">
      <c r="DO59568" s="303" t="s">
        <v>232</v>
      </c>
    </row>
    <row r="59569" spans="119:119" x14ac:dyDescent="0.2">
      <c r="DO59569" s="303" t="s">
        <v>232</v>
      </c>
    </row>
    <row r="59570" spans="119:119" x14ac:dyDescent="0.2">
      <c r="DO59570" s="303" t="s">
        <v>232</v>
      </c>
    </row>
    <row r="59571" spans="119:119" x14ac:dyDescent="0.2">
      <c r="DO59571" s="303" t="s">
        <v>232</v>
      </c>
    </row>
    <row r="59572" spans="119:119" x14ac:dyDescent="0.2">
      <c r="DO59572" s="303" t="s">
        <v>232</v>
      </c>
    </row>
    <row r="59573" spans="119:119" x14ac:dyDescent="0.2">
      <c r="DO59573" s="303" t="s">
        <v>232</v>
      </c>
    </row>
    <row r="59574" spans="119:119" x14ac:dyDescent="0.2">
      <c r="DO59574" s="303" t="s">
        <v>232</v>
      </c>
    </row>
    <row r="59575" spans="119:119" x14ac:dyDescent="0.2">
      <c r="DO59575" s="303" t="s">
        <v>232</v>
      </c>
    </row>
    <row r="59576" spans="119:119" x14ac:dyDescent="0.2">
      <c r="DO59576" s="303" t="s">
        <v>232</v>
      </c>
    </row>
    <row r="59577" spans="119:119" x14ac:dyDescent="0.2">
      <c r="DO59577" s="303" t="s">
        <v>232</v>
      </c>
    </row>
    <row r="59578" spans="119:119" x14ac:dyDescent="0.2">
      <c r="DO59578" s="303" t="s">
        <v>232</v>
      </c>
    </row>
    <row r="59579" spans="119:119" x14ac:dyDescent="0.2">
      <c r="DO59579" s="303" t="s">
        <v>232</v>
      </c>
    </row>
    <row r="59580" spans="119:119" x14ac:dyDescent="0.2">
      <c r="DO59580" s="303" t="s">
        <v>232</v>
      </c>
    </row>
    <row r="59581" spans="119:119" x14ac:dyDescent="0.2">
      <c r="DO59581" s="303" t="s">
        <v>232</v>
      </c>
    </row>
    <row r="59582" spans="119:119" x14ac:dyDescent="0.2">
      <c r="DO59582" s="303" t="s">
        <v>232</v>
      </c>
    </row>
    <row r="59583" spans="119:119" x14ac:dyDescent="0.2">
      <c r="DO59583" s="303" t="s">
        <v>232</v>
      </c>
    </row>
    <row r="59584" spans="119:119" x14ac:dyDescent="0.2">
      <c r="DO59584" s="303" t="s">
        <v>232</v>
      </c>
    </row>
    <row r="59585" spans="119:119" x14ac:dyDescent="0.2">
      <c r="DO59585" s="303" t="s">
        <v>232</v>
      </c>
    </row>
    <row r="59586" spans="119:119" x14ac:dyDescent="0.2">
      <c r="DO59586" s="303" t="s">
        <v>232</v>
      </c>
    </row>
    <row r="59587" spans="119:119" x14ac:dyDescent="0.2">
      <c r="DO59587" s="303" t="s">
        <v>232</v>
      </c>
    </row>
    <row r="59588" spans="119:119" x14ac:dyDescent="0.2">
      <c r="DO59588" s="303" t="s">
        <v>232</v>
      </c>
    </row>
    <row r="59589" spans="119:119" x14ac:dyDescent="0.2">
      <c r="DO59589" s="303" t="s">
        <v>232</v>
      </c>
    </row>
    <row r="59590" spans="119:119" x14ac:dyDescent="0.2">
      <c r="DO59590" s="303" t="s">
        <v>232</v>
      </c>
    </row>
    <row r="59591" spans="119:119" x14ac:dyDescent="0.2">
      <c r="DO59591" s="303" t="s">
        <v>232</v>
      </c>
    </row>
    <row r="59592" spans="119:119" x14ac:dyDescent="0.2">
      <c r="DO59592" s="303" t="s">
        <v>232</v>
      </c>
    </row>
    <row r="59593" spans="119:119" x14ac:dyDescent="0.2">
      <c r="DO59593" s="303" t="s">
        <v>232</v>
      </c>
    </row>
    <row r="59594" spans="119:119" x14ac:dyDescent="0.2">
      <c r="DO59594" s="303" t="s">
        <v>232</v>
      </c>
    </row>
    <row r="59595" spans="119:119" x14ac:dyDescent="0.2">
      <c r="DO59595" s="303" t="s">
        <v>232</v>
      </c>
    </row>
    <row r="59596" spans="119:119" x14ac:dyDescent="0.2">
      <c r="DO59596" s="303" t="s">
        <v>232</v>
      </c>
    </row>
    <row r="59597" spans="119:119" x14ac:dyDescent="0.2">
      <c r="DO59597" s="303" t="s">
        <v>232</v>
      </c>
    </row>
    <row r="59598" spans="119:119" x14ac:dyDescent="0.2">
      <c r="DO59598" s="303" t="s">
        <v>232</v>
      </c>
    </row>
    <row r="59599" spans="119:119" x14ac:dyDescent="0.2">
      <c r="DO59599" s="303" t="s">
        <v>232</v>
      </c>
    </row>
    <row r="59600" spans="119:119" x14ac:dyDescent="0.2">
      <c r="DO59600" s="303" t="s">
        <v>232</v>
      </c>
    </row>
    <row r="59601" spans="119:119" x14ac:dyDescent="0.2">
      <c r="DO59601" s="303" t="s">
        <v>232</v>
      </c>
    </row>
    <row r="59602" spans="119:119" x14ac:dyDescent="0.2">
      <c r="DO59602" s="303" t="s">
        <v>232</v>
      </c>
    </row>
    <row r="59603" spans="119:119" x14ac:dyDescent="0.2">
      <c r="DO59603" s="303" t="s">
        <v>232</v>
      </c>
    </row>
    <row r="59604" spans="119:119" x14ac:dyDescent="0.2">
      <c r="DO59604" s="303" t="s">
        <v>232</v>
      </c>
    </row>
    <row r="59605" spans="119:119" x14ac:dyDescent="0.2">
      <c r="DO59605" s="303" t="s">
        <v>232</v>
      </c>
    </row>
    <row r="59606" spans="119:119" x14ac:dyDescent="0.2">
      <c r="DO59606" s="303" t="s">
        <v>232</v>
      </c>
    </row>
    <row r="59607" spans="119:119" x14ac:dyDescent="0.2">
      <c r="DO59607" s="303" t="s">
        <v>232</v>
      </c>
    </row>
    <row r="59608" spans="119:119" x14ac:dyDescent="0.2">
      <c r="DO59608" s="303" t="s">
        <v>232</v>
      </c>
    </row>
    <row r="59609" spans="119:119" x14ac:dyDescent="0.2">
      <c r="DO59609" s="303" t="s">
        <v>232</v>
      </c>
    </row>
    <row r="59610" spans="119:119" x14ac:dyDescent="0.2">
      <c r="DO59610" s="303" t="s">
        <v>232</v>
      </c>
    </row>
    <row r="59611" spans="119:119" x14ac:dyDescent="0.2">
      <c r="DO59611" s="303" t="s">
        <v>232</v>
      </c>
    </row>
    <row r="59612" spans="119:119" x14ac:dyDescent="0.2">
      <c r="DO59612" s="303" t="s">
        <v>232</v>
      </c>
    </row>
    <row r="59613" spans="119:119" x14ac:dyDescent="0.2">
      <c r="DO59613" s="303" t="s">
        <v>232</v>
      </c>
    </row>
    <row r="59614" spans="119:119" x14ac:dyDescent="0.2">
      <c r="DO59614" s="303" t="s">
        <v>232</v>
      </c>
    </row>
    <row r="59615" spans="119:119" x14ac:dyDescent="0.2">
      <c r="DO59615" s="303" t="s">
        <v>232</v>
      </c>
    </row>
    <row r="59616" spans="119:119" x14ac:dyDescent="0.2">
      <c r="DO59616" s="303" t="s">
        <v>232</v>
      </c>
    </row>
    <row r="59617" spans="119:119" x14ac:dyDescent="0.2">
      <c r="DO59617" s="303" t="s">
        <v>232</v>
      </c>
    </row>
    <row r="59618" spans="119:119" x14ac:dyDescent="0.2">
      <c r="DO59618" s="303" t="s">
        <v>232</v>
      </c>
    </row>
    <row r="59619" spans="119:119" x14ac:dyDescent="0.2">
      <c r="DO59619" s="303" t="s">
        <v>232</v>
      </c>
    </row>
    <row r="59620" spans="119:119" x14ac:dyDescent="0.2">
      <c r="DO59620" s="303" t="s">
        <v>232</v>
      </c>
    </row>
    <row r="59621" spans="119:119" x14ac:dyDescent="0.2">
      <c r="DO59621" s="303" t="s">
        <v>232</v>
      </c>
    </row>
    <row r="59622" spans="119:119" x14ac:dyDescent="0.2">
      <c r="DO59622" s="303" t="s">
        <v>232</v>
      </c>
    </row>
    <row r="59623" spans="119:119" x14ac:dyDescent="0.2">
      <c r="DO59623" s="303" t="s">
        <v>232</v>
      </c>
    </row>
    <row r="59624" spans="119:119" x14ac:dyDescent="0.2">
      <c r="DO59624" s="303" t="s">
        <v>232</v>
      </c>
    </row>
    <row r="59625" spans="119:119" x14ac:dyDescent="0.2">
      <c r="DO59625" s="303" t="s">
        <v>232</v>
      </c>
    </row>
    <row r="59626" spans="119:119" x14ac:dyDescent="0.2">
      <c r="DO59626" s="303" t="s">
        <v>232</v>
      </c>
    </row>
    <row r="59627" spans="119:119" x14ac:dyDescent="0.2">
      <c r="DO59627" s="303" t="s">
        <v>232</v>
      </c>
    </row>
    <row r="59628" spans="119:119" x14ac:dyDescent="0.2">
      <c r="DO59628" s="303" t="s">
        <v>232</v>
      </c>
    </row>
    <row r="59629" spans="119:119" x14ac:dyDescent="0.2">
      <c r="DO59629" s="303" t="s">
        <v>232</v>
      </c>
    </row>
    <row r="59630" spans="119:119" x14ac:dyDescent="0.2">
      <c r="DO59630" s="303" t="s">
        <v>232</v>
      </c>
    </row>
    <row r="59631" spans="119:119" x14ac:dyDescent="0.2">
      <c r="DO59631" s="303" t="s">
        <v>232</v>
      </c>
    </row>
    <row r="59632" spans="119:119" x14ac:dyDescent="0.2">
      <c r="DO59632" s="303" t="s">
        <v>232</v>
      </c>
    </row>
    <row r="59633" spans="119:119" x14ac:dyDescent="0.2">
      <c r="DO59633" s="303" t="s">
        <v>232</v>
      </c>
    </row>
    <row r="59634" spans="119:119" x14ac:dyDescent="0.2">
      <c r="DO59634" s="303" t="s">
        <v>232</v>
      </c>
    </row>
    <row r="59635" spans="119:119" x14ac:dyDescent="0.2">
      <c r="DO59635" s="303" t="s">
        <v>232</v>
      </c>
    </row>
    <row r="59636" spans="119:119" x14ac:dyDescent="0.2">
      <c r="DO59636" s="303" t="s">
        <v>232</v>
      </c>
    </row>
    <row r="59637" spans="119:119" x14ac:dyDescent="0.2">
      <c r="DO59637" s="303" t="s">
        <v>232</v>
      </c>
    </row>
    <row r="59638" spans="119:119" x14ac:dyDescent="0.2">
      <c r="DO59638" s="303" t="s">
        <v>232</v>
      </c>
    </row>
    <row r="59639" spans="119:119" x14ac:dyDescent="0.2">
      <c r="DO59639" s="303" t="s">
        <v>232</v>
      </c>
    </row>
    <row r="59640" spans="119:119" x14ac:dyDescent="0.2">
      <c r="DO59640" s="303" t="s">
        <v>232</v>
      </c>
    </row>
    <row r="59641" spans="119:119" x14ac:dyDescent="0.2">
      <c r="DO59641" s="303" t="s">
        <v>232</v>
      </c>
    </row>
    <row r="59642" spans="119:119" x14ac:dyDescent="0.2">
      <c r="DO59642" s="303" t="s">
        <v>232</v>
      </c>
    </row>
    <row r="59643" spans="119:119" x14ac:dyDescent="0.2">
      <c r="DO59643" s="303" t="s">
        <v>232</v>
      </c>
    </row>
    <row r="59644" spans="119:119" x14ac:dyDescent="0.2">
      <c r="DO59644" s="303" t="s">
        <v>232</v>
      </c>
    </row>
    <row r="59645" spans="119:119" x14ac:dyDescent="0.2">
      <c r="DO59645" s="303" t="s">
        <v>232</v>
      </c>
    </row>
    <row r="59646" spans="119:119" x14ac:dyDescent="0.2">
      <c r="DO59646" s="303" t="s">
        <v>232</v>
      </c>
    </row>
    <row r="59647" spans="119:119" x14ac:dyDescent="0.2">
      <c r="DO59647" s="303" t="s">
        <v>232</v>
      </c>
    </row>
    <row r="59648" spans="119:119" x14ac:dyDescent="0.2">
      <c r="DO59648" s="303" t="s">
        <v>232</v>
      </c>
    </row>
    <row r="59649" spans="119:119" x14ac:dyDescent="0.2">
      <c r="DO59649" s="303" t="s">
        <v>232</v>
      </c>
    </row>
    <row r="59650" spans="119:119" x14ac:dyDescent="0.2">
      <c r="DO59650" s="303" t="s">
        <v>232</v>
      </c>
    </row>
    <row r="59651" spans="119:119" x14ac:dyDescent="0.2">
      <c r="DO59651" s="303" t="s">
        <v>232</v>
      </c>
    </row>
    <row r="59652" spans="119:119" x14ac:dyDescent="0.2">
      <c r="DO59652" s="303" t="s">
        <v>232</v>
      </c>
    </row>
    <row r="59653" spans="119:119" x14ac:dyDescent="0.2">
      <c r="DO59653" s="303" t="s">
        <v>232</v>
      </c>
    </row>
    <row r="59654" spans="119:119" x14ac:dyDescent="0.2">
      <c r="DO59654" s="303" t="s">
        <v>232</v>
      </c>
    </row>
    <row r="59655" spans="119:119" x14ac:dyDescent="0.2">
      <c r="DO59655" s="303" t="s">
        <v>232</v>
      </c>
    </row>
    <row r="59656" spans="119:119" x14ac:dyDescent="0.2">
      <c r="DO59656" s="303" t="s">
        <v>232</v>
      </c>
    </row>
    <row r="59657" spans="119:119" x14ac:dyDescent="0.2">
      <c r="DO59657" s="303" t="s">
        <v>232</v>
      </c>
    </row>
    <row r="59658" spans="119:119" x14ac:dyDescent="0.2">
      <c r="DO59658" s="303" t="s">
        <v>232</v>
      </c>
    </row>
    <row r="59659" spans="119:119" x14ac:dyDescent="0.2">
      <c r="DO59659" s="303" t="s">
        <v>232</v>
      </c>
    </row>
    <row r="59660" spans="119:119" x14ac:dyDescent="0.2">
      <c r="DO59660" s="303" t="s">
        <v>232</v>
      </c>
    </row>
    <row r="59661" spans="119:119" x14ac:dyDescent="0.2">
      <c r="DO59661" s="303" t="s">
        <v>232</v>
      </c>
    </row>
    <row r="59662" spans="119:119" x14ac:dyDescent="0.2">
      <c r="DO59662" s="303" t="s">
        <v>232</v>
      </c>
    </row>
    <row r="59663" spans="119:119" x14ac:dyDescent="0.2">
      <c r="DO59663" s="303" t="s">
        <v>232</v>
      </c>
    </row>
    <row r="59664" spans="119:119" x14ac:dyDescent="0.2">
      <c r="DO59664" s="303" t="s">
        <v>232</v>
      </c>
    </row>
    <row r="59665" spans="119:119" x14ac:dyDescent="0.2">
      <c r="DO59665" s="303" t="s">
        <v>232</v>
      </c>
    </row>
    <row r="59666" spans="119:119" x14ac:dyDescent="0.2">
      <c r="DO59666" s="303" t="s">
        <v>232</v>
      </c>
    </row>
    <row r="59667" spans="119:119" x14ac:dyDescent="0.2">
      <c r="DO59667" s="303" t="s">
        <v>232</v>
      </c>
    </row>
    <row r="59668" spans="119:119" x14ac:dyDescent="0.2">
      <c r="DO59668" s="303" t="s">
        <v>232</v>
      </c>
    </row>
    <row r="59669" spans="119:119" x14ac:dyDescent="0.2">
      <c r="DO59669" s="303" t="s">
        <v>232</v>
      </c>
    </row>
    <row r="59670" spans="119:119" x14ac:dyDescent="0.2">
      <c r="DO59670" s="303" t="s">
        <v>232</v>
      </c>
    </row>
    <row r="59671" spans="119:119" x14ac:dyDescent="0.2">
      <c r="DO59671" s="303" t="s">
        <v>232</v>
      </c>
    </row>
    <row r="59672" spans="119:119" x14ac:dyDescent="0.2">
      <c r="DO59672" s="303" t="s">
        <v>232</v>
      </c>
    </row>
    <row r="59673" spans="119:119" x14ac:dyDescent="0.2">
      <c r="DO59673" s="303" t="s">
        <v>232</v>
      </c>
    </row>
    <row r="59674" spans="119:119" x14ac:dyDescent="0.2">
      <c r="DO59674" s="303" t="s">
        <v>232</v>
      </c>
    </row>
    <row r="59675" spans="119:119" x14ac:dyDescent="0.2">
      <c r="DO59675" s="303" t="s">
        <v>232</v>
      </c>
    </row>
    <row r="59676" spans="119:119" x14ac:dyDescent="0.2">
      <c r="DO59676" s="303" t="s">
        <v>232</v>
      </c>
    </row>
    <row r="59677" spans="119:119" x14ac:dyDescent="0.2">
      <c r="DO59677" s="303" t="s">
        <v>232</v>
      </c>
    </row>
    <row r="59678" spans="119:119" x14ac:dyDescent="0.2">
      <c r="DO59678" s="303" t="s">
        <v>232</v>
      </c>
    </row>
    <row r="59679" spans="119:119" x14ac:dyDescent="0.2">
      <c r="DO59679" s="303" t="s">
        <v>232</v>
      </c>
    </row>
    <row r="59680" spans="119:119" x14ac:dyDescent="0.2">
      <c r="DO59680" s="303" t="s">
        <v>232</v>
      </c>
    </row>
    <row r="59681" spans="119:119" x14ac:dyDescent="0.2">
      <c r="DO59681" s="303" t="s">
        <v>232</v>
      </c>
    </row>
    <row r="59682" spans="119:119" x14ac:dyDescent="0.2">
      <c r="DO59682" s="303" t="s">
        <v>232</v>
      </c>
    </row>
    <row r="59683" spans="119:119" x14ac:dyDescent="0.2">
      <c r="DO59683" s="303" t="s">
        <v>232</v>
      </c>
    </row>
    <row r="59684" spans="119:119" x14ac:dyDescent="0.2">
      <c r="DO59684" s="303" t="s">
        <v>232</v>
      </c>
    </row>
    <row r="59685" spans="119:119" x14ac:dyDescent="0.2">
      <c r="DO59685" s="303" t="s">
        <v>232</v>
      </c>
    </row>
    <row r="59686" spans="119:119" x14ac:dyDescent="0.2">
      <c r="DO59686" s="303" t="s">
        <v>232</v>
      </c>
    </row>
    <row r="59687" spans="119:119" x14ac:dyDescent="0.2">
      <c r="DO59687" s="303" t="s">
        <v>232</v>
      </c>
    </row>
    <row r="59688" spans="119:119" x14ac:dyDescent="0.2">
      <c r="DO59688" s="303" t="s">
        <v>232</v>
      </c>
    </row>
    <row r="59689" spans="119:119" x14ac:dyDescent="0.2">
      <c r="DO59689" s="303" t="s">
        <v>232</v>
      </c>
    </row>
    <row r="59690" spans="119:119" x14ac:dyDescent="0.2">
      <c r="DO59690" s="303" t="s">
        <v>232</v>
      </c>
    </row>
    <row r="59691" spans="119:119" x14ac:dyDescent="0.2">
      <c r="DO59691" s="303" t="s">
        <v>232</v>
      </c>
    </row>
    <row r="59692" spans="119:119" x14ac:dyDescent="0.2">
      <c r="DO59692" s="303" t="s">
        <v>232</v>
      </c>
    </row>
    <row r="59693" spans="119:119" x14ac:dyDescent="0.2">
      <c r="DO59693" s="303" t="s">
        <v>232</v>
      </c>
    </row>
    <row r="59694" spans="119:119" x14ac:dyDescent="0.2">
      <c r="DO59694" s="303" t="s">
        <v>232</v>
      </c>
    </row>
    <row r="59695" spans="119:119" x14ac:dyDescent="0.2">
      <c r="DO59695" s="303" t="s">
        <v>232</v>
      </c>
    </row>
    <row r="59696" spans="119:119" x14ac:dyDescent="0.2">
      <c r="DO59696" s="303" t="s">
        <v>232</v>
      </c>
    </row>
    <row r="59697" spans="119:119" x14ac:dyDescent="0.2">
      <c r="DO59697" s="303" t="s">
        <v>232</v>
      </c>
    </row>
    <row r="59698" spans="119:119" x14ac:dyDescent="0.2">
      <c r="DO59698" s="303" t="s">
        <v>232</v>
      </c>
    </row>
    <row r="59699" spans="119:119" x14ac:dyDescent="0.2">
      <c r="DO59699" s="303" t="s">
        <v>232</v>
      </c>
    </row>
    <row r="59700" spans="119:119" x14ac:dyDescent="0.2">
      <c r="DO59700" s="303" t="s">
        <v>232</v>
      </c>
    </row>
    <row r="59701" spans="119:119" x14ac:dyDescent="0.2">
      <c r="DO59701" s="303" t="s">
        <v>232</v>
      </c>
    </row>
    <row r="59702" spans="119:119" x14ac:dyDescent="0.2">
      <c r="DO59702" s="303" t="s">
        <v>232</v>
      </c>
    </row>
    <row r="59703" spans="119:119" x14ac:dyDescent="0.2">
      <c r="DO59703" s="303" t="s">
        <v>232</v>
      </c>
    </row>
    <row r="59704" spans="119:119" x14ac:dyDescent="0.2">
      <c r="DO59704" s="303" t="s">
        <v>232</v>
      </c>
    </row>
    <row r="59705" spans="119:119" x14ac:dyDescent="0.2">
      <c r="DO59705" s="303" t="s">
        <v>232</v>
      </c>
    </row>
    <row r="59706" spans="119:119" x14ac:dyDescent="0.2">
      <c r="DO59706" s="303" t="s">
        <v>232</v>
      </c>
    </row>
    <row r="59707" spans="119:119" x14ac:dyDescent="0.2">
      <c r="DO59707" s="303" t="s">
        <v>232</v>
      </c>
    </row>
    <row r="59708" spans="119:119" x14ac:dyDescent="0.2">
      <c r="DO59708" s="303" t="s">
        <v>232</v>
      </c>
    </row>
    <row r="59709" spans="119:119" x14ac:dyDescent="0.2">
      <c r="DO59709" s="303" t="s">
        <v>232</v>
      </c>
    </row>
    <row r="59710" spans="119:119" x14ac:dyDescent="0.2">
      <c r="DO59710" s="303" t="s">
        <v>232</v>
      </c>
    </row>
    <row r="59711" spans="119:119" x14ac:dyDescent="0.2">
      <c r="DO59711" s="303" t="s">
        <v>232</v>
      </c>
    </row>
    <row r="59712" spans="119:119" x14ac:dyDescent="0.2">
      <c r="DO59712" s="303" t="s">
        <v>232</v>
      </c>
    </row>
    <row r="59713" spans="119:119" x14ac:dyDescent="0.2">
      <c r="DO59713" s="303" t="s">
        <v>232</v>
      </c>
    </row>
    <row r="59714" spans="119:119" x14ac:dyDescent="0.2">
      <c r="DO59714" s="303" t="s">
        <v>232</v>
      </c>
    </row>
    <row r="59715" spans="119:119" x14ac:dyDescent="0.2">
      <c r="DO59715" s="303" t="s">
        <v>232</v>
      </c>
    </row>
    <row r="59716" spans="119:119" x14ac:dyDescent="0.2">
      <c r="DO59716" s="303" t="s">
        <v>232</v>
      </c>
    </row>
    <row r="59717" spans="119:119" x14ac:dyDescent="0.2">
      <c r="DO59717" s="303" t="s">
        <v>232</v>
      </c>
    </row>
    <row r="59718" spans="119:119" x14ac:dyDescent="0.2">
      <c r="DO59718" s="303" t="s">
        <v>232</v>
      </c>
    </row>
    <row r="59719" spans="119:119" x14ac:dyDescent="0.2">
      <c r="DO59719" s="303" t="s">
        <v>232</v>
      </c>
    </row>
    <row r="59720" spans="119:119" x14ac:dyDescent="0.2">
      <c r="DO59720" s="303" t="s">
        <v>232</v>
      </c>
    </row>
    <row r="59721" spans="119:119" x14ac:dyDescent="0.2">
      <c r="DO59721" s="303" t="s">
        <v>232</v>
      </c>
    </row>
    <row r="59722" spans="119:119" x14ac:dyDescent="0.2">
      <c r="DO59722" s="303" t="s">
        <v>232</v>
      </c>
    </row>
    <row r="59723" spans="119:119" x14ac:dyDescent="0.2">
      <c r="DO59723" s="303" t="s">
        <v>232</v>
      </c>
    </row>
    <row r="59724" spans="119:119" x14ac:dyDescent="0.2">
      <c r="DO59724" s="303" t="s">
        <v>232</v>
      </c>
    </row>
    <row r="59725" spans="119:119" x14ac:dyDescent="0.2">
      <c r="DO59725" s="303" t="s">
        <v>232</v>
      </c>
    </row>
    <row r="59726" spans="119:119" x14ac:dyDescent="0.2">
      <c r="DO59726" s="303" t="s">
        <v>232</v>
      </c>
    </row>
    <row r="59727" spans="119:119" x14ac:dyDescent="0.2">
      <c r="DO59727" s="303" t="s">
        <v>232</v>
      </c>
    </row>
    <row r="59728" spans="119:119" x14ac:dyDescent="0.2">
      <c r="DO59728" s="303" t="s">
        <v>232</v>
      </c>
    </row>
    <row r="59729" spans="119:119" x14ac:dyDescent="0.2">
      <c r="DO59729" s="303" t="s">
        <v>232</v>
      </c>
    </row>
    <row r="59730" spans="119:119" x14ac:dyDescent="0.2">
      <c r="DO59730" s="303" t="s">
        <v>232</v>
      </c>
    </row>
    <row r="59731" spans="119:119" x14ac:dyDescent="0.2">
      <c r="DO59731" s="303" t="s">
        <v>232</v>
      </c>
    </row>
    <row r="59732" spans="119:119" x14ac:dyDescent="0.2">
      <c r="DO59732" s="303" t="s">
        <v>232</v>
      </c>
    </row>
    <row r="59733" spans="119:119" x14ac:dyDescent="0.2">
      <c r="DO59733" s="303" t="s">
        <v>232</v>
      </c>
    </row>
    <row r="59734" spans="119:119" x14ac:dyDescent="0.2">
      <c r="DO59734" s="303" t="s">
        <v>232</v>
      </c>
    </row>
    <row r="59735" spans="119:119" x14ac:dyDescent="0.2">
      <c r="DO59735" s="303" t="s">
        <v>232</v>
      </c>
    </row>
    <row r="59736" spans="119:119" x14ac:dyDescent="0.2">
      <c r="DO59736" s="303" t="s">
        <v>232</v>
      </c>
    </row>
    <row r="59737" spans="119:119" x14ac:dyDescent="0.2">
      <c r="DO59737" s="303" t="s">
        <v>232</v>
      </c>
    </row>
    <row r="59738" spans="119:119" x14ac:dyDescent="0.2">
      <c r="DO59738" s="303" t="s">
        <v>232</v>
      </c>
    </row>
    <row r="59739" spans="119:119" x14ac:dyDescent="0.2">
      <c r="DO59739" s="303" t="s">
        <v>232</v>
      </c>
    </row>
    <row r="59740" spans="119:119" x14ac:dyDescent="0.2">
      <c r="DO59740" s="303" t="s">
        <v>232</v>
      </c>
    </row>
    <row r="59741" spans="119:119" x14ac:dyDescent="0.2">
      <c r="DO59741" s="303" t="s">
        <v>232</v>
      </c>
    </row>
    <row r="59742" spans="119:119" x14ac:dyDescent="0.2">
      <c r="DO59742" s="303" t="s">
        <v>232</v>
      </c>
    </row>
    <row r="59743" spans="119:119" x14ac:dyDescent="0.2">
      <c r="DO59743" s="303" t="s">
        <v>232</v>
      </c>
    </row>
    <row r="59744" spans="119:119" x14ac:dyDescent="0.2">
      <c r="DO59744" s="303" t="s">
        <v>232</v>
      </c>
    </row>
    <row r="59745" spans="119:119" x14ac:dyDescent="0.2">
      <c r="DO59745" s="303" t="s">
        <v>232</v>
      </c>
    </row>
    <row r="59746" spans="119:119" x14ac:dyDescent="0.2">
      <c r="DO59746" s="303" t="s">
        <v>232</v>
      </c>
    </row>
    <row r="59747" spans="119:119" x14ac:dyDescent="0.2">
      <c r="DO59747" s="303" t="s">
        <v>232</v>
      </c>
    </row>
    <row r="59748" spans="119:119" x14ac:dyDescent="0.2">
      <c r="DO59748" s="303" t="s">
        <v>232</v>
      </c>
    </row>
    <row r="59749" spans="119:119" x14ac:dyDescent="0.2">
      <c r="DO59749" s="303" t="s">
        <v>232</v>
      </c>
    </row>
    <row r="59750" spans="119:119" x14ac:dyDescent="0.2">
      <c r="DO59750" s="303" t="s">
        <v>232</v>
      </c>
    </row>
    <row r="59751" spans="119:119" x14ac:dyDescent="0.2">
      <c r="DO59751" s="303" t="s">
        <v>232</v>
      </c>
    </row>
    <row r="59752" spans="119:119" x14ac:dyDescent="0.2">
      <c r="DO59752" s="303" t="s">
        <v>232</v>
      </c>
    </row>
    <row r="59753" spans="119:119" x14ac:dyDescent="0.2">
      <c r="DO59753" s="303" t="s">
        <v>232</v>
      </c>
    </row>
    <row r="59754" spans="119:119" x14ac:dyDescent="0.2">
      <c r="DO59754" s="303" t="s">
        <v>232</v>
      </c>
    </row>
    <row r="59755" spans="119:119" x14ac:dyDescent="0.2">
      <c r="DO59755" s="303" t="s">
        <v>232</v>
      </c>
    </row>
    <row r="59756" spans="119:119" x14ac:dyDescent="0.2">
      <c r="DO59756" s="303" t="s">
        <v>232</v>
      </c>
    </row>
    <row r="59757" spans="119:119" x14ac:dyDescent="0.2">
      <c r="DO59757" s="303" t="s">
        <v>232</v>
      </c>
    </row>
    <row r="59758" spans="119:119" x14ac:dyDescent="0.2">
      <c r="DO59758" s="303" t="s">
        <v>232</v>
      </c>
    </row>
    <row r="59759" spans="119:119" x14ac:dyDescent="0.2">
      <c r="DO59759" s="303" t="s">
        <v>232</v>
      </c>
    </row>
    <row r="59760" spans="119:119" x14ac:dyDescent="0.2">
      <c r="DO59760" s="303" t="s">
        <v>232</v>
      </c>
    </row>
    <row r="59761" spans="119:119" x14ac:dyDescent="0.2">
      <c r="DO59761" s="303" t="s">
        <v>232</v>
      </c>
    </row>
    <row r="59762" spans="119:119" x14ac:dyDescent="0.2">
      <c r="DO59762" s="303" t="s">
        <v>232</v>
      </c>
    </row>
    <row r="59763" spans="119:119" x14ac:dyDescent="0.2">
      <c r="DO59763" s="303" t="s">
        <v>232</v>
      </c>
    </row>
    <row r="59764" spans="119:119" x14ac:dyDescent="0.2">
      <c r="DO59764" s="303" t="s">
        <v>232</v>
      </c>
    </row>
    <row r="59765" spans="119:119" x14ac:dyDescent="0.2">
      <c r="DO59765" s="303" t="s">
        <v>232</v>
      </c>
    </row>
    <row r="59766" spans="119:119" x14ac:dyDescent="0.2">
      <c r="DO59766" s="303" t="s">
        <v>232</v>
      </c>
    </row>
    <row r="59767" spans="119:119" x14ac:dyDescent="0.2">
      <c r="DO59767" s="303" t="s">
        <v>232</v>
      </c>
    </row>
    <row r="59768" spans="119:119" x14ac:dyDescent="0.2">
      <c r="DO59768" s="303" t="s">
        <v>232</v>
      </c>
    </row>
    <row r="59769" spans="119:119" x14ac:dyDescent="0.2">
      <c r="DO59769" s="303" t="s">
        <v>232</v>
      </c>
    </row>
    <row r="59770" spans="119:119" x14ac:dyDescent="0.2">
      <c r="DO59770" s="303" t="s">
        <v>232</v>
      </c>
    </row>
    <row r="59771" spans="119:119" x14ac:dyDescent="0.2">
      <c r="DO59771" s="303" t="s">
        <v>232</v>
      </c>
    </row>
    <row r="59772" spans="119:119" x14ac:dyDescent="0.2">
      <c r="DO59772" s="303" t="s">
        <v>232</v>
      </c>
    </row>
    <row r="59773" spans="119:119" x14ac:dyDescent="0.2">
      <c r="DO59773" s="303" t="s">
        <v>232</v>
      </c>
    </row>
    <row r="59774" spans="119:119" x14ac:dyDescent="0.2">
      <c r="DO59774" s="303" t="s">
        <v>232</v>
      </c>
    </row>
    <row r="59775" spans="119:119" x14ac:dyDescent="0.2">
      <c r="DO59775" s="303" t="s">
        <v>232</v>
      </c>
    </row>
    <row r="59776" spans="119:119" x14ac:dyDescent="0.2">
      <c r="DO59776" s="303" t="s">
        <v>232</v>
      </c>
    </row>
    <row r="59777" spans="119:119" x14ac:dyDescent="0.2">
      <c r="DO59777" s="303" t="s">
        <v>232</v>
      </c>
    </row>
    <row r="59778" spans="119:119" x14ac:dyDescent="0.2">
      <c r="DO59778" s="303" t="s">
        <v>232</v>
      </c>
    </row>
    <row r="59779" spans="119:119" x14ac:dyDescent="0.2">
      <c r="DO59779" s="303" t="s">
        <v>232</v>
      </c>
    </row>
    <row r="59780" spans="119:119" x14ac:dyDescent="0.2">
      <c r="DO59780" s="303" t="s">
        <v>232</v>
      </c>
    </row>
    <row r="59781" spans="119:119" x14ac:dyDescent="0.2">
      <c r="DO59781" s="303" t="s">
        <v>232</v>
      </c>
    </row>
    <row r="59782" spans="119:119" x14ac:dyDescent="0.2">
      <c r="DO59782" s="303" t="s">
        <v>232</v>
      </c>
    </row>
    <row r="59783" spans="119:119" x14ac:dyDescent="0.2">
      <c r="DO59783" s="303" t="s">
        <v>232</v>
      </c>
    </row>
    <row r="59784" spans="119:119" x14ac:dyDescent="0.2">
      <c r="DO59784" s="303" t="s">
        <v>232</v>
      </c>
    </row>
    <row r="59785" spans="119:119" x14ac:dyDescent="0.2">
      <c r="DO59785" s="303" t="s">
        <v>232</v>
      </c>
    </row>
    <row r="59786" spans="119:119" x14ac:dyDescent="0.2">
      <c r="DO59786" s="303" t="s">
        <v>232</v>
      </c>
    </row>
    <row r="59787" spans="119:119" x14ac:dyDescent="0.2">
      <c r="DO59787" s="303" t="s">
        <v>232</v>
      </c>
    </row>
    <row r="59788" spans="119:119" x14ac:dyDescent="0.2">
      <c r="DO59788" s="303" t="s">
        <v>232</v>
      </c>
    </row>
    <row r="59789" spans="119:119" x14ac:dyDescent="0.2">
      <c r="DO59789" s="303" t="s">
        <v>232</v>
      </c>
    </row>
    <row r="59790" spans="119:119" x14ac:dyDescent="0.2">
      <c r="DO59790" s="303" t="s">
        <v>232</v>
      </c>
    </row>
    <row r="59791" spans="119:119" x14ac:dyDescent="0.2">
      <c r="DO59791" s="303" t="s">
        <v>232</v>
      </c>
    </row>
    <row r="59792" spans="119:119" x14ac:dyDescent="0.2">
      <c r="DO59792" s="303" t="s">
        <v>232</v>
      </c>
    </row>
    <row r="59793" spans="119:119" x14ac:dyDescent="0.2">
      <c r="DO59793" s="303" t="s">
        <v>232</v>
      </c>
    </row>
    <row r="59794" spans="119:119" x14ac:dyDescent="0.2">
      <c r="DO59794" s="303" t="s">
        <v>232</v>
      </c>
    </row>
    <row r="59795" spans="119:119" x14ac:dyDescent="0.2">
      <c r="DO59795" s="303" t="s">
        <v>232</v>
      </c>
    </row>
    <row r="59796" spans="119:119" x14ac:dyDescent="0.2">
      <c r="DO59796" s="303" t="s">
        <v>232</v>
      </c>
    </row>
    <row r="59797" spans="119:119" x14ac:dyDescent="0.2">
      <c r="DO59797" s="303" t="s">
        <v>232</v>
      </c>
    </row>
    <row r="59798" spans="119:119" x14ac:dyDescent="0.2">
      <c r="DO59798" s="303" t="s">
        <v>232</v>
      </c>
    </row>
    <row r="59799" spans="119:119" x14ac:dyDescent="0.2">
      <c r="DO59799" s="303" t="s">
        <v>232</v>
      </c>
    </row>
    <row r="59800" spans="119:119" x14ac:dyDescent="0.2">
      <c r="DO59800" s="303" t="s">
        <v>232</v>
      </c>
    </row>
    <row r="59801" spans="119:119" x14ac:dyDescent="0.2">
      <c r="DO59801" s="303" t="s">
        <v>232</v>
      </c>
    </row>
    <row r="59802" spans="119:119" x14ac:dyDescent="0.2">
      <c r="DO59802" s="303" t="s">
        <v>232</v>
      </c>
    </row>
    <row r="59803" spans="119:119" x14ac:dyDescent="0.2">
      <c r="DO59803" s="303" t="s">
        <v>232</v>
      </c>
    </row>
    <row r="59804" spans="119:119" x14ac:dyDescent="0.2">
      <c r="DO59804" s="303" t="s">
        <v>232</v>
      </c>
    </row>
    <row r="59805" spans="119:119" x14ac:dyDescent="0.2">
      <c r="DO59805" s="303" t="s">
        <v>232</v>
      </c>
    </row>
    <row r="59806" spans="119:119" x14ac:dyDescent="0.2">
      <c r="DO59806" s="303" t="s">
        <v>232</v>
      </c>
    </row>
    <row r="59807" spans="119:119" x14ac:dyDescent="0.2">
      <c r="DO59807" s="303" t="s">
        <v>232</v>
      </c>
    </row>
    <row r="59808" spans="119:119" x14ac:dyDescent="0.2">
      <c r="DO59808" s="303" t="s">
        <v>232</v>
      </c>
    </row>
    <row r="59809" spans="119:119" x14ac:dyDescent="0.2">
      <c r="DO59809" s="303" t="s">
        <v>232</v>
      </c>
    </row>
    <row r="59810" spans="119:119" x14ac:dyDescent="0.2">
      <c r="DO59810" s="303" t="s">
        <v>232</v>
      </c>
    </row>
    <row r="59811" spans="119:119" x14ac:dyDescent="0.2">
      <c r="DO59811" s="303" t="s">
        <v>232</v>
      </c>
    </row>
    <row r="59812" spans="119:119" x14ac:dyDescent="0.2">
      <c r="DO59812" s="303" t="s">
        <v>232</v>
      </c>
    </row>
    <row r="59813" spans="119:119" x14ac:dyDescent="0.2">
      <c r="DO59813" s="303" t="s">
        <v>232</v>
      </c>
    </row>
    <row r="59814" spans="119:119" x14ac:dyDescent="0.2">
      <c r="DO59814" s="303" t="s">
        <v>232</v>
      </c>
    </row>
    <row r="59815" spans="119:119" x14ac:dyDescent="0.2">
      <c r="DO59815" s="303" t="s">
        <v>232</v>
      </c>
    </row>
    <row r="59816" spans="119:119" x14ac:dyDescent="0.2">
      <c r="DO59816" s="303" t="s">
        <v>232</v>
      </c>
    </row>
    <row r="59817" spans="119:119" x14ac:dyDescent="0.2">
      <c r="DO59817" s="303" t="s">
        <v>232</v>
      </c>
    </row>
    <row r="59818" spans="119:119" x14ac:dyDescent="0.2">
      <c r="DO59818" s="303" t="s">
        <v>232</v>
      </c>
    </row>
    <row r="59819" spans="119:119" x14ac:dyDescent="0.2">
      <c r="DO59819" s="303" t="s">
        <v>232</v>
      </c>
    </row>
    <row r="59820" spans="119:119" x14ac:dyDescent="0.2">
      <c r="DO59820" s="303" t="s">
        <v>232</v>
      </c>
    </row>
    <row r="59821" spans="119:119" x14ac:dyDescent="0.2">
      <c r="DO59821" s="303" t="s">
        <v>232</v>
      </c>
    </row>
    <row r="59822" spans="119:119" x14ac:dyDescent="0.2">
      <c r="DO59822" s="303" t="s">
        <v>232</v>
      </c>
    </row>
    <row r="59823" spans="119:119" x14ac:dyDescent="0.2">
      <c r="DO59823" s="303" t="s">
        <v>232</v>
      </c>
    </row>
    <row r="59824" spans="119:119" x14ac:dyDescent="0.2">
      <c r="DO59824" s="303" t="s">
        <v>232</v>
      </c>
    </row>
    <row r="59825" spans="119:119" x14ac:dyDescent="0.2">
      <c r="DO59825" s="303" t="s">
        <v>232</v>
      </c>
    </row>
    <row r="59826" spans="119:119" x14ac:dyDescent="0.2">
      <c r="DO59826" s="303" t="s">
        <v>232</v>
      </c>
    </row>
    <row r="59827" spans="119:119" x14ac:dyDescent="0.2">
      <c r="DO59827" s="303" t="s">
        <v>232</v>
      </c>
    </row>
    <row r="59828" spans="119:119" x14ac:dyDescent="0.2">
      <c r="DO59828" s="303" t="s">
        <v>232</v>
      </c>
    </row>
    <row r="59829" spans="119:119" x14ac:dyDescent="0.2">
      <c r="DO59829" s="303" t="s">
        <v>232</v>
      </c>
    </row>
    <row r="59830" spans="119:119" x14ac:dyDescent="0.2">
      <c r="DO59830" s="303" t="s">
        <v>232</v>
      </c>
    </row>
    <row r="59831" spans="119:119" x14ac:dyDescent="0.2">
      <c r="DO59831" s="303" t="s">
        <v>232</v>
      </c>
    </row>
    <row r="59832" spans="119:119" x14ac:dyDescent="0.2">
      <c r="DO59832" s="303" t="s">
        <v>232</v>
      </c>
    </row>
    <row r="59833" spans="119:119" x14ac:dyDescent="0.2">
      <c r="DO59833" s="303" t="s">
        <v>232</v>
      </c>
    </row>
    <row r="59834" spans="119:119" x14ac:dyDescent="0.2">
      <c r="DO59834" s="303" t="s">
        <v>232</v>
      </c>
    </row>
    <row r="59835" spans="119:119" x14ac:dyDescent="0.2">
      <c r="DO59835" s="303" t="s">
        <v>232</v>
      </c>
    </row>
    <row r="59836" spans="119:119" x14ac:dyDescent="0.2">
      <c r="DO59836" s="303" t="s">
        <v>232</v>
      </c>
    </row>
    <row r="59837" spans="119:119" x14ac:dyDescent="0.2">
      <c r="DO59837" s="303" t="s">
        <v>232</v>
      </c>
    </row>
    <row r="59838" spans="119:119" x14ac:dyDescent="0.2">
      <c r="DO59838" s="303" t="s">
        <v>232</v>
      </c>
    </row>
    <row r="59839" spans="119:119" x14ac:dyDescent="0.2">
      <c r="DO59839" s="303" t="s">
        <v>232</v>
      </c>
    </row>
    <row r="59840" spans="119:119" x14ac:dyDescent="0.2">
      <c r="DO59840" s="303" t="s">
        <v>232</v>
      </c>
    </row>
    <row r="59841" spans="119:119" x14ac:dyDescent="0.2">
      <c r="DO59841" s="303" t="s">
        <v>232</v>
      </c>
    </row>
    <row r="59842" spans="119:119" x14ac:dyDescent="0.2">
      <c r="DO59842" s="303" t="s">
        <v>232</v>
      </c>
    </row>
    <row r="59843" spans="119:119" x14ac:dyDescent="0.2">
      <c r="DO59843" s="303" t="s">
        <v>232</v>
      </c>
    </row>
    <row r="59844" spans="119:119" x14ac:dyDescent="0.2">
      <c r="DO59844" s="303" t="s">
        <v>232</v>
      </c>
    </row>
    <row r="59845" spans="119:119" x14ac:dyDescent="0.2">
      <c r="DO59845" s="303" t="s">
        <v>232</v>
      </c>
    </row>
    <row r="59846" spans="119:119" x14ac:dyDescent="0.2">
      <c r="DO59846" s="303" t="s">
        <v>232</v>
      </c>
    </row>
    <row r="59847" spans="119:119" x14ac:dyDescent="0.2">
      <c r="DO59847" s="303" t="s">
        <v>232</v>
      </c>
    </row>
    <row r="59848" spans="119:119" x14ac:dyDescent="0.2">
      <c r="DO59848" s="303" t="s">
        <v>232</v>
      </c>
    </row>
    <row r="59849" spans="119:119" x14ac:dyDescent="0.2">
      <c r="DO59849" s="303" t="s">
        <v>232</v>
      </c>
    </row>
    <row r="59850" spans="119:119" x14ac:dyDescent="0.2">
      <c r="DO59850" s="303" t="s">
        <v>232</v>
      </c>
    </row>
    <row r="59851" spans="119:119" x14ac:dyDescent="0.2">
      <c r="DO59851" s="303" t="s">
        <v>232</v>
      </c>
    </row>
    <row r="59852" spans="119:119" x14ac:dyDescent="0.2">
      <c r="DO59852" s="303" t="s">
        <v>232</v>
      </c>
    </row>
    <row r="59853" spans="119:119" x14ac:dyDescent="0.2">
      <c r="DO59853" s="303" t="s">
        <v>232</v>
      </c>
    </row>
    <row r="59854" spans="119:119" x14ac:dyDescent="0.2">
      <c r="DO59854" s="303" t="s">
        <v>232</v>
      </c>
    </row>
    <row r="59855" spans="119:119" x14ac:dyDescent="0.2">
      <c r="DO59855" s="303" t="s">
        <v>232</v>
      </c>
    </row>
    <row r="59856" spans="119:119" x14ac:dyDescent="0.2">
      <c r="DO59856" s="303" t="s">
        <v>232</v>
      </c>
    </row>
    <row r="59857" spans="119:119" x14ac:dyDescent="0.2">
      <c r="DO59857" s="303" t="s">
        <v>232</v>
      </c>
    </row>
    <row r="59858" spans="119:119" x14ac:dyDescent="0.2">
      <c r="DO59858" s="303" t="s">
        <v>232</v>
      </c>
    </row>
    <row r="59859" spans="119:119" x14ac:dyDescent="0.2">
      <c r="DO59859" s="303" t="s">
        <v>232</v>
      </c>
    </row>
    <row r="59860" spans="119:119" x14ac:dyDescent="0.2">
      <c r="DO59860" s="303" t="s">
        <v>232</v>
      </c>
    </row>
    <row r="59861" spans="119:119" x14ac:dyDescent="0.2">
      <c r="DO59861" s="303" t="s">
        <v>232</v>
      </c>
    </row>
    <row r="59862" spans="119:119" x14ac:dyDescent="0.2">
      <c r="DO59862" s="303" t="s">
        <v>232</v>
      </c>
    </row>
    <row r="59863" spans="119:119" x14ac:dyDescent="0.2">
      <c r="DO59863" s="303" t="s">
        <v>232</v>
      </c>
    </row>
    <row r="59864" spans="119:119" x14ac:dyDescent="0.2">
      <c r="DO59864" s="303" t="s">
        <v>232</v>
      </c>
    </row>
    <row r="59865" spans="119:119" x14ac:dyDescent="0.2">
      <c r="DO59865" s="303" t="s">
        <v>232</v>
      </c>
    </row>
    <row r="59866" spans="119:119" x14ac:dyDescent="0.2">
      <c r="DO59866" s="303" t="s">
        <v>232</v>
      </c>
    </row>
    <row r="59867" spans="119:119" x14ac:dyDescent="0.2">
      <c r="DO59867" s="303" t="s">
        <v>232</v>
      </c>
    </row>
    <row r="59868" spans="119:119" x14ac:dyDescent="0.2">
      <c r="DO59868" s="303" t="s">
        <v>232</v>
      </c>
    </row>
    <row r="59869" spans="119:119" x14ac:dyDescent="0.2">
      <c r="DO59869" s="303" t="s">
        <v>232</v>
      </c>
    </row>
    <row r="59870" spans="119:119" x14ac:dyDescent="0.2">
      <c r="DO59870" s="303" t="s">
        <v>232</v>
      </c>
    </row>
    <row r="59871" spans="119:119" x14ac:dyDescent="0.2">
      <c r="DO59871" s="303" t="s">
        <v>232</v>
      </c>
    </row>
    <row r="59872" spans="119:119" x14ac:dyDescent="0.2">
      <c r="DO59872" s="303" t="s">
        <v>232</v>
      </c>
    </row>
    <row r="59873" spans="119:119" x14ac:dyDescent="0.2">
      <c r="DO59873" s="303" t="s">
        <v>232</v>
      </c>
    </row>
    <row r="59874" spans="119:119" x14ac:dyDescent="0.2">
      <c r="DO59874" s="303" t="s">
        <v>232</v>
      </c>
    </row>
    <row r="59875" spans="119:119" x14ac:dyDescent="0.2">
      <c r="DO59875" s="303" t="s">
        <v>232</v>
      </c>
    </row>
    <row r="59876" spans="119:119" x14ac:dyDescent="0.2">
      <c r="DO59876" s="303" t="s">
        <v>232</v>
      </c>
    </row>
    <row r="59877" spans="119:119" x14ac:dyDescent="0.2">
      <c r="DO59877" s="303" t="s">
        <v>232</v>
      </c>
    </row>
    <row r="59878" spans="119:119" x14ac:dyDescent="0.2">
      <c r="DO59878" s="303" t="s">
        <v>232</v>
      </c>
    </row>
    <row r="59879" spans="119:119" x14ac:dyDescent="0.2">
      <c r="DO59879" s="303" t="s">
        <v>232</v>
      </c>
    </row>
    <row r="59880" spans="119:119" x14ac:dyDescent="0.2">
      <c r="DO59880" s="303" t="s">
        <v>232</v>
      </c>
    </row>
    <row r="59881" spans="119:119" x14ac:dyDescent="0.2">
      <c r="DO59881" s="303" t="s">
        <v>232</v>
      </c>
    </row>
    <row r="59882" spans="119:119" x14ac:dyDescent="0.2">
      <c r="DO59882" s="303" t="s">
        <v>232</v>
      </c>
    </row>
    <row r="59883" spans="119:119" x14ac:dyDescent="0.2">
      <c r="DO59883" s="303" t="s">
        <v>232</v>
      </c>
    </row>
    <row r="59884" spans="119:119" x14ac:dyDescent="0.2">
      <c r="DO59884" s="303" t="s">
        <v>232</v>
      </c>
    </row>
    <row r="59885" spans="119:119" x14ac:dyDescent="0.2">
      <c r="DO59885" s="303" t="s">
        <v>232</v>
      </c>
    </row>
    <row r="59886" spans="119:119" x14ac:dyDescent="0.2">
      <c r="DO59886" s="303" t="s">
        <v>232</v>
      </c>
    </row>
    <row r="59887" spans="119:119" x14ac:dyDescent="0.2">
      <c r="DO59887" s="303" t="s">
        <v>232</v>
      </c>
    </row>
    <row r="59888" spans="119:119" x14ac:dyDescent="0.2">
      <c r="DO59888" s="303" t="s">
        <v>232</v>
      </c>
    </row>
    <row r="59889" spans="119:119" x14ac:dyDescent="0.2">
      <c r="DO59889" s="303" t="s">
        <v>232</v>
      </c>
    </row>
    <row r="59890" spans="119:119" x14ac:dyDescent="0.2">
      <c r="DO59890" s="303" t="s">
        <v>232</v>
      </c>
    </row>
    <row r="59891" spans="119:119" x14ac:dyDescent="0.2">
      <c r="DO59891" s="303" t="s">
        <v>232</v>
      </c>
    </row>
    <row r="59892" spans="119:119" x14ac:dyDescent="0.2">
      <c r="DO59892" s="303" t="s">
        <v>232</v>
      </c>
    </row>
    <row r="59893" spans="119:119" x14ac:dyDescent="0.2">
      <c r="DO59893" s="303" t="s">
        <v>232</v>
      </c>
    </row>
    <row r="59894" spans="119:119" x14ac:dyDescent="0.2">
      <c r="DO59894" s="303" t="s">
        <v>232</v>
      </c>
    </row>
    <row r="59895" spans="119:119" x14ac:dyDescent="0.2">
      <c r="DO59895" s="303" t="s">
        <v>232</v>
      </c>
    </row>
    <row r="59896" spans="119:119" x14ac:dyDescent="0.2">
      <c r="DO59896" s="303" t="s">
        <v>232</v>
      </c>
    </row>
    <row r="59897" spans="119:119" x14ac:dyDescent="0.2">
      <c r="DO59897" s="303" t="s">
        <v>232</v>
      </c>
    </row>
    <row r="59898" spans="119:119" x14ac:dyDescent="0.2">
      <c r="DO59898" s="303" t="s">
        <v>232</v>
      </c>
    </row>
    <row r="59899" spans="119:119" x14ac:dyDescent="0.2">
      <c r="DO59899" s="303" t="s">
        <v>232</v>
      </c>
    </row>
    <row r="59900" spans="119:119" x14ac:dyDescent="0.2">
      <c r="DO59900" s="303" t="s">
        <v>232</v>
      </c>
    </row>
    <row r="59901" spans="119:119" x14ac:dyDescent="0.2">
      <c r="DO59901" s="303" t="s">
        <v>232</v>
      </c>
    </row>
    <row r="59902" spans="119:119" x14ac:dyDescent="0.2">
      <c r="DO59902" s="303" t="s">
        <v>232</v>
      </c>
    </row>
    <row r="59903" spans="119:119" x14ac:dyDescent="0.2">
      <c r="DO59903" s="303" t="s">
        <v>232</v>
      </c>
    </row>
    <row r="59904" spans="119:119" x14ac:dyDescent="0.2">
      <c r="DO59904" s="303" t="s">
        <v>232</v>
      </c>
    </row>
    <row r="59905" spans="119:119" x14ac:dyDescent="0.2">
      <c r="DO59905" s="303" t="s">
        <v>232</v>
      </c>
    </row>
    <row r="59906" spans="119:119" x14ac:dyDescent="0.2">
      <c r="DO59906" s="303" t="s">
        <v>232</v>
      </c>
    </row>
    <row r="59907" spans="119:119" x14ac:dyDescent="0.2">
      <c r="DO59907" s="303" t="s">
        <v>232</v>
      </c>
    </row>
    <row r="59908" spans="119:119" x14ac:dyDescent="0.2">
      <c r="DO59908" s="303" t="s">
        <v>232</v>
      </c>
    </row>
    <row r="59909" spans="119:119" x14ac:dyDescent="0.2">
      <c r="DO59909" s="303" t="s">
        <v>232</v>
      </c>
    </row>
    <row r="59910" spans="119:119" x14ac:dyDescent="0.2">
      <c r="DO59910" s="303" t="s">
        <v>232</v>
      </c>
    </row>
    <row r="59911" spans="119:119" x14ac:dyDescent="0.2">
      <c r="DO59911" s="303" t="s">
        <v>232</v>
      </c>
    </row>
    <row r="59912" spans="119:119" x14ac:dyDescent="0.2">
      <c r="DO59912" s="303" t="s">
        <v>232</v>
      </c>
    </row>
    <row r="59913" spans="119:119" x14ac:dyDescent="0.2">
      <c r="DO59913" s="303" t="s">
        <v>232</v>
      </c>
    </row>
    <row r="59914" spans="119:119" x14ac:dyDescent="0.2">
      <c r="DO59914" s="303" t="s">
        <v>232</v>
      </c>
    </row>
    <row r="59915" spans="119:119" x14ac:dyDescent="0.2">
      <c r="DO59915" s="303" t="s">
        <v>232</v>
      </c>
    </row>
    <row r="59916" spans="119:119" x14ac:dyDescent="0.2">
      <c r="DO59916" s="303" t="s">
        <v>232</v>
      </c>
    </row>
    <row r="59917" spans="119:119" x14ac:dyDescent="0.2">
      <c r="DO59917" s="303" t="s">
        <v>232</v>
      </c>
    </row>
    <row r="59918" spans="119:119" x14ac:dyDescent="0.2">
      <c r="DO59918" s="303" t="s">
        <v>232</v>
      </c>
    </row>
    <row r="59919" spans="119:119" x14ac:dyDescent="0.2">
      <c r="DO59919" s="303" t="s">
        <v>232</v>
      </c>
    </row>
    <row r="59920" spans="119:119" x14ac:dyDescent="0.2">
      <c r="DO59920" s="303" t="s">
        <v>232</v>
      </c>
    </row>
    <row r="59921" spans="119:119" x14ac:dyDescent="0.2">
      <c r="DO59921" s="303" t="s">
        <v>232</v>
      </c>
    </row>
    <row r="59922" spans="119:119" x14ac:dyDescent="0.2">
      <c r="DO59922" s="303" t="s">
        <v>232</v>
      </c>
    </row>
    <row r="59923" spans="119:119" x14ac:dyDescent="0.2">
      <c r="DO59923" s="303" t="s">
        <v>232</v>
      </c>
    </row>
    <row r="59924" spans="119:119" x14ac:dyDescent="0.2">
      <c r="DO59924" s="303" t="s">
        <v>232</v>
      </c>
    </row>
    <row r="59925" spans="119:119" x14ac:dyDescent="0.2">
      <c r="DO59925" s="303" t="s">
        <v>232</v>
      </c>
    </row>
    <row r="59926" spans="119:119" x14ac:dyDescent="0.2">
      <c r="DO59926" s="303" t="s">
        <v>232</v>
      </c>
    </row>
    <row r="59927" spans="119:119" x14ac:dyDescent="0.2">
      <c r="DO59927" s="303" t="s">
        <v>232</v>
      </c>
    </row>
    <row r="59928" spans="119:119" x14ac:dyDescent="0.2">
      <c r="DO59928" s="303" t="s">
        <v>232</v>
      </c>
    </row>
    <row r="59929" spans="119:119" x14ac:dyDescent="0.2">
      <c r="DO59929" s="303" t="s">
        <v>232</v>
      </c>
    </row>
    <row r="59930" spans="119:119" x14ac:dyDescent="0.2">
      <c r="DO59930" s="303" t="s">
        <v>232</v>
      </c>
    </row>
    <row r="59931" spans="119:119" x14ac:dyDescent="0.2">
      <c r="DO59931" s="303" t="s">
        <v>232</v>
      </c>
    </row>
    <row r="59932" spans="119:119" x14ac:dyDescent="0.2">
      <c r="DO59932" s="303" t="s">
        <v>232</v>
      </c>
    </row>
    <row r="59933" spans="119:119" x14ac:dyDescent="0.2">
      <c r="DO59933" s="303" t="s">
        <v>232</v>
      </c>
    </row>
    <row r="59934" spans="119:119" x14ac:dyDescent="0.2">
      <c r="DO59934" s="303" t="s">
        <v>232</v>
      </c>
    </row>
    <row r="59935" spans="119:119" x14ac:dyDescent="0.2">
      <c r="DO59935" s="303" t="s">
        <v>232</v>
      </c>
    </row>
    <row r="59936" spans="119:119" x14ac:dyDescent="0.2">
      <c r="DO59936" s="303" t="s">
        <v>232</v>
      </c>
    </row>
    <row r="59937" spans="119:119" x14ac:dyDescent="0.2">
      <c r="DO59937" s="303" t="s">
        <v>232</v>
      </c>
    </row>
    <row r="59938" spans="119:119" x14ac:dyDescent="0.2">
      <c r="DO59938" s="303" t="s">
        <v>232</v>
      </c>
    </row>
    <row r="59939" spans="119:119" x14ac:dyDescent="0.2">
      <c r="DO59939" s="303" t="s">
        <v>232</v>
      </c>
    </row>
    <row r="59940" spans="119:119" x14ac:dyDescent="0.2">
      <c r="DO59940" s="303" t="s">
        <v>232</v>
      </c>
    </row>
    <row r="59941" spans="119:119" x14ac:dyDescent="0.2">
      <c r="DO59941" s="303" t="s">
        <v>232</v>
      </c>
    </row>
    <row r="59942" spans="119:119" x14ac:dyDescent="0.2">
      <c r="DO59942" s="303" t="s">
        <v>232</v>
      </c>
    </row>
    <row r="59943" spans="119:119" x14ac:dyDescent="0.2">
      <c r="DO59943" s="303" t="s">
        <v>232</v>
      </c>
    </row>
    <row r="59944" spans="119:119" x14ac:dyDescent="0.2">
      <c r="DO59944" s="303" t="s">
        <v>232</v>
      </c>
    </row>
    <row r="59945" spans="119:119" x14ac:dyDescent="0.2">
      <c r="DO59945" s="303" t="s">
        <v>232</v>
      </c>
    </row>
    <row r="59946" spans="119:119" x14ac:dyDescent="0.2">
      <c r="DO59946" s="303" t="s">
        <v>232</v>
      </c>
    </row>
    <row r="59947" spans="119:119" x14ac:dyDescent="0.2">
      <c r="DO59947" s="303" t="s">
        <v>232</v>
      </c>
    </row>
    <row r="59948" spans="119:119" x14ac:dyDescent="0.2">
      <c r="DO59948" s="303" t="s">
        <v>232</v>
      </c>
    </row>
    <row r="59949" spans="119:119" x14ac:dyDescent="0.2">
      <c r="DO59949" s="303" t="s">
        <v>232</v>
      </c>
    </row>
    <row r="59950" spans="119:119" x14ac:dyDescent="0.2">
      <c r="DO59950" s="303" t="s">
        <v>232</v>
      </c>
    </row>
    <row r="59951" spans="119:119" x14ac:dyDescent="0.2">
      <c r="DO59951" s="303" t="s">
        <v>232</v>
      </c>
    </row>
    <row r="59952" spans="119:119" x14ac:dyDescent="0.2">
      <c r="DO59952" s="303" t="s">
        <v>232</v>
      </c>
    </row>
    <row r="59953" spans="119:119" x14ac:dyDescent="0.2">
      <c r="DO59953" s="303" t="s">
        <v>232</v>
      </c>
    </row>
    <row r="59954" spans="119:119" x14ac:dyDescent="0.2">
      <c r="DO59954" s="303" t="s">
        <v>232</v>
      </c>
    </row>
    <row r="59955" spans="119:119" x14ac:dyDescent="0.2">
      <c r="DO59955" s="303" t="s">
        <v>232</v>
      </c>
    </row>
    <row r="59956" spans="119:119" x14ac:dyDescent="0.2">
      <c r="DO59956" s="303" t="s">
        <v>232</v>
      </c>
    </row>
    <row r="59957" spans="119:119" x14ac:dyDescent="0.2">
      <c r="DO59957" s="303" t="s">
        <v>232</v>
      </c>
    </row>
    <row r="59958" spans="119:119" x14ac:dyDescent="0.2">
      <c r="DO59958" s="303" t="s">
        <v>232</v>
      </c>
    </row>
    <row r="59959" spans="119:119" x14ac:dyDescent="0.2">
      <c r="DO59959" s="303" t="s">
        <v>232</v>
      </c>
    </row>
    <row r="59960" spans="119:119" x14ac:dyDescent="0.2">
      <c r="DO59960" s="303" t="s">
        <v>232</v>
      </c>
    </row>
    <row r="59961" spans="119:119" x14ac:dyDescent="0.2">
      <c r="DO59961" s="303" t="s">
        <v>232</v>
      </c>
    </row>
    <row r="59962" spans="119:119" x14ac:dyDescent="0.2">
      <c r="DO59962" s="303" t="s">
        <v>232</v>
      </c>
    </row>
    <row r="59963" spans="119:119" x14ac:dyDescent="0.2">
      <c r="DO59963" s="303" t="s">
        <v>232</v>
      </c>
    </row>
    <row r="59964" spans="119:119" x14ac:dyDescent="0.2">
      <c r="DO59964" s="303" t="s">
        <v>232</v>
      </c>
    </row>
    <row r="59965" spans="119:119" x14ac:dyDescent="0.2">
      <c r="DO59965" s="303" t="s">
        <v>232</v>
      </c>
    </row>
    <row r="59966" spans="119:119" x14ac:dyDescent="0.2">
      <c r="DO59966" s="303" t="s">
        <v>232</v>
      </c>
    </row>
    <row r="59967" spans="119:119" x14ac:dyDescent="0.2">
      <c r="DO59967" s="303" t="s">
        <v>232</v>
      </c>
    </row>
    <row r="59968" spans="119:119" x14ac:dyDescent="0.2">
      <c r="DO59968" s="303" t="s">
        <v>232</v>
      </c>
    </row>
    <row r="59969" spans="119:119" x14ac:dyDescent="0.2">
      <c r="DO59969" s="303" t="s">
        <v>232</v>
      </c>
    </row>
    <row r="59970" spans="119:119" x14ac:dyDescent="0.2">
      <c r="DO59970" s="303" t="s">
        <v>232</v>
      </c>
    </row>
    <row r="59971" spans="119:119" x14ac:dyDescent="0.2">
      <c r="DO59971" s="303" t="s">
        <v>232</v>
      </c>
    </row>
    <row r="59972" spans="119:119" x14ac:dyDescent="0.2">
      <c r="DO59972" s="303" t="s">
        <v>232</v>
      </c>
    </row>
    <row r="59973" spans="119:119" x14ac:dyDescent="0.2">
      <c r="DO59973" s="303" t="s">
        <v>232</v>
      </c>
    </row>
    <row r="59974" spans="119:119" x14ac:dyDescent="0.2">
      <c r="DO59974" s="303" t="s">
        <v>232</v>
      </c>
    </row>
    <row r="59975" spans="119:119" x14ac:dyDescent="0.2">
      <c r="DO59975" s="303" t="s">
        <v>232</v>
      </c>
    </row>
    <row r="59976" spans="119:119" x14ac:dyDescent="0.2">
      <c r="DO59976" s="303" t="s">
        <v>232</v>
      </c>
    </row>
    <row r="59977" spans="119:119" x14ac:dyDescent="0.2">
      <c r="DO59977" s="303" t="s">
        <v>232</v>
      </c>
    </row>
    <row r="59978" spans="119:119" x14ac:dyDescent="0.2">
      <c r="DO59978" s="303" t="s">
        <v>232</v>
      </c>
    </row>
    <row r="59979" spans="119:119" x14ac:dyDescent="0.2">
      <c r="DO59979" s="303" t="s">
        <v>232</v>
      </c>
    </row>
    <row r="59980" spans="119:119" x14ac:dyDescent="0.2">
      <c r="DO59980" s="303" t="s">
        <v>232</v>
      </c>
    </row>
    <row r="59981" spans="119:119" x14ac:dyDescent="0.2">
      <c r="DO59981" s="303" t="s">
        <v>232</v>
      </c>
    </row>
    <row r="59982" spans="119:119" x14ac:dyDescent="0.2">
      <c r="DO59982" s="303" t="s">
        <v>232</v>
      </c>
    </row>
    <row r="59983" spans="119:119" x14ac:dyDescent="0.2">
      <c r="DO59983" s="303" t="s">
        <v>232</v>
      </c>
    </row>
    <row r="59984" spans="119:119" x14ac:dyDescent="0.2">
      <c r="DO59984" s="303" t="s">
        <v>232</v>
      </c>
    </row>
    <row r="59985" spans="119:119" x14ac:dyDescent="0.2">
      <c r="DO59985" s="303" t="s">
        <v>232</v>
      </c>
    </row>
    <row r="59986" spans="119:119" x14ac:dyDescent="0.2">
      <c r="DO59986" s="303" t="s">
        <v>232</v>
      </c>
    </row>
    <row r="59987" spans="119:119" x14ac:dyDescent="0.2">
      <c r="DO59987" s="303" t="s">
        <v>232</v>
      </c>
    </row>
    <row r="59988" spans="119:119" x14ac:dyDescent="0.2">
      <c r="DO59988" s="303" t="s">
        <v>232</v>
      </c>
    </row>
    <row r="59989" spans="119:119" x14ac:dyDescent="0.2">
      <c r="DO59989" s="303" t="s">
        <v>232</v>
      </c>
    </row>
    <row r="59990" spans="119:119" x14ac:dyDescent="0.2">
      <c r="DO59990" s="303" t="s">
        <v>232</v>
      </c>
    </row>
    <row r="59991" spans="119:119" x14ac:dyDescent="0.2">
      <c r="DO59991" s="303" t="s">
        <v>232</v>
      </c>
    </row>
    <row r="59992" spans="119:119" x14ac:dyDescent="0.2">
      <c r="DO59992" s="303" t="s">
        <v>232</v>
      </c>
    </row>
    <row r="59993" spans="119:119" x14ac:dyDescent="0.2">
      <c r="DO59993" s="303" t="s">
        <v>232</v>
      </c>
    </row>
    <row r="59994" spans="119:119" x14ac:dyDescent="0.2">
      <c r="DO59994" s="303" t="s">
        <v>232</v>
      </c>
    </row>
    <row r="59995" spans="119:119" x14ac:dyDescent="0.2">
      <c r="DO59995" s="303" t="s">
        <v>232</v>
      </c>
    </row>
    <row r="59996" spans="119:119" x14ac:dyDescent="0.2">
      <c r="DO59996" s="303" t="s">
        <v>232</v>
      </c>
    </row>
    <row r="59997" spans="119:119" x14ac:dyDescent="0.2">
      <c r="DO59997" s="303" t="s">
        <v>232</v>
      </c>
    </row>
    <row r="59998" spans="119:119" x14ac:dyDescent="0.2">
      <c r="DO59998" s="303" t="s">
        <v>232</v>
      </c>
    </row>
    <row r="59999" spans="119:119" x14ac:dyDescent="0.2">
      <c r="DO59999" s="303" t="s">
        <v>232</v>
      </c>
    </row>
    <row r="60000" spans="119:119" x14ac:dyDescent="0.2">
      <c r="DO60000" s="303" t="s">
        <v>232</v>
      </c>
    </row>
    <row r="60001" spans="119:119" x14ac:dyDescent="0.2">
      <c r="DO60001" s="303" t="s">
        <v>232</v>
      </c>
    </row>
    <row r="60002" spans="119:119" x14ac:dyDescent="0.2">
      <c r="DO60002" s="303" t="s">
        <v>232</v>
      </c>
    </row>
    <row r="60003" spans="119:119" x14ac:dyDescent="0.2">
      <c r="DO60003" s="303" t="s">
        <v>232</v>
      </c>
    </row>
    <row r="60004" spans="119:119" x14ac:dyDescent="0.2">
      <c r="DO60004" s="303" t="s">
        <v>232</v>
      </c>
    </row>
    <row r="60005" spans="119:119" x14ac:dyDescent="0.2">
      <c r="DO60005" s="303" t="s">
        <v>232</v>
      </c>
    </row>
    <row r="60006" spans="119:119" x14ac:dyDescent="0.2">
      <c r="DO60006" s="303" t="s">
        <v>232</v>
      </c>
    </row>
    <row r="60007" spans="119:119" x14ac:dyDescent="0.2">
      <c r="DO60007" s="303" t="s">
        <v>232</v>
      </c>
    </row>
    <row r="60008" spans="119:119" x14ac:dyDescent="0.2">
      <c r="DO60008" s="303" t="s">
        <v>232</v>
      </c>
    </row>
    <row r="60009" spans="119:119" x14ac:dyDescent="0.2">
      <c r="DO60009" s="303" t="s">
        <v>232</v>
      </c>
    </row>
    <row r="60010" spans="119:119" x14ac:dyDescent="0.2">
      <c r="DO60010" s="303" t="s">
        <v>232</v>
      </c>
    </row>
    <row r="60011" spans="119:119" x14ac:dyDescent="0.2">
      <c r="DO60011" s="303" t="s">
        <v>232</v>
      </c>
    </row>
    <row r="60012" spans="119:119" x14ac:dyDescent="0.2">
      <c r="DO60012" s="303" t="s">
        <v>232</v>
      </c>
    </row>
    <row r="60013" spans="119:119" x14ac:dyDescent="0.2">
      <c r="DO60013" s="303" t="s">
        <v>232</v>
      </c>
    </row>
    <row r="60014" spans="119:119" x14ac:dyDescent="0.2">
      <c r="DO60014" s="303" t="s">
        <v>232</v>
      </c>
    </row>
    <row r="60015" spans="119:119" x14ac:dyDescent="0.2">
      <c r="DO60015" s="303" t="s">
        <v>232</v>
      </c>
    </row>
    <row r="60016" spans="119:119" x14ac:dyDescent="0.2">
      <c r="DO60016" s="303" t="s">
        <v>232</v>
      </c>
    </row>
    <row r="60017" spans="119:119" x14ac:dyDescent="0.2">
      <c r="DO60017" s="303" t="s">
        <v>232</v>
      </c>
    </row>
    <row r="60018" spans="119:119" x14ac:dyDescent="0.2">
      <c r="DO60018" s="303" t="s">
        <v>232</v>
      </c>
    </row>
    <row r="60019" spans="119:119" x14ac:dyDescent="0.2">
      <c r="DO60019" s="303" t="s">
        <v>232</v>
      </c>
    </row>
    <row r="60020" spans="119:119" x14ac:dyDescent="0.2">
      <c r="DO60020" s="303" t="s">
        <v>232</v>
      </c>
    </row>
    <row r="60021" spans="119:119" x14ac:dyDescent="0.2">
      <c r="DO60021" s="303" t="s">
        <v>232</v>
      </c>
    </row>
    <row r="60022" spans="119:119" x14ac:dyDescent="0.2">
      <c r="DO60022" s="303" t="s">
        <v>232</v>
      </c>
    </row>
    <row r="60023" spans="119:119" x14ac:dyDescent="0.2">
      <c r="DO60023" s="303" t="s">
        <v>232</v>
      </c>
    </row>
    <row r="60024" spans="119:119" x14ac:dyDescent="0.2">
      <c r="DO60024" s="303" t="s">
        <v>232</v>
      </c>
    </row>
    <row r="60025" spans="119:119" x14ac:dyDescent="0.2">
      <c r="DO60025" s="303" t="s">
        <v>232</v>
      </c>
    </row>
    <row r="60026" spans="119:119" x14ac:dyDescent="0.2">
      <c r="DO60026" s="303" t="s">
        <v>232</v>
      </c>
    </row>
    <row r="60027" spans="119:119" x14ac:dyDescent="0.2">
      <c r="DO60027" s="303" t="s">
        <v>232</v>
      </c>
    </row>
    <row r="60028" spans="119:119" x14ac:dyDescent="0.2">
      <c r="DO60028" s="303" t="s">
        <v>232</v>
      </c>
    </row>
    <row r="60029" spans="119:119" x14ac:dyDescent="0.2">
      <c r="DO60029" s="303" t="s">
        <v>232</v>
      </c>
    </row>
    <row r="60030" spans="119:119" x14ac:dyDescent="0.2">
      <c r="DO60030" s="303" t="s">
        <v>232</v>
      </c>
    </row>
    <row r="60031" spans="119:119" x14ac:dyDescent="0.2">
      <c r="DO60031" s="303" t="s">
        <v>232</v>
      </c>
    </row>
    <row r="60032" spans="119:119" x14ac:dyDescent="0.2">
      <c r="DO60032" s="303" t="s">
        <v>232</v>
      </c>
    </row>
    <row r="60033" spans="119:119" x14ac:dyDescent="0.2">
      <c r="DO60033" s="303" t="s">
        <v>232</v>
      </c>
    </row>
    <row r="60034" spans="119:119" x14ac:dyDescent="0.2">
      <c r="DO60034" s="303" t="s">
        <v>232</v>
      </c>
    </row>
    <row r="60035" spans="119:119" x14ac:dyDescent="0.2">
      <c r="DO60035" s="303" t="s">
        <v>232</v>
      </c>
    </row>
    <row r="60036" spans="119:119" x14ac:dyDescent="0.2">
      <c r="DO60036" s="303" t="s">
        <v>232</v>
      </c>
    </row>
    <row r="60037" spans="119:119" x14ac:dyDescent="0.2">
      <c r="DO60037" s="303" t="s">
        <v>232</v>
      </c>
    </row>
    <row r="60038" spans="119:119" x14ac:dyDescent="0.2">
      <c r="DO60038" s="303" t="s">
        <v>232</v>
      </c>
    </row>
    <row r="60039" spans="119:119" x14ac:dyDescent="0.2">
      <c r="DO60039" s="303" t="s">
        <v>232</v>
      </c>
    </row>
    <row r="60040" spans="119:119" x14ac:dyDescent="0.2">
      <c r="DO60040" s="303" t="s">
        <v>232</v>
      </c>
    </row>
    <row r="60041" spans="119:119" x14ac:dyDescent="0.2">
      <c r="DO60041" s="303" t="s">
        <v>232</v>
      </c>
    </row>
    <row r="60042" spans="119:119" x14ac:dyDescent="0.2">
      <c r="DO60042" s="303" t="s">
        <v>232</v>
      </c>
    </row>
    <row r="60043" spans="119:119" x14ac:dyDescent="0.2">
      <c r="DO60043" s="303" t="s">
        <v>232</v>
      </c>
    </row>
    <row r="60044" spans="119:119" x14ac:dyDescent="0.2">
      <c r="DO60044" s="303" t="s">
        <v>232</v>
      </c>
    </row>
    <row r="60045" spans="119:119" x14ac:dyDescent="0.2">
      <c r="DO60045" s="303" t="s">
        <v>232</v>
      </c>
    </row>
    <row r="60046" spans="119:119" x14ac:dyDescent="0.2">
      <c r="DO60046" s="303" t="s">
        <v>232</v>
      </c>
    </row>
    <row r="60047" spans="119:119" x14ac:dyDescent="0.2">
      <c r="DO60047" s="303" t="s">
        <v>232</v>
      </c>
    </row>
    <row r="60048" spans="119:119" x14ac:dyDescent="0.2">
      <c r="DO60048" s="303" t="s">
        <v>232</v>
      </c>
    </row>
    <row r="60049" spans="119:119" x14ac:dyDescent="0.2">
      <c r="DO60049" s="303" t="s">
        <v>232</v>
      </c>
    </row>
    <row r="60050" spans="119:119" x14ac:dyDescent="0.2">
      <c r="DO60050" s="303" t="s">
        <v>232</v>
      </c>
    </row>
    <row r="60051" spans="119:119" x14ac:dyDescent="0.2">
      <c r="DO60051" s="303" t="s">
        <v>232</v>
      </c>
    </row>
    <row r="60052" spans="119:119" x14ac:dyDescent="0.2">
      <c r="DO60052" s="303" t="s">
        <v>232</v>
      </c>
    </row>
    <row r="60053" spans="119:119" x14ac:dyDescent="0.2">
      <c r="DO60053" s="303" t="s">
        <v>232</v>
      </c>
    </row>
    <row r="60054" spans="119:119" x14ac:dyDescent="0.2">
      <c r="DO60054" s="303" t="s">
        <v>232</v>
      </c>
    </row>
    <row r="60055" spans="119:119" x14ac:dyDescent="0.2">
      <c r="DO60055" s="303" t="s">
        <v>232</v>
      </c>
    </row>
    <row r="60056" spans="119:119" x14ac:dyDescent="0.2">
      <c r="DO60056" s="303" t="s">
        <v>232</v>
      </c>
    </row>
    <row r="60057" spans="119:119" x14ac:dyDescent="0.2">
      <c r="DO60057" s="303" t="s">
        <v>232</v>
      </c>
    </row>
    <row r="60058" spans="119:119" x14ac:dyDescent="0.2">
      <c r="DO60058" s="303" t="s">
        <v>232</v>
      </c>
    </row>
    <row r="60059" spans="119:119" x14ac:dyDescent="0.2">
      <c r="DO60059" s="303" t="s">
        <v>232</v>
      </c>
    </row>
    <row r="60060" spans="119:119" x14ac:dyDescent="0.2">
      <c r="DO60060" s="303" t="s">
        <v>232</v>
      </c>
    </row>
    <row r="60061" spans="119:119" x14ac:dyDescent="0.2">
      <c r="DO60061" s="303" t="s">
        <v>232</v>
      </c>
    </row>
    <row r="60062" spans="119:119" x14ac:dyDescent="0.2">
      <c r="DO60062" s="303" t="s">
        <v>232</v>
      </c>
    </row>
    <row r="60063" spans="119:119" x14ac:dyDescent="0.2">
      <c r="DO60063" s="303" t="s">
        <v>232</v>
      </c>
    </row>
    <row r="60064" spans="119:119" x14ac:dyDescent="0.2">
      <c r="DO60064" s="303" t="s">
        <v>232</v>
      </c>
    </row>
    <row r="60065" spans="119:119" x14ac:dyDescent="0.2">
      <c r="DO60065" s="303" t="s">
        <v>232</v>
      </c>
    </row>
    <row r="60066" spans="119:119" x14ac:dyDescent="0.2">
      <c r="DO60066" s="303" t="s">
        <v>232</v>
      </c>
    </row>
    <row r="60067" spans="119:119" x14ac:dyDescent="0.2">
      <c r="DO60067" s="303" t="s">
        <v>232</v>
      </c>
    </row>
    <row r="60068" spans="119:119" x14ac:dyDescent="0.2">
      <c r="DO60068" s="303" t="s">
        <v>232</v>
      </c>
    </row>
    <row r="60069" spans="119:119" x14ac:dyDescent="0.2">
      <c r="DO60069" s="303" t="s">
        <v>232</v>
      </c>
    </row>
    <row r="60070" spans="119:119" x14ac:dyDescent="0.2">
      <c r="DO60070" s="303" t="s">
        <v>232</v>
      </c>
    </row>
    <row r="60071" spans="119:119" x14ac:dyDescent="0.2">
      <c r="DO60071" s="303" t="s">
        <v>232</v>
      </c>
    </row>
    <row r="60072" spans="119:119" x14ac:dyDescent="0.2">
      <c r="DO60072" s="303" t="s">
        <v>232</v>
      </c>
    </row>
    <row r="60073" spans="119:119" x14ac:dyDescent="0.2">
      <c r="DO60073" s="303" t="s">
        <v>232</v>
      </c>
    </row>
    <row r="60074" spans="119:119" x14ac:dyDescent="0.2">
      <c r="DO60074" s="303" t="s">
        <v>232</v>
      </c>
    </row>
    <row r="60075" spans="119:119" x14ac:dyDescent="0.2">
      <c r="DO60075" s="303" t="s">
        <v>232</v>
      </c>
    </row>
    <row r="60076" spans="119:119" x14ac:dyDescent="0.2">
      <c r="DO60076" s="303" t="s">
        <v>232</v>
      </c>
    </row>
    <row r="60077" spans="119:119" x14ac:dyDescent="0.2">
      <c r="DO60077" s="303" t="s">
        <v>232</v>
      </c>
    </row>
    <row r="60078" spans="119:119" x14ac:dyDescent="0.2">
      <c r="DO60078" s="303" t="s">
        <v>232</v>
      </c>
    </row>
    <row r="60079" spans="119:119" x14ac:dyDescent="0.2">
      <c r="DO60079" s="303" t="s">
        <v>232</v>
      </c>
    </row>
    <row r="60080" spans="119:119" x14ac:dyDescent="0.2">
      <c r="DO60080" s="303" t="s">
        <v>232</v>
      </c>
    </row>
    <row r="60081" spans="119:119" x14ac:dyDescent="0.2">
      <c r="DO60081" s="303" t="s">
        <v>232</v>
      </c>
    </row>
    <row r="60082" spans="119:119" x14ac:dyDescent="0.2">
      <c r="DO60082" s="303" t="s">
        <v>232</v>
      </c>
    </row>
    <row r="60083" spans="119:119" x14ac:dyDescent="0.2">
      <c r="DO60083" s="303" t="s">
        <v>232</v>
      </c>
    </row>
    <row r="60084" spans="119:119" x14ac:dyDescent="0.2">
      <c r="DO60084" s="303" t="s">
        <v>232</v>
      </c>
    </row>
    <row r="60085" spans="119:119" x14ac:dyDescent="0.2">
      <c r="DO60085" s="303" t="s">
        <v>232</v>
      </c>
    </row>
    <row r="60086" spans="119:119" x14ac:dyDescent="0.2">
      <c r="DO60086" s="303" t="s">
        <v>232</v>
      </c>
    </row>
    <row r="60087" spans="119:119" x14ac:dyDescent="0.2">
      <c r="DO60087" s="303" t="s">
        <v>232</v>
      </c>
    </row>
    <row r="60088" spans="119:119" x14ac:dyDescent="0.2">
      <c r="DO60088" s="303" t="s">
        <v>232</v>
      </c>
    </row>
    <row r="60089" spans="119:119" x14ac:dyDescent="0.2">
      <c r="DO60089" s="303" t="s">
        <v>232</v>
      </c>
    </row>
    <row r="60090" spans="119:119" x14ac:dyDescent="0.2">
      <c r="DO60090" s="303" t="s">
        <v>232</v>
      </c>
    </row>
    <row r="60091" spans="119:119" x14ac:dyDescent="0.2">
      <c r="DO60091" s="303" t="s">
        <v>232</v>
      </c>
    </row>
    <row r="60092" spans="119:119" x14ac:dyDescent="0.2">
      <c r="DO60092" s="303" t="s">
        <v>232</v>
      </c>
    </row>
    <row r="60093" spans="119:119" x14ac:dyDescent="0.2">
      <c r="DO60093" s="303" t="s">
        <v>232</v>
      </c>
    </row>
    <row r="60094" spans="119:119" x14ac:dyDescent="0.2">
      <c r="DO60094" s="303" t="s">
        <v>232</v>
      </c>
    </row>
    <row r="60095" spans="119:119" x14ac:dyDescent="0.2">
      <c r="DO60095" s="303" t="s">
        <v>232</v>
      </c>
    </row>
    <row r="60096" spans="119:119" x14ac:dyDescent="0.2">
      <c r="DO60096" s="303" t="s">
        <v>232</v>
      </c>
    </row>
    <row r="60097" spans="119:119" x14ac:dyDescent="0.2">
      <c r="DO60097" s="303" t="s">
        <v>232</v>
      </c>
    </row>
    <row r="60098" spans="119:119" x14ac:dyDescent="0.2">
      <c r="DO60098" s="303" t="s">
        <v>232</v>
      </c>
    </row>
    <row r="60099" spans="119:119" x14ac:dyDescent="0.2">
      <c r="DO60099" s="303" t="s">
        <v>232</v>
      </c>
    </row>
    <row r="60100" spans="119:119" x14ac:dyDescent="0.2">
      <c r="DO60100" s="303" t="s">
        <v>232</v>
      </c>
    </row>
    <row r="60101" spans="119:119" x14ac:dyDescent="0.2">
      <c r="DO60101" s="303" t="s">
        <v>232</v>
      </c>
    </row>
    <row r="60102" spans="119:119" x14ac:dyDescent="0.2">
      <c r="DO60102" s="303" t="s">
        <v>232</v>
      </c>
    </row>
    <row r="60103" spans="119:119" x14ac:dyDescent="0.2">
      <c r="DO60103" s="303" t="s">
        <v>232</v>
      </c>
    </row>
    <row r="60104" spans="119:119" x14ac:dyDescent="0.2">
      <c r="DO60104" s="303" t="s">
        <v>232</v>
      </c>
    </row>
    <row r="60105" spans="119:119" x14ac:dyDescent="0.2">
      <c r="DO60105" s="303" t="s">
        <v>232</v>
      </c>
    </row>
    <row r="60106" spans="119:119" x14ac:dyDescent="0.2">
      <c r="DO60106" s="303" t="s">
        <v>232</v>
      </c>
    </row>
    <row r="60107" spans="119:119" x14ac:dyDescent="0.2">
      <c r="DO60107" s="303" t="s">
        <v>232</v>
      </c>
    </row>
    <row r="60108" spans="119:119" x14ac:dyDescent="0.2">
      <c r="DO60108" s="303" t="s">
        <v>232</v>
      </c>
    </row>
    <row r="60109" spans="119:119" x14ac:dyDescent="0.2">
      <c r="DO60109" s="303" t="s">
        <v>232</v>
      </c>
    </row>
    <row r="60110" spans="119:119" x14ac:dyDescent="0.2">
      <c r="DO60110" s="303" t="s">
        <v>232</v>
      </c>
    </row>
    <row r="60111" spans="119:119" x14ac:dyDescent="0.2">
      <c r="DO60111" s="303" t="s">
        <v>232</v>
      </c>
    </row>
    <row r="60112" spans="119:119" x14ac:dyDescent="0.2">
      <c r="DO60112" s="303" t="s">
        <v>232</v>
      </c>
    </row>
    <row r="60113" spans="119:119" x14ac:dyDescent="0.2">
      <c r="DO60113" s="303" t="s">
        <v>232</v>
      </c>
    </row>
    <row r="60114" spans="119:119" x14ac:dyDescent="0.2">
      <c r="DO60114" s="303" t="s">
        <v>232</v>
      </c>
    </row>
    <row r="60115" spans="119:119" x14ac:dyDescent="0.2">
      <c r="DO60115" s="303" t="s">
        <v>232</v>
      </c>
    </row>
    <row r="60116" spans="119:119" x14ac:dyDescent="0.2">
      <c r="DO60116" s="303" t="s">
        <v>232</v>
      </c>
    </row>
    <row r="60117" spans="119:119" x14ac:dyDescent="0.2">
      <c r="DO60117" s="303" t="s">
        <v>232</v>
      </c>
    </row>
    <row r="60118" spans="119:119" x14ac:dyDescent="0.2">
      <c r="DO60118" s="303" t="s">
        <v>232</v>
      </c>
    </row>
    <row r="60119" spans="119:119" x14ac:dyDescent="0.2">
      <c r="DO60119" s="303" t="s">
        <v>232</v>
      </c>
    </row>
    <row r="60120" spans="119:119" x14ac:dyDescent="0.2">
      <c r="DO60120" s="303" t="s">
        <v>232</v>
      </c>
    </row>
    <row r="60121" spans="119:119" x14ac:dyDescent="0.2">
      <c r="DO60121" s="303" t="s">
        <v>232</v>
      </c>
    </row>
    <row r="60122" spans="119:119" x14ac:dyDescent="0.2">
      <c r="DO60122" s="303" t="s">
        <v>232</v>
      </c>
    </row>
    <row r="60123" spans="119:119" x14ac:dyDescent="0.2">
      <c r="DO60123" s="303" t="s">
        <v>232</v>
      </c>
    </row>
    <row r="60124" spans="119:119" x14ac:dyDescent="0.2">
      <c r="DO60124" s="303" t="s">
        <v>232</v>
      </c>
    </row>
    <row r="60125" spans="119:119" x14ac:dyDescent="0.2">
      <c r="DO60125" s="303" t="s">
        <v>232</v>
      </c>
    </row>
    <row r="60126" spans="119:119" x14ac:dyDescent="0.2">
      <c r="DO60126" s="303" t="s">
        <v>232</v>
      </c>
    </row>
    <row r="60127" spans="119:119" x14ac:dyDescent="0.2">
      <c r="DO60127" s="303" t="s">
        <v>232</v>
      </c>
    </row>
    <row r="60128" spans="119:119" x14ac:dyDescent="0.2">
      <c r="DO60128" s="303" t="s">
        <v>232</v>
      </c>
    </row>
    <row r="60129" spans="119:119" x14ac:dyDescent="0.2">
      <c r="DO60129" s="303" t="s">
        <v>232</v>
      </c>
    </row>
    <row r="60130" spans="119:119" x14ac:dyDescent="0.2">
      <c r="DO60130" s="303" t="s">
        <v>232</v>
      </c>
    </row>
    <row r="60131" spans="119:119" x14ac:dyDescent="0.2">
      <c r="DO60131" s="303" t="s">
        <v>232</v>
      </c>
    </row>
    <row r="60132" spans="119:119" x14ac:dyDescent="0.2">
      <c r="DO60132" s="303" t="s">
        <v>232</v>
      </c>
    </row>
    <row r="60133" spans="119:119" x14ac:dyDescent="0.2">
      <c r="DO60133" s="303" t="s">
        <v>232</v>
      </c>
    </row>
    <row r="60134" spans="119:119" x14ac:dyDescent="0.2">
      <c r="DO60134" s="303" t="s">
        <v>232</v>
      </c>
    </row>
    <row r="60135" spans="119:119" x14ac:dyDescent="0.2">
      <c r="DO60135" s="303" t="s">
        <v>232</v>
      </c>
    </row>
    <row r="60136" spans="119:119" x14ac:dyDescent="0.2">
      <c r="DO60136" s="303" t="s">
        <v>232</v>
      </c>
    </row>
    <row r="60137" spans="119:119" x14ac:dyDescent="0.2">
      <c r="DO60137" s="303" t="s">
        <v>232</v>
      </c>
    </row>
    <row r="60138" spans="119:119" x14ac:dyDescent="0.2">
      <c r="DO60138" s="303" t="s">
        <v>232</v>
      </c>
    </row>
    <row r="60139" spans="119:119" x14ac:dyDescent="0.2">
      <c r="DO60139" s="303" t="s">
        <v>232</v>
      </c>
    </row>
    <row r="60140" spans="119:119" x14ac:dyDescent="0.2">
      <c r="DO60140" s="303" t="s">
        <v>232</v>
      </c>
    </row>
    <row r="60141" spans="119:119" x14ac:dyDescent="0.2">
      <c r="DO60141" s="303" t="s">
        <v>232</v>
      </c>
    </row>
    <row r="60142" spans="119:119" x14ac:dyDescent="0.2">
      <c r="DO60142" s="303" t="s">
        <v>232</v>
      </c>
    </row>
    <row r="60143" spans="119:119" x14ac:dyDescent="0.2">
      <c r="DO60143" s="303" t="s">
        <v>232</v>
      </c>
    </row>
    <row r="60144" spans="119:119" x14ac:dyDescent="0.2">
      <c r="DO60144" s="303" t="s">
        <v>232</v>
      </c>
    </row>
    <row r="60145" spans="119:119" x14ac:dyDescent="0.2">
      <c r="DO60145" s="303" t="s">
        <v>232</v>
      </c>
    </row>
    <row r="60146" spans="119:119" x14ac:dyDescent="0.2">
      <c r="DO60146" s="303" t="s">
        <v>232</v>
      </c>
    </row>
    <row r="60147" spans="119:119" x14ac:dyDescent="0.2">
      <c r="DO60147" s="303" t="s">
        <v>232</v>
      </c>
    </row>
    <row r="60148" spans="119:119" x14ac:dyDescent="0.2">
      <c r="DO60148" s="303" t="s">
        <v>232</v>
      </c>
    </row>
    <row r="60149" spans="119:119" x14ac:dyDescent="0.2">
      <c r="DO60149" s="303" t="s">
        <v>232</v>
      </c>
    </row>
    <row r="60150" spans="119:119" x14ac:dyDescent="0.2">
      <c r="DO60150" s="303" t="s">
        <v>232</v>
      </c>
    </row>
    <row r="60151" spans="119:119" x14ac:dyDescent="0.2">
      <c r="DO60151" s="303" t="s">
        <v>232</v>
      </c>
    </row>
    <row r="60152" spans="119:119" x14ac:dyDescent="0.2">
      <c r="DO60152" s="303" t="s">
        <v>232</v>
      </c>
    </row>
    <row r="60153" spans="119:119" x14ac:dyDescent="0.2">
      <c r="DO60153" s="303" t="s">
        <v>232</v>
      </c>
    </row>
    <row r="60154" spans="119:119" x14ac:dyDescent="0.2">
      <c r="DO60154" s="303" t="s">
        <v>232</v>
      </c>
    </row>
    <row r="60155" spans="119:119" x14ac:dyDescent="0.2">
      <c r="DO60155" s="303" t="s">
        <v>232</v>
      </c>
    </row>
    <row r="60156" spans="119:119" x14ac:dyDescent="0.2">
      <c r="DO60156" s="303" t="s">
        <v>232</v>
      </c>
    </row>
    <row r="60157" spans="119:119" x14ac:dyDescent="0.2">
      <c r="DO60157" s="303" t="s">
        <v>232</v>
      </c>
    </row>
    <row r="60158" spans="119:119" x14ac:dyDescent="0.2">
      <c r="DO60158" s="303" t="s">
        <v>232</v>
      </c>
    </row>
    <row r="60159" spans="119:119" x14ac:dyDescent="0.2">
      <c r="DO60159" s="303" t="s">
        <v>232</v>
      </c>
    </row>
    <row r="60160" spans="119:119" x14ac:dyDescent="0.2">
      <c r="DO60160" s="303" t="s">
        <v>232</v>
      </c>
    </row>
    <row r="60161" spans="119:119" x14ac:dyDescent="0.2">
      <c r="DO60161" s="303" t="s">
        <v>232</v>
      </c>
    </row>
    <row r="60162" spans="119:119" x14ac:dyDescent="0.2">
      <c r="DO60162" s="303" t="s">
        <v>232</v>
      </c>
    </row>
    <row r="60163" spans="119:119" x14ac:dyDescent="0.2">
      <c r="DO60163" s="303" t="s">
        <v>232</v>
      </c>
    </row>
    <row r="60164" spans="119:119" x14ac:dyDescent="0.2">
      <c r="DO60164" s="303" t="s">
        <v>232</v>
      </c>
    </row>
    <row r="60165" spans="119:119" x14ac:dyDescent="0.2">
      <c r="DO60165" s="303" t="s">
        <v>232</v>
      </c>
    </row>
    <row r="60166" spans="119:119" x14ac:dyDescent="0.2">
      <c r="DO60166" s="303" t="s">
        <v>232</v>
      </c>
    </row>
    <row r="60167" spans="119:119" x14ac:dyDescent="0.2">
      <c r="DO60167" s="303" t="s">
        <v>232</v>
      </c>
    </row>
    <row r="60168" spans="119:119" x14ac:dyDescent="0.2">
      <c r="DO60168" s="303" t="s">
        <v>232</v>
      </c>
    </row>
    <row r="60169" spans="119:119" x14ac:dyDescent="0.2">
      <c r="DO60169" s="303" t="s">
        <v>232</v>
      </c>
    </row>
    <row r="60170" spans="119:119" x14ac:dyDescent="0.2">
      <c r="DO60170" s="303" t="s">
        <v>232</v>
      </c>
    </row>
    <row r="60171" spans="119:119" x14ac:dyDescent="0.2">
      <c r="DO60171" s="303" t="s">
        <v>232</v>
      </c>
    </row>
    <row r="60172" spans="119:119" x14ac:dyDescent="0.2">
      <c r="DO60172" s="303" t="s">
        <v>232</v>
      </c>
    </row>
    <row r="60173" spans="119:119" x14ac:dyDescent="0.2">
      <c r="DO60173" s="303" t="s">
        <v>232</v>
      </c>
    </row>
    <row r="60174" spans="119:119" x14ac:dyDescent="0.2">
      <c r="DO60174" s="303" t="s">
        <v>232</v>
      </c>
    </row>
    <row r="60175" spans="119:119" x14ac:dyDescent="0.2">
      <c r="DO60175" s="303" t="s">
        <v>232</v>
      </c>
    </row>
    <row r="60176" spans="119:119" x14ac:dyDescent="0.2">
      <c r="DO60176" s="303" t="s">
        <v>232</v>
      </c>
    </row>
    <row r="60177" spans="119:119" x14ac:dyDescent="0.2">
      <c r="DO60177" s="303" t="s">
        <v>232</v>
      </c>
    </row>
    <row r="60178" spans="119:119" x14ac:dyDescent="0.2">
      <c r="DO60178" s="303" t="s">
        <v>232</v>
      </c>
    </row>
    <row r="60179" spans="119:119" x14ac:dyDescent="0.2">
      <c r="DO60179" s="303" t="s">
        <v>232</v>
      </c>
    </row>
    <row r="60180" spans="119:119" x14ac:dyDescent="0.2">
      <c r="DO60180" s="303" t="s">
        <v>232</v>
      </c>
    </row>
    <row r="60181" spans="119:119" x14ac:dyDescent="0.2">
      <c r="DO60181" s="303" t="s">
        <v>232</v>
      </c>
    </row>
    <row r="60182" spans="119:119" x14ac:dyDescent="0.2">
      <c r="DO60182" s="303" t="s">
        <v>232</v>
      </c>
    </row>
    <row r="60183" spans="119:119" x14ac:dyDescent="0.2">
      <c r="DO60183" s="303" t="s">
        <v>232</v>
      </c>
    </row>
    <row r="60184" spans="119:119" x14ac:dyDescent="0.2">
      <c r="DO60184" s="303" t="s">
        <v>232</v>
      </c>
    </row>
    <row r="60185" spans="119:119" x14ac:dyDescent="0.2">
      <c r="DO60185" s="303" t="s">
        <v>232</v>
      </c>
    </row>
    <row r="60186" spans="119:119" x14ac:dyDescent="0.2">
      <c r="DO60186" s="303" t="s">
        <v>232</v>
      </c>
    </row>
    <row r="60187" spans="119:119" x14ac:dyDescent="0.2">
      <c r="DO60187" s="303" t="s">
        <v>232</v>
      </c>
    </row>
    <row r="60188" spans="119:119" x14ac:dyDescent="0.2">
      <c r="DO60188" s="303" t="s">
        <v>232</v>
      </c>
    </row>
    <row r="60189" spans="119:119" x14ac:dyDescent="0.2">
      <c r="DO60189" s="303" t="s">
        <v>232</v>
      </c>
    </row>
    <row r="60190" spans="119:119" x14ac:dyDescent="0.2">
      <c r="DO60190" s="303" t="s">
        <v>232</v>
      </c>
    </row>
    <row r="60191" spans="119:119" x14ac:dyDescent="0.2">
      <c r="DO60191" s="303" t="s">
        <v>232</v>
      </c>
    </row>
    <row r="60192" spans="119:119" x14ac:dyDescent="0.2">
      <c r="DO60192" s="303" t="s">
        <v>232</v>
      </c>
    </row>
    <row r="60193" spans="119:119" x14ac:dyDescent="0.2">
      <c r="DO60193" s="303" t="s">
        <v>232</v>
      </c>
    </row>
    <row r="60194" spans="119:119" x14ac:dyDescent="0.2">
      <c r="DO60194" s="303" t="s">
        <v>232</v>
      </c>
    </row>
    <row r="60195" spans="119:119" x14ac:dyDescent="0.2">
      <c r="DO60195" s="303" t="s">
        <v>232</v>
      </c>
    </row>
    <row r="60196" spans="119:119" x14ac:dyDescent="0.2">
      <c r="DO60196" s="303" t="s">
        <v>232</v>
      </c>
    </row>
    <row r="60197" spans="119:119" x14ac:dyDescent="0.2">
      <c r="DO60197" s="303" t="s">
        <v>232</v>
      </c>
    </row>
    <row r="60198" spans="119:119" x14ac:dyDescent="0.2">
      <c r="DO60198" s="303" t="s">
        <v>232</v>
      </c>
    </row>
    <row r="60199" spans="119:119" x14ac:dyDescent="0.2">
      <c r="DO60199" s="303" t="s">
        <v>232</v>
      </c>
    </row>
    <row r="60200" spans="119:119" x14ac:dyDescent="0.2">
      <c r="DO60200" s="303" t="s">
        <v>232</v>
      </c>
    </row>
    <row r="60201" spans="119:119" x14ac:dyDescent="0.2">
      <c r="DO60201" s="303" t="s">
        <v>232</v>
      </c>
    </row>
    <row r="60202" spans="119:119" x14ac:dyDescent="0.2">
      <c r="DO60202" s="303" t="s">
        <v>232</v>
      </c>
    </row>
    <row r="60203" spans="119:119" x14ac:dyDescent="0.2">
      <c r="DO60203" s="303" t="s">
        <v>232</v>
      </c>
    </row>
    <row r="60204" spans="119:119" x14ac:dyDescent="0.2">
      <c r="DO60204" s="303" t="s">
        <v>232</v>
      </c>
    </row>
    <row r="60205" spans="119:119" x14ac:dyDescent="0.2">
      <c r="DO60205" s="303" t="s">
        <v>232</v>
      </c>
    </row>
    <row r="60206" spans="119:119" x14ac:dyDescent="0.2">
      <c r="DO60206" s="303" t="s">
        <v>232</v>
      </c>
    </row>
    <row r="60207" spans="119:119" x14ac:dyDescent="0.2">
      <c r="DO60207" s="303" t="s">
        <v>232</v>
      </c>
    </row>
    <row r="60208" spans="119:119" x14ac:dyDescent="0.2">
      <c r="DO60208" s="303" t="s">
        <v>232</v>
      </c>
    </row>
    <row r="60209" spans="119:119" x14ac:dyDescent="0.2">
      <c r="DO60209" s="303" t="s">
        <v>232</v>
      </c>
    </row>
    <row r="60210" spans="119:119" x14ac:dyDescent="0.2">
      <c r="DO60210" s="303" t="s">
        <v>232</v>
      </c>
    </row>
    <row r="60211" spans="119:119" x14ac:dyDescent="0.2">
      <c r="DO60211" s="303" t="s">
        <v>232</v>
      </c>
    </row>
    <row r="60212" spans="119:119" x14ac:dyDescent="0.2">
      <c r="DO60212" s="303" t="s">
        <v>232</v>
      </c>
    </row>
    <row r="60213" spans="119:119" x14ac:dyDescent="0.2">
      <c r="DO60213" s="303" t="s">
        <v>232</v>
      </c>
    </row>
    <row r="60214" spans="119:119" x14ac:dyDescent="0.2">
      <c r="DO60214" s="303" t="s">
        <v>232</v>
      </c>
    </row>
    <row r="60215" spans="119:119" x14ac:dyDescent="0.2">
      <c r="DO60215" s="303" t="s">
        <v>232</v>
      </c>
    </row>
    <row r="60216" spans="119:119" x14ac:dyDescent="0.2">
      <c r="DO60216" s="303" t="s">
        <v>232</v>
      </c>
    </row>
    <row r="60217" spans="119:119" x14ac:dyDescent="0.2">
      <c r="DO60217" s="303" t="s">
        <v>232</v>
      </c>
    </row>
    <row r="60218" spans="119:119" x14ac:dyDescent="0.2">
      <c r="DO60218" s="303" t="s">
        <v>232</v>
      </c>
    </row>
    <row r="60219" spans="119:119" x14ac:dyDescent="0.2">
      <c r="DO60219" s="303" t="s">
        <v>232</v>
      </c>
    </row>
    <row r="60220" spans="119:119" x14ac:dyDescent="0.2">
      <c r="DO60220" s="303" t="s">
        <v>232</v>
      </c>
    </row>
    <row r="60221" spans="119:119" x14ac:dyDescent="0.2">
      <c r="DO60221" s="303" t="s">
        <v>232</v>
      </c>
    </row>
    <row r="60222" spans="119:119" x14ac:dyDescent="0.2">
      <c r="DO60222" s="303" t="s">
        <v>232</v>
      </c>
    </row>
    <row r="60223" spans="119:119" x14ac:dyDescent="0.2">
      <c r="DO60223" s="303" t="s">
        <v>232</v>
      </c>
    </row>
    <row r="60224" spans="119:119" x14ac:dyDescent="0.2">
      <c r="DO60224" s="303" t="s">
        <v>232</v>
      </c>
    </row>
    <row r="60225" spans="119:119" x14ac:dyDescent="0.2">
      <c r="DO60225" s="303" t="s">
        <v>232</v>
      </c>
    </row>
    <row r="60226" spans="119:119" x14ac:dyDescent="0.2">
      <c r="DO60226" s="303" t="s">
        <v>232</v>
      </c>
    </row>
    <row r="60227" spans="119:119" x14ac:dyDescent="0.2">
      <c r="DO60227" s="303" t="s">
        <v>232</v>
      </c>
    </row>
    <row r="60228" spans="119:119" x14ac:dyDescent="0.2">
      <c r="DO60228" s="303" t="s">
        <v>232</v>
      </c>
    </row>
    <row r="60229" spans="119:119" x14ac:dyDescent="0.2">
      <c r="DO60229" s="303" t="s">
        <v>232</v>
      </c>
    </row>
    <row r="60230" spans="119:119" x14ac:dyDescent="0.2">
      <c r="DO60230" s="303" t="s">
        <v>232</v>
      </c>
    </row>
    <row r="60231" spans="119:119" x14ac:dyDescent="0.2">
      <c r="DO60231" s="303" t="s">
        <v>232</v>
      </c>
    </row>
    <row r="60232" spans="119:119" x14ac:dyDescent="0.2">
      <c r="DO60232" s="303" t="s">
        <v>232</v>
      </c>
    </row>
    <row r="60233" spans="119:119" x14ac:dyDescent="0.2">
      <c r="DO60233" s="303" t="s">
        <v>232</v>
      </c>
    </row>
    <row r="60234" spans="119:119" x14ac:dyDescent="0.2">
      <c r="DO60234" s="303" t="s">
        <v>232</v>
      </c>
    </row>
    <row r="60235" spans="119:119" x14ac:dyDescent="0.2">
      <c r="DO60235" s="303" t="s">
        <v>232</v>
      </c>
    </row>
    <row r="60236" spans="119:119" x14ac:dyDescent="0.2">
      <c r="DO60236" s="303" t="s">
        <v>232</v>
      </c>
    </row>
    <row r="60237" spans="119:119" x14ac:dyDescent="0.2">
      <c r="DO60237" s="303" t="s">
        <v>232</v>
      </c>
    </row>
    <row r="60238" spans="119:119" x14ac:dyDescent="0.2">
      <c r="DO60238" s="303" t="s">
        <v>232</v>
      </c>
    </row>
    <row r="60239" spans="119:119" x14ac:dyDescent="0.2">
      <c r="DO60239" s="303" t="s">
        <v>232</v>
      </c>
    </row>
    <row r="60240" spans="119:119" x14ac:dyDescent="0.2">
      <c r="DO60240" s="303" t="s">
        <v>232</v>
      </c>
    </row>
    <row r="60241" spans="119:119" x14ac:dyDescent="0.2">
      <c r="DO60241" s="303" t="s">
        <v>232</v>
      </c>
    </row>
    <row r="60242" spans="119:119" x14ac:dyDescent="0.2">
      <c r="DO60242" s="303" t="s">
        <v>232</v>
      </c>
    </row>
    <row r="60243" spans="119:119" x14ac:dyDescent="0.2">
      <c r="DO60243" s="303" t="s">
        <v>232</v>
      </c>
    </row>
    <row r="60244" spans="119:119" x14ac:dyDescent="0.2">
      <c r="DO60244" s="303" t="s">
        <v>232</v>
      </c>
    </row>
    <row r="60245" spans="119:119" x14ac:dyDescent="0.2">
      <c r="DO60245" s="303" t="s">
        <v>232</v>
      </c>
    </row>
    <row r="60246" spans="119:119" x14ac:dyDescent="0.2">
      <c r="DO60246" s="303" t="s">
        <v>232</v>
      </c>
    </row>
    <row r="60247" spans="119:119" x14ac:dyDescent="0.2">
      <c r="DO60247" s="303" t="s">
        <v>232</v>
      </c>
    </row>
    <row r="60248" spans="119:119" x14ac:dyDescent="0.2">
      <c r="DO60248" s="303" t="s">
        <v>232</v>
      </c>
    </row>
    <row r="60249" spans="119:119" x14ac:dyDescent="0.2">
      <c r="DO60249" s="303" t="s">
        <v>232</v>
      </c>
    </row>
    <row r="60250" spans="119:119" x14ac:dyDescent="0.2">
      <c r="DO60250" s="303" t="s">
        <v>232</v>
      </c>
    </row>
    <row r="60251" spans="119:119" x14ac:dyDescent="0.2">
      <c r="DO60251" s="303" t="s">
        <v>232</v>
      </c>
    </row>
    <row r="60252" spans="119:119" x14ac:dyDescent="0.2">
      <c r="DO60252" s="303" t="s">
        <v>232</v>
      </c>
    </row>
    <row r="60253" spans="119:119" x14ac:dyDescent="0.2">
      <c r="DO60253" s="303" t="s">
        <v>232</v>
      </c>
    </row>
    <row r="60254" spans="119:119" x14ac:dyDescent="0.2">
      <c r="DO60254" s="303" t="s">
        <v>232</v>
      </c>
    </row>
    <row r="60255" spans="119:119" x14ac:dyDescent="0.2">
      <c r="DO60255" s="303" t="s">
        <v>232</v>
      </c>
    </row>
    <row r="60256" spans="119:119" x14ac:dyDescent="0.2">
      <c r="DO60256" s="303" t="s">
        <v>232</v>
      </c>
    </row>
    <row r="60257" spans="119:119" x14ac:dyDescent="0.2">
      <c r="DO60257" s="303" t="s">
        <v>232</v>
      </c>
    </row>
    <row r="60258" spans="119:119" x14ac:dyDescent="0.2">
      <c r="DO60258" s="303" t="s">
        <v>232</v>
      </c>
    </row>
    <row r="60259" spans="119:119" x14ac:dyDescent="0.2">
      <c r="DO60259" s="303" t="s">
        <v>232</v>
      </c>
    </row>
    <row r="60260" spans="119:119" x14ac:dyDescent="0.2">
      <c r="DO60260" s="303" t="s">
        <v>232</v>
      </c>
    </row>
    <row r="60261" spans="119:119" x14ac:dyDescent="0.2">
      <c r="DO60261" s="303" t="s">
        <v>232</v>
      </c>
    </row>
    <row r="60262" spans="119:119" x14ac:dyDescent="0.2">
      <c r="DO60262" s="303" t="s">
        <v>232</v>
      </c>
    </row>
    <row r="60263" spans="119:119" x14ac:dyDescent="0.2">
      <c r="DO60263" s="303" t="s">
        <v>232</v>
      </c>
    </row>
    <row r="60264" spans="119:119" x14ac:dyDescent="0.2">
      <c r="DO60264" s="303" t="s">
        <v>232</v>
      </c>
    </row>
    <row r="60265" spans="119:119" x14ac:dyDescent="0.2">
      <c r="DO60265" s="303" t="s">
        <v>232</v>
      </c>
    </row>
    <row r="60266" spans="119:119" x14ac:dyDescent="0.2">
      <c r="DO60266" s="303" t="s">
        <v>232</v>
      </c>
    </row>
    <row r="60267" spans="119:119" x14ac:dyDescent="0.2">
      <c r="DO60267" s="303" t="s">
        <v>232</v>
      </c>
    </row>
    <row r="60268" spans="119:119" x14ac:dyDescent="0.2">
      <c r="DO60268" s="303" t="s">
        <v>232</v>
      </c>
    </row>
    <row r="60269" spans="119:119" x14ac:dyDescent="0.2">
      <c r="DO60269" s="303" t="s">
        <v>232</v>
      </c>
    </row>
    <row r="60270" spans="119:119" x14ac:dyDescent="0.2">
      <c r="DO60270" s="303" t="s">
        <v>232</v>
      </c>
    </row>
    <row r="60271" spans="119:119" x14ac:dyDescent="0.2">
      <c r="DO60271" s="303" t="s">
        <v>232</v>
      </c>
    </row>
    <row r="60272" spans="119:119" x14ac:dyDescent="0.2">
      <c r="DO60272" s="303" t="s">
        <v>232</v>
      </c>
    </row>
    <row r="60273" spans="119:119" x14ac:dyDescent="0.2">
      <c r="DO60273" s="303" t="s">
        <v>232</v>
      </c>
    </row>
    <row r="60274" spans="119:119" x14ac:dyDescent="0.2">
      <c r="DO60274" s="303" t="s">
        <v>232</v>
      </c>
    </row>
    <row r="60275" spans="119:119" x14ac:dyDescent="0.2">
      <c r="DO60275" s="303" t="s">
        <v>232</v>
      </c>
    </row>
    <row r="60276" spans="119:119" x14ac:dyDescent="0.2">
      <c r="DO60276" s="303" t="s">
        <v>232</v>
      </c>
    </row>
    <row r="60277" spans="119:119" x14ac:dyDescent="0.2">
      <c r="DO60277" s="303" t="s">
        <v>232</v>
      </c>
    </row>
    <row r="60278" spans="119:119" x14ac:dyDescent="0.2">
      <c r="DO60278" s="303" t="s">
        <v>232</v>
      </c>
    </row>
    <row r="60279" spans="119:119" x14ac:dyDescent="0.2">
      <c r="DO60279" s="303" t="s">
        <v>232</v>
      </c>
    </row>
    <row r="60280" spans="119:119" x14ac:dyDescent="0.2">
      <c r="DO60280" s="303" t="s">
        <v>232</v>
      </c>
    </row>
    <row r="60281" spans="119:119" x14ac:dyDescent="0.2">
      <c r="DO60281" s="303" t="s">
        <v>232</v>
      </c>
    </row>
    <row r="60282" spans="119:119" x14ac:dyDescent="0.2">
      <c r="DO60282" s="303" t="s">
        <v>232</v>
      </c>
    </row>
    <row r="60283" spans="119:119" x14ac:dyDescent="0.2">
      <c r="DO60283" s="303" t="s">
        <v>232</v>
      </c>
    </row>
    <row r="60284" spans="119:119" x14ac:dyDescent="0.2">
      <c r="DO60284" s="303" t="s">
        <v>232</v>
      </c>
    </row>
    <row r="60285" spans="119:119" x14ac:dyDescent="0.2">
      <c r="DO60285" s="303" t="s">
        <v>232</v>
      </c>
    </row>
    <row r="60286" spans="119:119" x14ac:dyDescent="0.2">
      <c r="DO60286" s="303" t="s">
        <v>232</v>
      </c>
    </row>
    <row r="60287" spans="119:119" x14ac:dyDescent="0.2">
      <c r="DO60287" s="303" t="s">
        <v>232</v>
      </c>
    </row>
    <row r="60288" spans="119:119" x14ac:dyDescent="0.2">
      <c r="DO60288" s="303" t="s">
        <v>232</v>
      </c>
    </row>
    <row r="60289" spans="119:119" x14ac:dyDescent="0.2">
      <c r="DO60289" s="303" t="s">
        <v>232</v>
      </c>
    </row>
    <row r="60290" spans="119:119" x14ac:dyDescent="0.2">
      <c r="DO60290" s="303" t="s">
        <v>232</v>
      </c>
    </row>
    <row r="60291" spans="119:119" x14ac:dyDescent="0.2">
      <c r="DO60291" s="303" t="s">
        <v>232</v>
      </c>
    </row>
    <row r="60292" spans="119:119" x14ac:dyDescent="0.2">
      <c r="DO60292" s="303" t="s">
        <v>232</v>
      </c>
    </row>
    <row r="60293" spans="119:119" x14ac:dyDescent="0.2">
      <c r="DO60293" s="303" t="s">
        <v>232</v>
      </c>
    </row>
    <row r="60294" spans="119:119" x14ac:dyDescent="0.2">
      <c r="DO60294" s="303" t="s">
        <v>232</v>
      </c>
    </row>
    <row r="60295" spans="119:119" x14ac:dyDescent="0.2">
      <c r="DO60295" s="303" t="s">
        <v>232</v>
      </c>
    </row>
    <row r="60296" spans="119:119" x14ac:dyDescent="0.2">
      <c r="DO60296" s="303" t="s">
        <v>232</v>
      </c>
    </row>
    <row r="60297" spans="119:119" x14ac:dyDescent="0.2">
      <c r="DO60297" s="303" t="s">
        <v>232</v>
      </c>
    </row>
    <row r="60298" spans="119:119" x14ac:dyDescent="0.2">
      <c r="DO60298" s="303" t="s">
        <v>232</v>
      </c>
    </row>
    <row r="60299" spans="119:119" x14ac:dyDescent="0.2">
      <c r="DO60299" s="303" t="s">
        <v>232</v>
      </c>
    </row>
    <row r="60300" spans="119:119" x14ac:dyDescent="0.2">
      <c r="DO60300" s="303" t="s">
        <v>232</v>
      </c>
    </row>
    <row r="60301" spans="119:119" x14ac:dyDescent="0.2">
      <c r="DO60301" s="303" t="s">
        <v>232</v>
      </c>
    </row>
    <row r="60302" spans="119:119" x14ac:dyDescent="0.2">
      <c r="DO60302" s="303" t="s">
        <v>232</v>
      </c>
    </row>
    <row r="60303" spans="119:119" x14ac:dyDescent="0.2">
      <c r="DO60303" s="303" t="s">
        <v>232</v>
      </c>
    </row>
    <row r="60304" spans="119:119" x14ac:dyDescent="0.2">
      <c r="DO60304" s="303" t="s">
        <v>232</v>
      </c>
    </row>
    <row r="60305" spans="119:119" x14ac:dyDescent="0.2">
      <c r="DO60305" s="303" t="s">
        <v>232</v>
      </c>
    </row>
    <row r="60306" spans="119:119" x14ac:dyDescent="0.2">
      <c r="DO60306" s="303" t="s">
        <v>232</v>
      </c>
    </row>
    <row r="60307" spans="119:119" x14ac:dyDescent="0.2">
      <c r="DO60307" s="303" t="s">
        <v>232</v>
      </c>
    </row>
    <row r="60308" spans="119:119" x14ac:dyDescent="0.2">
      <c r="DO60308" s="303" t="s">
        <v>232</v>
      </c>
    </row>
    <row r="60309" spans="119:119" x14ac:dyDescent="0.2">
      <c r="DO60309" s="303" t="s">
        <v>232</v>
      </c>
    </row>
    <row r="60310" spans="119:119" x14ac:dyDescent="0.2">
      <c r="DO60310" s="303" t="s">
        <v>232</v>
      </c>
    </row>
    <row r="60311" spans="119:119" x14ac:dyDescent="0.2">
      <c r="DO60311" s="303" t="s">
        <v>232</v>
      </c>
    </row>
    <row r="60312" spans="119:119" x14ac:dyDescent="0.2">
      <c r="DO60312" s="303" t="s">
        <v>232</v>
      </c>
    </row>
    <row r="60313" spans="119:119" x14ac:dyDescent="0.2">
      <c r="DO60313" s="303" t="s">
        <v>232</v>
      </c>
    </row>
    <row r="60314" spans="119:119" x14ac:dyDescent="0.2">
      <c r="DO60314" s="303" t="s">
        <v>232</v>
      </c>
    </row>
    <row r="60315" spans="119:119" x14ac:dyDescent="0.2">
      <c r="DO60315" s="303" t="s">
        <v>232</v>
      </c>
    </row>
    <row r="60316" spans="119:119" x14ac:dyDescent="0.2">
      <c r="DO60316" s="303" t="s">
        <v>232</v>
      </c>
    </row>
    <row r="60317" spans="119:119" x14ac:dyDescent="0.2">
      <c r="DO60317" s="303" t="s">
        <v>232</v>
      </c>
    </row>
    <row r="60318" spans="119:119" x14ac:dyDescent="0.2">
      <c r="DO60318" s="303" t="s">
        <v>232</v>
      </c>
    </row>
    <row r="60319" spans="119:119" x14ac:dyDescent="0.2">
      <c r="DO60319" s="303" t="s">
        <v>232</v>
      </c>
    </row>
    <row r="60320" spans="119:119" x14ac:dyDescent="0.2">
      <c r="DO60320" s="303" t="s">
        <v>232</v>
      </c>
    </row>
    <row r="60321" spans="119:119" x14ac:dyDescent="0.2">
      <c r="DO60321" s="303" t="s">
        <v>232</v>
      </c>
    </row>
    <row r="60322" spans="119:119" x14ac:dyDescent="0.2">
      <c r="DO60322" s="303" t="s">
        <v>232</v>
      </c>
    </row>
    <row r="60323" spans="119:119" x14ac:dyDescent="0.2">
      <c r="DO60323" s="303" t="s">
        <v>232</v>
      </c>
    </row>
    <row r="60324" spans="119:119" x14ac:dyDescent="0.2">
      <c r="DO60324" s="303" t="s">
        <v>232</v>
      </c>
    </row>
    <row r="60325" spans="119:119" x14ac:dyDescent="0.2">
      <c r="DO60325" s="303" t="s">
        <v>232</v>
      </c>
    </row>
    <row r="60326" spans="119:119" x14ac:dyDescent="0.2">
      <c r="DO60326" s="303" t="s">
        <v>232</v>
      </c>
    </row>
    <row r="60327" spans="119:119" x14ac:dyDescent="0.2">
      <c r="DO60327" s="303" t="s">
        <v>232</v>
      </c>
    </row>
    <row r="60328" spans="119:119" x14ac:dyDescent="0.2">
      <c r="DO60328" s="303" t="s">
        <v>232</v>
      </c>
    </row>
    <row r="60329" spans="119:119" x14ac:dyDescent="0.2">
      <c r="DO60329" s="303" t="s">
        <v>232</v>
      </c>
    </row>
    <row r="60330" spans="119:119" x14ac:dyDescent="0.2">
      <c r="DO60330" s="303" t="s">
        <v>232</v>
      </c>
    </row>
    <row r="60331" spans="119:119" x14ac:dyDescent="0.2">
      <c r="DO60331" s="303" t="s">
        <v>232</v>
      </c>
    </row>
    <row r="60332" spans="119:119" x14ac:dyDescent="0.2">
      <c r="DO60332" s="303" t="s">
        <v>232</v>
      </c>
    </row>
    <row r="60333" spans="119:119" x14ac:dyDescent="0.2">
      <c r="DO60333" s="303" t="s">
        <v>232</v>
      </c>
    </row>
    <row r="60334" spans="119:119" x14ac:dyDescent="0.2">
      <c r="DO60334" s="303" t="s">
        <v>232</v>
      </c>
    </row>
    <row r="60335" spans="119:119" x14ac:dyDescent="0.2">
      <c r="DO60335" s="303" t="s">
        <v>232</v>
      </c>
    </row>
    <row r="60336" spans="119:119" x14ac:dyDescent="0.2">
      <c r="DO60336" s="303" t="s">
        <v>232</v>
      </c>
    </row>
    <row r="60337" spans="119:119" x14ac:dyDescent="0.2">
      <c r="DO60337" s="303" t="s">
        <v>232</v>
      </c>
    </row>
    <row r="60338" spans="119:119" x14ac:dyDescent="0.2">
      <c r="DO60338" s="303" t="s">
        <v>232</v>
      </c>
    </row>
    <row r="60339" spans="119:119" x14ac:dyDescent="0.2">
      <c r="DO60339" s="303" t="s">
        <v>232</v>
      </c>
    </row>
    <row r="60340" spans="119:119" x14ac:dyDescent="0.2">
      <c r="DO60340" s="303" t="s">
        <v>232</v>
      </c>
    </row>
    <row r="60341" spans="119:119" x14ac:dyDescent="0.2">
      <c r="DO60341" s="303" t="s">
        <v>232</v>
      </c>
    </row>
    <row r="60342" spans="119:119" x14ac:dyDescent="0.2">
      <c r="DO60342" s="303" t="s">
        <v>232</v>
      </c>
    </row>
    <row r="60343" spans="119:119" x14ac:dyDescent="0.2">
      <c r="DO60343" s="303" t="s">
        <v>232</v>
      </c>
    </row>
    <row r="60344" spans="119:119" x14ac:dyDescent="0.2">
      <c r="DO60344" s="303" t="s">
        <v>232</v>
      </c>
    </row>
    <row r="60345" spans="119:119" x14ac:dyDescent="0.2">
      <c r="DO60345" s="303" t="s">
        <v>232</v>
      </c>
    </row>
    <row r="60346" spans="119:119" x14ac:dyDescent="0.2">
      <c r="DO60346" s="303" t="s">
        <v>232</v>
      </c>
    </row>
    <row r="60347" spans="119:119" x14ac:dyDescent="0.2">
      <c r="DO60347" s="303" t="s">
        <v>232</v>
      </c>
    </row>
    <row r="60348" spans="119:119" x14ac:dyDescent="0.2">
      <c r="DO60348" s="303" t="s">
        <v>232</v>
      </c>
    </row>
    <row r="60349" spans="119:119" x14ac:dyDescent="0.2">
      <c r="DO60349" s="303" t="s">
        <v>232</v>
      </c>
    </row>
    <row r="60350" spans="119:119" x14ac:dyDescent="0.2">
      <c r="DO60350" s="303" t="s">
        <v>232</v>
      </c>
    </row>
    <row r="60351" spans="119:119" x14ac:dyDescent="0.2">
      <c r="DO60351" s="303" t="s">
        <v>232</v>
      </c>
    </row>
    <row r="60352" spans="119:119" x14ac:dyDescent="0.2">
      <c r="DO60352" s="303" t="s">
        <v>232</v>
      </c>
    </row>
    <row r="60353" spans="119:119" x14ac:dyDescent="0.2">
      <c r="DO60353" s="303" t="s">
        <v>232</v>
      </c>
    </row>
    <row r="60354" spans="119:119" x14ac:dyDescent="0.2">
      <c r="DO60354" s="303" t="s">
        <v>232</v>
      </c>
    </row>
    <row r="60355" spans="119:119" x14ac:dyDescent="0.2">
      <c r="DO60355" s="303" t="s">
        <v>232</v>
      </c>
    </row>
    <row r="60356" spans="119:119" x14ac:dyDescent="0.2">
      <c r="DO60356" s="303" t="s">
        <v>232</v>
      </c>
    </row>
    <row r="60357" spans="119:119" x14ac:dyDescent="0.2">
      <c r="DO60357" s="303" t="s">
        <v>232</v>
      </c>
    </row>
    <row r="60358" spans="119:119" x14ac:dyDescent="0.2">
      <c r="DO60358" s="303" t="s">
        <v>232</v>
      </c>
    </row>
    <row r="60359" spans="119:119" x14ac:dyDescent="0.2">
      <c r="DO60359" s="303" t="s">
        <v>232</v>
      </c>
    </row>
    <row r="60360" spans="119:119" x14ac:dyDescent="0.2">
      <c r="DO60360" s="303" t="s">
        <v>232</v>
      </c>
    </row>
    <row r="60361" spans="119:119" x14ac:dyDescent="0.2">
      <c r="DO60361" s="303" t="s">
        <v>232</v>
      </c>
    </row>
    <row r="60362" spans="119:119" x14ac:dyDescent="0.2">
      <c r="DO60362" s="303" t="s">
        <v>232</v>
      </c>
    </row>
    <row r="60363" spans="119:119" x14ac:dyDescent="0.2">
      <c r="DO60363" s="303" t="s">
        <v>232</v>
      </c>
    </row>
    <row r="60364" spans="119:119" x14ac:dyDescent="0.2">
      <c r="DO60364" s="303" t="s">
        <v>232</v>
      </c>
    </row>
    <row r="60365" spans="119:119" x14ac:dyDescent="0.2">
      <c r="DO60365" s="303" t="s">
        <v>232</v>
      </c>
    </row>
    <row r="60366" spans="119:119" x14ac:dyDescent="0.2">
      <c r="DO60366" s="303" t="s">
        <v>232</v>
      </c>
    </row>
    <row r="60367" spans="119:119" x14ac:dyDescent="0.2">
      <c r="DO60367" s="303" t="s">
        <v>232</v>
      </c>
    </row>
    <row r="60368" spans="119:119" x14ac:dyDescent="0.2">
      <c r="DO60368" s="303" t="s">
        <v>232</v>
      </c>
    </row>
    <row r="60369" spans="119:119" x14ac:dyDescent="0.2">
      <c r="DO60369" s="303" t="s">
        <v>232</v>
      </c>
    </row>
    <row r="60370" spans="119:119" x14ac:dyDescent="0.2">
      <c r="DO60370" s="303" t="s">
        <v>232</v>
      </c>
    </row>
    <row r="60371" spans="119:119" x14ac:dyDescent="0.2">
      <c r="DO60371" s="303" t="s">
        <v>232</v>
      </c>
    </row>
    <row r="60372" spans="119:119" x14ac:dyDescent="0.2">
      <c r="DO60372" s="303" t="s">
        <v>232</v>
      </c>
    </row>
    <row r="60373" spans="119:119" x14ac:dyDescent="0.2">
      <c r="DO60373" s="303" t="s">
        <v>232</v>
      </c>
    </row>
    <row r="60374" spans="119:119" x14ac:dyDescent="0.2">
      <c r="DO60374" s="303" t="s">
        <v>232</v>
      </c>
    </row>
    <row r="60375" spans="119:119" x14ac:dyDescent="0.2">
      <c r="DO60375" s="303" t="s">
        <v>232</v>
      </c>
    </row>
    <row r="60376" spans="119:119" x14ac:dyDescent="0.2">
      <c r="DO60376" s="303" t="s">
        <v>232</v>
      </c>
    </row>
    <row r="60377" spans="119:119" x14ac:dyDescent="0.2">
      <c r="DO60377" s="303" t="s">
        <v>232</v>
      </c>
    </row>
    <row r="60378" spans="119:119" x14ac:dyDescent="0.2">
      <c r="DO60378" s="303" t="s">
        <v>232</v>
      </c>
    </row>
    <row r="60379" spans="119:119" x14ac:dyDescent="0.2">
      <c r="DO60379" s="303" t="s">
        <v>232</v>
      </c>
    </row>
    <row r="60380" spans="119:119" x14ac:dyDescent="0.2">
      <c r="DO60380" s="303" t="s">
        <v>232</v>
      </c>
    </row>
    <row r="60381" spans="119:119" x14ac:dyDescent="0.2">
      <c r="DO60381" s="303" t="s">
        <v>232</v>
      </c>
    </row>
    <row r="60382" spans="119:119" x14ac:dyDescent="0.2">
      <c r="DO60382" s="303" t="s">
        <v>232</v>
      </c>
    </row>
    <row r="60383" spans="119:119" x14ac:dyDescent="0.2">
      <c r="DO60383" s="303" t="s">
        <v>232</v>
      </c>
    </row>
    <row r="60384" spans="119:119" x14ac:dyDescent="0.2">
      <c r="DO60384" s="303" t="s">
        <v>232</v>
      </c>
    </row>
    <row r="60385" spans="119:119" x14ac:dyDescent="0.2">
      <c r="DO60385" s="303" t="s">
        <v>232</v>
      </c>
    </row>
    <row r="60386" spans="119:119" x14ac:dyDescent="0.2">
      <c r="DO60386" s="303" t="s">
        <v>232</v>
      </c>
    </row>
    <row r="60387" spans="119:119" x14ac:dyDescent="0.2">
      <c r="DO60387" s="303" t="s">
        <v>232</v>
      </c>
    </row>
    <row r="60388" spans="119:119" x14ac:dyDescent="0.2">
      <c r="DO60388" s="303" t="s">
        <v>232</v>
      </c>
    </row>
    <row r="60389" spans="119:119" x14ac:dyDescent="0.2">
      <c r="DO60389" s="303" t="s">
        <v>232</v>
      </c>
    </row>
    <row r="60390" spans="119:119" x14ac:dyDescent="0.2">
      <c r="DO60390" s="303" t="s">
        <v>232</v>
      </c>
    </row>
    <row r="60391" spans="119:119" x14ac:dyDescent="0.2">
      <c r="DO60391" s="303" t="s">
        <v>232</v>
      </c>
    </row>
    <row r="60392" spans="119:119" x14ac:dyDescent="0.2">
      <c r="DO60392" s="303" t="s">
        <v>232</v>
      </c>
    </row>
    <row r="60393" spans="119:119" x14ac:dyDescent="0.2">
      <c r="DO60393" s="303" t="s">
        <v>232</v>
      </c>
    </row>
    <row r="60394" spans="119:119" x14ac:dyDescent="0.2">
      <c r="DO60394" s="303" t="s">
        <v>232</v>
      </c>
    </row>
    <row r="60395" spans="119:119" x14ac:dyDescent="0.2">
      <c r="DO60395" s="303" t="s">
        <v>232</v>
      </c>
    </row>
    <row r="60396" spans="119:119" x14ac:dyDescent="0.2">
      <c r="DO60396" s="303" t="s">
        <v>232</v>
      </c>
    </row>
    <row r="60397" spans="119:119" x14ac:dyDescent="0.2">
      <c r="DO60397" s="303" t="s">
        <v>232</v>
      </c>
    </row>
    <row r="60398" spans="119:119" x14ac:dyDescent="0.2">
      <c r="DO60398" s="303" t="s">
        <v>232</v>
      </c>
    </row>
    <row r="60399" spans="119:119" x14ac:dyDescent="0.2">
      <c r="DO60399" s="303" t="s">
        <v>232</v>
      </c>
    </row>
    <row r="60400" spans="119:119" x14ac:dyDescent="0.2">
      <c r="DO60400" s="303" t="s">
        <v>232</v>
      </c>
    </row>
    <row r="60401" spans="119:119" x14ac:dyDescent="0.2">
      <c r="DO60401" s="303" t="s">
        <v>232</v>
      </c>
    </row>
    <row r="60402" spans="119:119" x14ac:dyDescent="0.2">
      <c r="DO60402" s="303" t="s">
        <v>232</v>
      </c>
    </row>
    <row r="60403" spans="119:119" x14ac:dyDescent="0.2">
      <c r="DO60403" s="303" t="s">
        <v>232</v>
      </c>
    </row>
    <row r="60404" spans="119:119" x14ac:dyDescent="0.2">
      <c r="DO60404" s="303" t="s">
        <v>232</v>
      </c>
    </row>
    <row r="60405" spans="119:119" x14ac:dyDescent="0.2">
      <c r="DO60405" s="303" t="s">
        <v>232</v>
      </c>
    </row>
    <row r="60406" spans="119:119" x14ac:dyDescent="0.2">
      <c r="DO60406" s="303" t="s">
        <v>232</v>
      </c>
    </row>
    <row r="60407" spans="119:119" x14ac:dyDescent="0.2">
      <c r="DO60407" s="303" t="s">
        <v>232</v>
      </c>
    </row>
    <row r="60408" spans="119:119" x14ac:dyDescent="0.2">
      <c r="DO60408" s="303" t="s">
        <v>232</v>
      </c>
    </row>
    <row r="60409" spans="119:119" x14ac:dyDescent="0.2">
      <c r="DO60409" s="303" t="s">
        <v>232</v>
      </c>
    </row>
    <row r="60410" spans="119:119" x14ac:dyDescent="0.2">
      <c r="DO60410" s="303" t="s">
        <v>232</v>
      </c>
    </row>
    <row r="60411" spans="119:119" x14ac:dyDescent="0.2">
      <c r="DO60411" s="303" t="s">
        <v>232</v>
      </c>
    </row>
    <row r="60412" spans="119:119" x14ac:dyDescent="0.2">
      <c r="DO60412" s="303" t="s">
        <v>232</v>
      </c>
    </row>
    <row r="60413" spans="119:119" x14ac:dyDescent="0.2">
      <c r="DO60413" s="303" t="s">
        <v>232</v>
      </c>
    </row>
    <row r="60414" spans="119:119" x14ac:dyDescent="0.2">
      <c r="DO60414" s="303" t="s">
        <v>232</v>
      </c>
    </row>
    <row r="60415" spans="119:119" x14ac:dyDescent="0.2">
      <c r="DO60415" s="303" t="s">
        <v>232</v>
      </c>
    </row>
    <row r="60416" spans="119:119" x14ac:dyDescent="0.2">
      <c r="DO60416" s="303" t="s">
        <v>232</v>
      </c>
    </row>
    <row r="60417" spans="119:119" x14ac:dyDescent="0.2">
      <c r="DO60417" s="303" t="s">
        <v>232</v>
      </c>
    </row>
    <row r="60418" spans="119:119" x14ac:dyDescent="0.2">
      <c r="DO60418" s="303" t="s">
        <v>232</v>
      </c>
    </row>
    <row r="60419" spans="119:119" x14ac:dyDescent="0.2">
      <c r="DO60419" s="303" t="s">
        <v>232</v>
      </c>
    </row>
    <row r="60420" spans="119:119" x14ac:dyDescent="0.2">
      <c r="DO60420" s="303" t="s">
        <v>232</v>
      </c>
    </row>
    <row r="60421" spans="119:119" x14ac:dyDescent="0.2">
      <c r="DO60421" s="303" t="s">
        <v>232</v>
      </c>
    </row>
    <row r="60422" spans="119:119" x14ac:dyDescent="0.2">
      <c r="DO60422" s="303" t="s">
        <v>232</v>
      </c>
    </row>
    <row r="60423" spans="119:119" x14ac:dyDescent="0.2">
      <c r="DO60423" s="303" t="s">
        <v>232</v>
      </c>
    </row>
    <row r="60424" spans="119:119" x14ac:dyDescent="0.2">
      <c r="DO60424" s="303" t="s">
        <v>232</v>
      </c>
    </row>
    <row r="60425" spans="119:119" x14ac:dyDescent="0.2">
      <c r="DO60425" s="303" t="s">
        <v>232</v>
      </c>
    </row>
    <row r="60426" spans="119:119" x14ac:dyDescent="0.2">
      <c r="DO60426" s="303" t="s">
        <v>232</v>
      </c>
    </row>
    <row r="60427" spans="119:119" x14ac:dyDescent="0.2">
      <c r="DO60427" s="303" t="s">
        <v>232</v>
      </c>
    </row>
    <row r="60428" spans="119:119" x14ac:dyDescent="0.2">
      <c r="DO60428" s="303" t="s">
        <v>232</v>
      </c>
    </row>
    <row r="60429" spans="119:119" x14ac:dyDescent="0.2">
      <c r="DO60429" s="303" t="s">
        <v>232</v>
      </c>
    </row>
    <row r="60430" spans="119:119" x14ac:dyDescent="0.2">
      <c r="DO60430" s="303" t="s">
        <v>232</v>
      </c>
    </row>
    <row r="60431" spans="119:119" x14ac:dyDescent="0.2">
      <c r="DO60431" s="303" t="s">
        <v>232</v>
      </c>
    </row>
    <row r="60432" spans="119:119" x14ac:dyDescent="0.2">
      <c r="DO60432" s="303" t="s">
        <v>232</v>
      </c>
    </row>
    <row r="60433" spans="119:119" x14ac:dyDescent="0.2">
      <c r="DO60433" s="303" t="s">
        <v>232</v>
      </c>
    </row>
    <row r="60434" spans="119:119" x14ac:dyDescent="0.2">
      <c r="DO60434" s="303" t="s">
        <v>232</v>
      </c>
    </row>
    <row r="60435" spans="119:119" x14ac:dyDescent="0.2">
      <c r="DO60435" s="303" t="s">
        <v>232</v>
      </c>
    </row>
    <row r="60436" spans="119:119" x14ac:dyDescent="0.2">
      <c r="DO60436" s="303" t="s">
        <v>232</v>
      </c>
    </row>
    <row r="60437" spans="119:119" x14ac:dyDescent="0.2">
      <c r="DO60437" s="303" t="s">
        <v>232</v>
      </c>
    </row>
    <row r="60438" spans="119:119" x14ac:dyDescent="0.2">
      <c r="DO60438" s="303" t="s">
        <v>232</v>
      </c>
    </row>
    <row r="60439" spans="119:119" x14ac:dyDescent="0.2">
      <c r="DO60439" s="303" t="s">
        <v>232</v>
      </c>
    </row>
    <row r="60440" spans="119:119" x14ac:dyDescent="0.2">
      <c r="DO60440" s="303" t="s">
        <v>232</v>
      </c>
    </row>
    <row r="60441" spans="119:119" x14ac:dyDescent="0.2">
      <c r="DO60441" s="303" t="s">
        <v>232</v>
      </c>
    </row>
    <row r="60442" spans="119:119" x14ac:dyDescent="0.2">
      <c r="DO60442" s="303" t="s">
        <v>232</v>
      </c>
    </row>
    <row r="60443" spans="119:119" x14ac:dyDescent="0.2">
      <c r="DO60443" s="303" t="s">
        <v>232</v>
      </c>
    </row>
    <row r="60444" spans="119:119" x14ac:dyDescent="0.2">
      <c r="DO60444" s="303" t="s">
        <v>232</v>
      </c>
    </row>
    <row r="60445" spans="119:119" x14ac:dyDescent="0.2">
      <c r="DO60445" s="303" t="s">
        <v>232</v>
      </c>
    </row>
    <row r="60446" spans="119:119" x14ac:dyDescent="0.2">
      <c r="DO60446" s="303" t="s">
        <v>232</v>
      </c>
    </row>
    <row r="60447" spans="119:119" x14ac:dyDescent="0.2">
      <c r="DO60447" s="303" t="s">
        <v>232</v>
      </c>
    </row>
    <row r="60448" spans="119:119" x14ac:dyDescent="0.2">
      <c r="DO60448" s="303" t="s">
        <v>232</v>
      </c>
    </row>
    <row r="60449" spans="119:119" x14ac:dyDescent="0.2">
      <c r="DO60449" s="303" t="s">
        <v>232</v>
      </c>
    </row>
    <row r="60450" spans="119:119" x14ac:dyDescent="0.2">
      <c r="DO60450" s="303" t="s">
        <v>232</v>
      </c>
    </row>
    <row r="60451" spans="119:119" x14ac:dyDescent="0.2">
      <c r="DO60451" s="303" t="s">
        <v>232</v>
      </c>
    </row>
    <row r="60452" spans="119:119" x14ac:dyDescent="0.2">
      <c r="DO60452" s="303" t="s">
        <v>232</v>
      </c>
    </row>
    <row r="60453" spans="119:119" x14ac:dyDescent="0.2">
      <c r="DO60453" s="303" t="s">
        <v>232</v>
      </c>
    </row>
    <row r="60454" spans="119:119" x14ac:dyDescent="0.2">
      <c r="DO60454" s="303" t="s">
        <v>232</v>
      </c>
    </row>
    <row r="60455" spans="119:119" x14ac:dyDescent="0.2">
      <c r="DO60455" s="303" t="s">
        <v>232</v>
      </c>
    </row>
    <row r="60456" spans="119:119" x14ac:dyDescent="0.2">
      <c r="DO60456" s="303" t="s">
        <v>232</v>
      </c>
    </row>
    <row r="60457" spans="119:119" x14ac:dyDescent="0.2">
      <c r="DO60457" s="303" t="s">
        <v>232</v>
      </c>
    </row>
    <row r="60458" spans="119:119" x14ac:dyDescent="0.2">
      <c r="DO60458" s="303" t="s">
        <v>232</v>
      </c>
    </row>
    <row r="60459" spans="119:119" x14ac:dyDescent="0.2">
      <c r="DO60459" s="303" t="s">
        <v>232</v>
      </c>
    </row>
    <row r="60460" spans="119:119" x14ac:dyDescent="0.2">
      <c r="DO60460" s="303" t="s">
        <v>232</v>
      </c>
    </row>
    <row r="60461" spans="119:119" x14ac:dyDescent="0.2">
      <c r="DO60461" s="303" t="s">
        <v>232</v>
      </c>
    </row>
    <row r="60462" spans="119:119" x14ac:dyDescent="0.2">
      <c r="DO60462" s="303" t="s">
        <v>232</v>
      </c>
    </row>
    <row r="60463" spans="119:119" x14ac:dyDescent="0.2">
      <c r="DO60463" s="303" t="s">
        <v>232</v>
      </c>
    </row>
    <row r="60464" spans="119:119" x14ac:dyDescent="0.2">
      <c r="DO60464" s="303" t="s">
        <v>232</v>
      </c>
    </row>
    <row r="60465" spans="119:119" x14ac:dyDescent="0.2">
      <c r="DO60465" s="303" t="s">
        <v>232</v>
      </c>
    </row>
    <row r="60466" spans="119:119" x14ac:dyDescent="0.2">
      <c r="DO60466" s="303" t="s">
        <v>232</v>
      </c>
    </row>
    <row r="60467" spans="119:119" x14ac:dyDescent="0.2">
      <c r="DO60467" s="303" t="s">
        <v>232</v>
      </c>
    </row>
    <row r="60468" spans="119:119" x14ac:dyDescent="0.2">
      <c r="DO60468" s="303" t="s">
        <v>232</v>
      </c>
    </row>
    <row r="60469" spans="119:119" x14ac:dyDescent="0.2">
      <c r="DO60469" s="303" t="s">
        <v>232</v>
      </c>
    </row>
    <row r="60470" spans="119:119" x14ac:dyDescent="0.2">
      <c r="DO60470" s="303" t="s">
        <v>232</v>
      </c>
    </row>
    <row r="60471" spans="119:119" x14ac:dyDescent="0.2">
      <c r="DO60471" s="303" t="s">
        <v>232</v>
      </c>
    </row>
    <row r="60472" spans="119:119" x14ac:dyDescent="0.2">
      <c r="DO60472" s="303" t="s">
        <v>232</v>
      </c>
    </row>
    <row r="60473" spans="119:119" x14ac:dyDescent="0.2">
      <c r="DO60473" s="303" t="s">
        <v>232</v>
      </c>
    </row>
    <row r="60474" spans="119:119" x14ac:dyDescent="0.2">
      <c r="DO60474" s="303" t="s">
        <v>232</v>
      </c>
    </row>
    <row r="60475" spans="119:119" x14ac:dyDescent="0.2">
      <c r="DO60475" s="303" t="s">
        <v>232</v>
      </c>
    </row>
    <row r="60476" spans="119:119" x14ac:dyDescent="0.2">
      <c r="DO60476" s="303" t="s">
        <v>232</v>
      </c>
    </row>
    <row r="60477" spans="119:119" x14ac:dyDescent="0.2">
      <c r="DO60477" s="303" t="s">
        <v>232</v>
      </c>
    </row>
    <row r="60478" spans="119:119" x14ac:dyDescent="0.2">
      <c r="DO60478" s="303" t="s">
        <v>232</v>
      </c>
    </row>
    <row r="60479" spans="119:119" x14ac:dyDescent="0.2">
      <c r="DO60479" s="303" t="s">
        <v>232</v>
      </c>
    </row>
    <row r="60480" spans="119:119" x14ac:dyDescent="0.2">
      <c r="DO60480" s="303" t="s">
        <v>232</v>
      </c>
    </row>
    <row r="60481" spans="119:119" x14ac:dyDescent="0.2">
      <c r="DO60481" s="303" t="s">
        <v>232</v>
      </c>
    </row>
    <row r="60482" spans="119:119" x14ac:dyDescent="0.2">
      <c r="DO60482" s="303" t="s">
        <v>232</v>
      </c>
    </row>
    <row r="60483" spans="119:119" x14ac:dyDescent="0.2">
      <c r="DO60483" s="303" t="s">
        <v>232</v>
      </c>
    </row>
    <row r="60484" spans="119:119" x14ac:dyDescent="0.2">
      <c r="DO60484" s="303" t="s">
        <v>232</v>
      </c>
    </row>
    <row r="60485" spans="119:119" x14ac:dyDescent="0.2">
      <c r="DO60485" s="303" t="s">
        <v>232</v>
      </c>
    </row>
    <row r="60486" spans="119:119" x14ac:dyDescent="0.2">
      <c r="DO60486" s="303" t="s">
        <v>232</v>
      </c>
    </row>
    <row r="60487" spans="119:119" x14ac:dyDescent="0.2">
      <c r="DO60487" s="303" t="s">
        <v>232</v>
      </c>
    </row>
    <row r="60488" spans="119:119" x14ac:dyDescent="0.2">
      <c r="DO60488" s="303" t="s">
        <v>232</v>
      </c>
    </row>
    <row r="60489" spans="119:119" x14ac:dyDescent="0.2">
      <c r="DO60489" s="303" t="s">
        <v>232</v>
      </c>
    </row>
    <row r="60490" spans="119:119" x14ac:dyDescent="0.2">
      <c r="DO60490" s="303" t="s">
        <v>232</v>
      </c>
    </row>
    <row r="60491" spans="119:119" x14ac:dyDescent="0.2">
      <c r="DO60491" s="303" t="s">
        <v>232</v>
      </c>
    </row>
    <row r="60492" spans="119:119" x14ac:dyDescent="0.2">
      <c r="DO60492" s="303" t="s">
        <v>232</v>
      </c>
    </row>
    <row r="60493" spans="119:119" x14ac:dyDescent="0.2">
      <c r="DO60493" s="303" t="s">
        <v>232</v>
      </c>
    </row>
    <row r="60494" spans="119:119" x14ac:dyDescent="0.2">
      <c r="DO60494" s="303" t="s">
        <v>232</v>
      </c>
    </row>
    <row r="60495" spans="119:119" x14ac:dyDescent="0.2">
      <c r="DO60495" s="303" t="s">
        <v>232</v>
      </c>
    </row>
    <row r="60496" spans="119:119" x14ac:dyDescent="0.2">
      <c r="DO60496" s="303" t="s">
        <v>232</v>
      </c>
    </row>
    <row r="60497" spans="119:119" x14ac:dyDescent="0.2">
      <c r="DO60497" s="303" t="s">
        <v>232</v>
      </c>
    </row>
    <row r="60498" spans="119:119" x14ac:dyDescent="0.2">
      <c r="DO60498" s="303" t="s">
        <v>232</v>
      </c>
    </row>
    <row r="60499" spans="119:119" x14ac:dyDescent="0.2">
      <c r="DO60499" s="303" t="s">
        <v>232</v>
      </c>
    </row>
    <row r="60500" spans="119:119" x14ac:dyDescent="0.2">
      <c r="DO60500" s="303" t="s">
        <v>232</v>
      </c>
    </row>
    <row r="60501" spans="119:119" x14ac:dyDescent="0.2">
      <c r="DO60501" s="303" t="s">
        <v>232</v>
      </c>
    </row>
    <row r="60502" spans="119:119" x14ac:dyDescent="0.2">
      <c r="DO60502" s="303" t="s">
        <v>232</v>
      </c>
    </row>
    <row r="60503" spans="119:119" x14ac:dyDescent="0.2">
      <c r="DO60503" s="303" t="s">
        <v>232</v>
      </c>
    </row>
    <row r="60504" spans="119:119" x14ac:dyDescent="0.2">
      <c r="DO60504" s="303" t="s">
        <v>232</v>
      </c>
    </row>
    <row r="60505" spans="119:119" x14ac:dyDescent="0.2">
      <c r="DO60505" s="303" t="s">
        <v>232</v>
      </c>
    </row>
    <row r="60506" spans="119:119" x14ac:dyDescent="0.2">
      <c r="DO60506" s="303" t="s">
        <v>232</v>
      </c>
    </row>
    <row r="60507" spans="119:119" x14ac:dyDescent="0.2">
      <c r="DO60507" s="303" t="s">
        <v>232</v>
      </c>
    </row>
    <row r="60508" spans="119:119" x14ac:dyDescent="0.2">
      <c r="DO60508" s="303" t="s">
        <v>232</v>
      </c>
    </row>
    <row r="60509" spans="119:119" x14ac:dyDescent="0.2">
      <c r="DO60509" s="303" t="s">
        <v>232</v>
      </c>
    </row>
    <row r="60510" spans="119:119" x14ac:dyDescent="0.2">
      <c r="DO60510" s="303" t="s">
        <v>232</v>
      </c>
    </row>
    <row r="60511" spans="119:119" x14ac:dyDescent="0.2">
      <c r="DO60511" s="303" t="s">
        <v>232</v>
      </c>
    </row>
    <row r="60512" spans="119:119" x14ac:dyDescent="0.2">
      <c r="DO60512" s="303" t="s">
        <v>232</v>
      </c>
    </row>
    <row r="60513" spans="119:119" x14ac:dyDescent="0.2">
      <c r="DO60513" s="303" t="s">
        <v>232</v>
      </c>
    </row>
    <row r="60514" spans="119:119" x14ac:dyDescent="0.2">
      <c r="DO60514" s="303" t="s">
        <v>232</v>
      </c>
    </row>
    <row r="60515" spans="119:119" x14ac:dyDescent="0.2">
      <c r="DO60515" s="303" t="s">
        <v>232</v>
      </c>
    </row>
    <row r="60516" spans="119:119" x14ac:dyDescent="0.2">
      <c r="DO60516" s="303" t="s">
        <v>232</v>
      </c>
    </row>
    <row r="60517" spans="119:119" x14ac:dyDescent="0.2">
      <c r="DO60517" s="303" t="s">
        <v>232</v>
      </c>
    </row>
    <row r="60518" spans="119:119" x14ac:dyDescent="0.2">
      <c r="DO60518" s="303" t="s">
        <v>232</v>
      </c>
    </row>
    <row r="60519" spans="119:119" x14ac:dyDescent="0.2">
      <c r="DO60519" s="303" t="s">
        <v>232</v>
      </c>
    </row>
    <row r="60520" spans="119:119" x14ac:dyDescent="0.2">
      <c r="DO60520" s="303" t="s">
        <v>232</v>
      </c>
    </row>
    <row r="60521" spans="119:119" x14ac:dyDescent="0.2">
      <c r="DO60521" s="303" t="s">
        <v>232</v>
      </c>
    </row>
    <row r="60522" spans="119:119" x14ac:dyDescent="0.2">
      <c r="DO60522" s="303" t="s">
        <v>232</v>
      </c>
    </row>
    <row r="60523" spans="119:119" x14ac:dyDescent="0.2">
      <c r="DO60523" s="303" t="s">
        <v>232</v>
      </c>
    </row>
    <row r="60524" spans="119:119" x14ac:dyDescent="0.2">
      <c r="DO60524" s="303" t="s">
        <v>232</v>
      </c>
    </row>
    <row r="60525" spans="119:119" x14ac:dyDescent="0.2">
      <c r="DO60525" s="303" t="s">
        <v>232</v>
      </c>
    </row>
    <row r="60526" spans="119:119" x14ac:dyDescent="0.2">
      <c r="DO60526" s="303" t="s">
        <v>232</v>
      </c>
    </row>
    <row r="60527" spans="119:119" x14ac:dyDescent="0.2">
      <c r="DO60527" s="303" t="s">
        <v>232</v>
      </c>
    </row>
    <row r="60528" spans="119:119" x14ac:dyDescent="0.2">
      <c r="DO60528" s="303" t="s">
        <v>232</v>
      </c>
    </row>
    <row r="60529" spans="119:119" x14ac:dyDescent="0.2">
      <c r="DO60529" s="303" t="s">
        <v>232</v>
      </c>
    </row>
    <row r="60530" spans="119:119" x14ac:dyDescent="0.2">
      <c r="DO60530" s="303" t="s">
        <v>232</v>
      </c>
    </row>
    <row r="60531" spans="119:119" x14ac:dyDescent="0.2">
      <c r="DO60531" s="303" t="s">
        <v>232</v>
      </c>
    </row>
    <row r="60532" spans="119:119" x14ac:dyDescent="0.2">
      <c r="DO60532" s="303" t="s">
        <v>232</v>
      </c>
    </row>
    <row r="60533" spans="119:119" x14ac:dyDescent="0.2">
      <c r="DO60533" s="303" t="s">
        <v>232</v>
      </c>
    </row>
    <row r="60534" spans="119:119" x14ac:dyDescent="0.2">
      <c r="DO60534" s="303" t="s">
        <v>232</v>
      </c>
    </row>
    <row r="60535" spans="119:119" x14ac:dyDescent="0.2">
      <c r="DO60535" s="303" t="s">
        <v>232</v>
      </c>
    </row>
    <row r="60536" spans="119:119" x14ac:dyDescent="0.2">
      <c r="DO60536" s="303" t="s">
        <v>232</v>
      </c>
    </row>
    <row r="60537" spans="119:119" x14ac:dyDescent="0.2">
      <c r="DO60537" s="303" t="s">
        <v>232</v>
      </c>
    </row>
    <row r="60538" spans="119:119" x14ac:dyDescent="0.2">
      <c r="DO60538" s="303" t="s">
        <v>232</v>
      </c>
    </row>
    <row r="60539" spans="119:119" x14ac:dyDescent="0.2">
      <c r="DO60539" s="303" t="s">
        <v>232</v>
      </c>
    </row>
    <row r="60540" spans="119:119" x14ac:dyDescent="0.2">
      <c r="DO60540" s="303" t="s">
        <v>232</v>
      </c>
    </row>
    <row r="60541" spans="119:119" x14ac:dyDescent="0.2">
      <c r="DO60541" s="303" t="s">
        <v>232</v>
      </c>
    </row>
    <row r="60542" spans="119:119" x14ac:dyDescent="0.2">
      <c r="DO60542" s="303" t="s">
        <v>232</v>
      </c>
    </row>
    <row r="60543" spans="119:119" x14ac:dyDescent="0.2">
      <c r="DO60543" s="303" t="s">
        <v>232</v>
      </c>
    </row>
    <row r="60544" spans="119:119" x14ac:dyDescent="0.2">
      <c r="DO60544" s="303" t="s">
        <v>232</v>
      </c>
    </row>
    <row r="60545" spans="119:119" x14ac:dyDescent="0.2">
      <c r="DO60545" s="303" t="s">
        <v>232</v>
      </c>
    </row>
    <row r="60546" spans="119:119" x14ac:dyDescent="0.2">
      <c r="DO60546" s="303" t="s">
        <v>232</v>
      </c>
    </row>
    <row r="60547" spans="119:119" x14ac:dyDescent="0.2">
      <c r="DO60547" s="303" t="s">
        <v>232</v>
      </c>
    </row>
    <row r="60548" spans="119:119" x14ac:dyDescent="0.2">
      <c r="DO60548" s="303" t="s">
        <v>232</v>
      </c>
    </row>
    <row r="60549" spans="119:119" x14ac:dyDescent="0.2">
      <c r="DO60549" s="303" t="s">
        <v>232</v>
      </c>
    </row>
    <row r="60550" spans="119:119" x14ac:dyDescent="0.2">
      <c r="DO60550" s="303" t="s">
        <v>232</v>
      </c>
    </row>
    <row r="60551" spans="119:119" x14ac:dyDescent="0.2">
      <c r="DO60551" s="303" t="s">
        <v>232</v>
      </c>
    </row>
    <row r="60552" spans="119:119" x14ac:dyDescent="0.2">
      <c r="DO60552" s="303" t="s">
        <v>232</v>
      </c>
    </row>
    <row r="60553" spans="119:119" x14ac:dyDescent="0.2">
      <c r="DO60553" s="303" t="s">
        <v>232</v>
      </c>
    </row>
    <row r="60554" spans="119:119" x14ac:dyDescent="0.2">
      <c r="DO60554" s="303" t="s">
        <v>232</v>
      </c>
    </row>
    <row r="60555" spans="119:119" x14ac:dyDescent="0.2">
      <c r="DO60555" s="303" t="s">
        <v>232</v>
      </c>
    </row>
    <row r="60556" spans="119:119" x14ac:dyDescent="0.2">
      <c r="DO60556" s="303" t="s">
        <v>232</v>
      </c>
    </row>
    <row r="60557" spans="119:119" x14ac:dyDescent="0.2">
      <c r="DO60557" s="303" t="s">
        <v>232</v>
      </c>
    </row>
    <row r="60558" spans="119:119" x14ac:dyDescent="0.2">
      <c r="DO60558" s="303" t="s">
        <v>232</v>
      </c>
    </row>
    <row r="60559" spans="119:119" x14ac:dyDescent="0.2">
      <c r="DO60559" s="303" t="s">
        <v>232</v>
      </c>
    </row>
    <row r="60560" spans="119:119" x14ac:dyDescent="0.2">
      <c r="DO60560" s="303" t="s">
        <v>232</v>
      </c>
    </row>
    <row r="60561" spans="119:119" x14ac:dyDescent="0.2">
      <c r="DO60561" s="303" t="s">
        <v>232</v>
      </c>
    </row>
    <row r="60562" spans="119:119" x14ac:dyDescent="0.2">
      <c r="DO60562" s="303" t="s">
        <v>232</v>
      </c>
    </row>
    <row r="60563" spans="119:119" x14ac:dyDescent="0.2">
      <c r="DO60563" s="303" t="s">
        <v>232</v>
      </c>
    </row>
    <row r="60564" spans="119:119" x14ac:dyDescent="0.2">
      <c r="DO60564" s="303" t="s">
        <v>232</v>
      </c>
    </row>
    <row r="60565" spans="119:119" x14ac:dyDescent="0.2">
      <c r="DO60565" s="303" t="s">
        <v>232</v>
      </c>
    </row>
    <row r="60566" spans="119:119" x14ac:dyDescent="0.2">
      <c r="DO60566" s="303" t="s">
        <v>232</v>
      </c>
    </row>
    <row r="60567" spans="119:119" x14ac:dyDescent="0.2">
      <c r="DO60567" s="303" t="s">
        <v>232</v>
      </c>
    </row>
    <row r="60568" spans="119:119" x14ac:dyDescent="0.2">
      <c r="DO60568" s="303" t="s">
        <v>232</v>
      </c>
    </row>
    <row r="60569" spans="119:119" x14ac:dyDescent="0.2">
      <c r="DO60569" s="303" t="s">
        <v>232</v>
      </c>
    </row>
    <row r="60570" spans="119:119" x14ac:dyDescent="0.2">
      <c r="DO60570" s="303" t="s">
        <v>232</v>
      </c>
    </row>
    <row r="60571" spans="119:119" x14ac:dyDescent="0.2">
      <c r="DO60571" s="303" t="s">
        <v>232</v>
      </c>
    </row>
    <row r="60572" spans="119:119" x14ac:dyDescent="0.2">
      <c r="DO60572" s="303" t="s">
        <v>232</v>
      </c>
    </row>
    <row r="60573" spans="119:119" x14ac:dyDescent="0.2">
      <c r="DO60573" s="303" t="s">
        <v>232</v>
      </c>
    </row>
    <row r="60574" spans="119:119" x14ac:dyDescent="0.2">
      <c r="DO60574" s="303" t="s">
        <v>232</v>
      </c>
    </row>
    <row r="60575" spans="119:119" x14ac:dyDescent="0.2">
      <c r="DO60575" s="303" t="s">
        <v>232</v>
      </c>
    </row>
    <row r="60576" spans="119:119" x14ac:dyDescent="0.2">
      <c r="DO60576" s="303" t="s">
        <v>232</v>
      </c>
    </row>
    <row r="60577" spans="119:119" x14ac:dyDescent="0.2">
      <c r="DO60577" s="303" t="s">
        <v>232</v>
      </c>
    </row>
    <row r="60578" spans="119:119" x14ac:dyDescent="0.2">
      <c r="DO60578" s="303" t="s">
        <v>232</v>
      </c>
    </row>
    <row r="60579" spans="119:119" x14ac:dyDescent="0.2">
      <c r="DO60579" s="303" t="s">
        <v>232</v>
      </c>
    </row>
    <row r="60580" spans="119:119" x14ac:dyDescent="0.2">
      <c r="DO60580" s="303" t="s">
        <v>232</v>
      </c>
    </row>
    <row r="60581" spans="119:119" x14ac:dyDescent="0.2">
      <c r="DO60581" s="303" t="s">
        <v>232</v>
      </c>
    </row>
    <row r="60582" spans="119:119" x14ac:dyDescent="0.2">
      <c r="DO60582" s="303" t="s">
        <v>232</v>
      </c>
    </row>
    <row r="60583" spans="119:119" x14ac:dyDescent="0.2">
      <c r="DO60583" s="303" t="s">
        <v>232</v>
      </c>
    </row>
    <row r="60584" spans="119:119" x14ac:dyDescent="0.2">
      <c r="DO60584" s="303" t="s">
        <v>232</v>
      </c>
    </row>
    <row r="60585" spans="119:119" x14ac:dyDescent="0.2">
      <c r="DO60585" s="303" t="s">
        <v>232</v>
      </c>
    </row>
    <row r="60586" spans="119:119" x14ac:dyDescent="0.2">
      <c r="DO60586" s="303" t="s">
        <v>232</v>
      </c>
    </row>
    <row r="60587" spans="119:119" x14ac:dyDescent="0.2">
      <c r="DO60587" s="303" t="s">
        <v>232</v>
      </c>
    </row>
    <row r="60588" spans="119:119" x14ac:dyDescent="0.2">
      <c r="DO60588" s="303" t="s">
        <v>232</v>
      </c>
    </row>
    <row r="60589" spans="119:119" x14ac:dyDescent="0.2">
      <c r="DO60589" s="303" t="s">
        <v>232</v>
      </c>
    </row>
    <row r="60590" spans="119:119" x14ac:dyDescent="0.2">
      <c r="DO60590" s="303" t="s">
        <v>232</v>
      </c>
    </row>
    <row r="60591" spans="119:119" x14ac:dyDescent="0.2">
      <c r="DO60591" s="303" t="s">
        <v>232</v>
      </c>
    </row>
    <row r="60592" spans="119:119" x14ac:dyDescent="0.2">
      <c r="DO60592" s="303" t="s">
        <v>232</v>
      </c>
    </row>
    <row r="60593" spans="119:119" x14ac:dyDescent="0.2">
      <c r="DO60593" s="303" t="s">
        <v>232</v>
      </c>
    </row>
    <row r="60594" spans="119:119" x14ac:dyDescent="0.2">
      <c r="DO60594" s="303" t="s">
        <v>232</v>
      </c>
    </row>
    <row r="60595" spans="119:119" x14ac:dyDescent="0.2">
      <c r="DO60595" s="303" t="s">
        <v>232</v>
      </c>
    </row>
    <row r="60596" spans="119:119" x14ac:dyDescent="0.2">
      <c r="DO60596" s="303" t="s">
        <v>232</v>
      </c>
    </row>
    <row r="60597" spans="119:119" x14ac:dyDescent="0.2">
      <c r="DO60597" s="303" t="s">
        <v>232</v>
      </c>
    </row>
    <row r="60598" spans="119:119" x14ac:dyDescent="0.2">
      <c r="DO60598" s="303" t="s">
        <v>232</v>
      </c>
    </row>
    <row r="60599" spans="119:119" x14ac:dyDescent="0.2">
      <c r="DO60599" s="303" t="s">
        <v>232</v>
      </c>
    </row>
    <row r="60600" spans="119:119" x14ac:dyDescent="0.2">
      <c r="DO60600" s="303" t="s">
        <v>232</v>
      </c>
    </row>
    <row r="60601" spans="119:119" x14ac:dyDescent="0.2">
      <c r="DO60601" s="303" t="s">
        <v>232</v>
      </c>
    </row>
    <row r="60602" spans="119:119" x14ac:dyDescent="0.2">
      <c r="DO60602" s="303" t="s">
        <v>232</v>
      </c>
    </row>
    <row r="60603" spans="119:119" x14ac:dyDescent="0.2">
      <c r="DO60603" s="303" t="s">
        <v>232</v>
      </c>
    </row>
    <row r="60604" spans="119:119" x14ac:dyDescent="0.2">
      <c r="DO60604" s="303" t="s">
        <v>232</v>
      </c>
    </row>
    <row r="60605" spans="119:119" x14ac:dyDescent="0.2">
      <c r="DO60605" s="303" t="s">
        <v>232</v>
      </c>
    </row>
    <row r="60606" spans="119:119" x14ac:dyDescent="0.2">
      <c r="DO60606" s="303" t="s">
        <v>232</v>
      </c>
    </row>
    <row r="60607" spans="119:119" x14ac:dyDescent="0.2">
      <c r="DO60607" s="303" t="s">
        <v>232</v>
      </c>
    </row>
    <row r="60608" spans="119:119" x14ac:dyDescent="0.2">
      <c r="DO60608" s="303" t="s">
        <v>232</v>
      </c>
    </row>
    <row r="60609" spans="119:119" x14ac:dyDescent="0.2">
      <c r="DO60609" s="303" t="s">
        <v>232</v>
      </c>
    </row>
    <row r="60610" spans="119:119" x14ac:dyDescent="0.2">
      <c r="DO60610" s="303" t="s">
        <v>232</v>
      </c>
    </row>
    <row r="60611" spans="119:119" x14ac:dyDescent="0.2">
      <c r="DO60611" s="303" t="s">
        <v>232</v>
      </c>
    </row>
    <row r="60612" spans="119:119" x14ac:dyDescent="0.2">
      <c r="DO60612" s="303" t="s">
        <v>232</v>
      </c>
    </row>
    <row r="60613" spans="119:119" x14ac:dyDescent="0.2">
      <c r="DO60613" s="303" t="s">
        <v>232</v>
      </c>
    </row>
    <row r="60614" spans="119:119" x14ac:dyDescent="0.2">
      <c r="DO60614" s="303" t="s">
        <v>232</v>
      </c>
    </row>
    <row r="60615" spans="119:119" x14ac:dyDescent="0.2">
      <c r="DO60615" s="303" t="s">
        <v>232</v>
      </c>
    </row>
    <row r="60616" spans="119:119" x14ac:dyDescent="0.2">
      <c r="DO60616" s="303" t="s">
        <v>232</v>
      </c>
    </row>
    <row r="60617" spans="119:119" x14ac:dyDescent="0.2">
      <c r="DO60617" s="303" t="s">
        <v>232</v>
      </c>
    </row>
    <row r="60618" spans="119:119" x14ac:dyDescent="0.2">
      <c r="DO60618" s="303" t="s">
        <v>232</v>
      </c>
    </row>
    <row r="60619" spans="119:119" x14ac:dyDescent="0.2">
      <c r="DO60619" s="303" t="s">
        <v>232</v>
      </c>
    </row>
    <row r="60620" spans="119:119" x14ac:dyDescent="0.2">
      <c r="DO60620" s="303" t="s">
        <v>232</v>
      </c>
    </row>
    <row r="60621" spans="119:119" x14ac:dyDescent="0.2">
      <c r="DO60621" s="303" t="s">
        <v>232</v>
      </c>
    </row>
    <row r="60622" spans="119:119" x14ac:dyDescent="0.2">
      <c r="DO60622" s="303" t="s">
        <v>232</v>
      </c>
    </row>
    <row r="60623" spans="119:119" x14ac:dyDescent="0.2">
      <c r="DO60623" s="303" t="s">
        <v>232</v>
      </c>
    </row>
    <row r="60624" spans="119:119" x14ac:dyDescent="0.2">
      <c r="DO60624" s="303" t="s">
        <v>232</v>
      </c>
    </row>
    <row r="60625" spans="119:119" x14ac:dyDescent="0.2">
      <c r="DO60625" s="303" t="s">
        <v>232</v>
      </c>
    </row>
    <row r="60626" spans="119:119" x14ac:dyDescent="0.2">
      <c r="DO60626" s="303" t="s">
        <v>232</v>
      </c>
    </row>
    <row r="60627" spans="119:119" x14ac:dyDescent="0.2">
      <c r="DO60627" s="303" t="s">
        <v>232</v>
      </c>
    </row>
    <row r="60628" spans="119:119" x14ac:dyDescent="0.2">
      <c r="DO60628" s="303" t="s">
        <v>232</v>
      </c>
    </row>
    <row r="60629" spans="119:119" x14ac:dyDescent="0.2">
      <c r="DO60629" s="303" t="s">
        <v>232</v>
      </c>
    </row>
    <row r="60630" spans="119:119" x14ac:dyDescent="0.2">
      <c r="DO60630" s="303" t="s">
        <v>232</v>
      </c>
    </row>
    <row r="60631" spans="119:119" x14ac:dyDescent="0.2">
      <c r="DO60631" s="303" t="s">
        <v>232</v>
      </c>
    </row>
    <row r="60632" spans="119:119" x14ac:dyDescent="0.2">
      <c r="DO60632" s="303" t="s">
        <v>232</v>
      </c>
    </row>
    <row r="60633" spans="119:119" x14ac:dyDescent="0.2">
      <c r="DO60633" s="303" t="s">
        <v>232</v>
      </c>
    </row>
    <row r="60634" spans="119:119" x14ac:dyDescent="0.2">
      <c r="DO60634" s="303" t="s">
        <v>232</v>
      </c>
    </row>
    <row r="60635" spans="119:119" x14ac:dyDescent="0.2">
      <c r="DO60635" s="303" t="s">
        <v>232</v>
      </c>
    </row>
    <row r="60636" spans="119:119" x14ac:dyDescent="0.2">
      <c r="DO60636" s="303" t="s">
        <v>232</v>
      </c>
    </row>
    <row r="60637" spans="119:119" x14ac:dyDescent="0.2">
      <c r="DO60637" s="303" t="s">
        <v>232</v>
      </c>
    </row>
    <row r="60638" spans="119:119" x14ac:dyDescent="0.2">
      <c r="DO60638" s="303" t="s">
        <v>232</v>
      </c>
    </row>
    <row r="60639" spans="119:119" x14ac:dyDescent="0.2">
      <c r="DO60639" s="303" t="s">
        <v>232</v>
      </c>
    </row>
    <row r="60640" spans="119:119" x14ac:dyDescent="0.2">
      <c r="DO60640" s="303" t="s">
        <v>232</v>
      </c>
    </row>
    <row r="60641" spans="119:119" x14ac:dyDescent="0.2">
      <c r="DO60641" s="303" t="s">
        <v>232</v>
      </c>
    </row>
    <row r="60642" spans="119:119" x14ac:dyDescent="0.2">
      <c r="DO60642" s="303" t="s">
        <v>232</v>
      </c>
    </row>
    <row r="60643" spans="119:119" x14ac:dyDescent="0.2">
      <c r="DO60643" s="303" t="s">
        <v>232</v>
      </c>
    </row>
    <row r="60644" spans="119:119" x14ac:dyDescent="0.2">
      <c r="DO60644" s="303" t="s">
        <v>232</v>
      </c>
    </row>
    <row r="60645" spans="119:119" x14ac:dyDescent="0.2">
      <c r="DO60645" s="303" t="s">
        <v>232</v>
      </c>
    </row>
    <row r="60646" spans="119:119" x14ac:dyDescent="0.2">
      <c r="DO60646" s="303" t="s">
        <v>232</v>
      </c>
    </row>
    <row r="60647" spans="119:119" x14ac:dyDescent="0.2">
      <c r="DO60647" s="303" t="s">
        <v>232</v>
      </c>
    </row>
    <row r="60648" spans="119:119" x14ac:dyDescent="0.2">
      <c r="DO60648" s="303" t="s">
        <v>232</v>
      </c>
    </row>
    <row r="60649" spans="119:119" x14ac:dyDescent="0.2">
      <c r="DO60649" s="303" t="s">
        <v>232</v>
      </c>
    </row>
    <row r="60650" spans="119:119" x14ac:dyDescent="0.2">
      <c r="DO60650" s="303" t="s">
        <v>232</v>
      </c>
    </row>
    <row r="60651" spans="119:119" x14ac:dyDescent="0.2">
      <c r="DO60651" s="303" t="s">
        <v>232</v>
      </c>
    </row>
    <row r="60652" spans="119:119" x14ac:dyDescent="0.2">
      <c r="DO60652" s="303" t="s">
        <v>232</v>
      </c>
    </row>
    <row r="60653" spans="119:119" x14ac:dyDescent="0.2">
      <c r="DO60653" s="303" t="s">
        <v>232</v>
      </c>
    </row>
    <row r="60654" spans="119:119" x14ac:dyDescent="0.2">
      <c r="DO60654" s="303" t="s">
        <v>232</v>
      </c>
    </row>
    <row r="60655" spans="119:119" x14ac:dyDescent="0.2">
      <c r="DO60655" s="303" t="s">
        <v>232</v>
      </c>
    </row>
    <row r="60656" spans="119:119" x14ac:dyDescent="0.2">
      <c r="DO60656" s="303" t="s">
        <v>232</v>
      </c>
    </row>
    <row r="60657" spans="119:119" x14ac:dyDescent="0.2">
      <c r="DO60657" s="303" t="s">
        <v>232</v>
      </c>
    </row>
    <row r="60658" spans="119:119" x14ac:dyDescent="0.2">
      <c r="DO60658" s="303" t="s">
        <v>232</v>
      </c>
    </row>
    <row r="60659" spans="119:119" x14ac:dyDescent="0.2">
      <c r="DO60659" s="303" t="s">
        <v>232</v>
      </c>
    </row>
    <row r="60660" spans="119:119" x14ac:dyDescent="0.2">
      <c r="DO60660" s="303" t="s">
        <v>232</v>
      </c>
    </row>
    <row r="60661" spans="119:119" x14ac:dyDescent="0.2">
      <c r="DO60661" s="303" t="s">
        <v>232</v>
      </c>
    </row>
    <row r="60662" spans="119:119" x14ac:dyDescent="0.2">
      <c r="DO60662" s="303" t="s">
        <v>232</v>
      </c>
    </row>
    <row r="60663" spans="119:119" x14ac:dyDescent="0.2">
      <c r="DO60663" s="303" t="s">
        <v>232</v>
      </c>
    </row>
    <row r="60664" spans="119:119" x14ac:dyDescent="0.2">
      <c r="DO60664" s="303" t="s">
        <v>232</v>
      </c>
    </row>
    <row r="60665" spans="119:119" x14ac:dyDescent="0.2">
      <c r="DO60665" s="303" t="s">
        <v>232</v>
      </c>
    </row>
    <row r="60666" spans="119:119" x14ac:dyDescent="0.2">
      <c r="DO60666" s="303" t="s">
        <v>232</v>
      </c>
    </row>
    <row r="60667" spans="119:119" x14ac:dyDescent="0.2">
      <c r="DO60667" s="303" t="s">
        <v>232</v>
      </c>
    </row>
    <row r="60668" spans="119:119" x14ac:dyDescent="0.2">
      <c r="DO60668" s="303" t="s">
        <v>232</v>
      </c>
    </row>
    <row r="60669" spans="119:119" x14ac:dyDescent="0.2">
      <c r="DO60669" s="303" t="s">
        <v>232</v>
      </c>
    </row>
    <row r="60670" spans="119:119" x14ac:dyDescent="0.2">
      <c r="DO60670" s="303" t="s">
        <v>232</v>
      </c>
    </row>
    <row r="60671" spans="119:119" x14ac:dyDescent="0.2">
      <c r="DO60671" s="303" t="s">
        <v>232</v>
      </c>
    </row>
    <row r="60672" spans="119:119" x14ac:dyDescent="0.2">
      <c r="DO60672" s="303" t="s">
        <v>232</v>
      </c>
    </row>
    <row r="60673" spans="119:119" x14ac:dyDescent="0.2">
      <c r="DO60673" s="303" t="s">
        <v>232</v>
      </c>
    </row>
    <row r="60674" spans="119:119" x14ac:dyDescent="0.2">
      <c r="DO60674" s="303" t="s">
        <v>232</v>
      </c>
    </row>
    <row r="60675" spans="119:119" x14ac:dyDescent="0.2">
      <c r="DO60675" s="303" t="s">
        <v>232</v>
      </c>
    </row>
    <row r="60676" spans="119:119" x14ac:dyDescent="0.2">
      <c r="DO60676" s="303" t="s">
        <v>232</v>
      </c>
    </row>
    <row r="60677" spans="119:119" x14ac:dyDescent="0.2">
      <c r="DO60677" s="303" t="s">
        <v>232</v>
      </c>
    </row>
    <row r="60678" spans="119:119" x14ac:dyDescent="0.2">
      <c r="DO60678" s="303" t="s">
        <v>232</v>
      </c>
    </row>
    <row r="60679" spans="119:119" x14ac:dyDescent="0.2">
      <c r="DO60679" s="303" t="s">
        <v>232</v>
      </c>
    </row>
    <row r="60680" spans="119:119" x14ac:dyDescent="0.2">
      <c r="DO60680" s="303" t="s">
        <v>232</v>
      </c>
    </row>
    <row r="60681" spans="119:119" x14ac:dyDescent="0.2">
      <c r="DO60681" s="303" t="s">
        <v>232</v>
      </c>
    </row>
    <row r="60682" spans="119:119" x14ac:dyDescent="0.2">
      <c r="DO60682" s="303" t="s">
        <v>232</v>
      </c>
    </row>
    <row r="60683" spans="119:119" x14ac:dyDescent="0.2">
      <c r="DO60683" s="303" t="s">
        <v>232</v>
      </c>
    </row>
    <row r="60684" spans="119:119" x14ac:dyDescent="0.2">
      <c r="DO60684" s="303" t="s">
        <v>232</v>
      </c>
    </row>
    <row r="60685" spans="119:119" x14ac:dyDescent="0.2">
      <c r="DO60685" s="303" t="s">
        <v>232</v>
      </c>
    </row>
    <row r="60686" spans="119:119" x14ac:dyDescent="0.2">
      <c r="DO60686" s="303" t="s">
        <v>232</v>
      </c>
    </row>
    <row r="60687" spans="119:119" x14ac:dyDescent="0.2">
      <c r="DO60687" s="303" t="s">
        <v>232</v>
      </c>
    </row>
    <row r="60688" spans="119:119" x14ac:dyDescent="0.2">
      <c r="DO60688" s="303" t="s">
        <v>232</v>
      </c>
    </row>
    <row r="60689" spans="119:119" x14ac:dyDescent="0.2">
      <c r="DO60689" s="303" t="s">
        <v>232</v>
      </c>
    </row>
    <row r="60690" spans="119:119" x14ac:dyDescent="0.2">
      <c r="DO60690" s="303" t="s">
        <v>232</v>
      </c>
    </row>
    <row r="60691" spans="119:119" x14ac:dyDescent="0.2">
      <c r="DO60691" s="303" t="s">
        <v>232</v>
      </c>
    </row>
    <row r="60692" spans="119:119" x14ac:dyDescent="0.2">
      <c r="DO60692" s="303" t="s">
        <v>232</v>
      </c>
    </row>
    <row r="60693" spans="119:119" x14ac:dyDescent="0.2">
      <c r="DO60693" s="303" t="s">
        <v>232</v>
      </c>
    </row>
    <row r="60694" spans="119:119" x14ac:dyDescent="0.2">
      <c r="DO60694" s="303" t="s">
        <v>232</v>
      </c>
    </row>
    <row r="60695" spans="119:119" x14ac:dyDescent="0.2">
      <c r="DO60695" s="303" t="s">
        <v>232</v>
      </c>
    </row>
    <row r="60696" spans="119:119" x14ac:dyDescent="0.2">
      <c r="DO60696" s="303" t="s">
        <v>232</v>
      </c>
    </row>
    <row r="60697" spans="119:119" x14ac:dyDescent="0.2">
      <c r="DO60697" s="303" t="s">
        <v>232</v>
      </c>
    </row>
    <row r="60698" spans="119:119" x14ac:dyDescent="0.2">
      <c r="DO60698" s="303" t="s">
        <v>232</v>
      </c>
    </row>
    <row r="60699" spans="119:119" x14ac:dyDescent="0.2">
      <c r="DO60699" s="303" t="s">
        <v>232</v>
      </c>
    </row>
    <row r="60700" spans="119:119" x14ac:dyDescent="0.2">
      <c r="DO60700" s="303" t="s">
        <v>232</v>
      </c>
    </row>
    <row r="60701" spans="119:119" x14ac:dyDescent="0.2">
      <c r="DO60701" s="303" t="s">
        <v>232</v>
      </c>
    </row>
    <row r="60702" spans="119:119" x14ac:dyDescent="0.2">
      <c r="DO60702" s="303" t="s">
        <v>232</v>
      </c>
    </row>
    <row r="60703" spans="119:119" x14ac:dyDescent="0.2">
      <c r="DO60703" s="303" t="s">
        <v>232</v>
      </c>
    </row>
    <row r="60704" spans="119:119" x14ac:dyDescent="0.2">
      <c r="DO60704" s="303" t="s">
        <v>232</v>
      </c>
    </row>
    <row r="60705" spans="119:119" x14ac:dyDescent="0.2">
      <c r="DO60705" s="303" t="s">
        <v>232</v>
      </c>
    </row>
    <row r="60706" spans="119:119" x14ac:dyDescent="0.2">
      <c r="DO60706" s="303" t="s">
        <v>232</v>
      </c>
    </row>
    <row r="60707" spans="119:119" x14ac:dyDescent="0.2">
      <c r="DO60707" s="303" t="s">
        <v>232</v>
      </c>
    </row>
    <row r="60708" spans="119:119" x14ac:dyDescent="0.2">
      <c r="DO60708" s="303" t="s">
        <v>232</v>
      </c>
    </row>
    <row r="60709" spans="119:119" x14ac:dyDescent="0.2">
      <c r="DO60709" s="303" t="s">
        <v>232</v>
      </c>
    </row>
    <row r="60710" spans="119:119" x14ac:dyDescent="0.2">
      <c r="DO60710" s="303" t="s">
        <v>232</v>
      </c>
    </row>
    <row r="60711" spans="119:119" x14ac:dyDescent="0.2">
      <c r="DO60711" s="303" t="s">
        <v>232</v>
      </c>
    </row>
    <row r="60712" spans="119:119" x14ac:dyDescent="0.2">
      <c r="DO60712" s="303" t="s">
        <v>232</v>
      </c>
    </row>
    <row r="60713" spans="119:119" x14ac:dyDescent="0.2">
      <c r="DO60713" s="303" t="s">
        <v>232</v>
      </c>
    </row>
    <row r="60714" spans="119:119" x14ac:dyDescent="0.2">
      <c r="DO60714" s="303" t="s">
        <v>232</v>
      </c>
    </row>
    <row r="60715" spans="119:119" x14ac:dyDescent="0.2">
      <c r="DO60715" s="303" t="s">
        <v>232</v>
      </c>
    </row>
    <row r="60716" spans="119:119" x14ac:dyDescent="0.2">
      <c r="DO60716" s="303" t="s">
        <v>232</v>
      </c>
    </row>
    <row r="60717" spans="119:119" x14ac:dyDescent="0.2">
      <c r="DO60717" s="303" t="s">
        <v>232</v>
      </c>
    </row>
    <row r="60718" spans="119:119" x14ac:dyDescent="0.2">
      <c r="DO60718" s="303" t="s">
        <v>232</v>
      </c>
    </row>
    <row r="60719" spans="119:119" x14ac:dyDescent="0.2">
      <c r="DO60719" s="303" t="s">
        <v>232</v>
      </c>
    </row>
    <row r="60720" spans="119:119" x14ac:dyDescent="0.2">
      <c r="DO60720" s="303" t="s">
        <v>232</v>
      </c>
    </row>
    <row r="60721" spans="119:119" x14ac:dyDescent="0.2">
      <c r="DO60721" s="303" t="s">
        <v>232</v>
      </c>
    </row>
    <row r="60722" spans="119:119" x14ac:dyDescent="0.2">
      <c r="DO60722" s="303" t="s">
        <v>232</v>
      </c>
    </row>
    <row r="60723" spans="119:119" x14ac:dyDescent="0.2">
      <c r="DO60723" s="303" t="s">
        <v>232</v>
      </c>
    </row>
    <row r="60724" spans="119:119" x14ac:dyDescent="0.2">
      <c r="DO60724" s="303" t="s">
        <v>232</v>
      </c>
    </row>
    <row r="60725" spans="119:119" x14ac:dyDescent="0.2">
      <c r="DO60725" s="303" t="s">
        <v>232</v>
      </c>
    </row>
    <row r="60726" spans="119:119" x14ac:dyDescent="0.2">
      <c r="DO60726" s="303" t="s">
        <v>232</v>
      </c>
    </row>
    <row r="60727" spans="119:119" x14ac:dyDescent="0.2">
      <c r="DO60727" s="303" t="s">
        <v>232</v>
      </c>
    </row>
    <row r="60728" spans="119:119" x14ac:dyDescent="0.2">
      <c r="DO60728" s="303" t="s">
        <v>232</v>
      </c>
    </row>
    <row r="60729" spans="119:119" x14ac:dyDescent="0.2">
      <c r="DO60729" s="303" t="s">
        <v>232</v>
      </c>
    </row>
    <row r="60730" spans="119:119" x14ac:dyDescent="0.2">
      <c r="DO60730" s="303" t="s">
        <v>232</v>
      </c>
    </row>
    <row r="60731" spans="119:119" x14ac:dyDescent="0.2">
      <c r="DO60731" s="303" t="s">
        <v>232</v>
      </c>
    </row>
    <row r="60732" spans="119:119" x14ac:dyDescent="0.2">
      <c r="DO60732" s="303" t="s">
        <v>232</v>
      </c>
    </row>
    <row r="60733" spans="119:119" x14ac:dyDescent="0.2">
      <c r="DO60733" s="303" t="s">
        <v>232</v>
      </c>
    </row>
    <row r="60734" spans="119:119" x14ac:dyDescent="0.2">
      <c r="DO60734" s="303" t="s">
        <v>232</v>
      </c>
    </row>
    <row r="60735" spans="119:119" x14ac:dyDescent="0.2">
      <c r="DO60735" s="303" t="s">
        <v>232</v>
      </c>
    </row>
    <row r="60736" spans="119:119" x14ac:dyDescent="0.2">
      <c r="DO60736" s="303" t="s">
        <v>232</v>
      </c>
    </row>
    <row r="60737" spans="119:119" x14ac:dyDescent="0.2">
      <c r="DO60737" s="303" t="s">
        <v>232</v>
      </c>
    </row>
    <row r="60738" spans="119:119" x14ac:dyDescent="0.2">
      <c r="DO60738" s="303" t="s">
        <v>232</v>
      </c>
    </row>
    <row r="60739" spans="119:119" x14ac:dyDescent="0.2">
      <c r="DO60739" s="303" t="s">
        <v>232</v>
      </c>
    </row>
    <row r="60740" spans="119:119" x14ac:dyDescent="0.2">
      <c r="DO60740" s="303" t="s">
        <v>232</v>
      </c>
    </row>
    <row r="60741" spans="119:119" x14ac:dyDescent="0.2">
      <c r="DO60741" s="303" t="s">
        <v>232</v>
      </c>
    </row>
    <row r="60742" spans="119:119" x14ac:dyDescent="0.2">
      <c r="DO60742" s="303" t="s">
        <v>232</v>
      </c>
    </row>
    <row r="60743" spans="119:119" x14ac:dyDescent="0.2">
      <c r="DO60743" s="303" t="s">
        <v>232</v>
      </c>
    </row>
    <row r="60744" spans="119:119" x14ac:dyDescent="0.2">
      <c r="DO60744" s="303" t="s">
        <v>232</v>
      </c>
    </row>
    <row r="60745" spans="119:119" x14ac:dyDescent="0.2">
      <c r="DO60745" s="303" t="s">
        <v>232</v>
      </c>
    </row>
    <row r="60746" spans="119:119" x14ac:dyDescent="0.2">
      <c r="DO60746" s="303" t="s">
        <v>232</v>
      </c>
    </row>
    <row r="60747" spans="119:119" x14ac:dyDescent="0.2">
      <c r="DO60747" s="303" t="s">
        <v>232</v>
      </c>
    </row>
    <row r="60748" spans="119:119" x14ac:dyDescent="0.2">
      <c r="DO60748" s="303" t="s">
        <v>232</v>
      </c>
    </row>
    <row r="60749" spans="119:119" x14ac:dyDescent="0.2">
      <c r="DO60749" s="303" t="s">
        <v>232</v>
      </c>
    </row>
    <row r="60750" spans="119:119" x14ac:dyDescent="0.2">
      <c r="DO60750" s="303" t="s">
        <v>232</v>
      </c>
    </row>
    <row r="60751" spans="119:119" x14ac:dyDescent="0.2">
      <c r="DO60751" s="303" t="s">
        <v>232</v>
      </c>
    </row>
    <row r="60752" spans="119:119" x14ac:dyDescent="0.2">
      <c r="DO60752" s="303" t="s">
        <v>232</v>
      </c>
    </row>
    <row r="60753" spans="119:119" x14ac:dyDescent="0.2">
      <c r="DO60753" s="303" t="s">
        <v>232</v>
      </c>
    </row>
    <row r="60754" spans="119:119" x14ac:dyDescent="0.2">
      <c r="DO60754" s="303" t="s">
        <v>232</v>
      </c>
    </row>
    <row r="60755" spans="119:119" x14ac:dyDescent="0.2">
      <c r="DO60755" s="303" t="s">
        <v>232</v>
      </c>
    </row>
    <row r="60756" spans="119:119" x14ac:dyDescent="0.2">
      <c r="DO60756" s="303" t="s">
        <v>232</v>
      </c>
    </row>
    <row r="60757" spans="119:119" x14ac:dyDescent="0.2">
      <c r="DO60757" s="303" t="s">
        <v>232</v>
      </c>
    </row>
    <row r="60758" spans="119:119" x14ac:dyDescent="0.2">
      <c r="DO60758" s="303" t="s">
        <v>232</v>
      </c>
    </row>
    <row r="60759" spans="119:119" x14ac:dyDescent="0.2">
      <c r="DO60759" s="303" t="s">
        <v>232</v>
      </c>
    </row>
    <row r="60760" spans="119:119" x14ac:dyDescent="0.2">
      <c r="DO60760" s="303" t="s">
        <v>232</v>
      </c>
    </row>
    <row r="60761" spans="119:119" x14ac:dyDescent="0.2">
      <c r="DO60761" s="303" t="s">
        <v>232</v>
      </c>
    </row>
    <row r="60762" spans="119:119" x14ac:dyDescent="0.2">
      <c r="DO60762" s="303" t="s">
        <v>232</v>
      </c>
    </row>
    <row r="60763" spans="119:119" x14ac:dyDescent="0.2">
      <c r="DO60763" s="303" t="s">
        <v>232</v>
      </c>
    </row>
    <row r="60764" spans="119:119" x14ac:dyDescent="0.2">
      <c r="DO60764" s="303" t="s">
        <v>232</v>
      </c>
    </row>
    <row r="60765" spans="119:119" x14ac:dyDescent="0.2">
      <c r="DO60765" s="303" t="s">
        <v>232</v>
      </c>
    </row>
    <row r="60766" spans="119:119" x14ac:dyDescent="0.2">
      <c r="DO60766" s="303" t="s">
        <v>232</v>
      </c>
    </row>
    <row r="60767" spans="119:119" x14ac:dyDescent="0.2">
      <c r="DO60767" s="303" t="s">
        <v>232</v>
      </c>
    </row>
    <row r="60768" spans="119:119" x14ac:dyDescent="0.2">
      <c r="DO60768" s="303" t="s">
        <v>232</v>
      </c>
    </row>
    <row r="60769" spans="119:119" x14ac:dyDescent="0.2">
      <c r="DO60769" s="303" t="s">
        <v>232</v>
      </c>
    </row>
    <row r="60770" spans="119:119" x14ac:dyDescent="0.2">
      <c r="DO60770" s="303" t="s">
        <v>232</v>
      </c>
    </row>
    <row r="60771" spans="119:119" x14ac:dyDescent="0.2">
      <c r="DO60771" s="303" t="s">
        <v>232</v>
      </c>
    </row>
    <row r="60772" spans="119:119" x14ac:dyDescent="0.2">
      <c r="DO60772" s="303" t="s">
        <v>232</v>
      </c>
    </row>
    <row r="60773" spans="119:119" x14ac:dyDescent="0.2">
      <c r="DO60773" s="303" t="s">
        <v>232</v>
      </c>
    </row>
    <row r="60774" spans="119:119" x14ac:dyDescent="0.2">
      <c r="DO60774" s="303" t="s">
        <v>232</v>
      </c>
    </row>
    <row r="60775" spans="119:119" x14ac:dyDescent="0.2">
      <c r="DO60775" s="303" t="s">
        <v>232</v>
      </c>
    </row>
    <row r="60776" spans="119:119" x14ac:dyDescent="0.2">
      <c r="DO60776" s="303" t="s">
        <v>232</v>
      </c>
    </row>
    <row r="60777" spans="119:119" x14ac:dyDescent="0.2">
      <c r="DO60777" s="303" t="s">
        <v>232</v>
      </c>
    </row>
    <row r="60778" spans="119:119" x14ac:dyDescent="0.2">
      <c r="DO60778" s="303" t="s">
        <v>232</v>
      </c>
    </row>
    <row r="60779" spans="119:119" x14ac:dyDescent="0.2">
      <c r="DO60779" s="303" t="s">
        <v>232</v>
      </c>
    </row>
    <row r="60780" spans="119:119" x14ac:dyDescent="0.2">
      <c r="DO60780" s="303" t="s">
        <v>232</v>
      </c>
    </row>
    <row r="60781" spans="119:119" x14ac:dyDescent="0.2">
      <c r="DO60781" s="303" t="s">
        <v>232</v>
      </c>
    </row>
    <row r="60782" spans="119:119" x14ac:dyDescent="0.2">
      <c r="DO60782" s="303" t="s">
        <v>232</v>
      </c>
    </row>
    <row r="60783" spans="119:119" x14ac:dyDescent="0.2">
      <c r="DO60783" s="303" t="s">
        <v>232</v>
      </c>
    </row>
    <row r="60784" spans="119:119" x14ac:dyDescent="0.2">
      <c r="DO60784" s="303" t="s">
        <v>232</v>
      </c>
    </row>
    <row r="60785" spans="119:119" x14ac:dyDescent="0.2">
      <c r="DO60785" s="303" t="s">
        <v>232</v>
      </c>
    </row>
    <row r="60786" spans="119:119" x14ac:dyDescent="0.2">
      <c r="DO60786" s="303" t="s">
        <v>232</v>
      </c>
    </row>
    <row r="60787" spans="119:119" x14ac:dyDescent="0.2">
      <c r="DO60787" s="303" t="s">
        <v>232</v>
      </c>
    </row>
    <row r="60788" spans="119:119" x14ac:dyDescent="0.2">
      <c r="DO60788" s="303" t="s">
        <v>232</v>
      </c>
    </row>
    <row r="60789" spans="119:119" x14ac:dyDescent="0.2">
      <c r="DO60789" s="303" t="s">
        <v>232</v>
      </c>
    </row>
    <row r="60790" spans="119:119" x14ac:dyDescent="0.2">
      <c r="DO60790" s="303" t="s">
        <v>232</v>
      </c>
    </row>
    <row r="60791" spans="119:119" x14ac:dyDescent="0.2">
      <c r="DO60791" s="303" t="s">
        <v>232</v>
      </c>
    </row>
    <row r="60792" spans="119:119" x14ac:dyDescent="0.2">
      <c r="DO60792" s="303" t="s">
        <v>232</v>
      </c>
    </row>
    <row r="60793" spans="119:119" x14ac:dyDescent="0.2">
      <c r="DO60793" s="303" t="s">
        <v>232</v>
      </c>
    </row>
    <row r="60794" spans="119:119" x14ac:dyDescent="0.2">
      <c r="DO60794" s="303" t="s">
        <v>232</v>
      </c>
    </row>
    <row r="60795" spans="119:119" x14ac:dyDescent="0.2">
      <c r="DO60795" s="303" t="s">
        <v>232</v>
      </c>
    </row>
    <row r="60796" spans="119:119" x14ac:dyDescent="0.2">
      <c r="DO60796" s="303" t="s">
        <v>232</v>
      </c>
    </row>
    <row r="60797" spans="119:119" x14ac:dyDescent="0.2">
      <c r="DO60797" s="303" t="s">
        <v>232</v>
      </c>
    </row>
    <row r="60798" spans="119:119" x14ac:dyDescent="0.2">
      <c r="DO60798" s="303" t="s">
        <v>232</v>
      </c>
    </row>
    <row r="60799" spans="119:119" x14ac:dyDescent="0.2">
      <c r="DO60799" s="303" t="s">
        <v>232</v>
      </c>
    </row>
    <row r="60800" spans="119:119" x14ac:dyDescent="0.2">
      <c r="DO60800" s="303" t="s">
        <v>232</v>
      </c>
    </row>
    <row r="60801" spans="119:119" x14ac:dyDescent="0.2">
      <c r="DO60801" s="303" t="s">
        <v>232</v>
      </c>
    </row>
    <row r="60802" spans="119:119" x14ac:dyDescent="0.2">
      <c r="DO60802" s="303" t="s">
        <v>232</v>
      </c>
    </row>
    <row r="60803" spans="119:119" x14ac:dyDescent="0.2">
      <c r="DO60803" s="303" t="s">
        <v>232</v>
      </c>
    </row>
    <row r="60804" spans="119:119" x14ac:dyDescent="0.2">
      <c r="DO60804" s="303" t="s">
        <v>232</v>
      </c>
    </row>
    <row r="60805" spans="119:119" x14ac:dyDescent="0.2">
      <c r="DO60805" s="303" t="s">
        <v>232</v>
      </c>
    </row>
    <row r="60806" spans="119:119" x14ac:dyDescent="0.2">
      <c r="DO60806" s="303" t="s">
        <v>232</v>
      </c>
    </row>
    <row r="60807" spans="119:119" x14ac:dyDescent="0.2">
      <c r="DO60807" s="303" t="s">
        <v>232</v>
      </c>
    </row>
    <row r="60808" spans="119:119" x14ac:dyDescent="0.2">
      <c r="DO60808" s="303" t="s">
        <v>232</v>
      </c>
    </row>
    <row r="60809" spans="119:119" x14ac:dyDescent="0.2">
      <c r="DO60809" s="303" t="s">
        <v>232</v>
      </c>
    </row>
    <row r="60810" spans="119:119" x14ac:dyDescent="0.2">
      <c r="DO60810" s="303" t="s">
        <v>232</v>
      </c>
    </row>
    <row r="60811" spans="119:119" x14ac:dyDescent="0.2">
      <c r="DO60811" s="303" t="s">
        <v>232</v>
      </c>
    </row>
    <row r="60812" spans="119:119" x14ac:dyDescent="0.2">
      <c r="DO60812" s="303" t="s">
        <v>232</v>
      </c>
    </row>
    <row r="60813" spans="119:119" x14ac:dyDescent="0.2">
      <c r="DO60813" s="303" t="s">
        <v>232</v>
      </c>
    </row>
    <row r="60814" spans="119:119" x14ac:dyDescent="0.2">
      <c r="DO60814" s="303" t="s">
        <v>232</v>
      </c>
    </row>
    <row r="60815" spans="119:119" x14ac:dyDescent="0.2">
      <c r="DO60815" s="303" t="s">
        <v>232</v>
      </c>
    </row>
    <row r="60816" spans="119:119" x14ac:dyDescent="0.2">
      <c r="DO60816" s="303" t="s">
        <v>232</v>
      </c>
    </row>
    <row r="60817" spans="119:119" x14ac:dyDescent="0.2">
      <c r="DO60817" s="303" t="s">
        <v>232</v>
      </c>
    </row>
    <row r="60818" spans="119:119" x14ac:dyDescent="0.2">
      <c r="DO60818" s="303" t="s">
        <v>232</v>
      </c>
    </row>
    <row r="60819" spans="119:119" x14ac:dyDescent="0.2">
      <c r="DO60819" s="303" t="s">
        <v>232</v>
      </c>
    </row>
    <row r="60820" spans="119:119" x14ac:dyDescent="0.2">
      <c r="DO60820" s="303" t="s">
        <v>232</v>
      </c>
    </row>
    <row r="60821" spans="119:119" x14ac:dyDescent="0.2">
      <c r="DO60821" s="303" t="s">
        <v>232</v>
      </c>
    </row>
    <row r="60822" spans="119:119" x14ac:dyDescent="0.2">
      <c r="DO60822" s="303" t="s">
        <v>232</v>
      </c>
    </row>
    <row r="60823" spans="119:119" x14ac:dyDescent="0.2">
      <c r="DO60823" s="303" t="s">
        <v>232</v>
      </c>
    </row>
    <row r="60824" spans="119:119" x14ac:dyDescent="0.2">
      <c r="DO60824" s="303" t="s">
        <v>232</v>
      </c>
    </row>
    <row r="60825" spans="119:119" x14ac:dyDescent="0.2">
      <c r="DO60825" s="303" t="s">
        <v>232</v>
      </c>
    </row>
    <row r="60826" spans="119:119" x14ac:dyDescent="0.2">
      <c r="DO60826" s="303" t="s">
        <v>232</v>
      </c>
    </row>
    <row r="60827" spans="119:119" x14ac:dyDescent="0.2">
      <c r="DO60827" s="303" t="s">
        <v>232</v>
      </c>
    </row>
    <row r="60828" spans="119:119" x14ac:dyDescent="0.2">
      <c r="DO60828" s="303" t="s">
        <v>232</v>
      </c>
    </row>
    <row r="60829" spans="119:119" x14ac:dyDescent="0.2">
      <c r="DO60829" s="303" t="s">
        <v>232</v>
      </c>
    </row>
    <row r="60830" spans="119:119" x14ac:dyDescent="0.2">
      <c r="DO60830" s="303" t="s">
        <v>232</v>
      </c>
    </row>
    <row r="60831" spans="119:119" x14ac:dyDescent="0.2">
      <c r="DO60831" s="303" t="s">
        <v>232</v>
      </c>
    </row>
    <row r="60832" spans="119:119" x14ac:dyDescent="0.2">
      <c r="DO60832" s="303" t="s">
        <v>232</v>
      </c>
    </row>
    <row r="60833" spans="119:119" x14ac:dyDescent="0.2">
      <c r="DO60833" s="303" t="s">
        <v>232</v>
      </c>
    </row>
    <row r="60834" spans="119:119" x14ac:dyDescent="0.2">
      <c r="DO60834" s="303" t="s">
        <v>232</v>
      </c>
    </row>
    <row r="60835" spans="119:119" x14ac:dyDescent="0.2">
      <c r="DO60835" s="303" t="s">
        <v>232</v>
      </c>
    </row>
    <row r="60836" spans="119:119" x14ac:dyDescent="0.2">
      <c r="DO60836" s="303" t="s">
        <v>232</v>
      </c>
    </row>
    <row r="60837" spans="119:119" x14ac:dyDescent="0.2">
      <c r="DO60837" s="303" t="s">
        <v>232</v>
      </c>
    </row>
    <row r="60838" spans="119:119" x14ac:dyDescent="0.2">
      <c r="DO60838" s="303" t="s">
        <v>232</v>
      </c>
    </row>
    <row r="60839" spans="119:119" x14ac:dyDescent="0.2">
      <c r="DO60839" s="303" t="s">
        <v>232</v>
      </c>
    </row>
    <row r="60840" spans="119:119" x14ac:dyDescent="0.2">
      <c r="DO60840" s="303" t="s">
        <v>232</v>
      </c>
    </row>
    <row r="60841" spans="119:119" x14ac:dyDescent="0.2">
      <c r="DO60841" s="303" t="s">
        <v>232</v>
      </c>
    </row>
    <row r="60842" spans="119:119" x14ac:dyDescent="0.2">
      <c r="DO60842" s="303" t="s">
        <v>232</v>
      </c>
    </row>
    <row r="60843" spans="119:119" x14ac:dyDescent="0.2">
      <c r="DO60843" s="303" t="s">
        <v>232</v>
      </c>
    </row>
    <row r="60844" spans="119:119" x14ac:dyDescent="0.2">
      <c r="DO60844" s="303" t="s">
        <v>232</v>
      </c>
    </row>
    <row r="60845" spans="119:119" x14ac:dyDescent="0.2">
      <c r="DO60845" s="303" t="s">
        <v>232</v>
      </c>
    </row>
    <row r="60846" spans="119:119" x14ac:dyDescent="0.2">
      <c r="DO60846" s="303" t="s">
        <v>232</v>
      </c>
    </row>
    <row r="60847" spans="119:119" x14ac:dyDescent="0.2">
      <c r="DO60847" s="303" t="s">
        <v>232</v>
      </c>
    </row>
    <row r="60848" spans="119:119" x14ac:dyDescent="0.2">
      <c r="DO60848" s="303" t="s">
        <v>232</v>
      </c>
    </row>
    <row r="60849" spans="119:119" x14ac:dyDescent="0.2">
      <c r="DO60849" s="303" t="s">
        <v>232</v>
      </c>
    </row>
    <row r="60850" spans="119:119" x14ac:dyDescent="0.2">
      <c r="DO60850" s="303" t="s">
        <v>232</v>
      </c>
    </row>
    <row r="60851" spans="119:119" x14ac:dyDescent="0.2">
      <c r="DO60851" s="303" t="s">
        <v>232</v>
      </c>
    </row>
    <row r="60852" spans="119:119" x14ac:dyDescent="0.2">
      <c r="DO60852" s="303" t="s">
        <v>232</v>
      </c>
    </row>
    <row r="60853" spans="119:119" x14ac:dyDescent="0.2">
      <c r="DO60853" s="303" t="s">
        <v>232</v>
      </c>
    </row>
    <row r="60854" spans="119:119" x14ac:dyDescent="0.2">
      <c r="DO60854" s="303" t="s">
        <v>232</v>
      </c>
    </row>
    <row r="60855" spans="119:119" x14ac:dyDescent="0.2">
      <c r="DO60855" s="303" t="s">
        <v>232</v>
      </c>
    </row>
    <row r="60856" spans="119:119" x14ac:dyDescent="0.2">
      <c r="DO60856" s="303" t="s">
        <v>232</v>
      </c>
    </row>
    <row r="60857" spans="119:119" x14ac:dyDescent="0.2">
      <c r="DO60857" s="303" t="s">
        <v>232</v>
      </c>
    </row>
    <row r="60858" spans="119:119" x14ac:dyDescent="0.2">
      <c r="DO60858" s="303" t="s">
        <v>232</v>
      </c>
    </row>
    <row r="60859" spans="119:119" x14ac:dyDescent="0.2">
      <c r="DO60859" s="303" t="s">
        <v>232</v>
      </c>
    </row>
    <row r="60860" spans="119:119" x14ac:dyDescent="0.2">
      <c r="DO60860" s="303" t="s">
        <v>232</v>
      </c>
    </row>
    <row r="60861" spans="119:119" x14ac:dyDescent="0.2">
      <c r="DO60861" s="303" t="s">
        <v>232</v>
      </c>
    </row>
    <row r="60862" spans="119:119" x14ac:dyDescent="0.2">
      <c r="DO60862" s="303" t="s">
        <v>232</v>
      </c>
    </row>
    <row r="60863" spans="119:119" x14ac:dyDescent="0.2">
      <c r="DO60863" s="303" t="s">
        <v>232</v>
      </c>
    </row>
    <row r="60864" spans="119:119" x14ac:dyDescent="0.2">
      <c r="DO60864" s="303" t="s">
        <v>232</v>
      </c>
    </row>
    <row r="60865" spans="119:119" x14ac:dyDescent="0.2">
      <c r="DO60865" s="303" t="s">
        <v>232</v>
      </c>
    </row>
    <row r="60866" spans="119:119" x14ac:dyDescent="0.2">
      <c r="DO60866" s="303" t="s">
        <v>232</v>
      </c>
    </row>
    <row r="60867" spans="119:119" x14ac:dyDescent="0.2">
      <c r="DO60867" s="303" t="s">
        <v>232</v>
      </c>
    </row>
    <row r="60868" spans="119:119" x14ac:dyDescent="0.2">
      <c r="DO60868" s="303" t="s">
        <v>232</v>
      </c>
    </row>
    <row r="60869" spans="119:119" x14ac:dyDescent="0.2">
      <c r="DO60869" s="303" t="s">
        <v>232</v>
      </c>
    </row>
    <row r="60870" spans="119:119" x14ac:dyDescent="0.2">
      <c r="DO60870" s="303" t="s">
        <v>232</v>
      </c>
    </row>
    <row r="60871" spans="119:119" x14ac:dyDescent="0.2">
      <c r="DO60871" s="303" t="s">
        <v>232</v>
      </c>
    </row>
    <row r="60872" spans="119:119" x14ac:dyDescent="0.2">
      <c r="DO60872" s="303" t="s">
        <v>232</v>
      </c>
    </row>
    <row r="60873" spans="119:119" x14ac:dyDescent="0.2">
      <c r="DO60873" s="303" t="s">
        <v>232</v>
      </c>
    </row>
    <row r="60874" spans="119:119" x14ac:dyDescent="0.2">
      <c r="DO60874" s="303" t="s">
        <v>232</v>
      </c>
    </row>
    <row r="60875" spans="119:119" x14ac:dyDescent="0.2">
      <c r="DO60875" s="303" t="s">
        <v>232</v>
      </c>
    </row>
    <row r="60876" spans="119:119" x14ac:dyDescent="0.2">
      <c r="DO60876" s="303" t="s">
        <v>232</v>
      </c>
    </row>
    <row r="60877" spans="119:119" x14ac:dyDescent="0.2">
      <c r="DO60877" s="303" t="s">
        <v>232</v>
      </c>
    </row>
    <row r="60878" spans="119:119" x14ac:dyDescent="0.2">
      <c r="DO60878" s="303" t="s">
        <v>232</v>
      </c>
    </row>
    <row r="60879" spans="119:119" x14ac:dyDescent="0.2">
      <c r="DO60879" s="303" t="s">
        <v>232</v>
      </c>
    </row>
    <row r="60880" spans="119:119" x14ac:dyDescent="0.2">
      <c r="DO60880" s="303" t="s">
        <v>232</v>
      </c>
    </row>
    <row r="60881" spans="119:119" x14ac:dyDescent="0.2">
      <c r="DO60881" s="303" t="s">
        <v>232</v>
      </c>
    </row>
    <row r="60882" spans="119:119" x14ac:dyDescent="0.2">
      <c r="DO60882" s="303" t="s">
        <v>232</v>
      </c>
    </row>
    <row r="60883" spans="119:119" x14ac:dyDescent="0.2">
      <c r="DO60883" s="303" t="s">
        <v>232</v>
      </c>
    </row>
    <row r="60884" spans="119:119" x14ac:dyDescent="0.2">
      <c r="DO60884" s="303" t="s">
        <v>232</v>
      </c>
    </row>
    <row r="60885" spans="119:119" x14ac:dyDescent="0.2">
      <c r="DO60885" s="303" t="s">
        <v>232</v>
      </c>
    </row>
    <row r="60886" spans="119:119" x14ac:dyDescent="0.2">
      <c r="DO60886" s="303" t="s">
        <v>232</v>
      </c>
    </row>
    <row r="60887" spans="119:119" x14ac:dyDescent="0.2">
      <c r="DO60887" s="303" t="s">
        <v>232</v>
      </c>
    </row>
    <row r="60888" spans="119:119" x14ac:dyDescent="0.2">
      <c r="DO60888" s="303" t="s">
        <v>232</v>
      </c>
    </row>
    <row r="60889" spans="119:119" x14ac:dyDescent="0.2">
      <c r="DO60889" s="303" t="s">
        <v>232</v>
      </c>
    </row>
    <row r="60890" spans="119:119" x14ac:dyDescent="0.2">
      <c r="DO60890" s="303" t="s">
        <v>232</v>
      </c>
    </row>
    <row r="60891" spans="119:119" x14ac:dyDescent="0.2">
      <c r="DO60891" s="303" t="s">
        <v>232</v>
      </c>
    </row>
    <row r="60892" spans="119:119" x14ac:dyDescent="0.2">
      <c r="DO60892" s="303" t="s">
        <v>232</v>
      </c>
    </row>
    <row r="60893" spans="119:119" x14ac:dyDescent="0.2">
      <c r="DO60893" s="303" t="s">
        <v>232</v>
      </c>
    </row>
    <row r="60894" spans="119:119" x14ac:dyDescent="0.2">
      <c r="DO60894" s="303" t="s">
        <v>232</v>
      </c>
    </row>
    <row r="60895" spans="119:119" x14ac:dyDescent="0.2">
      <c r="DO60895" s="303" t="s">
        <v>232</v>
      </c>
    </row>
    <row r="60896" spans="119:119" x14ac:dyDescent="0.2">
      <c r="DO60896" s="303" t="s">
        <v>232</v>
      </c>
    </row>
    <row r="60897" spans="119:119" x14ac:dyDescent="0.2">
      <c r="DO60897" s="303" t="s">
        <v>232</v>
      </c>
    </row>
    <row r="60898" spans="119:119" x14ac:dyDescent="0.2">
      <c r="DO60898" s="303" t="s">
        <v>232</v>
      </c>
    </row>
    <row r="60899" spans="119:119" x14ac:dyDescent="0.2">
      <c r="DO60899" s="303" t="s">
        <v>232</v>
      </c>
    </row>
    <row r="60900" spans="119:119" x14ac:dyDescent="0.2">
      <c r="DO60900" s="303" t="s">
        <v>232</v>
      </c>
    </row>
    <row r="60901" spans="119:119" x14ac:dyDescent="0.2">
      <c r="DO60901" s="303" t="s">
        <v>232</v>
      </c>
    </row>
    <row r="60902" spans="119:119" x14ac:dyDescent="0.2">
      <c r="DO60902" s="303" t="s">
        <v>232</v>
      </c>
    </row>
    <row r="60903" spans="119:119" x14ac:dyDescent="0.2">
      <c r="DO60903" s="303" t="s">
        <v>232</v>
      </c>
    </row>
    <row r="60904" spans="119:119" x14ac:dyDescent="0.2">
      <c r="DO60904" s="303" t="s">
        <v>232</v>
      </c>
    </row>
    <row r="60905" spans="119:119" x14ac:dyDescent="0.2">
      <c r="DO60905" s="303" t="s">
        <v>232</v>
      </c>
    </row>
    <row r="60906" spans="119:119" x14ac:dyDescent="0.2">
      <c r="DO60906" s="303" t="s">
        <v>232</v>
      </c>
    </row>
    <row r="60907" spans="119:119" x14ac:dyDescent="0.2">
      <c r="DO60907" s="303" t="s">
        <v>232</v>
      </c>
    </row>
    <row r="60908" spans="119:119" x14ac:dyDescent="0.2">
      <c r="DO60908" s="303" t="s">
        <v>232</v>
      </c>
    </row>
    <row r="60909" spans="119:119" x14ac:dyDescent="0.2">
      <c r="DO60909" s="303" t="s">
        <v>232</v>
      </c>
    </row>
    <row r="60910" spans="119:119" x14ac:dyDescent="0.2">
      <c r="DO60910" s="303" t="s">
        <v>232</v>
      </c>
    </row>
    <row r="60911" spans="119:119" x14ac:dyDescent="0.2">
      <c r="DO60911" s="303" t="s">
        <v>232</v>
      </c>
    </row>
    <row r="60912" spans="119:119" x14ac:dyDescent="0.2">
      <c r="DO60912" s="303" t="s">
        <v>232</v>
      </c>
    </row>
    <row r="60913" spans="119:119" x14ac:dyDescent="0.2">
      <c r="DO60913" s="303" t="s">
        <v>232</v>
      </c>
    </row>
    <row r="60914" spans="119:119" x14ac:dyDescent="0.2">
      <c r="DO60914" s="303" t="s">
        <v>232</v>
      </c>
    </row>
    <row r="60915" spans="119:119" x14ac:dyDescent="0.2">
      <c r="DO60915" s="303" t="s">
        <v>232</v>
      </c>
    </row>
    <row r="60916" spans="119:119" x14ac:dyDescent="0.2">
      <c r="DO60916" s="303" t="s">
        <v>232</v>
      </c>
    </row>
    <row r="60917" spans="119:119" x14ac:dyDescent="0.2">
      <c r="DO60917" s="303" t="s">
        <v>232</v>
      </c>
    </row>
    <row r="60918" spans="119:119" x14ac:dyDescent="0.2">
      <c r="DO60918" s="303" t="s">
        <v>232</v>
      </c>
    </row>
    <row r="60919" spans="119:119" x14ac:dyDescent="0.2">
      <c r="DO60919" s="303" t="s">
        <v>232</v>
      </c>
    </row>
    <row r="60920" spans="119:119" x14ac:dyDescent="0.2">
      <c r="DO60920" s="303" t="s">
        <v>232</v>
      </c>
    </row>
    <row r="60921" spans="119:119" x14ac:dyDescent="0.2">
      <c r="DO60921" s="303" t="s">
        <v>232</v>
      </c>
    </row>
    <row r="60922" spans="119:119" x14ac:dyDescent="0.2">
      <c r="DO60922" s="303" t="s">
        <v>232</v>
      </c>
    </row>
    <row r="60923" spans="119:119" x14ac:dyDescent="0.2">
      <c r="DO60923" s="303" t="s">
        <v>232</v>
      </c>
    </row>
    <row r="60924" spans="119:119" x14ac:dyDescent="0.2">
      <c r="DO60924" s="303" t="s">
        <v>232</v>
      </c>
    </row>
    <row r="60925" spans="119:119" x14ac:dyDescent="0.2">
      <c r="DO60925" s="303" t="s">
        <v>232</v>
      </c>
    </row>
    <row r="60926" spans="119:119" x14ac:dyDescent="0.2">
      <c r="DO60926" s="303" t="s">
        <v>232</v>
      </c>
    </row>
    <row r="60927" spans="119:119" x14ac:dyDescent="0.2">
      <c r="DO60927" s="303" t="s">
        <v>232</v>
      </c>
    </row>
    <row r="60928" spans="119:119" x14ac:dyDescent="0.2">
      <c r="DO60928" s="303" t="s">
        <v>232</v>
      </c>
    </row>
    <row r="60929" spans="119:119" x14ac:dyDescent="0.2">
      <c r="DO60929" s="303" t="s">
        <v>232</v>
      </c>
    </row>
    <row r="60930" spans="119:119" x14ac:dyDescent="0.2">
      <c r="DO60930" s="303" t="s">
        <v>232</v>
      </c>
    </row>
    <row r="60931" spans="119:119" x14ac:dyDescent="0.2">
      <c r="DO60931" s="303" t="s">
        <v>232</v>
      </c>
    </row>
    <row r="60932" spans="119:119" x14ac:dyDescent="0.2">
      <c r="DO60932" s="303" t="s">
        <v>232</v>
      </c>
    </row>
    <row r="60933" spans="119:119" x14ac:dyDescent="0.2">
      <c r="DO60933" s="303" t="s">
        <v>232</v>
      </c>
    </row>
    <row r="60934" spans="119:119" x14ac:dyDescent="0.2">
      <c r="DO60934" s="303" t="s">
        <v>232</v>
      </c>
    </row>
    <row r="60935" spans="119:119" x14ac:dyDescent="0.2">
      <c r="DO60935" s="303" t="s">
        <v>232</v>
      </c>
    </row>
    <row r="60936" spans="119:119" x14ac:dyDescent="0.2">
      <c r="DO60936" s="303" t="s">
        <v>232</v>
      </c>
    </row>
    <row r="60937" spans="119:119" x14ac:dyDescent="0.2">
      <c r="DO60937" s="303" t="s">
        <v>232</v>
      </c>
    </row>
    <row r="60938" spans="119:119" x14ac:dyDescent="0.2">
      <c r="DO60938" s="303" t="s">
        <v>232</v>
      </c>
    </row>
    <row r="60939" spans="119:119" x14ac:dyDescent="0.2">
      <c r="DO60939" s="303" t="s">
        <v>232</v>
      </c>
    </row>
    <row r="60940" spans="119:119" x14ac:dyDescent="0.2">
      <c r="DO60940" s="303" t="s">
        <v>232</v>
      </c>
    </row>
    <row r="60941" spans="119:119" x14ac:dyDescent="0.2">
      <c r="DO60941" s="303" t="s">
        <v>232</v>
      </c>
    </row>
    <row r="60942" spans="119:119" x14ac:dyDescent="0.2">
      <c r="DO60942" s="303" t="s">
        <v>232</v>
      </c>
    </row>
    <row r="60943" spans="119:119" x14ac:dyDescent="0.2">
      <c r="DO60943" s="303" t="s">
        <v>232</v>
      </c>
    </row>
    <row r="60944" spans="119:119" x14ac:dyDescent="0.2">
      <c r="DO60944" s="303" t="s">
        <v>232</v>
      </c>
    </row>
    <row r="60945" spans="119:119" x14ac:dyDescent="0.2">
      <c r="DO60945" s="303" t="s">
        <v>232</v>
      </c>
    </row>
    <row r="60946" spans="119:119" x14ac:dyDescent="0.2">
      <c r="DO60946" s="303" t="s">
        <v>232</v>
      </c>
    </row>
    <row r="60947" spans="119:119" x14ac:dyDescent="0.2">
      <c r="DO60947" s="303" t="s">
        <v>232</v>
      </c>
    </row>
    <row r="60948" spans="119:119" x14ac:dyDescent="0.2">
      <c r="DO60948" s="303" t="s">
        <v>232</v>
      </c>
    </row>
    <row r="60949" spans="119:119" x14ac:dyDescent="0.2">
      <c r="DO60949" s="303" t="s">
        <v>232</v>
      </c>
    </row>
    <row r="60950" spans="119:119" x14ac:dyDescent="0.2">
      <c r="DO60950" s="303" t="s">
        <v>232</v>
      </c>
    </row>
    <row r="60951" spans="119:119" x14ac:dyDescent="0.2">
      <c r="DO60951" s="303" t="s">
        <v>232</v>
      </c>
    </row>
    <row r="60952" spans="119:119" x14ac:dyDescent="0.2">
      <c r="DO60952" s="303" t="s">
        <v>232</v>
      </c>
    </row>
    <row r="60953" spans="119:119" x14ac:dyDescent="0.2">
      <c r="DO60953" s="303" t="s">
        <v>232</v>
      </c>
    </row>
    <row r="60954" spans="119:119" x14ac:dyDescent="0.2">
      <c r="DO60954" s="303" t="s">
        <v>232</v>
      </c>
    </row>
    <row r="60955" spans="119:119" x14ac:dyDescent="0.2">
      <c r="DO60955" s="303" t="s">
        <v>232</v>
      </c>
    </row>
    <row r="60956" spans="119:119" x14ac:dyDescent="0.2">
      <c r="DO60956" s="303" t="s">
        <v>232</v>
      </c>
    </row>
    <row r="60957" spans="119:119" x14ac:dyDescent="0.2">
      <c r="DO60957" s="303" t="s">
        <v>232</v>
      </c>
    </row>
    <row r="60958" spans="119:119" x14ac:dyDescent="0.2">
      <c r="DO60958" s="303" t="s">
        <v>232</v>
      </c>
    </row>
    <row r="60959" spans="119:119" x14ac:dyDescent="0.2">
      <c r="DO60959" s="303" t="s">
        <v>232</v>
      </c>
    </row>
    <row r="60960" spans="119:119" x14ac:dyDescent="0.2">
      <c r="DO60960" s="303" t="s">
        <v>232</v>
      </c>
    </row>
    <row r="60961" spans="119:119" x14ac:dyDescent="0.2">
      <c r="DO60961" s="303" t="s">
        <v>232</v>
      </c>
    </row>
    <row r="60962" spans="119:119" x14ac:dyDescent="0.2">
      <c r="DO60962" s="303" t="s">
        <v>232</v>
      </c>
    </row>
    <row r="60963" spans="119:119" x14ac:dyDescent="0.2">
      <c r="DO60963" s="303" t="s">
        <v>232</v>
      </c>
    </row>
    <row r="60964" spans="119:119" x14ac:dyDescent="0.2">
      <c r="DO60964" s="303" t="s">
        <v>232</v>
      </c>
    </row>
    <row r="60965" spans="119:119" x14ac:dyDescent="0.2">
      <c r="DO60965" s="303" t="s">
        <v>232</v>
      </c>
    </row>
    <row r="60966" spans="119:119" x14ac:dyDescent="0.2">
      <c r="DO60966" s="303" t="s">
        <v>232</v>
      </c>
    </row>
    <row r="60967" spans="119:119" x14ac:dyDescent="0.2">
      <c r="DO60967" s="303" t="s">
        <v>232</v>
      </c>
    </row>
    <row r="60968" spans="119:119" x14ac:dyDescent="0.2">
      <c r="DO60968" s="303" t="s">
        <v>232</v>
      </c>
    </row>
    <row r="60969" spans="119:119" x14ac:dyDescent="0.2">
      <c r="DO60969" s="303" t="s">
        <v>232</v>
      </c>
    </row>
    <row r="60970" spans="119:119" x14ac:dyDescent="0.2">
      <c r="DO60970" s="303" t="s">
        <v>232</v>
      </c>
    </row>
    <row r="60971" spans="119:119" x14ac:dyDescent="0.2">
      <c r="DO60971" s="303" t="s">
        <v>232</v>
      </c>
    </row>
    <row r="60972" spans="119:119" x14ac:dyDescent="0.2">
      <c r="DO60972" s="303" t="s">
        <v>232</v>
      </c>
    </row>
    <row r="60973" spans="119:119" x14ac:dyDescent="0.2">
      <c r="DO60973" s="303" t="s">
        <v>232</v>
      </c>
    </row>
    <row r="60974" spans="119:119" x14ac:dyDescent="0.2">
      <c r="DO60974" s="303" t="s">
        <v>232</v>
      </c>
    </row>
    <row r="60975" spans="119:119" x14ac:dyDescent="0.2">
      <c r="DO60975" s="303" t="s">
        <v>232</v>
      </c>
    </row>
    <row r="60976" spans="119:119" x14ac:dyDescent="0.2">
      <c r="DO60976" s="303" t="s">
        <v>232</v>
      </c>
    </row>
    <row r="60977" spans="119:119" x14ac:dyDescent="0.2">
      <c r="DO60977" s="303" t="s">
        <v>232</v>
      </c>
    </row>
    <row r="60978" spans="119:119" x14ac:dyDescent="0.2">
      <c r="DO60978" s="303" t="s">
        <v>232</v>
      </c>
    </row>
    <row r="60979" spans="119:119" x14ac:dyDescent="0.2">
      <c r="DO60979" s="303" t="s">
        <v>232</v>
      </c>
    </row>
    <row r="60980" spans="119:119" x14ac:dyDescent="0.2">
      <c r="DO60980" s="303" t="s">
        <v>232</v>
      </c>
    </row>
    <row r="60981" spans="119:119" x14ac:dyDescent="0.2">
      <c r="DO60981" s="303" t="s">
        <v>232</v>
      </c>
    </row>
    <row r="60982" spans="119:119" x14ac:dyDescent="0.2">
      <c r="DO60982" s="303" t="s">
        <v>232</v>
      </c>
    </row>
    <row r="60983" spans="119:119" x14ac:dyDescent="0.2">
      <c r="DO60983" s="303" t="s">
        <v>232</v>
      </c>
    </row>
    <row r="60984" spans="119:119" x14ac:dyDescent="0.2">
      <c r="DO60984" s="303" t="s">
        <v>232</v>
      </c>
    </row>
    <row r="60985" spans="119:119" x14ac:dyDescent="0.2">
      <c r="DO60985" s="303" t="s">
        <v>232</v>
      </c>
    </row>
    <row r="60986" spans="119:119" x14ac:dyDescent="0.2">
      <c r="DO60986" s="303" t="s">
        <v>232</v>
      </c>
    </row>
    <row r="60987" spans="119:119" x14ac:dyDescent="0.2">
      <c r="DO60987" s="303" t="s">
        <v>232</v>
      </c>
    </row>
    <row r="60988" spans="119:119" x14ac:dyDescent="0.2">
      <c r="DO60988" s="303" t="s">
        <v>232</v>
      </c>
    </row>
    <row r="60989" spans="119:119" x14ac:dyDescent="0.2">
      <c r="DO60989" s="303" t="s">
        <v>232</v>
      </c>
    </row>
    <row r="60990" spans="119:119" x14ac:dyDescent="0.2">
      <c r="DO60990" s="303" t="s">
        <v>232</v>
      </c>
    </row>
    <row r="60991" spans="119:119" x14ac:dyDescent="0.2">
      <c r="DO60991" s="303" t="s">
        <v>232</v>
      </c>
    </row>
    <row r="60992" spans="119:119" x14ac:dyDescent="0.2">
      <c r="DO60992" s="303" t="s">
        <v>232</v>
      </c>
    </row>
    <row r="60993" spans="119:119" x14ac:dyDescent="0.2">
      <c r="DO60993" s="303" t="s">
        <v>232</v>
      </c>
    </row>
    <row r="60994" spans="119:119" x14ac:dyDescent="0.2">
      <c r="DO60994" s="303" t="s">
        <v>232</v>
      </c>
    </row>
    <row r="60995" spans="119:119" x14ac:dyDescent="0.2">
      <c r="DO60995" s="303" t="s">
        <v>232</v>
      </c>
    </row>
    <row r="60996" spans="119:119" x14ac:dyDescent="0.2">
      <c r="DO60996" s="303" t="s">
        <v>232</v>
      </c>
    </row>
    <row r="60997" spans="119:119" x14ac:dyDescent="0.2">
      <c r="DO60997" s="303" t="s">
        <v>232</v>
      </c>
    </row>
    <row r="60998" spans="119:119" x14ac:dyDescent="0.2">
      <c r="DO60998" s="303" t="s">
        <v>232</v>
      </c>
    </row>
    <row r="60999" spans="119:119" x14ac:dyDescent="0.2">
      <c r="DO60999" s="303" t="s">
        <v>232</v>
      </c>
    </row>
    <row r="61000" spans="119:119" x14ac:dyDescent="0.2">
      <c r="DO61000" s="303" t="s">
        <v>232</v>
      </c>
    </row>
    <row r="61001" spans="119:119" x14ac:dyDescent="0.2">
      <c r="DO61001" s="303" t="s">
        <v>232</v>
      </c>
    </row>
    <row r="61002" spans="119:119" x14ac:dyDescent="0.2">
      <c r="DO61002" s="303" t="s">
        <v>232</v>
      </c>
    </row>
    <row r="61003" spans="119:119" x14ac:dyDescent="0.2">
      <c r="DO61003" s="303" t="s">
        <v>232</v>
      </c>
    </row>
    <row r="61004" spans="119:119" x14ac:dyDescent="0.2">
      <c r="DO61004" s="303" t="s">
        <v>232</v>
      </c>
    </row>
    <row r="61005" spans="119:119" x14ac:dyDescent="0.2">
      <c r="DO61005" s="303" t="s">
        <v>232</v>
      </c>
    </row>
    <row r="61006" spans="119:119" x14ac:dyDescent="0.2">
      <c r="DO61006" s="303" t="s">
        <v>232</v>
      </c>
    </row>
    <row r="61007" spans="119:119" x14ac:dyDescent="0.2">
      <c r="DO61007" s="303" t="s">
        <v>232</v>
      </c>
    </row>
    <row r="61008" spans="119:119" x14ac:dyDescent="0.2">
      <c r="DO61008" s="303" t="s">
        <v>232</v>
      </c>
    </row>
    <row r="61009" spans="119:119" x14ac:dyDescent="0.2">
      <c r="DO61009" s="303" t="s">
        <v>232</v>
      </c>
    </row>
    <row r="61010" spans="119:119" x14ac:dyDescent="0.2">
      <c r="DO61010" s="303" t="s">
        <v>232</v>
      </c>
    </row>
    <row r="61011" spans="119:119" x14ac:dyDescent="0.2">
      <c r="DO61011" s="303" t="s">
        <v>232</v>
      </c>
    </row>
    <row r="61012" spans="119:119" x14ac:dyDescent="0.2">
      <c r="DO61012" s="303" t="s">
        <v>232</v>
      </c>
    </row>
    <row r="61013" spans="119:119" x14ac:dyDescent="0.2">
      <c r="DO61013" s="303" t="s">
        <v>232</v>
      </c>
    </row>
    <row r="61014" spans="119:119" x14ac:dyDescent="0.2">
      <c r="DO61014" s="303" t="s">
        <v>232</v>
      </c>
    </row>
    <row r="61015" spans="119:119" x14ac:dyDescent="0.2">
      <c r="DO61015" s="303" t="s">
        <v>232</v>
      </c>
    </row>
    <row r="61016" spans="119:119" x14ac:dyDescent="0.2">
      <c r="DO61016" s="303" t="s">
        <v>232</v>
      </c>
    </row>
    <row r="61017" spans="119:119" x14ac:dyDescent="0.2">
      <c r="DO61017" s="303" t="s">
        <v>232</v>
      </c>
    </row>
    <row r="61018" spans="119:119" x14ac:dyDescent="0.2">
      <c r="DO61018" s="303" t="s">
        <v>232</v>
      </c>
    </row>
    <row r="61019" spans="119:119" x14ac:dyDescent="0.2">
      <c r="DO61019" s="303" t="s">
        <v>232</v>
      </c>
    </row>
    <row r="61020" spans="119:119" x14ac:dyDescent="0.2">
      <c r="DO61020" s="303" t="s">
        <v>232</v>
      </c>
    </row>
    <row r="61021" spans="119:119" x14ac:dyDescent="0.2">
      <c r="DO61021" s="303" t="s">
        <v>232</v>
      </c>
    </row>
    <row r="61022" spans="119:119" x14ac:dyDescent="0.2">
      <c r="DO61022" s="303" t="s">
        <v>232</v>
      </c>
    </row>
    <row r="61023" spans="119:119" x14ac:dyDescent="0.2">
      <c r="DO61023" s="303" t="s">
        <v>232</v>
      </c>
    </row>
    <row r="61024" spans="119:119" x14ac:dyDescent="0.2">
      <c r="DO61024" s="303" t="s">
        <v>232</v>
      </c>
    </row>
    <row r="61025" spans="119:119" x14ac:dyDescent="0.2">
      <c r="DO61025" s="303" t="s">
        <v>232</v>
      </c>
    </row>
    <row r="61026" spans="119:119" x14ac:dyDescent="0.2">
      <c r="DO61026" s="303" t="s">
        <v>232</v>
      </c>
    </row>
    <row r="61027" spans="119:119" x14ac:dyDescent="0.2">
      <c r="DO61027" s="303" t="s">
        <v>232</v>
      </c>
    </row>
    <row r="61028" spans="119:119" x14ac:dyDescent="0.2">
      <c r="DO61028" s="303" t="s">
        <v>232</v>
      </c>
    </row>
    <row r="61029" spans="119:119" x14ac:dyDescent="0.2">
      <c r="DO61029" s="303" t="s">
        <v>232</v>
      </c>
    </row>
    <row r="61030" spans="119:119" x14ac:dyDescent="0.2">
      <c r="DO61030" s="303" t="s">
        <v>232</v>
      </c>
    </row>
    <row r="61031" spans="119:119" x14ac:dyDescent="0.2">
      <c r="DO61031" s="303" t="s">
        <v>232</v>
      </c>
    </row>
    <row r="61032" spans="119:119" x14ac:dyDescent="0.2">
      <c r="DO61032" s="303" t="s">
        <v>232</v>
      </c>
    </row>
    <row r="61033" spans="119:119" x14ac:dyDescent="0.2">
      <c r="DO61033" s="303" t="s">
        <v>232</v>
      </c>
    </row>
    <row r="61034" spans="119:119" x14ac:dyDescent="0.2">
      <c r="DO61034" s="303" t="s">
        <v>232</v>
      </c>
    </row>
    <row r="61035" spans="119:119" x14ac:dyDescent="0.2">
      <c r="DO61035" s="303" t="s">
        <v>232</v>
      </c>
    </row>
    <row r="61036" spans="119:119" x14ac:dyDescent="0.2">
      <c r="DO61036" s="303" t="s">
        <v>232</v>
      </c>
    </row>
    <row r="61037" spans="119:119" x14ac:dyDescent="0.2">
      <c r="DO61037" s="303" t="s">
        <v>232</v>
      </c>
    </row>
    <row r="61038" spans="119:119" x14ac:dyDescent="0.2">
      <c r="DO61038" s="303" t="s">
        <v>232</v>
      </c>
    </row>
    <row r="61039" spans="119:119" x14ac:dyDescent="0.2">
      <c r="DO61039" s="303" t="s">
        <v>232</v>
      </c>
    </row>
    <row r="61040" spans="119:119" x14ac:dyDescent="0.2">
      <c r="DO61040" s="303" t="s">
        <v>232</v>
      </c>
    </row>
    <row r="61041" spans="119:119" x14ac:dyDescent="0.2">
      <c r="DO61041" s="303" t="s">
        <v>232</v>
      </c>
    </row>
    <row r="61042" spans="119:119" x14ac:dyDescent="0.2">
      <c r="DO61042" s="303" t="s">
        <v>232</v>
      </c>
    </row>
    <row r="61043" spans="119:119" x14ac:dyDescent="0.2">
      <c r="DO61043" s="303" t="s">
        <v>232</v>
      </c>
    </row>
    <row r="61044" spans="119:119" x14ac:dyDescent="0.2">
      <c r="DO61044" s="303" t="s">
        <v>232</v>
      </c>
    </row>
    <row r="61045" spans="119:119" x14ac:dyDescent="0.2">
      <c r="DO61045" s="303" t="s">
        <v>232</v>
      </c>
    </row>
    <row r="61046" spans="119:119" x14ac:dyDescent="0.2">
      <c r="DO61046" s="303" t="s">
        <v>232</v>
      </c>
    </row>
    <row r="61047" spans="119:119" x14ac:dyDescent="0.2">
      <c r="DO61047" s="303" t="s">
        <v>232</v>
      </c>
    </row>
    <row r="61048" spans="119:119" x14ac:dyDescent="0.2">
      <c r="DO61048" s="303" t="s">
        <v>232</v>
      </c>
    </row>
    <row r="61049" spans="119:119" x14ac:dyDescent="0.2">
      <c r="DO61049" s="303" t="s">
        <v>232</v>
      </c>
    </row>
    <row r="61050" spans="119:119" x14ac:dyDescent="0.2">
      <c r="DO61050" s="303" t="s">
        <v>232</v>
      </c>
    </row>
    <row r="61051" spans="119:119" x14ac:dyDescent="0.2">
      <c r="DO61051" s="303" t="s">
        <v>232</v>
      </c>
    </row>
    <row r="61052" spans="119:119" x14ac:dyDescent="0.2">
      <c r="DO61052" s="303" t="s">
        <v>232</v>
      </c>
    </row>
    <row r="61053" spans="119:119" x14ac:dyDescent="0.2">
      <c r="DO61053" s="303" t="s">
        <v>232</v>
      </c>
    </row>
    <row r="61054" spans="119:119" x14ac:dyDescent="0.2">
      <c r="DO61054" s="303" t="s">
        <v>232</v>
      </c>
    </row>
    <row r="61055" spans="119:119" x14ac:dyDescent="0.2">
      <c r="DO61055" s="303" t="s">
        <v>232</v>
      </c>
    </row>
    <row r="61056" spans="119:119" x14ac:dyDescent="0.2">
      <c r="DO61056" s="303" t="s">
        <v>232</v>
      </c>
    </row>
    <row r="61057" spans="119:119" x14ac:dyDescent="0.2">
      <c r="DO61057" s="303" t="s">
        <v>232</v>
      </c>
    </row>
    <row r="61058" spans="119:119" x14ac:dyDescent="0.2">
      <c r="DO61058" s="303" t="s">
        <v>232</v>
      </c>
    </row>
    <row r="61059" spans="119:119" x14ac:dyDescent="0.2">
      <c r="DO61059" s="303" t="s">
        <v>232</v>
      </c>
    </row>
    <row r="61060" spans="119:119" x14ac:dyDescent="0.2">
      <c r="DO61060" s="303" t="s">
        <v>232</v>
      </c>
    </row>
    <row r="61061" spans="119:119" x14ac:dyDescent="0.2">
      <c r="DO61061" s="303" t="s">
        <v>232</v>
      </c>
    </row>
    <row r="61062" spans="119:119" x14ac:dyDescent="0.2">
      <c r="DO61062" s="303" t="s">
        <v>232</v>
      </c>
    </row>
    <row r="61063" spans="119:119" x14ac:dyDescent="0.2">
      <c r="DO61063" s="303" t="s">
        <v>232</v>
      </c>
    </row>
    <row r="61064" spans="119:119" x14ac:dyDescent="0.2">
      <c r="DO61064" s="303" t="s">
        <v>232</v>
      </c>
    </row>
    <row r="61065" spans="119:119" x14ac:dyDescent="0.2">
      <c r="DO61065" s="303" t="s">
        <v>232</v>
      </c>
    </row>
    <row r="61066" spans="119:119" x14ac:dyDescent="0.2">
      <c r="DO61066" s="303" t="s">
        <v>232</v>
      </c>
    </row>
    <row r="61067" spans="119:119" x14ac:dyDescent="0.2">
      <c r="DO61067" s="303" t="s">
        <v>232</v>
      </c>
    </row>
    <row r="61068" spans="119:119" x14ac:dyDescent="0.2">
      <c r="DO61068" s="303" t="s">
        <v>232</v>
      </c>
    </row>
    <row r="61069" spans="119:119" x14ac:dyDescent="0.2">
      <c r="DO61069" s="303" t="s">
        <v>232</v>
      </c>
    </row>
    <row r="61070" spans="119:119" x14ac:dyDescent="0.2">
      <c r="DO61070" s="303" t="s">
        <v>232</v>
      </c>
    </row>
    <row r="61071" spans="119:119" x14ac:dyDescent="0.2">
      <c r="DO61071" s="303" t="s">
        <v>232</v>
      </c>
    </row>
    <row r="61072" spans="119:119" x14ac:dyDescent="0.2">
      <c r="DO61072" s="303" t="s">
        <v>232</v>
      </c>
    </row>
    <row r="61073" spans="119:119" x14ac:dyDescent="0.2">
      <c r="DO61073" s="303" t="s">
        <v>232</v>
      </c>
    </row>
    <row r="61074" spans="119:119" x14ac:dyDescent="0.2">
      <c r="DO61074" s="303" t="s">
        <v>232</v>
      </c>
    </row>
    <row r="61075" spans="119:119" x14ac:dyDescent="0.2">
      <c r="DO61075" s="303" t="s">
        <v>232</v>
      </c>
    </row>
    <row r="61076" spans="119:119" x14ac:dyDescent="0.2">
      <c r="DO61076" s="303" t="s">
        <v>232</v>
      </c>
    </row>
    <row r="61077" spans="119:119" x14ac:dyDescent="0.2">
      <c r="DO61077" s="303" t="s">
        <v>232</v>
      </c>
    </row>
    <row r="61078" spans="119:119" x14ac:dyDescent="0.2">
      <c r="DO61078" s="303" t="s">
        <v>232</v>
      </c>
    </row>
    <row r="61079" spans="119:119" x14ac:dyDescent="0.2">
      <c r="DO61079" s="303" t="s">
        <v>232</v>
      </c>
    </row>
    <row r="61080" spans="119:119" x14ac:dyDescent="0.2">
      <c r="DO61080" s="303" t="s">
        <v>232</v>
      </c>
    </row>
    <row r="61081" spans="119:119" x14ac:dyDescent="0.2">
      <c r="DO61081" s="303" t="s">
        <v>232</v>
      </c>
    </row>
    <row r="61082" spans="119:119" x14ac:dyDescent="0.2">
      <c r="DO61082" s="303" t="s">
        <v>232</v>
      </c>
    </row>
    <row r="61083" spans="119:119" x14ac:dyDescent="0.2">
      <c r="DO61083" s="303" t="s">
        <v>232</v>
      </c>
    </row>
    <row r="61084" spans="119:119" x14ac:dyDescent="0.2">
      <c r="DO61084" s="303" t="s">
        <v>232</v>
      </c>
    </row>
    <row r="61085" spans="119:119" x14ac:dyDescent="0.2">
      <c r="DO61085" s="303" t="s">
        <v>232</v>
      </c>
    </row>
    <row r="61086" spans="119:119" x14ac:dyDescent="0.2">
      <c r="DO61086" s="303" t="s">
        <v>232</v>
      </c>
    </row>
    <row r="61087" spans="119:119" x14ac:dyDescent="0.2">
      <c r="DO61087" s="303" t="s">
        <v>232</v>
      </c>
    </row>
    <row r="61088" spans="119:119" x14ac:dyDescent="0.2">
      <c r="DO61088" s="303" t="s">
        <v>232</v>
      </c>
    </row>
    <row r="61089" spans="119:119" x14ac:dyDescent="0.2">
      <c r="DO61089" s="303" t="s">
        <v>232</v>
      </c>
    </row>
    <row r="61090" spans="119:119" x14ac:dyDescent="0.2">
      <c r="DO61090" s="303" t="s">
        <v>232</v>
      </c>
    </row>
    <row r="61091" spans="119:119" x14ac:dyDescent="0.2">
      <c r="DO61091" s="303" t="s">
        <v>232</v>
      </c>
    </row>
    <row r="61092" spans="119:119" x14ac:dyDescent="0.2">
      <c r="DO61092" s="303" t="s">
        <v>232</v>
      </c>
    </row>
    <row r="61093" spans="119:119" x14ac:dyDescent="0.2">
      <c r="DO61093" s="303" t="s">
        <v>232</v>
      </c>
    </row>
    <row r="61094" spans="119:119" x14ac:dyDescent="0.2">
      <c r="DO61094" s="303" t="s">
        <v>232</v>
      </c>
    </row>
    <row r="61095" spans="119:119" x14ac:dyDescent="0.2">
      <c r="DO61095" s="303" t="s">
        <v>232</v>
      </c>
    </row>
    <row r="61096" spans="119:119" x14ac:dyDescent="0.2">
      <c r="DO61096" s="303" t="s">
        <v>232</v>
      </c>
    </row>
    <row r="61097" spans="119:119" x14ac:dyDescent="0.2">
      <c r="DO61097" s="303" t="s">
        <v>232</v>
      </c>
    </row>
    <row r="61098" spans="119:119" x14ac:dyDescent="0.2">
      <c r="DO61098" s="303" t="s">
        <v>232</v>
      </c>
    </row>
    <row r="61099" spans="119:119" x14ac:dyDescent="0.2">
      <c r="DO61099" s="303" t="s">
        <v>232</v>
      </c>
    </row>
    <row r="61100" spans="119:119" x14ac:dyDescent="0.2">
      <c r="DO61100" s="303" t="s">
        <v>232</v>
      </c>
    </row>
    <row r="61101" spans="119:119" x14ac:dyDescent="0.2">
      <c r="DO61101" s="303" t="s">
        <v>232</v>
      </c>
    </row>
    <row r="61102" spans="119:119" x14ac:dyDescent="0.2">
      <c r="DO61102" s="303" t="s">
        <v>232</v>
      </c>
    </row>
    <row r="61103" spans="119:119" x14ac:dyDescent="0.2">
      <c r="DO61103" s="303" t="s">
        <v>232</v>
      </c>
    </row>
    <row r="61104" spans="119:119" x14ac:dyDescent="0.2">
      <c r="DO61104" s="303" t="s">
        <v>232</v>
      </c>
    </row>
    <row r="61105" spans="119:119" x14ac:dyDescent="0.2">
      <c r="DO61105" s="303" t="s">
        <v>232</v>
      </c>
    </row>
    <row r="61106" spans="119:119" x14ac:dyDescent="0.2">
      <c r="DO61106" s="303" t="s">
        <v>232</v>
      </c>
    </row>
    <row r="61107" spans="119:119" x14ac:dyDescent="0.2">
      <c r="DO61107" s="303" t="s">
        <v>232</v>
      </c>
    </row>
    <row r="61108" spans="119:119" x14ac:dyDescent="0.2">
      <c r="DO61108" s="303" t="s">
        <v>232</v>
      </c>
    </row>
    <row r="61109" spans="119:119" x14ac:dyDescent="0.2">
      <c r="DO61109" s="303" t="s">
        <v>232</v>
      </c>
    </row>
    <row r="61110" spans="119:119" x14ac:dyDescent="0.2">
      <c r="DO61110" s="303" t="s">
        <v>232</v>
      </c>
    </row>
    <row r="61111" spans="119:119" x14ac:dyDescent="0.2">
      <c r="DO61111" s="303" t="s">
        <v>232</v>
      </c>
    </row>
    <row r="61112" spans="119:119" x14ac:dyDescent="0.2">
      <c r="DO61112" s="303" t="s">
        <v>232</v>
      </c>
    </row>
    <row r="61113" spans="119:119" x14ac:dyDescent="0.2">
      <c r="DO61113" s="303" t="s">
        <v>232</v>
      </c>
    </row>
    <row r="61114" spans="119:119" x14ac:dyDescent="0.2">
      <c r="DO61114" s="303" t="s">
        <v>232</v>
      </c>
    </row>
    <row r="61115" spans="119:119" x14ac:dyDescent="0.2">
      <c r="DO61115" s="303" t="s">
        <v>232</v>
      </c>
    </row>
    <row r="61116" spans="119:119" x14ac:dyDescent="0.2">
      <c r="DO61116" s="303" t="s">
        <v>232</v>
      </c>
    </row>
    <row r="61117" spans="119:119" x14ac:dyDescent="0.2">
      <c r="DO61117" s="303" t="s">
        <v>232</v>
      </c>
    </row>
    <row r="61118" spans="119:119" x14ac:dyDescent="0.2">
      <c r="DO61118" s="303" t="s">
        <v>232</v>
      </c>
    </row>
    <row r="61119" spans="119:119" x14ac:dyDescent="0.2">
      <c r="DO61119" s="303" t="s">
        <v>232</v>
      </c>
    </row>
    <row r="61120" spans="119:119" x14ac:dyDescent="0.2">
      <c r="DO61120" s="303" t="s">
        <v>232</v>
      </c>
    </row>
    <row r="61121" spans="119:119" x14ac:dyDescent="0.2">
      <c r="DO61121" s="303" t="s">
        <v>232</v>
      </c>
    </row>
    <row r="61122" spans="119:119" x14ac:dyDescent="0.2">
      <c r="DO61122" s="303" t="s">
        <v>232</v>
      </c>
    </row>
    <row r="61123" spans="119:119" x14ac:dyDescent="0.2">
      <c r="DO61123" s="303" t="s">
        <v>232</v>
      </c>
    </row>
    <row r="61124" spans="119:119" x14ac:dyDescent="0.2">
      <c r="DO61124" s="303" t="s">
        <v>232</v>
      </c>
    </row>
    <row r="61125" spans="119:119" x14ac:dyDescent="0.2">
      <c r="DO61125" s="303" t="s">
        <v>232</v>
      </c>
    </row>
    <row r="61126" spans="119:119" x14ac:dyDescent="0.2">
      <c r="DO61126" s="303" t="s">
        <v>232</v>
      </c>
    </row>
    <row r="61127" spans="119:119" x14ac:dyDescent="0.2">
      <c r="DO61127" s="303" t="s">
        <v>232</v>
      </c>
    </row>
    <row r="61128" spans="119:119" x14ac:dyDescent="0.2">
      <c r="DO61128" s="303" t="s">
        <v>232</v>
      </c>
    </row>
    <row r="61129" spans="119:119" x14ac:dyDescent="0.2">
      <c r="DO61129" s="303" t="s">
        <v>232</v>
      </c>
    </row>
    <row r="61130" spans="119:119" x14ac:dyDescent="0.2">
      <c r="DO61130" s="303" t="s">
        <v>232</v>
      </c>
    </row>
    <row r="61131" spans="119:119" x14ac:dyDescent="0.2">
      <c r="DO61131" s="303" t="s">
        <v>232</v>
      </c>
    </row>
    <row r="61132" spans="119:119" x14ac:dyDescent="0.2">
      <c r="DO61132" s="303" t="s">
        <v>232</v>
      </c>
    </row>
    <row r="61133" spans="119:119" x14ac:dyDescent="0.2">
      <c r="DO61133" s="303" t="s">
        <v>232</v>
      </c>
    </row>
    <row r="61134" spans="119:119" x14ac:dyDescent="0.2">
      <c r="DO61134" s="303" t="s">
        <v>232</v>
      </c>
    </row>
    <row r="61135" spans="119:119" x14ac:dyDescent="0.2">
      <c r="DO61135" s="303" t="s">
        <v>232</v>
      </c>
    </row>
    <row r="61136" spans="119:119" x14ac:dyDescent="0.2">
      <c r="DO61136" s="303" t="s">
        <v>232</v>
      </c>
    </row>
    <row r="61137" spans="119:119" x14ac:dyDescent="0.2">
      <c r="DO61137" s="303" t="s">
        <v>232</v>
      </c>
    </row>
    <row r="61138" spans="119:119" x14ac:dyDescent="0.2">
      <c r="DO61138" s="303" t="s">
        <v>232</v>
      </c>
    </row>
    <row r="61139" spans="119:119" x14ac:dyDescent="0.2">
      <c r="DO61139" s="303" t="s">
        <v>232</v>
      </c>
    </row>
    <row r="61140" spans="119:119" x14ac:dyDescent="0.2">
      <c r="DO61140" s="303" t="s">
        <v>232</v>
      </c>
    </row>
    <row r="61141" spans="119:119" x14ac:dyDescent="0.2">
      <c r="DO61141" s="303" t="s">
        <v>232</v>
      </c>
    </row>
    <row r="61142" spans="119:119" x14ac:dyDescent="0.2">
      <c r="DO61142" s="303" t="s">
        <v>232</v>
      </c>
    </row>
    <row r="61143" spans="119:119" x14ac:dyDescent="0.2">
      <c r="DO61143" s="303" t="s">
        <v>232</v>
      </c>
    </row>
    <row r="61144" spans="119:119" x14ac:dyDescent="0.2">
      <c r="DO61144" s="303" t="s">
        <v>232</v>
      </c>
    </row>
    <row r="61145" spans="119:119" x14ac:dyDescent="0.2">
      <c r="DO61145" s="303" t="s">
        <v>232</v>
      </c>
    </row>
    <row r="61146" spans="119:119" x14ac:dyDescent="0.2">
      <c r="DO61146" s="303" t="s">
        <v>232</v>
      </c>
    </row>
    <row r="61147" spans="119:119" x14ac:dyDescent="0.2">
      <c r="DO61147" s="303" t="s">
        <v>232</v>
      </c>
    </row>
    <row r="61148" spans="119:119" x14ac:dyDescent="0.2">
      <c r="DO61148" s="303" t="s">
        <v>232</v>
      </c>
    </row>
    <row r="61149" spans="119:119" x14ac:dyDescent="0.2">
      <c r="DO61149" s="303" t="s">
        <v>232</v>
      </c>
    </row>
    <row r="61150" spans="119:119" x14ac:dyDescent="0.2">
      <c r="DO61150" s="303" t="s">
        <v>232</v>
      </c>
    </row>
    <row r="61151" spans="119:119" x14ac:dyDescent="0.2">
      <c r="DO61151" s="303" t="s">
        <v>232</v>
      </c>
    </row>
    <row r="61152" spans="119:119" x14ac:dyDescent="0.2">
      <c r="DO61152" s="303" t="s">
        <v>232</v>
      </c>
    </row>
    <row r="61153" spans="119:119" x14ac:dyDescent="0.2">
      <c r="DO61153" s="303" t="s">
        <v>232</v>
      </c>
    </row>
    <row r="61154" spans="119:119" x14ac:dyDescent="0.2">
      <c r="DO61154" s="303" t="s">
        <v>232</v>
      </c>
    </row>
    <row r="61155" spans="119:119" x14ac:dyDescent="0.2">
      <c r="DO61155" s="303" t="s">
        <v>232</v>
      </c>
    </row>
    <row r="61156" spans="119:119" x14ac:dyDescent="0.2">
      <c r="DO61156" s="303" t="s">
        <v>232</v>
      </c>
    </row>
    <row r="61157" spans="119:119" x14ac:dyDescent="0.2">
      <c r="DO61157" s="303" t="s">
        <v>232</v>
      </c>
    </row>
    <row r="61158" spans="119:119" x14ac:dyDescent="0.2">
      <c r="DO61158" s="303" t="s">
        <v>232</v>
      </c>
    </row>
    <row r="61159" spans="119:119" x14ac:dyDescent="0.2">
      <c r="DO61159" s="303" t="s">
        <v>232</v>
      </c>
    </row>
    <row r="61160" spans="119:119" x14ac:dyDescent="0.2">
      <c r="DO61160" s="303" t="s">
        <v>232</v>
      </c>
    </row>
    <row r="61161" spans="119:119" x14ac:dyDescent="0.2">
      <c r="DO61161" s="303" t="s">
        <v>232</v>
      </c>
    </row>
    <row r="61162" spans="119:119" x14ac:dyDescent="0.2">
      <c r="DO61162" s="303" t="s">
        <v>232</v>
      </c>
    </row>
    <row r="61163" spans="119:119" x14ac:dyDescent="0.2">
      <c r="DO61163" s="303" t="s">
        <v>232</v>
      </c>
    </row>
    <row r="61164" spans="119:119" x14ac:dyDescent="0.2">
      <c r="DO61164" s="303" t="s">
        <v>232</v>
      </c>
    </row>
    <row r="61165" spans="119:119" x14ac:dyDescent="0.2">
      <c r="DO61165" s="303" t="s">
        <v>232</v>
      </c>
    </row>
    <row r="61166" spans="119:119" x14ac:dyDescent="0.2">
      <c r="DO61166" s="303" t="s">
        <v>232</v>
      </c>
    </row>
    <row r="61167" spans="119:119" x14ac:dyDescent="0.2">
      <c r="DO61167" s="303" t="s">
        <v>232</v>
      </c>
    </row>
    <row r="61168" spans="119:119" x14ac:dyDescent="0.2">
      <c r="DO61168" s="303" t="s">
        <v>232</v>
      </c>
    </row>
    <row r="61169" spans="119:119" x14ac:dyDescent="0.2">
      <c r="DO61169" s="303" t="s">
        <v>232</v>
      </c>
    </row>
    <row r="61170" spans="119:119" x14ac:dyDescent="0.2">
      <c r="DO61170" s="303" t="s">
        <v>232</v>
      </c>
    </row>
    <row r="61171" spans="119:119" x14ac:dyDescent="0.2">
      <c r="DO61171" s="303" t="s">
        <v>232</v>
      </c>
    </row>
    <row r="61172" spans="119:119" x14ac:dyDescent="0.2">
      <c r="DO61172" s="303" t="s">
        <v>232</v>
      </c>
    </row>
    <row r="61173" spans="119:119" x14ac:dyDescent="0.2">
      <c r="DO61173" s="303" t="s">
        <v>232</v>
      </c>
    </row>
    <row r="61174" spans="119:119" x14ac:dyDescent="0.2">
      <c r="DO61174" s="303" t="s">
        <v>232</v>
      </c>
    </row>
    <row r="61175" spans="119:119" x14ac:dyDescent="0.2">
      <c r="DO61175" s="303" t="s">
        <v>232</v>
      </c>
    </row>
    <row r="61176" spans="119:119" x14ac:dyDescent="0.2">
      <c r="DO61176" s="303" t="s">
        <v>232</v>
      </c>
    </row>
    <row r="61177" spans="119:119" x14ac:dyDescent="0.2">
      <c r="DO61177" s="303" t="s">
        <v>232</v>
      </c>
    </row>
    <row r="61178" spans="119:119" x14ac:dyDescent="0.2">
      <c r="DO61178" s="303" t="s">
        <v>232</v>
      </c>
    </row>
    <row r="61179" spans="119:119" x14ac:dyDescent="0.2">
      <c r="DO61179" s="303" t="s">
        <v>232</v>
      </c>
    </row>
    <row r="61180" spans="119:119" x14ac:dyDescent="0.2">
      <c r="DO61180" s="303" t="s">
        <v>232</v>
      </c>
    </row>
    <row r="61181" spans="119:119" x14ac:dyDescent="0.2">
      <c r="DO61181" s="303" t="s">
        <v>232</v>
      </c>
    </row>
    <row r="61182" spans="119:119" x14ac:dyDescent="0.2">
      <c r="DO61182" s="303" t="s">
        <v>232</v>
      </c>
    </row>
    <row r="61183" spans="119:119" x14ac:dyDescent="0.2">
      <c r="DO61183" s="303" t="s">
        <v>232</v>
      </c>
    </row>
    <row r="61184" spans="119:119" x14ac:dyDescent="0.2">
      <c r="DO61184" s="303" t="s">
        <v>232</v>
      </c>
    </row>
    <row r="61185" spans="119:119" x14ac:dyDescent="0.2">
      <c r="DO61185" s="303" t="s">
        <v>232</v>
      </c>
    </row>
    <row r="61186" spans="119:119" x14ac:dyDescent="0.2">
      <c r="DO61186" s="303" t="s">
        <v>232</v>
      </c>
    </row>
    <row r="61187" spans="119:119" x14ac:dyDescent="0.2">
      <c r="DO61187" s="303" t="s">
        <v>232</v>
      </c>
    </row>
    <row r="61188" spans="119:119" x14ac:dyDescent="0.2">
      <c r="DO61188" s="303" t="s">
        <v>232</v>
      </c>
    </row>
    <row r="61189" spans="119:119" x14ac:dyDescent="0.2">
      <c r="DO61189" s="303" t="s">
        <v>232</v>
      </c>
    </row>
    <row r="61190" spans="119:119" x14ac:dyDescent="0.2">
      <c r="DO61190" s="303" t="s">
        <v>232</v>
      </c>
    </row>
    <row r="61191" spans="119:119" x14ac:dyDescent="0.2">
      <c r="DO61191" s="303" t="s">
        <v>232</v>
      </c>
    </row>
    <row r="61192" spans="119:119" x14ac:dyDescent="0.2">
      <c r="DO61192" s="303" t="s">
        <v>232</v>
      </c>
    </row>
    <row r="61193" spans="119:119" x14ac:dyDescent="0.2">
      <c r="DO61193" s="303" t="s">
        <v>232</v>
      </c>
    </row>
    <row r="61194" spans="119:119" x14ac:dyDescent="0.2">
      <c r="DO61194" s="303" t="s">
        <v>232</v>
      </c>
    </row>
    <row r="61195" spans="119:119" x14ac:dyDescent="0.2">
      <c r="DO61195" s="303" t="s">
        <v>232</v>
      </c>
    </row>
    <row r="61196" spans="119:119" x14ac:dyDescent="0.2">
      <c r="DO61196" s="303" t="s">
        <v>232</v>
      </c>
    </row>
    <row r="61197" spans="119:119" x14ac:dyDescent="0.2">
      <c r="DO61197" s="303" t="s">
        <v>232</v>
      </c>
    </row>
    <row r="61198" spans="119:119" x14ac:dyDescent="0.2">
      <c r="DO61198" s="303" t="s">
        <v>232</v>
      </c>
    </row>
    <row r="61199" spans="119:119" x14ac:dyDescent="0.2">
      <c r="DO61199" s="303" t="s">
        <v>232</v>
      </c>
    </row>
    <row r="61200" spans="119:119" x14ac:dyDescent="0.2">
      <c r="DO61200" s="303" t="s">
        <v>232</v>
      </c>
    </row>
    <row r="61201" spans="119:119" x14ac:dyDescent="0.2">
      <c r="DO61201" s="303" t="s">
        <v>232</v>
      </c>
    </row>
    <row r="61202" spans="119:119" x14ac:dyDescent="0.2">
      <c r="DO61202" s="303" t="s">
        <v>232</v>
      </c>
    </row>
    <row r="61203" spans="119:119" x14ac:dyDescent="0.2">
      <c r="DO61203" s="303" t="s">
        <v>232</v>
      </c>
    </row>
    <row r="61204" spans="119:119" x14ac:dyDescent="0.2">
      <c r="DO61204" s="303" t="s">
        <v>232</v>
      </c>
    </row>
    <row r="61205" spans="119:119" x14ac:dyDescent="0.2">
      <c r="DO61205" s="303" t="s">
        <v>232</v>
      </c>
    </row>
    <row r="61206" spans="119:119" x14ac:dyDescent="0.2">
      <c r="DO61206" s="303" t="s">
        <v>232</v>
      </c>
    </row>
    <row r="61207" spans="119:119" x14ac:dyDescent="0.2">
      <c r="DO61207" s="303" t="s">
        <v>232</v>
      </c>
    </row>
    <row r="61208" spans="119:119" x14ac:dyDescent="0.2">
      <c r="DO61208" s="303" t="s">
        <v>232</v>
      </c>
    </row>
    <row r="61209" spans="119:119" x14ac:dyDescent="0.2">
      <c r="DO61209" s="303" t="s">
        <v>232</v>
      </c>
    </row>
    <row r="61210" spans="119:119" x14ac:dyDescent="0.2">
      <c r="DO61210" s="303" t="s">
        <v>232</v>
      </c>
    </row>
    <row r="61211" spans="119:119" x14ac:dyDescent="0.2">
      <c r="DO61211" s="303" t="s">
        <v>232</v>
      </c>
    </row>
    <row r="61212" spans="119:119" x14ac:dyDescent="0.2">
      <c r="DO61212" s="303" t="s">
        <v>232</v>
      </c>
    </row>
    <row r="61213" spans="119:119" x14ac:dyDescent="0.2">
      <c r="DO61213" s="303" t="s">
        <v>232</v>
      </c>
    </row>
    <row r="61214" spans="119:119" x14ac:dyDescent="0.2">
      <c r="DO61214" s="303" t="s">
        <v>232</v>
      </c>
    </row>
    <row r="61215" spans="119:119" x14ac:dyDescent="0.2">
      <c r="DO61215" s="303" t="s">
        <v>232</v>
      </c>
    </row>
    <row r="61216" spans="119:119" x14ac:dyDescent="0.2">
      <c r="DO61216" s="303" t="s">
        <v>232</v>
      </c>
    </row>
    <row r="61217" spans="119:119" x14ac:dyDescent="0.2">
      <c r="DO61217" s="303" t="s">
        <v>232</v>
      </c>
    </row>
    <row r="61218" spans="119:119" x14ac:dyDescent="0.2">
      <c r="DO61218" s="303" t="s">
        <v>232</v>
      </c>
    </row>
    <row r="61219" spans="119:119" x14ac:dyDescent="0.2">
      <c r="DO61219" s="303" t="s">
        <v>232</v>
      </c>
    </row>
    <row r="61220" spans="119:119" x14ac:dyDescent="0.2">
      <c r="DO61220" s="303" t="s">
        <v>232</v>
      </c>
    </row>
    <row r="61221" spans="119:119" x14ac:dyDescent="0.2">
      <c r="DO61221" s="303" t="s">
        <v>232</v>
      </c>
    </row>
    <row r="61222" spans="119:119" x14ac:dyDescent="0.2">
      <c r="DO61222" s="303" t="s">
        <v>232</v>
      </c>
    </row>
    <row r="61223" spans="119:119" x14ac:dyDescent="0.2">
      <c r="DO61223" s="303" t="s">
        <v>232</v>
      </c>
    </row>
    <row r="61224" spans="119:119" x14ac:dyDescent="0.2">
      <c r="DO61224" s="303" t="s">
        <v>232</v>
      </c>
    </row>
    <row r="61225" spans="119:119" x14ac:dyDescent="0.2">
      <c r="DO61225" s="303" t="s">
        <v>232</v>
      </c>
    </row>
    <row r="61226" spans="119:119" x14ac:dyDescent="0.2">
      <c r="DO61226" s="303" t="s">
        <v>232</v>
      </c>
    </row>
    <row r="61227" spans="119:119" x14ac:dyDescent="0.2">
      <c r="DO61227" s="303" t="s">
        <v>232</v>
      </c>
    </row>
    <row r="61228" spans="119:119" x14ac:dyDescent="0.2">
      <c r="DO61228" s="303" t="s">
        <v>232</v>
      </c>
    </row>
    <row r="61229" spans="119:119" x14ac:dyDescent="0.2">
      <c r="DO61229" s="303" t="s">
        <v>232</v>
      </c>
    </row>
    <row r="61230" spans="119:119" x14ac:dyDescent="0.2">
      <c r="DO61230" s="303" t="s">
        <v>232</v>
      </c>
    </row>
    <row r="61231" spans="119:119" x14ac:dyDescent="0.2">
      <c r="DO61231" s="303" t="s">
        <v>232</v>
      </c>
    </row>
    <row r="61232" spans="119:119" x14ac:dyDescent="0.2">
      <c r="DO61232" s="303" t="s">
        <v>232</v>
      </c>
    </row>
    <row r="61233" spans="119:119" x14ac:dyDescent="0.2">
      <c r="DO61233" s="303" t="s">
        <v>232</v>
      </c>
    </row>
    <row r="61234" spans="119:119" x14ac:dyDescent="0.2">
      <c r="DO61234" s="303" t="s">
        <v>232</v>
      </c>
    </row>
    <row r="61235" spans="119:119" x14ac:dyDescent="0.2">
      <c r="DO61235" s="303" t="s">
        <v>232</v>
      </c>
    </row>
    <row r="61236" spans="119:119" x14ac:dyDescent="0.2">
      <c r="DO61236" s="303" t="s">
        <v>232</v>
      </c>
    </row>
    <row r="61237" spans="119:119" x14ac:dyDescent="0.2">
      <c r="DO61237" s="303" t="s">
        <v>232</v>
      </c>
    </row>
    <row r="61238" spans="119:119" x14ac:dyDescent="0.2">
      <c r="DO61238" s="303" t="s">
        <v>232</v>
      </c>
    </row>
    <row r="61239" spans="119:119" x14ac:dyDescent="0.2">
      <c r="DO61239" s="303" t="s">
        <v>232</v>
      </c>
    </row>
    <row r="61240" spans="119:119" x14ac:dyDescent="0.2">
      <c r="DO61240" s="303" t="s">
        <v>232</v>
      </c>
    </row>
    <row r="61241" spans="119:119" x14ac:dyDescent="0.2">
      <c r="DO61241" s="303" t="s">
        <v>232</v>
      </c>
    </row>
    <row r="61242" spans="119:119" x14ac:dyDescent="0.2">
      <c r="DO61242" s="303" t="s">
        <v>232</v>
      </c>
    </row>
    <row r="61243" spans="119:119" x14ac:dyDescent="0.2">
      <c r="DO61243" s="303" t="s">
        <v>232</v>
      </c>
    </row>
    <row r="61244" spans="119:119" x14ac:dyDescent="0.2">
      <c r="DO61244" s="303" t="s">
        <v>232</v>
      </c>
    </row>
    <row r="61245" spans="119:119" x14ac:dyDescent="0.2">
      <c r="DO61245" s="303" t="s">
        <v>232</v>
      </c>
    </row>
    <row r="61246" spans="119:119" x14ac:dyDescent="0.2">
      <c r="DO61246" s="303" t="s">
        <v>232</v>
      </c>
    </row>
    <row r="61247" spans="119:119" x14ac:dyDescent="0.2">
      <c r="DO61247" s="303" t="s">
        <v>232</v>
      </c>
    </row>
    <row r="61248" spans="119:119" x14ac:dyDescent="0.2">
      <c r="DO61248" s="303" t="s">
        <v>232</v>
      </c>
    </row>
    <row r="61249" spans="119:119" x14ac:dyDescent="0.2">
      <c r="DO61249" s="303" t="s">
        <v>232</v>
      </c>
    </row>
    <row r="61250" spans="119:119" x14ac:dyDescent="0.2">
      <c r="DO61250" s="303" t="s">
        <v>232</v>
      </c>
    </row>
    <row r="61251" spans="119:119" x14ac:dyDescent="0.2">
      <c r="DO61251" s="303" t="s">
        <v>232</v>
      </c>
    </row>
    <row r="61252" spans="119:119" x14ac:dyDescent="0.2">
      <c r="DO61252" s="303" t="s">
        <v>232</v>
      </c>
    </row>
    <row r="61253" spans="119:119" x14ac:dyDescent="0.2">
      <c r="DO61253" s="303" t="s">
        <v>232</v>
      </c>
    </row>
    <row r="61254" spans="119:119" x14ac:dyDescent="0.2">
      <c r="DO61254" s="303" t="s">
        <v>232</v>
      </c>
    </row>
    <row r="61255" spans="119:119" x14ac:dyDescent="0.2">
      <c r="DO61255" s="303" t="s">
        <v>232</v>
      </c>
    </row>
    <row r="61256" spans="119:119" x14ac:dyDescent="0.2">
      <c r="DO61256" s="303" t="s">
        <v>232</v>
      </c>
    </row>
    <row r="61257" spans="119:119" x14ac:dyDescent="0.2">
      <c r="DO61257" s="303" t="s">
        <v>232</v>
      </c>
    </row>
    <row r="61258" spans="119:119" x14ac:dyDescent="0.2">
      <c r="DO61258" s="303" t="s">
        <v>232</v>
      </c>
    </row>
    <row r="61259" spans="119:119" x14ac:dyDescent="0.2">
      <c r="DO61259" s="303" t="s">
        <v>232</v>
      </c>
    </row>
    <row r="61260" spans="119:119" x14ac:dyDescent="0.2">
      <c r="DO61260" s="303" t="s">
        <v>232</v>
      </c>
    </row>
    <row r="61261" spans="119:119" x14ac:dyDescent="0.2">
      <c r="DO61261" s="303" t="s">
        <v>232</v>
      </c>
    </row>
    <row r="61262" spans="119:119" x14ac:dyDescent="0.2">
      <c r="DO61262" s="303" t="s">
        <v>232</v>
      </c>
    </row>
    <row r="61263" spans="119:119" x14ac:dyDescent="0.2">
      <c r="DO61263" s="303" t="s">
        <v>232</v>
      </c>
    </row>
    <row r="61264" spans="119:119" x14ac:dyDescent="0.2">
      <c r="DO61264" s="303" t="s">
        <v>232</v>
      </c>
    </row>
    <row r="61265" spans="119:119" x14ac:dyDescent="0.2">
      <c r="DO61265" s="303" t="s">
        <v>232</v>
      </c>
    </row>
    <row r="61266" spans="119:119" x14ac:dyDescent="0.2">
      <c r="DO61266" s="303" t="s">
        <v>232</v>
      </c>
    </row>
    <row r="61267" spans="119:119" x14ac:dyDescent="0.2">
      <c r="DO61267" s="303" t="s">
        <v>232</v>
      </c>
    </row>
    <row r="61268" spans="119:119" x14ac:dyDescent="0.2">
      <c r="DO61268" s="303" t="s">
        <v>232</v>
      </c>
    </row>
    <row r="61269" spans="119:119" x14ac:dyDescent="0.2">
      <c r="DO61269" s="303" t="s">
        <v>232</v>
      </c>
    </row>
    <row r="61270" spans="119:119" x14ac:dyDescent="0.2">
      <c r="DO61270" s="303" t="s">
        <v>232</v>
      </c>
    </row>
    <row r="61271" spans="119:119" x14ac:dyDescent="0.2">
      <c r="DO61271" s="303" t="s">
        <v>232</v>
      </c>
    </row>
    <row r="61272" spans="119:119" x14ac:dyDescent="0.2">
      <c r="DO61272" s="303" t="s">
        <v>232</v>
      </c>
    </row>
    <row r="61273" spans="119:119" x14ac:dyDescent="0.2">
      <c r="DO61273" s="303" t="s">
        <v>232</v>
      </c>
    </row>
    <row r="61274" spans="119:119" x14ac:dyDescent="0.2">
      <c r="DO61274" s="303" t="s">
        <v>232</v>
      </c>
    </row>
    <row r="61275" spans="119:119" x14ac:dyDescent="0.2">
      <c r="DO61275" s="303" t="s">
        <v>232</v>
      </c>
    </row>
    <row r="61276" spans="119:119" x14ac:dyDescent="0.2">
      <c r="DO61276" s="303" t="s">
        <v>232</v>
      </c>
    </row>
    <row r="61277" spans="119:119" x14ac:dyDescent="0.2">
      <c r="DO61277" s="303" t="s">
        <v>232</v>
      </c>
    </row>
    <row r="61278" spans="119:119" x14ac:dyDescent="0.2">
      <c r="DO61278" s="303" t="s">
        <v>232</v>
      </c>
    </row>
    <row r="61279" spans="119:119" x14ac:dyDescent="0.2">
      <c r="DO61279" s="303" t="s">
        <v>232</v>
      </c>
    </row>
    <row r="61280" spans="119:119" x14ac:dyDescent="0.2">
      <c r="DO61280" s="303" t="s">
        <v>232</v>
      </c>
    </row>
    <row r="61281" spans="119:119" x14ac:dyDescent="0.2">
      <c r="DO61281" s="303" t="s">
        <v>232</v>
      </c>
    </row>
    <row r="61282" spans="119:119" x14ac:dyDescent="0.2">
      <c r="DO61282" s="303" t="s">
        <v>232</v>
      </c>
    </row>
    <row r="61283" spans="119:119" x14ac:dyDescent="0.2">
      <c r="DO61283" s="303" t="s">
        <v>232</v>
      </c>
    </row>
    <row r="61284" spans="119:119" x14ac:dyDescent="0.2">
      <c r="DO61284" s="303" t="s">
        <v>232</v>
      </c>
    </row>
    <row r="61285" spans="119:119" x14ac:dyDescent="0.2">
      <c r="DO61285" s="303" t="s">
        <v>232</v>
      </c>
    </row>
    <row r="61286" spans="119:119" x14ac:dyDescent="0.2">
      <c r="DO61286" s="303" t="s">
        <v>232</v>
      </c>
    </row>
    <row r="61287" spans="119:119" x14ac:dyDescent="0.2">
      <c r="DO61287" s="303" t="s">
        <v>232</v>
      </c>
    </row>
    <row r="61288" spans="119:119" x14ac:dyDescent="0.2">
      <c r="DO61288" s="303" t="s">
        <v>232</v>
      </c>
    </row>
    <row r="61289" spans="119:119" x14ac:dyDescent="0.2">
      <c r="DO61289" s="303" t="s">
        <v>232</v>
      </c>
    </row>
    <row r="61290" spans="119:119" x14ac:dyDescent="0.2">
      <c r="DO61290" s="303" t="s">
        <v>232</v>
      </c>
    </row>
    <row r="61291" spans="119:119" x14ac:dyDescent="0.2">
      <c r="DO61291" s="303" t="s">
        <v>232</v>
      </c>
    </row>
    <row r="61292" spans="119:119" x14ac:dyDescent="0.2">
      <c r="DO61292" s="303" t="s">
        <v>232</v>
      </c>
    </row>
    <row r="61293" spans="119:119" x14ac:dyDescent="0.2">
      <c r="DO61293" s="303" t="s">
        <v>232</v>
      </c>
    </row>
    <row r="61294" spans="119:119" x14ac:dyDescent="0.2">
      <c r="DO61294" s="303" t="s">
        <v>232</v>
      </c>
    </row>
    <row r="61295" spans="119:119" x14ac:dyDescent="0.2">
      <c r="DO61295" s="303" t="s">
        <v>232</v>
      </c>
    </row>
    <row r="61296" spans="119:119" x14ac:dyDescent="0.2">
      <c r="DO61296" s="303" t="s">
        <v>232</v>
      </c>
    </row>
    <row r="61297" spans="119:119" x14ac:dyDescent="0.2">
      <c r="DO61297" s="303" t="s">
        <v>232</v>
      </c>
    </row>
    <row r="61298" spans="119:119" x14ac:dyDescent="0.2">
      <c r="DO61298" s="303" t="s">
        <v>232</v>
      </c>
    </row>
    <row r="61299" spans="119:119" x14ac:dyDescent="0.2">
      <c r="DO61299" s="303" t="s">
        <v>232</v>
      </c>
    </row>
    <row r="61300" spans="119:119" x14ac:dyDescent="0.2">
      <c r="DO61300" s="303" t="s">
        <v>232</v>
      </c>
    </row>
    <row r="61301" spans="119:119" x14ac:dyDescent="0.2">
      <c r="DO61301" s="303" t="s">
        <v>232</v>
      </c>
    </row>
    <row r="61302" spans="119:119" x14ac:dyDescent="0.2">
      <c r="DO61302" s="303" t="s">
        <v>232</v>
      </c>
    </row>
    <row r="61303" spans="119:119" x14ac:dyDescent="0.2">
      <c r="DO61303" s="303" t="s">
        <v>232</v>
      </c>
    </row>
    <row r="61304" spans="119:119" x14ac:dyDescent="0.2">
      <c r="DO61304" s="303" t="s">
        <v>232</v>
      </c>
    </row>
    <row r="61305" spans="119:119" x14ac:dyDescent="0.2">
      <c r="DO61305" s="303" t="s">
        <v>232</v>
      </c>
    </row>
    <row r="61306" spans="119:119" x14ac:dyDescent="0.2">
      <c r="DO61306" s="303" t="s">
        <v>232</v>
      </c>
    </row>
    <row r="61307" spans="119:119" x14ac:dyDescent="0.2">
      <c r="DO61307" s="303" t="s">
        <v>232</v>
      </c>
    </row>
    <row r="61308" spans="119:119" x14ac:dyDescent="0.2">
      <c r="DO61308" s="303" t="s">
        <v>232</v>
      </c>
    </row>
    <row r="61309" spans="119:119" x14ac:dyDescent="0.2">
      <c r="DO61309" s="303" t="s">
        <v>232</v>
      </c>
    </row>
    <row r="61310" spans="119:119" x14ac:dyDescent="0.2">
      <c r="DO61310" s="303" t="s">
        <v>232</v>
      </c>
    </row>
    <row r="61311" spans="119:119" x14ac:dyDescent="0.2">
      <c r="DO61311" s="303" t="s">
        <v>232</v>
      </c>
    </row>
    <row r="61312" spans="119:119" x14ac:dyDescent="0.2">
      <c r="DO61312" s="303" t="s">
        <v>232</v>
      </c>
    </row>
    <row r="61313" spans="119:119" x14ac:dyDescent="0.2">
      <c r="DO61313" s="303" t="s">
        <v>232</v>
      </c>
    </row>
    <row r="61314" spans="119:119" x14ac:dyDescent="0.2">
      <c r="DO61314" s="303" t="s">
        <v>232</v>
      </c>
    </row>
    <row r="61315" spans="119:119" x14ac:dyDescent="0.2">
      <c r="DO61315" s="303" t="s">
        <v>232</v>
      </c>
    </row>
    <row r="61316" spans="119:119" x14ac:dyDescent="0.2">
      <c r="DO61316" s="303" t="s">
        <v>232</v>
      </c>
    </row>
    <row r="61317" spans="119:119" x14ac:dyDescent="0.2">
      <c r="DO61317" s="303" t="s">
        <v>232</v>
      </c>
    </row>
    <row r="61318" spans="119:119" x14ac:dyDescent="0.2">
      <c r="DO61318" s="303" t="s">
        <v>232</v>
      </c>
    </row>
    <row r="61319" spans="119:119" x14ac:dyDescent="0.2">
      <c r="DO61319" s="303" t="s">
        <v>232</v>
      </c>
    </row>
    <row r="61320" spans="119:119" x14ac:dyDescent="0.2">
      <c r="DO61320" s="303" t="s">
        <v>232</v>
      </c>
    </row>
    <row r="61321" spans="119:119" x14ac:dyDescent="0.2">
      <c r="DO61321" s="303" t="s">
        <v>232</v>
      </c>
    </row>
    <row r="61322" spans="119:119" x14ac:dyDescent="0.2">
      <c r="DO61322" s="303" t="s">
        <v>232</v>
      </c>
    </row>
    <row r="61323" spans="119:119" x14ac:dyDescent="0.2">
      <c r="DO61323" s="303" t="s">
        <v>232</v>
      </c>
    </row>
    <row r="61324" spans="119:119" x14ac:dyDescent="0.2">
      <c r="DO61324" s="303" t="s">
        <v>232</v>
      </c>
    </row>
    <row r="61325" spans="119:119" x14ac:dyDescent="0.2">
      <c r="DO61325" s="303" t="s">
        <v>232</v>
      </c>
    </row>
    <row r="61326" spans="119:119" x14ac:dyDescent="0.2">
      <c r="DO61326" s="303" t="s">
        <v>232</v>
      </c>
    </row>
    <row r="61327" spans="119:119" x14ac:dyDescent="0.2">
      <c r="DO61327" s="303" t="s">
        <v>232</v>
      </c>
    </row>
    <row r="61328" spans="119:119" x14ac:dyDescent="0.2">
      <c r="DO61328" s="303" t="s">
        <v>232</v>
      </c>
    </row>
    <row r="61329" spans="119:119" x14ac:dyDescent="0.2">
      <c r="DO61329" s="303" t="s">
        <v>232</v>
      </c>
    </row>
    <row r="61330" spans="119:119" x14ac:dyDescent="0.2">
      <c r="DO61330" s="303" t="s">
        <v>232</v>
      </c>
    </row>
    <row r="61331" spans="119:119" x14ac:dyDescent="0.2">
      <c r="DO61331" s="303" t="s">
        <v>232</v>
      </c>
    </row>
    <row r="61332" spans="119:119" x14ac:dyDescent="0.2">
      <c r="DO61332" s="303" t="s">
        <v>232</v>
      </c>
    </row>
    <row r="61333" spans="119:119" x14ac:dyDescent="0.2">
      <c r="DO61333" s="303" t="s">
        <v>232</v>
      </c>
    </row>
    <row r="61334" spans="119:119" x14ac:dyDescent="0.2">
      <c r="DO61334" s="303" t="s">
        <v>232</v>
      </c>
    </row>
    <row r="61335" spans="119:119" x14ac:dyDescent="0.2">
      <c r="DO61335" s="303" t="s">
        <v>232</v>
      </c>
    </row>
    <row r="61336" spans="119:119" x14ac:dyDescent="0.2">
      <c r="DO61336" s="303" t="s">
        <v>232</v>
      </c>
    </row>
    <row r="61337" spans="119:119" x14ac:dyDescent="0.2">
      <c r="DO61337" s="303" t="s">
        <v>232</v>
      </c>
    </row>
    <row r="61338" spans="119:119" x14ac:dyDescent="0.2">
      <c r="DO61338" s="303" t="s">
        <v>232</v>
      </c>
    </row>
    <row r="61339" spans="119:119" x14ac:dyDescent="0.2">
      <c r="DO61339" s="303" t="s">
        <v>232</v>
      </c>
    </row>
    <row r="61340" spans="119:119" x14ac:dyDescent="0.2">
      <c r="DO61340" s="303" t="s">
        <v>232</v>
      </c>
    </row>
    <row r="61341" spans="119:119" x14ac:dyDescent="0.2">
      <c r="DO61341" s="303" t="s">
        <v>232</v>
      </c>
    </row>
    <row r="61342" spans="119:119" x14ac:dyDescent="0.2">
      <c r="DO61342" s="303" t="s">
        <v>232</v>
      </c>
    </row>
    <row r="61343" spans="119:119" x14ac:dyDescent="0.2">
      <c r="DO61343" s="303" t="s">
        <v>232</v>
      </c>
    </row>
    <row r="61344" spans="119:119" x14ac:dyDescent="0.2">
      <c r="DO61344" s="303" t="s">
        <v>232</v>
      </c>
    </row>
    <row r="61345" spans="119:119" x14ac:dyDescent="0.2">
      <c r="DO61345" s="303" t="s">
        <v>232</v>
      </c>
    </row>
    <row r="61346" spans="119:119" x14ac:dyDescent="0.2">
      <c r="DO61346" s="303" t="s">
        <v>232</v>
      </c>
    </row>
    <row r="61347" spans="119:119" x14ac:dyDescent="0.2">
      <c r="DO61347" s="303" t="s">
        <v>232</v>
      </c>
    </row>
    <row r="61348" spans="119:119" x14ac:dyDescent="0.2">
      <c r="DO61348" s="303" t="s">
        <v>232</v>
      </c>
    </row>
    <row r="61349" spans="119:119" x14ac:dyDescent="0.2">
      <c r="DO61349" s="303" t="s">
        <v>232</v>
      </c>
    </row>
    <row r="61350" spans="119:119" x14ac:dyDescent="0.2">
      <c r="DO61350" s="303" t="s">
        <v>232</v>
      </c>
    </row>
    <row r="61351" spans="119:119" x14ac:dyDescent="0.2">
      <c r="DO61351" s="303" t="s">
        <v>232</v>
      </c>
    </row>
    <row r="61352" spans="119:119" x14ac:dyDescent="0.2">
      <c r="DO61352" s="303" t="s">
        <v>232</v>
      </c>
    </row>
    <row r="61353" spans="119:119" x14ac:dyDescent="0.2">
      <c r="DO61353" s="303" t="s">
        <v>232</v>
      </c>
    </row>
    <row r="61354" spans="119:119" x14ac:dyDescent="0.2">
      <c r="DO61354" s="303" t="s">
        <v>232</v>
      </c>
    </row>
    <row r="61355" spans="119:119" x14ac:dyDescent="0.2">
      <c r="DO61355" s="303" t="s">
        <v>232</v>
      </c>
    </row>
    <row r="61356" spans="119:119" x14ac:dyDescent="0.2">
      <c r="DO61356" s="303" t="s">
        <v>232</v>
      </c>
    </row>
    <row r="61357" spans="119:119" x14ac:dyDescent="0.2">
      <c r="DO61357" s="303" t="s">
        <v>232</v>
      </c>
    </row>
    <row r="61358" spans="119:119" x14ac:dyDescent="0.2">
      <c r="DO61358" s="303" t="s">
        <v>232</v>
      </c>
    </row>
    <row r="61359" spans="119:119" x14ac:dyDescent="0.2">
      <c r="DO61359" s="303" t="s">
        <v>232</v>
      </c>
    </row>
    <row r="61360" spans="119:119" x14ac:dyDescent="0.2">
      <c r="DO61360" s="303" t="s">
        <v>232</v>
      </c>
    </row>
    <row r="61361" spans="119:119" x14ac:dyDescent="0.2">
      <c r="DO61361" s="303" t="s">
        <v>232</v>
      </c>
    </row>
    <row r="61362" spans="119:119" x14ac:dyDescent="0.2">
      <c r="DO61362" s="303" t="s">
        <v>232</v>
      </c>
    </row>
    <row r="61363" spans="119:119" x14ac:dyDescent="0.2">
      <c r="DO61363" s="303" t="s">
        <v>232</v>
      </c>
    </row>
    <row r="61364" spans="119:119" x14ac:dyDescent="0.2">
      <c r="DO61364" s="303" t="s">
        <v>232</v>
      </c>
    </row>
    <row r="61365" spans="119:119" x14ac:dyDescent="0.2">
      <c r="DO61365" s="303" t="s">
        <v>232</v>
      </c>
    </row>
    <row r="61366" spans="119:119" x14ac:dyDescent="0.2">
      <c r="DO61366" s="303" t="s">
        <v>232</v>
      </c>
    </row>
    <row r="61367" spans="119:119" x14ac:dyDescent="0.2">
      <c r="DO61367" s="303" t="s">
        <v>232</v>
      </c>
    </row>
    <row r="61368" spans="119:119" x14ac:dyDescent="0.2">
      <c r="DO61368" s="303" t="s">
        <v>232</v>
      </c>
    </row>
    <row r="61369" spans="119:119" x14ac:dyDescent="0.2">
      <c r="DO61369" s="303" t="s">
        <v>232</v>
      </c>
    </row>
    <row r="61370" spans="119:119" x14ac:dyDescent="0.2">
      <c r="DO61370" s="303" t="s">
        <v>232</v>
      </c>
    </row>
    <row r="61371" spans="119:119" x14ac:dyDescent="0.2">
      <c r="DO61371" s="303" t="s">
        <v>232</v>
      </c>
    </row>
    <row r="61372" spans="119:119" x14ac:dyDescent="0.2">
      <c r="DO61372" s="303" t="s">
        <v>232</v>
      </c>
    </row>
    <row r="61373" spans="119:119" x14ac:dyDescent="0.2">
      <c r="DO61373" s="303" t="s">
        <v>232</v>
      </c>
    </row>
    <row r="61374" spans="119:119" x14ac:dyDescent="0.2">
      <c r="DO61374" s="303" t="s">
        <v>232</v>
      </c>
    </row>
    <row r="61375" spans="119:119" x14ac:dyDescent="0.2">
      <c r="DO61375" s="303" t="s">
        <v>232</v>
      </c>
    </row>
    <row r="61376" spans="119:119" x14ac:dyDescent="0.2">
      <c r="DO61376" s="303" t="s">
        <v>232</v>
      </c>
    </row>
    <row r="61377" spans="119:119" x14ac:dyDescent="0.2">
      <c r="DO61377" s="303" t="s">
        <v>232</v>
      </c>
    </row>
    <row r="61378" spans="119:119" x14ac:dyDescent="0.2">
      <c r="DO61378" s="303" t="s">
        <v>232</v>
      </c>
    </row>
    <row r="61379" spans="119:119" x14ac:dyDescent="0.2">
      <c r="DO61379" s="303" t="s">
        <v>232</v>
      </c>
    </row>
    <row r="61380" spans="119:119" x14ac:dyDescent="0.2">
      <c r="DO61380" s="303" t="s">
        <v>232</v>
      </c>
    </row>
    <row r="61381" spans="119:119" x14ac:dyDescent="0.2">
      <c r="DO61381" s="303" t="s">
        <v>232</v>
      </c>
    </row>
    <row r="61382" spans="119:119" x14ac:dyDescent="0.2">
      <c r="DO61382" s="303" t="s">
        <v>232</v>
      </c>
    </row>
    <row r="61383" spans="119:119" x14ac:dyDescent="0.2">
      <c r="DO61383" s="303" t="s">
        <v>232</v>
      </c>
    </row>
    <row r="61384" spans="119:119" x14ac:dyDescent="0.2">
      <c r="DO61384" s="303" t="s">
        <v>232</v>
      </c>
    </row>
    <row r="61385" spans="119:119" x14ac:dyDescent="0.2">
      <c r="DO61385" s="303" t="s">
        <v>232</v>
      </c>
    </row>
    <row r="61386" spans="119:119" x14ac:dyDescent="0.2">
      <c r="DO61386" s="303" t="s">
        <v>232</v>
      </c>
    </row>
    <row r="61387" spans="119:119" x14ac:dyDescent="0.2">
      <c r="DO61387" s="303" t="s">
        <v>232</v>
      </c>
    </row>
    <row r="61388" spans="119:119" x14ac:dyDescent="0.2">
      <c r="DO61388" s="303" t="s">
        <v>232</v>
      </c>
    </row>
    <row r="61389" spans="119:119" x14ac:dyDescent="0.2">
      <c r="DO61389" s="303" t="s">
        <v>232</v>
      </c>
    </row>
    <row r="61390" spans="119:119" x14ac:dyDescent="0.2">
      <c r="DO61390" s="303" t="s">
        <v>232</v>
      </c>
    </row>
    <row r="61391" spans="119:119" x14ac:dyDescent="0.2">
      <c r="DO61391" s="303" t="s">
        <v>232</v>
      </c>
    </row>
    <row r="61392" spans="119:119" x14ac:dyDescent="0.2">
      <c r="DO61392" s="303" t="s">
        <v>232</v>
      </c>
    </row>
    <row r="61393" spans="119:119" x14ac:dyDescent="0.2">
      <c r="DO61393" s="303" t="s">
        <v>232</v>
      </c>
    </row>
    <row r="61394" spans="119:119" x14ac:dyDescent="0.2">
      <c r="DO61394" s="303" t="s">
        <v>232</v>
      </c>
    </row>
    <row r="61395" spans="119:119" x14ac:dyDescent="0.2">
      <c r="DO61395" s="303" t="s">
        <v>232</v>
      </c>
    </row>
    <row r="61396" spans="119:119" x14ac:dyDescent="0.2">
      <c r="DO61396" s="303" t="s">
        <v>232</v>
      </c>
    </row>
    <row r="61397" spans="119:119" x14ac:dyDescent="0.2">
      <c r="DO61397" s="303" t="s">
        <v>232</v>
      </c>
    </row>
    <row r="61398" spans="119:119" x14ac:dyDescent="0.2">
      <c r="DO61398" s="303" t="s">
        <v>232</v>
      </c>
    </row>
    <row r="61399" spans="119:119" x14ac:dyDescent="0.2">
      <c r="DO61399" s="303" t="s">
        <v>232</v>
      </c>
    </row>
    <row r="61400" spans="119:119" x14ac:dyDescent="0.2">
      <c r="DO61400" s="303" t="s">
        <v>232</v>
      </c>
    </row>
    <row r="61401" spans="119:119" x14ac:dyDescent="0.2">
      <c r="DO61401" s="303" t="s">
        <v>232</v>
      </c>
    </row>
    <row r="61402" spans="119:119" x14ac:dyDescent="0.2">
      <c r="DO61402" s="303" t="s">
        <v>232</v>
      </c>
    </row>
    <row r="61403" spans="119:119" x14ac:dyDescent="0.2">
      <c r="DO61403" s="303" t="s">
        <v>232</v>
      </c>
    </row>
    <row r="61404" spans="119:119" x14ac:dyDescent="0.2">
      <c r="DO61404" s="303" t="s">
        <v>232</v>
      </c>
    </row>
    <row r="61405" spans="119:119" x14ac:dyDescent="0.2">
      <c r="DO61405" s="303" t="s">
        <v>232</v>
      </c>
    </row>
    <row r="61406" spans="119:119" x14ac:dyDescent="0.2">
      <c r="DO61406" s="303" t="s">
        <v>232</v>
      </c>
    </row>
    <row r="61407" spans="119:119" x14ac:dyDescent="0.2">
      <c r="DO61407" s="303" t="s">
        <v>232</v>
      </c>
    </row>
    <row r="61408" spans="119:119" x14ac:dyDescent="0.2">
      <c r="DO61408" s="303" t="s">
        <v>232</v>
      </c>
    </row>
    <row r="61409" spans="119:119" x14ac:dyDescent="0.2">
      <c r="DO61409" s="303" t="s">
        <v>232</v>
      </c>
    </row>
    <row r="61410" spans="119:119" x14ac:dyDescent="0.2">
      <c r="DO61410" s="303" t="s">
        <v>232</v>
      </c>
    </row>
    <row r="61411" spans="119:119" x14ac:dyDescent="0.2">
      <c r="DO61411" s="303" t="s">
        <v>232</v>
      </c>
    </row>
    <row r="61412" spans="119:119" x14ac:dyDescent="0.2">
      <c r="DO61412" s="303" t="s">
        <v>232</v>
      </c>
    </row>
    <row r="61413" spans="119:119" x14ac:dyDescent="0.2">
      <c r="DO61413" s="303" t="s">
        <v>232</v>
      </c>
    </row>
    <row r="61414" spans="119:119" x14ac:dyDescent="0.2">
      <c r="DO61414" s="303" t="s">
        <v>232</v>
      </c>
    </row>
    <row r="61415" spans="119:119" x14ac:dyDescent="0.2">
      <c r="DO61415" s="303" t="s">
        <v>232</v>
      </c>
    </row>
    <row r="61416" spans="119:119" x14ac:dyDescent="0.2">
      <c r="DO61416" s="303" t="s">
        <v>232</v>
      </c>
    </row>
    <row r="61417" spans="119:119" x14ac:dyDescent="0.2">
      <c r="DO61417" s="303" t="s">
        <v>232</v>
      </c>
    </row>
    <row r="61418" spans="119:119" x14ac:dyDescent="0.2">
      <c r="DO61418" s="303" t="s">
        <v>232</v>
      </c>
    </row>
    <row r="61419" spans="119:119" x14ac:dyDescent="0.2">
      <c r="DO61419" s="303" t="s">
        <v>232</v>
      </c>
    </row>
    <row r="61420" spans="119:119" x14ac:dyDescent="0.2">
      <c r="DO61420" s="303" t="s">
        <v>232</v>
      </c>
    </row>
    <row r="61421" spans="119:119" x14ac:dyDescent="0.2">
      <c r="DO61421" s="303" t="s">
        <v>232</v>
      </c>
    </row>
    <row r="61422" spans="119:119" x14ac:dyDescent="0.2">
      <c r="DO61422" s="303" t="s">
        <v>232</v>
      </c>
    </row>
    <row r="61423" spans="119:119" x14ac:dyDescent="0.2">
      <c r="DO61423" s="303" t="s">
        <v>232</v>
      </c>
    </row>
    <row r="61424" spans="119:119" x14ac:dyDescent="0.2">
      <c r="DO61424" s="303" t="s">
        <v>232</v>
      </c>
    </row>
    <row r="61425" spans="119:119" x14ac:dyDescent="0.2">
      <c r="DO61425" s="303" t="s">
        <v>232</v>
      </c>
    </row>
    <row r="61426" spans="119:119" x14ac:dyDescent="0.2">
      <c r="DO61426" s="303" t="s">
        <v>232</v>
      </c>
    </row>
    <row r="61427" spans="119:119" x14ac:dyDescent="0.2">
      <c r="DO61427" s="303" t="s">
        <v>232</v>
      </c>
    </row>
    <row r="61428" spans="119:119" x14ac:dyDescent="0.2">
      <c r="DO61428" s="303" t="s">
        <v>232</v>
      </c>
    </row>
    <row r="61429" spans="119:119" x14ac:dyDescent="0.2">
      <c r="DO61429" s="303" t="s">
        <v>232</v>
      </c>
    </row>
    <row r="61430" spans="119:119" x14ac:dyDescent="0.2">
      <c r="DO61430" s="303" t="s">
        <v>232</v>
      </c>
    </row>
    <row r="61431" spans="119:119" x14ac:dyDescent="0.2">
      <c r="DO61431" s="303" t="s">
        <v>232</v>
      </c>
    </row>
    <row r="61432" spans="119:119" x14ac:dyDescent="0.2">
      <c r="DO61432" s="303" t="s">
        <v>232</v>
      </c>
    </row>
    <row r="61433" spans="119:119" x14ac:dyDescent="0.2">
      <c r="DO61433" s="303" t="s">
        <v>232</v>
      </c>
    </row>
    <row r="61434" spans="119:119" x14ac:dyDescent="0.2">
      <c r="DO61434" s="303" t="s">
        <v>232</v>
      </c>
    </row>
    <row r="61435" spans="119:119" x14ac:dyDescent="0.2">
      <c r="DO61435" s="303" t="s">
        <v>232</v>
      </c>
    </row>
    <row r="61436" spans="119:119" x14ac:dyDescent="0.2">
      <c r="DO61436" s="303" t="s">
        <v>232</v>
      </c>
    </row>
    <row r="61437" spans="119:119" x14ac:dyDescent="0.2">
      <c r="DO61437" s="303" t="s">
        <v>232</v>
      </c>
    </row>
    <row r="61438" spans="119:119" x14ac:dyDescent="0.2">
      <c r="DO61438" s="303" t="s">
        <v>232</v>
      </c>
    </row>
    <row r="61439" spans="119:119" x14ac:dyDescent="0.2">
      <c r="DO61439" s="303" t="s">
        <v>232</v>
      </c>
    </row>
    <row r="61440" spans="119:119" x14ac:dyDescent="0.2">
      <c r="DO61440" s="303" t="s">
        <v>232</v>
      </c>
    </row>
    <row r="61441" spans="119:119" x14ac:dyDescent="0.2">
      <c r="DO61441" s="303" t="s">
        <v>232</v>
      </c>
    </row>
    <row r="61442" spans="119:119" x14ac:dyDescent="0.2">
      <c r="DO61442" s="303" t="s">
        <v>232</v>
      </c>
    </row>
    <row r="61443" spans="119:119" x14ac:dyDescent="0.2">
      <c r="DO61443" s="303" t="s">
        <v>232</v>
      </c>
    </row>
    <row r="61444" spans="119:119" x14ac:dyDescent="0.2">
      <c r="DO61444" s="303" t="s">
        <v>232</v>
      </c>
    </row>
    <row r="61445" spans="119:119" x14ac:dyDescent="0.2">
      <c r="DO61445" s="303" t="s">
        <v>232</v>
      </c>
    </row>
    <row r="61446" spans="119:119" x14ac:dyDescent="0.2">
      <c r="DO61446" s="303" t="s">
        <v>232</v>
      </c>
    </row>
    <row r="61447" spans="119:119" x14ac:dyDescent="0.2">
      <c r="DO61447" s="303" t="s">
        <v>232</v>
      </c>
    </row>
    <row r="61448" spans="119:119" x14ac:dyDescent="0.2">
      <c r="DO61448" s="303" t="s">
        <v>232</v>
      </c>
    </row>
    <row r="61449" spans="119:119" x14ac:dyDescent="0.2">
      <c r="DO61449" s="303" t="s">
        <v>232</v>
      </c>
    </row>
    <row r="61450" spans="119:119" x14ac:dyDescent="0.2">
      <c r="DO61450" s="303" t="s">
        <v>232</v>
      </c>
    </row>
    <row r="61451" spans="119:119" x14ac:dyDescent="0.2">
      <c r="DO61451" s="303" t="s">
        <v>232</v>
      </c>
    </row>
    <row r="61452" spans="119:119" x14ac:dyDescent="0.2">
      <c r="DO61452" s="303" t="s">
        <v>232</v>
      </c>
    </row>
    <row r="61453" spans="119:119" x14ac:dyDescent="0.2">
      <c r="DO61453" s="303" t="s">
        <v>232</v>
      </c>
    </row>
    <row r="61454" spans="119:119" x14ac:dyDescent="0.2">
      <c r="DO61454" s="303" t="s">
        <v>232</v>
      </c>
    </row>
    <row r="61455" spans="119:119" x14ac:dyDescent="0.2">
      <c r="DO61455" s="303" t="s">
        <v>232</v>
      </c>
    </row>
    <row r="61456" spans="119:119" x14ac:dyDescent="0.2">
      <c r="DO61456" s="303" t="s">
        <v>232</v>
      </c>
    </row>
    <row r="61457" spans="119:119" x14ac:dyDescent="0.2">
      <c r="DO61457" s="303" t="s">
        <v>232</v>
      </c>
    </row>
    <row r="61458" spans="119:119" x14ac:dyDescent="0.2">
      <c r="DO61458" s="303" t="s">
        <v>232</v>
      </c>
    </row>
    <row r="61459" spans="119:119" x14ac:dyDescent="0.2">
      <c r="DO61459" s="303" t="s">
        <v>232</v>
      </c>
    </row>
    <row r="61460" spans="119:119" x14ac:dyDescent="0.2">
      <c r="DO61460" s="303" t="s">
        <v>232</v>
      </c>
    </row>
    <row r="61461" spans="119:119" x14ac:dyDescent="0.2">
      <c r="DO61461" s="303" t="s">
        <v>232</v>
      </c>
    </row>
    <row r="61462" spans="119:119" x14ac:dyDescent="0.2">
      <c r="DO61462" s="303" t="s">
        <v>232</v>
      </c>
    </row>
    <row r="61463" spans="119:119" x14ac:dyDescent="0.2">
      <c r="DO61463" s="303" t="s">
        <v>232</v>
      </c>
    </row>
    <row r="61464" spans="119:119" x14ac:dyDescent="0.2">
      <c r="DO61464" s="303" t="s">
        <v>232</v>
      </c>
    </row>
    <row r="61465" spans="119:119" x14ac:dyDescent="0.2">
      <c r="DO61465" s="303" t="s">
        <v>232</v>
      </c>
    </row>
    <row r="61466" spans="119:119" x14ac:dyDescent="0.2">
      <c r="DO61466" s="303" t="s">
        <v>232</v>
      </c>
    </row>
    <row r="61467" spans="119:119" x14ac:dyDescent="0.2">
      <c r="DO61467" s="303" t="s">
        <v>232</v>
      </c>
    </row>
    <row r="61468" spans="119:119" x14ac:dyDescent="0.2">
      <c r="DO61468" s="303" t="s">
        <v>232</v>
      </c>
    </row>
    <row r="61469" spans="119:119" x14ac:dyDescent="0.2">
      <c r="DO61469" s="303" t="s">
        <v>232</v>
      </c>
    </row>
    <row r="61470" spans="119:119" x14ac:dyDescent="0.2">
      <c r="DO61470" s="303" t="s">
        <v>232</v>
      </c>
    </row>
    <row r="61471" spans="119:119" x14ac:dyDescent="0.2">
      <c r="DO61471" s="303" t="s">
        <v>232</v>
      </c>
    </row>
    <row r="61472" spans="119:119" x14ac:dyDescent="0.2">
      <c r="DO61472" s="303" t="s">
        <v>232</v>
      </c>
    </row>
    <row r="61473" spans="119:119" x14ac:dyDescent="0.2">
      <c r="DO61473" s="303" t="s">
        <v>232</v>
      </c>
    </row>
    <row r="61474" spans="119:119" x14ac:dyDescent="0.2">
      <c r="DO61474" s="303" t="s">
        <v>232</v>
      </c>
    </row>
    <row r="61475" spans="119:119" x14ac:dyDescent="0.2">
      <c r="DO61475" s="303" t="s">
        <v>232</v>
      </c>
    </row>
    <row r="61476" spans="119:119" x14ac:dyDescent="0.2">
      <c r="DO61476" s="303" t="s">
        <v>232</v>
      </c>
    </row>
    <row r="61477" spans="119:119" x14ac:dyDescent="0.2">
      <c r="DO61477" s="303" t="s">
        <v>232</v>
      </c>
    </row>
    <row r="61478" spans="119:119" x14ac:dyDescent="0.2">
      <c r="DO61478" s="303" t="s">
        <v>232</v>
      </c>
    </row>
    <row r="61479" spans="119:119" x14ac:dyDescent="0.2">
      <c r="DO61479" s="303" t="s">
        <v>232</v>
      </c>
    </row>
    <row r="61480" spans="119:119" x14ac:dyDescent="0.2">
      <c r="DO61480" s="303" t="s">
        <v>232</v>
      </c>
    </row>
    <row r="61481" spans="119:119" x14ac:dyDescent="0.2">
      <c r="DO61481" s="303" t="s">
        <v>232</v>
      </c>
    </row>
    <row r="61482" spans="119:119" x14ac:dyDescent="0.2">
      <c r="DO61482" s="303" t="s">
        <v>232</v>
      </c>
    </row>
    <row r="61483" spans="119:119" x14ac:dyDescent="0.2">
      <c r="DO61483" s="303" t="s">
        <v>232</v>
      </c>
    </row>
    <row r="61484" spans="119:119" x14ac:dyDescent="0.2">
      <c r="DO61484" s="303" t="s">
        <v>232</v>
      </c>
    </row>
    <row r="61485" spans="119:119" x14ac:dyDescent="0.2">
      <c r="DO61485" s="303" t="s">
        <v>232</v>
      </c>
    </row>
    <row r="61486" spans="119:119" x14ac:dyDescent="0.2">
      <c r="DO61486" s="303" t="s">
        <v>232</v>
      </c>
    </row>
    <row r="61487" spans="119:119" x14ac:dyDescent="0.2">
      <c r="DO61487" s="303" t="s">
        <v>232</v>
      </c>
    </row>
    <row r="61488" spans="119:119" x14ac:dyDescent="0.2">
      <c r="DO61488" s="303" t="s">
        <v>232</v>
      </c>
    </row>
    <row r="61489" spans="119:119" x14ac:dyDescent="0.2">
      <c r="DO61489" s="303" t="s">
        <v>232</v>
      </c>
    </row>
    <row r="61490" spans="119:119" x14ac:dyDescent="0.2">
      <c r="DO61490" s="303" t="s">
        <v>232</v>
      </c>
    </row>
    <row r="61491" spans="119:119" x14ac:dyDescent="0.2">
      <c r="DO61491" s="303" t="s">
        <v>232</v>
      </c>
    </row>
    <row r="61492" spans="119:119" x14ac:dyDescent="0.2">
      <c r="DO61492" s="303" t="s">
        <v>232</v>
      </c>
    </row>
    <row r="61493" spans="119:119" x14ac:dyDescent="0.2">
      <c r="DO61493" s="303" t="s">
        <v>232</v>
      </c>
    </row>
    <row r="61494" spans="119:119" x14ac:dyDescent="0.2">
      <c r="DO61494" s="303" t="s">
        <v>232</v>
      </c>
    </row>
    <row r="61495" spans="119:119" x14ac:dyDescent="0.2">
      <c r="DO61495" s="303" t="s">
        <v>232</v>
      </c>
    </row>
    <row r="61496" spans="119:119" x14ac:dyDescent="0.2">
      <c r="DO61496" s="303" t="s">
        <v>232</v>
      </c>
    </row>
    <row r="61497" spans="119:119" x14ac:dyDescent="0.2">
      <c r="DO61497" s="303" t="s">
        <v>232</v>
      </c>
    </row>
    <row r="61498" spans="119:119" x14ac:dyDescent="0.2">
      <c r="DO61498" s="303" t="s">
        <v>232</v>
      </c>
    </row>
    <row r="61499" spans="119:119" x14ac:dyDescent="0.2">
      <c r="DO61499" s="303" t="s">
        <v>232</v>
      </c>
    </row>
    <row r="61500" spans="119:119" x14ac:dyDescent="0.2">
      <c r="DO61500" s="303" t="s">
        <v>232</v>
      </c>
    </row>
    <row r="61501" spans="119:119" x14ac:dyDescent="0.2">
      <c r="DO61501" s="303" t="s">
        <v>232</v>
      </c>
    </row>
    <row r="61502" spans="119:119" x14ac:dyDescent="0.2">
      <c r="DO61502" s="303" t="s">
        <v>232</v>
      </c>
    </row>
    <row r="61503" spans="119:119" x14ac:dyDescent="0.2">
      <c r="DO61503" s="303" t="s">
        <v>232</v>
      </c>
    </row>
    <row r="61504" spans="119:119" x14ac:dyDescent="0.2">
      <c r="DO61504" s="303" t="s">
        <v>232</v>
      </c>
    </row>
    <row r="61505" spans="119:119" x14ac:dyDescent="0.2">
      <c r="DO61505" s="303" t="s">
        <v>232</v>
      </c>
    </row>
    <row r="61506" spans="119:119" x14ac:dyDescent="0.2">
      <c r="DO61506" s="303" t="s">
        <v>232</v>
      </c>
    </row>
    <row r="61507" spans="119:119" x14ac:dyDescent="0.2">
      <c r="DO61507" s="303" t="s">
        <v>232</v>
      </c>
    </row>
    <row r="61508" spans="119:119" x14ac:dyDescent="0.2">
      <c r="DO61508" s="303" t="s">
        <v>232</v>
      </c>
    </row>
    <row r="61509" spans="119:119" x14ac:dyDescent="0.2">
      <c r="DO61509" s="303" t="s">
        <v>232</v>
      </c>
    </row>
    <row r="61510" spans="119:119" x14ac:dyDescent="0.2">
      <c r="DO61510" s="303" t="s">
        <v>232</v>
      </c>
    </row>
    <row r="61511" spans="119:119" x14ac:dyDescent="0.2">
      <c r="DO61511" s="303" t="s">
        <v>232</v>
      </c>
    </row>
    <row r="61512" spans="119:119" x14ac:dyDescent="0.2">
      <c r="DO61512" s="303" t="s">
        <v>232</v>
      </c>
    </row>
    <row r="61513" spans="119:119" x14ac:dyDescent="0.2">
      <c r="DO61513" s="303" t="s">
        <v>232</v>
      </c>
    </row>
    <row r="61514" spans="119:119" x14ac:dyDescent="0.2">
      <c r="DO61514" s="303" t="s">
        <v>232</v>
      </c>
    </row>
    <row r="61515" spans="119:119" x14ac:dyDescent="0.2">
      <c r="DO61515" s="303" t="s">
        <v>232</v>
      </c>
    </row>
    <row r="61516" spans="119:119" x14ac:dyDescent="0.2">
      <c r="DO61516" s="303" t="s">
        <v>232</v>
      </c>
    </row>
    <row r="61517" spans="119:119" x14ac:dyDescent="0.2">
      <c r="DO61517" s="303" t="s">
        <v>232</v>
      </c>
    </row>
    <row r="61518" spans="119:119" x14ac:dyDescent="0.2">
      <c r="DO61518" s="303" t="s">
        <v>232</v>
      </c>
    </row>
    <row r="61519" spans="119:119" x14ac:dyDescent="0.2">
      <c r="DO61519" s="303" t="s">
        <v>232</v>
      </c>
    </row>
    <row r="61520" spans="119:119" x14ac:dyDescent="0.2">
      <c r="DO61520" s="303" t="s">
        <v>232</v>
      </c>
    </row>
    <row r="61521" spans="119:119" x14ac:dyDescent="0.2">
      <c r="DO61521" s="303" t="s">
        <v>232</v>
      </c>
    </row>
    <row r="61522" spans="119:119" x14ac:dyDescent="0.2">
      <c r="DO61522" s="303" t="s">
        <v>232</v>
      </c>
    </row>
    <row r="61523" spans="119:119" x14ac:dyDescent="0.2">
      <c r="DO61523" s="303" t="s">
        <v>232</v>
      </c>
    </row>
    <row r="61524" spans="119:119" x14ac:dyDescent="0.2">
      <c r="DO61524" s="303" t="s">
        <v>232</v>
      </c>
    </row>
    <row r="61525" spans="119:119" x14ac:dyDescent="0.2">
      <c r="DO61525" s="303" t="s">
        <v>232</v>
      </c>
    </row>
    <row r="61526" spans="119:119" x14ac:dyDescent="0.2">
      <c r="DO61526" s="303" t="s">
        <v>232</v>
      </c>
    </row>
    <row r="61527" spans="119:119" x14ac:dyDescent="0.2">
      <c r="DO61527" s="303" t="s">
        <v>232</v>
      </c>
    </row>
    <row r="61528" spans="119:119" x14ac:dyDescent="0.2">
      <c r="DO61528" s="303" t="s">
        <v>232</v>
      </c>
    </row>
    <row r="61529" spans="119:119" x14ac:dyDescent="0.2">
      <c r="DO61529" s="303" t="s">
        <v>232</v>
      </c>
    </row>
    <row r="61530" spans="119:119" x14ac:dyDescent="0.2">
      <c r="DO61530" s="303" t="s">
        <v>232</v>
      </c>
    </row>
    <row r="61531" spans="119:119" x14ac:dyDescent="0.2">
      <c r="DO61531" s="303" t="s">
        <v>232</v>
      </c>
    </row>
    <row r="61532" spans="119:119" x14ac:dyDescent="0.2">
      <c r="DO61532" s="303" t="s">
        <v>232</v>
      </c>
    </row>
    <row r="61533" spans="119:119" x14ac:dyDescent="0.2">
      <c r="DO61533" s="303" t="s">
        <v>232</v>
      </c>
    </row>
    <row r="61534" spans="119:119" x14ac:dyDescent="0.2">
      <c r="DO61534" s="303" t="s">
        <v>232</v>
      </c>
    </row>
    <row r="61535" spans="119:119" x14ac:dyDescent="0.2">
      <c r="DO61535" s="303" t="s">
        <v>232</v>
      </c>
    </row>
    <row r="61536" spans="119:119" x14ac:dyDescent="0.2">
      <c r="DO61536" s="303" t="s">
        <v>232</v>
      </c>
    </row>
    <row r="61537" spans="119:119" x14ac:dyDescent="0.2">
      <c r="DO61537" s="303" t="s">
        <v>232</v>
      </c>
    </row>
    <row r="61538" spans="119:119" x14ac:dyDescent="0.2">
      <c r="DO61538" s="303" t="s">
        <v>232</v>
      </c>
    </row>
    <row r="61539" spans="119:119" x14ac:dyDescent="0.2">
      <c r="DO61539" s="303" t="s">
        <v>232</v>
      </c>
    </row>
    <row r="61540" spans="119:119" x14ac:dyDescent="0.2">
      <c r="DO61540" s="303" t="s">
        <v>232</v>
      </c>
    </row>
    <row r="61541" spans="119:119" x14ac:dyDescent="0.2">
      <c r="DO61541" s="303" t="s">
        <v>232</v>
      </c>
    </row>
    <row r="61542" spans="119:119" x14ac:dyDescent="0.2">
      <c r="DO61542" s="303" t="s">
        <v>232</v>
      </c>
    </row>
    <row r="61543" spans="119:119" x14ac:dyDescent="0.2">
      <c r="DO61543" s="303" t="s">
        <v>232</v>
      </c>
    </row>
    <row r="61544" spans="119:119" x14ac:dyDescent="0.2">
      <c r="DO61544" s="303" t="s">
        <v>232</v>
      </c>
    </row>
    <row r="61545" spans="119:119" x14ac:dyDescent="0.2">
      <c r="DO61545" s="303" t="s">
        <v>232</v>
      </c>
    </row>
    <row r="61546" spans="119:119" x14ac:dyDescent="0.2">
      <c r="DO61546" s="303" t="s">
        <v>232</v>
      </c>
    </row>
    <row r="61547" spans="119:119" x14ac:dyDescent="0.2">
      <c r="DO61547" s="303" t="s">
        <v>232</v>
      </c>
    </row>
    <row r="61548" spans="119:119" x14ac:dyDescent="0.2">
      <c r="DO61548" s="303" t="s">
        <v>232</v>
      </c>
    </row>
    <row r="61549" spans="119:119" x14ac:dyDescent="0.2">
      <c r="DO61549" s="303" t="s">
        <v>232</v>
      </c>
    </row>
    <row r="61550" spans="119:119" x14ac:dyDescent="0.2">
      <c r="DO61550" s="303" t="s">
        <v>232</v>
      </c>
    </row>
    <row r="61551" spans="119:119" x14ac:dyDescent="0.2">
      <c r="DO61551" s="303" t="s">
        <v>232</v>
      </c>
    </row>
    <row r="61552" spans="119:119" x14ac:dyDescent="0.2">
      <c r="DO61552" s="303" t="s">
        <v>232</v>
      </c>
    </row>
    <row r="61553" spans="119:119" x14ac:dyDescent="0.2">
      <c r="DO61553" s="303" t="s">
        <v>232</v>
      </c>
    </row>
    <row r="61554" spans="119:119" x14ac:dyDescent="0.2">
      <c r="DO61554" s="303" t="s">
        <v>232</v>
      </c>
    </row>
    <row r="61555" spans="119:119" x14ac:dyDescent="0.2">
      <c r="DO61555" s="303" t="s">
        <v>232</v>
      </c>
    </row>
    <row r="61556" spans="119:119" x14ac:dyDescent="0.2">
      <c r="DO61556" s="303" t="s">
        <v>232</v>
      </c>
    </row>
    <row r="61557" spans="119:119" x14ac:dyDescent="0.2">
      <c r="DO61557" s="303" t="s">
        <v>232</v>
      </c>
    </row>
    <row r="61558" spans="119:119" x14ac:dyDescent="0.2">
      <c r="DO61558" s="303" t="s">
        <v>232</v>
      </c>
    </row>
    <row r="61559" spans="119:119" x14ac:dyDescent="0.2">
      <c r="DO61559" s="303" t="s">
        <v>232</v>
      </c>
    </row>
    <row r="61560" spans="119:119" x14ac:dyDescent="0.2">
      <c r="DO61560" s="303" t="s">
        <v>232</v>
      </c>
    </row>
    <row r="61561" spans="119:119" x14ac:dyDescent="0.2">
      <c r="DO61561" s="303" t="s">
        <v>232</v>
      </c>
    </row>
    <row r="61562" spans="119:119" x14ac:dyDescent="0.2">
      <c r="DO61562" s="303" t="s">
        <v>232</v>
      </c>
    </row>
    <row r="61563" spans="119:119" x14ac:dyDescent="0.2">
      <c r="DO61563" s="303" t="s">
        <v>232</v>
      </c>
    </row>
    <row r="61564" spans="119:119" x14ac:dyDescent="0.2">
      <c r="DO61564" s="303" t="s">
        <v>232</v>
      </c>
    </row>
    <row r="61565" spans="119:119" x14ac:dyDescent="0.2">
      <c r="DO61565" s="303" t="s">
        <v>232</v>
      </c>
    </row>
    <row r="61566" spans="119:119" x14ac:dyDescent="0.2">
      <c r="DO61566" s="303" t="s">
        <v>232</v>
      </c>
    </row>
    <row r="61567" spans="119:119" x14ac:dyDescent="0.2">
      <c r="DO61567" s="303" t="s">
        <v>232</v>
      </c>
    </row>
    <row r="61568" spans="119:119" x14ac:dyDescent="0.2">
      <c r="DO61568" s="303" t="s">
        <v>232</v>
      </c>
    </row>
    <row r="61569" spans="119:119" x14ac:dyDescent="0.2">
      <c r="DO61569" s="303" t="s">
        <v>232</v>
      </c>
    </row>
    <row r="61570" spans="119:119" x14ac:dyDescent="0.2">
      <c r="DO61570" s="303" t="s">
        <v>232</v>
      </c>
    </row>
    <row r="61571" spans="119:119" x14ac:dyDescent="0.2">
      <c r="DO61571" s="303" t="s">
        <v>232</v>
      </c>
    </row>
    <row r="61572" spans="119:119" x14ac:dyDescent="0.2">
      <c r="DO61572" s="303" t="s">
        <v>232</v>
      </c>
    </row>
    <row r="61573" spans="119:119" x14ac:dyDescent="0.2">
      <c r="DO61573" s="303" t="s">
        <v>232</v>
      </c>
    </row>
    <row r="61574" spans="119:119" x14ac:dyDescent="0.2">
      <c r="DO61574" s="303" t="s">
        <v>232</v>
      </c>
    </row>
    <row r="61575" spans="119:119" x14ac:dyDescent="0.2">
      <c r="DO61575" s="303" t="s">
        <v>232</v>
      </c>
    </row>
    <row r="61576" spans="119:119" x14ac:dyDescent="0.2">
      <c r="DO61576" s="303" t="s">
        <v>232</v>
      </c>
    </row>
    <row r="61577" spans="119:119" x14ac:dyDescent="0.2">
      <c r="DO61577" s="303" t="s">
        <v>232</v>
      </c>
    </row>
    <row r="61578" spans="119:119" x14ac:dyDescent="0.2">
      <c r="DO61578" s="303" t="s">
        <v>232</v>
      </c>
    </row>
    <row r="61579" spans="119:119" x14ac:dyDescent="0.2">
      <c r="DO61579" s="303" t="s">
        <v>232</v>
      </c>
    </row>
    <row r="61580" spans="119:119" x14ac:dyDescent="0.2">
      <c r="DO61580" s="303" t="s">
        <v>232</v>
      </c>
    </row>
    <row r="61581" spans="119:119" x14ac:dyDescent="0.2">
      <c r="DO61581" s="303" t="s">
        <v>232</v>
      </c>
    </row>
    <row r="61582" spans="119:119" x14ac:dyDescent="0.2">
      <c r="DO61582" s="303" t="s">
        <v>232</v>
      </c>
    </row>
    <row r="61583" spans="119:119" x14ac:dyDescent="0.2">
      <c r="DO61583" s="303" t="s">
        <v>232</v>
      </c>
    </row>
    <row r="61584" spans="119:119" x14ac:dyDescent="0.2">
      <c r="DO61584" s="303" t="s">
        <v>232</v>
      </c>
    </row>
    <row r="61585" spans="119:119" x14ac:dyDescent="0.2">
      <c r="DO61585" s="303" t="s">
        <v>232</v>
      </c>
    </row>
    <row r="61586" spans="119:119" x14ac:dyDescent="0.2">
      <c r="DO61586" s="303" t="s">
        <v>232</v>
      </c>
    </row>
    <row r="61587" spans="119:119" x14ac:dyDescent="0.2">
      <c r="DO61587" s="303" t="s">
        <v>232</v>
      </c>
    </row>
    <row r="61588" spans="119:119" x14ac:dyDescent="0.2">
      <c r="DO61588" s="303" t="s">
        <v>232</v>
      </c>
    </row>
    <row r="61589" spans="119:119" x14ac:dyDescent="0.2">
      <c r="DO61589" s="303" t="s">
        <v>232</v>
      </c>
    </row>
    <row r="61590" spans="119:119" x14ac:dyDescent="0.2">
      <c r="DO61590" s="303" t="s">
        <v>232</v>
      </c>
    </row>
    <row r="61591" spans="119:119" x14ac:dyDescent="0.2">
      <c r="DO61591" s="303" t="s">
        <v>232</v>
      </c>
    </row>
    <row r="61592" spans="119:119" x14ac:dyDescent="0.2">
      <c r="DO61592" s="303" t="s">
        <v>232</v>
      </c>
    </row>
    <row r="61593" spans="119:119" x14ac:dyDescent="0.2">
      <c r="DO61593" s="303" t="s">
        <v>232</v>
      </c>
    </row>
    <row r="61594" spans="119:119" x14ac:dyDescent="0.2">
      <c r="DO61594" s="303" t="s">
        <v>232</v>
      </c>
    </row>
    <row r="61595" spans="119:119" x14ac:dyDescent="0.2">
      <c r="DO61595" s="303" t="s">
        <v>232</v>
      </c>
    </row>
    <row r="61596" spans="119:119" x14ac:dyDescent="0.2">
      <c r="DO61596" s="303" t="s">
        <v>232</v>
      </c>
    </row>
    <row r="61597" spans="119:119" x14ac:dyDescent="0.2">
      <c r="DO61597" s="303" t="s">
        <v>232</v>
      </c>
    </row>
    <row r="61598" spans="119:119" x14ac:dyDescent="0.2">
      <c r="DO61598" s="303" t="s">
        <v>232</v>
      </c>
    </row>
    <row r="61599" spans="119:119" x14ac:dyDescent="0.2">
      <c r="DO61599" s="303" t="s">
        <v>232</v>
      </c>
    </row>
    <row r="61600" spans="119:119" x14ac:dyDescent="0.2">
      <c r="DO61600" s="303" t="s">
        <v>232</v>
      </c>
    </row>
    <row r="61601" spans="119:119" x14ac:dyDescent="0.2">
      <c r="DO61601" s="303" t="s">
        <v>232</v>
      </c>
    </row>
    <row r="61602" spans="119:119" x14ac:dyDescent="0.2">
      <c r="DO61602" s="303" t="s">
        <v>232</v>
      </c>
    </row>
    <row r="61603" spans="119:119" x14ac:dyDescent="0.2">
      <c r="DO61603" s="303" t="s">
        <v>232</v>
      </c>
    </row>
    <row r="61604" spans="119:119" x14ac:dyDescent="0.2">
      <c r="DO61604" s="303" t="s">
        <v>232</v>
      </c>
    </row>
    <row r="61605" spans="119:119" x14ac:dyDescent="0.2">
      <c r="DO61605" s="303" t="s">
        <v>232</v>
      </c>
    </row>
    <row r="61606" spans="119:119" x14ac:dyDescent="0.2">
      <c r="DO61606" s="303" t="s">
        <v>232</v>
      </c>
    </row>
    <row r="61607" spans="119:119" x14ac:dyDescent="0.2">
      <c r="DO61607" s="303" t="s">
        <v>232</v>
      </c>
    </row>
    <row r="61608" spans="119:119" x14ac:dyDescent="0.2">
      <c r="DO61608" s="303" t="s">
        <v>232</v>
      </c>
    </row>
    <row r="61609" spans="119:119" x14ac:dyDescent="0.2">
      <c r="DO61609" s="303" t="s">
        <v>232</v>
      </c>
    </row>
    <row r="61610" spans="119:119" x14ac:dyDescent="0.2">
      <c r="DO61610" s="303" t="s">
        <v>232</v>
      </c>
    </row>
    <row r="61611" spans="119:119" x14ac:dyDescent="0.2">
      <c r="DO61611" s="303" t="s">
        <v>232</v>
      </c>
    </row>
    <row r="61612" spans="119:119" x14ac:dyDescent="0.2">
      <c r="DO61612" s="303" t="s">
        <v>232</v>
      </c>
    </row>
    <row r="61613" spans="119:119" x14ac:dyDescent="0.2">
      <c r="DO61613" s="303" t="s">
        <v>232</v>
      </c>
    </row>
    <row r="61614" spans="119:119" x14ac:dyDescent="0.2">
      <c r="DO61614" s="303" t="s">
        <v>232</v>
      </c>
    </row>
    <row r="61615" spans="119:119" x14ac:dyDescent="0.2">
      <c r="DO61615" s="303" t="s">
        <v>232</v>
      </c>
    </row>
    <row r="61616" spans="119:119" x14ac:dyDescent="0.2">
      <c r="DO61616" s="303" t="s">
        <v>232</v>
      </c>
    </row>
    <row r="61617" spans="119:119" x14ac:dyDescent="0.2">
      <c r="DO61617" s="303" t="s">
        <v>232</v>
      </c>
    </row>
    <row r="61618" spans="119:119" x14ac:dyDescent="0.2">
      <c r="DO61618" s="303" t="s">
        <v>232</v>
      </c>
    </row>
    <row r="61619" spans="119:119" x14ac:dyDescent="0.2">
      <c r="DO61619" s="303" t="s">
        <v>232</v>
      </c>
    </row>
    <row r="61620" spans="119:119" x14ac:dyDescent="0.2">
      <c r="DO61620" s="303" t="s">
        <v>232</v>
      </c>
    </row>
    <row r="61621" spans="119:119" x14ac:dyDescent="0.2">
      <c r="DO61621" s="303" t="s">
        <v>232</v>
      </c>
    </row>
    <row r="61622" spans="119:119" x14ac:dyDescent="0.2">
      <c r="DO61622" s="303" t="s">
        <v>232</v>
      </c>
    </row>
    <row r="61623" spans="119:119" x14ac:dyDescent="0.2">
      <c r="DO61623" s="303" t="s">
        <v>232</v>
      </c>
    </row>
    <row r="61624" spans="119:119" x14ac:dyDescent="0.2">
      <c r="DO61624" s="303" t="s">
        <v>232</v>
      </c>
    </row>
    <row r="61625" spans="119:119" x14ac:dyDescent="0.2">
      <c r="DO61625" s="303" t="s">
        <v>232</v>
      </c>
    </row>
    <row r="61626" spans="119:119" x14ac:dyDescent="0.2">
      <c r="DO61626" s="303" t="s">
        <v>232</v>
      </c>
    </row>
    <row r="61627" spans="119:119" x14ac:dyDescent="0.2">
      <c r="DO61627" s="303" t="s">
        <v>232</v>
      </c>
    </row>
    <row r="61628" spans="119:119" x14ac:dyDescent="0.2">
      <c r="DO61628" s="303" t="s">
        <v>232</v>
      </c>
    </row>
    <row r="61629" spans="119:119" x14ac:dyDescent="0.2">
      <c r="DO61629" s="303" t="s">
        <v>232</v>
      </c>
    </row>
    <row r="61630" spans="119:119" x14ac:dyDescent="0.2">
      <c r="DO61630" s="303" t="s">
        <v>232</v>
      </c>
    </row>
    <row r="61631" spans="119:119" x14ac:dyDescent="0.2">
      <c r="DO61631" s="303" t="s">
        <v>232</v>
      </c>
    </row>
    <row r="61632" spans="119:119" x14ac:dyDescent="0.2">
      <c r="DO61632" s="303" t="s">
        <v>232</v>
      </c>
    </row>
    <row r="61633" spans="119:119" x14ac:dyDescent="0.2">
      <c r="DO61633" s="303" t="s">
        <v>232</v>
      </c>
    </row>
    <row r="61634" spans="119:119" x14ac:dyDescent="0.2">
      <c r="DO61634" s="303" t="s">
        <v>232</v>
      </c>
    </row>
    <row r="61635" spans="119:119" x14ac:dyDescent="0.2">
      <c r="DO61635" s="303" t="s">
        <v>232</v>
      </c>
    </row>
    <row r="61636" spans="119:119" x14ac:dyDescent="0.2">
      <c r="DO61636" s="303" t="s">
        <v>232</v>
      </c>
    </row>
    <row r="61637" spans="119:119" x14ac:dyDescent="0.2">
      <c r="DO61637" s="303" t="s">
        <v>232</v>
      </c>
    </row>
    <row r="61638" spans="119:119" x14ac:dyDescent="0.2">
      <c r="DO61638" s="303" t="s">
        <v>232</v>
      </c>
    </row>
    <row r="61639" spans="119:119" x14ac:dyDescent="0.2">
      <c r="DO61639" s="303" t="s">
        <v>232</v>
      </c>
    </row>
    <row r="61640" spans="119:119" x14ac:dyDescent="0.2">
      <c r="DO61640" s="303" t="s">
        <v>232</v>
      </c>
    </row>
    <row r="61641" spans="119:119" x14ac:dyDescent="0.2">
      <c r="DO61641" s="303" t="s">
        <v>232</v>
      </c>
    </row>
    <row r="61642" spans="119:119" x14ac:dyDescent="0.2">
      <c r="DO61642" s="303" t="s">
        <v>232</v>
      </c>
    </row>
    <row r="61643" spans="119:119" x14ac:dyDescent="0.2">
      <c r="DO61643" s="303" t="s">
        <v>232</v>
      </c>
    </row>
    <row r="61644" spans="119:119" x14ac:dyDescent="0.2">
      <c r="DO61644" s="303" t="s">
        <v>232</v>
      </c>
    </row>
    <row r="61645" spans="119:119" x14ac:dyDescent="0.2">
      <c r="DO61645" s="303" t="s">
        <v>232</v>
      </c>
    </row>
    <row r="61646" spans="119:119" x14ac:dyDescent="0.2">
      <c r="DO61646" s="303" t="s">
        <v>232</v>
      </c>
    </row>
    <row r="61647" spans="119:119" x14ac:dyDescent="0.2">
      <c r="DO61647" s="303" t="s">
        <v>232</v>
      </c>
    </row>
    <row r="61648" spans="119:119" x14ac:dyDescent="0.2">
      <c r="DO61648" s="303" t="s">
        <v>232</v>
      </c>
    </row>
    <row r="61649" spans="119:119" x14ac:dyDescent="0.2">
      <c r="DO61649" s="303" t="s">
        <v>232</v>
      </c>
    </row>
    <row r="61650" spans="119:119" x14ac:dyDescent="0.2">
      <c r="DO61650" s="303" t="s">
        <v>232</v>
      </c>
    </row>
    <row r="61651" spans="119:119" x14ac:dyDescent="0.2">
      <c r="DO61651" s="303" t="s">
        <v>232</v>
      </c>
    </row>
    <row r="61652" spans="119:119" x14ac:dyDescent="0.2">
      <c r="DO61652" s="303" t="s">
        <v>232</v>
      </c>
    </row>
    <row r="61653" spans="119:119" x14ac:dyDescent="0.2">
      <c r="DO61653" s="303" t="s">
        <v>232</v>
      </c>
    </row>
    <row r="61654" spans="119:119" x14ac:dyDescent="0.2">
      <c r="DO61654" s="303" t="s">
        <v>232</v>
      </c>
    </row>
    <row r="61655" spans="119:119" x14ac:dyDescent="0.2">
      <c r="DO61655" s="303" t="s">
        <v>232</v>
      </c>
    </row>
    <row r="61656" spans="119:119" x14ac:dyDescent="0.2">
      <c r="DO61656" s="303" t="s">
        <v>232</v>
      </c>
    </row>
    <row r="61657" spans="119:119" x14ac:dyDescent="0.2">
      <c r="DO61657" s="303" t="s">
        <v>232</v>
      </c>
    </row>
    <row r="61658" spans="119:119" x14ac:dyDescent="0.2">
      <c r="DO61658" s="303" t="s">
        <v>232</v>
      </c>
    </row>
    <row r="61659" spans="119:119" x14ac:dyDescent="0.2">
      <c r="DO61659" s="303" t="s">
        <v>232</v>
      </c>
    </row>
    <row r="61660" spans="119:119" x14ac:dyDescent="0.2">
      <c r="DO61660" s="303" t="s">
        <v>232</v>
      </c>
    </row>
    <row r="61661" spans="119:119" x14ac:dyDescent="0.2">
      <c r="DO61661" s="303" t="s">
        <v>232</v>
      </c>
    </row>
    <row r="61662" spans="119:119" x14ac:dyDescent="0.2">
      <c r="DO61662" s="303" t="s">
        <v>232</v>
      </c>
    </row>
    <row r="61663" spans="119:119" x14ac:dyDescent="0.2">
      <c r="DO61663" s="303" t="s">
        <v>232</v>
      </c>
    </row>
    <row r="61664" spans="119:119" x14ac:dyDescent="0.2">
      <c r="DO61664" s="303" t="s">
        <v>232</v>
      </c>
    </row>
    <row r="61665" spans="119:119" x14ac:dyDescent="0.2">
      <c r="DO61665" s="303" t="s">
        <v>232</v>
      </c>
    </row>
    <row r="61666" spans="119:119" x14ac:dyDescent="0.2">
      <c r="DO61666" s="303" t="s">
        <v>232</v>
      </c>
    </row>
    <row r="61667" spans="119:119" x14ac:dyDescent="0.2">
      <c r="DO61667" s="303" t="s">
        <v>232</v>
      </c>
    </row>
    <row r="61668" spans="119:119" x14ac:dyDescent="0.2">
      <c r="DO61668" s="303" t="s">
        <v>232</v>
      </c>
    </row>
    <row r="61669" spans="119:119" x14ac:dyDescent="0.2">
      <c r="DO61669" s="303" t="s">
        <v>232</v>
      </c>
    </row>
    <row r="61670" spans="119:119" x14ac:dyDescent="0.2">
      <c r="DO61670" s="303" t="s">
        <v>232</v>
      </c>
    </row>
    <row r="61671" spans="119:119" x14ac:dyDescent="0.2">
      <c r="DO61671" s="303" t="s">
        <v>232</v>
      </c>
    </row>
    <row r="61672" spans="119:119" x14ac:dyDescent="0.2">
      <c r="DO61672" s="303" t="s">
        <v>232</v>
      </c>
    </row>
    <row r="61673" spans="119:119" x14ac:dyDescent="0.2">
      <c r="DO61673" s="303" t="s">
        <v>232</v>
      </c>
    </row>
    <row r="61674" spans="119:119" x14ac:dyDescent="0.2">
      <c r="DO61674" s="303" t="s">
        <v>232</v>
      </c>
    </row>
    <row r="61675" spans="119:119" x14ac:dyDescent="0.2">
      <c r="DO61675" s="303" t="s">
        <v>232</v>
      </c>
    </row>
    <row r="61676" spans="119:119" x14ac:dyDescent="0.2">
      <c r="DO61676" s="303" t="s">
        <v>232</v>
      </c>
    </row>
    <row r="61677" spans="119:119" x14ac:dyDescent="0.2">
      <c r="DO61677" s="303" t="s">
        <v>232</v>
      </c>
    </row>
    <row r="61678" spans="119:119" x14ac:dyDescent="0.2">
      <c r="DO61678" s="303" t="s">
        <v>232</v>
      </c>
    </row>
    <row r="61679" spans="119:119" x14ac:dyDescent="0.2">
      <c r="DO61679" s="303" t="s">
        <v>232</v>
      </c>
    </row>
    <row r="61680" spans="119:119" x14ac:dyDescent="0.2">
      <c r="DO61680" s="303" t="s">
        <v>232</v>
      </c>
    </row>
    <row r="61681" spans="119:119" x14ac:dyDescent="0.2">
      <c r="DO61681" s="303" t="s">
        <v>232</v>
      </c>
    </row>
    <row r="61682" spans="119:119" x14ac:dyDescent="0.2">
      <c r="DO61682" s="303" t="s">
        <v>232</v>
      </c>
    </row>
    <row r="61683" spans="119:119" x14ac:dyDescent="0.2">
      <c r="DO61683" s="303" t="s">
        <v>232</v>
      </c>
    </row>
    <row r="61684" spans="119:119" x14ac:dyDescent="0.2">
      <c r="DO61684" s="303" t="s">
        <v>232</v>
      </c>
    </row>
    <row r="61685" spans="119:119" x14ac:dyDescent="0.2">
      <c r="DO61685" s="303" t="s">
        <v>232</v>
      </c>
    </row>
    <row r="61686" spans="119:119" x14ac:dyDescent="0.2">
      <c r="DO61686" s="303" t="s">
        <v>232</v>
      </c>
    </row>
    <row r="61687" spans="119:119" x14ac:dyDescent="0.2">
      <c r="DO61687" s="303" t="s">
        <v>232</v>
      </c>
    </row>
    <row r="61688" spans="119:119" x14ac:dyDescent="0.2">
      <c r="DO61688" s="303" t="s">
        <v>232</v>
      </c>
    </row>
    <row r="61689" spans="119:119" x14ac:dyDescent="0.2">
      <c r="DO61689" s="303" t="s">
        <v>232</v>
      </c>
    </row>
    <row r="61690" spans="119:119" x14ac:dyDescent="0.2">
      <c r="DO61690" s="303" t="s">
        <v>232</v>
      </c>
    </row>
    <row r="61691" spans="119:119" x14ac:dyDescent="0.2">
      <c r="DO61691" s="303" t="s">
        <v>232</v>
      </c>
    </row>
    <row r="61692" spans="119:119" x14ac:dyDescent="0.2">
      <c r="DO61692" s="303" t="s">
        <v>232</v>
      </c>
    </row>
    <row r="61693" spans="119:119" x14ac:dyDescent="0.2">
      <c r="DO61693" s="303" t="s">
        <v>232</v>
      </c>
    </row>
    <row r="61694" spans="119:119" x14ac:dyDescent="0.2">
      <c r="DO61694" s="303" t="s">
        <v>232</v>
      </c>
    </row>
    <row r="61695" spans="119:119" x14ac:dyDescent="0.2">
      <c r="DO61695" s="303" t="s">
        <v>232</v>
      </c>
    </row>
    <row r="61696" spans="119:119" x14ac:dyDescent="0.2">
      <c r="DO61696" s="303" t="s">
        <v>232</v>
      </c>
    </row>
    <row r="61697" spans="119:119" x14ac:dyDescent="0.2">
      <c r="DO61697" s="303" t="s">
        <v>232</v>
      </c>
    </row>
    <row r="61698" spans="119:119" x14ac:dyDescent="0.2">
      <c r="DO61698" s="303" t="s">
        <v>232</v>
      </c>
    </row>
    <row r="61699" spans="119:119" x14ac:dyDescent="0.2">
      <c r="DO61699" s="303" t="s">
        <v>232</v>
      </c>
    </row>
    <row r="61700" spans="119:119" x14ac:dyDescent="0.2">
      <c r="DO61700" s="303" t="s">
        <v>232</v>
      </c>
    </row>
    <row r="61701" spans="119:119" x14ac:dyDescent="0.2">
      <c r="DO61701" s="303" t="s">
        <v>232</v>
      </c>
    </row>
    <row r="61702" spans="119:119" x14ac:dyDescent="0.2">
      <c r="DO61702" s="303" t="s">
        <v>232</v>
      </c>
    </row>
    <row r="61703" spans="119:119" x14ac:dyDescent="0.2">
      <c r="DO61703" s="303" t="s">
        <v>232</v>
      </c>
    </row>
    <row r="61704" spans="119:119" x14ac:dyDescent="0.2">
      <c r="DO61704" s="303" t="s">
        <v>232</v>
      </c>
    </row>
    <row r="61705" spans="119:119" x14ac:dyDescent="0.2">
      <c r="DO61705" s="303" t="s">
        <v>232</v>
      </c>
    </row>
    <row r="61706" spans="119:119" x14ac:dyDescent="0.2">
      <c r="DO61706" s="303" t="s">
        <v>232</v>
      </c>
    </row>
    <row r="61707" spans="119:119" x14ac:dyDescent="0.2">
      <c r="DO61707" s="303" t="s">
        <v>232</v>
      </c>
    </row>
    <row r="61708" spans="119:119" x14ac:dyDescent="0.2">
      <c r="DO61708" s="303" t="s">
        <v>232</v>
      </c>
    </row>
    <row r="61709" spans="119:119" x14ac:dyDescent="0.2">
      <c r="DO61709" s="303" t="s">
        <v>232</v>
      </c>
    </row>
    <row r="61710" spans="119:119" x14ac:dyDescent="0.2">
      <c r="DO61710" s="303" t="s">
        <v>232</v>
      </c>
    </row>
    <row r="61711" spans="119:119" x14ac:dyDescent="0.2">
      <c r="DO61711" s="303" t="s">
        <v>232</v>
      </c>
    </row>
    <row r="61712" spans="119:119" x14ac:dyDescent="0.2">
      <c r="DO61712" s="303" t="s">
        <v>232</v>
      </c>
    </row>
    <row r="61713" spans="119:119" x14ac:dyDescent="0.2">
      <c r="DO61713" s="303" t="s">
        <v>232</v>
      </c>
    </row>
    <row r="61714" spans="119:119" x14ac:dyDescent="0.2">
      <c r="DO61714" s="303" t="s">
        <v>232</v>
      </c>
    </row>
    <row r="61715" spans="119:119" x14ac:dyDescent="0.2">
      <c r="DO61715" s="303" t="s">
        <v>232</v>
      </c>
    </row>
    <row r="61716" spans="119:119" x14ac:dyDescent="0.2">
      <c r="DO61716" s="303" t="s">
        <v>232</v>
      </c>
    </row>
    <row r="61717" spans="119:119" x14ac:dyDescent="0.2">
      <c r="DO61717" s="303" t="s">
        <v>232</v>
      </c>
    </row>
    <row r="61718" spans="119:119" x14ac:dyDescent="0.2">
      <c r="DO61718" s="303" t="s">
        <v>232</v>
      </c>
    </row>
    <row r="61719" spans="119:119" x14ac:dyDescent="0.2">
      <c r="DO61719" s="303" t="s">
        <v>232</v>
      </c>
    </row>
    <row r="61720" spans="119:119" x14ac:dyDescent="0.2">
      <c r="DO61720" s="303" t="s">
        <v>232</v>
      </c>
    </row>
    <row r="61721" spans="119:119" x14ac:dyDescent="0.2">
      <c r="DO61721" s="303" t="s">
        <v>232</v>
      </c>
    </row>
    <row r="61722" spans="119:119" x14ac:dyDescent="0.2">
      <c r="DO61722" s="303" t="s">
        <v>232</v>
      </c>
    </row>
    <row r="61723" spans="119:119" x14ac:dyDescent="0.2">
      <c r="DO61723" s="303" t="s">
        <v>232</v>
      </c>
    </row>
    <row r="61724" spans="119:119" x14ac:dyDescent="0.2">
      <c r="DO61724" s="303" t="s">
        <v>232</v>
      </c>
    </row>
    <row r="61725" spans="119:119" x14ac:dyDescent="0.2">
      <c r="DO61725" s="303" t="s">
        <v>232</v>
      </c>
    </row>
    <row r="61726" spans="119:119" x14ac:dyDescent="0.2">
      <c r="DO61726" s="303" t="s">
        <v>232</v>
      </c>
    </row>
    <row r="61727" spans="119:119" x14ac:dyDescent="0.2">
      <c r="DO61727" s="303" t="s">
        <v>232</v>
      </c>
    </row>
    <row r="61728" spans="119:119" x14ac:dyDescent="0.2">
      <c r="DO61728" s="303" t="s">
        <v>232</v>
      </c>
    </row>
    <row r="61729" spans="119:119" x14ac:dyDescent="0.2">
      <c r="DO61729" s="303" t="s">
        <v>232</v>
      </c>
    </row>
    <row r="61730" spans="119:119" x14ac:dyDescent="0.2">
      <c r="DO61730" s="303" t="s">
        <v>232</v>
      </c>
    </row>
    <row r="61731" spans="119:119" x14ac:dyDescent="0.2">
      <c r="DO61731" s="303" t="s">
        <v>232</v>
      </c>
    </row>
    <row r="61732" spans="119:119" x14ac:dyDescent="0.2">
      <c r="DO61732" s="303" t="s">
        <v>232</v>
      </c>
    </row>
    <row r="61733" spans="119:119" x14ac:dyDescent="0.2">
      <c r="DO61733" s="303" t="s">
        <v>232</v>
      </c>
    </row>
    <row r="61734" spans="119:119" x14ac:dyDescent="0.2">
      <c r="DO61734" s="303" t="s">
        <v>232</v>
      </c>
    </row>
    <row r="61735" spans="119:119" x14ac:dyDescent="0.2">
      <c r="DO61735" s="303" t="s">
        <v>232</v>
      </c>
    </row>
    <row r="61736" spans="119:119" x14ac:dyDescent="0.2">
      <c r="DO61736" s="303" t="s">
        <v>232</v>
      </c>
    </row>
    <row r="61737" spans="119:119" x14ac:dyDescent="0.2">
      <c r="DO61737" s="303" t="s">
        <v>232</v>
      </c>
    </row>
    <row r="61738" spans="119:119" x14ac:dyDescent="0.2">
      <c r="DO61738" s="303" t="s">
        <v>232</v>
      </c>
    </row>
    <row r="61739" spans="119:119" x14ac:dyDescent="0.2">
      <c r="DO61739" s="303" t="s">
        <v>232</v>
      </c>
    </row>
    <row r="61740" spans="119:119" x14ac:dyDescent="0.2">
      <c r="DO61740" s="303" t="s">
        <v>232</v>
      </c>
    </row>
    <row r="61741" spans="119:119" x14ac:dyDescent="0.2">
      <c r="DO61741" s="303" t="s">
        <v>232</v>
      </c>
    </row>
    <row r="61742" spans="119:119" x14ac:dyDescent="0.2">
      <c r="DO61742" s="303" t="s">
        <v>232</v>
      </c>
    </row>
    <row r="61743" spans="119:119" x14ac:dyDescent="0.2">
      <c r="DO61743" s="303" t="s">
        <v>232</v>
      </c>
    </row>
    <row r="61744" spans="119:119" x14ac:dyDescent="0.2">
      <c r="DO61744" s="303" t="s">
        <v>232</v>
      </c>
    </row>
    <row r="61745" spans="119:119" x14ac:dyDescent="0.2">
      <c r="DO61745" s="303" t="s">
        <v>232</v>
      </c>
    </row>
    <row r="61746" spans="119:119" x14ac:dyDescent="0.2">
      <c r="DO61746" s="303" t="s">
        <v>232</v>
      </c>
    </row>
    <row r="61747" spans="119:119" x14ac:dyDescent="0.2">
      <c r="DO61747" s="303" t="s">
        <v>232</v>
      </c>
    </row>
    <row r="61748" spans="119:119" x14ac:dyDescent="0.2">
      <c r="DO61748" s="303" t="s">
        <v>232</v>
      </c>
    </row>
    <row r="61749" spans="119:119" x14ac:dyDescent="0.2">
      <c r="DO61749" s="303" t="s">
        <v>232</v>
      </c>
    </row>
    <row r="61750" spans="119:119" x14ac:dyDescent="0.2">
      <c r="DO61750" s="303" t="s">
        <v>232</v>
      </c>
    </row>
    <row r="61751" spans="119:119" x14ac:dyDescent="0.2">
      <c r="DO61751" s="303" t="s">
        <v>232</v>
      </c>
    </row>
    <row r="61752" spans="119:119" x14ac:dyDescent="0.2">
      <c r="DO61752" s="303" t="s">
        <v>232</v>
      </c>
    </row>
    <row r="61753" spans="119:119" x14ac:dyDescent="0.2">
      <c r="DO61753" s="303" t="s">
        <v>232</v>
      </c>
    </row>
    <row r="61754" spans="119:119" x14ac:dyDescent="0.2">
      <c r="DO61754" s="303" t="s">
        <v>232</v>
      </c>
    </row>
    <row r="61755" spans="119:119" x14ac:dyDescent="0.2">
      <c r="DO61755" s="303" t="s">
        <v>232</v>
      </c>
    </row>
    <row r="61756" spans="119:119" x14ac:dyDescent="0.2">
      <c r="DO61756" s="303" t="s">
        <v>232</v>
      </c>
    </row>
    <row r="61757" spans="119:119" x14ac:dyDescent="0.2">
      <c r="DO61757" s="303" t="s">
        <v>232</v>
      </c>
    </row>
    <row r="61758" spans="119:119" x14ac:dyDescent="0.2">
      <c r="DO61758" s="303" t="s">
        <v>232</v>
      </c>
    </row>
    <row r="61759" spans="119:119" x14ac:dyDescent="0.2">
      <c r="DO61759" s="303" t="s">
        <v>232</v>
      </c>
    </row>
    <row r="61760" spans="119:119" x14ac:dyDescent="0.2">
      <c r="DO61760" s="303" t="s">
        <v>232</v>
      </c>
    </row>
    <row r="61761" spans="119:119" x14ac:dyDescent="0.2">
      <c r="DO61761" s="303" t="s">
        <v>232</v>
      </c>
    </row>
    <row r="61762" spans="119:119" x14ac:dyDescent="0.2">
      <c r="DO61762" s="303" t="s">
        <v>232</v>
      </c>
    </row>
    <row r="61763" spans="119:119" x14ac:dyDescent="0.2">
      <c r="DO61763" s="303" t="s">
        <v>232</v>
      </c>
    </row>
    <row r="61764" spans="119:119" x14ac:dyDescent="0.2">
      <c r="DO61764" s="303" t="s">
        <v>232</v>
      </c>
    </row>
    <row r="61765" spans="119:119" x14ac:dyDescent="0.2">
      <c r="DO61765" s="303" t="s">
        <v>232</v>
      </c>
    </row>
    <row r="61766" spans="119:119" x14ac:dyDescent="0.2">
      <c r="DO61766" s="303" t="s">
        <v>232</v>
      </c>
    </row>
    <row r="61767" spans="119:119" x14ac:dyDescent="0.2">
      <c r="DO61767" s="303" t="s">
        <v>232</v>
      </c>
    </row>
    <row r="61768" spans="119:119" x14ac:dyDescent="0.2">
      <c r="DO61768" s="303" t="s">
        <v>232</v>
      </c>
    </row>
    <row r="61769" spans="119:119" x14ac:dyDescent="0.2">
      <c r="DO61769" s="303" t="s">
        <v>232</v>
      </c>
    </row>
    <row r="61770" spans="119:119" x14ac:dyDescent="0.2">
      <c r="DO61770" s="303" t="s">
        <v>232</v>
      </c>
    </row>
    <row r="61771" spans="119:119" x14ac:dyDescent="0.2">
      <c r="DO61771" s="303" t="s">
        <v>232</v>
      </c>
    </row>
    <row r="61772" spans="119:119" x14ac:dyDescent="0.2">
      <c r="DO61772" s="303" t="s">
        <v>232</v>
      </c>
    </row>
    <row r="61773" spans="119:119" x14ac:dyDescent="0.2">
      <c r="DO61773" s="303" t="s">
        <v>232</v>
      </c>
    </row>
    <row r="61774" spans="119:119" x14ac:dyDescent="0.2">
      <c r="DO61774" s="303" t="s">
        <v>232</v>
      </c>
    </row>
    <row r="61775" spans="119:119" x14ac:dyDescent="0.2">
      <c r="DO61775" s="303" t="s">
        <v>232</v>
      </c>
    </row>
    <row r="61776" spans="119:119" x14ac:dyDescent="0.2">
      <c r="DO61776" s="303" t="s">
        <v>232</v>
      </c>
    </row>
    <row r="61777" spans="119:119" x14ac:dyDescent="0.2">
      <c r="DO61777" s="303" t="s">
        <v>232</v>
      </c>
    </row>
    <row r="61778" spans="119:119" x14ac:dyDescent="0.2">
      <c r="DO61778" s="303" t="s">
        <v>232</v>
      </c>
    </row>
    <row r="61779" spans="119:119" x14ac:dyDescent="0.2">
      <c r="DO61779" s="303" t="s">
        <v>232</v>
      </c>
    </row>
    <row r="61780" spans="119:119" x14ac:dyDescent="0.2">
      <c r="DO61780" s="303" t="s">
        <v>232</v>
      </c>
    </row>
    <row r="61781" spans="119:119" x14ac:dyDescent="0.2">
      <c r="DO61781" s="303" t="s">
        <v>232</v>
      </c>
    </row>
    <row r="61782" spans="119:119" x14ac:dyDescent="0.2">
      <c r="DO61782" s="303" t="s">
        <v>232</v>
      </c>
    </row>
    <row r="61783" spans="119:119" x14ac:dyDescent="0.2">
      <c r="DO61783" s="303" t="s">
        <v>232</v>
      </c>
    </row>
    <row r="61784" spans="119:119" x14ac:dyDescent="0.2">
      <c r="DO61784" s="303" t="s">
        <v>232</v>
      </c>
    </row>
    <row r="61785" spans="119:119" x14ac:dyDescent="0.2">
      <c r="DO61785" s="303" t="s">
        <v>232</v>
      </c>
    </row>
    <row r="61786" spans="119:119" x14ac:dyDescent="0.2">
      <c r="DO61786" s="303" t="s">
        <v>232</v>
      </c>
    </row>
    <row r="61787" spans="119:119" x14ac:dyDescent="0.2">
      <c r="DO61787" s="303" t="s">
        <v>232</v>
      </c>
    </row>
    <row r="61788" spans="119:119" x14ac:dyDescent="0.2">
      <c r="DO61788" s="303" t="s">
        <v>232</v>
      </c>
    </row>
    <row r="61789" spans="119:119" x14ac:dyDescent="0.2">
      <c r="DO61789" s="303" t="s">
        <v>232</v>
      </c>
    </row>
    <row r="61790" spans="119:119" x14ac:dyDescent="0.2">
      <c r="DO61790" s="303" t="s">
        <v>232</v>
      </c>
    </row>
    <row r="61791" spans="119:119" x14ac:dyDescent="0.2">
      <c r="DO61791" s="303" t="s">
        <v>232</v>
      </c>
    </row>
    <row r="61792" spans="119:119" x14ac:dyDescent="0.2">
      <c r="DO61792" s="303" t="s">
        <v>232</v>
      </c>
    </row>
    <row r="61793" spans="119:119" x14ac:dyDescent="0.2">
      <c r="DO61793" s="303" t="s">
        <v>232</v>
      </c>
    </row>
    <row r="61794" spans="119:119" x14ac:dyDescent="0.2">
      <c r="DO61794" s="303" t="s">
        <v>232</v>
      </c>
    </row>
    <row r="61795" spans="119:119" x14ac:dyDescent="0.2">
      <c r="DO61795" s="303" t="s">
        <v>232</v>
      </c>
    </row>
    <row r="61796" spans="119:119" x14ac:dyDescent="0.2">
      <c r="DO61796" s="303" t="s">
        <v>232</v>
      </c>
    </row>
    <row r="61797" spans="119:119" x14ac:dyDescent="0.2">
      <c r="DO61797" s="303" t="s">
        <v>232</v>
      </c>
    </row>
    <row r="61798" spans="119:119" x14ac:dyDescent="0.2">
      <c r="DO61798" s="303" t="s">
        <v>232</v>
      </c>
    </row>
    <row r="61799" spans="119:119" x14ac:dyDescent="0.2">
      <c r="DO61799" s="303" t="s">
        <v>232</v>
      </c>
    </row>
    <row r="61800" spans="119:119" x14ac:dyDescent="0.2">
      <c r="DO61800" s="303" t="s">
        <v>232</v>
      </c>
    </row>
    <row r="61801" spans="119:119" x14ac:dyDescent="0.2">
      <c r="DO61801" s="303" t="s">
        <v>232</v>
      </c>
    </row>
    <row r="61802" spans="119:119" x14ac:dyDescent="0.2">
      <c r="DO61802" s="303" t="s">
        <v>232</v>
      </c>
    </row>
    <row r="61803" spans="119:119" x14ac:dyDescent="0.2">
      <c r="DO61803" s="303" t="s">
        <v>232</v>
      </c>
    </row>
    <row r="61804" spans="119:119" x14ac:dyDescent="0.2">
      <c r="DO61804" s="303" t="s">
        <v>232</v>
      </c>
    </row>
    <row r="61805" spans="119:119" x14ac:dyDescent="0.2">
      <c r="DO61805" s="303" t="s">
        <v>232</v>
      </c>
    </row>
    <row r="61806" spans="119:119" x14ac:dyDescent="0.2">
      <c r="DO61806" s="303" t="s">
        <v>232</v>
      </c>
    </row>
    <row r="61807" spans="119:119" x14ac:dyDescent="0.2">
      <c r="DO61807" s="303" t="s">
        <v>232</v>
      </c>
    </row>
    <row r="61808" spans="119:119" x14ac:dyDescent="0.2">
      <c r="DO61808" s="303" t="s">
        <v>232</v>
      </c>
    </row>
    <row r="61809" spans="119:119" x14ac:dyDescent="0.2">
      <c r="DO61809" s="303" t="s">
        <v>232</v>
      </c>
    </row>
    <row r="61810" spans="119:119" x14ac:dyDescent="0.2">
      <c r="DO61810" s="303" t="s">
        <v>232</v>
      </c>
    </row>
    <row r="61811" spans="119:119" x14ac:dyDescent="0.2">
      <c r="DO61811" s="303" t="s">
        <v>232</v>
      </c>
    </row>
    <row r="61812" spans="119:119" x14ac:dyDescent="0.2">
      <c r="DO61812" s="303" t="s">
        <v>232</v>
      </c>
    </row>
    <row r="61813" spans="119:119" x14ac:dyDescent="0.2">
      <c r="DO61813" s="303" t="s">
        <v>232</v>
      </c>
    </row>
    <row r="61814" spans="119:119" x14ac:dyDescent="0.2">
      <c r="DO61814" s="303" t="s">
        <v>232</v>
      </c>
    </row>
    <row r="61815" spans="119:119" x14ac:dyDescent="0.2">
      <c r="DO61815" s="303" t="s">
        <v>232</v>
      </c>
    </row>
    <row r="61816" spans="119:119" x14ac:dyDescent="0.2">
      <c r="DO61816" s="303" t="s">
        <v>232</v>
      </c>
    </row>
    <row r="61817" spans="119:119" x14ac:dyDescent="0.2">
      <c r="DO61817" s="303" t="s">
        <v>232</v>
      </c>
    </row>
    <row r="61818" spans="119:119" x14ac:dyDescent="0.2">
      <c r="DO61818" s="303" t="s">
        <v>232</v>
      </c>
    </row>
    <row r="61819" spans="119:119" x14ac:dyDescent="0.2">
      <c r="DO61819" s="303" t="s">
        <v>232</v>
      </c>
    </row>
    <row r="61820" spans="119:119" x14ac:dyDescent="0.2">
      <c r="DO61820" s="303" t="s">
        <v>232</v>
      </c>
    </row>
    <row r="61821" spans="119:119" x14ac:dyDescent="0.2">
      <c r="DO61821" s="303" t="s">
        <v>232</v>
      </c>
    </row>
    <row r="61822" spans="119:119" x14ac:dyDescent="0.2">
      <c r="DO61822" s="303" t="s">
        <v>232</v>
      </c>
    </row>
    <row r="61823" spans="119:119" x14ac:dyDescent="0.2">
      <c r="DO61823" s="303" t="s">
        <v>232</v>
      </c>
    </row>
    <row r="61824" spans="119:119" x14ac:dyDescent="0.2">
      <c r="DO61824" s="303" t="s">
        <v>232</v>
      </c>
    </row>
    <row r="61825" spans="119:119" x14ac:dyDescent="0.2">
      <c r="DO61825" s="303" t="s">
        <v>232</v>
      </c>
    </row>
    <row r="61826" spans="119:119" x14ac:dyDescent="0.2">
      <c r="DO61826" s="303" t="s">
        <v>232</v>
      </c>
    </row>
    <row r="61827" spans="119:119" x14ac:dyDescent="0.2">
      <c r="DO61827" s="303" t="s">
        <v>232</v>
      </c>
    </row>
    <row r="61828" spans="119:119" x14ac:dyDescent="0.2">
      <c r="DO61828" s="303" t="s">
        <v>232</v>
      </c>
    </row>
    <row r="61829" spans="119:119" x14ac:dyDescent="0.2">
      <c r="DO61829" s="303" t="s">
        <v>232</v>
      </c>
    </row>
    <row r="61830" spans="119:119" x14ac:dyDescent="0.2">
      <c r="DO61830" s="303" t="s">
        <v>232</v>
      </c>
    </row>
    <row r="61831" spans="119:119" x14ac:dyDescent="0.2">
      <c r="DO61831" s="303" t="s">
        <v>232</v>
      </c>
    </row>
    <row r="61832" spans="119:119" x14ac:dyDescent="0.2">
      <c r="DO61832" s="303" t="s">
        <v>232</v>
      </c>
    </row>
    <row r="61833" spans="119:119" x14ac:dyDescent="0.2">
      <c r="DO61833" s="303" t="s">
        <v>232</v>
      </c>
    </row>
    <row r="61834" spans="119:119" x14ac:dyDescent="0.2">
      <c r="DO61834" s="303" t="s">
        <v>232</v>
      </c>
    </row>
    <row r="61835" spans="119:119" x14ac:dyDescent="0.2">
      <c r="DO61835" s="303" t="s">
        <v>232</v>
      </c>
    </row>
    <row r="61836" spans="119:119" x14ac:dyDescent="0.2">
      <c r="DO61836" s="303" t="s">
        <v>232</v>
      </c>
    </row>
    <row r="61837" spans="119:119" x14ac:dyDescent="0.2">
      <c r="DO61837" s="303" t="s">
        <v>232</v>
      </c>
    </row>
    <row r="61838" spans="119:119" x14ac:dyDescent="0.2">
      <c r="DO61838" s="303" t="s">
        <v>232</v>
      </c>
    </row>
    <row r="61839" spans="119:119" x14ac:dyDescent="0.2">
      <c r="DO61839" s="303" t="s">
        <v>232</v>
      </c>
    </row>
    <row r="61840" spans="119:119" x14ac:dyDescent="0.2">
      <c r="DO61840" s="303" t="s">
        <v>232</v>
      </c>
    </row>
    <row r="61841" spans="119:119" x14ac:dyDescent="0.2">
      <c r="DO61841" s="303" t="s">
        <v>232</v>
      </c>
    </row>
    <row r="61842" spans="119:119" x14ac:dyDescent="0.2">
      <c r="DO61842" s="303" t="s">
        <v>232</v>
      </c>
    </row>
    <row r="61843" spans="119:119" x14ac:dyDescent="0.2">
      <c r="DO61843" s="303" t="s">
        <v>232</v>
      </c>
    </row>
    <row r="61844" spans="119:119" x14ac:dyDescent="0.2">
      <c r="DO61844" s="303" t="s">
        <v>232</v>
      </c>
    </row>
    <row r="61845" spans="119:119" x14ac:dyDescent="0.2">
      <c r="DO61845" s="303" t="s">
        <v>232</v>
      </c>
    </row>
    <row r="61846" spans="119:119" x14ac:dyDescent="0.2">
      <c r="DO61846" s="303" t="s">
        <v>232</v>
      </c>
    </row>
    <row r="61847" spans="119:119" x14ac:dyDescent="0.2">
      <c r="DO61847" s="303" t="s">
        <v>232</v>
      </c>
    </row>
    <row r="61848" spans="119:119" x14ac:dyDescent="0.2">
      <c r="DO61848" s="303" t="s">
        <v>232</v>
      </c>
    </row>
    <row r="61849" spans="119:119" x14ac:dyDescent="0.2">
      <c r="DO61849" s="303" t="s">
        <v>232</v>
      </c>
    </row>
    <row r="61850" spans="119:119" x14ac:dyDescent="0.2">
      <c r="DO61850" s="303" t="s">
        <v>232</v>
      </c>
    </row>
    <row r="61851" spans="119:119" x14ac:dyDescent="0.2">
      <c r="DO61851" s="303" t="s">
        <v>232</v>
      </c>
    </row>
    <row r="61852" spans="119:119" x14ac:dyDescent="0.2">
      <c r="DO61852" s="303" t="s">
        <v>232</v>
      </c>
    </row>
    <row r="61853" spans="119:119" x14ac:dyDescent="0.2">
      <c r="DO61853" s="303" t="s">
        <v>232</v>
      </c>
    </row>
    <row r="61854" spans="119:119" x14ac:dyDescent="0.2">
      <c r="DO61854" s="303" t="s">
        <v>232</v>
      </c>
    </row>
    <row r="61855" spans="119:119" x14ac:dyDescent="0.2">
      <c r="DO61855" s="303" t="s">
        <v>232</v>
      </c>
    </row>
    <row r="61856" spans="119:119" x14ac:dyDescent="0.2">
      <c r="DO61856" s="303" t="s">
        <v>232</v>
      </c>
    </row>
    <row r="61857" spans="119:119" x14ac:dyDescent="0.2">
      <c r="DO61857" s="303" t="s">
        <v>232</v>
      </c>
    </row>
    <row r="61858" spans="119:119" x14ac:dyDescent="0.2">
      <c r="DO61858" s="303" t="s">
        <v>232</v>
      </c>
    </row>
    <row r="61859" spans="119:119" x14ac:dyDescent="0.2">
      <c r="DO61859" s="303" t="s">
        <v>232</v>
      </c>
    </row>
    <row r="61860" spans="119:119" x14ac:dyDescent="0.2">
      <c r="DO61860" s="303" t="s">
        <v>232</v>
      </c>
    </row>
    <row r="61861" spans="119:119" x14ac:dyDescent="0.2">
      <c r="DO61861" s="303" t="s">
        <v>232</v>
      </c>
    </row>
    <row r="61862" spans="119:119" x14ac:dyDescent="0.2">
      <c r="DO61862" s="303" t="s">
        <v>232</v>
      </c>
    </row>
    <row r="61863" spans="119:119" x14ac:dyDescent="0.2">
      <c r="DO61863" s="303" t="s">
        <v>232</v>
      </c>
    </row>
    <row r="61864" spans="119:119" x14ac:dyDescent="0.2">
      <c r="DO61864" s="303" t="s">
        <v>232</v>
      </c>
    </row>
    <row r="61865" spans="119:119" x14ac:dyDescent="0.2">
      <c r="DO61865" s="303" t="s">
        <v>232</v>
      </c>
    </row>
    <row r="61866" spans="119:119" x14ac:dyDescent="0.2">
      <c r="DO61866" s="303" t="s">
        <v>232</v>
      </c>
    </row>
    <row r="61867" spans="119:119" x14ac:dyDescent="0.2">
      <c r="DO61867" s="303" t="s">
        <v>232</v>
      </c>
    </row>
    <row r="61868" spans="119:119" x14ac:dyDescent="0.2">
      <c r="DO61868" s="303" t="s">
        <v>232</v>
      </c>
    </row>
    <row r="61869" spans="119:119" x14ac:dyDescent="0.2">
      <c r="DO61869" s="303" t="s">
        <v>232</v>
      </c>
    </row>
    <row r="61870" spans="119:119" x14ac:dyDescent="0.2">
      <c r="DO61870" s="303" t="s">
        <v>232</v>
      </c>
    </row>
    <row r="61871" spans="119:119" x14ac:dyDescent="0.2">
      <c r="DO61871" s="303" t="s">
        <v>232</v>
      </c>
    </row>
    <row r="61872" spans="119:119" x14ac:dyDescent="0.2">
      <c r="DO61872" s="303" t="s">
        <v>232</v>
      </c>
    </row>
    <row r="61873" spans="119:119" x14ac:dyDescent="0.2">
      <c r="DO61873" s="303" t="s">
        <v>232</v>
      </c>
    </row>
    <row r="61874" spans="119:119" x14ac:dyDescent="0.2">
      <c r="DO61874" s="303" t="s">
        <v>232</v>
      </c>
    </row>
    <row r="61875" spans="119:119" x14ac:dyDescent="0.2">
      <c r="DO61875" s="303" t="s">
        <v>232</v>
      </c>
    </row>
    <row r="61876" spans="119:119" x14ac:dyDescent="0.2">
      <c r="DO61876" s="303" t="s">
        <v>232</v>
      </c>
    </row>
    <row r="61877" spans="119:119" x14ac:dyDescent="0.2">
      <c r="DO61877" s="303" t="s">
        <v>232</v>
      </c>
    </row>
    <row r="61878" spans="119:119" x14ac:dyDescent="0.2">
      <c r="DO61878" s="303" t="s">
        <v>232</v>
      </c>
    </row>
    <row r="61879" spans="119:119" x14ac:dyDescent="0.2">
      <c r="DO61879" s="303" t="s">
        <v>232</v>
      </c>
    </row>
    <row r="61880" spans="119:119" x14ac:dyDescent="0.2">
      <c r="DO61880" s="303" t="s">
        <v>232</v>
      </c>
    </row>
    <row r="61881" spans="119:119" x14ac:dyDescent="0.2">
      <c r="DO61881" s="303" t="s">
        <v>232</v>
      </c>
    </row>
    <row r="61882" spans="119:119" x14ac:dyDescent="0.2">
      <c r="DO61882" s="303" t="s">
        <v>232</v>
      </c>
    </row>
    <row r="61883" spans="119:119" x14ac:dyDescent="0.2">
      <c r="DO61883" s="303" t="s">
        <v>232</v>
      </c>
    </row>
    <row r="61884" spans="119:119" x14ac:dyDescent="0.2">
      <c r="DO61884" s="303" t="s">
        <v>232</v>
      </c>
    </row>
    <row r="61885" spans="119:119" x14ac:dyDescent="0.2">
      <c r="DO61885" s="303" t="s">
        <v>232</v>
      </c>
    </row>
    <row r="61886" spans="119:119" x14ac:dyDescent="0.2">
      <c r="DO61886" s="303" t="s">
        <v>232</v>
      </c>
    </row>
    <row r="61887" spans="119:119" x14ac:dyDescent="0.2">
      <c r="DO61887" s="303" t="s">
        <v>232</v>
      </c>
    </row>
    <row r="61888" spans="119:119" x14ac:dyDescent="0.2">
      <c r="DO61888" s="303" t="s">
        <v>232</v>
      </c>
    </row>
    <row r="61889" spans="119:119" x14ac:dyDescent="0.2">
      <c r="DO61889" s="303" t="s">
        <v>232</v>
      </c>
    </row>
    <row r="61890" spans="119:119" x14ac:dyDescent="0.2">
      <c r="DO61890" s="303" t="s">
        <v>232</v>
      </c>
    </row>
    <row r="61891" spans="119:119" x14ac:dyDescent="0.2">
      <c r="DO61891" s="303" t="s">
        <v>232</v>
      </c>
    </row>
    <row r="61892" spans="119:119" x14ac:dyDescent="0.2">
      <c r="DO61892" s="303" t="s">
        <v>232</v>
      </c>
    </row>
    <row r="61893" spans="119:119" x14ac:dyDescent="0.2">
      <c r="DO61893" s="303" t="s">
        <v>232</v>
      </c>
    </row>
    <row r="61894" spans="119:119" x14ac:dyDescent="0.2">
      <c r="DO61894" s="303" t="s">
        <v>232</v>
      </c>
    </row>
    <row r="61895" spans="119:119" x14ac:dyDescent="0.2">
      <c r="DO61895" s="303" t="s">
        <v>232</v>
      </c>
    </row>
    <row r="61896" spans="119:119" x14ac:dyDescent="0.2">
      <c r="DO61896" s="303" t="s">
        <v>232</v>
      </c>
    </row>
    <row r="61897" spans="119:119" x14ac:dyDescent="0.2">
      <c r="DO61897" s="303" t="s">
        <v>232</v>
      </c>
    </row>
    <row r="61898" spans="119:119" x14ac:dyDescent="0.2">
      <c r="DO61898" s="303" t="s">
        <v>232</v>
      </c>
    </row>
    <row r="61899" spans="119:119" x14ac:dyDescent="0.2">
      <c r="DO61899" s="303" t="s">
        <v>232</v>
      </c>
    </row>
    <row r="61900" spans="119:119" x14ac:dyDescent="0.2">
      <c r="DO61900" s="303" t="s">
        <v>232</v>
      </c>
    </row>
    <row r="61901" spans="119:119" x14ac:dyDescent="0.2">
      <c r="DO61901" s="303" t="s">
        <v>232</v>
      </c>
    </row>
    <row r="61902" spans="119:119" x14ac:dyDescent="0.2">
      <c r="DO61902" s="303" t="s">
        <v>232</v>
      </c>
    </row>
    <row r="61903" spans="119:119" x14ac:dyDescent="0.2">
      <c r="DO61903" s="303" t="s">
        <v>232</v>
      </c>
    </row>
    <row r="61904" spans="119:119" x14ac:dyDescent="0.2">
      <c r="DO61904" s="303" t="s">
        <v>232</v>
      </c>
    </row>
    <row r="61905" spans="119:119" x14ac:dyDescent="0.2">
      <c r="DO61905" s="303" t="s">
        <v>232</v>
      </c>
    </row>
    <row r="61906" spans="119:119" x14ac:dyDescent="0.2">
      <c r="DO61906" s="303" t="s">
        <v>232</v>
      </c>
    </row>
    <row r="61907" spans="119:119" x14ac:dyDescent="0.2">
      <c r="DO61907" s="303" t="s">
        <v>232</v>
      </c>
    </row>
    <row r="61908" spans="119:119" x14ac:dyDescent="0.2">
      <c r="DO61908" s="303" t="s">
        <v>232</v>
      </c>
    </row>
    <row r="61909" spans="119:119" x14ac:dyDescent="0.2">
      <c r="DO61909" s="303" t="s">
        <v>232</v>
      </c>
    </row>
    <row r="61910" spans="119:119" x14ac:dyDescent="0.2">
      <c r="DO61910" s="303" t="s">
        <v>232</v>
      </c>
    </row>
    <row r="61911" spans="119:119" x14ac:dyDescent="0.2">
      <c r="DO61911" s="303" t="s">
        <v>232</v>
      </c>
    </row>
    <row r="61912" spans="119:119" x14ac:dyDescent="0.2">
      <c r="DO61912" s="303" t="s">
        <v>232</v>
      </c>
    </row>
    <row r="61913" spans="119:119" x14ac:dyDescent="0.2">
      <c r="DO61913" s="303" t="s">
        <v>232</v>
      </c>
    </row>
    <row r="61914" spans="119:119" x14ac:dyDescent="0.2">
      <c r="DO61914" s="303" t="s">
        <v>232</v>
      </c>
    </row>
    <row r="61915" spans="119:119" x14ac:dyDescent="0.2">
      <c r="DO61915" s="303" t="s">
        <v>232</v>
      </c>
    </row>
    <row r="61916" spans="119:119" x14ac:dyDescent="0.2">
      <c r="DO61916" s="303" t="s">
        <v>232</v>
      </c>
    </row>
    <row r="61917" spans="119:119" x14ac:dyDescent="0.2">
      <c r="DO61917" s="303" t="s">
        <v>232</v>
      </c>
    </row>
    <row r="61918" spans="119:119" x14ac:dyDescent="0.2">
      <c r="DO61918" s="303" t="s">
        <v>232</v>
      </c>
    </row>
    <row r="61919" spans="119:119" x14ac:dyDescent="0.2">
      <c r="DO61919" s="303" t="s">
        <v>232</v>
      </c>
    </row>
    <row r="61920" spans="119:119" x14ac:dyDescent="0.2">
      <c r="DO61920" s="303" t="s">
        <v>232</v>
      </c>
    </row>
    <row r="61921" spans="119:119" x14ac:dyDescent="0.2">
      <c r="DO61921" s="303" t="s">
        <v>232</v>
      </c>
    </row>
    <row r="61922" spans="119:119" x14ac:dyDescent="0.2">
      <c r="DO61922" s="303" t="s">
        <v>232</v>
      </c>
    </row>
    <row r="61923" spans="119:119" x14ac:dyDescent="0.2">
      <c r="DO61923" s="303" t="s">
        <v>232</v>
      </c>
    </row>
    <row r="61924" spans="119:119" x14ac:dyDescent="0.2">
      <c r="DO61924" s="303" t="s">
        <v>232</v>
      </c>
    </row>
    <row r="61925" spans="119:119" x14ac:dyDescent="0.2">
      <c r="DO61925" s="303" t="s">
        <v>232</v>
      </c>
    </row>
    <row r="61926" spans="119:119" x14ac:dyDescent="0.2">
      <c r="DO61926" s="303" t="s">
        <v>232</v>
      </c>
    </row>
    <row r="61927" spans="119:119" x14ac:dyDescent="0.2">
      <c r="DO61927" s="303" t="s">
        <v>232</v>
      </c>
    </row>
    <row r="61928" spans="119:119" x14ac:dyDescent="0.2">
      <c r="DO61928" s="303" t="s">
        <v>232</v>
      </c>
    </row>
    <row r="61929" spans="119:119" x14ac:dyDescent="0.2">
      <c r="DO61929" s="303" t="s">
        <v>232</v>
      </c>
    </row>
    <row r="61930" spans="119:119" x14ac:dyDescent="0.2">
      <c r="DO61930" s="303" t="s">
        <v>232</v>
      </c>
    </row>
    <row r="61931" spans="119:119" x14ac:dyDescent="0.2">
      <c r="DO61931" s="303" t="s">
        <v>232</v>
      </c>
    </row>
    <row r="61932" spans="119:119" x14ac:dyDescent="0.2">
      <c r="DO61932" s="303" t="s">
        <v>232</v>
      </c>
    </row>
    <row r="61933" spans="119:119" x14ac:dyDescent="0.2">
      <c r="DO61933" s="303" t="s">
        <v>232</v>
      </c>
    </row>
    <row r="61934" spans="119:119" x14ac:dyDescent="0.2">
      <c r="DO61934" s="303" t="s">
        <v>232</v>
      </c>
    </row>
    <row r="61935" spans="119:119" x14ac:dyDescent="0.2">
      <c r="DO61935" s="303" t="s">
        <v>232</v>
      </c>
    </row>
    <row r="61936" spans="119:119" x14ac:dyDescent="0.2">
      <c r="DO61936" s="303" t="s">
        <v>232</v>
      </c>
    </row>
    <row r="61937" spans="119:119" x14ac:dyDescent="0.2">
      <c r="DO61937" s="303" t="s">
        <v>232</v>
      </c>
    </row>
    <row r="61938" spans="119:119" x14ac:dyDescent="0.2">
      <c r="DO61938" s="303" t="s">
        <v>232</v>
      </c>
    </row>
    <row r="61939" spans="119:119" x14ac:dyDescent="0.2">
      <c r="DO61939" s="303" t="s">
        <v>232</v>
      </c>
    </row>
    <row r="61940" spans="119:119" x14ac:dyDescent="0.2">
      <c r="DO61940" s="303" t="s">
        <v>232</v>
      </c>
    </row>
    <row r="61941" spans="119:119" x14ac:dyDescent="0.2">
      <c r="DO61941" s="303" t="s">
        <v>232</v>
      </c>
    </row>
    <row r="61942" spans="119:119" x14ac:dyDescent="0.2">
      <c r="DO61942" s="303" t="s">
        <v>232</v>
      </c>
    </row>
    <row r="61943" spans="119:119" x14ac:dyDescent="0.2">
      <c r="DO61943" s="303" t="s">
        <v>232</v>
      </c>
    </row>
    <row r="61944" spans="119:119" x14ac:dyDescent="0.2">
      <c r="DO61944" s="303" t="s">
        <v>232</v>
      </c>
    </row>
    <row r="61945" spans="119:119" x14ac:dyDescent="0.2">
      <c r="DO61945" s="303" t="s">
        <v>232</v>
      </c>
    </row>
    <row r="61946" spans="119:119" x14ac:dyDescent="0.2">
      <c r="DO61946" s="303" t="s">
        <v>232</v>
      </c>
    </row>
    <row r="61947" spans="119:119" x14ac:dyDescent="0.2">
      <c r="DO61947" s="303" t="s">
        <v>232</v>
      </c>
    </row>
    <row r="61948" spans="119:119" x14ac:dyDescent="0.2">
      <c r="DO61948" s="303" t="s">
        <v>232</v>
      </c>
    </row>
    <row r="61949" spans="119:119" x14ac:dyDescent="0.2">
      <c r="DO61949" s="303" t="s">
        <v>232</v>
      </c>
    </row>
    <row r="61950" spans="119:119" x14ac:dyDescent="0.2">
      <c r="DO61950" s="303" t="s">
        <v>232</v>
      </c>
    </row>
    <row r="61951" spans="119:119" x14ac:dyDescent="0.2">
      <c r="DO61951" s="303" t="s">
        <v>232</v>
      </c>
    </row>
    <row r="61952" spans="119:119" x14ac:dyDescent="0.2">
      <c r="DO61952" s="303" t="s">
        <v>232</v>
      </c>
    </row>
    <row r="61953" spans="119:119" x14ac:dyDescent="0.2">
      <c r="DO61953" s="303" t="s">
        <v>232</v>
      </c>
    </row>
    <row r="61954" spans="119:119" x14ac:dyDescent="0.2">
      <c r="DO61954" s="303" t="s">
        <v>232</v>
      </c>
    </row>
    <row r="61955" spans="119:119" x14ac:dyDescent="0.2">
      <c r="DO61955" s="303" t="s">
        <v>232</v>
      </c>
    </row>
    <row r="61956" spans="119:119" x14ac:dyDescent="0.2">
      <c r="DO61956" s="303" t="s">
        <v>232</v>
      </c>
    </row>
    <row r="61957" spans="119:119" x14ac:dyDescent="0.2">
      <c r="DO61957" s="303" t="s">
        <v>232</v>
      </c>
    </row>
    <row r="61958" spans="119:119" x14ac:dyDescent="0.2">
      <c r="DO61958" s="303" t="s">
        <v>232</v>
      </c>
    </row>
    <row r="61959" spans="119:119" x14ac:dyDescent="0.2">
      <c r="DO61959" s="303" t="s">
        <v>232</v>
      </c>
    </row>
    <row r="61960" spans="119:119" x14ac:dyDescent="0.2">
      <c r="DO61960" s="303" t="s">
        <v>232</v>
      </c>
    </row>
    <row r="61961" spans="119:119" x14ac:dyDescent="0.2">
      <c r="DO61961" s="303" t="s">
        <v>232</v>
      </c>
    </row>
    <row r="61962" spans="119:119" x14ac:dyDescent="0.2">
      <c r="DO61962" s="303" t="s">
        <v>232</v>
      </c>
    </row>
    <row r="61963" spans="119:119" x14ac:dyDescent="0.2">
      <c r="DO61963" s="303" t="s">
        <v>232</v>
      </c>
    </row>
    <row r="61964" spans="119:119" x14ac:dyDescent="0.2">
      <c r="DO61964" s="303" t="s">
        <v>232</v>
      </c>
    </row>
    <row r="61965" spans="119:119" x14ac:dyDescent="0.2">
      <c r="DO61965" s="303" t="s">
        <v>232</v>
      </c>
    </row>
    <row r="61966" spans="119:119" x14ac:dyDescent="0.2">
      <c r="DO61966" s="303" t="s">
        <v>232</v>
      </c>
    </row>
    <row r="61967" spans="119:119" x14ac:dyDescent="0.2">
      <c r="DO61967" s="303" t="s">
        <v>232</v>
      </c>
    </row>
    <row r="61968" spans="119:119" x14ac:dyDescent="0.2">
      <c r="DO61968" s="303" t="s">
        <v>232</v>
      </c>
    </row>
    <row r="61969" spans="119:119" x14ac:dyDescent="0.2">
      <c r="DO61969" s="303" t="s">
        <v>232</v>
      </c>
    </row>
    <row r="61970" spans="119:119" x14ac:dyDescent="0.2">
      <c r="DO61970" s="303" t="s">
        <v>232</v>
      </c>
    </row>
    <row r="61971" spans="119:119" x14ac:dyDescent="0.2">
      <c r="DO61971" s="303" t="s">
        <v>232</v>
      </c>
    </row>
    <row r="61972" spans="119:119" x14ac:dyDescent="0.2">
      <c r="DO61972" s="303" t="s">
        <v>232</v>
      </c>
    </row>
    <row r="61973" spans="119:119" x14ac:dyDescent="0.2">
      <c r="DO61973" s="303" t="s">
        <v>232</v>
      </c>
    </row>
    <row r="61974" spans="119:119" x14ac:dyDescent="0.2">
      <c r="DO61974" s="303" t="s">
        <v>232</v>
      </c>
    </row>
    <row r="61975" spans="119:119" x14ac:dyDescent="0.2">
      <c r="DO61975" s="303" t="s">
        <v>232</v>
      </c>
    </row>
    <row r="61976" spans="119:119" x14ac:dyDescent="0.2">
      <c r="DO61976" s="303" t="s">
        <v>232</v>
      </c>
    </row>
    <row r="61977" spans="119:119" x14ac:dyDescent="0.2">
      <c r="DO61977" s="303" t="s">
        <v>232</v>
      </c>
    </row>
    <row r="61978" spans="119:119" x14ac:dyDescent="0.2">
      <c r="DO61978" s="303" t="s">
        <v>232</v>
      </c>
    </row>
    <row r="61979" spans="119:119" x14ac:dyDescent="0.2">
      <c r="DO61979" s="303" t="s">
        <v>232</v>
      </c>
    </row>
    <row r="61980" spans="119:119" x14ac:dyDescent="0.2">
      <c r="DO61980" s="303" t="s">
        <v>232</v>
      </c>
    </row>
    <row r="61981" spans="119:119" x14ac:dyDescent="0.2">
      <c r="DO61981" s="303" t="s">
        <v>232</v>
      </c>
    </row>
    <row r="61982" spans="119:119" x14ac:dyDescent="0.2">
      <c r="DO61982" s="303" t="s">
        <v>232</v>
      </c>
    </row>
    <row r="61983" spans="119:119" x14ac:dyDescent="0.2">
      <c r="DO61983" s="303" t="s">
        <v>232</v>
      </c>
    </row>
    <row r="61984" spans="119:119" x14ac:dyDescent="0.2">
      <c r="DO61984" s="303" t="s">
        <v>232</v>
      </c>
    </row>
    <row r="61985" spans="119:119" x14ac:dyDescent="0.2">
      <c r="DO61985" s="303" t="s">
        <v>232</v>
      </c>
    </row>
    <row r="61986" spans="119:119" x14ac:dyDescent="0.2">
      <c r="DO61986" s="303" t="s">
        <v>232</v>
      </c>
    </row>
    <row r="61987" spans="119:119" x14ac:dyDescent="0.2">
      <c r="DO61987" s="303" t="s">
        <v>232</v>
      </c>
    </row>
    <row r="61988" spans="119:119" x14ac:dyDescent="0.2">
      <c r="DO61988" s="303" t="s">
        <v>232</v>
      </c>
    </row>
    <row r="61989" spans="119:119" x14ac:dyDescent="0.2">
      <c r="DO61989" s="303" t="s">
        <v>232</v>
      </c>
    </row>
    <row r="61990" spans="119:119" x14ac:dyDescent="0.2">
      <c r="DO61990" s="303" t="s">
        <v>232</v>
      </c>
    </row>
    <row r="61991" spans="119:119" x14ac:dyDescent="0.2">
      <c r="DO61991" s="303" t="s">
        <v>232</v>
      </c>
    </row>
    <row r="61992" spans="119:119" x14ac:dyDescent="0.2">
      <c r="DO61992" s="303" t="s">
        <v>232</v>
      </c>
    </row>
    <row r="61993" spans="119:119" x14ac:dyDescent="0.2">
      <c r="DO61993" s="303" t="s">
        <v>232</v>
      </c>
    </row>
    <row r="61994" spans="119:119" x14ac:dyDescent="0.2">
      <c r="DO61994" s="303" t="s">
        <v>232</v>
      </c>
    </row>
    <row r="61995" spans="119:119" x14ac:dyDescent="0.2">
      <c r="DO61995" s="303" t="s">
        <v>232</v>
      </c>
    </row>
    <row r="61996" spans="119:119" x14ac:dyDescent="0.2">
      <c r="DO61996" s="303" t="s">
        <v>232</v>
      </c>
    </row>
    <row r="61997" spans="119:119" x14ac:dyDescent="0.2">
      <c r="DO61997" s="303" t="s">
        <v>232</v>
      </c>
    </row>
    <row r="61998" spans="119:119" x14ac:dyDescent="0.2">
      <c r="DO61998" s="303" t="s">
        <v>232</v>
      </c>
    </row>
    <row r="61999" spans="119:119" x14ac:dyDescent="0.2">
      <c r="DO61999" s="303" t="s">
        <v>232</v>
      </c>
    </row>
    <row r="62000" spans="119:119" x14ac:dyDescent="0.2">
      <c r="DO62000" s="303" t="s">
        <v>232</v>
      </c>
    </row>
    <row r="62001" spans="119:119" x14ac:dyDescent="0.2">
      <c r="DO62001" s="303" t="s">
        <v>232</v>
      </c>
    </row>
    <row r="62002" spans="119:119" x14ac:dyDescent="0.2">
      <c r="DO62002" s="303" t="s">
        <v>232</v>
      </c>
    </row>
    <row r="62003" spans="119:119" x14ac:dyDescent="0.2">
      <c r="DO62003" s="303" t="s">
        <v>232</v>
      </c>
    </row>
    <row r="62004" spans="119:119" x14ac:dyDescent="0.2">
      <c r="DO62004" s="303" t="s">
        <v>232</v>
      </c>
    </row>
    <row r="62005" spans="119:119" x14ac:dyDescent="0.2">
      <c r="DO62005" s="303" t="s">
        <v>232</v>
      </c>
    </row>
    <row r="62006" spans="119:119" x14ac:dyDescent="0.2">
      <c r="DO62006" s="303" t="s">
        <v>232</v>
      </c>
    </row>
    <row r="62007" spans="119:119" x14ac:dyDescent="0.2">
      <c r="DO62007" s="303" t="s">
        <v>232</v>
      </c>
    </row>
    <row r="62008" spans="119:119" x14ac:dyDescent="0.2">
      <c r="DO62008" s="303" t="s">
        <v>232</v>
      </c>
    </row>
    <row r="62009" spans="119:119" x14ac:dyDescent="0.2">
      <c r="DO62009" s="303" t="s">
        <v>232</v>
      </c>
    </row>
    <row r="62010" spans="119:119" x14ac:dyDescent="0.2">
      <c r="DO62010" s="303" t="s">
        <v>232</v>
      </c>
    </row>
    <row r="62011" spans="119:119" x14ac:dyDescent="0.2">
      <c r="DO62011" s="303" t="s">
        <v>232</v>
      </c>
    </row>
    <row r="62012" spans="119:119" x14ac:dyDescent="0.2">
      <c r="DO62012" s="303" t="s">
        <v>232</v>
      </c>
    </row>
    <row r="62013" spans="119:119" x14ac:dyDescent="0.2">
      <c r="DO62013" s="303" t="s">
        <v>232</v>
      </c>
    </row>
    <row r="62014" spans="119:119" x14ac:dyDescent="0.2">
      <c r="DO62014" s="303" t="s">
        <v>232</v>
      </c>
    </row>
    <row r="62015" spans="119:119" x14ac:dyDescent="0.2">
      <c r="DO62015" s="303" t="s">
        <v>232</v>
      </c>
    </row>
    <row r="62016" spans="119:119" x14ac:dyDescent="0.2">
      <c r="DO62016" s="303" t="s">
        <v>232</v>
      </c>
    </row>
    <row r="62017" spans="119:119" x14ac:dyDescent="0.2">
      <c r="DO62017" s="303" t="s">
        <v>232</v>
      </c>
    </row>
    <row r="62018" spans="119:119" x14ac:dyDescent="0.2">
      <c r="DO62018" s="303" t="s">
        <v>232</v>
      </c>
    </row>
    <row r="62019" spans="119:119" x14ac:dyDescent="0.2">
      <c r="DO62019" s="303" t="s">
        <v>232</v>
      </c>
    </row>
    <row r="62020" spans="119:119" x14ac:dyDescent="0.2">
      <c r="DO62020" s="303" t="s">
        <v>232</v>
      </c>
    </row>
    <row r="62021" spans="119:119" x14ac:dyDescent="0.2">
      <c r="DO62021" s="303" t="s">
        <v>232</v>
      </c>
    </row>
    <row r="62022" spans="119:119" x14ac:dyDescent="0.2">
      <c r="DO62022" s="303" t="s">
        <v>232</v>
      </c>
    </row>
    <row r="62023" spans="119:119" x14ac:dyDescent="0.2">
      <c r="DO62023" s="303" t="s">
        <v>232</v>
      </c>
    </row>
    <row r="62024" spans="119:119" x14ac:dyDescent="0.2">
      <c r="DO62024" s="303" t="s">
        <v>232</v>
      </c>
    </row>
    <row r="62025" spans="119:119" x14ac:dyDescent="0.2">
      <c r="DO62025" s="303" t="s">
        <v>232</v>
      </c>
    </row>
    <row r="62026" spans="119:119" x14ac:dyDescent="0.2">
      <c r="DO62026" s="303" t="s">
        <v>232</v>
      </c>
    </row>
    <row r="62027" spans="119:119" x14ac:dyDescent="0.2">
      <c r="DO62027" s="303" t="s">
        <v>232</v>
      </c>
    </row>
    <row r="62028" spans="119:119" x14ac:dyDescent="0.2">
      <c r="DO62028" s="303" t="s">
        <v>232</v>
      </c>
    </row>
    <row r="62029" spans="119:119" x14ac:dyDescent="0.2">
      <c r="DO62029" s="303" t="s">
        <v>232</v>
      </c>
    </row>
    <row r="62030" spans="119:119" x14ac:dyDescent="0.2">
      <c r="DO62030" s="303" t="s">
        <v>232</v>
      </c>
    </row>
    <row r="62031" spans="119:119" x14ac:dyDescent="0.2">
      <c r="DO62031" s="303" t="s">
        <v>232</v>
      </c>
    </row>
    <row r="62032" spans="119:119" x14ac:dyDescent="0.2">
      <c r="DO62032" s="303" t="s">
        <v>232</v>
      </c>
    </row>
    <row r="62033" spans="119:119" x14ac:dyDescent="0.2">
      <c r="DO62033" s="303" t="s">
        <v>232</v>
      </c>
    </row>
    <row r="62034" spans="119:119" x14ac:dyDescent="0.2">
      <c r="DO62034" s="303" t="s">
        <v>232</v>
      </c>
    </row>
    <row r="62035" spans="119:119" x14ac:dyDescent="0.2">
      <c r="DO62035" s="303" t="s">
        <v>232</v>
      </c>
    </row>
    <row r="62036" spans="119:119" x14ac:dyDescent="0.2">
      <c r="DO62036" s="303" t="s">
        <v>232</v>
      </c>
    </row>
    <row r="62037" spans="119:119" x14ac:dyDescent="0.2">
      <c r="DO62037" s="303" t="s">
        <v>232</v>
      </c>
    </row>
    <row r="62038" spans="119:119" x14ac:dyDescent="0.2">
      <c r="DO62038" s="303" t="s">
        <v>232</v>
      </c>
    </row>
    <row r="62039" spans="119:119" x14ac:dyDescent="0.2">
      <c r="DO62039" s="303" t="s">
        <v>232</v>
      </c>
    </row>
    <row r="62040" spans="119:119" x14ac:dyDescent="0.2">
      <c r="DO62040" s="303" t="s">
        <v>232</v>
      </c>
    </row>
    <row r="62041" spans="119:119" x14ac:dyDescent="0.2">
      <c r="DO62041" s="303" t="s">
        <v>232</v>
      </c>
    </row>
    <row r="62042" spans="119:119" x14ac:dyDescent="0.2">
      <c r="DO62042" s="303" t="s">
        <v>232</v>
      </c>
    </row>
    <row r="62043" spans="119:119" x14ac:dyDescent="0.2">
      <c r="DO62043" s="303" t="s">
        <v>232</v>
      </c>
    </row>
    <row r="62044" spans="119:119" x14ac:dyDescent="0.2">
      <c r="DO62044" s="303" t="s">
        <v>232</v>
      </c>
    </row>
    <row r="62045" spans="119:119" x14ac:dyDescent="0.2">
      <c r="DO62045" s="303" t="s">
        <v>232</v>
      </c>
    </row>
    <row r="62046" spans="119:119" x14ac:dyDescent="0.2">
      <c r="DO62046" s="303" t="s">
        <v>232</v>
      </c>
    </row>
    <row r="62047" spans="119:119" x14ac:dyDescent="0.2">
      <c r="DO62047" s="303" t="s">
        <v>232</v>
      </c>
    </row>
    <row r="62048" spans="119:119" x14ac:dyDescent="0.2">
      <c r="DO62048" s="303" t="s">
        <v>232</v>
      </c>
    </row>
    <row r="62049" spans="119:119" x14ac:dyDescent="0.2">
      <c r="DO62049" s="303" t="s">
        <v>232</v>
      </c>
    </row>
    <row r="62050" spans="119:119" x14ac:dyDescent="0.2">
      <c r="DO62050" s="303" t="s">
        <v>232</v>
      </c>
    </row>
    <row r="62051" spans="119:119" x14ac:dyDescent="0.2">
      <c r="DO62051" s="303" t="s">
        <v>232</v>
      </c>
    </row>
    <row r="62052" spans="119:119" x14ac:dyDescent="0.2">
      <c r="DO62052" s="303" t="s">
        <v>232</v>
      </c>
    </row>
    <row r="62053" spans="119:119" x14ac:dyDescent="0.2">
      <c r="DO62053" s="303" t="s">
        <v>232</v>
      </c>
    </row>
    <row r="62054" spans="119:119" x14ac:dyDescent="0.2">
      <c r="DO62054" s="303" t="s">
        <v>232</v>
      </c>
    </row>
    <row r="62055" spans="119:119" x14ac:dyDescent="0.2">
      <c r="DO62055" s="303" t="s">
        <v>232</v>
      </c>
    </row>
    <row r="62056" spans="119:119" x14ac:dyDescent="0.2">
      <c r="DO62056" s="303" t="s">
        <v>232</v>
      </c>
    </row>
    <row r="62057" spans="119:119" x14ac:dyDescent="0.2">
      <c r="DO62057" s="303" t="s">
        <v>232</v>
      </c>
    </row>
    <row r="62058" spans="119:119" x14ac:dyDescent="0.2">
      <c r="DO62058" s="303" t="s">
        <v>232</v>
      </c>
    </row>
    <row r="62059" spans="119:119" x14ac:dyDescent="0.2">
      <c r="DO62059" s="303" t="s">
        <v>232</v>
      </c>
    </row>
    <row r="62060" spans="119:119" x14ac:dyDescent="0.2">
      <c r="DO62060" s="303" t="s">
        <v>232</v>
      </c>
    </row>
    <row r="62061" spans="119:119" x14ac:dyDescent="0.2">
      <c r="DO62061" s="303" t="s">
        <v>232</v>
      </c>
    </row>
    <row r="62062" spans="119:119" x14ac:dyDescent="0.2">
      <c r="DO62062" s="303" t="s">
        <v>232</v>
      </c>
    </row>
    <row r="62063" spans="119:119" x14ac:dyDescent="0.2">
      <c r="DO62063" s="303" t="s">
        <v>232</v>
      </c>
    </row>
    <row r="62064" spans="119:119" x14ac:dyDescent="0.2">
      <c r="DO62064" s="303" t="s">
        <v>232</v>
      </c>
    </row>
    <row r="62065" spans="119:119" x14ac:dyDescent="0.2">
      <c r="DO62065" s="303" t="s">
        <v>232</v>
      </c>
    </row>
    <row r="62066" spans="119:119" x14ac:dyDescent="0.2">
      <c r="DO62066" s="303" t="s">
        <v>232</v>
      </c>
    </row>
    <row r="62067" spans="119:119" x14ac:dyDescent="0.2">
      <c r="DO62067" s="303" t="s">
        <v>232</v>
      </c>
    </row>
    <row r="62068" spans="119:119" x14ac:dyDescent="0.2">
      <c r="DO62068" s="303" t="s">
        <v>232</v>
      </c>
    </row>
    <row r="62069" spans="119:119" x14ac:dyDescent="0.2">
      <c r="DO62069" s="303" t="s">
        <v>232</v>
      </c>
    </row>
    <row r="62070" spans="119:119" x14ac:dyDescent="0.2">
      <c r="DO62070" s="303" t="s">
        <v>232</v>
      </c>
    </row>
    <row r="62071" spans="119:119" x14ac:dyDescent="0.2">
      <c r="DO62071" s="303" t="s">
        <v>232</v>
      </c>
    </row>
    <row r="62072" spans="119:119" x14ac:dyDescent="0.2">
      <c r="DO62072" s="303" t="s">
        <v>232</v>
      </c>
    </row>
    <row r="62073" spans="119:119" x14ac:dyDescent="0.2">
      <c r="DO62073" s="303" t="s">
        <v>232</v>
      </c>
    </row>
    <row r="62074" spans="119:119" x14ac:dyDescent="0.2">
      <c r="DO62074" s="303" t="s">
        <v>232</v>
      </c>
    </row>
    <row r="62075" spans="119:119" x14ac:dyDescent="0.2">
      <c r="DO62075" s="303" t="s">
        <v>232</v>
      </c>
    </row>
    <row r="62076" spans="119:119" x14ac:dyDescent="0.2">
      <c r="DO62076" s="303" t="s">
        <v>232</v>
      </c>
    </row>
    <row r="62077" spans="119:119" x14ac:dyDescent="0.2">
      <c r="DO62077" s="303" t="s">
        <v>232</v>
      </c>
    </row>
    <row r="62078" spans="119:119" x14ac:dyDescent="0.2">
      <c r="DO62078" s="303" t="s">
        <v>232</v>
      </c>
    </row>
    <row r="62079" spans="119:119" x14ac:dyDescent="0.2">
      <c r="DO62079" s="303" t="s">
        <v>232</v>
      </c>
    </row>
    <row r="62080" spans="119:119" x14ac:dyDescent="0.2">
      <c r="DO62080" s="303" t="s">
        <v>232</v>
      </c>
    </row>
    <row r="62081" spans="119:119" x14ac:dyDescent="0.2">
      <c r="DO62081" s="303" t="s">
        <v>232</v>
      </c>
    </row>
    <row r="62082" spans="119:119" x14ac:dyDescent="0.2">
      <c r="DO62082" s="303" t="s">
        <v>232</v>
      </c>
    </row>
    <row r="62083" spans="119:119" x14ac:dyDescent="0.2">
      <c r="DO62083" s="303" t="s">
        <v>232</v>
      </c>
    </row>
    <row r="62084" spans="119:119" x14ac:dyDescent="0.2">
      <c r="DO62084" s="303" t="s">
        <v>232</v>
      </c>
    </row>
    <row r="62085" spans="119:119" x14ac:dyDescent="0.2">
      <c r="DO62085" s="303" t="s">
        <v>232</v>
      </c>
    </row>
    <row r="62086" spans="119:119" x14ac:dyDescent="0.2">
      <c r="DO62086" s="303" t="s">
        <v>232</v>
      </c>
    </row>
    <row r="62087" spans="119:119" x14ac:dyDescent="0.2">
      <c r="DO62087" s="303" t="s">
        <v>232</v>
      </c>
    </row>
    <row r="62088" spans="119:119" x14ac:dyDescent="0.2">
      <c r="DO62088" s="303" t="s">
        <v>232</v>
      </c>
    </row>
    <row r="62089" spans="119:119" x14ac:dyDescent="0.2">
      <c r="DO62089" s="303" t="s">
        <v>232</v>
      </c>
    </row>
    <row r="62090" spans="119:119" x14ac:dyDescent="0.2">
      <c r="DO62090" s="303" t="s">
        <v>232</v>
      </c>
    </row>
    <row r="62091" spans="119:119" x14ac:dyDescent="0.2">
      <c r="DO62091" s="303" t="s">
        <v>232</v>
      </c>
    </row>
    <row r="62092" spans="119:119" x14ac:dyDescent="0.2">
      <c r="DO62092" s="303" t="s">
        <v>232</v>
      </c>
    </row>
    <row r="62093" spans="119:119" x14ac:dyDescent="0.2">
      <c r="DO62093" s="303" t="s">
        <v>232</v>
      </c>
    </row>
    <row r="62094" spans="119:119" x14ac:dyDescent="0.2">
      <c r="DO62094" s="303" t="s">
        <v>232</v>
      </c>
    </row>
    <row r="62095" spans="119:119" x14ac:dyDescent="0.2">
      <c r="DO62095" s="303" t="s">
        <v>232</v>
      </c>
    </row>
    <row r="62096" spans="119:119" x14ac:dyDescent="0.2">
      <c r="DO62096" s="303" t="s">
        <v>232</v>
      </c>
    </row>
    <row r="62097" spans="119:119" x14ac:dyDescent="0.2">
      <c r="DO62097" s="303" t="s">
        <v>232</v>
      </c>
    </row>
    <row r="62098" spans="119:119" x14ac:dyDescent="0.2">
      <c r="DO62098" s="303" t="s">
        <v>232</v>
      </c>
    </row>
    <row r="62099" spans="119:119" x14ac:dyDescent="0.2">
      <c r="DO62099" s="303" t="s">
        <v>232</v>
      </c>
    </row>
    <row r="62100" spans="119:119" x14ac:dyDescent="0.2">
      <c r="DO62100" s="303" t="s">
        <v>232</v>
      </c>
    </row>
    <row r="62101" spans="119:119" x14ac:dyDescent="0.2">
      <c r="DO62101" s="303" t="s">
        <v>232</v>
      </c>
    </row>
    <row r="62102" spans="119:119" x14ac:dyDescent="0.2">
      <c r="DO62102" s="303" t="s">
        <v>232</v>
      </c>
    </row>
    <row r="62103" spans="119:119" x14ac:dyDescent="0.2">
      <c r="DO62103" s="303" t="s">
        <v>232</v>
      </c>
    </row>
    <row r="62104" spans="119:119" x14ac:dyDescent="0.2">
      <c r="DO62104" s="303" t="s">
        <v>232</v>
      </c>
    </row>
    <row r="62105" spans="119:119" x14ac:dyDescent="0.2">
      <c r="DO62105" s="303" t="s">
        <v>232</v>
      </c>
    </row>
    <row r="62106" spans="119:119" x14ac:dyDescent="0.2">
      <c r="DO62106" s="303" t="s">
        <v>232</v>
      </c>
    </row>
    <row r="62107" spans="119:119" x14ac:dyDescent="0.2">
      <c r="DO62107" s="303" t="s">
        <v>232</v>
      </c>
    </row>
    <row r="62108" spans="119:119" x14ac:dyDescent="0.2">
      <c r="DO62108" s="303" t="s">
        <v>232</v>
      </c>
    </row>
    <row r="62109" spans="119:119" x14ac:dyDescent="0.2">
      <c r="DO62109" s="303" t="s">
        <v>232</v>
      </c>
    </row>
    <row r="62110" spans="119:119" x14ac:dyDescent="0.2">
      <c r="DO62110" s="303" t="s">
        <v>232</v>
      </c>
    </row>
    <row r="62111" spans="119:119" x14ac:dyDescent="0.2">
      <c r="DO62111" s="303" t="s">
        <v>232</v>
      </c>
    </row>
    <row r="62112" spans="119:119" x14ac:dyDescent="0.2">
      <c r="DO62112" s="303" t="s">
        <v>232</v>
      </c>
    </row>
    <row r="62113" spans="119:119" x14ac:dyDescent="0.2">
      <c r="DO62113" s="303" t="s">
        <v>232</v>
      </c>
    </row>
    <row r="62114" spans="119:119" x14ac:dyDescent="0.2">
      <c r="DO62114" s="303" t="s">
        <v>232</v>
      </c>
    </row>
    <row r="62115" spans="119:119" x14ac:dyDescent="0.2">
      <c r="DO62115" s="303" t="s">
        <v>232</v>
      </c>
    </row>
    <row r="62116" spans="119:119" x14ac:dyDescent="0.2">
      <c r="DO62116" s="303" t="s">
        <v>232</v>
      </c>
    </row>
    <row r="62117" spans="119:119" x14ac:dyDescent="0.2">
      <c r="DO62117" s="303" t="s">
        <v>232</v>
      </c>
    </row>
    <row r="62118" spans="119:119" x14ac:dyDescent="0.2">
      <c r="DO62118" s="303" t="s">
        <v>232</v>
      </c>
    </row>
    <row r="62119" spans="119:119" x14ac:dyDescent="0.2">
      <c r="DO62119" s="303" t="s">
        <v>232</v>
      </c>
    </row>
    <row r="62120" spans="119:119" x14ac:dyDescent="0.2">
      <c r="DO62120" s="303" t="s">
        <v>232</v>
      </c>
    </row>
    <row r="62121" spans="119:119" x14ac:dyDescent="0.2">
      <c r="DO62121" s="303" t="s">
        <v>232</v>
      </c>
    </row>
    <row r="62122" spans="119:119" x14ac:dyDescent="0.2">
      <c r="DO62122" s="303" t="s">
        <v>232</v>
      </c>
    </row>
    <row r="62123" spans="119:119" x14ac:dyDescent="0.2">
      <c r="DO62123" s="303" t="s">
        <v>232</v>
      </c>
    </row>
    <row r="62124" spans="119:119" x14ac:dyDescent="0.2">
      <c r="DO62124" s="303" t="s">
        <v>232</v>
      </c>
    </row>
    <row r="62125" spans="119:119" x14ac:dyDescent="0.2">
      <c r="DO62125" s="303" t="s">
        <v>232</v>
      </c>
    </row>
    <row r="62126" spans="119:119" x14ac:dyDescent="0.2">
      <c r="DO62126" s="303" t="s">
        <v>232</v>
      </c>
    </row>
    <row r="62127" spans="119:119" x14ac:dyDescent="0.2">
      <c r="DO62127" s="303" t="s">
        <v>232</v>
      </c>
    </row>
    <row r="62128" spans="119:119" x14ac:dyDescent="0.2">
      <c r="DO62128" s="303" t="s">
        <v>232</v>
      </c>
    </row>
    <row r="62129" spans="119:119" x14ac:dyDescent="0.2">
      <c r="DO62129" s="303" t="s">
        <v>232</v>
      </c>
    </row>
    <row r="62130" spans="119:119" x14ac:dyDescent="0.2">
      <c r="DO62130" s="303" t="s">
        <v>232</v>
      </c>
    </row>
    <row r="62131" spans="119:119" x14ac:dyDescent="0.2">
      <c r="DO62131" s="303" t="s">
        <v>232</v>
      </c>
    </row>
    <row r="62132" spans="119:119" x14ac:dyDescent="0.2">
      <c r="DO62132" s="303" t="s">
        <v>232</v>
      </c>
    </row>
    <row r="62133" spans="119:119" x14ac:dyDescent="0.2">
      <c r="DO62133" s="303" t="s">
        <v>232</v>
      </c>
    </row>
    <row r="62134" spans="119:119" x14ac:dyDescent="0.2">
      <c r="DO62134" s="303" t="s">
        <v>232</v>
      </c>
    </row>
    <row r="62135" spans="119:119" x14ac:dyDescent="0.2">
      <c r="DO62135" s="303" t="s">
        <v>232</v>
      </c>
    </row>
    <row r="62136" spans="119:119" x14ac:dyDescent="0.2">
      <c r="DO62136" s="303" t="s">
        <v>232</v>
      </c>
    </row>
    <row r="62137" spans="119:119" x14ac:dyDescent="0.2">
      <c r="DO62137" s="303" t="s">
        <v>232</v>
      </c>
    </row>
    <row r="62138" spans="119:119" x14ac:dyDescent="0.2">
      <c r="DO62138" s="303" t="s">
        <v>232</v>
      </c>
    </row>
    <row r="62139" spans="119:119" x14ac:dyDescent="0.2">
      <c r="DO62139" s="303" t="s">
        <v>232</v>
      </c>
    </row>
    <row r="62140" spans="119:119" x14ac:dyDescent="0.2">
      <c r="DO62140" s="303" t="s">
        <v>232</v>
      </c>
    </row>
    <row r="62141" spans="119:119" x14ac:dyDescent="0.2">
      <c r="DO62141" s="303" t="s">
        <v>232</v>
      </c>
    </row>
    <row r="62142" spans="119:119" x14ac:dyDescent="0.2">
      <c r="DO62142" s="303" t="s">
        <v>232</v>
      </c>
    </row>
    <row r="62143" spans="119:119" x14ac:dyDescent="0.2">
      <c r="DO62143" s="303" t="s">
        <v>232</v>
      </c>
    </row>
    <row r="62144" spans="119:119" x14ac:dyDescent="0.2">
      <c r="DO62144" s="303" t="s">
        <v>232</v>
      </c>
    </row>
    <row r="62145" spans="119:119" x14ac:dyDescent="0.2">
      <c r="DO62145" s="303" t="s">
        <v>232</v>
      </c>
    </row>
    <row r="62146" spans="119:119" x14ac:dyDescent="0.2">
      <c r="DO62146" s="303" t="s">
        <v>232</v>
      </c>
    </row>
    <row r="62147" spans="119:119" x14ac:dyDescent="0.2">
      <c r="DO62147" s="303" t="s">
        <v>232</v>
      </c>
    </row>
    <row r="62148" spans="119:119" x14ac:dyDescent="0.2">
      <c r="DO62148" s="303" t="s">
        <v>232</v>
      </c>
    </row>
    <row r="62149" spans="119:119" x14ac:dyDescent="0.2">
      <c r="DO62149" s="303" t="s">
        <v>232</v>
      </c>
    </row>
    <row r="62150" spans="119:119" x14ac:dyDescent="0.2">
      <c r="DO62150" s="303" t="s">
        <v>232</v>
      </c>
    </row>
    <row r="62151" spans="119:119" x14ac:dyDescent="0.2">
      <c r="DO62151" s="303" t="s">
        <v>232</v>
      </c>
    </row>
    <row r="62152" spans="119:119" x14ac:dyDescent="0.2">
      <c r="DO62152" s="303" t="s">
        <v>232</v>
      </c>
    </row>
    <row r="62153" spans="119:119" x14ac:dyDescent="0.2">
      <c r="DO62153" s="303" t="s">
        <v>232</v>
      </c>
    </row>
    <row r="62154" spans="119:119" x14ac:dyDescent="0.2">
      <c r="DO62154" s="303" t="s">
        <v>232</v>
      </c>
    </row>
    <row r="62155" spans="119:119" x14ac:dyDescent="0.2">
      <c r="DO62155" s="303" t="s">
        <v>232</v>
      </c>
    </row>
    <row r="62156" spans="119:119" x14ac:dyDescent="0.2">
      <c r="DO62156" s="303" t="s">
        <v>232</v>
      </c>
    </row>
    <row r="62157" spans="119:119" x14ac:dyDescent="0.2">
      <c r="DO62157" s="303" t="s">
        <v>232</v>
      </c>
    </row>
    <row r="62158" spans="119:119" x14ac:dyDescent="0.2">
      <c r="DO62158" s="303" t="s">
        <v>232</v>
      </c>
    </row>
    <row r="62159" spans="119:119" x14ac:dyDescent="0.2">
      <c r="DO62159" s="303" t="s">
        <v>232</v>
      </c>
    </row>
    <row r="62160" spans="119:119" x14ac:dyDescent="0.2">
      <c r="DO62160" s="303" t="s">
        <v>232</v>
      </c>
    </row>
    <row r="62161" spans="119:119" x14ac:dyDescent="0.2">
      <c r="DO62161" s="303" t="s">
        <v>232</v>
      </c>
    </row>
    <row r="62162" spans="119:119" x14ac:dyDescent="0.2">
      <c r="DO62162" s="303" t="s">
        <v>232</v>
      </c>
    </row>
    <row r="62163" spans="119:119" x14ac:dyDescent="0.2">
      <c r="DO62163" s="303" t="s">
        <v>232</v>
      </c>
    </row>
    <row r="62164" spans="119:119" x14ac:dyDescent="0.2">
      <c r="DO62164" s="303" t="s">
        <v>232</v>
      </c>
    </row>
    <row r="62165" spans="119:119" x14ac:dyDescent="0.2">
      <c r="DO62165" s="303" t="s">
        <v>232</v>
      </c>
    </row>
    <row r="62166" spans="119:119" x14ac:dyDescent="0.2">
      <c r="DO62166" s="303" t="s">
        <v>232</v>
      </c>
    </row>
    <row r="62167" spans="119:119" x14ac:dyDescent="0.2">
      <c r="DO62167" s="303" t="s">
        <v>232</v>
      </c>
    </row>
    <row r="62168" spans="119:119" x14ac:dyDescent="0.2">
      <c r="DO62168" s="303" t="s">
        <v>232</v>
      </c>
    </row>
    <row r="62169" spans="119:119" x14ac:dyDescent="0.2">
      <c r="DO62169" s="303" t="s">
        <v>232</v>
      </c>
    </row>
    <row r="62170" spans="119:119" x14ac:dyDescent="0.2">
      <c r="DO62170" s="303" t="s">
        <v>232</v>
      </c>
    </row>
    <row r="62171" spans="119:119" x14ac:dyDescent="0.2">
      <c r="DO62171" s="303" t="s">
        <v>232</v>
      </c>
    </row>
    <row r="62172" spans="119:119" x14ac:dyDescent="0.2">
      <c r="DO62172" s="303" t="s">
        <v>232</v>
      </c>
    </row>
    <row r="62173" spans="119:119" x14ac:dyDescent="0.2">
      <c r="DO62173" s="303" t="s">
        <v>232</v>
      </c>
    </row>
    <row r="62174" spans="119:119" x14ac:dyDescent="0.2">
      <c r="DO62174" s="303" t="s">
        <v>232</v>
      </c>
    </row>
    <row r="62175" spans="119:119" x14ac:dyDescent="0.2">
      <c r="DO62175" s="303" t="s">
        <v>232</v>
      </c>
    </row>
    <row r="62176" spans="119:119" x14ac:dyDescent="0.2">
      <c r="DO62176" s="303" t="s">
        <v>232</v>
      </c>
    </row>
    <row r="62177" spans="119:119" x14ac:dyDescent="0.2">
      <c r="DO62177" s="303" t="s">
        <v>232</v>
      </c>
    </row>
    <row r="62178" spans="119:119" x14ac:dyDescent="0.2">
      <c r="DO62178" s="303" t="s">
        <v>232</v>
      </c>
    </row>
    <row r="62179" spans="119:119" x14ac:dyDescent="0.2">
      <c r="DO62179" s="303" t="s">
        <v>232</v>
      </c>
    </row>
    <row r="62180" spans="119:119" x14ac:dyDescent="0.2">
      <c r="DO62180" s="303" t="s">
        <v>232</v>
      </c>
    </row>
    <row r="62181" spans="119:119" x14ac:dyDescent="0.2">
      <c r="DO62181" s="303" t="s">
        <v>232</v>
      </c>
    </row>
    <row r="62182" spans="119:119" x14ac:dyDescent="0.2">
      <c r="DO62182" s="303" t="s">
        <v>232</v>
      </c>
    </row>
    <row r="62183" spans="119:119" x14ac:dyDescent="0.2">
      <c r="DO62183" s="303" t="s">
        <v>232</v>
      </c>
    </row>
    <row r="62184" spans="119:119" x14ac:dyDescent="0.2">
      <c r="DO62184" s="303" t="s">
        <v>232</v>
      </c>
    </row>
    <row r="62185" spans="119:119" x14ac:dyDescent="0.2">
      <c r="DO62185" s="303" t="s">
        <v>232</v>
      </c>
    </row>
    <row r="62186" spans="119:119" x14ac:dyDescent="0.2">
      <c r="DO62186" s="303" t="s">
        <v>232</v>
      </c>
    </row>
    <row r="62187" spans="119:119" x14ac:dyDescent="0.2">
      <c r="DO62187" s="303" t="s">
        <v>232</v>
      </c>
    </row>
    <row r="62188" spans="119:119" x14ac:dyDescent="0.2">
      <c r="DO62188" s="303" t="s">
        <v>232</v>
      </c>
    </row>
    <row r="62189" spans="119:119" x14ac:dyDescent="0.2">
      <c r="DO62189" s="303" t="s">
        <v>232</v>
      </c>
    </row>
    <row r="62190" spans="119:119" x14ac:dyDescent="0.2">
      <c r="DO62190" s="303" t="s">
        <v>232</v>
      </c>
    </row>
    <row r="62191" spans="119:119" x14ac:dyDescent="0.2">
      <c r="DO62191" s="303" t="s">
        <v>232</v>
      </c>
    </row>
    <row r="62192" spans="119:119" x14ac:dyDescent="0.2">
      <c r="DO62192" s="303" t="s">
        <v>232</v>
      </c>
    </row>
    <row r="62193" spans="119:119" x14ac:dyDescent="0.2">
      <c r="DO62193" s="303" t="s">
        <v>232</v>
      </c>
    </row>
    <row r="62194" spans="119:119" x14ac:dyDescent="0.2">
      <c r="DO62194" s="303" t="s">
        <v>232</v>
      </c>
    </row>
    <row r="62195" spans="119:119" x14ac:dyDescent="0.2">
      <c r="DO62195" s="303" t="s">
        <v>232</v>
      </c>
    </row>
    <row r="62196" spans="119:119" x14ac:dyDescent="0.2">
      <c r="DO62196" s="303" t="s">
        <v>232</v>
      </c>
    </row>
    <row r="62197" spans="119:119" x14ac:dyDescent="0.2">
      <c r="DO62197" s="303" t="s">
        <v>232</v>
      </c>
    </row>
    <row r="62198" spans="119:119" x14ac:dyDescent="0.2">
      <c r="DO62198" s="303" t="s">
        <v>232</v>
      </c>
    </row>
    <row r="62199" spans="119:119" x14ac:dyDescent="0.2">
      <c r="DO62199" s="303" t="s">
        <v>232</v>
      </c>
    </row>
    <row r="62200" spans="119:119" x14ac:dyDescent="0.2">
      <c r="DO62200" s="303" t="s">
        <v>232</v>
      </c>
    </row>
    <row r="62201" spans="119:119" x14ac:dyDescent="0.2">
      <c r="DO62201" s="303" t="s">
        <v>232</v>
      </c>
    </row>
    <row r="62202" spans="119:119" x14ac:dyDescent="0.2">
      <c r="DO62202" s="303" t="s">
        <v>232</v>
      </c>
    </row>
    <row r="62203" spans="119:119" x14ac:dyDescent="0.2">
      <c r="DO62203" s="303" t="s">
        <v>232</v>
      </c>
    </row>
    <row r="62204" spans="119:119" x14ac:dyDescent="0.2">
      <c r="DO62204" s="303" t="s">
        <v>232</v>
      </c>
    </row>
    <row r="62205" spans="119:119" x14ac:dyDescent="0.2">
      <c r="DO62205" s="303" t="s">
        <v>232</v>
      </c>
    </row>
    <row r="62206" spans="119:119" x14ac:dyDescent="0.2">
      <c r="DO62206" s="303" t="s">
        <v>232</v>
      </c>
    </row>
    <row r="62207" spans="119:119" x14ac:dyDescent="0.2">
      <c r="DO62207" s="303" t="s">
        <v>232</v>
      </c>
    </row>
    <row r="62208" spans="119:119" x14ac:dyDescent="0.2">
      <c r="DO62208" s="303" t="s">
        <v>232</v>
      </c>
    </row>
    <row r="62209" spans="119:119" x14ac:dyDescent="0.2">
      <c r="DO62209" s="303" t="s">
        <v>232</v>
      </c>
    </row>
    <row r="62210" spans="119:119" x14ac:dyDescent="0.2">
      <c r="DO62210" s="303" t="s">
        <v>232</v>
      </c>
    </row>
    <row r="62211" spans="119:119" x14ac:dyDescent="0.2">
      <c r="DO62211" s="303" t="s">
        <v>232</v>
      </c>
    </row>
    <row r="62212" spans="119:119" x14ac:dyDescent="0.2">
      <c r="DO62212" s="303" t="s">
        <v>232</v>
      </c>
    </row>
    <row r="62213" spans="119:119" x14ac:dyDescent="0.2">
      <c r="DO62213" s="303" t="s">
        <v>232</v>
      </c>
    </row>
    <row r="62214" spans="119:119" x14ac:dyDescent="0.2">
      <c r="DO62214" s="303" t="s">
        <v>232</v>
      </c>
    </row>
    <row r="62215" spans="119:119" x14ac:dyDescent="0.2">
      <c r="DO62215" s="303" t="s">
        <v>232</v>
      </c>
    </row>
    <row r="62216" spans="119:119" x14ac:dyDescent="0.2">
      <c r="DO62216" s="303" t="s">
        <v>232</v>
      </c>
    </row>
    <row r="62217" spans="119:119" x14ac:dyDescent="0.2">
      <c r="DO62217" s="303" t="s">
        <v>232</v>
      </c>
    </row>
    <row r="62218" spans="119:119" x14ac:dyDescent="0.2">
      <c r="DO62218" s="303" t="s">
        <v>232</v>
      </c>
    </row>
    <row r="62219" spans="119:119" x14ac:dyDescent="0.2">
      <c r="DO62219" s="303" t="s">
        <v>232</v>
      </c>
    </row>
    <row r="62220" spans="119:119" x14ac:dyDescent="0.2">
      <c r="DO62220" s="303" t="s">
        <v>232</v>
      </c>
    </row>
    <row r="62221" spans="119:119" x14ac:dyDescent="0.2">
      <c r="DO62221" s="303" t="s">
        <v>232</v>
      </c>
    </row>
    <row r="62222" spans="119:119" x14ac:dyDescent="0.2">
      <c r="DO62222" s="303" t="s">
        <v>232</v>
      </c>
    </row>
    <row r="62223" spans="119:119" x14ac:dyDescent="0.2">
      <c r="DO62223" s="303" t="s">
        <v>232</v>
      </c>
    </row>
    <row r="62224" spans="119:119" x14ac:dyDescent="0.2">
      <c r="DO62224" s="303" t="s">
        <v>232</v>
      </c>
    </row>
    <row r="62225" spans="119:119" x14ac:dyDescent="0.2">
      <c r="DO62225" s="303" t="s">
        <v>232</v>
      </c>
    </row>
    <row r="62226" spans="119:119" x14ac:dyDescent="0.2">
      <c r="DO62226" s="303" t="s">
        <v>232</v>
      </c>
    </row>
    <row r="62227" spans="119:119" x14ac:dyDescent="0.2">
      <c r="DO62227" s="303" t="s">
        <v>232</v>
      </c>
    </row>
    <row r="62228" spans="119:119" x14ac:dyDescent="0.2">
      <c r="DO62228" s="303" t="s">
        <v>232</v>
      </c>
    </row>
    <row r="62229" spans="119:119" x14ac:dyDescent="0.2">
      <c r="DO62229" s="303" t="s">
        <v>232</v>
      </c>
    </row>
    <row r="62230" spans="119:119" x14ac:dyDescent="0.2">
      <c r="DO62230" s="303" t="s">
        <v>232</v>
      </c>
    </row>
    <row r="62231" spans="119:119" x14ac:dyDescent="0.2">
      <c r="DO62231" s="303" t="s">
        <v>232</v>
      </c>
    </row>
    <row r="62232" spans="119:119" x14ac:dyDescent="0.2">
      <c r="DO62232" s="303" t="s">
        <v>232</v>
      </c>
    </row>
    <row r="62233" spans="119:119" x14ac:dyDescent="0.2">
      <c r="DO62233" s="303" t="s">
        <v>232</v>
      </c>
    </row>
    <row r="62234" spans="119:119" x14ac:dyDescent="0.2">
      <c r="DO62234" s="303" t="s">
        <v>232</v>
      </c>
    </row>
    <row r="62235" spans="119:119" x14ac:dyDescent="0.2">
      <c r="DO62235" s="303" t="s">
        <v>232</v>
      </c>
    </row>
    <row r="62236" spans="119:119" x14ac:dyDescent="0.2">
      <c r="DO62236" s="303" t="s">
        <v>232</v>
      </c>
    </row>
    <row r="62237" spans="119:119" x14ac:dyDescent="0.2">
      <c r="DO62237" s="303" t="s">
        <v>232</v>
      </c>
    </row>
    <row r="62238" spans="119:119" x14ac:dyDescent="0.2">
      <c r="DO62238" s="303" t="s">
        <v>232</v>
      </c>
    </row>
    <row r="62239" spans="119:119" x14ac:dyDescent="0.2">
      <c r="DO62239" s="303" t="s">
        <v>232</v>
      </c>
    </row>
    <row r="62240" spans="119:119" x14ac:dyDescent="0.2">
      <c r="DO62240" s="303" t="s">
        <v>232</v>
      </c>
    </row>
    <row r="62241" spans="119:119" x14ac:dyDescent="0.2">
      <c r="DO62241" s="303" t="s">
        <v>232</v>
      </c>
    </row>
    <row r="62242" spans="119:119" x14ac:dyDescent="0.2">
      <c r="DO62242" s="303" t="s">
        <v>232</v>
      </c>
    </row>
    <row r="62243" spans="119:119" x14ac:dyDescent="0.2">
      <c r="DO62243" s="303" t="s">
        <v>232</v>
      </c>
    </row>
    <row r="62244" spans="119:119" x14ac:dyDescent="0.2">
      <c r="DO62244" s="303" t="s">
        <v>232</v>
      </c>
    </row>
    <row r="62245" spans="119:119" x14ac:dyDescent="0.2">
      <c r="DO62245" s="303" t="s">
        <v>232</v>
      </c>
    </row>
    <row r="62246" spans="119:119" x14ac:dyDescent="0.2">
      <c r="DO62246" s="303" t="s">
        <v>232</v>
      </c>
    </row>
    <row r="62247" spans="119:119" x14ac:dyDescent="0.2">
      <c r="DO62247" s="303" t="s">
        <v>232</v>
      </c>
    </row>
    <row r="62248" spans="119:119" x14ac:dyDescent="0.2">
      <c r="DO62248" s="303" t="s">
        <v>232</v>
      </c>
    </row>
    <row r="62249" spans="119:119" x14ac:dyDescent="0.2">
      <c r="DO62249" s="303" t="s">
        <v>232</v>
      </c>
    </row>
    <row r="62250" spans="119:119" x14ac:dyDescent="0.2">
      <c r="DO62250" s="303" t="s">
        <v>232</v>
      </c>
    </row>
    <row r="62251" spans="119:119" x14ac:dyDescent="0.2">
      <c r="DO62251" s="303" t="s">
        <v>232</v>
      </c>
    </row>
    <row r="62252" spans="119:119" x14ac:dyDescent="0.2">
      <c r="DO62252" s="303" t="s">
        <v>232</v>
      </c>
    </row>
    <row r="62253" spans="119:119" x14ac:dyDescent="0.2">
      <c r="DO62253" s="303" t="s">
        <v>232</v>
      </c>
    </row>
    <row r="62254" spans="119:119" x14ac:dyDescent="0.2">
      <c r="DO62254" s="303" t="s">
        <v>232</v>
      </c>
    </row>
    <row r="62255" spans="119:119" x14ac:dyDescent="0.2">
      <c r="DO62255" s="303" t="s">
        <v>232</v>
      </c>
    </row>
    <row r="62256" spans="119:119" x14ac:dyDescent="0.2">
      <c r="DO62256" s="303" t="s">
        <v>232</v>
      </c>
    </row>
    <row r="62257" spans="119:119" x14ac:dyDescent="0.2">
      <c r="DO62257" s="303" t="s">
        <v>232</v>
      </c>
    </row>
    <row r="62258" spans="119:119" x14ac:dyDescent="0.2">
      <c r="DO62258" s="303" t="s">
        <v>232</v>
      </c>
    </row>
    <row r="62259" spans="119:119" x14ac:dyDescent="0.2">
      <c r="DO62259" s="303" t="s">
        <v>232</v>
      </c>
    </row>
    <row r="62260" spans="119:119" x14ac:dyDescent="0.2">
      <c r="DO62260" s="303" t="s">
        <v>232</v>
      </c>
    </row>
    <row r="62261" spans="119:119" x14ac:dyDescent="0.2">
      <c r="DO62261" s="303" t="s">
        <v>232</v>
      </c>
    </row>
    <row r="62262" spans="119:119" x14ac:dyDescent="0.2">
      <c r="DO62262" s="303" t="s">
        <v>232</v>
      </c>
    </row>
    <row r="62263" spans="119:119" x14ac:dyDescent="0.2">
      <c r="DO62263" s="303" t="s">
        <v>232</v>
      </c>
    </row>
    <row r="62264" spans="119:119" x14ac:dyDescent="0.2">
      <c r="DO62264" s="303" t="s">
        <v>232</v>
      </c>
    </row>
    <row r="62265" spans="119:119" x14ac:dyDescent="0.2">
      <c r="DO62265" s="303" t="s">
        <v>232</v>
      </c>
    </row>
    <row r="62266" spans="119:119" x14ac:dyDescent="0.2">
      <c r="DO62266" s="303" t="s">
        <v>232</v>
      </c>
    </row>
    <row r="62267" spans="119:119" x14ac:dyDescent="0.2">
      <c r="DO62267" s="303" t="s">
        <v>232</v>
      </c>
    </row>
    <row r="62268" spans="119:119" x14ac:dyDescent="0.2">
      <c r="DO62268" s="303" t="s">
        <v>232</v>
      </c>
    </row>
    <row r="62269" spans="119:119" x14ac:dyDescent="0.2">
      <c r="DO62269" s="303" t="s">
        <v>232</v>
      </c>
    </row>
    <row r="62270" spans="119:119" x14ac:dyDescent="0.2">
      <c r="DO62270" s="303" t="s">
        <v>232</v>
      </c>
    </row>
    <row r="62271" spans="119:119" x14ac:dyDescent="0.2">
      <c r="DO62271" s="303" t="s">
        <v>232</v>
      </c>
    </row>
    <row r="62272" spans="119:119" x14ac:dyDescent="0.2">
      <c r="DO62272" s="303" t="s">
        <v>232</v>
      </c>
    </row>
    <row r="62273" spans="119:119" x14ac:dyDescent="0.2">
      <c r="DO62273" s="303" t="s">
        <v>232</v>
      </c>
    </row>
    <row r="62274" spans="119:119" x14ac:dyDescent="0.2">
      <c r="DO62274" s="303" t="s">
        <v>232</v>
      </c>
    </row>
    <row r="62275" spans="119:119" x14ac:dyDescent="0.2">
      <c r="DO62275" s="303" t="s">
        <v>232</v>
      </c>
    </row>
    <row r="62276" spans="119:119" x14ac:dyDescent="0.2">
      <c r="DO62276" s="303" t="s">
        <v>232</v>
      </c>
    </row>
    <row r="62277" spans="119:119" x14ac:dyDescent="0.2">
      <c r="DO62277" s="303" t="s">
        <v>232</v>
      </c>
    </row>
    <row r="62278" spans="119:119" x14ac:dyDescent="0.2">
      <c r="DO62278" s="303" t="s">
        <v>232</v>
      </c>
    </row>
    <row r="62279" spans="119:119" x14ac:dyDescent="0.2">
      <c r="DO62279" s="303" t="s">
        <v>232</v>
      </c>
    </row>
    <row r="62280" spans="119:119" x14ac:dyDescent="0.2">
      <c r="DO62280" s="303" t="s">
        <v>232</v>
      </c>
    </row>
    <row r="62281" spans="119:119" x14ac:dyDescent="0.2">
      <c r="DO62281" s="303" t="s">
        <v>232</v>
      </c>
    </row>
    <row r="62282" spans="119:119" x14ac:dyDescent="0.2">
      <c r="DO62282" s="303" t="s">
        <v>232</v>
      </c>
    </row>
    <row r="62283" spans="119:119" x14ac:dyDescent="0.2">
      <c r="DO62283" s="303" t="s">
        <v>232</v>
      </c>
    </row>
    <row r="62284" spans="119:119" x14ac:dyDescent="0.2">
      <c r="DO62284" s="303" t="s">
        <v>232</v>
      </c>
    </row>
    <row r="62285" spans="119:119" x14ac:dyDescent="0.2">
      <c r="DO62285" s="303" t="s">
        <v>232</v>
      </c>
    </row>
    <row r="62286" spans="119:119" x14ac:dyDescent="0.2">
      <c r="DO62286" s="303" t="s">
        <v>232</v>
      </c>
    </row>
    <row r="62287" spans="119:119" x14ac:dyDescent="0.2">
      <c r="DO62287" s="303" t="s">
        <v>232</v>
      </c>
    </row>
    <row r="62288" spans="119:119" x14ac:dyDescent="0.2">
      <c r="DO62288" s="303" t="s">
        <v>232</v>
      </c>
    </row>
    <row r="62289" spans="119:119" x14ac:dyDescent="0.2">
      <c r="DO62289" s="303" t="s">
        <v>232</v>
      </c>
    </row>
    <row r="62290" spans="119:119" x14ac:dyDescent="0.2">
      <c r="DO62290" s="303" t="s">
        <v>232</v>
      </c>
    </row>
    <row r="62291" spans="119:119" x14ac:dyDescent="0.2">
      <c r="DO62291" s="303" t="s">
        <v>232</v>
      </c>
    </row>
    <row r="62292" spans="119:119" x14ac:dyDescent="0.2">
      <c r="DO62292" s="303" t="s">
        <v>232</v>
      </c>
    </row>
    <row r="62293" spans="119:119" x14ac:dyDescent="0.2">
      <c r="DO62293" s="303" t="s">
        <v>232</v>
      </c>
    </row>
    <row r="62294" spans="119:119" x14ac:dyDescent="0.2">
      <c r="DO62294" s="303" t="s">
        <v>232</v>
      </c>
    </row>
    <row r="62295" spans="119:119" x14ac:dyDescent="0.2">
      <c r="DO62295" s="303" t="s">
        <v>232</v>
      </c>
    </row>
    <row r="62296" spans="119:119" x14ac:dyDescent="0.2">
      <c r="DO62296" s="303" t="s">
        <v>232</v>
      </c>
    </row>
    <row r="62297" spans="119:119" x14ac:dyDescent="0.2">
      <c r="DO62297" s="303" t="s">
        <v>232</v>
      </c>
    </row>
    <row r="62298" spans="119:119" x14ac:dyDescent="0.2">
      <c r="DO62298" s="303" t="s">
        <v>232</v>
      </c>
    </row>
    <row r="62299" spans="119:119" x14ac:dyDescent="0.2">
      <c r="DO62299" s="303" t="s">
        <v>232</v>
      </c>
    </row>
    <row r="62300" spans="119:119" x14ac:dyDescent="0.2">
      <c r="DO62300" s="303" t="s">
        <v>232</v>
      </c>
    </row>
    <row r="62301" spans="119:119" x14ac:dyDescent="0.2">
      <c r="DO62301" s="303" t="s">
        <v>232</v>
      </c>
    </row>
    <row r="62302" spans="119:119" x14ac:dyDescent="0.2">
      <c r="DO62302" s="303" t="s">
        <v>232</v>
      </c>
    </row>
    <row r="62303" spans="119:119" x14ac:dyDescent="0.2">
      <c r="DO62303" s="303" t="s">
        <v>232</v>
      </c>
    </row>
    <row r="62304" spans="119:119" x14ac:dyDescent="0.2">
      <c r="DO62304" s="303" t="s">
        <v>232</v>
      </c>
    </row>
    <row r="62305" spans="119:119" x14ac:dyDescent="0.2">
      <c r="DO62305" s="303" t="s">
        <v>232</v>
      </c>
    </row>
    <row r="62306" spans="119:119" x14ac:dyDescent="0.2">
      <c r="DO62306" s="303" t="s">
        <v>232</v>
      </c>
    </row>
    <row r="62307" spans="119:119" x14ac:dyDescent="0.2">
      <c r="DO62307" s="303" t="s">
        <v>232</v>
      </c>
    </row>
    <row r="62308" spans="119:119" x14ac:dyDescent="0.2">
      <c r="DO62308" s="303" t="s">
        <v>232</v>
      </c>
    </row>
    <row r="62309" spans="119:119" x14ac:dyDescent="0.2">
      <c r="DO62309" s="303" t="s">
        <v>232</v>
      </c>
    </row>
    <row r="62310" spans="119:119" x14ac:dyDescent="0.2">
      <c r="DO62310" s="303" t="s">
        <v>232</v>
      </c>
    </row>
    <row r="62311" spans="119:119" x14ac:dyDescent="0.2">
      <c r="DO62311" s="303" t="s">
        <v>232</v>
      </c>
    </row>
    <row r="62312" spans="119:119" x14ac:dyDescent="0.2">
      <c r="DO62312" s="303" t="s">
        <v>232</v>
      </c>
    </row>
    <row r="62313" spans="119:119" x14ac:dyDescent="0.2">
      <c r="DO62313" s="303" t="s">
        <v>232</v>
      </c>
    </row>
    <row r="62314" spans="119:119" x14ac:dyDescent="0.2">
      <c r="DO62314" s="303" t="s">
        <v>232</v>
      </c>
    </row>
    <row r="62315" spans="119:119" x14ac:dyDescent="0.2">
      <c r="DO62315" s="303" t="s">
        <v>232</v>
      </c>
    </row>
    <row r="62316" spans="119:119" x14ac:dyDescent="0.2">
      <c r="DO62316" s="303" t="s">
        <v>232</v>
      </c>
    </row>
    <row r="62317" spans="119:119" x14ac:dyDescent="0.2">
      <c r="DO62317" s="303" t="s">
        <v>232</v>
      </c>
    </row>
    <row r="62318" spans="119:119" x14ac:dyDescent="0.2">
      <c r="DO62318" s="303" t="s">
        <v>232</v>
      </c>
    </row>
    <row r="62319" spans="119:119" x14ac:dyDescent="0.2">
      <c r="DO62319" s="303" t="s">
        <v>232</v>
      </c>
    </row>
    <row r="62320" spans="119:119" x14ac:dyDescent="0.2">
      <c r="DO62320" s="303" t="s">
        <v>232</v>
      </c>
    </row>
    <row r="62321" spans="119:119" x14ac:dyDescent="0.2">
      <c r="DO62321" s="303" t="s">
        <v>232</v>
      </c>
    </row>
    <row r="62322" spans="119:119" x14ac:dyDescent="0.2">
      <c r="DO62322" s="303" t="s">
        <v>232</v>
      </c>
    </row>
    <row r="62323" spans="119:119" x14ac:dyDescent="0.2">
      <c r="DO62323" s="303" t="s">
        <v>232</v>
      </c>
    </row>
    <row r="62324" spans="119:119" x14ac:dyDescent="0.2">
      <c r="DO62324" s="303" t="s">
        <v>232</v>
      </c>
    </row>
    <row r="62325" spans="119:119" x14ac:dyDescent="0.2">
      <c r="DO62325" s="303" t="s">
        <v>232</v>
      </c>
    </row>
    <row r="62326" spans="119:119" x14ac:dyDescent="0.2">
      <c r="DO62326" s="303" t="s">
        <v>232</v>
      </c>
    </row>
    <row r="62327" spans="119:119" x14ac:dyDescent="0.2">
      <c r="DO62327" s="303" t="s">
        <v>232</v>
      </c>
    </row>
    <row r="62328" spans="119:119" x14ac:dyDescent="0.2">
      <c r="DO62328" s="303" t="s">
        <v>232</v>
      </c>
    </row>
    <row r="62329" spans="119:119" x14ac:dyDescent="0.2">
      <c r="DO62329" s="303" t="s">
        <v>232</v>
      </c>
    </row>
    <row r="62330" spans="119:119" x14ac:dyDescent="0.2">
      <c r="DO62330" s="303" t="s">
        <v>232</v>
      </c>
    </row>
    <row r="62331" spans="119:119" x14ac:dyDescent="0.2">
      <c r="DO62331" s="303" t="s">
        <v>232</v>
      </c>
    </row>
    <row r="62332" spans="119:119" x14ac:dyDescent="0.2">
      <c r="DO62332" s="303" t="s">
        <v>232</v>
      </c>
    </row>
    <row r="62333" spans="119:119" x14ac:dyDescent="0.2">
      <c r="DO62333" s="303" t="s">
        <v>232</v>
      </c>
    </row>
    <row r="62334" spans="119:119" x14ac:dyDescent="0.2">
      <c r="DO62334" s="303" t="s">
        <v>232</v>
      </c>
    </row>
    <row r="62335" spans="119:119" x14ac:dyDescent="0.2">
      <c r="DO62335" s="303" t="s">
        <v>232</v>
      </c>
    </row>
    <row r="62336" spans="119:119" x14ac:dyDescent="0.2">
      <c r="DO62336" s="303" t="s">
        <v>232</v>
      </c>
    </row>
    <row r="62337" spans="119:119" x14ac:dyDescent="0.2">
      <c r="DO62337" s="303" t="s">
        <v>232</v>
      </c>
    </row>
    <row r="62338" spans="119:119" x14ac:dyDescent="0.2">
      <c r="DO62338" s="303" t="s">
        <v>232</v>
      </c>
    </row>
    <row r="62339" spans="119:119" x14ac:dyDescent="0.2">
      <c r="DO62339" s="303" t="s">
        <v>232</v>
      </c>
    </row>
    <row r="62340" spans="119:119" x14ac:dyDescent="0.2">
      <c r="DO62340" s="303" t="s">
        <v>232</v>
      </c>
    </row>
    <row r="62341" spans="119:119" x14ac:dyDescent="0.2">
      <c r="DO62341" s="303" t="s">
        <v>232</v>
      </c>
    </row>
    <row r="62342" spans="119:119" x14ac:dyDescent="0.2">
      <c r="DO62342" s="303" t="s">
        <v>232</v>
      </c>
    </row>
    <row r="62343" spans="119:119" x14ac:dyDescent="0.2">
      <c r="DO62343" s="303" t="s">
        <v>232</v>
      </c>
    </row>
    <row r="62344" spans="119:119" x14ac:dyDescent="0.2">
      <c r="DO62344" s="303" t="s">
        <v>232</v>
      </c>
    </row>
    <row r="62345" spans="119:119" x14ac:dyDescent="0.2">
      <c r="DO62345" s="303" t="s">
        <v>232</v>
      </c>
    </row>
    <row r="62346" spans="119:119" x14ac:dyDescent="0.2">
      <c r="DO62346" s="303" t="s">
        <v>232</v>
      </c>
    </row>
    <row r="62347" spans="119:119" x14ac:dyDescent="0.2">
      <c r="DO62347" s="303" t="s">
        <v>232</v>
      </c>
    </row>
    <row r="62348" spans="119:119" x14ac:dyDescent="0.2">
      <c r="DO62348" s="303" t="s">
        <v>232</v>
      </c>
    </row>
    <row r="62349" spans="119:119" x14ac:dyDescent="0.2">
      <c r="DO62349" s="303" t="s">
        <v>232</v>
      </c>
    </row>
    <row r="62350" spans="119:119" x14ac:dyDescent="0.2">
      <c r="DO62350" s="303" t="s">
        <v>232</v>
      </c>
    </row>
    <row r="62351" spans="119:119" x14ac:dyDescent="0.2">
      <c r="DO62351" s="303" t="s">
        <v>232</v>
      </c>
    </row>
    <row r="62352" spans="119:119" x14ac:dyDescent="0.2">
      <c r="DO62352" s="303" t="s">
        <v>232</v>
      </c>
    </row>
    <row r="62353" spans="119:119" x14ac:dyDescent="0.2">
      <c r="DO62353" s="303" t="s">
        <v>232</v>
      </c>
    </row>
    <row r="62354" spans="119:119" x14ac:dyDescent="0.2">
      <c r="DO62354" s="303" t="s">
        <v>232</v>
      </c>
    </row>
    <row r="62355" spans="119:119" x14ac:dyDescent="0.2">
      <c r="DO62355" s="303" t="s">
        <v>232</v>
      </c>
    </row>
    <row r="62356" spans="119:119" x14ac:dyDescent="0.2">
      <c r="DO62356" s="303" t="s">
        <v>232</v>
      </c>
    </row>
    <row r="62357" spans="119:119" x14ac:dyDescent="0.2">
      <c r="DO62357" s="303" t="s">
        <v>232</v>
      </c>
    </row>
    <row r="62358" spans="119:119" x14ac:dyDescent="0.2">
      <c r="DO62358" s="303" t="s">
        <v>232</v>
      </c>
    </row>
    <row r="62359" spans="119:119" x14ac:dyDescent="0.2">
      <c r="DO62359" s="303" t="s">
        <v>232</v>
      </c>
    </row>
    <row r="62360" spans="119:119" x14ac:dyDescent="0.2">
      <c r="DO62360" s="303" t="s">
        <v>232</v>
      </c>
    </row>
    <row r="62361" spans="119:119" x14ac:dyDescent="0.2">
      <c r="DO62361" s="303" t="s">
        <v>232</v>
      </c>
    </row>
    <row r="62362" spans="119:119" x14ac:dyDescent="0.2">
      <c r="DO62362" s="303" t="s">
        <v>232</v>
      </c>
    </row>
    <row r="62363" spans="119:119" x14ac:dyDescent="0.2">
      <c r="DO62363" s="303" t="s">
        <v>232</v>
      </c>
    </row>
    <row r="62364" spans="119:119" x14ac:dyDescent="0.2">
      <c r="DO62364" s="303" t="s">
        <v>232</v>
      </c>
    </row>
    <row r="62365" spans="119:119" x14ac:dyDescent="0.2">
      <c r="DO62365" s="303" t="s">
        <v>232</v>
      </c>
    </row>
    <row r="62366" spans="119:119" x14ac:dyDescent="0.2">
      <c r="DO62366" s="303" t="s">
        <v>232</v>
      </c>
    </row>
    <row r="62367" spans="119:119" x14ac:dyDescent="0.2">
      <c r="DO62367" s="303" t="s">
        <v>232</v>
      </c>
    </row>
    <row r="62368" spans="119:119" x14ac:dyDescent="0.2">
      <c r="DO62368" s="303" t="s">
        <v>232</v>
      </c>
    </row>
    <row r="62369" spans="119:119" x14ac:dyDescent="0.2">
      <c r="DO62369" s="303" t="s">
        <v>232</v>
      </c>
    </row>
    <row r="62370" spans="119:119" x14ac:dyDescent="0.2">
      <c r="DO62370" s="303" t="s">
        <v>232</v>
      </c>
    </row>
    <row r="62371" spans="119:119" x14ac:dyDescent="0.2">
      <c r="DO62371" s="303" t="s">
        <v>232</v>
      </c>
    </row>
    <row r="62372" spans="119:119" x14ac:dyDescent="0.2">
      <c r="DO62372" s="303" t="s">
        <v>232</v>
      </c>
    </row>
    <row r="62373" spans="119:119" x14ac:dyDescent="0.2">
      <c r="DO62373" s="303" t="s">
        <v>232</v>
      </c>
    </row>
    <row r="62374" spans="119:119" x14ac:dyDescent="0.2">
      <c r="DO62374" s="303" t="s">
        <v>232</v>
      </c>
    </row>
    <row r="62375" spans="119:119" x14ac:dyDescent="0.2">
      <c r="DO62375" s="303" t="s">
        <v>232</v>
      </c>
    </row>
    <row r="62376" spans="119:119" x14ac:dyDescent="0.2">
      <c r="DO62376" s="303" t="s">
        <v>232</v>
      </c>
    </row>
    <row r="62377" spans="119:119" x14ac:dyDescent="0.2">
      <c r="DO62377" s="303" t="s">
        <v>232</v>
      </c>
    </row>
    <row r="62378" spans="119:119" x14ac:dyDescent="0.2">
      <c r="DO62378" s="303" t="s">
        <v>232</v>
      </c>
    </row>
    <row r="62379" spans="119:119" x14ac:dyDescent="0.2">
      <c r="DO62379" s="303" t="s">
        <v>232</v>
      </c>
    </row>
    <row r="62380" spans="119:119" x14ac:dyDescent="0.2">
      <c r="DO62380" s="303" t="s">
        <v>232</v>
      </c>
    </row>
    <row r="62381" spans="119:119" x14ac:dyDescent="0.2">
      <c r="DO62381" s="303" t="s">
        <v>232</v>
      </c>
    </row>
    <row r="62382" spans="119:119" x14ac:dyDescent="0.2">
      <c r="DO62382" s="303" t="s">
        <v>232</v>
      </c>
    </row>
    <row r="62383" spans="119:119" x14ac:dyDescent="0.2">
      <c r="DO62383" s="303" t="s">
        <v>232</v>
      </c>
    </row>
    <row r="62384" spans="119:119" x14ac:dyDescent="0.2">
      <c r="DO62384" s="303" t="s">
        <v>232</v>
      </c>
    </row>
    <row r="62385" spans="119:119" x14ac:dyDescent="0.2">
      <c r="DO62385" s="303" t="s">
        <v>232</v>
      </c>
    </row>
    <row r="62386" spans="119:119" x14ac:dyDescent="0.2">
      <c r="DO62386" s="303" t="s">
        <v>232</v>
      </c>
    </row>
    <row r="62387" spans="119:119" x14ac:dyDescent="0.2">
      <c r="DO62387" s="303" t="s">
        <v>232</v>
      </c>
    </row>
    <row r="62388" spans="119:119" x14ac:dyDescent="0.2">
      <c r="DO62388" s="303" t="s">
        <v>232</v>
      </c>
    </row>
    <row r="62389" spans="119:119" x14ac:dyDescent="0.2">
      <c r="DO62389" s="303" t="s">
        <v>232</v>
      </c>
    </row>
    <row r="62390" spans="119:119" x14ac:dyDescent="0.2">
      <c r="DO62390" s="303" t="s">
        <v>232</v>
      </c>
    </row>
    <row r="62391" spans="119:119" x14ac:dyDescent="0.2">
      <c r="DO62391" s="303" t="s">
        <v>232</v>
      </c>
    </row>
    <row r="62392" spans="119:119" x14ac:dyDescent="0.2">
      <c r="DO62392" s="303" t="s">
        <v>232</v>
      </c>
    </row>
    <row r="62393" spans="119:119" x14ac:dyDescent="0.2">
      <c r="DO62393" s="303" t="s">
        <v>232</v>
      </c>
    </row>
    <row r="62394" spans="119:119" x14ac:dyDescent="0.2">
      <c r="DO62394" s="303" t="s">
        <v>232</v>
      </c>
    </row>
    <row r="62395" spans="119:119" x14ac:dyDescent="0.2">
      <c r="DO62395" s="303" t="s">
        <v>232</v>
      </c>
    </row>
    <row r="62396" spans="119:119" x14ac:dyDescent="0.2">
      <c r="DO62396" s="303" t="s">
        <v>232</v>
      </c>
    </row>
    <row r="62397" spans="119:119" x14ac:dyDescent="0.2">
      <c r="DO62397" s="303" t="s">
        <v>232</v>
      </c>
    </row>
    <row r="62398" spans="119:119" x14ac:dyDescent="0.2">
      <c r="DO62398" s="303" t="s">
        <v>232</v>
      </c>
    </row>
    <row r="62399" spans="119:119" x14ac:dyDescent="0.2">
      <c r="DO62399" s="303" t="s">
        <v>232</v>
      </c>
    </row>
    <row r="62400" spans="119:119" x14ac:dyDescent="0.2">
      <c r="DO62400" s="303" t="s">
        <v>232</v>
      </c>
    </row>
    <row r="62401" spans="119:119" x14ac:dyDescent="0.2">
      <c r="DO62401" s="303" t="s">
        <v>232</v>
      </c>
    </row>
    <row r="62402" spans="119:119" x14ac:dyDescent="0.2">
      <c r="DO62402" s="303" t="s">
        <v>232</v>
      </c>
    </row>
    <row r="62403" spans="119:119" x14ac:dyDescent="0.2">
      <c r="DO62403" s="303" t="s">
        <v>232</v>
      </c>
    </row>
    <row r="62404" spans="119:119" x14ac:dyDescent="0.2">
      <c r="DO62404" s="303" t="s">
        <v>232</v>
      </c>
    </row>
    <row r="62405" spans="119:119" x14ac:dyDescent="0.2">
      <c r="DO62405" s="303" t="s">
        <v>232</v>
      </c>
    </row>
    <row r="62406" spans="119:119" x14ac:dyDescent="0.2">
      <c r="DO62406" s="303" t="s">
        <v>232</v>
      </c>
    </row>
    <row r="62407" spans="119:119" x14ac:dyDescent="0.2">
      <c r="DO62407" s="303" t="s">
        <v>232</v>
      </c>
    </row>
    <row r="62408" spans="119:119" x14ac:dyDescent="0.2">
      <c r="DO62408" s="303" t="s">
        <v>232</v>
      </c>
    </row>
    <row r="62409" spans="119:119" x14ac:dyDescent="0.2">
      <c r="DO62409" s="303" t="s">
        <v>232</v>
      </c>
    </row>
    <row r="62410" spans="119:119" x14ac:dyDescent="0.2">
      <c r="DO62410" s="303" t="s">
        <v>232</v>
      </c>
    </row>
    <row r="62411" spans="119:119" x14ac:dyDescent="0.2">
      <c r="DO62411" s="303" t="s">
        <v>232</v>
      </c>
    </row>
    <row r="62412" spans="119:119" x14ac:dyDescent="0.2">
      <c r="DO62412" s="303" t="s">
        <v>232</v>
      </c>
    </row>
    <row r="62413" spans="119:119" x14ac:dyDescent="0.2">
      <c r="DO62413" s="303" t="s">
        <v>232</v>
      </c>
    </row>
    <row r="62414" spans="119:119" x14ac:dyDescent="0.2">
      <c r="DO62414" s="303" t="s">
        <v>232</v>
      </c>
    </row>
    <row r="62415" spans="119:119" x14ac:dyDescent="0.2">
      <c r="DO62415" s="303" t="s">
        <v>232</v>
      </c>
    </row>
    <row r="62416" spans="119:119" x14ac:dyDescent="0.2">
      <c r="DO62416" s="303" t="s">
        <v>232</v>
      </c>
    </row>
    <row r="62417" spans="119:119" x14ac:dyDescent="0.2">
      <c r="DO62417" s="303" t="s">
        <v>232</v>
      </c>
    </row>
    <row r="62418" spans="119:119" x14ac:dyDescent="0.2">
      <c r="DO62418" s="303" t="s">
        <v>232</v>
      </c>
    </row>
    <row r="62419" spans="119:119" x14ac:dyDescent="0.2">
      <c r="DO62419" s="303" t="s">
        <v>232</v>
      </c>
    </row>
    <row r="62420" spans="119:119" x14ac:dyDescent="0.2">
      <c r="DO62420" s="303" t="s">
        <v>232</v>
      </c>
    </row>
    <row r="62421" spans="119:119" x14ac:dyDescent="0.2">
      <c r="DO62421" s="303" t="s">
        <v>232</v>
      </c>
    </row>
    <row r="62422" spans="119:119" x14ac:dyDescent="0.2">
      <c r="DO62422" s="303" t="s">
        <v>232</v>
      </c>
    </row>
    <row r="62423" spans="119:119" x14ac:dyDescent="0.2">
      <c r="DO62423" s="303" t="s">
        <v>232</v>
      </c>
    </row>
    <row r="62424" spans="119:119" x14ac:dyDescent="0.2">
      <c r="DO62424" s="303" t="s">
        <v>232</v>
      </c>
    </row>
    <row r="62425" spans="119:119" x14ac:dyDescent="0.2">
      <c r="DO62425" s="303" t="s">
        <v>232</v>
      </c>
    </row>
    <row r="62426" spans="119:119" x14ac:dyDescent="0.2">
      <c r="DO62426" s="303" t="s">
        <v>232</v>
      </c>
    </row>
    <row r="62427" spans="119:119" x14ac:dyDescent="0.2">
      <c r="DO62427" s="303" t="s">
        <v>232</v>
      </c>
    </row>
    <row r="62428" spans="119:119" x14ac:dyDescent="0.2">
      <c r="DO62428" s="303" t="s">
        <v>232</v>
      </c>
    </row>
    <row r="62429" spans="119:119" x14ac:dyDescent="0.2">
      <c r="DO62429" s="303" t="s">
        <v>232</v>
      </c>
    </row>
    <row r="62430" spans="119:119" x14ac:dyDescent="0.2">
      <c r="DO62430" s="303" t="s">
        <v>232</v>
      </c>
    </row>
    <row r="62431" spans="119:119" x14ac:dyDescent="0.2">
      <c r="DO62431" s="303" t="s">
        <v>232</v>
      </c>
    </row>
    <row r="62432" spans="119:119" x14ac:dyDescent="0.2">
      <c r="DO62432" s="303" t="s">
        <v>232</v>
      </c>
    </row>
    <row r="62433" spans="119:119" x14ac:dyDescent="0.2">
      <c r="DO62433" s="303" t="s">
        <v>232</v>
      </c>
    </row>
    <row r="62434" spans="119:119" x14ac:dyDescent="0.2">
      <c r="DO62434" s="303" t="s">
        <v>232</v>
      </c>
    </row>
    <row r="62435" spans="119:119" x14ac:dyDescent="0.2">
      <c r="DO62435" s="303" t="s">
        <v>232</v>
      </c>
    </row>
    <row r="62436" spans="119:119" x14ac:dyDescent="0.2">
      <c r="DO62436" s="303" t="s">
        <v>232</v>
      </c>
    </row>
    <row r="62437" spans="119:119" x14ac:dyDescent="0.2">
      <c r="DO62437" s="303" t="s">
        <v>232</v>
      </c>
    </row>
    <row r="62438" spans="119:119" x14ac:dyDescent="0.2">
      <c r="DO62438" s="303" t="s">
        <v>232</v>
      </c>
    </row>
    <row r="62439" spans="119:119" x14ac:dyDescent="0.2">
      <c r="DO62439" s="303" t="s">
        <v>232</v>
      </c>
    </row>
    <row r="62440" spans="119:119" x14ac:dyDescent="0.2">
      <c r="DO62440" s="303" t="s">
        <v>232</v>
      </c>
    </row>
    <row r="62441" spans="119:119" x14ac:dyDescent="0.2">
      <c r="DO62441" s="303" t="s">
        <v>232</v>
      </c>
    </row>
    <row r="62442" spans="119:119" x14ac:dyDescent="0.2">
      <c r="DO62442" s="303" t="s">
        <v>232</v>
      </c>
    </row>
    <row r="62443" spans="119:119" x14ac:dyDescent="0.2">
      <c r="DO62443" s="303" t="s">
        <v>232</v>
      </c>
    </row>
    <row r="62444" spans="119:119" x14ac:dyDescent="0.2">
      <c r="DO62444" s="303" t="s">
        <v>232</v>
      </c>
    </row>
    <row r="62445" spans="119:119" x14ac:dyDescent="0.2">
      <c r="DO62445" s="303" t="s">
        <v>232</v>
      </c>
    </row>
    <row r="62446" spans="119:119" x14ac:dyDescent="0.2">
      <c r="DO62446" s="303" t="s">
        <v>232</v>
      </c>
    </row>
    <row r="62447" spans="119:119" x14ac:dyDescent="0.2">
      <c r="DO62447" s="303" t="s">
        <v>232</v>
      </c>
    </row>
    <row r="62448" spans="119:119" x14ac:dyDescent="0.2">
      <c r="DO62448" s="303" t="s">
        <v>232</v>
      </c>
    </row>
    <row r="62449" spans="119:119" x14ac:dyDescent="0.2">
      <c r="DO62449" s="303" t="s">
        <v>232</v>
      </c>
    </row>
    <row r="62450" spans="119:119" x14ac:dyDescent="0.2">
      <c r="DO62450" s="303" t="s">
        <v>232</v>
      </c>
    </row>
    <row r="62451" spans="119:119" x14ac:dyDescent="0.2">
      <c r="DO62451" s="303" t="s">
        <v>232</v>
      </c>
    </row>
    <row r="62452" spans="119:119" x14ac:dyDescent="0.2">
      <c r="DO62452" s="303" t="s">
        <v>232</v>
      </c>
    </row>
    <row r="62453" spans="119:119" x14ac:dyDescent="0.2">
      <c r="DO62453" s="303" t="s">
        <v>232</v>
      </c>
    </row>
    <row r="62454" spans="119:119" x14ac:dyDescent="0.2">
      <c r="DO62454" s="303" t="s">
        <v>232</v>
      </c>
    </row>
    <row r="62455" spans="119:119" x14ac:dyDescent="0.2">
      <c r="DO62455" s="303" t="s">
        <v>232</v>
      </c>
    </row>
    <row r="62456" spans="119:119" x14ac:dyDescent="0.2">
      <c r="DO62456" s="303" t="s">
        <v>232</v>
      </c>
    </row>
    <row r="62457" spans="119:119" x14ac:dyDescent="0.2">
      <c r="DO62457" s="303" t="s">
        <v>232</v>
      </c>
    </row>
    <row r="62458" spans="119:119" x14ac:dyDescent="0.2">
      <c r="DO62458" s="303" t="s">
        <v>232</v>
      </c>
    </row>
    <row r="62459" spans="119:119" x14ac:dyDescent="0.2">
      <c r="DO62459" s="303" t="s">
        <v>232</v>
      </c>
    </row>
    <row r="62460" spans="119:119" x14ac:dyDescent="0.2">
      <c r="DO62460" s="303" t="s">
        <v>232</v>
      </c>
    </row>
    <row r="62461" spans="119:119" x14ac:dyDescent="0.2">
      <c r="DO62461" s="303" t="s">
        <v>232</v>
      </c>
    </row>
    <row r="62462" spans="119:119" x14ac:dyDescent="0.2">
      <c r="DO62462" s="303" t="s">
        <v>232</v>
      </c>
    </row>
    <row r="62463" spans="119:119" x14ac:dyDescent="0.2">
      <c r="DO62463" s="303" t="s">
        <v>232</v>
      </c>
    </row>
    <row r="62464" spans="119:119" x14ac:dyDescent="0.2">
      <c r="DO62464" s="303" t="s">
        <v>232</v>
      </c>
    </row>
    <row r="62465" spans="119:119" x14ac:dyDescent="0.2">
      <c r="DO62465" s="303" t="s">
        <v>232</v>
      </c>
    </row>
    <row r="62466" spans="119:119" x14ac:dyDescent="0.2">
      <c r="DO62466" s="303" t="s">
        <v>232</v>
      </c>
    </row>
    <row r="62467" spans="119:119" x14ac:dyDescent="0.2">
      <c r="DO62467" s="303" t="s">
        <v>232</v>
      </c>
    </row>
    <row r="62468" spans="119:119" x14ac:dyDescent="0.2">
      <c r="DO62468" s="303" t="s">
        <v>232</v>
      </c>
    </row>
    <row r="62469" spans="119:119" x14ac:dyDescent="0.2">
      <c r="DO62469" s="303" t="s">
        <v>232</v>
      </c>
    </row>
    <row r="62470" spans="119:119" x14ac:dyDescent="0.2">
      <c r="DO62470" s="303" t="s">
        <v>232</v>
      </c>
    </row>
    <row r="62471" spans="119:119" x14ac:dyDescent="0.2">
      <c r="DO62471" s="303" t="s">
        <v>232</v>
      </c>
    </row>
    <row r="62472" spans="119:119" x14ac:dyDescent="0.2">
      <c r="DO62472" s="303" t="s">
        <v>232</v>
      </c>
    </row>
    <row r="62473" spans="119:119" x14ac:dyDescent="0.2">
      <c r="DO62473" s="303" t="s">
        <v>232</v>
      </c>
    </row>
    <row r="62474" spans="119:119" x14ac:dyDescent="0.2">
      <c r="DO62474" s="303" t="s">
        <v>232</v>
      </c>
    </row>
    <row r="62475" spans="119:119" x14ac:dyDescent="0.2">
      <c r="DO62475" s="303" t="s">
        <v>232</v>
      </c>
    </row>
    <row r="62476" spans="119:119" x14ac:dyDescent="0.2">
      <c r="DO62476" s="303" t="s">
        <v>232</v>
      </c>
    </row>
    <row r="62477" spans="119:119" x14ac:dyDescent="0.2">
      <c r="DO62477" s="303" t="s">
        <v>232</v>
      </c>
    </row>
    <row r="62478" spans="119:119" x14ac:dyDescent="0.2">
      <c r="DO62478" s="303" t="s">
        <v>232</v>
      </c>
    </row>
    <row r="62479" spans="119:119" x14ac:dyDescent="0.2">
      <c r="DO62479" s="303" t="s">
        <v>232</v>
      </c>
    </row>
    <row r="62480" spans="119:119" x14ac:dyDescent="0.2">
      <c r="DO62480" s="303" t="s">
        <v>232</v>
      </c>
    </row>
    <row r="62481" spans="119:119" x14ac:dyDescent="0.2">
      <c r="DO62481" s="303" t="s">
        <v>232</v>
      </c>
    </row>
    <row r="62482" spans="119:119" x14ac:dyDescent="0.2">
      <c r="DO62482" s="303" t="s">
        <v>232</v>
      </c>
    </row>
    <row r="62483" spans="119:119" x14ac:dyDescent="0.2">
      <c r="DO62483" s="303" t="s">
        <v>232</v>
      </c>
    </row>
    <row r="62484" spans="119:119" x14ac:dyDescent="0.2">
      <c r="DO62484" s="303" t="s">
        <v>232</v>
      </c>
    </row>
    <row r="62485" spans="119:119" x14ac:dyDescent="0.2">
      <c r="DO62485" s="303" t="s">
        <v>232</v>
      </c>
    </row>
    <row r="62486" spans="119:119" x14ac:dyDescent="0.2">
      <c r="DO62486" s="303" t="s">
        <v>232</v>
      </c>
    </row>
    <row r="62487" spans="119:119" x14ac:dyDescent="0.2">
      <c r="DO62487" s="303" t="s">
        <v>232</v>
      </c>
    </row>
    <row r="62488" spans="119:119" x14ac:dyDescent="0.2">
      <c r="DO62488" s="303" t="s">
        <v>232</v>
      </c>
    </row>
    <row r="62489" spans="119:119" x14ac:dyDescent="0.2">
      <c r="DO62489" s="303" t="s">
        <v>232</v>
      </c>
    </row>
    <row r="62490" spans="119:119" x14ac:dyDescent="0.2">
      <c r="DO62490" s="303" t="s">
        <v>232</v>
      </c>
    </row>
    <row r="62491" spans="119:119" x14ac:dyDescent="0.2">
      <c r="DO62491" s="303" t="s">
        <v>232</v>
      </c>
    </row>
    <row r="62492" spans="119:119" x14ac:dyDescent="0.2">
      <c r="DO62492" s="303" t="s">
        <v>232</v>
      </c>
    </row>
    <row r="62493" spans="119:119" x14ac:dyDescent="0.2">
      <c r="DO62493" s="303" t="s">
        <v>232</v>
      </c>
    </row>
    <row r="62494" spans="119:119" x14ac:dyDescent="0.2">
      <c r="DO62494" s="303" t="s">
        <v>232</v>
      </c>
    </row>
    <row r="62495" spans="119:119" x14ac:dyDescent="0.2">
      <c r="DO62495" s="303" t="s">
        <v>232</v>
      </c>
    </row>
    <row r="62496" spans="119:119" x14ac:dyDescent="0.2">
      <c r="DO62496" s="303" t="s">
        <v>232</v>
      </c>
    </row>
    <row r="62497" spans="119:119" x14ac:dyDescent="0.2">
      <c r="DO62497" s="303" t="s">
        <v>232</v>
      </c>
    </row>
    <row r="62498" spans="119:119" x14ac:dyDescent="0.2">
      <c r="DO62498" s="303" t="s">
        <v>232</v>
      </c>
    </row>
    <row r="62499" spans="119:119" x14ac:dyDescent="0.2">
      <c r="DO62499" s="303" t="s">
        <v>232</v>
      </c>
    </row>
    <row r="62500" spans="119:119" x14ac:dyDescent="0.2">
      <c r="DO62500" s="303" t="s">
        <v>232</v>
      </c>
    </row>
    <row r="62501" spans="119:119" x14ac:dyDescent="0.2">
      <c r="DO62501" s="303" t="s">
        <v>232</v>
      </c>
    </row>
    <row r="62502" spans="119:119" x14ac:dyDescent="0.2">
      <c r="DO62502" s="303" t="s">
        <v>232</v>
      </c>
    </row>
    <row r="62503" spans="119:119" x14ac:dyDescent="0.2">
      <c r="DO62503" s="303" t="s">
        <v>232</v>
      </c>
    </row>
    <row r="62504" spans="119:119" x14ac:dyDescent="0.2">
      <c r="DO62504" s="303" t="s">
        <v>232</v>
      </c>
    </row>
    <row r="62505" spans="119:119" x14ac:dyDescent="0.2">
      <c r="DO62505" s="303" t="s">
        <v>232</v>
      </c>
    </row>
    <row r="62506" spans="119:119" x14ac:dyDescent="0.2">
      <c r="DO62506" s="303" t="s">
        <v>232</v>
      </c>
    </row>
    <row r="62507" spans="119:119" x14ac:dyDescent="0.2">
      <c r="DO62507" s="303" t="s">
        <v>232</v>
      </c>
    </row>
    <row r="62508" spans="119:119" x14ac:dyDescent="0.2">
      <c r="DO62508" s="303" t="s">
        <v>232</v>
      </c>
    </row>
    <row r="62509" spans="119:119" x14ac:dyDescent="0.2">
      <c r="DO62509" s="303" t="s">
        <v>232</v>
      </c>
    </row>
    <row r="62510" spans="119:119" x14ac:dyDescent="0.2">
      <c r="DO62510" s="303" t="s">
        <v>232</v>
      </c>
    </row>
    <row r="62511" spans="119:119" x14ac:dyDescent="0.2">
      <c r="DO62511" s="303" t="s">
        <v>232</v>
      </c>
    </row>
    <row r="62512" spans="119:119" x14ac:dyDescent="0.2">
      <c r="DO62512" s="303" t="s">
        <v>232</v>
      </c>
    </row>
    <row r="62513" spans="119:119" x14ac:dyDescent="0.2">
      <c r="DO62513" s="303" t="s">
        <v>232</v>
      </c>
    </row>
    <row r="62514" spans="119:119" x14ac:dyDescent="0.2">
      <c r="DO62514" s="303" t="s">
        <v>232</v>
      </c>
    </row>
    <row r="62515" spans="119:119" x14ac:dyDescent="0.2">
      <c r="DO62515" s="303" t="s">
        <v>232</v>
      </c>
    </row>
    <row r="62516" spans="119:119" x14ac:dyDescent="0.2">
      <c r="DO62516" s="303" t="s">
        <v>232</v>
      </c>
    </row>
    <row r="62517" spans="119:119" x14ac:dyDescent="0.2">
      <c r="DO62517" s="303" t="s">
        <v>232</v>
      </c>
    </row>
    <row r="62518" spans="119:119" x14ac:dyDescent="0.2">
      <c r="DO62518" s="303" t="s">
        <v>232</v>
      </c>
    </row>
    <row r="62519" spans="119:119" x14ac:dyDescent="0.2">
      <c r="DO62519" s="303" t="s">
        <v>232</v>
      </c>
    </row>
    <row r="62520" spans="119:119" x14ac:dyDescent="0.2">
      <c r="DO62520" s="303" t="s">
        <v>232</v>
      </c>
    </row>
    <row r="62521" spans="119:119" x14ac:dyDescent="0.2">
      <c r="DO62521" s="303" t="s">
        <v>232</v>
      </c>
    </row>
    <row r="62522" spans="119:119" x14ac:dyDescent="0.2">
      <c r="DO62522" s="303" t="s">
        <v>232</v>
      </c>
    </row>
    <row r="62523" spans="119:119" x14ac:dyDescent="0.2">
      <c r="DO62523" s="303" t="s">
        <v>232</v>
      </c>
    </row>
    <row r="62524" spans="119:119" x14ac:dyDescent="0.2">
      <c r="DO62524" s="303" t="s">
        <v>232</v>
      </c>
    </row>
    <row r="62525" spans="119:119" x14ac:dyDescent="0.2">
      <c r="DO62525" s="303" t="s">
        <v>232</v>
      </c>
    </row>
    <row r="62526" spans="119:119" x14ac:dyDescent="0.2">
      <c r="DO62526" s="303" t="s">
        <v>232</v>
      </c>
    </row>
    <row r="62527" spans="119:119" x14ac:dyDescent="0.2">
      <c r="DO62527" s="303" t="s">
        <v>232</v>
      </c>
    </row>
    <row r="62528" spans="119:119" x14ac:dyDescent="0.2">
      <c r="DO62528" s="303" t="s">
        <v>232</v>
      </c>
    </row>
    <row r="62529" spans="119:119" x14ac:dyDescent="0.2">
      <c r="DO62529" s="303" t="s">
        <v>232</v>
      </c>
    </row>
    <row r="62530" spans="119:119" x14ac:dyDescent="0.2">
      <c r="DO62530" s="303" t="s">
        <v>232</v>
      </c>
    </row>
    <row r="62531" spans="119:119" x14ac:dyDescent="0.2">
      <c r="DO62531" s="303" t="s">
        <v>232</v>
      </c>
    </row>
    <row r="62532" spans="119:119" x14ac:dyDescent="0.2">
      <c r="DO62532" s="303" t="s">
        <v>232</v>
      </c>
    </row>
    <row r="62533" spans="119:119" x14ac:dyDescent="0.2">
      <c r="DO62533" s="303" t="s">
        <v>232</v>
      </c>
    </row>
    <row r="62534" spans="119:119" x14ac:dyDescent="0.2">
      <c r="DO62534" s="303" t="s">
        <v>232</v>
      </c>
    </row>
    <row r="62535" spans="119:119" x14ac:dyDescent="0.2">
      <c r="DO62535" s="303" t="s">
        <v>232</v>
      </c>
    </row>
    <row r="62536" spans="119:119" x14ac:dyDescent="0.2">
      <c r="DO62536" s="303" t="s">
        <v>232</v>
      </c>
    </row>
    <row r="62537" spans="119:119" x14ac:dyDescent="0.2">
      <c r="DO62537" s="303" t="s">
        <v>232</v>
      </c>
    </row>
    <row r="62538" spans="119:119" x14ac:dyDescent="0.2">
      <c r="DO62538" s="303" t="s">
        <v>232</v>
      </c>
    </row>
    <row r="62539" spans="119:119" x14ac:dyDescent="0.2">
      <c r="DO62539" s="303" t="s">
        <v>232</v>
      </c>
    </row>
    <row r="62540" spans="119:119" x14ac:dyDescent="0.2">
      <c r="DO62540" s="303" t="s">
        <v>232</v>
      </c>
    </row>
    <row r="62541" spans="119:119" x14ac:dyDescent="0.2">
      <c r="DO62541" s="303" t="s">
        <v>232</v>
      </c>
    </row>
    <row r="62542" spans="119:119" x14ac:dyDescent="0.2">
      <c r="DO62542" s="303" t="s">
        <v>232</v>
      </c>
    </row>
    <row r="62543" spans="119:119" x14ac:dyDescent="0.2">
      <c r="DO62543" s="303" t="s">
        <v>232</v>
      </c>
    </row>
    <row r="62544" spans="119:119" x14ac:dyDescent="0.2">
      <c r="DO62544" s="303" t="s">
        <v>232</v>
      </c>
    </row>
    <row r="62545" spans="119:119" x14ac:dyDescent="0.2">
      <c r="DO62545" s="303" t="s">
        <v>232</v>
      </c>
    </row>
    <row r="62546" spans="119:119" x14ac:dyDescent="0.2">
      <c r="DO62546" s="303" t="s">
        <v>232</v>
      </c>
    </row>
    <row r="62547" spans="119:119" x14ac:dyDescent="0.2">
      <c r="DO62547" s="303" t="s">
        <v>232</v>
      </c>
    </row>
    <row r="62548" spans="119:119" x14ac:dyDescent="0.2">
      <c r="DO62548" s="303" t="s">
        <v>232</v>
      </c>
    </row>
    <row r="62549" spans="119:119" x14ac:dyDescent="0.2">
      <c r="DO62549" s="303" t="s">
        <v>232</v>
      </c>
    </row>
    <row r="62550" spans="119:119" x14ac:dyDescent="0.2">
      <c r="DO62550" s="303" t="s">
        <v>232</v>
      </c>
    </row>
    <row r="62551" spans="119:119" x14ac:dyDescent="0.2">
      <c r="DO62551" s="303" t="s">
        <v>232</v>
      </c>
    </row>
    <row r="62552" spans="119:119" x14ac:dyDescent="0.2">
      <c r="DO62552" s="303" t="s">
        <v>232</v>
      </c>
    </row>
    <row r="62553" spans="119:119" x14ac:dyDescent="0.2">
      <c r="DO62553" s="303" t="s">
        <v>232</v>
      </c>
    </row>
    <row r="62554" spans="119:119" x14ac:dyDescent="0.2">
      <c r="DO62554" s="303" t="s">
        <v>232</v>
      </c>
    </row>
    <row r="62555" spans="119:119" x14ac:dyDescent="0.2">
      <c r="DO62555" s="303" t="s">
        <v>232</v>
      </c>
    </row>
    <row r="62556" spans="119:119" x14ac:dyDescent="0.2">
      <c r="DO62556" s="303" t="s">
        <v>232</v>
      </c>
    </row>
    <row r="62557" spans="119:119" x14ac:dyDescent="0.2">
      <c r="DO62557" s="303" t="s">
        <v>232</v>
      </c>
    </row>
    <row r="62558" spans="119:119" x14ac:dyDescent="0.2">
      <c r="DO62558" s="303" t="s">
        <v>232</v>
      </c>
    </row>
    <row r="62559" spans="119:119" x14ac:dyDescent="0.2">
      <c r="DO62559" s="303" t="s">
        <v>232</v>
      </c>
    </row>
    <row r="62560" spans="119:119" x14ac:dyDescent="0.2">
      <c r="DO62560" s="303" t="s">
        <v>232</v>
      </c>
    </row>
    <row r="62561" spans="119:119" x14ac:dyDescent="0.2">
      <c r="DO62561" s="303" t="s">
        <v>232</v>
      </c>
    </row>
    <row r="62562" spans="119:119" x14ac:dyDescent="0.2">
      <c r="DO62562" s="303" t="s">
        <v>232</v>
      </c>
    </row>
    <row r="62563" spans="119:119" x14ac:dyDescent="0.2">
      <c r="DO62563" s="303" t="s">
        <v>232</v>
      </c>
    </row>
    <row r="62564" spans="119:119" x14ac:dyDescent="0.2">
      <c r="DO62564" s="303" t="s">
        <v>232</v>
      </c>
    </row>
    <row r="62565" spans="119:119" x14ac:dyDescent="0.2">
      <c r="DO62565" s="303" t="s">
        <v>232</v>
      </c>
    </row>
    <row r="62566" spans="119:119" x14ac:dyDescent="0.2">
      <c r="DO62566" s="303" t="s">
        <v>232</v>
      </c>
    </row>
    <row r="62567" spans="119:119" x14ac:dyDescent="0.2">
      <c r="DO62567" s="303" t="s">
        <v>232</v>
      </c>
    </row>
    <row r="62568" spans="119:119" x14ac:dyDescent="0.2">
      <c r="DO62568" s="303" t="s">
        <v>232</v>
      </c>
    </row>
    <row r="62569" spans="119:119" x14ac:dyDescent="0.2">
      <c r="DO62569" s="303" t="s">
        <v>232</v>
      </c>
    </row>
    <row r="62570" spans="119:119" x14ac:dyDescent="0.2">
      <c r="DO62570" s="303" t="s">
        <v>232</v>
      </c>
    </row>
    <row r="62571" spans="119:119" x14ac:dyDescent="0.2">
      <c r="DO62571" s="303" t="s">
        <v>232</v>
      </c>
    </row>
    <row r="62572" spans="119:119" x14ac:dyDescent="0.2">
      <c r="DO62572" s="303" t="s">
        <v>232</v>
      </c>
    </row>
    <row r="62573" spans="119:119" x14ac:dyDescent="0.2">
      <c r="DO62573" s="303" t="s">
        <v>232</v>
      </c>
    </row>
    <row r="62574" spans="119:119" x14ac:dyDescent="0.2">
      <c r="DO62574" s="303" t="s">
        <v>232</v>
      </c>
    </row>
    <row r="62575" spans="119:119" x14ac:dyDescent="0.2">
      <c r="DO62575" s="303" t="s">
        <v>232</v>
      </c>
    </row>
    <row r="62576" spans="119:119" x14ac:dyDescent="0.2">
      <c r="DO62576" s="303" t="s">
        <v>232</v>
      </c>
    </row>
    <row r="62577" spans="119:119" x14ac:dyDescent="0.2">
      <c r="DO62577" s="303" t="s">
        <v>232</v>
      </c>
    </row>
    <row r="62578" spans="119:119" x14ac:dyDescent="0.2">
      <c r="DO62578" s="303" t="s">
        <v>232</v>
      </c>
    </row>
    <row r="62579" spans="119:119" x14ac:dyDescent="0.2">
      <c r="DO62579" s="303" t="s">
        <v>232</v>
      </c>
    </row>
    <row r="62580" spans="119:119" x14ac:dyDescent="0.2">
      <c r="DO62580" s="303" t="s">
        <v>232</v>
      </c>
    </row>
    <row r="62581" spans="119:119" x14ac:dyDescent="0.2">
      <c r="DO62581" s="303" t="s">
        <v>232</v>
      </c>
    </row>
    <row r="62582" spans="119:119" x14ac:dyDescent="0.2">
      <c r="DO62582" s="303" t="s">
        <v>232</v>
      </c>
    </row>
    <row r="62583" spans="119:119" x14ac:dyDescent="0.2">
      <c r="DO62583" s="303" t="s">
        <v>232</v>
      </c>
    </row>
    <row r="62584" spans="119:119" x14ac:dyDescent="0.2">
      <c r="DO62584" s="303" t="s">
        <v>232</v>
      </c>
    </row>
    <row r="62585" spans="119:119" x14ac:dyDescent="0.2">
      <c r="DO62585" s="303" t="s">
        <v>232</v>
      </c>
    </row>
    <row r="62586" spans="119:119" x14ac:dyDescent="0.2">
      <c r="DO62586" s="303" t="s">
        <v>232</v>
      </c>
    </row>
    <row r="62587" spans="119:119" x14ac:dyDescent="0.2">
      <c r="DO62587" s="303" t="s">
        <v>232</v>
      </c>
    </row>
    <row r="62588" spans="119:119" x14ac:dyDescent="0.2">
      <c r="DO62588" s="303" t="s">
        <v>232</v>
      </c>
    </row>
    <row r="62589" spans="119:119" x14ac:dyDescent="0.2">
      <c r="DO62589" s="303" t="s">
        <v>232</v>
      </c>
    </row>
    <row r="62590" spans="119:119" x14ac:dyDescent="0.2">
      <c r="DO62590" s="303" t="s">
        <v>232</v>
      </c>
    </row>
    <row r="62591" spans="119:119" x14ac:dyDescent="0.2">
      <c r="DO62591" s="303" t="s">
        <v>232</v>
      </c>
    </row>
    <row r="62592" spans="119:119" x14ac:dyDescent="0.2">
      <c r="DO62592" s="303" t="s">
        <v>232</v>
      </c>
    </row>
    <row r="62593" spans="119:119" x14ac:dyDescent="0.2">
      <c r="DO62593" s="303" t="s">
        <v>232</v>
      </c>
    </row>
    <row r="62594" spans="119:119" x14ac:dyDescent="0.2">
      <c r="DO62594" s="303" t="s">
        <v>232</v>
      </c>
    </row>
    <row r="62595" spans="119:119" x14ac:dyDescent="0.2">
      <c r="DO62595" s="303" t="s">
        <v>232</v>
      </c>
    </row>
    <row r="62596" spans="119:119" x14ac:dyDescent="0.2">
      <c r="DO62596" s="303" t="s">
        <v>232</v>
      </c>
    </row>
    <row r="62597" spans="119:119" x14ac:dyDescent="0.2">
      <c r="DO62597" s="303" t="s">
        <v>232</v>
      </c>
    </row>
    <row r="62598" spans="119:119" x14ac:dyDescent="0.2">
      <c r="DO62598" s="303" t="s">
        <v>232</v>
      </c>
    </row>
    <row r="62599" spans="119:119" x14ac:dyDescent="0.2">
      <c r="DO62599" s="303" t="s">
        <v>232</v>
      </c>
    </row>
    <row r="62600" spans="119:119" x14ac:dyDescent="0.2">
      <c r="DO62600" s="303" t="s">
        <v>232</v>
      </c>
    </row>
    <row r="62601" spans="119:119" x14ac:dyDescent="0.2">
      <c r="DO62601" s="303" t="s">
        <v>232</v>
      </c>
    </row>
    <row r="62602" spans="119:119" x14ac:dyDescent="0.2">
      <c r="DO62602" s="303" t="s">
        <v>232</v>
      </c>
    </row>
    <row r="62603" spans="119:119" x14ac:dyDescent="0.2">
      <c r="DO62603" s="303" t="s">
        <v>232</v>
      </c>
    </row>
    <row r="62604" spans="119:119" x14ac:dyDescent="0.2">
      <c r="DO62604" s="303" t="s">
        <v>232</v>
      </c>
    </row>
    <row r="62605" spans="119:119" x14ac:dyDescent="0.2">
      <c r="DO62605" s="303" t="s">
        <v>232</v>
      </c>
    </row>
    <row r="62606" spans="119:119" x14ac:dyDescent="0.2">
      <c r="DO62606" s="303" t="s">
        <v>232</v>
      </c>
    </row>
    <row r="62607" spans="119:119" x14ac:dyDescent="0.2">
      <c r="DO62607" s="303" t="s">
        <v>232</v>
      </c>
    </row>
    <row r="62608" spans="119:119" x14ac:dyDescent="0.2">
      <c r="DO62608" s="303" t="s">
        <v>232</v>
      </c>
    </row>
    <row r="62609" spans="119:119" x14ac:dyDescent="0.2">
      <c r="DO62609" s="303" t="s">
        <v>232</v>
      </c>
    </row>
    <row r="62610" spans="119:119" x14ac:dyDescent="0.2">
      <c r="DO62610" s="303" t="s">
        <v>232</v>
      </c>
    </row>
    <row r="62611" spans="119:119" x14ac:dyDescent="0.2">
      <c r="DO62611" s="303" t="s">
        <v>232</v>
      </c>
    </row>
    <row r="62612" spans="119:119" x14ac:dyDescent="0.2">
      <c r="DO62612" s="303" t="s">
        <v>232</v>
      </c>
    </row>
    <row r="62613" spans="119:119" x14ac:dyDescent="0.2">
      <c r="DO62613" s="303" t="s">
        <v>232</v>
      </c>
    </row>
    <row r="62614" spans="119:119" x14ac:dyDescent="0.2">
      <c r="DO62614" s="303" t="s">
        <v>232</v>
      </c>
    </row>
    <row r="62615" spans="119:119" x14ac:dyDescent="0.2">
      <c r="DO62615" s="303" t="s">
        <v>232</v>
      </c>
    </row>
    <row r="62616" spans="119:119" x14ac:dyDescent="0.2">
      <c r="DO62616" s="303" t="s">
        <v>232</v>
      </c>
    </row>
    <row r="62617" spans="119:119" x14ac:dyDescent="0.2">
      <c r="DO62617" s="303" t="s">
        <v>232</v>
      </c>
    </row>
    <row r="62618" spans="119:119" x14ac:dyDescent="0.2">
      <c r="DO62618" s="303" t="s">
        <v>232</v>
      </c>
    </row>
    <row r="62619" spans="119:119" x14ac:dyDescent="0.2">
      <c r="DO62619" s="303" t="s">
        <v>232</v>
      </c>
    </row>
    <row r="62620" spans="119:119" x14ac:dyDescent="0.2">
      <c r="DO62620" s="303" t="s">
        <v>232</v>
      </c>
    </row>
    <row r="62621" spans="119:119" x14ac:dyDescent="0.2">
      <c r="DO62621" s="303" t="s">
        <v>232</v>
      </c>
    </row>
    <row r="62622" spans="119:119" x14ac:dyDescent="0.2">
      <c r="DO62622" s="303" t="s">
        <v>232</v>
      </c>
    </row>
    <row r="62623" spans="119:119" x14ac:dyDescent="0.2">
      <c r="DO62623" s="303" t="s">
        <v>232</v>
      </c>
    </row>
    <row r="62624" spans="119:119" x14ac:dyDescent="0.2">
      <c r="DO62624" s="303" t="s">
        <v>232</v>
      </c>
    </row>
    <row r="62625" spans="119:119" x14ac:dyDescent="0.2">
      <c r="DO62625" s="303" t="s">
        <v>232</v>
      </c>
    </row>
    <row r="62626" spans="119:119" x14ac:dyDescent="0.2">
      <c r="DO62626" s="303" t="s">
        <v>232</v>
      </c>
    </row>
    <row r="62627" spans="119:119" x14ac:dyDescent="0.2">
      <c r="DO62627" s="303" t="s">
        <v>232</v>
      </c>
    </row>
    <row r="62628" spans="119:119" x14ac:dyDescent="0.2">
      <c r="DO62628" s="303" t="s">
        <v>232</v>
      </c>
    </row>
    <row r="62629" spans="119:119" x14ac:dyDescent="0.2">
      <c r="DO62629" s="303" t="s">
        <v>232</v>
      </c>
    </row>
    <row r="62630" spans="119:119" x14ac:dyDescent="0.2">
      <c r="DO62630" s="303" t="s">
        <v>232</v>
      </c>
    </row>
    <row r="62631" spans="119:119" x14ac:dyDescent="0.2">
      <c r="DO62631" s="303" t="s">
        <v>232</v>
      </c>
    </row>
    <row r="62632" spans="119:119" x14ac:dyDescent="0.2">
      <c r="DO62632" s="303" t="s">
        <v>232</v>
      </c>
    </row>
    <row r="62633" spans="119:119" x14ac:dyDescent="0.2">
      <c r="DO62633" s="303" t="s">
        <v>232</v>
      </c>
    </row>
    <row r="62634" spans="119:119" x14ac:dyDescent="0.2">
      <c r="DO62634" s="303" t="s">
        <v>232</v>
      </c>
    </row>
    <row r="62635" spans="119:119" x14ac:dyDescent="0.2">
      <c r="DO62635" s="303" t="s">
        <v>232</v>
      </c>
    </row>
    <row r="62636" spans="119:119" x14ac:dyDescent="0.2">
      <c r="DO62636" s="303" t="s">
        <v>232</v>
      </c>
    </row>
    <row r="62637" spans="119:119" x14ac:dyDescent="0.2">
      <c r="DO62637" s="303" t="s">
        <v>232</v>
      </c>
    </row>
    <row r="62638" spans="119:119" x14ac:dyDescent="0.2">
      <c r="DO62638" s="303" t="s">
        <v>232</v>
      </c>
    </row>
    <row r="62639" spans="119:119" x14ac:dyDescent="0.2">
      <c r="DO62639" s="303" t="s">
        <v>232</v>
      </c>
    </row>
    <row r="62640" spans="119:119" x14ac:dyDescent="0.2">
      <c r="DO62640" s="303" t="s">
        <v>232</v>
      </c>
    </row>
    <row r="62641" spans="119:119" x14ac:dyDescent="0.2">
      <c r="DO62641" s="303" t="s">
        <v>232</v>
      </c>
    </row>
    <row r="62642" spans="119:119" x14ac:dyDescent="0.2">
      <c r="DO62642" s="303" t="s">
        <v>232</v>
      </c>
    </row>
    <row r="62643" spans="119:119" x14ac:dyDescent="0.2">
      <c r="DO62643" s="303" t="s">
        <v>232</v>
      </c>
    </row>
    <row r="62644" spans="119:119" x14ac:dyDescent="0.2">
      <c r="DO62644" s="303" t="s">
        <v>232</v>
      </c>
    </row>
    <row r="62645" spans="119:119" x14ac:dyDescent="0.2">
      <c r="DO62645" s="303" t="s">
        <v>232</v>
      </c>
    </row>
    <row r="62646" spans="119:119" x14ac:dyDescent="0.2">
      <c r="DO62646" s="303" t="s">
        <v>232</v>
      </c>
    </row>
    <row r="62647" spans="119:119" x14ac:dyDescent="0.2">
      <c r="DO62647" s="303" t="s">
        <v>232</v>
      </c>
    </row>
    <row r="62648" spans="119:119" x14ac:dyDescent="0.2">
      <c r="DO62648" s="303" t="s">
        <v>232</v>
      </c>
    </row>
    <row r="62649" spans="119:119" x14ac:dyDescent="0.2">
      <c r="DO62649" s="303" t="s">
        <v>232</v>
      </c>
    </row>
    <row r="62650" spans="119:119" x14ac:dyDescent="0.2">
      <c r="DO62650" s="303" t="s">
        <v>232</v>
      </c>
    </row>
    <row r="62651" spans="119:119" x14ac:dyDescent="0.2">
      <c r="DO62651" s="303" t="s">
        <v>232</v>
      </c>
    </row>
    <row r="62652" spans="119:119" x14ac:dyDescent="0.2">
      <c r="DO62652" s="303" t="s">
        <v>232</v>
      </c>
    </row>
    <row r="62653" spans="119:119" x14ac:dyDescent="0.2">
      <c r="DO62653" s="303" t="s">
        <v>232</v>
      </c>
    </row>
    <row r="62654" spans="119:119" x14ac:dyDescent="0.2">
      <c r="DO62654" s="303" t="s">
        <v>232</v>
      </c>
    </row>
    <row r="62655" spans="119:119" x14ac:dyDescent="0.2">
      <c r="DO62655" s="303" t="s">
        <v>232</v>
      </c>
    </row>
    <row r="62656" spans="119:119" x14ac:dyDescent="0.2">
      <c r="DO62656" s="303" t="s">
        <v>232</v>
      </c>
    </row>
    <row r="62657" spans="119:119" x14ac:dyDescent="0.2">
      <c r="DO62657" s="303" t="s">
        <v>232</v>
      </c>
    </row>
    <row r="62658" spans="119:119" x14ac:dyDescent="0.2">
      <c r="DO62658" s="303" t="s">
        <v>232</v>
      </c>
    </row>
    <row r="62659" spans="119:119" x14ac:dyDescent="0.2">
      <c r="DO62659" s="303" t="s">
        <v>232</v>
      </c>
    </row>
    <row r="62660" spans="119:119" x14ac:dyDescent="0.2">
      <c r="DO62660" s="303" t="s">
        <v>232</v>
      </c>
    </row>
    <row r="62661" spans="119:119" x14ac:dyDescent="0.2">
      <c r="DO62661" s="303" t="s">
        <v>232</v>
      </c>
    </row>
    <row r="62662" spans="119:119" x14ac:dyDescent="0.2">
      <c r="DO62662" s="303" t="s">
        <v>232</v>
      </c>
    </row>
    <row r="62663" spans="119:119" x14ac:dyDescent="0.2">
      <c r="DO62663" s="303" t="s">
        <v>232</v>
      </c>
    </row>
    <row r="62664" spans="119:119" x14ac:dyDescent="0.2">
      <c r="DO62664" s="303" t="s">
        <v>232</v>
      </c>
    </row>
    <row r="62665" spans="119:119" x14ac:dyDescent="0.2">
      <c r="DO62665" s="303" t="s">
        <v>232</v>
      </c>
    </row>
    <row r="62666" spans="119:119" x14ac:dyDescent="0.2">
      <c r="DO62666" s="303" t="s">
        <v>232</v>
      </c>
    </row>
    <row r="62667" spans="119:119" x14ac:dyDescent="0.2">
      <c r="DO62667" s="303" t="s">
        <v>232</v>
      </c>
    </row>
    <row r="62668" spans="119:119" x14ac:dyDescent="0.2">
      <c r="DO62668" s="303" t="s">
        <v>232</v>
      </c>
    </row>
    <row r="62669" spans="119:119" x14ac:dyDescent="0.2">
      <c r="DO62669" s="303" t="s">
        <v>232</v>
      </c>
    </row>
    <row r="62670" spans="119:119" x14ac:dyDescent="0.2">
      <c r="DO62670" s="303" t="s">
        <v>232</v>
      </c>
    </row>
    <row r="62671" spans="119:119" x14ac:dyDescent="0.2">
      <c r="DO62671" s="303" t="s">
        <v>232</v>
      </c>
    </row>
    <row r="62672" spans="119:119" x14ac:dyDescent="0.2">
      <c r="DO62672" s="303" t="s">
        <v>232</v>
      </c>
    </row>
    <row r="62673" spans="119:119" x14ac:dyDescent="0.2">
      <c r="DO62673" s="303" t="s">
        <v>232</v>
      </c>
    </row>
    <row r="62674" spans="119:119" x14ac:dyDescent="0.2">
      <c r="DO62674" s="303" t="s">
        <v>232</v>
      </c>
    </row>
    <row r="62675" spans="119:119" x14ac:dyDescent="0.2">
      <c r="DO62675" s="303" t="s">
        <v>232</v>
      </c>
    </row>
    <row r="62676" spans="119:119" x14ac:dyDescent="0.2">
      <c r="DO62676" s="303" t="s">
        <v>232</v>
      </c>
    </row>
    <row r="62677" spans="119:119" x14ac:dyDescent="0.2">
      <c r="DO62677" s="303" t="s">
        <v>232</v>
      </c>
    </row>
    <row r="62678" spans="119:119" x14ac:dyDescent="0.2">
      <c r="DO62678" s="303" t="s">
        <v>232</v>
      </c>
    </row>
    <row r="62679" spans="119:119" x14ac:dyDescent="0.2">
      <c r="DO62679" s="303" t="s">
        <v>232</v>
      </c>
    </row>
    <row r="62680" spans="119:119" x14ac:dyDescent="0.2">
      <c r="DO62680" s="303" t="s">
        <v>232</v>
      </c>
    </row>
    <row r="62681" spans="119:119" x14ac:dyDescent="0.2">
      <c r="DO62681" s="303" t="s">
        <v>232</v>
      </c>
    </row>
    <row r="62682" spans="119:119" x14ac:dyDescent="0.2">
      <c r="DO62682" s="303" t="s">
        <v>232</v>
      </c>
    </row>
    <row r="62683" spans="119:119" x14ac:dyDescent="0.2">
      <c r="DO62683" s="303" t="s">
        <v>232</v>
      </c>
    </row>
    <row r="62684" spans="119:119" x14ac:dyDescent="0.2">
      <c r="DO62684" s="303" t="s">
        <v>232</v>
      </c>
    </row>
    <row r="62685" spans="119:119" x14ac:dyDescent="0.2">
      <c r="DO62685" s="303" t="s">
        <v>232</v>
      </c>
    </row>
    <row r="62686" spans="119:119" x14ac:dyDescent="0.2">
      <c r="DO62686" s="303" t="s">
        <v>232</v>
      </c>
    </row>
    <row r="62687" spans="119:119" x14ac:dyDescent="0.2">
      <c r="DO62687" s="303" t="s">
        <v>232</v>
      </c>
    </row>
    <row r="62688" spans="119:119" x14ac:dyDescent="0.2">
      <c r="DO62688" s="303" t="s">
        <v>232</v>
      </c>
    </row>
    <row r="62689" spans="119:119" x14ac:dyDescent="0.2">
      <c r="DO62689" s="303" t="s">
        <v>232</v>
      </c>
    </row>
    <row r="62690" spans="119:119" x14ac:dyDescent="0.2">
      <c r="DO62690" s="303" t="s">
        <v>232</v>
      </c>
    </row>
    <row r="62691" spans="119:119" x14ac:dyDescent="0.2">
      <c r="DO62691" s="303" t="s">
        <v>232</v>
      </c>
    </row>
    <row r="62692" spans="119:119" x14ac:dyDescent="0.2">
      <c r="DO62692" s="303" t="s">
        <v>232</v>
      </c>
    </row>
    <row r="62693" spans="119:119" x14ac:dyDescent="0.2">
      <c r="DO62693" s="303" t="s">
        <v>232</v>
      </c>
    </row>
    <row r="62694" spans="119:119" x14ac:dyDescent="0.2">
      <c r="DO62694" s="303" t="s">
        <v>232</v>
      </c>
    </row>
    <row r="62695" spans="119:119" x14ac:dyDescent="0.2">
      <c r="DO62695" s="303" t="s">
        <v>232</v>
      </c>
    </row>
    <row r="62696" spans="119:119" x14ac:dyDescent="0.2">
      <c r="DO62696" s="303" t="s">
        <v>232</v>
      </c>
    </row>
    <row r="62697" spans="119:119" x14ac:dyDescent="0.2">
      <c r="DO62697" s="303" t="s">
        <v>232</v>
      </c>
    </row>
    <row r="62698" spans="119:119" x14ac:dyDescent="0.2">
      <c r="DO62698" s="303" t="s">
        <v>232</v>
      </c>
    </row>
    <row r="62699" spans="119:119" x14ac:dyDescent="0.2">
      <c r="DO62699" s="303" t="s">
        <v>232</v>
      </c>
    </row>
    <row r="62700" spans="119:119" x14ac:dyDescent="0.2">
      <c r="DO62700" s="303" t="s">
        <v>232</v>
      </c>
    </row>
    <row r="62701" spans="119:119" x14ac:dyDescent="0.2">
      <c r="DO62701" s="303" t="s">
        <v>232</v>
      </c>
    </row>
    <row r="62702" spans="119:119" x14ac:dyDescent="0.2">
      <c r="DO62702" s="303" t="s">
        <v>232</v>
      </c>
    </row>
    <row r="62703" spans="119:119" x14ac:dyDescent="0.2">
      <c r="DO62703" s="303" t="s">
        <v>232</v>
      </c>
    </row>
    <row r="62704" spans="119:119" x14ac:dyDescent="0.2">
      <c r="DO62704" s="303" t="s">
        <v>232</v>
      </c>
    </row>
    <row r="62705" spans="119:119" x14ac:dyDescent="0.2">
      <c r="DO62705" s="303" t="s">
        <v>232</v>
      </c>
    </row>
    <row r="62706" spans="119:119" x14ac:dyDescent="0.2">
      <c r="DO62706" s="303" t="s">
        <v>232</v>
      </c>
    </row>
    <row r="62707" spans="119:119" x14ac:dyDescent="0.2">
      <c r="DO62707" s="303" t="s">
        <v>232</v>
      </c>
    </row>
    <row r="62708" spans="119:119" x14ac:dyDescent="0.2">
      <c r="DO62708" s="303" t="s">
        <v>232</v>
      </c>
    </row>
    <row r="62709" spans="119:119" x14ac:dyDescent="0.2">
      <c r="DO62709" s="303" t="s">
        <v>232</v>
      </c>
    </row>
    <row r="62710" spans="119:119" x14ac:dyDescent="0.2">
      <c r="DO62710" s="303" t="s">
        <v>232</v>
      </c>
    </row>
    <row r="62711" spans="119:119" x14ac:dyDescent="0.2">
      <c r="DO62711" s="303" t="s">
        <v>232</v>
      </c>
    </row>
    <row r="62712" spans="119:119" x14ac:dyDescent="0.2">
      <c r="DO62712" s="303" t="s">
        <v>232</v>
      </c>
    </row>
    <row r="62713" spans="119:119" x14ac:dyDescent="0.2">
      <c r="DO62713" s="303" t="s">
        <v>232</v>
      </c>
    </row>
    <row r="62714" spans="119:119" x14ac:dyDescent="0.2">
      <c r="DO62714" s="303" t="s">
        <v>232</v>
      </c>
    </row>
    <row r="62715" spans="119:119" x14ac:dyDescent="0.2">
      <c r="DO62715" s="303" t="s">
        <v>232</v>
      </c>
    </row>
    <row r="62716" spans="119:119" x14ac:dyDescent="0.2">
      <c r="DO62716" s="303" t="s">
        <v>232</v>
      </c>
    </row>
    <row r="62717" spans="119:119" x14ac:dyDescent="0.2">
      <c r="DO62717" s="303" t="s">
        <v>232</v>
      </c>
    </row>
    <row r="62718" spans="119:119" x14ac:dyDescent="0.2">
      <c r="DO62718" s="303" t="s">
        <v>232</v>
      </c>
    </row>
    <row r="62719" spans="119:119" x14ac:dyDescent="0.2">
      <c r="DO62719" s="303" t="s">
        <v>232</v>
      </c>
    </row>
    <row r="62720" spans="119:119" x14ac:dyDescent="0.2">
      <c r="DO62720" s="303" t="s">
        <v>232</v>
      </c>
    </row>
    <row r="62721" spans="119:119" x14ac:dyDescent="0.2">
      <c r="DO62721" s="303" t="s">
        <v>232</v>
      </c>
    </row>
    <row r="62722" spans="119:119" x14ac:dyDescent="0.2">
      <c r="DO62722" s="303" t="s">
        <v>232</v>
      </c>
    </row>
    <row r="62723" spans="119:119" x14ac:dyDescent="0.2">
      <c r="DO62723" s="303" t="s">
        <v>232</v>
      </c>
    </row>
    <row r="62724" spans="119:119" x14ac:dyDescent="0.2">
      <c r="DO62724" s="303" t="s">
        <v>232</v>
      </c>
    </row>
    <row r="62725" spans="119:119" x14ac:dyDescent="0.2">
      <c r="DO62725" s="303" t="s">
        <v>232</v>
      </c>
    </row>
    <row r="62726" spans="119:119" x14ac:dyDescent="0.2">
      <c r="DO62726" s="303" t="s">
        <v>232</v>
      </c>
    </row>
    <row r="62727" spans="119:119" x14ac:dyDescent="0.2">
      <c r="DO62727" s="303" t="s">
        <v>232</v>
      </c>
    </row>
    <row r="62728" spans="119:119" x14ac:dyDescent="0.2">
      <c r="DO62728" s="303" t="s">
        <v>232</v>
      </c>
    </row>
    <row r="62729" spans="119:119" x14ac:dyDescent="0.2">
      <c r="DO62729" s="303" t="s">
        <v>232</v>
      </c>
    </row>
    <row r="62730" spans="119:119" x14ac:dyDescent="0.2">
      <c r="DO62730" s="303" t="s">
        <v>232</v>
      </c>
    </row>
    <row r="62731" spans="119:119" x14ac:dyDescent="0.2">
      <c r="DO62731" s="303" t="s">
        <v>232</v>
      </c>
    </row>
    <row r="62732" spans="119:119" x14ac:dyDescent="0.2">
      <c r="DO62732" s="303" t="s">
        <v>232</v>
      </c>
    </row>
    <row r="62733" spans="119:119" x14ac:dyDescent="0.2">
      <c r="DO62733" s="303" t="s">
        <v>232</v>
      </c>
    </row>
    <row r="62734" spans="119:119" x14ac:dyDescent="0.2">
      <c r="DO62734" s="303" t="s">
        <v>232</v>
      </c>
    </row>
    <row r="62735" spans="119:119" x14ac:dyDescent="0.2">
      <c r="DO62735" s="303" t="s">
        <v>232</v>
      </c>
    </row>
    <row r="62736" spans="119:119" x14ac:dyDescent="0.2">
      <c r="DO62736" s="303" t="s">
        <v>232</v>
      </c>
    </row>
    <row r="62737" spans="119:119" x14ac:dyDescent="0.2">
      <c r="DO62737" s="303" t="s">
        <v>232</v>
      </c>
    </row>
    <row r="62738" spans="119:119" x14ac:dyDescent="0.2">
      <c r="DO62738" s="303" t="s">
        <v>232</v>
      </c>
    </row>
    <row r="62739" spans="119:119" x14ac:dyDescent="0.2">
      <c r="DO62739" s="303" t="s">
        <v>232</v>
      </c>
    </row>
    <row r="62740" spans="119:119" x14ac:dyDescent="0.2">
      <c r="DO62740" s="303" t="s">
        <v>232</v>
      </c>
    </row>
    <row r="62741" spans="119:119" x14ac:dyDescent="0.2">
      <c r="DO62741" s="303" t="s">
        <v>232</v>
      </c>
    </row>
    <row r="62742" spans="119:119" x14ac:dyDescent="0.2">
      <c r="DO62742" s="303" t="s">
        <v>232</v>
      </c>
    </row>
    <row r="62743" spans="119:119" x14ac:dyDescent="0.2">
      <c r="DO62743" s="303" t="s">
        <v>232</v>
      </c>
    </row>
    <row r="62744" spans="119:119" x14ac:dyDescent="0.2">
      <c r="DO62744" s="303" t="s">
        <v>232</v>
      </c>
    </row>
    <row r="62745" spans="119:119" x14ac:dyDescent="0.2">
      <c r="DO62745" s="303" t="s">
        <v>232</v>
      </c>
    </row>
    <row r="62746" spans="119:119" x14ac:dyDescent="0.2">
      <c r="DO62746" s="303" t="s">
        <v>232</v>
      </c>
    </row>
    <row r="62747" spans="119:119" x14ac:dyDescent="0.2">
      <c r="DO62747" s="303" t="s">
        <v>232</v>
      </c>
    </row>
    <row r="62748" spans="119:119" x14ac:dyDescent="0.2">
      <c r="DO62748" s="303" t="s">
        <v>232</v>
      </c>
    </row>
    <row r="62749" spans="119:119" x14ac:dyDescent="0.2">
      <c r="DO62749" s="303" t="s">
        <v>232</v>
      </c>
    </row>
    <row r="62750" spans="119:119" x14ac:dyDescent="0.2">
      <c r="DO62750" s="303" t="s">
        <v>232</v>
      </c>
    </row>
    <row r="62751" spans="119:119" x14ac:dyDescent="0.2">
      <c r="DO62751" s="303" t="s">
        <v>232</v>
      </c>
    </row>
    <row r="62752" spans="119:119" x14ac:dyDescent="0.2">
      <c r="DO62752" s="303" t="s">
        <v>232</v>
      </c>
    </row>
    <row r="62753" spans="119:119" x14ac:dyDescent="0.2">
      <c r="DO62753" s="303" t="s">
        <v>232</v>
      </c>
    </row>
    <row r="62754" spans="119:119" x14ac:dyDescent="0.2">
      <c r="DO62754" s="303" t="s">
        <v>232</v>
      </c>
    </row>
    <row r="62755" spans="119:119" x14ac:dyDescent="0.2">
      <c r="DO62755" s="303" t="s">
        <v>232</v>
      </c>
    </row>
    <row r="62756" spans="119:119" x14ac:dyDescent="0.2">
      <c r="DO62756" s="303" t="s">
        <v>232</v>
      </c>
    </row>
    <row r="62757" spans="119:119" x14ac:dyDescent="0.2">
      <c r="DO62757" s="303" t="s">
        <v>232</v>
      </c>
    </row>
    <row r="62758" spans="119:119" x14ac:dyDescent="0.2">
      <c r="DO62758" s="303" t="s">
        <v>232</v>
      </c>
    </row>
    <row r="62759" spans="119:119" x14ac:dyDescent="0.2">
      <c r="DO62759" s="303" t="s">
        <v>232</v>
      </c>
    </row>
    <row r="62760" spans="119:119" x14ac:dyDescent="0.2">
      <c r="DO62760" s="303" t="s">
        <v>232</v>
      </c>
    </row>
    <row r="62761" spans="119:119" x14ac:dyDescent="0.2">
      <c r="DO62761" s="303" t="s">
        <v>232</v>
      </c>
    </row>
    <row r="62762" spans="119:119" x14ac:dyDescent="0.2">
      <c r="DO62762" s="303" t="s">
        <v>232</v>
      </c>
    </row>
    <row r="62763" spans="119:119" x14ac:dyDescent="0.2">
      <c r="DO62763" s="303" t="s">
        <v>232</v>
      </c>
    </row>
    <row r="62764" spans="119:119" x14ac:dyDescent="0.2">
      <c r="DO62764" s="303" t="s">
        <v>232</v>
      </c>
    </row>
    <row r="62765" spans="119:119" x14ac:dyDescent="0.2">
      <c r="DO62765" s="303" t="s">
        <v>232</v>
      </c>
    </row>
    <row r="62766" spans="119:119" x14ac:dyDescent="0.2">
      <c r="DO62766" s="303" t="s">
        <v>232</v>
      </c>
    </row>
    <row r="62767" spans="119:119" x14ac:dyDescent="0.2">
      <c r="DO62767" s="303" t="s">
        <v>232</v>
      </c>
    </row>
    <row r="62768" spans="119:119" x14ac:dyDescent="0.2">
      <c r="DO62768" s="303" t="s">
        <v>232</v>
      </c>
    </row>
    <row r="62769" spans="119:119" x14ac:dyDescent="0.2">
      <c r="DO62769" s="303" t="s">
        <v>232</v>
      </c>
    </row>
    <row r="62770" spans="119:119" x14ac:dyDescent="0.2">
      <c r="DO62770" s="303" t="s">
        <v>232</v>
      </c>
    </row>
    <row r="62771" spans="119:119" x14ac:dyDescent="0.2">
      <c r="DO62771" s="303" t="s">
        <v>232</v>
      </c>
    </row>
    <row r="62772" spans="119:119" x14ac:dyDescent="0.2">
      <c r="DO62772" s="303" t="s">
        <v>232</v>
      </c>
    </row>
    <row r="62773" spans="119:119" x14ac:dyDescent="0.2">
      <c r="DO62773" s="303" t="s">
        <v>232</v>
      </c>
    </row>
    <row r="62774" spans="119:119" x14ac:dyDescent="0.2">
      <c r="DO62774" s="303" t="s">
        <v>232</v>
      </c>
    </row>
    <row r="62775" spans="119:119" x14ac:dyDescent="0.2">
      <c r="DO62775" s="303" t="s">
        <v>232</v>
      </c>
    </row>
    <row r="62776" spans="119:119" x14ac:dyDescent="0.2">
      <c r="DO62776" s="303" t="s">
        <v>232</v>
      </c>
    </row>
    <row r="62777" spans="119:119" x14ac:dyDescent="0.2">
      <c r="DO62777" s="303" t="s">
        <v>232</v>
      </c>
    </row>
    <row r="62778" spans="119:119" x14ac:dyDescent="0.2">
      <c r="DO62778" s="303" t="s">
        <v>232</v>
      </c>
    </row>
    <row r="62779" spans="119:119" x14ac:dyDescent="0.2">
      <c r="DO62779" s="303" t="s">
        <v>232</v>
      </c>
    </row>
    <row r="62780" spans="119:119" x14ac:dyDescent="0.2">
      <c r="DO62780" s="303" t="s">
        <v>232</v>
      </c>
    </row>
    <row r="62781" spans="119:119" x14ac:dyDescent="0.2">
      <c r="DO62781" s="303" t="s">
        <v>232</v>
      </c>
    </row>
    <row r="62782" spans="119:119" x14ac:dyDescent="0.2">
      <c r="DO62782" s="303" t="s">
        <v>232</v>
      </c>
    </row>
    <row r="62783" spans="119:119" x14ac:dyDescent="0.2">
      <c r="DO62783" s="303" t="s">
        <v>232</v>
      </c>
    </row>
    <row r="62784" spans="119:119" x14ac:dyDescent="0.2">
      <c r="DO62784" s="303" t="s">
        <v>232</v>
      </c>
    </row>
    <row r="62785" spans="119:119" x14ac:dyDescent="0.2">
      <c r="DO62785" s="303" t="s">
        <v>232</v>
      </c>
    </row>
    <row r="62786" spans="119:119" x14ac:dyDescent="0.2">
      <c r="DO62786" s="303" t="s">
        <v>232</v>
      </c>
    </row>
    <row r="62787" spans="119:119" x14ac:dyDescent="0.2">
      <c r="DO62787" s="303" t="s">
        <v>232</v>
      </c>
    </row>
    <row r="62788" spans="119:119" x14ac:dyDescent="0.2">
      <c r="DO62788" s="303" t="s">
        <v>232</v>
      </c>
    </row>
    <row r="62789" spans="119:119" x14ac:dyDescent="0.2">
      <c r="DO62789" s="303" t="s">
        <v>232</v>
      </c>
    </row>
    <row r="62790" spans="119:119" x14ac:dyDescent="0.2">
      <c r="DO62790" s="303" t="s">
        <v>232</v>
      </c>
    </row>
    <row r="62791" spans="119:119" x14ac:dyDescent="0.2">
      <c r="DO62791" s="303" t="s">
        <v>232</v>
      </c>
    </row>
    <row r="62792" spans="119:119" x14ac:dyDescent="0.2">
      <c r="DO62792" s="303" t="s">
        <v>232</v>
      </c>
    </row>
    <row r="62793" spans="119:119" x14ac:dyDescent="0.2">
      <c r="DO62793" s="303" t="s">
        <v>232</v>
      </c>
    </row>
    <row r="62794" spans="119:119" x14ac:dyDescent="0.2">
      <c r="DO62794" s="303" t="s">
        <v>232</v>
      </c>
    </row>
    <row r="62795" spans="119:119" x14ac:dyDescent="0.2">
      <c r="DO62795" s="303" t="s">
        <v>232</v>
      </c>
    </row>
    <row r="62796" spans="119:119" x14ac:dyDescent="0.2">
      <c r="DO62796" s="303" t="s">
        <v>232</v>
      </c>
    </row>
    <row r="62797" spans="119:119" x14ac:dyDescent="0.2">
      <c r="DO62797" s="303" t="s">
        <v>232</v>
      </c>
    </row>
    <row r="62798" spans="119:119" x14ac:dyDescent="0.2">
      <c r="DO62798" s="303" t="s">
        <v>232</v>
      </c>
    </row>
    <row r="62799" spans="119:119" x14ac:dyDescent="0.2">
      <c r="DO62799" s="303" t="s">
        <v>232</v>
      </c>
    </row>
    <row r="62800" spans="119:119" x14ac:dyDescent="0.2">
      <c r="DO62800" s="303" t="s">
        <v>232</v>
      </c>
    </row>
    <row r="62801" spans="119:119" x14ac:dyDescent="0.2">
      <c r="DO62801" s="303" t="s">
        <v>232</v>
      </c>
    </row>
    <row r="62802" spans="119:119" x14ac:dyDescent="0.2">
      <c r="DO62802" s="303" t="s">
        <v>232</v>
      </c>
    </row>
    <row r="62803" spans="119:119" x14ac:dyDescent="0.2">
      <c r="DO62803" s="303" t="s">
        <v>232</v>
      </c>
    </row>
    <row r="62804" spans="119:119" x14ac:dyDescent="0.2">
      <c r="DO62804" s="303" t="s">
        <v>232</v>
      </c>
    </row>
    <row r="62805" spans="119:119" x14ac:dyDescent="0.2">
      <c r="DO62805" s="303" t="s">
        <v>232</v>
      </c>
    </row>
    <row r="62806" spans="119:119" x14ac:dyDescent="0.2">
      <c r="DO62806" s="303" t="s">
        <v>232</v>
      </c>
    </row>
    <row r="62807" spans="119:119" x14ac:dyDescent="0.2">
      <c r="DO62807" s="303" t="s">
        <v>232</v>
      </c>
    </row>
    <row r="62808" spans="119:119" x14ac:dyDescent="0.2">
      <c r="DO62808" s="303" t="s">
        <v>232</v>
      </c>
    </row>
    <row r="62809" spans="119:119" x14ac:dyDescent="0.2">
      <c r="DO62809" s="303" t="s">
        <v>232</v>
      </c>
    </row>
    <row r="62810" spans="119:119" x14ac:dyDescent="0.2">
      <c r="DO62810" s="303" t="s">
        <v>232</v>
      </c>
    </row>
    <row r="62811" spans="119:119" x14ac:dyDescent="0.2">
      <c r="DO62811" s="303" t="s">
        <v>232</v>
      </c>
    </row>
    <row r="62812" spans="119:119" x14ac:dyDescent="0.2">
      <c r="DO62812" s="303" t="s">
        <v>232</v>
      </c>
    </row>
    <row r="62813" spans="119:119" x14ac:dyDescent="0.2">
      <c r="DO62813" s="303" t="s">
        <v>232</v>
      </c>
    </row>
    <row r="62814" spans="119:119" x14ac:dyDescent="0.2">
      <c r="DO62814" s="303" t="s">
        <v>232</v>
      </c>
    </row>
    <row r="62815" spans="119:119" x14ac:dyDescent="0.2">
      <c r="DO62815" s="303" t="s">
        <v>232</v>
      </c>
    </row>
    <row r="62816" spans="119:119" x14ac:dyDescent="0.2">
      <c r="DO62816" s="303" t="s">
        <v>232</v>
      </c>
    </row>
    <row r="62817" spans="119:119" x14ac:dyDescent="0.2">
      <c r="DO62817" s="303" t="s">
        <v>232</v>
      </c>
    </row>
    <row r="62818" spans="119:119" x14ac:dyDescent="0.2">
      <c r="DO62818" s="303" t="s">
        <v>232</v>
      </c>
    </row>
    <row r="62819" spans="119:119" x14ac:dyDescent="0.2">
      <c r="DO62819" s="303" t="s">
        <v>232</v>
      </c>
    </row>
    <row r="62820" spans="119:119" x14ac:dyDescent="0.2">
      <c r="DO62820" s="303" t="s">
        <v>232</v>
      </c>
    </row>
    <row r="62821" spans="119:119" x14ac:dyDescent="0.2">
      <c r="DO62821" s="303" t="s">
        <v>232</v>
      </c>
    </row>
    <row r="62822" spans="119:119" x14ac:dyDescent="0.2">
      <c r="DO62822" s="303" t="s">
        <v>232</v>
      </c>
    </row>
    <row r="62823" spans="119:119" x14ac:dyDescent="0.2">
      <c r="DO62823" s="303" t="s">
        <v>232</v>
      </c>
    </row>
    <row r="62824" spans="119:119" x14ac:dyDescent="0.2">
      <c r="DO62824" s="303" t="s">
        <v>232</v>
      </c>
    </row>
    <row r="62825" spans="119:119" x14ac:dyDescent="0.2">
      <c r="DO62825" s="303" t="s">
        <v>232</v>
      </c>
    </row>
    <row r="62826" spans="119:119" x14ac:dyDescent="0.2">
      <c r="DO62826" s="303" t="s">
        <v>232</v>
      </c>
    </row>
    <row r="62827" spans="119:119" x14ac:dyDescent="0.2">
      <c r="DO62827" s="303" t="s">
        <v>232</v>
      </c>
    </row>
    <row r="62828" spans="119:119" x14ac:dyDescent="0.2">
      <c r="DO62828" s="303" t="s">
        <v>232</v>
      </c>
    </row>
    <row r="62829" spans="119:119" x14ac:dyDescent="0.2">
      <c r="DO62829" s="303" t="s">
        <v>232</v>
      </c>
    </row>
    <row r="62830" spans="119:119" x14ac:dyDescent="0.2">
      <c r="DO62830" s="303" t="s">
        <v>232</v>
      </c>
    </row>
    <row r="62831" spans="119:119" x14ac:dyDescent="0.2">
      <c r="DO62831" s="303" t="s">
        <v>232</v>
      </c>
    </row>
    <row r="62832" spans="119:119" x14ac:dyDescent="0.2">
      <c r="DO62832" s="303" t="s">
        <v>232</v>
      </c>
    </row>
    <row r="62833" spans="119:119" x14ac:dyDescent="0.2">
      <c r="DO62833" s="303" t="s">
        <v>232</v>
      </c>
    </row>
    <row r="62834" spans="119:119" x14ac:dyDescent="0.2">
      <c r="DO62834" s="303" t="s">
        <v>232</v>
      </c>
    </row>
    <row r="62835" spans="119:119" x14ac:dyDescent="0.2">
      <c r="DO62835" s="303" t="s">
        <v>232</v>
      </c>
    </row>
    <row r="62836" spans="119:119" x14ac:dyDescent="0.2">
      <c r="DO62836" s="303" t="s">
        <v>232</v>
      </c>
    </row>
    <row r="62837" spans="119:119" x14ac:dyDescent="0.2">
      <c r="DO62837" s="303" t="s">
        <v>232</v>
      </c>
    </row>
    <row r="62838" spans="119:119" x14ac:dyDescent="0.2">
      <c r="DO62838" s="303" t="s">
        <v>232</v>
      </c>
    </row>
    <row r="62839" spans="119:119" x14ac:dyDescent="0.2">
      <c r="DO62839" s="303" t="s">
        <v>232</v>
      </c>
    </row>
    <row r="62840" spans="119:119" x14ac:dyDescent="0.2">
      <c r="DO62840" s="303" t="s">
        <v>232</v>
      </c>
    </row>
    <row r="62841" spans="119:119" x14ac:dyDescent="0.2">
      <c r="DO62841" s="303" t="s">
        <v>232</v>
      </c>
    </row>
    <row r="62842" spans="119:119" x14ac:dyDescent="0.2">
      <c r="DO62842" s="303" t="s">
        <v>232</v>
      </c>
    </row>
    <row r="62843" spans="119:119" x14ac:dyDescent="0.2">
      <c r="DO62843" s="303" t="s">
        <v>232</v>
      </c>
    </row>
    <row r="62844" spans="119:119" x14ac:dyDescent="0.2">
      <c r="DO62844" s="303" t="s">
        <v>232</v>
      </c>
    </row>
    <row r="62845" spans="119:119" x14ac:dyDescent="0.2">
      <c r="DO62845" s="303" t="s">
        <v>232</v>
      </c>
    </row>
    <row r="62846" spans="119:119" x14ac:dyDescent="0.2">
      <c r="DO62846" s="303" t="s">
        <v>232</v>
      </c>
    </row>
    <row r="62847" spans="119:119" x14ac:dyDescent="0.2">
      <c r="DO62847" s="303" t="s">
        <v>232</v>
      </c>
    </row>
    <row r="62848" spans="119:119" x14ac:dyDescent="0.2">
      <c r="DO62848" s="303" t="s">
        <v>232</v>
      </c>
    </row>
    <row r="62849" spans="119:119" x14ac:dyDescent="0.2">
      <c r="DO62849" s="303" t="s">
        <v>232</v>
      </c>
    </row>
    <row r="62850" spans="119:119" x14ac:dyDescent="0.2">
      <c r="DO62850" s="303" t="s">
        <v>232</v>
      </c>
    </row>
    <row r="62851" spans="119:119" x14ac:dyDescent="0.2">
      <c r="DO62851" s="303" t="s">
        <v>232</v>
      </c>
    </row>
    <row r="62852" spans="119:119" x14ac:dyDescent="0.2">
      <c r="DO62852" s="303" t="s">
        <v>232</v>
      </c>
    </row>
    <row r="62853" spans="119:119" x14ac:dyDescent="0.2">
      <c r="DO62853" s="303" t="s">
        <v>232</v>
      </c>
    </row>
    <row r="62854" spans="119:119" x14ac:dyDescent="0.2">
      <c r="DO62854" s="303" t="s">
        <v>232</v>
      </c>
    </row>
    <row r="62855" spans="119:119" x14ac:dyDescent="0.2">
      <c r="DO62855" s="303" t="s">
        <v>232</v>
      </c>
    </row>
    <row r="62856" spans="119:119" x14ac:dyDescent="0.2">
      <c r="DO62856" s="303" t="s">
        <v>232</v>
      </c>
    </row>
    <row r="62857" spans="119:119" x14ac:dyDescent="0.2">
      <c r="DO62857" s="303" t="s">
        <v>232</v>
      </c>
    </row>
    <row r="62858" spans="119:119" x14ac:dyDescent="0.2">
      <c r="DO62858" s="303" t="s">
        <v>232</v>
      </c>
    </row>
    <row r="62859" spans="119:119" x14ac:dyDescent="0.2">
      <c r="DO62859" s="303" t="s">
        <v>232</v>
      </c>
    </row>
    <row r="62860" spans="119:119" x14ac:dyDescent="0.2">
      <c r="DO62860" s="303" t="s">
        <v>232</v>
      </c>
    </row>
    <row r="62861" spans="119:119" x14ac:dyDescent="0.2">
      <c r="DO62861" s="303" t="s">
        <v>232</v>
      </c>
    </row>
    <row r="62862" spans="119:119" x14ac:dyDescent="0.2">
      <c r="DO62862" s="303" t="s">
        <v>232</v>
      </c>
    </row>
    <row r="62863" spans="119:119" x14ac:dyDescent="0.2">
      <c r="DO62863" s="303" t="s">
        <v>232</v>
      </c>
    </row>
    <row r="62864" spans="119:119" x14ac:dyDescent="0.2">
      <c r="DO62864" s="303" t="s">
        <v>232</v>
      </c>
    </row>
    <row r="62865" spans="119:119" x14ac:dyDescent="0.2">
      <c r="DO62865" s="303" t="s">
        <v>232</v>
      </c>
    </row>
    <row r="62866" spans="119:119" x14ac:dyDescent="0.2">
      <c r="DO62866" s="303" t="s">
        <v>232</v>
      </c>
    </row>
    <row r="62867" spans="119:119" x14ac:dyDescent="0.2">
      <c r="DO62867" s="303" t="s">
        <v>232</v>
      </c>
    </row>
    <row r="62868" spans="119:119" x14ac:dyDescent="0.2">
      <c r="DO62868" s="303" t="s">
        <v>232</v>
      </c>
    </row>
    <row r="62869" spans="119:119" x14ac:dyDescent="0.2">
      <c r="DO62869" s="303" t="s">
        <v>232</v>
      </c>
    </row>
    <row r="62870" spans="119:119" x14ac:dyDescent="0.2">
      <c r="DO62870" s="303" t="s">
        <v>232</v>
      </c>
    </row>
    <row r="62871" spans="119:119" x14ac:dyDescent="0.2">
      <c r="DO62871" s="303" t="s">
        <v>232</v>
      </c>
    </row>
    <row r="62872" spans="119:119" x14ac:dyDescent="0.2">
      <c r="DO62872" s="303" t="s">
        <v>232</v>
      </c>
    </row>
    <row r="62873" spans="119:119" x14ac:dyDescent="0.2">
      <c r="DO62873" s="303" t="s">
        <v>232</v>
      </c>
    </row>
    <row r="62874" spans="119:119" x14ac:dyDescent="0.2">
      <c r="DO62874" s="303" t="s">
        <v>232</v>
      </c>
    </row>
    <row r="62875" spans="119:119" x14ac:dyDescent="0.2">
      <c r="DO62875" s="303" t="s">
        <v>232</v>
      </c>
    </row>
    <row r="62876" spans="119:119" x14ac:dyDescent="0.2">
      <c r="DO62876" s="303" t="s">
        <v>232</v>
      </c>
    </row>
    <row r="62877" spans="119:119" x14ac:dyDescent="0.2">
      <c r="DO62877" s="303" t="s">
        <v>232</v>
      </c>
    </row>
    <row r="62878" spans="119:119" x14ac:dyDescent="0.2">
      <c r="DO62878" s="303" t="s">
        <v>232</v>
      </c>
    </row>
    <row r="62879" spans="119:119" x14ac:dyDescent="0.2">
      <c r="DO62879" s="303" t="s">
        <v>232</v>
      </c>
    </row>
    <row r="62880" spans="119:119" x14ac:dyDescent="0.2">
      <c r="DO62880" s="303" t="s">
        <v>232</v>
      </c>
    </row>
    <row r="62881" spans="119:119" x14ac:dyDescent="0.2">
      <c r="DO62881" s="303" t="s">
        <v>232</v>
      </c>
    </row>
    <row r="62882" spans="119:119" x14ac:dyDescent="0.2">
      <c r="DO62882" s="303" t="s">
        <v>232</v>
      </c>
    </row>
    <row r="62883" spans="119:119" x14ac:dyDescent="0.2">
      <c r="DO62883" s="303" t="s">
        <v>232</v>
      </c>
    </row>
    <row r="62884" spans="119:119" x14ac:dyDescent="0.2">
      <c r="DO62884" s="303" t="s">
        <v>232</v>
      </c>
    </row>
    <row r="62885" spans="119:119" x14ac:dyDescent="0.2">
      <c r="DO62885" s="303" t="s">
        <v>232</v>
      </c>
    </row>
    <row r="62886" spans="119:119" x14ac:dyDescent="0.2">
      <c r="DO62886" s="303" t="s">
        <v>232</v>
      </c>
    </row>
    <row r="62887" spans="119:119" x14ac:dyDescent="0.2">
      <c r="DO62887" s="303" t="s">
        <v>232</v>
      </c>
    </row>
    <row r="62888" spans="119:119" x14ac:dyDescent="0.2">
      <c r="DO62888" s="303" t="s">
        <v>232</v>
      </c>
    </row>
    <row r="62889" spans="119:119" x14ac:dyDescent="0.2">
      <c r="DO62889" s="303" t="s">
        <v>232</v>
      </c>
    </row>
    <row r="62890" spans="119:119" x14ac:dyDescent="0.2">
      <c r="DO62890" s="303" t="s">
        <v>232</v>
      </c>
    </row>
    <row r="62891" spans="119:119" x14ac:dyDescent="0.2">
      <c r="DO62891" s="303" t="s">
        <v>232</v>
      </c>
    </row>
    <row r="62892" spans="119:119" x14ac:dyDescent="0.2">
      <c r="DO62892" s="303" t="s">
        <v>232</v>
      </c>
    </row>
    <row r="62893" spans="119:119" x14ac:dyDescent="0.2">
      <c r="DO62893" s="303" t="s">
        <v>232</v>
      </c>
    </row>
    <row r="62894" spans="119:119" x14ac:dyDescent="0.2">
      <c r="DO62894" s="303" t="s">
        <v>232</v>
      </c>
    </row>
    <row r="62895" spans="119:119" x14ac:dyDescent="0.2">
      <c r="DO62895" s="303" t="s">
        <v>232</v>
      </c>
    </row>
    <row r="62896" spans="119:119" x14ac:dyDescent="0.2">
      <c r="DO62896" s="303" t="s">
        <v>232</v>
      </c>
    </row>
    <row r="62897" spans="119:119" x14ac:dyDescent="0.2">
      <c r="DO62897" s="303" t="s">
        <v>232</v>
      </c>
    </row>
    <row r="62898" spans="119:119" x14ac:dyDescent="0.2">
      <c r="DO62898" s="303" t="s">
        <v>232</v>
      </c>
    </row>
    <row r="62899" spans="119:119" x14ac:dyDescent="0.2">
      <c r="DO62899" s="303" t="s">
        <v>232</v>
      </c>
    </row>
    <row r="62900" spans="119:119" x14ac:dyDescent="0.2">
      <c r="DO62900" s="303" t="s">
        <v>232</v>
      </c>
    </row>
    <row r="62901" spans="119:119" x14ac:dyDescent="0.2">
      <c r="DO62901" s="303" t="s">
        <v>232</v>
      </c>
    </row>
    <row r="62902" spans="119:119" x14ac:dyDescent="0.2">
      <c r="DO62902" s="303" t="s">
        <v>232</v>
      </c>
    </row>
    <row r="62903" spans="119:119" x14ac:dyDescent="0.2">
      <c r="DO62903" s="303" t="s">
        <v>232</v>
      </c>
    </row>
    <row r="62904" spans="119:119" x14ac:dyDescent="0.2">
      <c r="DO62904" s="303" t="s">
        <v>232</v>
      </c>
    </row>
    <row r="62905" spans="119:119" x14ac:dyDescent="0.2">
      <c r="DO62905" s="303" t="s">
        <v>232</v>
      </c>
    </row>
    <row r="62906" spans="119:119" x14ac:dyDescent="0.2">
      <c r="DO62906" s="303" t="s">
        <v>232</v>
      </c>
    </row>
    <row r="62907" spans="119:119" x14ac:dyDescent="0.2">
      <c r="DO62907" s="303" t="s">
        <v>232</v>
      </c>
    </row>
    <row r="62908" spans="119:119" x14ac:dyDescent="0.2">
      <c r="DO62908" s="303" t="s">
        <v>232</v>
      </c>
    </row>
    <row r="62909" spans="119:119" x14ac:dyDescent="0.2">
      <c r="DO62909" s="303" t="s">
        <v>232</v>
      </c>
    </row>
    <row r="62910" spans="119:119" x14ac:dyDescent="0.2">
      <c r="DO62910" s="303" t="s">
        <v>232</v>
      </c>
    </row>
    <row r="62911" spans="119:119" x14ac:dyDescent="0.2">
      <c r="DO62911" s="303" t="s">
        <v>232</v>
      </c>
    </row>
    <row r="62912" spans="119:119" x14ac:dyDescent="0.2">
      <c r="DO62912" s="303" t="s">
        <v>232</v>
      </c>
    </row>
    <row r="62913" spans="119:119" x14ac:dyDescent="0.2">
      <c r="DO62913" s="303" t="s">
        <v>232</v>
      </c>
    </row>
    <row r="62914" spans="119:119" x14ac:dyDescent="0.2">
      <c r="DO62914" s="303" t="s">
        <v>232</v>
      </c>
    </row>
    <row r="62915" spans="119:119" x14ac:dyDescent="0.2">
      <c r="DO62915" s="303" t="s">
        <v>232</v>
      </c>
    </row>
    <row r="62916" spans="119:119" x14ac:dyDescent="0.2">
      <c r="DO62916" s="303" t="s">
        <v>232</v>
      </c>
    </row>
    <row r="62917" spans="119:119" x14ac:dyDescent="0.2">
      <c r="DO62917" s="303" t="s">
        <v>232</v>
      </c>
    </row>
    <row r="62918" spans="119:119" x14ac:dyDescent="0.2">
      <c r="DO62918" s="303" t="s">
        <v>232</v>
      </c>
    </row>
    <row r="62919" spans="119:119" x14ac:dyDescent="0.2">
      <c r="DO62919" s="303" t="s">
        <v>232</v>
      </c>
    </row>
    <row r="62920" spans="119:119" x14ac:dyDescent="0.2">
      <c r="DO62920" s="303" t="s">
        <v>232</v>
      </c>
    </row>
    <row r="62921" spans="119:119" x14ac:dyDescent="0.2">
      <c r="DO62921" s="303" t="s">
        <v>232</v>
      </c>
    </row>
    <row r="62922" spans="119:119" x14ac:dyDescent="0.2">
      <c r="DO62922" s="303" t="s">
        <v>232</v>
      </c>
    </row>
    <row r="62923" spans="119:119" x14ac:dyDescent="0.2">
      <c r="DO62923" s="303" t="s">
        <v>232</v>
      </c>
    </row>
    <row r="62924" spans="119:119" x14ac:dyDescent="0.2">
      <c r="DO62924" s="303" t="s">
        <v>232</v>
      </c>
    </row>
    <row r="62925" spans="119:119" x14ac:dyDescent="0.2">
      <c r="DO62925" s="303" t="s">
        <v>232</v>
      </c>
    </row>
    <row r="62926" spans="119:119" x14ac:dyDescent="0.2">
      <c r="DO62926" s="303" t="s">
        <v>232</v>
      </c>
    </row>
    <row r="62927" spans="119:119" x14ac:dyDescent="0.2">
      <c r="DO62927" s="303" t="s">
        <v>232</v>
      </c>
    </row>
    <row r="62928" spans="119:119" x14ac:dyDescent="0.2">
      <c r="DO62928" s="303" t="s">
        <v>232</v>
      </c>
    </row>
    <row r="62929" spans="119:119" x14ac:dyDescent="0.2">
      <c r="DO62929" s="303" t="s">
        <v>232</v>
      </c>
    </row>
    <row r="62930" spans="119:119" x14ac:dyDescent="0.2">
      <c r="DO62930" s="303" t="s">
        <v>232</v>
      </c>
    </row>
    <row r="62931" spans="119:119" x14ac:dyDescent="0.2">
      <c r="DO62931" s="303" t="s">
        <v>232</v>
      </c>
    </row>
    <row r="62932" spans="119:119" x14ac:dyDescent="0.2">
      <c r="DO62932" s="303" t="s">
        <v>232</v>
      </c>
    </row>
    <row r="62933" spans="119:119" x14ac:dyDescent="0.2">
      <c r="DO62933" s="303" t="s">
        <v>232</v>
      </c>
    </row>
    <row r="62934" spans="119:119" x14ac:dyDescent="0.2">
      <c r="DO62934" s="303" t="s">
        <v>232</v>
      </c>
    </row>
    <row r="62935" spans="119:119" x14ac:dyDescent="0.2">
      <c r="DO62935" s="303" t="s">
        <v>232</v>
      </c>
    </row>
    <row r="62936" spans="119:119" x14ac:dyDescent="0.2">
      <c r="DO62936" s="303" t="s">
        <v>232</v>
      </c>
    </row>
    <row r="62937" spans="119:119" x14ac:dyDescent="0.2">
      <c r="DO62937" s="303" t="s">
        <v>232</v>
      </c>
    </row>
    <row r="62938" spans="119:119" x14ac:dyDescent="0.2">
      <c r="DO62938" s="303" t="s">
        <v>232</v>
      </c>
    </row>
    <row r="62939" spans="119:119" x14ac:dyDescent="0.2">
      <c r="DO62939" s="303" t="s">
        <v>232</v>
      </c>
    </row>
    <row r="62940" spans="119:119" x14ac:dyDescent="0.2">
      <c r="DO62940" s="303" t="s">
        <v>232</v>
      </c>
    </row>
    <row r="62941" spans="119:119" x14ac:dyDescent="0.2">
      <c r="DO62941" s="303" t="s">
        <v>232</v>
      </c>
    </row>
    <row r="62942" spans="119:119" x14ac:dyDescent="0.2">
      <c r="DO62942" s="303" t="s">
        <v>232</v>
      </c>
    </row>
    <row r="62943" spans="119:119" x14ac:dyDescent="0.2">
      <c r="DO62943" s="303" t="s">
        <v>232</v>
      </c>
    </row>
    <row r="62944" spans="119:119" x14ac:dyDescent="0.2">
      <c r="DO62944" s="303" t="s">
        <v>232</v>
      </c>
    </row>
    <row r="62945" spans="119:119" x14ac:dyDescent="0.2">
      <c r="DO62945" s="303" t="s">
        <v>232</v>
      </c>
    </row>
    <row r="62946" spans="119:119" x14ac:dyDescent="0.2">
      <c r="DO62946" s="303" t="s">
        <v>232</v>
      </c>
    </row>
    <row r="62947" spans="119:119" x14ac:dyDescent="0.2">
      <c r="DO62947" s="303" t="s">
        <v>232</v>
      </c>
    </row>
    <row r="62948" spans="119:119" x14ac:dyDescent="0.2">
      <c r="DO62948" s="303" t="s">
        <v>232</v>
      </c>
    </row>
    <row r="62949" spans="119:119" x14ac:dyDescent="0.2">
      <c r="DO62949" s="303" t="s">
        <v>232</v>
      </c>
    </row>
    <row r="62950" spans="119:119" x14ac:dyDescent="0.2">
      <c r="DO62950" s="303" t="s">
        <v>232</v>
      </c>
    </row>
    <row r="62951" spans="119:119" x14ac:dyDescent="0.2">
      <c r="DO62951" s="303" t="s">
        <v>232</v>
      </c>
    </row>
    <row r="62952" spans="119:119" x14ac:dyDescent="0.2">
      <c r="DO62952" s="303" t="s">
        <v>232</v>
      </c>
    </row>
    <row r="62953" spans="119:119" x14ac:dyDescent="0.2">
      <c r="DO62953" s="303" t="s">
        <v>232</v>
      </c>
    </row>
    <row r="62954" spans="119:119" x14ac:dyDescent="0.2">
      <c r="DO62954" s="303" t="s">
        <v>232</v>
      </c>
    </row>
    <row r="62955" spans="119:119" x14ac:dyDescent="0.2">
      <c r="DO62955" s="303" t="s">
        <v>232</v>
      </c>
    </row>
    <row r="62956" spans="119:119" x14ac:dyDescent="0.2">
      <c r="DO62956" s="303" t="s">
        <v>232</v>
      </c>
    </row>
    <row r="62957" spans="119:119" x14ac:dyDescent="0.2">
      <c r="DO62957" s="303" t="s">
        <v>232</v>
      </c>
    </row>
    <row r="62958" spans="119:119" x14ac:dyDescent="0.2">
      <c r="DO62958" s="303" t="s">
        <v>232</v>
      </c>
    </row>
    <row r="62959" spans="119:119" x14ac:dyDescent="0.2">
      <c r="DO62959" s="303" t="s">
        <v>232</v>
      </c>
    </row>
    <row r="62960" spans="119:119" x14ac:dyDescent="0.2">
      <c r="DO62960" s="303" t="s">
        <v>232</v>
      </c>
    </row>
    <row r="62961" spans="119:119" x14ac:dyDescent="0.2">
      <c r="DO62961" s="303" t="s">
        <v>232</v>
      </c>
    </row>
    <row r="62962" spans="119:119" x14ac:dyDescent="0.2">
      <c r="DO62962" s="303" t="s">
        <v>232</v>
      </c>
    </row>
    <row r="62963" spans="119:119" x14ac:dyDescent="0.2">
      <c r="DO62963" s="303" t="s">
        <v>232</v>
      </c>
    </row>
    <row r="62964" spans="119:119" x14ac:dyDescent="0.2">
      <c r="DO62964" s="303" t="s">
        <v>232</v>
      </c>
    </row>
    <row r="62965" spans="119:119" x14ac:dyDescent="0.2">
      <c r="DO62965" s="303" t="s">
        <v>232</v>
      </c>
    </row>
    <row r="62966" spans="119:119" x14ac:dyDescent="0.2">
      <c r="DO62966" s="303" t="s">
        <v>232</v>
      </c>
    </row>
    <row r="62967" spans="119:119" x14ac:dyDescent="0.2">
      <c r="DO62967" s="303" t="s">
        <v>232</v>
      </c>
    </row>
    <row r="62968" spans="119:119" x14ac:dyDescent="0.2">
      <c r="DO62968" s="303" t="s">
        <v>232</v>
      </c>
    </row>
    <row r="62969" spans="119:119" x14ac:dyDescent="0.2">
      <c r="DO62969" s="303" t="s">
        <v>232</v>
      </c>
    </row>
    <row r="62970" spans="119:119" x14ac:dyDescent="0.2">
      <c r="DO62970" s="303" t="s">
        <v>232</v>
      </c>
    </row>
    <row r="62971" spans="119:119" x14ac:dyDescent="0.2">
      <c r="DO62971" s="303" t="s">
        <v>232</v>
      </c>
    </row>
    <row r="62972" spans="119:119" x14ac:dyDescent="0.2">
      <c r="DO62972" s="303" t="s">
        <v>232</v>
      </c>
    </row>
    <row r="62973" spans="119:119" x14ac:dyDescent="0.2">
      <c r="DO62973" s="303" t="s">
        <v>232</v>
      </c>
    </row>
    <row r="62974" spans="119:119" x14ac:dyDescent="0.2">
      <c r="DO62974" s="303" t="s">
        <v>232</v>
      </c>
    </row>
    <row r="62975" spans="119:119" x14ac:dyDescent="0.2">
      <c r="DO62975" s="303" t="s">
        <v>232</v>
      </c>
    </row>
    <row r="62976" spans="119:119" x14ac:dyDescent="0.2">
      <c r="DO62976" s="303" t="s">
        <v>232</v>
      </c>
    </row>
    <row r="62977" spans="119:119" x14ac:dyDescent="0.2">
      <c r="DO62977" s="303" t="s">
        <v>232</v>
      </c>
    </row>
    <row r="62978" spans="119:119" x14ac:dyDescent="0.2">
      <c r="DO62978" s="303" t="s">
        <v>232</v>
      </c>
    </row>
    <row r="62979" spans="119:119" x14ac:dyDescent="0.2">
      <c r="DO62979" s="303" t="s">
        <v>232</v>
      </c>
    </row>
    <row r="62980" spans="119:119" x14ac:dyDescent="0.2">
      <c r="DO62980" s="303" t="s">
        <v>232</v>
      </c>
    </row>
    <row r="62981" spans="119:119" x14ac:dyDescent="0.2">
      <c r="DO62981" s="303" t="s">
        <v>232</v>
      </c>
    </row>
    <row r="62982" spans="119:119" x14ac:dyDescent="0.2">
      <c r="DO62982" s="303" t="s">
        <v>232</v>
      </c>
    </row>
    <row r="62983" spans="119:119" x14ac:dyDescent="0.2">
      <c r="DO62983" s="303" t="s">
        <v>232</v>
      </c>
    </row>
    <row r="62984" spans="119:119" x14ac:dyDescent="0.2">
      <c r="DO62984" s="303" t="s">
        <v>232</v>
      </c>
    </row>
    <row r="62985" spans="119:119" x14ac:dyDescent="0.2">
      <c r="DO62985" s="303" t="s">
        <v>232</v>
      </c>
    </row>
    <row r="62986" spans="119:119" x14ac:dyDescent="0.2">
      <c r="DO62986" s="303" t="s">
        <v>232</v>
      </c>
    </row>
    <row r="62987" spans="119:119" x14ac:dyDescent="0.2">
      <c r="DO62987" s="303" t="s">
        <v>232</v>
      </c>
    </row>
    <row r="62988" spans="119:119" x14ac:dyDescent="0.2">
      <c r="DO62988" s="303" t="s">
        <v>232</v>
      </c>
    </row>
    <row r="62989" spans="119:119" x14ac:dyDescent="0.2">
      <c r="DO62989" s="303" t="s">
        <v>232</v>
      </c>
    </row>
    <row r="62990" spans="119:119" x14ac:dyDescent="0.2">
      <c r="DO62990" s="303" t="s">
        <v>232</v>
      </c>
    </row>
    <row r="62991" spans="119:119" x14ac:dyDescent="0.2">
      <c r="DO62991" s="303" t="s">
        <v>232</v>
      </c>
    </row>
    <row r="62992" spans="119:119" x14ac:dyDescent="0.2">
      <c r="DO62992" s="303" t="s">
        <v>232</v>
      </c>
    </row>
    <row r="62993" spans="119:119" x14ac:dyDescent="0.2">
      <c r="DO62993" s="303" t="s">
        <v>232</v>
      </c>
    </row>
    <row r="62994" spans="119:119" x14ac:dyDescent="0.2">
      <c r="DO62994" s="303" t="s">
        <v>232</v>
      </c>
    </row>
    <row r="62995" spans="119:119" x14ac:dyDescent="0.2">
      <c r="DO62995" s="303" t="s">
        <v>232</v>
      </c>
    </row>
    <row r="62996" spans="119:119" x14ac:dyDescent="0.2">
      <c r="DO62996" s="303" t="s">
        <v>232</v>
      </c>
    </row>
    <row r="62997" spans="119:119" x14ac:dyDescent="0.2">
      <c r="DO62997" s="303" t="s">
        <v>232</v>
      </c>
    </row>
    <row r="62998" spans="119:119" x14ac:dyDescent="0.2">
      <c r="DO62998" s="303" t="s">
        <v>232</v>
      </c>
    </row>
    <row r="62999" spans="119:119" x14ac:dyDescent="0.2">
      <c r="DO62999" s="303" t="s">
        <v>232</v>
      </c>
    </row>
    <row r="63000" spans="119:119" x14ac:dyDescent="0.2">
      <c r="DO63000" s="303" t="s">
        <v>232</v>
      </c>
    </row>
    <row r="63001" spans="119:119" x14ac:dyDescent="0.2">
      <c r="DO63001" s="303" t="s">
        <v>232</v>
      </c>
    </row>
    <row r="63002" spans="119:119" x14ac:dyDescent="0.2">
      <c r="DO63002" s="303" t="s">
        <v>232</v>
      </c>
    </row>
    <row r="63003" spans="119:119" x14ac:dyDescent="0.2">
      <c r="DO63003" s="303" t="s">
        <v>232</v>
      </c>
    </row>
    <row r="63004" spans="119:119" x14ac:dyDescent="0.2">
      <c r="DO63004" s="303" t="s">
        <v>232</v>
      </c>
    </row>
    <row r="63005" spans="119:119" x14ac:dyDescent="0.2">
      <c r="DO63005" s="303" t="s">
        <v>232</v>
      </c>
    </row>
    <row r="63006" spans="119:119" x14ac:dyDescent="0.2">
      <c r="DO63006" s="303" t="s">
        <v>232</v>
      </c>
    </row>
    <row r="63007" spans="119:119" x14ac:dyDescent="0.2">
      <c r="DO63007" s="303" t="s">
        <v>232</v>
      </c>
    </row>
    <row r="63008" spans="119:119" x14ac:dyDescent="0.2">
      <c r="DO63008" s="303" t="s">
        <v>232</v>
      </c>
    </row>
    <row r="63009" spans="119:119" x14ac:dyDescent="0.2">
      <c r="DO63009" s="303" t="s">
        <v>232</v>
      </c>
    </row>
    <row r="63010" spans="119:119" x14ac:dyDescent="0.2">
      <c r="DO63010" s="303" t="s">
        <v>232</v>
      </c>
    </row>
    <row r="63011" spans="119:119" x14ac:dyDescent="0.2">
      <c r="DO63011" s="303" t="s">
        <v>232</v>
      </c>
    </row>
    <row r="63012" spans="119:119" x14ac:dyDescent="0.2">
      <c r="DO63012" s="303" t="s">
        <v>232</v>
      </c>
    </row>
    <row r="63013" spans="119:119" x14ac:dyDescent="0.2">
      <c r="DO63013" s="303" t="s">
        <v>232</v>
      </c>
    </row>
    <row r="63014" spans="119:119" x14ac:dyDescent="0.2">
      <c r="DO63014" s="303" t="s">
        <v>232</v>
      </c>
    </row>
    <row r="63015" spans="119:119" x14ac:dyDescent="0.2">
      <c r="DO63015" s="303" t="s">
        <v>232</v>
      </c>
    </row>
    <row r="63016" spans="119:119" x14ac:dyDescent="0.2">
      <c r="DO63016" s="303" t="s">
        <v>232</v>
      </c>
    </row>
    <row r="63017" spans="119:119" x14ac:dyDescent="0.2">
      <c r="DO63017" s="303" t="s">
        <v>232</v>
      </c>
    </row>
    <row r="63018" spans="119:119" x14ac:dyDescent="0.2">
      <c r="DO63018" s="303" t="s">
        <v>232</v>
      </c>
    </row>
    <row r="63019" spans="119:119" x14ac:dyDescent="0.2">
      <c r="DO63019" s="303" t="s">
        <v>232</v>
      </c>
    </row>
    <row r="63020" spans="119:119" x14ac:dyDescent="0.2">
      <c r="DO63020" s="303" t="s">
        <v>232</v>
      </c>
    </row>
    <row r="63021" spans="119:119" x14ac:dyDescent="0.2">
      <c r="DO63021" s="303" t="s">
        <v>232</v>
      </c>
    </row>
    <row r="63022" spans="119:119" x14ac:dyDescent="0.2">
      <c r="DO63022" s="303" t="s">
        <v>232</v>
      </c>
    </row>
    <row r="63023" spans="119:119" x14ac:dyDescent="0.2">
      <c r="DO63023" s="303" t="s">
        <v>232</v>
      </c>
    </row>
    <row r="63024" spans="119:119" x14ac:dyDescent="0.2">
      <c r="DO63024" s="303" t="s">
        <v>232</v>
      </c>
    </row>
    <row r="63025" spans="119:119" x14ac:dyDescent="0.2">
      <c r="DO63025" s="303" t="s">
        <v>232</v>
      </c>
    </row>
    <row r="63026" spans="119:119" x14ac:dyDescent="0.2">
      <c r="DO63026" s="303" t="s">
        <v>232</v>
      </c>
    </row>
    <row r="63027" spans="119:119" x14ac:dyDescent="0.2">
      <c r="DO63027" s="303" t="s">
        <v>232</v>
      </c>
    </row>
    <row r="63028" spans="119:119" x14ac:dyDescent="0.2">
      <c r="DO63028" s="303" t="s">
        <v>232</v>
      </c>
    </row>
    <row r="63029" spans="119:119" x14ac:dyDescent="0.2">
      <c r="DO63029" s="303" t="s">
        <v>232</v>
      </c>
    </row>
    <row r="63030" spans="119:119" x14ac:dyDescent="0.2">
      <c r="DO63030" s="303" t="s">
        <v>232</v>
      </c>
    </row>
    <row r="63031" spans="119:119" x14ac:dyDescent="0.2">
      <c r="DO63031" s="303" t="s">
        <v>232</v>
      </c>
    </row>
    <row r="63032" spans="119:119" x14ac:dyDescent="0.2">
      <c r="DO63032" s="303" t="s">
        <v>232</v>
      </c>
    </row>
    <row r="63033" spans="119:119" x14ac:dyDescent="0.2">
      <c r="DO63033" s="303" t="s">
        <v>232</v>
      </c>
    </row>
    <row r="63034" spans="119:119" x14ac:dyDescent="0.2">
      <c r="DO63034" s="303" t="s">
        <v>232</v>
      </c>
    </row>
    <row r="63035" spans="119:119" x14ac:dyDescent="0.2">
      <c r="DO63035" s="303" t="s">
        <v>232</v>
      </c>
    </row>
    <row r="63036" spans="119:119" x14ac:dyDescent="0.2">
      <c r="DO63036" s="303" t="s">
        <v>232</v>
      </c>
    </row>
    <row r="63037" spans="119:119" x14ac:dyDescent="0.2">
      <c r="DO63037" s="303" t="s">
        <v>232</v>
      </c>
    </row>
    <row r="63038" spans="119:119" x14ac:dyDescent="0.2">
      <c r="DO63038" s="303" t="s">
        <v>232</v>
      </c>
    </row>
    <row r="63039" spans="119:119" x14ac:dyDescent="0.2">
      <c r="DO63039" s="303" t="s">
        <v>232</v>
      </c>
    </row>
    <row r="63040" spans="119:119" x14ac:dyDescent="0.2">
      <c r="DO63040" s="303" t="s">
        <v>232</v>
      </c>
    </row>
    <row r="63041" spans="119:119" x14ac:dyDescent="0.2">
      <c r="DO63041" s="303" t="s">
        <v>232</v>
      </c>
    </row>
    <row r="63042" spans="119:119" x14ac:dyDescent="0.2">
      <c r="DO63042" s="303" t="s">
        <v>232</v>
      </c>
    </row>
    <row r="63043" spans="119:119" x14ac:dyDescent="0.2">
      <c r="DO63043" s="303" t="s">
        <v>232</v>
      </c>
    </row>
    <row r="63044" spans="119:119" x14ac:dyDescent="0.2">
      <c r="DO63044" s="303" t="s">
        <v>232</v>
      </c>
    </row>
    <row r="63045" spans="119:119" x14ac:dyDescent="0.2">
      <c r="DO63045" s="303" t="s">
        <v>232</v>
      </c>
    </row>
    <row r="63046" spans="119:119" x14ac:dyDescent="0.2">
      <c r="DO63046" s="303" t="s">
        <v>232</v>
      </c>
    </row>
    <row r="63047" spans="119:119" x14ac:dyDescent="0.2">
      <c r="DO63047" s="303" t="s">
        <v>232</v>
      </c>
    </row>
    <row r="63048" spans="119:119" x14ac:dyDescent="0.2">
      <c r="DO63048" s="303" t="s">
        <v>232</v>
      </c>
    </row>
    <row r="63049" spans="119:119" x14ac:dyDescent="0.2">
      <c r="DO63049" s="303" t="s">
        <v>232</v>
      </c>
    </row>
    <row r="63050" spans="119:119" x14ac:dyDescent="0.2">
      <c r="DO63050" s="303" t="s">
        <v>232</v>
      </c>
    </row>
    <row r="63051" spans="119:119" x14ac:dyDescent="0.2">
      <c r="DO63051" s="303" t="s">
        <v>232</v>
      </c>
    </row>
    <row r="63052" spans="119:119" x14ac:dyDescent="0.2">
      <c r="DO63052" s="303" t="s">
        <v>232</v>
      </c>
    </row>
    <row r="63053" spans="119:119" x14ac:dyDescent="0.2">
      <c r="DO63053" s="303" t="s">
        <v>232</v>
      </c>
    </row>
    <row r="63054" spans="119:119" x14ac:dyDescent="0.2">
      <c r="DO63054" s="303" t="s">
        <v>232</v>
      </c>
    </row>
    <row r="63055" spans="119:119" x14ac:dyDescent="0.2">
      <c r="DO63055" s="303" t="s">
        <v>232</v>
      </c>
    </row>
    <row r="63056" spans="119:119" x14ac:dyDescent="0.2">
      <c r="DO63056" s="303" t="s">
        <v>232</v>
      </c>
    </row>
    <row r="63057" spans="119:119" x14ac:dyDescent="0.2">
      <c r="DO63057" s="303" t="s">
        <v>232</v>
      </c>
    </row>
    <row r="63058" spans="119:119" x14ac:dyDescent="0.2">
      <c r="DO63058" s="303" t="s">
        <v>232</v>
      </c>
    </row>
    <row r="63059" spans="119:119" x14ac:dyDescent="0.2">
      <c r="DO63059" s="303" t="s">
        <v>232</v>
      </c>
    </row>
    <row r="63060" spans="119:119" x14ac:dyDescent="0.2">
      <c r="DO63060" s="303" t="s">
        <v>232</v>
      </c>
    </row>
    <row r="63061" spans="119:119" x14ac:dyDescent="0.2">
      <c r="DO63061" s="303" t="s">
        <v>232</v>
      </c>
    </row>
    <row r="63062" spans="119:119" x14ac:dyDescent="0.2">
      <c r="DO63062" s="303" t="s">
        <v>232</v>
      </c>
    </row>
    <row r="63063" spans="119:119" x14ac:dyDescent="0.2">
      <c r="DO63063" s="303" t="s">
        <v>232</v>
      </c>
    </row>
    <row r="63064" spans="119:119" x14ac:dyDescent="0.2">
      <c r="DO63064" s="303" t="s">
        <v>232</v>
      </c>
    </row>
    <row r="63065" spans="119:119" x14ac:dyDescent="0.2">
      <c r="DO63065" s="303" t="s">
        <v>232</v>
      </c>
    </row>
    <row r="63066" spans="119:119" x14ac:dyDescent="0.2">
      <c r="DO63066" s="303" t="s">
        <v>232</v>
      </c>
    </row>
    <row r="63067" spans="119:119" x14ac:dyDescent="0.2">
      <c r="DO63067" s="303" t="s">
        <v>232</v>
      </c>
    </row>
    <row r="63068" spans="119:119" x14ac:dyDescent="0.2">
      <c r="DO63068" s="303" t="s">
        <v>232</v>
      </c>
    </row>
    <row r="63069" spans="119:119" x14ac:dyDescent="0.2">
      <c r="DO63069" s="303" t="s">
        <v>232</v>
      </c>
    </row>
    <row r="63070" spans="119:119" x14ac:dyDescent="0.2">
      <c r="DO63070" s="303" t="s">
        <v>232</v>
      </c>
    </row>
    <row r="63071" spans="119:119" x14ac:dyDescent="0.2">
      <c r="DO63071" s="303" t="s">
        <v>232</v>
      </c>
    </row>
    <row r="63072" spans="119:119" x14ac:dyDescent="0.2">
      <c r="DO63072" s="303" t="s">
        <v>232</v>
      </c>
    </row>
    <row r="63073" spans="119:119" x14ac:dyDescent="0.2">
      <c r="DO63073" s="303" t="s">
        <v>232</v>
      </c>
    </row>
    <row r="63074" spans="119:119" x14ac:dyDescent="0.2">
      <c r="DO63074" s="303" t="s">
        <v>232</v>
      </c>
    </row>
    <row r="63075" spans="119:119" x14ac:dyDescent="0.2">
      <c r="DO63075" s="303" t="s">
        <v>232</v>
      </c>
    </row>
    <row r="63076" spans="119:119" x14ac:dyDescent="0.2">
      <c r="DO63076" s="303" t="s">
        <v>232</v>
      </c>
    </row>
    <row r="63077" spans="119:119" x14ac:dyDescent="0.2">
      <c r="DO63077" s="303" t="s">
        <v>232</v>
      </c>
    </row>
    <row r="63078" spans="119:119" x14ac:dyDescent="0.2">
      <c r="DO63078" s="303" t="s">
        <v>232</v>
      </c>
    </row>
    <row r="63079" spans="119:119" x14ac:dyDescent="0.2">
      <c r="DO63079" s="303" t="s">
        <v>232</v>
      </c>
    </row>
    <row r="63080" spans="119:119" x14ac:dyDescent="0.2">
      <c r="DO63080" s="303" t="s">
        <v>232</v>
      </c>
    </row>
    <row r="63081" spans="119:119" x14ac:dyDescent="0.2">
      <c r="DO63081" s="303" t="s">
        <v>232</v>
      </c>
    </row>
    <row r="63082" spans="119:119" x14ac:dyDescent="0.2">
      <c r="DO63082" s="303" t="s">
        <v>232</v>
      </c>
    </row>
    <row r="63083" spans="119:119" x14ac:dyDescent="0.2">
      <c r="DO63083" s="303" t="s">
        <v>232</v>
      </c>
    </row>
    <row r="63084" spans="119:119" x14ac:dyDescent="0.2">
      <c r="DO63084" s="303" t="s">
        <v>232</v>
      </c>
    </row>
    <row r="63085" spans="119:119" x14ac:dyDescent="0.2">
      <c r="DO63085" s="303" t="s">
        <v>232</v>
      </c>
    </row>
    <row r="63086" spans="119:119" x14ac:dyDescent="0.2">
      <c r="DO63086" s="303" t="s">
        <v>232</v>
      </c>
    </row>
    <row r="63087" spans="119:119" x14ac:dyDescent="0.2">
      <c r="DO63087" s="303" t="s">
        <v>232</v>
      </c>
    </row>
    <row r="63088" spans="119:119" x14ac:dyDescent="0.2">
      <c r="DO63088" s="303" t="s">
        <v>232</v>
      </c>
    </row>
    <row r="63089" spans="119:119" x14ac:dyDescent="0.2">
      <c r="DO63089" s="303" t="s">
        <v>232</v>
      </c>
    </row>
    <row r="63090" spans="119:119" x14ac:dyDescent="0.2">
      <c r="DO63090" s="303" t="s">
        <v>232</v>
      </c>
    </row>
    <row r="63091" spans="119:119" x14ac:dyDescent="0.2">
      <c r="DO63091" s="303" t="s">
        <v>232</v>
      </c>
    </row>
    <row r="63092" spans="119:119" x14ac:dyDescent="0.2">
      <c r="DO63092" s="303" t="s">
        <v>232</v>
      </c>
    </row>
    <row r="63093" spans="119:119" x14ac:dyDescent="0.2">
      <c r="DO63093" s="303" t="s">
        <v>232</v>
      </c>
    </row>
    <row r="63094" spans="119:119" x14ac:dyDescent="0.2">
      <c r="DO63094" s="303" t="s">
        <v>232</v>
      </c>
    </row>
    <row r="63095" spans="119:119" x14ac:dyDescent="0.2">
      <c r="DO63095" s="303" t="s">
        <v>232</v>
      </c>
    </row>
    <row r="63096" spans="119:119" x14ac:dyDescent="0.2">
      <c r="DO63096" s="303" t="s">
        <v>232</v>
      </c>
    </row>
    <row r="63097" spans="119:119" x14ac:dyDescent="0.2">
      <c r="DO63097" s="303" t="s">
        <v>232</v>
      </c>
    </row>
    <row r="63098" spans="119:119" x14ac:dyDescent="0.2">
      <c r="DO63098" s="303" t="s">
        <v>232</v>
      </c>
    </row>
    <row r="63099" spans="119:119" x14ac:dyDescent="0.2">
      <c r="DO63099" s="303" t="s">
        <v>232</v>
      </c>
    </row>
    <row r="63100" spans="119:119" x14ac:dyDescent="0.2">
      <c r="DO63100" s="303" t="s">
        <v>232</v>
      </c>
    </row>
    <row r="63101" spans="119:119" x14ac:dyDescent="0.2">
      <c r="DO63101" s="303" t="s">
        <v>232</v>
      </c>
    </row>
    <row r="63102" spans="119:119" x14ac:dyDescent="0.2">
      <c r="DO63102" s="303" t="s">
        <v>232</v>
      </c>
    </row>
    <row r="63103" spans="119:119" x14ac:dyDescent="0.2">
      <c r="DO63103" s="303" t="s">
        <v>232</v>
      </c>
    </row>
    <row r="63104" spans="119:119" x14ac:dyDescent="0.2">
      <c r="DO63104" s="303" t="s">
        <v>232</v>
      </c>
    </row>
    <row r="63105" spans="119:119" x14ac:dyDescent="0.2">
      <c r="DO63105" s="303" t="s">
        <v>232</v>
      </c>
    </row>
    <row r="63106" spans="119:119" x14ac:dyDescent="0.2">
      <c r="DO63106" s="303" t="s">
        <v>232</v>
      </c>
    </row>
    <row r="63107" spans="119:119" x14ac:dyDescent="0.2">
      <c r="DO63107" s="303" t="s">
        <v>232</v>
      </c>
    </row>
    <row r="63108" spans="119:119" x14ac:dyDescent="0.2">
      <c r="DO63108" s="303" t="s">
        <v>232</v>
      </c>
    </row>
    <row r="63109" spans="119:119" x14ac:dyDescent="0.2">
      <c r="DO63109" s="303" t="s">
        <v>232</v>
      </c>
    </row>
    <row r="63110" spans="119:119" x14ac:dyDescent="0.2">
      <c r="DO63110" s="303" t="s">
        <v>232</v>
      </c>
    </row>
    <row r="63111" spans="119:119" x14ac:dyDescent="0.2">
      <c r="DO63111" s="303" t="s">
        <v>232</v>
      </c>
    </row>
    <row r="63112" spans="119:119" x14ac:dyDescent="0.2">
      <c r="DO63112" s="303" t="s">
        <v>232</v>
      </c>
    </row>
    <row r="63113" spans="119:119" x14ac:dyDescent="0.2">
      <c r="DO63113" s="303" t="s">
        <v>232</v>
      </c>
    </row>
    <row r="63114" spans="119:119" x14ac:dyDescent="0.2">
      <c r="DO63114" s="303" t="s">
        <v>232</v>
      </c>
    </row>
    <row r="63115" spans="119:119" x14ac:dyDescent="0.2">
      <c r="DO63115" s="303" t="s">
        <v>232</v>
      </c>
    </row>
    <row r="63116" spans="119:119" x14ac:dyDescent="0.2">
      <c r="DO63116" s="303" t="s">
        <v>232</v>
      </c>
    </row>
    <row r="63117" spans="119:119" x14ac:dyDescent="0.2">
      <c r="DO63117" s="303" t="s">
        <v>232</v>
      </c>
    </row>
    <row r="63118" spans="119:119" x14ac:dyDescent="0.2">
      <c r="DO63118" s="303" t="s">
        <v>232</v>
      </c>
    </row>
    <row r="63119" spans="119:119" x14ac:dyDescent="0.2">
      <c r="DO63119" s="303" t="s">
        <v>232</v>
      </c>
    </row>
    <row r="63120" spans="119:119" x14ac:dyDescent="0.2">
      <c r="DO63120" s="303" t="s">
        <v>232</v>
      </c>
    </row>
    <row r="63121" spans="119:119" x14ac:dyDescent="0.2">
      <c r="DO63121" s="303" t="s">
        <v>232</v>
      </c>
    </row>
    <row r="63122" spans="119:119" x14ac:dyDescent="0.2">
      <c r="DO63122" s="303" t="s">
        <v>232</v>
      </c>
    </row>
    <row r="63123" spans="119:119" x14ac:dyDescent="0.2">
      <c r="DO63123" s="303" t="s">
        <v>232</v>
      </c>
    </row>
    <row r="63124" spans="119:119" x14ac:dyDescent="0.2">
      <c r="DO63124" s="303" t="s">
        <v>232</v>
      </c>
    </row>
    <row r="63125" spans="119:119" x14ac:dyDescent="0.2">
      <c r="DO63125" s="303" t="s">
        <v>232</v>
      </c>
    </row>
    <row r="63126" spans="119:119" x14ac:dyDescent="0.2">
      <c r="DO63126" s="303" t="s">
        <v>232</v>
      </c>
    </row>
    <row r="63127" spans="119:119" x14ac:dyDescent="0.2">
      <c r="DO63127" s="303" t="s">
        <v>232</v>
      </c>
    </row>
    <row r="63128" spans="119:119" x14ac:dyDescent="0.2">
      <c r="DO63128" s="303" t="s">
        <v>232</v>
      </c>
    </row>
    <row r="63129" spans="119:119" x14ac:dyDescent="0.2">
      <c r="DO63129" s="303" t="s">
        <v>232</v>
      </c>
    </row>
    <row r="63130" spans="119:119" x14ac:dyDescent="0.2">
      <c r="DO63130" s="303" t="s">
        <v>232</v>
      </c>
    </row>
    <row r="63131" spans="119:119" x14ac:dyDescent="0.2">
      <c r="DO63131" s="303" t="s">
        <v>232</v>
      </c>
    </row>
    <row r="63132" spans="119:119" x14ac:dyDescent="0.2">
      <c r="DO63132" s="303" t="s">
        <v>232</v>
      </c>
    </row>
    <row r="63133" spans="119:119" x14ac:dyDescent="0.2">
      <c r="DO63133" s="303" t="s">
        <v>232</v>
      </c>
    </row>
    <row r="63134" spans="119:119" x14ac:dyDescent="0.2">
      <c r="DO63134" s="303" t="s">
        <v>232</v>
      </c>
    </row>
    <row r="63135" spans="119:119" x14ac:dyDescent="0.2">
      <c r="DO63135" s="303" t="s">
        <v>232</v>
      </c>
    </row>
    <row r="63136" spans="119:119" x14ac:dyDescent="0.2">
      <c r="DO63136" s="303" t="s">
        <v>232</v>
      </c>
    </row>
    <row r="63137" spans="119:119" x14ac:dyDescent="0.2">
      <c r="DO63137" s="303" t="s">
        <v>232</v>
      </c>
    </row>
    <row r="63138" spans="119:119" x14ac:dyDescent="0.2">
      <c r="DO63138" s="303" t="s">
        <v>232</v>
      </c>
    </row>
    <row r="63139" spans="119:119" x14ac:dyDescent="0.2">
      <c r="DO63139" s="303" t="s">
        <v>232</v>
      </c>
    </row>
    <row r="63140" spans="119:119" x14ac:dyDescent="0.2">
      <c r="DO63140" s="303" t="s">
        <v>232</v>
      </c>
    </row>
    <row r="63141" spans="119:119" x14ac:dyDescent="0.2">
      <c r="DO63141" s="303" t="s">
        <v>232</v>
      </c>
    </row>
    <row r="63142" spans="119:119" x14ac:dyDescent="0.2">
      <c r="DO63142" s="303" t="s">
        <v>232</v>
      </c>
    </row>
    <row r="63143" spans="119:119" x14ac:dyDescent="0.2">
      <c r="DO63143" s="303" t="s">
        <v>232</v>
      </c>
    </row>
    <row r="63144" spans="119:119" x14ac:dyDescent="0.2">
      <c r="DO63144" s="303" t="s">
        <v>232</v>
      </c>
    </row>
    <row r="63145" spans="119:119" x14ac:dyDescent="0.2">
      <c r="DO63145" s="303" t="s">
        <v>232</v>
      </c>
    </row>
    <row r="63146" spans="119:119" x14ac:dyDescent="0.2">
      <c r="DO63146" s="303" t="s">
        <v>232</v>
      </c>
    </row>
    <row r="63147" spans="119:119" x14ac:dyDescent="0.2">
      <c r="DO63147" s="303" t="s">
        <v>232</v>
      </c>
    </row>
    <row r="63148" spans="119:119" x14ac:dyDescent="0.2">
      <c r="DO63148" s="303" t="s">
        <v>232</v>
      </c>
    </row>
    <row r="63149" spans="119:119" x14ac:dyDescent="0.2">
      <c r="DO63149" s="303" t="s">
        <v>232</v>
      </c>
    </row>
    <row r="63150" spans="119:119" x14ac:dyDescent="0.2">
      <c r="DO63150" s="303" t="s">
        <v>232</v>
      </c>
    </row>
    <row r="63151" spans="119:119" x14ac:dyDescent="0.2">
      <c r="DO63151" s="303" t="s">
        <v>232</v>
      </c>
    </row>
    <row r="63152" spans="119:119" x14ac:dyDescent="0.2">
      <c r="DO63152" s="303" t="s">
        <v>232</v>
      </c>
    </row>
    <row r="63153" spans="119:119" x14ac:dyDescent="0.2">
      <c r="DO63153" s="303" t="s">
        <v>232</v>
      </c>
    </row>
    <row r="63154" spans="119:119" x14ac:dyDescent="0.2">
      <c r="DO63154" s="303" t="s">
        <v>232</v>
      </c>
    </row>
    <row r="63155" spans="119:119" x14ac:dyDescent="0.2">
      <c r="DO63155" s="303" t="s">
        <v>232</v>
      </c>
    </row>
    <row r="63156" spans="119:119" x14ac:dyDescent="0.2">
      <c r="DO63156" s="303" t="s">
        <v>232</v>
      </c>
    </row>
    <row r="63157" spans="119:119" x14ac:dyDescent="0.2">
      <c r="DO63157" s="303" t="s">
        <v>232</v>
      </c>
    </row>
    <row r="63158" spans="119:119" x14ac:dyDescent="0.2">
      <c r="DO63158" s="303" t="s">
        <v>232</v>
      </c>
    </row>
    <row r="63159" spans="119:119" x14ac:dyDescent="0.2">
      <c r="DO63159" s="303" t="s">
        <v>232</v>
      </c>
    </row>
    <row r="63160" spans="119:119" x14ac:dyDescent="0.2">
      <c r="DO63160" s="303" t="s">
        <v>232</v>
      </c>
    </row>
    <row r="63161" spans="119:119" x14ac:dyDescent="0.2">
      <c r="DO63161" s="303" t="s">
        <v>232</v>
      </c>
    </row>
    <row r="63162" spans="119:119" x14ac:dyDescent="0.2">
      <c r="DO63162" s="303" t="s">
        <v>232</v>
      </c>
    </row>
    <row r="63163" spans="119:119" x14ac:dyDescent="0.2">
      <c r="DO63163" s="303" t="s">
        <v>232</v>
      </c>
    </row>
    <row r="63164" spans="119:119" x14ac:dyDescent="0.2">
      <c r="DO63164" s="303" t="s">
        <v>232</v>
      </c>
    </row>
    <row r="63165" spans="119:119" x14ac:dyDescent="0.2">
      <c r="DO63165" s="303" t="s">
        <v>232</v>
      </c>
    </row>
    <row r="63166" spans="119:119" x14ac:dyDescent="0.2">
      <c r="DO63166" s="303" t="s">
        <v>232</v>
      </c>
    </row>
    <row r="63167" spans="119:119" x14ac:dyDescent="0.2">
      <c r="DO63167" s="303" t="s">
        <v>232</v>
      </c>
    </row>
    <row r="63168" spans="119:119" x14ac:dyDescent="0.2">
      <c r="DO63168" s="303" t="s">
        <v>232</v>
      </c>
    </row>
    <row r="63169" spans="119:119" x14ac:dyDescent="0.2">
      <c r="DO63169" s="303" t="s">
        <v>232</v>
      </c>
    </row>
    <row r="63170" spans="119:119" x14ac:dyDescent="0.2">
      <c r="DO63170" s="303" t="s">
        <v>232</v>
      </c>
    </row>
    <row r="63171" spans="119:119" x14ac:dyDescent="0.2">
      <c r="DO63171" s="303" t="s">
        <v>232</v>
      </c>
    </row>
    <row r="63172" spans="119:119" x14ac:dyDescent="0.2">
      <c r="DO63172" s="303" t="s">
        <v>232</v>
      </c>
    </row>
    <row r="63173" spans="119:119" x14ac:dyDescent="0.2">
      <c r="DO63173" s="303" t="s">
        <v>232</v>
      </c>
    </row>
    <row r="63174" spans="119:119" x14ac:dyDescent="0.2">
      <c r="DO63174" s="303" t="s">
        <v>232</v>
      </c>
    </row>
    <row r="63175" spans="119:119" x14ac:dyDescent="0.2">
      <c r="DO63175" s="303" t="s">
        <v>232</v>
      </c>
    </row>
    <row r="63176" spans="119:119" x14ac:dyDescent="0.2">
      <c r="DO63176" s="303" t="s">
        <v>232</v>
      </c>
    </row>
    <row r="63177" spans="119:119" x14ac:dyDescent="0.2">
      <c r="DO63177" s="303" t="s">
        <v>232</v>
      </c>
    </row>
    <row r="63178" spans="119:119" x14ac:dyDescent="0.2">
      <c r="DO63178" s="303" t="s">
        <v>232</v>
      </c>
    </row>
    <row r="63179" spans="119:119" x14ac:dyDescent="0.2">
      <c r="DO63179" s="303" t="s">
        <v>232</v>
      </c>
    </row>
    <row r="63180" spans="119:119" x14ac:dyDescent="0.2">
      <c r="DO63180" s="303" t="s">
        <v>232</v>
      </c>
    </row>
    <row r="63181" spans="119:119" x14ac:dyDescent="0.2">
      <c r="DO63181" s="303" t="s">
        <v>232</v>
      </c>
    </row>
    <row r="63182" spans="119:119" x14ac:dyDescent="0.2">
      <c r="DO63182" s="303" t="s">
        <v>232</v>
      </c>
    </row>
    <row r="63183" spans="119:119" x14ac:dyDescent="0.2">
      <c r="DO63183" s="303" t="s">
        <v>232</v>
      </c>
    </row>
    <row r="63184" spans="119:119" x14ac:dyDescent="0.2">
      <c r="DO63184" s="303" t="s">
        <v>232</v>
      </c>
    </row>
    <row r="63185" spans="119:119" x14ac:dyDescent="0.2">
      <c r="DO63185" s="303" t="s">
        <v>232</v>
      </c>
    </row>
    <row r="63186" spans="119:119" x14ac:dyDescent="0.2">
      <c r="DO63186" s="303" t="s">
        <v>232</v>
      </c>
    </row>
    <row r="63187" spans="119:119" x14ac:dyDescent="0.2">
      <c r="DO63187" s="303" t="s">
        <v>232</v>
      </c>
    </row>
    <row r="63188" spans="119:119" x14ac:dyDescent="0.2">
      <c r="DO63188" s="303" t="s">
        <v>232</v>
      </c>
    </row>
    <row r="63189" spans="119:119" x14ac:dyDescent="0.2">
      <c r="DO63189" s="303" t="s">
        <v>232</v>
      </c>
    </row>
    <row r="63190" spans="119:119" x14ac:dyDescent="0.2">
      <c r="DO63190" s="303" t="s">
        <v>232</v>
      </c>
    </row>
    <row r="63191" spans="119:119" x14ac:dyDescent="0.2">
      <c r="DO63191" s="303" t="s">
        <v>232</v>
      </c>
    </row>
    <row r="63192" spans="119:119" x14ac:dyDescent="0.2">
      <c r="DO63192" s="303" t="s">
        <v>232</v>
      </c>
    </row>
    <row r="63193" spans="119:119" x14ac:dyDescent="0.2">
      <c r="DO63193" s="303" t="s">
        <v>232</v>
      </c>
    </row>
    <row r="63194" spans="119:119" x14ac:dyDescent="0.2">
      <c r="DO63194" s="303" t="s">
        <v>232</v>
      </c>
    </row>
    <row r="63195" spans="119:119" x14ac:dyDescent="0.2">
      <c r="DO63195" s="303" t="s">
        <v>232</v>
      </c>
    </row>
    <row r="63196" spans="119:119" x14ac:dyDescent="0.2">
      <c r="DO63196" s="303" t="s">
        <v>232</v>
      </c>
    </row>
    <row r="63197" spans="119:119" x14ac:dyDescent="0.2">
      <c r="DO63197" s="303" t="s">
        <v>232</v>
      </c>
    </row>
    <row r="63198" spans="119:119" x14ac:dyDescent="0.2">
      <c r="DO63198" s="303" t="s">
        <v>232</v>
      </c>
    </row>
    <row r="63199" spans="119:119" x14ac:dyDescent="0.2">
      <c r="DO63199" s="303" t="s">
        <v>232</v>
      </c>
    </row>
    <row r="63200" spans="119:119" x14ac:dyDescent="0.2">
      <c r="DO63200" s="303" t="s">
        <v>232</v>
      </c>
    </row>
    <row r="63201" spans="119:119" x14ac:dyDescent="0.2">
      <c r="DO63201" s="303" t="s">
        <v>232</v>
      </c>
    </row>
    <row r="63202" spans="119:119" x14ac:dyDescent="0.2">
      <c r="DO63202" s="303" t="s">
        <v>232</v>
      </c>
    </row>
    <row r="63203" spans="119:119" x14ac:dyDescent="0.2">
      <c r="DO63203" s="303" t="s">
        <v>232</v>
      </c>
    </row>
    <row r="63204" spans="119:119" x14ac:dyDescent="0.2">
      <c r="DO63204" s="303" t="s">
        <v>232</v>
      </c>
    </row>
    <row r="63205" spans="119:119" x14ac:dyDescent="0.2">
      <c r="DO63205" s="303" t="s">
        <v>232</v>
      </c>
    </row>
    <row r="63206" spans="119:119" x14ac:dyDescent="0.2">
      <c r="DO63206" s="303" t="s">
        <v>232</v>
      </c>
    </row>
    <row r="63207" spans="119:119" x14ac:dyDescent="0.2">
      <c r="DO63207" s="303" t="s">
        <v>232</v>
      </c>
    </row>
    <row r="63208" spans="119:119" x14ac:dyDescent="0.2">
      <c r="DO63208" s="303" t="s">
        <v>232</v>
      </c>
    </row>
    <row r="63209" spans="119:119" x14ac:dyDescent="0.2">
      <c r="DO63209" s="303" t="s">
        <v>232</v>
      </c>
    </row>
    <row r="63210" spans="119:119" x14ac:dyDescent="0.2">
      <c r="DO63210" s="303" t="s">
        <v>232</v>
      </c>
    </row>
    <row r="63211" spans="119:119" x14ac:dyDescent="0.2">
      <c r="DO63211" s="303" t="s">
        <v>232</v>
      </c>
    </row>
    <row r="63212" spans="119:119" x14ac:dyDescent="0.2">
      <c r="DO63212" s="303" t="s">
        <v>232</v>
      </c>
    </row>
    <row r="63213" spans="119:119" x14ac:dyDescent="0.2">
      <c r="DO63213" s="303" t="s">
        <v>232</v>
      </c>
    </row>
    <row r="63214" spans="119:119" x14ac:dyDescent="0.2">
      <c r="DO63214" s="303" t="s">
        <v>232</v>
      </c>
    </row>
    <row r="63215" spans="119:119" x14ac:dyDescent="0.2">
      <c r="DO63215" s="303" t="s">
        <v>232</v>
      </c>
    </row>
    <row r="63216" spans="119:119" x14ac:dyDescent="0.2">
      <c r="DO63216" s="303" t="s">
        <v>232</v>
      </c>
    </row>
    <row r="63217" spans="119:119" x14ac:dyDescent="0.2">
      <c r="DO63217" s="303" t="s">
        <v>232</v>
      </c>
    </row>
    <row r="63218" spans="119:119" x14ac:dyDescent="0.2">
      <c r="DO63218" s="303" t="s">
        <v>232</v>
      </c>
    </row>
    <row r="63219" spans="119:119" x14ac:dyDescent="0.2">
      <c r="DO63219" s="303" t="s">
        <v>232</v>
      </c>
    </row>
    <row r="63220" spans="119:119" x14ac:dyDescent="0.2">
      <c r="DO63220" s="303" t="s">
        <v>232</v>
      </c>
    </row>
    <row r="63221" spans="119:119" x14ac:dyDescent="0.2">
      <c r="DO63221" s="303" t="s">
        <v>232</v>
      </c>
    </row>
    <row r="63222" spans="119:119" x14ac:dyDescent="0.2">
      <c r="DO63222" s="303" t="s">
        <v>232</v>
      </c>
    </row>
    <row r="63223" spans="119:119" x14ac:dyDescent="0.2">
      <c r="DO63223" s="303" t="s">
        <v>232</v>
      </c>
    </row>
    <row r="63224" spans="119:119" x14ac:dyDescent="0.2">
      <c r="DO63224" s="303" t="s">
        <v>232</v>
      </c>
    </row>
    <row r="63225" spans="119:119" x14ac:dyDescent="0.2">
      <c r="DO63225" s="303" t="s">
        <v>232</v>
      </c>
    </row>
    <row r="63226" spans="119:119" x14ac:dyDescent="0.2">
      <c r="DO63226" s="303" t="s">
        <v>232</v>
      </c>
    </row>
    <row r="63227" spans="119:119" x14ac:dyDescent="0.2">
      <c r="DO63227" s="303" t="s">
        <v>232</v>
      </c>
    </row>
    <row r="63228" spans="119:119" x14ac:dyDescent="0.2">
      <c r="DO63228" s="303" t="s">
        <v>232</v>
      </c>
    </row>
    <row r="63229" spans="119:119" x14ac:dyDescent="0.2">
      <c r="DO63229" s="303" t="s">
        <v>232</v>
      </c>
    </row>
    <row r="63230" spans="119:119" x14ac:dyDescent="0.2">
      <c r="DO63230" s="303" t="s">
        <v>232</v>
      </c>
    </row>
    <row r="63231" spans="119:119" x14ac:dyDescent="0.2">
      <c r="DO63231" s="303" t="s">
        <v>232</v>
      </c>
    </row>
    <row r="63232" spans="119:119" x14ac:dyDescent="0.2">
      <c r="DO63232" s="303" t="s">
        <v>232</v>
      </c>
    </row>
    <row r="63233" spans="119:119" x14ac:dyDescent="0.2">
      <c r="DO63233" s="303" t="s">
        <v>232</v>
      </c>
    </row>
    <row r="63234" spans="119:119" x14ac:dyDescent="0.2">
      <c r="DO63234" s="303" t="s">
        <v>232</v>
      </c>
    </row>
    <row r="63235" spans="119:119" x14ac:dyDescent="0.2">
      <c r="DO63235" s="303" t="s">
        <v>232</v>
      </c>
    </row>
    <row r="63236" spans="119:119" x14ac:dyDescent="0.2">
      <c r="DO63236" s="303" t="s">
        <v>232</v>
      </c>
    </row>
    <row r="63237" spans="119:119" x14ac:dyDescent="0.2">
      <c r="DO63237" s="303" t="s">
        <v>232</v>
      </c>
    </row>
    <row r="63238" spans="119:119" x14ac:dyDescent="0.2">
      <c r="DO63238" s="303" t="s">
        <v>232</v>
      </c>
    </row>
    <row r="63239" spans="119:119" x14ac:dyDescent="0.2">
      <c r="DO63239" s="303" t="s">
        <v>232</v>
      </c>
    </row>
    <row r="63240" spans="119:119" x14ac:dyDescent="0.2">
      <c r="DO63240" s="303" t="s">
        <v>232</v>
      </c>
    </row>
    <row r="63241" spans="119:119" x14ac:dyDescent="0.2">
      <c r="DO63241" s="303" t="s">
        <v>232</v>
      </c>
    </row>
    <row r="63242" spans="119:119" x14ac:dyDescent="0.2">
      <c r="DO63242" s="303" t="s">
        <v>232</v>
      </c>
    </row>
    <row r="63243" spans="119:119" x14ac:dyDescent="0.2">
      <c r="DO63243" s="303" t="s">
        <v>232</v>
      </c>
    </row>
    <row r="63244" spans="119:119" x14ac:dyDescent="0.2">
      <c r="DO63244" s="303" t="s">
        <v>232</v>
      </c>
    </row>
    <row r="63245" spans="119:119" x14ac:dyDescent="0.2">
      <c r="DO63245" s="303" t="s">
        <v>232</v>
      </c>
    </row>
    <row r="63246" spans="119:119" x14ac:dyDescent="0.2">
      <c r="DO63246" s="303" t="s">
        <v>232</v>
      </c>
    </row>
    <row r="63247" spans="119:119" x14ac:dyDescent="0.2">
      <c r="DO63247" s="303" t="s">
        <v>232</v>
      </c>
    </row>
    <row r="63248" spans="119:119" x14ac:dyDescent="0.2">
      <c r="DO63248" s="303" t="s">
        <v>232</v>
      </c>
    </row>
    <row r="63249" spans="119:119" x14ac:dyDescent="0.2">
      <c r="DO63249" s="303" t="s">
        <v>232</v>
      </c>
    </row>
    <row r="63250" spans="119:119" x14ac:dyDescent="0.2">
      <c r="DO63250" s="303" t="s">
        <v>232</v>
      </c>
    </row>
    <row r="63251" spans="119:119" x14ac:dyDescent="0.2">
      <c r="DO63251" s="303" t="s">
        <v>232</v>
      </c>
    </row>
    <row r="63252" spans="119:119" x14ac:dyDescent="0.2">
      <c r="DO63252" s="303" t="s">
        <v>232</v>
      </c>
    </row>
    <row r="63253" spans="119:119" x14ac:dyDescent="0.2">
      <c r="DO63253" s="303" t="s">
        <v>232</v>
      </c>
    </row>
    <row r="63254" spans="119:119" x14ac:dyDescent="0.2">
      <c r="DO63254" s="303" t="s">
        <v>232</v>
      </c>
    </row>
    <row r="63255" spans="119:119" x14ac:dyDescent="0.2">
      <c r="DO63255" s="303" t="s">
        <v>232</v>
      </c>
    </row>
    <row r="63256" spans="119:119" x14ac:dyDescent="0.2">
      <c r="DO63256" s="303" t="s">
        <v>232</v>
      </c>
    </row>
    <row r="63257" spans="119:119" x14ac:dyDescent="0.2">
      <c r="DO63257" s="303" t="s">
        <v>232</v>
      </c>
    </row>
    <row r="63258" spans="119:119" x14ac:dyDescent="0.2">
      <c r="DO63258" s="303" t="s">
        <v>232</v>
      </c>
    </row>
    <row r="63259" spans="119:119" x14ac:dyDescent="0.2">
      <c r="DO63259" s="303" t="s">
        <v>232</v>
      </c>
    </row>
    <row r="63260" spans="119:119" x14ac:dyDescent="0.2">
      <c r="DO63260" s="303" t="s">
        <v>232</v>
      </c>
    </row>
    <row r="63261" spans="119:119" x14ac:dyDescent="0.2">
      <c r="DO63261" s="303" t="s">
        <v>232</v>
      </c>
    </row>
    <row r="63262" spans="119:119" x14ac:dyDescent="0.2">
      <c r="DO63262" s="303" t="s">
        <v>232</v>
      </c>
    </row>
    <row r="63263" spans="119:119" x14ac:dyDescent="0.2">
      <c r="DO63263" s="303" t="s">
        <v>232</v>
      </c>
    </row>
    <row r="63264" spans="119:119" x14ac:dyDescent="0.2">
      <c r="DO63264" s="303" t="s">
        <v>232</v>
      </c>
    </row>
    <row r="63265" spans="119:119" x14ac:dyDescent="0.2">
      <c r="DO63265" s="303" t="s">
        <v>232</v>
      </c>
    </row>
    <row r="63266" spans="119:119" x14ac:dyDescent="0.2">
      <c r="DO63266" s="303" t="s">
        <v>232</v>
      </c>
    </row>
    <row r="63267" spans="119:119" x14ac:dyDescent="0.2">
      <c r="DO63267" s="303" t="s">
        <v>232</v>
      </c>
    </row>
    <row r="63268" spans="119:119" x14ac:dyDescent="0.2">
      <c r="DO63268" s="303" t="s">
        <v>232</v>
      </c>
    </row>
    <row r="63269" spans="119:119" x14ac:dyDescent="0.2">
      <c r="DO63269" s="303" t="s">
        <v>232</v>
      </c>
    </row>
    <row r="63270" spans="119:119" x14ac:dyDescent="0.2">
      <c r="DO63270" s="303" t="s">
        <v>232</v>
      </c>
    </row>
    <row r="63271" spans="119:119" x14ac:dyDescent="0.2">
      <c r="DO63271" s="303" t="s">
        <v>232</v>
      </c>
    </row>
    <row r="63272" spans="119:119" x14ac:dyDescent="0.2">
      <c r="DO63272" s="303" t="s">
        <v>232</v>
      </c>
    </row>
    <row r="63273" spans="119:119" x14ac:dyDescent="0.2">
      <c r="DO63273" s="303" t="s">
        <v>232</v>
      </c>
    </row>
    <row r="63274" spans="119:119" x14ac:dyDescent="0.2">
      <c r="DO63274" s="303" t="s">
        <v>232</v>
      </c>
    </row>
    <row r="63275" spans="119:119" x14ac:dyDescent="0.2">
      <c r="DO63275" s="303" t="s">
        <v>232</v>
      </c>
    </row>
    <row r="63276" spans="119:119" x14ac:dyDescent="0.2">
      <c r="DO63276" s="303" t="s">
        <v>232</v>
      </c>
    </row>
    <row r="63277" spans="119:119" x14ac:dyDescent="0.2">
      <c r="DO63277" s="303" t="s">
        <v>232</v>
      </c>
    </row>
    <row r="63278" spans="119:119" x14ac:dyDescent="0.2">
      <c r="DO63278" s="303" t="s">
        <v>232</v>
      </c>
    </row>
    <row r="63279" spans="119:119" x14ac:dyDescent="0.2">
      <c r="DO63279" s="303" t="s">
        <v>232</v>
      </c>
    </row>
    <row r="63280" spans="119:119" x14ac:dyDescent="0.2">
      <c r="DO63280" s="303" t="s">
        <v>232</v>
      </c>
    </row>
    <row r="63281" spans="119:119" x14ac:dyDescent="0.2">
      <c r="DO63281" s="303" t="s">
        <v>232</v>
      </c>
    </row>
    <row r="63282" spans="119:119" x14ac:dyDescent="0.2">
      <c r="DO63282" s="303" t="s">
        <v>232</v>
      </c>
    </row>
    <row r="63283" spans="119:119" x14ac:dyDescent="0.2">
      <c r="DO63283" s="303" t="s">
        <v>232</v>
      </c>
    </row>
    <row r="63284" spans="119:119" x14ac:dyDescent="0.2">
      <c r="DO63284" s="303" t="s">
        <v>232</v>
      </c>
    </row>
    <row r="63285" spans="119:119" x14ac:dyDescent="0.2">
      <c r="DO63285" s="303" t="s">
        <v>232</v>
      </c>
    </row>
    <row r="63286" spans="119:119" x14ac:dyDescent="0.2">
      <c r="DO63286" s="303" t="s">
        <v>232</v>
      </c>
    </row>
    <row r="63287" spans="119:119" x14ac:dyDescent="0.2">
      <c r="DO63287" s="303" t="s">
        <v>232</v>
      </c>
    </row>
    <row r="63288" spans="119:119" x14ac:dyDescent="0.2">
      <c r="DO63288" s="303" t="s">
        <v>232</v>
      </c>
    </row>
    <row r="63289" spans="119:119" x14ac:dyDescent="0.2">
      <c r="DO63289" s="303" t="s">
        <v>232</v>
      </c>
    </row>
    <row r="63290" spans="119:119" x14ac:dyDescent="0.2">
      <c r="DO63290" s="303" t="s">
        <v>232</v>
      </c>
    </row>
    <row r="63291" spans="119:119" x14ac:dyDescent="0.2">
      <c r="DO63291" s="303" t="s">
        <v>232</v>
      </c>
    </row>
    <row r="63292" spans="119:119" x14ac:dyDescent="0.2">
      <c r="DO63292" s="303" t="s">
        <v>232</v>
      </c>
    </row>
    <row r="63293" spans="119:119" x14ac:dyDescent="0.2">
      <c r="DO63293" s="303" t="s">
        <v>232</v>
      </c>
    </row>
    <row r="63294" spans="119:119" x14ac:dyDescent="0.2">
      <c r="DO63294" s="303" t="s">
        <v>232</v>
      </c>
    </row>
    <row r="63295" spans="119:119" x14ac:dyDescent="0.2">
      <c r="DO63295" s="303" t="s">
        <v>232</v>
      </c>
    </row>
    <row r="63296" spans="119:119" x14ac:dyDescent="0.2">
      <c r="DO63296" s="303" t="s">
        <v>232</v>
      </c>
    </row>
    <row r="63297" spans="119:119" x14ac:dyDescent="0.2">
      <c r="DO63297" s="303" t="s">
        <v>232</v>
      </c>
    </row>
    <row r="63298" spans="119:119" x14ac:dyDescent="0.2">
      <c r="DO63298" s="303" t="s">
        <v>232</v>
      </c>
    </row>
    <row r="63299" spans="119:119" x14ac:dyDescent="0.2">
      <c r="DO63299" s="303" t="s">
        <v>232</v>
      </c>
    </row>
    <row r="63300" spans="119:119" x14ac:dyDescent="0.2">
      <c r="DO63300" s="303" t="s">
        <v>232</v>
      </c>
    </row>
    <row r="63301" spans="119:119" x14ac:dyDescent="0.2">
      <c r="DO63301" s="303" t="s">
        <v>232</v>
      </c>
    </row>
    <row r="63302" spans="119:119" x14ac:dyDescent="0.2">
      <c r="DO63302" s="303" t="s">
        <v>232</v>
      </c>
    </row>
    <row r="63303" spans="119:119" x14ac:dyDescent="0.2">
      <c r="DO63303" s="303" t="s">
        <v>232</v>
      </c>
    </row>
    <row r="63304" spans="119:119" x14ac:dyDescent="0.2">
      <c r="DO63304" s="303" t="s">
        <v>232</v>
      </c>
    </row>
    <row r="63305" spans="119:119" x14ac:dyDescent="0.2">
      <c r="DO63305" s="303" t="s">
        <v>232</v>
      </c>
    </row>
    <row r="63306" spans="119:119" x14ac:dyDescent="0.2">
      <c r="DO63306" s="303" t="s">
        <v>232</v>
      </c>
    </row>
    <row r="63307" spans="119:119" x14ac:dyDescent="0.2">
      <c r="DO63307" s="303" t="s">
        <v>232</v>
      </c>
    </row>
    <row r="63308" spans="119:119" x14ac:dyDescent="0.2">
      <c r="DO63308" s="303" t="s">
        <v>232</v>
      </c>
    </row>
    <row r="63309" spans="119:119" x14ac:dyDescent="0.2">
      <c r="DO63309" s="303" t="s">
        <v>232</v>
      </c>
    </row>
    <row r="63310" spans="119:119" x14ac:dyDescent="0.2">
      <c r="DO63310" s="303" t="s">
        <v>232</v>
      </c>
    </row>
    <row r="63311" spans="119:119" x14ac:dyDescent="0.2">
      <c r="DO63311" s="303" t="s">
        <v>232</v>
      </c>
    </row>
    <row r="63312" spans="119:119" x14ac:dyDescent="0.2">
      <c r="DO63312" s="303" t="s">
        <v>232</v>
      </c>
    </row>
    <row r="63313" spans="119:119" x14ac:dyDescent="0.2">
      <c r="DO63313" s="303" t="s">
        <v>232</v>
      </c>
    </row>
    <row r="63314" spans="119:119" x14ac:dyDescent="0.2">
      <c r="DO63314" s="303" t="s">
        <v>232</v>
      </c>
    </row>
    <row r="63315" spans="119:119" x14ac:dyDescent="0.2">
      <c r="DO63315" s="303" t="s">
        <v>232</v>
      </c>
    </row>
    <row r="63316" spans="119:119" x14ac:dyDescent="0.2">
      <c r="DO63316" s="303" t="s">
        <v>232</v>
      </c>
    </row>
    <row r="63317" spans="119:119" x14ac:dyDescent="0.2">
      <c r="DO63317" s="303" t="s">
        <v>232</v>
      </c>
    </row>
    <row r="63318" spans="119:119" x14ac:dyDescent="0.2">
      <c r="DO63318" s="303" t="s">
        <v>232</v>
      </c>
    </row>
    <row r="63319" spans="119:119" x14ac:dyDescent="0.2">
      <c r="DO63319" s="303" t="s">
        <v>232</v>
      </c>
    </row>
    <row r="63320" spans="119:119" x14ac:dyDescent="0.2">
      <c r="DO63320" s="303" t="s">
        <v>232</v>
      </c>
    </row>
    <row r="63321" spans="119:119" x14ac:dyDescent="0.2">
      <c r="DO63321" s="303" t="s">
        <v>232</v>
      </c>
    </row>
    <row r="63322" spans="119:119" x14ac:dyDescent="0.2">
      <c r="DO63322" s="303" t="s">
        <v>232</v>
      </c>
    </row>
    <row r="63323" spans="119:119" x14ac:dyDescent="0.2">
      <c r="DO63323" s="303" t="s">
        <v>232</v>
      </c>
    </row>
    <row r="63324" spans="119:119" x14ac:dyDescent="0.2">
      <c r="DO63324" s="303" t="s">
        <v>232</v>
      </c>
    </row>
    <row r="63325" spans="119:119" x14ac:dyDescent="0.2">
      <c r="DO63325" s="303" t="s">
        <v>232</v>
      </c>
    </row>
    <row r="63326" spans="119:119" x14ac:dyDescent="0.2">
      <c r="DO63326" s="303" t="s">
        <v>232</v>
      </c>
    </row>
    <row r="63327" spans="119:119" x14ac:dyDescent="0.2">
      <c r="DO63327" s="303" t="s">
        <v>232</v>
      </c>
    </row>
    <row r="63328" spans="119:119" x14ac:dyDescent="0.2">
      <c r="DO63328" s="303" t="s">
        <v>232</v>
      </c>
    </row>
    <row r="63329" spans="119:119" x14ac:dyDescent="0.2">
      <c r="DO63329" s="303" t="s">
        <v>232</v>
      </c>
    </row>
    <row r="63330" spans="119:119" x14ac:dyDescent="0.2">
      <c r="DO63330" s="303" t="s">
        <v>232</v>
      </c>
    </row>
    <row r="63331" spans="119:119" x14ac:dyDescent="0.2">
      <c r="DO63331" s="303" t="s">
        <v>232</v>
      </c>
    </row>
    <row r="63332" spans="119:119" x14ac:dyDescent="0.2">
      <c r="DO63332" s="303" t="s">
        <v>232</v>
      </c>
    </row>
    <row r="63333" spans="119:119" x14ac:dyDescent="0.2">
      <c r="DO63333" s="303" t="s">
        <v>232</v>
      </c>
    </row>
    <row r="63334" spans="119:119" x14ac:dyDescent="0.2">
      <c r="DO63334" s="303" t="s">
        <v>232</v>
      </c>
    </row>
    <row r="63335" spans="119:119" x14ac:dyDescent="0.2">
      <c r="DO63335" s="303" t="s">
        <v>232</v>
      </c>
    </row>
    <row r="63336" spans="119:119" x14ac:dyDescent="0.2">
      <c r="DO63336" s="303" t="s">
        <v>232</v>
      </c>
    </row>
    <row r="63337" spans="119:119" x14ac:dyDescent="0.2">
      <c r="DO63337" s="303" t="s">
        <v>232</v>
      </c>
    </row>
    <row r="63338" spans="119:119" x14ac:dyDescent="0.2">
      <c r="DO63338" s="303" t="s">
        <v>232</v>
      </c>
    </row>
    <row r="63339" spans="119:119" x14ac:dyDescent="0.2">
      <c r="DO63339" s="303" t="s">
        <v>232</v>
      </c>
    </row>
    <row r="63340" spans="119:119" x14ac:dyDescent="0.2">
      <c r="DO63340" s="303" t="s">
        <v>232</v>
      </c>
    </row>
    <row r="63341" spans="119:119" x14ac:dyDescent="0.2">
      <c r="DO63341" s="303" t="s">
        <v>232</v>
      </c>
    </row>
    <row r="63342" spans="119:119" x14ac:dyDescent="0.2">
      <c r="DO63342" s="303" t="s">
        <v>232</v>
      </c>
    </row>
    <row r="63343" spans="119:119" x14ac:dyDescent="0.2">
      <c r="DO63343" s="303" t="s">
        <v>232</v>
      </c>
    </row>
    <row r="63344" spans="119:119" x14ac:dyDescent="0.2">
      <c r="DO63344" s="303" t="s">
        <v>232</v>
      </c>
    </row>
    <row r="63345" spans="119:119" x14ac:dyDescent="0.2">
      <c r="DO63345" s="303" t="s">
        <v>232</v>
      </c>
    </row>
    <row r="63346" spans="119:119" x14ac:dyDescent="0.2">
      <c r="DO63346" s="303" t="s">
        <v>232</v>
      </c>
    </row>
    <row r="63347" spans="119:119" x14ac:dyDescent="0.2">
      <c r="DO63347" s="303" t="s">
        <v>232</v>
      </c>
    </row>
    <row r="63348" spans="119:119" x14ac:dyDescent="0.2">
      <c r="DO63348" s="303" t="s">
        <v>232</v>
      </c>
    </row>
    <row r="63349" spans="119:119" x14ac:dyDescent="0.2">
      <c r="DO63349" s="303" t="s">
        <v>232</v>
      </c>
    </row>
    <row r="63350" spans="119:119" x14ac:dyDescent="0.2">
      <c r="DO63350" s="303" t="s">
        <v>232</v>
      </c>
    </row>
    <row r="63351" spans="119:119" x14ac:dyDescent="0.2">
      <c r="DO63351" s="303" t="s">
        <v>232</v>
      </c>
    </row>
    <row r="63352" spans="119:119" x14ac:dyDescent="0.2">
      <c r="DO63352" s="303" t="s">
        <v>232</v>
      </c>
    </row>
    <row r="63353" spans="119:119" x14ac:dyDescent="0.2">
      <c r="DO63353" s="303" t="s">
        <v>232</v>
      </c>
    </row>
    <row r="63354" spans="119:119" x14ac:dyDescent="0.2">
      <c r="DO63354" s="303" t="s">
        <v>232</v>
      </c>
    </row>
    <row r="63355" spans="119:119" x14ac:dyDescent="0.2">
      <c r="DO63355" s="303" t="s">
        <v>232</v>
      </c>
    </row>
    <row r="63356" spans="119:119" x14ac:dyDescent="0.2">
      <c r="DO63356" s="303" t="s">
        <v>232</v>
      </c>
    </row>
    <row r="63357" spans="119:119" x14ac:dyDescent="0.2">
      <c r="DO63357" s="303" t="s">
        <v>232</v>
      </c>
    </row>
    <row r="63358" spans="119:119" x14ac:dyDescent="0.2">
      <c r="DO63358" s="303" t="s">
        <v>232</v>
      </c>
    </row>
    <row r="63359" spans="119:119" x14ac:dyDescent="0.2">
      <c r="DO63359" s="303" t="s">
        <v>232</v>
      </c>
    </row>
    <row r="63360" spans="119:119" x14ac:dyDescent="0.2">
      <c r="DO63360" s="303" t="s">
        <v>232</v>
      </c>
    </row>
    <row r="63361" spans="119:119" x14ac:dyDescent="0.2">
      <c r="DO63361" s="303" t="s">
        <v>232</v>
      </c>
    </row>
    <row r="63362" spans="119:119" x14ac:dyDescent="0.2">
      <c r="DO63362" s="303" t="s">
        <v>232</v>
      </c>
    </row>
    <row r="63363" spans="119:119" x14ac:dyDescent="0.2">
      <c r="DO63363" s="303" t="s">
        <v>232</v>
      </c>
    </row>
    <row r="63364" spans="119:119" x14ac:dyDescent="0.2">
      <c r="DO63364" s="303" t="s">
        <v>232</v>
      </c>
    </row>
    <row r="63365" spans="119:119" x14ac:dyDescent="0.2">
      <c r="DO63365" s="303" t="s">
        <v>232</v>
      </c>
    </row>
    <row r="63366" spans="119:119" x14ac:dyDescent="0.2">
      <c r="DO63366" s="303" t="s">
        <v>232</v>
      </c>
    </row>
    <row r="63367" spans="119:119" x14ac:dyDescent="0.2">
      <c r="DO63367" s="303" t="s">
        <v>232</v>
      </c>
    </row>
    <row r="63368" spans="119:119" x14ac:dyDescent="0.2">
      <c r="DO63368" s="303" t="s">
        <v>232</v>
      </c>
    </row>
    <row r="63369" spans="119:119" x14ac:dyDescent="0.2">
      <c r="DO63369" s="303" t="s">
        <v>232</v>
      </c>
    </row>
    <row r="63370" spans="119:119" x14ac:dyDescent="0.2">
      <c r="DO63370" s="303" t="s">
        <v>232</v>
      </c>
    </row>
    <row r="63371" spans="119:119" x14ac:dyDescent="0.2">
      <c r="DO63371" s="303" t="s">
        <v>232</v>
      </c>
    </row>
    <row r="63372" spans="119:119" x14ac:dyDescent="0.2">
      <c r="DO63372" s="303" t="s">
        <v>232</v>
      </c>
    </row>
    <row r="63373" spans="119:119" x14ac:dyDescent="0.2">
      <c r="DO63373" s="303" t="s">
        <v>232</v>
      </c>
    </row>
    <row r="63374" spans="119:119" x14ac:dyDescent="0.2">
      <c r="DO63374" s="303" t="s">
        <v>232</v>
      </c>
    </row>
    <row r="63375" spans="119:119" x14ac:dyDescent="0.2">
      <c r="DO63375" s="303" t="s">
        <v>232</v>
      </c>
    </row>
    <row r="63376" spans="119:119" x14ac:dyDescent="0.2">
      <c r="DO63376" s="303" t="s">
        <v>232</v>
      </c>
    </row>
    <row r="63377" spans="119:119" x14ac:dyDescent="0.2">
      <c r="DO63377" s="303" t="s">
        <v>232</v>
      </c>
    </row>
    <row r="63378" spans="119:119" x14ac:dyDescent="0.2">
      <c r="DO63378" s="303" t="s">
        <v>232</v>
      </c>
    </row>
    <row r="63379" spans="119:119" x14ac:dyDescent="0.2">
      <c r="DO63379" s="303" t="s">
        <v>232</v>
      </c>
    </row>
    <row r="63380" spans="119:119" x14ac:dyDescent="0.2">
      <c r="DO63380" s="303" t="s">
        <v>232</v>
      </c>
    </row>
    <row r="63381" spans="119:119" x14ac:dyDescent="0.2">
      <c r="DO63381" s="303" t="s">
        <v>232</v>
      </c>
    </row>
    <row r="63382" spans="119:119" x14ac:dyDescent="0.2">
      <c r="DO63382" s="303" t="s">
        <v>232</v>
      </c>
    </row>
    <row r="63383" spans="119:119" x14ac:dyDescent="0.2">
      <c r="DO63383" s="303" t="s">
        <v>232</v>
      </c>
    </row>
    <row r="63384" spans="119:119" x14ac:dyDescent="0.2">
      <c r="DO63384" s="303" t="s">
        <v>232</v>
      </c>
    </row>
    <row r="63385" spans="119:119" x14ac:dyDescent="0.2">
      <c r="DO63385" s="303" t="s">
        <v>232</v>
      </c>
    </row>
    <row r="63386" spans="119:119" x14ac:dyDescent="0.2">
      <c r="DO63386" s="303" t="s">
        <v>232</v>
      </c>
    </row>
    <row r="63387" spans="119:119" x14ac:dyDescent="0.2">
      <c r="DO63387" s="303" t="s">
        <v>232</v>
      </c>
    </row>
    <row r="63388" spans="119:119" x14ac:dyDescent="0.2">
      <c r="DO63388" s="303" t="s">
        <v>232</v>
      </c>
    </row>
    <row r="63389" spans="119:119" x14ac:dyDescent="0.2">
      <c r="DO63389" s="303" t="s">
        <v>232</v>
      </c>
    </row>
    <row r="63390" spans="119:119" x14ac:dyDescent="0.2">
      <c r="DO63390" s="303" t="s">
        <v>232</v>
      </c>
    </row>
    <row r="63391" spans="119:119" x14ac:dyDescent="0.2">
      <c r="DO63391" s="303" t="s">
        <v>232</v>
      </c>
    </row>
    <row r="63392" spans="119:119" x14ac:dyDescent="0.2">
      <c r="DO63392" s="303" t="s">
        <v>232</v>
      </c>
    </row>
    <row r="63393" spans="119:119" x14ac:dyDescent="0.2">
      <c r="DO63393" s="303" t="s">
        <v>232</v>
      </c>
    </row>
    <row r="63394" spans="119:119" x14ac:dyDescent="0.2">
      <c r="DO63394" s="303" t="s">
        <v>232</v>
      </c>
    </row>
    <row r="63395" spans="119:119" x14ac:dyDescent="0.2">
      <c r="DO63395" s="303" t="s">
        <v>232</v>
      </c>
    </row>
    <row r="63396" spans="119:119" x14ac:dyDescent="0.2">
      <c r="DO63396" s="303" t="s">
        <v>232</v>
      </c>
    </row>
    <row r="63397" spans="119:119" x14ac:dyDescent="0.2">
      <c r="DO63397" s="303" t="s">
        <v>232</v>
      </c>
    </row>
    <row r="63398" spans="119:119" x14ac:dyDescent="0.2">
      <c r="DO63398" s="303" t="s">
        <v>232</v>
      </c>
    </row>
    <row r="63399" spans="119:119" x14ac:dyDescent="0.2">
      <c r="DO63399" s="303" t="s">
        <v>232</v>
      </c>
    </row>
    <row r="63400" spans="119:119" x14ac:dyDescent="0.2">
      <c r="DO63400" s="303" t="s">
        <v>232</v>
      </c>
    </row>
    <row r="63401" spans="119:119" x14ac:dyDescent="0.2">
      <c r="DO63401" s="303" t="s">
        <v>232</v>
      </c>
    </row>
    <row r="63402" spans="119:119" x14ac:dyDescent="0.2">
      <c r="DO63402" s="303" t="s">
        <v>232</v>
      </c>
    </row>
    <row r="63403" spans="119:119" x14ac:dyDescent="0.2">
      <c r="DO63403" s="303" t="s">
        <v>232</v>
      </c>
    </row>
    <row r="63404" spans="119:119" x14ac:dyDescent="0.2">
      <c r="DO63404" s="303" t="s">
        <v>232</v>
      </c>
    </row>
    <row r="63405" spans="119:119" x14ac:dyDescent="0.2">
      <c r="DO63405" s="303" t="s">
        <v>232</v>
      </c>
    </row>
    <row r="63406" spans="119:119" x14ac:dyDescent="0.2">
      <c r="DO63406" s="303" t="s">
        <v>232</v>
      </c>
    </row>
    <row r="63407" spans="119:119" x14ac:dyDescent="0.2">
      <c r="DO63407" s="303" t="s">
        <v>232</v>
      </c>
    </row>
    <row r="63408" spans="119:119" x14ac:dyDescent="0.2">
      <c r="DO63408" s="303" t="s">
        <v>232</v>
      </c>
    </row>
    <row r="63409" spans="119:119" x14ac:dyDescent="0.2">
      <c r="DO63409" s="303" t="s">
        <v>232</v>
      </c>
    </row>
    <row r="63410" spans="119:119" x14ac:dyDescent="0.2">
      <c r="DO63410" s="303" t="s">
        <v>232</v>
      </c>
    </row>
    <row r="63411" spans="119:119" x14ac:dyDescent="0.2">
      <c r="DO63411" s="303" t="s">
        <v>232</v>
      </c>
    </row>
    <row r="63412" spans="119:119" x14ac:dyDescent="0.2">
      <c r="DO63412" s="303" t="s">
        <v>232</v>
      </c>
    </row>
    <row r="63413" spans="119:119" x14ac:dyDescent="0.2">
      <c r="DO63413" s="303" t="s">
        <v>232</v>
      </c>
    </row>
    <row r="63414" spans="119:119" x14ac:dyDescent="0.2">
      <c r="DO63414" s="303" t="s">
        <v>232</v>
      </c>
    </row>
    <row r="63415" spans="119:119" x14ac:dyDescent="0.2">
      <c r="DO63415" s="303" t="s">
        <v>232</v>
      </c>
    </row>
    <row r="63416" spans="119:119" x14ac:dyDescent="0.2">
      <c r="DO63416" s="303" t="s">
        <v>232</v>
      </c>
    </row>
    <row r="63417" spans="119:119" x14ac:dyDescent="0.2">
      <c r="DO63417" s="303" t="s">
        <v>232</v>
      </c>
    </row>
    <row r="63418" spans="119:119" x14ac:dyDescent="0.2">
      <c r="DO63418" s="303" t="s">
        <v>232</v>
      </c>
    </row>
    <row r="63419" spans="119:119" x14ac:dyDescent="0.2">
      <c r="DO63419" s="303" t="s">
        <v>232</v>
      </c>
    </row>
    <row r="63420" spans="119:119" x14ac:dyDescent="0.2">
      <c r="DO63420" s="303" t="s">
        <v>232</v>
      </c>
    </row>
    <row r="63421" spans="119:119" x14ac:dyDescent="0.2">
      <c r="DO63421" s="303" t="s">
        <v>232</v>
      </c>
    </row>
    <row r="63422" spans="119:119" x14ac:dyDescent="0.2">
      <c r="DO63422" s="303" t="s">
        <v>232</v>
      </c>
    </row>
    <row r="63423" spans="119:119" x14ac:dyDescent="0.2">
      <c r="DO63423" s="303" t="s">
        <v>232</v>
      </c>
    </row>
    <row r="63424" spans="119:119" x14ac:dyDescent="0.2">
      <c r="DO63424" s="303" t="s">
        <v>232</v>
      </c>
    </row>
    <row r="63425" spans="119:119" x14ac:dyDescent="0.2">
      <c r="DO63425" s="303" t="s">
        <v>232</v>
      </c>
    </row>
    <row r="63426" spans="119:119" x14ac:dyDescent="0.2">
      <c r="DO63426" s="303" t="s">
        <v>232</v>
      </c>
    </row>
    <row r="63427" spans="119:119" x14ac:dyDescent="0.2">
      <c r="DO63427" s="303" t="s">
        <v>232</v>
      </c>
    </row>
    <row r="63428" spans="119:119" x14ac:dyDescent="0.2">
      <c r="DO63428" s="303" t="s">
        <v>232</v>
      </c>
    </row>
    <row r="63429" spans="119:119" x14ac:dyDescent="0.2">
      <c r="DO63429" s="303" t="s">
        <v>232</v>
      </c>
    </row>
    <row r="63430" spans="119:119" x14ac:dyDescent="0.2">
      <c r="DO63430" s="303" t="s">
        <v>232</v>
      </c>
    </row>
    <row r="63431" spans="119:119" x14ac:dyDescent="0.2">
      <c r="DO63431" s="303" t="s">
        <v>232</v>
      </c>
    </row>
    <row r="63432" spans="119:119" x14ac:dyDescent="0.2">
      <c r="DO63432" s="303" t="s">
        <v>232</v>
      </c>
    </row>
    <row r="63433" spans="119:119" x14ac:dyDescent="0.2">
      <c r="DO63433" s="303" t="s">
        <v>232</v>
      </c>
    </row>
    <row r="63434" spans="119:119" x14ac:dyDescent="0.2">
      <c r="DO63434" s="303" t="s">
        <v>232</v>
      </c>
    </row>
    <row r="63435" spans="119:119" x14ac:dyDescent="0.2">
      <c r="DO63435" s="303" t="s">
        <v>232</v>
      </c>
    </row>
    <row r="63436" spans="119:119" x14ac:dyDescent="0.2">
      <c r="DO63436" s="303" t="s">
        <v>232</v>
      </c>
    </row>
    <row r="63437" spans="119:119" x14ac:dyDescent="0.2">
      <c r="DO63437" s="303" t="s">
        <v>232</v>
      </c>
    </row>
    <row r="63438" spans="119:119" x14ac:dyDescent="0.2">
      <c r="DO63438" s="303" t="s">
        <v>232</v>
      </c>
    </row>
    <row r="63439" spans="119:119" x14ac:dyDescent="0.2">
      <c r="DO63439" s="303" t="s">
        <v>232</v>
      </c>
    </row>
    <row r="63440" spans="119:119" x14ac:dyDescent="0.2">
      <c r="DO63440" s="303" t="s">
        <v>232</v>
      </c>
    </row>
    <row r="63441" spans="119:119" x14ac:dyDescent="0.2">
      <c r="DO63441" s="303" t="s">
        <v>232</v>
      </c>
    </row>
    <row r="63442" spans="119:119" x14ac:dyDescent="0.2">
      <c r="DO63442" s="303" t="s">
        <v>232</v>
      </c>
    </row>
    <row r="63443" spans="119:119" x14ac:dyDescent="0.2">
      <c r="DO63443" s="303" t="s">
        <v>232</v>
      </c>
    </row>
    <row r="63444" spans="119:119" x14ac:dyDescent="0.2">
      <c r="DO63444" s="303" t="s">
        <v>232</v>
      </c>
    </row>
    <row r="63445" spans="119:119" x14ac:dyDescent="0.2">
      <c r="DO63445" s="303" t="s">
        <v>232</v>
      </c>
    </row>
    <row r="63446" spans="119:119" x14ac:dyDescent="0.2">
      <c r="DO63446" s="303" t="s">
        <v>232</v>
      </c>
    </row>
    <row r="63447" spans="119:119" x14ac:dyDescent="0.2">
      <c r="DO63447" s="303" t="s">
        <v>232</v>
      </c>
    </row>
    <row r="63448" spans="119:119" x14ac:dyDescent="0.2">
      <c r="DO63448" s="303" t="s">
        <v>232</v>
      </c>
    </row>
    <row r="63449" spans="119:119" x14ac:dyDescent="0.2">
      <c r="DO63449" s="303" t="s">
        <v>232</v>
      </c>
    </row>
    <row r="63450" spans="119:119" x14ac:dyDescent="0.2">
      <c r="DO63450" s="303" t="s">
        <v>232</v>
      </c>
    </row>
    <row r="63451" spans="119:119" x14ac:dyDescent="0.2">
      <c r="DO63451" s="303" t="s">
        <v>232</v>
      </c>
    </row>
    <row r="63452" spans="119:119" x14ac:dyDescent="0.2">
      <c r="DO63452" s="303" t="s">
        <v>232</v>
      </c>
    </row>
    <row r="63453" spans="119:119" x14ac:dyDescent="0.2">
      <c r="DO63453" s="303" t="s">
        <v>232</v>
      </c>
    </row>
    <row r="63454" spans="119:119" x14ac:dyDescent="0.2">
      <c r="DO63454" s="303" t="s">
        <v>232</v>
      </c>
    </row>
    <row r="63455" spans="119:119" x14ac:dyDescent="0.2">
      <c r="DO63455" s="303" t="s">
        <v>232</v>
      </c>
    </row>
    <row r="63456" spans="119:119" x14ac:dyDescent="0.2">
      <c r="DO63456" s="303" t="s">
        <v>232</v>
      </c>
    </row>
    <row r="63457" spans="119:119" x14ac:dyDescent="0.2">
      <c r="DO63457" s="303" t="s">
        <v>232</v>
      </c>
    </row>
    <row r="63458" spans="119:119" x14ac:dyDescent="0.2">
      <c r="DO63458" s="303" t="s">
        <v>232</v>
      </c>
    </row>
    <row r="63459" spans="119:119" x14ac:dyDescent="0.2">
      <c r="DO63459" s="303" t="s">
        <v>232</v>
      </c>
    </row>
    <row r="63460" spans="119:119" x14ac:dyDescent="0.2">
      <c r="DO63460" s="303" t="s">
        <v>232</v>
      </c>
    </row>
    <row r="63461" spans="119:119" x14ac:dyDescent="0.2">
      <c r="DO63461" s="303" t="s">
        <v>232</v>
      </c>
    </row>
    <row r="63462" spans="119:119" x14ac:dyDescent="0.2">
      <c r="DO63462" s="303" t="s">
        <v>232</v>
      </c>
    </row>
    <row r="63463" spans="119:119" x14ac:dyDescent="0.2">
      <c r="DO63463" s="303" t="s">
        <v>232</v>
      </c>
    </row>
    <row r="63464" spans="119:119" x14ac:dyDescent="0.2">
      <c r="DO63464" s="303" t="s">
        <v>232</v>
      </c>
    </row>
    <row r="63465" spans="119:119" x14ac:dyDescent="0.2">
      <c r="DO63465" s="303" t="s">
        <v>232</v>
      </c>
    </row>
    <row r="63466" spans="119:119" x14ac:dyDescent="0.2">
      <c r="DO63466" s="303" t="s">
        <v>232</v>
      </c>
    </row>
    <row r="63467" spans="119:119" x14ac:dyDescent="0.2">
      <c r="DO63467" s="303" t="s">
        <v>232</v>
      </c>
    </row>
    <row r="63468" spans="119:119" x14ac:dyDescent="0.2">
      <c r="DO63468" s="303" t="s">
        <v>232</v>
      </c>
    </row>
    <row r="63469" spans="119:119" x14ac:dyDescent="0.2">
      <c r="DO63469" s="303" t="s">
        <v>232</v>
      </c>
    </row>
    <row r="63470" spans="119:119" x14ac:dyDescent="0.2">
      <c r="DO63470" s="303" t="s">
        <v>232</v>
      </c>
    </row>
    <row r="63471" spans="119:119" x14ac:dyDescent="0.2">
      <c r="DO63471" s="303" t="s">
        <v>232</v>
      </c>
    </row>
    <row r="63472" spans="119:119" x14ac:dyDescent="0.2">
      <c r="DO63472" s="303" t="s">
        <v>232</v>
      </c>
    </row>
    <row r="63473" spans="119:119" x14ac:dyDescent="0.2">
      <c r="DO63473" s="303" t="s">
        <v>232</v>
      </c>
    </row>
    <row r="63474" spans="119:119" x14ac:dyDescent="0.2">
      <c r="DO63474" s="303" t="s">
        <v>232</v>
      </c>
    </row>
    <row r="63475" spans="119:119" x14ac:dyDescent="0.2">
      <c r="DO63475" s="303" t="s">
        <v>232</v>
      </c>
    </row>
    <row r="63476" spans="119:119" x14ac:dyDescent="0.2">
      <c r="DO63476" s="303" t="s">
        <v>232</v>
      </c>
    </row>
    <row r="63477" spans="119:119" x14ac:dyDescent="0.2">
      <c r="DO63477" s="303" t="s">
        <v>232</v>
      </c>
    </row>
    <row r="63478" spans="119:119" x14ac:dyDescent="0.2">
      <c r="DO63478" s="303" t="s">
        <v>232</v>
      </c>
    </row>
    <row r="63479" spans="119:119" x14ac:dyDescent="0.2">
      <c r="DO63479" s="303" t="s">
        <v>232</v>
      </c>
    </row>
    <row r="63480" spans="119:119" x14ac:dyDescent="0.2">
      <c r="DO63480" s="303" t="s">
        <v>232</v>
      </c>
    </row>
    <row r="63481" spans="119:119" x14ac:dyDescent="0.2">
      <c r="DO63481" s="303" t="s">
        <v>232</v>
      </c>
    </row>
    <row r="63482" spans="119:119" x14ac:dyDescent="0.2">
      <c r="DO63482" s="303" t="s">
        <v>232</v>
      </c>
    </row>
    <row r="63483" spans="119:119" x14ac:dyDescent="0.2">
      <c r="DO63483" s="303" t="s">
        <v>232</v>
      </c>
    </row>
    <row r="63484" spans="119:119" x14ac:dyDescent="0.2">
      <c r="DO63484" s="303" t="s">
        <v>232</v>
      </c>
    </row>
    <row r="63485" spans="119:119" x14ac:dyDescent="0.2">
      <c r="DO63485" s="303" t="s">
        <v>232</v>
      </c>
    </row>
    <row r="63486" spans="119:119" x14ac:dyDescent="0.2">
      <c r="DO63486" s="303" t="s">
        <v>232</v>
      </c>
    </row>
    <row r="63487" spans="119:119" x14ac:dyDescent="0.2">
      <c r="DO63487" s="303" t="s">
        <v>232</v>
      </c>
    </row>
    <row r="63488" spans="119:119" x14ac:dyDescent="0.2">
      <c r="DO63488" s="303" t="s">
        <v>232</v>
      </c>
    </row>
    <row r="63489" spans="119:119" x14ac:dyDescent="0.2">
      <c r="DO63489" s="303" t="s">
        <v>232</v>
      </c>
    </row>
    <row r="63490" spans="119:119" x14ac:dyDescent="0.2">
      <c r="DO63490" s="303" t="s">
        <v>232</v>
      </c>
    </row>
    <row r="63491" spans="119:119" x14ac:dyDescent="0.2">
      <c r="DO63491" s="303" t="s">
        <v>232</v>
      </c>
    </row>
    <row r="63492" spans="119:119" x14ac:dyDescent="0.2">
      <c r="DO63492" s="303" t="s">
        <v>232</v>
      </c>
    </row>
    <row r="63493" spans="119:119" x14ac:dyDescent="0.2">
      <c r="DO63493" s="303" t="s">
        <v>232</v>
      </c>
    </row>
    <row r="63494" spans="119:119" x14ac:dyDescent="0.2">
      <c r="DO63494" s="303" t="s">
        <v>232</v>
      </c>
    </row>
    <row r="63495" spans="119:119" x14ac:dyDescent="0.2">
      <c r="DO63495" s="303" t="s">
        <v>232</v>
      </c>
    </row>
    <row r="63496" spans="119:119" x14ac:dyDescent="0.2">
      <c r="DO63496" s="303" t="s">
        <v>232</v>
      </c>
    </row>
    <row r="63497" spans="119:119" x14ac:dyDescent="0.2">
      <c r="DO63497" s="303" t="s">
        <v>232</v>
      </c>
    </row>
    <row r="63498" spans="119:119" x14ac:dyDescent="0.2">
      <c r="DO63498" s="303" t="s">
        <v>232</v>
      </c>
    </row>
    <row r="63499" spans="119:119" x14ac:dyDescent="0.2">
      <c r="DO63499" s="303" t="s">
        <v>232</v>
      </c>
    </row>
    <row r="63500" spans="119:119" x14ac:dyDescent="0.2">
      <c r="DO63500" s="303" t="s">
        <v>232</v>
      </c>
    </row>
    <row r="63501" spans="119:119" x14ac:dyDescent="0.2">
      <c r="DO63501" s="303" t="s">
        <v>232</v>
      </c>
    </row>
    <row r="63502" spans="119:119" x14ac:dyDescent="0.2">
      <c r="DO63502" s="303" t="s">
        <v>232</v>
      </c>
    </row>
    <row r="63503" spans="119:119" x14ac:dyDescent="0.2">
      <c r="DO63503" s="303" t="s">
        <v>232</v>
      </c>
    </row>
    <row r="63504" spans="119:119" x14ac:dyDescent="0.2">
      <c r="DO63504" s="303" t="s">
        <v>232</v>
      </c>
    </row>
    <row r="63505" spans="119:119" x14ac:dyDescent="0.2">
      <c r="DO63505" s="303" t="s">
        <v>232</v>
      </c>
    </row>
    <row r="63506" spans="119:119" x14ac:dyDescent="0.2">
      <c r="DO63506" s="303" t="s">
        <v>232</v>
      </c>
    </row>
    <row r="63507" spans="119:119" x14ac:dyDescent="0.2">
      <c r="DO63507" s="303" t="s">
        <v>232</v>
      </c>
    </row>
    <row r="63508" spans="119:119" x14ac:dyDescent="0.2">
      <c r="DO63508" s="303" t="s">
        <v>232</v>
      </c>
    </row>
    <row r="63509" spans="119:119" x14ac:dyDescent="0.2">
      <c r="DO63509" s="303" t="s">
        <v>232</v>
      </c>
    </row>
    <row r="63510" spans="119:119" x14ac:dyDescent="0.2">
      <c r="DO63510" s="303" t="s">
        <v>232</v>
      </c>
    </row>
    <row r="63511" spans="119:119" x14ac:dyDescent="0.2">
      <c r="DO63511" s="303" t="s">
        <v>232</v>
      </c>
    </row>
    <row r="63512" spans="119:119" x14ac:dyDescent="0.2">
      <c r="DO63512" s="303" t="s">
        <v>232</v>
      </c>
    </row>
    <row r="63513" spans="119:119" x14ac:dyDescent="0.2">
      <c r="DO63513" s="303" t="s">
        <v>232</v>
      </c>
    </row>
    <row r="63514" spans="119:119" x14ac:dyDescent="0.2">
      <c r="DO63514" s="303" t="s">
        <v>232</v>
      </c>
    </row>
    <row r="63515" spans="119:119" x14ac:dyDescent="0.2">
      <c r="DO63515" s="303" t="s">
        <v>232</v>
      </c>
    </row>
    <row r="63516" spans="119:119" x14ac:dyDescent="0.2">
      <c r="DO63516" s="303" t="s">
        <v>232</v>
      </c>
    </row>
    <row r="63517" spans="119:119" x14ac:dyDescent="0.2">
      <c r="DO63517" s="303" t="s">
        <v>232</v>
      </c>
    </row>
    <row r="63518" spans="119:119" x14ac:dyDescent="0.2">
      <c r="DO63518" s="303" t="s">
        <v>232</v>
      </c>
    </row>
    <row r="63519" spans="119:119" x14ac:dyDescent="0.2">
      <c r="DO63519" s="303" t="s">
        <v>232</v>
      </c>
    </row>
    <row r="63520" spans="119:119" x14ac:dyDescent="0.2">
      <c r="DO63520" s="303" t="s">
        <v>232</v>
      </c>
    </row>
    <row r="63521" spans="119:119" x14ac:dyDescent="0.2">
      <c r="DO63521" s="303" t="s">
        <v>232</v>
      </c>
    </row>
    <row r="63522" spans="119:119" x14ac:dyDescent="0.2">
      <c r="DO63522" s="303" t="s">
        <v>232</v>
      </c>
    </row>
    <row r="63523" spans="119:119" x14ac:dyDescent="0.2">
      <c r="DO63523" s="303" t="s">
        <v>232</v>
      </c>
    </row>
    <row r="63524" spans="119:119" x14ac:dyDescent="0.2">
      <c r="DO63524" s="303" t="s">
        <v>232</v>
      </c>
    </row>
    <row r="63525" spans="119:119" x14ac:dyDescent="0.2">
      <c r="DO63525" s="303" t="s">
        <v>232</v>
      </c>
    </row>
    <row r="63526" spans="119:119" x14ac:dyDescent="0.2">
      <c r="DO63526" s="303" t="s">
        <v>232</v>
      </c>
    </row>
    <row r="63527" spans="119:119" x14ac:dyDescent="0.2">
      <c r="DO63527" s="303" t="s">
        <v>232</v>
      </c>
    </row>
    <row r="63528" spans="119:119" x14ac:dyDescent="0.2">
      <c r="DO63528" s="303" t="s">
        <v>232</v>
      </c>
    </row>
    <row r="63529" spans="119:119" x14ac:dyDescent="0.2">
      <c r="DO63529" s="303" t="s">
        <v>232</v>
      </c>
    </row>
    <row r="63530" spans="119:119" x14ac:dyDescent="0.2">
      <c r="DO63530" s="303" t="s">
        <v>232</v>
      </c>
    </row>
    <row r="63531" spans="119:119" x14ac:dyDescent="0.2">
      <c r="DO63531" s="303" t="s">
        <v>232</v>
      </c>
    </row>
    <row r="63532" spans="119:119" x14ac:dyDescent="0.2">
      <c r="DO63532" s="303" t="s">
        <v>232</v>
      </c>
    </row>
    <row r="63533" spans="119:119" x14ac:dyDescent="0.2">
      <c r="DO63533" s="303" t="s">
        <v>232</v>
      </c>
    </row>
    <row r="63534" spans="119:119" x14ac:dyDescent="0.2">
      <c r="DO63534" s="303" t="s">
        <v>232</v>
      </c>
    </row>
    <row r="63535" spans="119:119" x14ac:dyDescent="0.2">
      <c r="DO63535" s="303" t="s">
        <v>232</v>
      </c>
    </row>
    <row r="63536" spans="119:119" x14ac:dyDescent="0.2">
      <c r="DO63536" s="303" t="s">
        <v>232</v>
      </c>
    </row>
    <row r="63537" spans="119:119" x14ac:dyDescent="0.2">
      <c r="DO63537" s="303" t="s">
        <v>232</v>
      </c>
    </row>
    <row r="63538" spans="119:119" x14ac:dyDescent="0.2">
      <c r="DO63538" s="303" t="s">
        <v>232</v>
      </c>
    </row>
    <row r="63539" spans="119:119" x14ac:dyDescent="0.2">
      <c r="DO63539" s="303" t="s">
        <v>232</v>
      </c>
    </row>
    <row r="63540" spans="119:119" x14ac:dyDescent="0.2">
      <c r="DO63540" s="303" t="s">
        <v>232</v>
      </c>
    </row>
    <row r="63541" spans="119:119" x14ac:dyDescent="0.2">
      <c r="DO63541" s="303" t="s">
        <v>232</v>
      </c>
    </row>
    <row r="63542" spans="119:119" x14ac:dyDescent="0.2">
      <c r="DO63542" s="303" t="s">
        <v>232</v>
      </c>
    </row>
    <row r="63543" spans="119:119" x14ac:dyDescent="0.2">
      <c r="DO63543" s="303" t="s">
        <v>232</v>
      </c>
    </row>
    <row r="63544" spans="119:119" x14ac:dyDescent="0.2">
      <c r="DO63544" s="303" t="s">
        <v>232</v>
      </c>
    </row>
    <row r="63545" spans="119:119" x14ac:dyDescent="0.2">
      <c r="DO63545" s="303" t="s">
        <v>232</v>
      </c>
    </row>
    <row r="63546" spans="119:119" x14ac:dyDescent="0.2">
      <c r="DO63546" s="303" t="s">
        <v>232</v>
      </c>
    </row>
    <row r="63547" spans="119:119" x14ac:dyDescent="0.2">
      <c r="DO63547" s="303" t="s">
        <v>232</v>
      </c>
    </row>
    <row r="63548" spans="119:119" x14ac:dyDescent="0.2">
      <c r="DO63548" s="303" t="s">
        <v>232</v>
      </c>
    </row>
    <row r="63549" spans="119:119" x14ac:dyDescent="0.2">
      <c r="DO63549" s="303" t="s">
        <v>232</v>
      </c>
    </row>
    <row r="63550" spans="119:119" x14ac:dyDescent="0.2">
      <c r="DO63550" s="303" t="s">
        <v>232</v>
      </c>
    </row>
    <row r="63551" spans="119:119" x14ac:dyDescent="0.2">
      <c r="DO63551" s="303" t="s">
        <v>232</v>
      </c>
    </row>
    <row r="63552" spans="119:119" x14ac:dyDescent="0.2">
      <c r="DO63552" s="303" t="s">
        <v>232</v>
      </c>
    </row>
    <row r="63553" spans="119:119" x14ac:dyDescent="0.2">
      <c r="DO63553" s="303" t="s">
        <v>232</v>
      </c>
    </row>
    <row r="63554" spans="119:119" x14ac:dyDescent="0.2">
      <c r="DO63554" s="303" t="s">
        <v>232</v>
      </c>
    </row>
    <row r="63555" spans="119:119" x14ac:dyDescent="0.2">
      <c r="DO63555" s="303" t="s">
        <v>232</v>
      </c>
    </row>
    <row r="63556" spans="119:119" x14ac:dyDescent="0.2">
      <c r="DO63556" s="303" t="s">
        <v>232</v>
      </c>
    </row>
    <row r="63557" spans="119:119" x14ac:dyDescent="0.2">
      <c r="DO63557" s="303" t="s">
        <v>232</v>
      </c>
    </row>
    <row r="63558" spans="119:119" x14ac:dyDescent="0.2">
      <c r="DO63558" s="303" t="s">
        <v>232</v>
      </c>
    </row>
    <row r="63559" spans="119:119" x14ac:dyDescent="0.2">
      <c r="DO63559" s="303" t="s">
        <v>232</v>
      </c>
    </row>
    <row r="63560" spans="119:119" x14ac:dyDescent="0.2">
      <c r="DO63560" s="303" t="s">
        <v>232</v>
      </c>
    </row>
    <row r="63561" spans="119:119" x14ac:dyDescent="0.2">
      <c r="DO63561" s="303" t="s">
        <v>232</v>
      </c>
    </row>
    <row r="63562" spans="119:119" x14ac:dyDescent="0.2">
      <c r="DO63562" s="303" t="s">
        <v>232</v>
      </c>
    </row>
    <row r="63563" spans="119:119" x14ac:dyDescent="0.2">
      <c r="DO63563" s="303" t="s">
        <v>232</v>
      </c>
    </row>
    <row r="63564" spans="119:119" x14ac:dyDescent="0.2">
      <c r="DO63564" s="303" t="s">
        <v>232</v>
      </c>
    </row>
    <row r="63565" spans="119:119" x14ac:dyDescent="0.2">
      <c r="DO63565" s="303" t="s">
        <v>232</v>
      </c>
    </row>
    <row r="63566" spans="119:119" x14ac:dyDescent="0.2">
      <c r="DO63566" s="303" t="s">
        <v>232</v>
      </c>
    </row>
    <row r="63567" spans="119:119" x14ac:dyDescent="0.2">
      <c r="DO63567" s="303" t="s">
        <v>232</v>
      </c>
    </row>
    <row r="63568" spans="119:119" x14ac:dyDescent="0.2">
      <c r="DO63568" s="303" t="s">
        <v>232</v>
      </c>
    </row>
    <row r="63569" spans="119:119" x14ac:dyDescent="0.2">
      <c r="DO63569" s="303" t="s">
        <v>232</v>
      </c>
    </row>
    <row r="63570" spans="119:119" x14ac:dyDescent="0.2">
      <c r="DO63570" s="303" t="s">
        <v>232</v>
      </c>
    </row>
    <row r="63571" spans="119:119" x14ac:dyDescent="0.2">
      <c r="DO63571" s="303" t="s">
        <v>232</v>
      </c>
    </row>
    <row r="63572" spans="119:119" x14ac:dyDescent="0.2">
      <c r="DO63572" s="303" t="s">
        <v>232</v>
      </c>
    </row>
    <row r="63573" spans="119:119" x14ac:dyDescent="0.2">
      <c r="DO63573" s="303" t="s">
        <v>232</v>
      </c>
    </row>
    <row r="63574" spans="119:119" x14ac:dyDescent="0.2">
      <c r="DO63574" s="303" t="s">
        <v>232</v>
      </c>
    </row>
    <row r="63575" spans="119:119" x14ac:dyDescent="0.2">
      <c r="DO63575" s="303" t="s">
        <v>232</v>
      </c>
    </row>
    <row r="63576" spans="119:119" x14ac:dyDescent="0.2">
      <c r="DO63576" s="303" t="s">
        <v>232</v>
      </c>
    </row>
    <row r="63577" spans="119:119" x14ac:dyDescent="0.2">
      <c r="DO63577" s="303" t="s">
        <v>232</v>
      </c>
    </row>
    <row r="63578" spans="119:119" x14ac:dyDescent="0.2">
      <c r="DO63578" s="303" t="s">
        <v>232</v>
      </c>
    </row>
    <row r="63579" spans="119:119" x14ac:dyDescent="0.2">
      <c r="DO63579" s="303" t="s">
        <v>232</v>
      </c>
    </row>
    <row r="63580" spans="119:119" x14ac:dyDescent="0.2">
      <c r="DO63580" s="303" t="s">
        <v>232</v>
      </c>
    </row>
    <row r="63581" spans="119:119" x14ac:dyDescent="0.2">
      <c r="DO63581" s="303" t="s">
        <v>232</v>
      </c>
    </row>
    <row r="63582" spans="119:119" x14ac:dyDescent="0.2">
      <c r="DO63582" s="303" t="s">
        <v>232</v>
      </c>
    </row>
    <row r="63583" spans="119:119" x14ac:dyDescent="0.2">
      <c r="DO63583" s="303" t="s">
        <v>232</v>
      </c>
    </row>
    <row r="63584" spans="119:119" x14ac:dyDescent="0.2">
      <c r="DO63584" s="303" t="s">
        <v>232</v>
      </c>
    </row>
    <row r="63585" spans="119:119" x14ac:dyDescent="0.2">
      <c r="DO63585" s="303" t="s">
        <v>232</v>
      </c>
    </row>
    <row r="63586" spans="119:119" x14ac:dyDescent="0.2">
      <c r="DO63586" s="303" t="s">
        <v>232</v>
      </c>
    </row>
    <row r="63587" spans="119:119" x14ac:dyDescent="0.2">
      <c r="DO63587" s="303" t="s">
        <v>232</v>
      </c>
    </row>
    <row r="63588" spans="119:119" x14ac:dyDescent="0.2">
      <c r="DO63588" s="303" t="s">
        <v>232</v>
      </c>
    </row>
    <row r="63589" spans="119:119" x14ac:dyDescent="0.2">
      <c r="DO63589" s="303" t="s">
        <v>232</v>
      </c>
    </row>
    <row r="63590" spans="119:119" x14ac:dyDescent="0.2">
      <c r="DO63590" s="303" t="s">
        <v>232</v>
      </c>
    </row>
    <row r="63591" spans="119:119" x14ac:dyDescent="0.2">
      <c r="DO63591" s="303" t="s">
        <v>232</v>
      </c>
    </row>
    <row r="63592" spans="119:119" x14ac:dyDescent="0.2">
      <c r="DO63592" s="303" t="s">
        <v>232</v>
      </c>
    </row>
    <row r="63593" spans="119:119" x14ac:dyDescent="0.2">
      <c r="DO63593" s="303" t="s">
        <v>232</v>
      </c>
    </row>
    <row r="63594" spans="119:119" x14ac:dyDescent="0.2">
      <c r="DO63594" s="303" t="s">
        <v>232</v>
      </c>
    </row>
    <row r="63595" spans="119:119" x14ac:dyDescent="0.2">
      <c r="DO63595" s="303" t="s">
        <v>232</v>
      </c>
    </row>
    <row r="63596" spans="119:119" x14ac:dyDescent="0.2">
      <c r="DO63596" s="303" t="s">
        <v>232</v>
      </c>
    </row>
    <row r="63597" spans="119:119" x14ac:dyDescent="0.2">
      <c r="DO63597" s="303" t="s">
        <v>232</v>
      </c>
    </row>
    <row r="63598" spans="119:119" x14ac:dyDescent="0.2">
      <c r="DO63598" s="303" t="s">
        <v>232</v>
      </c>
    </row>
    <row r="63599" spans="119:119" x14ac:dyDescent="0.2">
      <c r="DO63599" s="303" t="s">
        <v>232</v>
      </c>
    </row>
    <row r="63600" spans="119:119" x14ac:dyDescent="0.2">
      <c r="DO63600" s="303" t="s">
        <v>232</v>
      </c>
    </row>
    <row r="63601" spans="119:119" x14ac:dyDescent="0.2">
      <c r="DO63601" s="303" t="s">
        <v>232</v>
      </c>
    </row>
    <row r="63602" spans="119:119" x14ac:dyDescent="0.2">
      <c r="DO63602" s="303" t="s">
        <v>232</v>
      </c>
    </row>
    <row r="63603" spans="119:119" x14ac:dyDescent="0.2">
      <c r="DO63603" s="303" t="s">
        <v>232</v>
      </c>
    </row>
    <row r="63604" spans="119:119" x14ac:dyDescent="0.2">
      <c r="DO63604" s="303" t="s">
        <v>232</v>
      </c>
    </row>
    <row r="63605" spans="119:119" x14ac:dyDescent="0.2">
      <c r="DO63605" s="303" t="s">
        <v>232</v>
      </c>
    </row>
    <row r="63606" spans="119:119" x14ac:dyDescent="0.2">
      <c r="DO63606" s="303" t="s">
        <v>232</v>
      </c>
    </row>
    <row r="63607" spans="119:119" x14ac:dyDescent="0.2">
      <c r="DO63607" s="303" t="s">
        <v>232</v>
      </c>
    </row>
    <row r="63608" spans="119:119" x14ac:dyDescent="0.2">
      <c r="DO63608" s="303" t="s">
        <v>232</v>
      </c>
    </row>
    <row r="63609" spans="119:119" x14ac:dyDescent="0.2">
      <c r="DO63609" s="303" t="s">
        <v>232</v>
      </c>
    </row>
    <row r="63610" spans="119:119" x14ac:dyDescent="0.2">
      <c r="DO63610" s="303" t="s">
        <v>232</v>
      </c>
    </row>
    <row r="63611" spans="119:119" x14ac:dyDescent="0.2">
      <c r="DO63611" s="303" t="s">
        <v>232</v>
      </c>
    </row>
    <row r="63612" spans="119:119" x14ac:dyDescent="0.2">
      <c r="DO63612" s="303" t="s">
        <v>232</v>
      </c>
    </row>
    <row r="63613" spans="119:119" x14ac:dyDescent="0.2">
      <c r="DO63613" s="303" t="s">
        <v>232</v>
      </c>
    </row>
    <row r="63614" spans="119:119" x14ac:dyDescent="0.2">
      <c r="DO63614" s="303" t="s">
        <v>232</v>
      </c>
    </row>
    <row r="63615" spans="119:119" x14ac:dyDescent="0.2">
      <c r="DO63615" s="303" t="s">
        <v>232</v>
      </c>
    </row>
    <row r="63616" spans="119:119" x14ac:dyDescent="0.2">
      <c r="DO63616" s="303" t="s">
        <v>232</v>
      </c>
    </row>
    <row r="63617" spans="119:119" x14ac:dyDescent="0.2">
      <c r="DO63617" s="303" t="s">
        <v>232</v>
      </c>
    </row>
    <row r="63618" spans="119:119" x14ac:dyDescent="0.2">
      <c r="DO63618" s="303" t="s">
        <v>232</v>
      </c>
    </row>
    <row r="63619" spans="119:119" x14ac:dyDescent="0.2">
      <c r="DO63619" s="303" t="s">
        <v>232</v>
      </c>
    </row>
    <row r="63620" spans="119:119" x14ac:dyDescent="0.2">
      <c r="DO63620" s="303" t="s">
        <v>232</v>
      </c>
    </row>
    <row r="63621" spans="119:119" x14ac:dyDescent="0.2">
      <c r="DO63621" s="303" t="s">
        <v>232</v>
      </c>
    </row>
    <row r="63622" spans="119:119" x14ac:dyDescent="0.2">
      <c r="DO63622" s="303" t="s">
        <v>232</v>
      </c>
    </row>
    <row r="63623" spans="119:119" x14ac:dyDescent="0.2">
      <c r="DO63623" s="303" t="s">
        <v>232</v>
      </c>
    </row>
    <row r="63624" spans="119:119" x14ac:dyDescent="0.2">
      <c r="DO63624" s="303" t="s">
        <v>232</v>
      </c>
    </row>
    <row r="63625" spans="119:119" x14ac:dyDescent="0.2">
      <c r="DO63625" s="303" t="s">
        <v>232</v>
      </c>
    </row>
    <row r="63626" spans="119:119" x14ac:dyDescent="0.2">
      <c r="DO63626" s="303" t="s">
        <v>232</v>
      </c>
    </row>
    <row r="63627" spans="119:119" x14ac:dyDescent="0.2">
      <c r="DO63627" s="303" t="s">
        <v>232</v>
      </c>
    </row>
    <row r="63628" spans="119:119" x14ac:dyDescent="0.2">
      <c r="DO63628" s="303" t="s">
        <v>232</v>
      </c>
    </row>
    <row r="63629" spans="119:119" x14ac:dyDescent="0.2">
      <c r="DO63629" s="303" t="s">
        <v>232</v>
      </c>
    </row>
    <row r="63630" spans="119:119" x14ac:dyDescent="0.2">
      <c r="DO63630" s="303" t="s">
        <v>232</v>
      </c>
    </row>
    <row r="63631" spans="119:119" x14ac:dyDescent="0.2">
      <c r="DO63631" s="303" t="s">
        <v>232</v>
      </c>
    </row>
    <row r="63632" spans="119:119" x14ac:dyDescent="0.2">
      <c r="DO63632" s="303" t="s">
        <v>232</v>
      </c>
    </row>
    <row r="63633" spans="119:119" x14ac:dyDescent="0.2">
      <c r="DO63633" s="303" t="s">
        <v>232</v>
      </c>
    </row>
    <row r="63634" spans="119:119" x14ac:dyDescent="0.2">
      <c r="DO63634" s="303" t="s">
        <v>232</v>
      </c>
    </row>
    <row r="63635" spans="119:119" x14ac:dyDescent="0.2">
      <c r="DO63635" s="303" t="s">
        <v>232</v>
      </c>
    </row>
    <row r="63636" spans="119:119" x14ac:dyDescent="0.2">
      <c r="DO63636" s="303" t="s">
        <v>232</v>
      </c>
    </row>
    <row r="63637" spans="119:119" x14ac:dyDescent="0.2">
      <c r="DO63637" s="303" t="s">
        <v>232</v>
      </c>
    </row>
    <row r="63638" spans="119:119" x14ac:dyDescent="0.2">
      <c r="DO63638" s="303" t="s">
        <v>232</v>
      </c>
    </row>
    <row r="63639" spans="119:119" x14ac:dyDescent="0.2">
      <c r="DO63639" s="303" t="s">
        <v>232</v>
      </c>
    </row>
    <row r="63640" spans="119:119" x14ac:dyDescent="0.2">
      <c r="DO63640" s="303" t="s">
        <v>232</v>
      </c>
    </row>
    <row r="63641" spans="119:119" x14ac:dyDescent="0.2">
      <c r="DO63641" s="303" t="s">
        <v>232</v>
      </c>
    </row>
    <row r="63642" spans="119:119" x14ac:dyDescent="0.2">
      <c r="DO63642" s="303" t="s">
        <v>232</v>
      </c>
    </row>
    <row r="63643" spans="119:119" x14ac:dyDescent="0.2">
      <c r="DO63643" s="303" t="s">
        <v>232</v>
      </c>
    </row>
    <row r="63644" spans="119:119" x14ac:dyDescent="0.2">
      <c r="DO63644" s="303" t="s">
        <v>232</v>
      </c>
    </row>
    <row r="63645" spans="119:119" x14ac:dyDescent="0.2">
      <c r="DO63645" s="303" t="s">
        <v>232</v>
      </c>
    </row>
    <row r="63646" spans="119:119" x14ac:dyDescent="0.2">
      <c r="DO63646" s="303" t="s">
        <v>232</v>
      </c>
    </row>
    <row r="63647" spans="119:119" x14ac:dyDescent="0.2">
      <c r="DO63647" s="303" t="s">
        <v>232</v>
      </c>
    </row>
    <row r="63648" spans="119:119" x14ac:dyDescent="0.2">
      <c r="DO63648" s="303" t="s">
        <v>232</v>
      </c>
    </row>
    <row r="63649" spans="119:119" x14ac:dyDescent="0.2">
      <c r="DO63649" s="303" t="s">
        <v>232</v>
      </c>
    </row>
    <row r="63650" spans="119:119" x14ac:dyDescent="0.2">
      <c r="DO63650" s="303" t="s">
        <v>232</v>
      </c>
    </row>
    <row r="63651" spans="119:119" x14ac:dyDescent="0.2">
      <c r="DO63651" s="303" t="s">
        <v>232</v>
      </c>
    </row>
    <row r="63652" spans="119:119" x14ac:dyDescent="0.2">
      <c r="DO63652" s="303" t="s">
        <v>232</v>
      </c>
    </row>
    <row r="63653" spans="119:119" x14ac:dyDescent="0.2">
      <c r="DO63653" s="303" t="s">
        <v>232</v>
      </c>
    </row>
    <row r="63654" spans="119:119" x14ac:dyDescent="0.2">
      <c r="DO63654" s="303" t="s">
        <v>232</v>
      </c>
    </row>
    <row r="63655" spans="119:119" x14ac:dyDescent="0.2">
      <c r="DO63655" s="303" t="s">
        <v>232</v>
      </c>
    </row>
    <row r="63656" spans="119:119" x14ac:dyDescent="0.2">
      <c r="DO63656" s="303" t="s">
        <v>232</v>
      </c>
    </row>
    <row r="63657" spans="119:119" x14ac:dyDescent="0.2">
      <c r="DO63657" s="303" t="s">
        <v>232</v>
      </c>
    </row>
    <row r="63658" spans="119:119" x14ac:dyDescent="0.2">
      <c r="DO63658" s="303" t="s">
        <v>232</v>
      </c>
    </row>
    <row r="63659" spans="119:119" x14ac:dyDescent="0.2">
      <c r="DO63659" s="303" t="s">
        <v>232</v>
      </c>
    </row>
    <row r="63660" spans="119:119" x14ac:dyDescent="0.2">
      <c r="DO63660" s="303" t="s">
        <v>232</v>
      </c>
    </row>
    <row r="63661" spans="119:119" x14ac:dyDescent="0.2">
      <c r="DO63661" s="303" t="s">
        <v>232</v>
      </c>
    </row>
    <row r="63662" spans="119:119" x14ac:dyDescent="0.2">
      <c r="DO63662" s="303" t="s">
        <v>232</v>
      </c>
    </row>
    <row r="63663" spans="119:119" x14ac:dyDescent="0.2">
      <c r="DO63663" s="303" t="s">
        <v>232</v>
      </c>
    </row>
    <row r="63664" spans="119:119" x14ac:dyDescent="0.2">
      <c r="DO63664" s="303" t="s">
        <v>232</v>
      </c>
    </row>
    <row r="63665" spans="119:119" x14ac:dyDescent="0.2">
      <c r="DO63665" s="303" t="s">
        <v>232</v>
      </c>
    </row>
    <row r="63666" spans="119:119" x14ac:dyDescent="0.2">
      <c r="DO63666" s="303" t="s">
        <v>232</v>
      </c>
    </row>
    <row r="63667" spans="119:119" x14ac:dyDescent="0.2">
      <c r="DO63667" s="303" t="s">
        <v>232</v>
      </c>
    </row>
    <row r="63668" spans="119:119" x14ac:dyDescent="0.2">
      <c r="DO63668" s="303" t="s">
        <v>232</v>
      </c>
    </row>
    <row r="63669" spans="119:119" x14ac:dyDescent="0.2">
      <c r="DO63669" s="303" t="s">
        <v>232</v>
      </c>
    </row>
    <row r="63670" spans="119:119" x14ac:dyDescent="0.2">
      <c r="DO63670" s="303" t="s">
        <v>232</v>
      </c>
    </row>
    <row r="63671" spans="119:119" x14ac:dyDescent="0.2">
      <c r="DO63671" s="303" t="s">
        <v>232</v>
      </c>
    </row>
    <row r="63672" spans="119:119" x14ac:dyDescent="0.2">
      <c r="DO63672" s="303" t="s">
        <v>232</v>
      </c>
    </row>
    <row r="63673" spans="119:119" x14ac:dyDescent="0.2">
      <c r="DO63673" s="303" t="s">
        <v>232</v>
      </c>
    </row>
    <row r="63674" spans="119:119" x14ac:dyDescent="0.2">
      <c r="DO63674" s="303" t="s">
        <v>232</v>
      </c>
    </row>
    <row r="63675" spans="119:119" x14ac:dyDescent="0.2">
      <c r="DO63675" s="303" t="s">
        <v>232</v>
      </c>
    </row>
    <row r="63676" spans="119:119" x14ac:dyDescent="0.2">
      <c r="DO63676" s="303" t="s">
        <v>232</v>
      </c>
    </row>
    <row r="63677" spans="119:119" x14ac:dyDescent="0.2">
      <c r="DO63677" s="303" t="s">
        <v>232</v>
      </c>
    </row>
    <row r="63678" spans="119:119" x14ac:dyDescent="0.2">
      <c r="DO63678" s="303" t="s">
        <v>232</v>
      </c>
    </row>
    <row r="63679" spans="119:119" x14ac:dyDescent="0.2">
      <c r="DO63679" s="303" t="s">
        <v>232</v>
      </c>
    </row>
    <row r="63680" spans="119:119" x14ac:dyDescent="0.2">
      <c r="DO63680" s="303" t="s">
        <v>232</v>
      </c>
    </row>
    <row r="63681" spans="119:119" x14ac:dyDescent="0.2">
      <c r="DO63681" s="303" t="s">
        <v>232</v>
      </c>
    </row>
    <row r="63682" spans="119:119" x14ac:dyDescent="0.2">
      <c r="DO63682" s="303" t="s">
        <v>232</v>
      </c>
    </row>
    <row r="63683" spans="119:119" x14ac:dyDescent="0.2">
      <c r="DO63683" s="303" t="s">
        <v>232</v>
      </c>
    </row>
    <row r="63684" spans="119:119" x14ac:dyDescent="0.2">
      <c r="DO63684" s="303" t="s">
        <v>232</v>
      </c>
    </row>
    <row r="63685" spans="119:119" x14ac:dyDescent="0.2">
      <c r="DO63685" s="303" t="s">
        <v>232</v>
      </c>
    </row>
    <row r="63686" spans="119:119" x14ac:dyDescent="0.2">
      <c r="DO63686" s="303" t="s">
        <v>232</v>
      </c>
    </row>
    <row r="63687" spans="119:119" x14ac:dyDescent="0.2">
      <c r="DO63687" s="303" t="s">
        <v>232</v>
      </c>
    </row>
    <row r="63688" spans="119:119" x14ac:dyDescent="0.2">
      <c r="DO63688" s="303" t="s">
        <v>232</v>
      </c>
    </row>
    <row r="63689" spans="119:119" x14ac:dyDescent="0.2">
      <c r="DO63689" s="303" t="s">
        <v>232</v>
      </c>
    </row>
    <row r="63690" spans="119:119" x14ac:dyDescent="0.2">
      <c r="DO63690" s="303" t="s">
        <v>232</v>
      </c>
    </row>
    <row r="63691" spans="119:119" x14ac:dyDescent="0.2">
      <c r="DO63691" s="303" t="s">
        <v>232</v>
      </c>
    </row>
    <row r="63692" spans="119:119" x14ac:dyDescent="0.2">
      <c r="DO63692" s="303" t="s">
        <v>232</v>
      </c>
    </row>
    <row r="63693" spans="119:119" x14ac:dyDescent="0.2">
      <c r="DO63693" s="303" t="s">
        <v>232</v>
      </c>
    </row>
    <row r="63694" spans="119:119" x14ac:dyDescent="0.2">
      <c r="DO63694" s="303" t="s">
        <v>232</v>
      </c>
    </row>
    <row r="63695" spans="119:119" x14ac:dyDescent="0.2">
      <c r="DO63695" s="303" t="s">
        <v>232</v>
      </c>
    </row>
    <row r="63696" spans="119:119" x14ac:dyDescent="0.2">
      <c r="DO63696" s="303" t="s">
        <v>232</v>
      </c>
    </row>
    <row r="63697" spans="119:119" x14ac:dyDescent="0.2">
      <c r="DO63697" s="303" t="s">
        <v>232</v>
      </c>
    </row>
    <row r="63698" spans="119:119" x14ac:dyDescent="0.2">
      <c r="DO63698" s="303" t="s">
        <v>232</v>
      </c>
    </row>
    <row r="63699" spans="119:119" x14ac:dyDescent="0.2">
      <c r="DO63699" s="303" t="s">
        <v>232</v>
      </c>
    </row>
    <row r="63700" spans="119:119" x14ac:dyDescent="0.2">
      <c r="DO63700" s="303" t="s">
        <v>232</v>
      </c>
    </row>
    <row r="63701" spans="119:119" x14ac:dyDescent="0.2">
      <c r="DO63701" s="303" t="s">
        <v>232</v>
      </c>
    </row>
    <row r="63702" spans="119:119" x14ac:dyDescent="0.2">
      <c r="DO63702" s="303" t="s">
        <v>232</v>
      </c>
    </row>
    <row r="63703" spans="119:119" x14ac:dyDescent="0.2">
      <c r="DO63703" s="303" t="s">
        <v>232</v>
      </c>
    </row>
    <row r="63704" spans="119:119" x14ac:dyDescent="0.2">
      <c r="DO63704" s="303" t="s">
        <v>232</v>
      </c>
    </row>
    <row r="63705" spans="119:119" x14ac:dyDescent="0.2">
      <c r="DO63705" s="303" t="s">
        <v>232</v>
      </c>
    </row>
    <row r="63706" spans="119:119" x14ac:dyDescent="0.2">
      <c r="DO63706" s="303" t="s">
        <v>232</v>
      </c>
    </row>
    <row r="63707" spans="119:119" x14ac:dyDescent="0.2">
      <c r="DO63707" s="303" t="s">
        <v>232</v>
      </c>
    </row>
    <row r="63708" spans="119:119" x14ac:dyDescent="0.2">
      <c r="DO63708" s="303" t="s">
        <v>232</v>
      </c>
    </row>
    <row r="63709" spans="119:119" x14ac:dyDescent="0.2">
      <c r="DO63709" s="303" t="s">
        <v>232</v>
      </c>
    </row>
    <row r="63710" spans="119:119" x14ac:dyDescent="0.2">
      <c r="DO63710" s="303" t="s">
        <v>232</v>
      </c>
    </row>
    <row r="63711" spans="119:119" x14ac:dyDescent="0.2">
      <c r="DO63711" s="303" t="s">
        <v>232</v>
      </c>
    </row>
    <row r="63712" spans="119:119" x14ac:dyDescent="0.2">
      <c r="DO63712" s="303" t="s">
        <v>232</v>
      </c>
    </row>
    <row r="63713" spans="119:119" x14ac:dyDescent="0.2">
      <c r="DO63713" s="303" t="s">
        <v>232</v>
      </c>
    </row>
    <row r="63714" spans="119:119" x14ac:dyDescent="0.2">
      <c r="DO63714" s="303" t="s">
        <v>232</v>
      </c>
    </row>
    <row r="63715" spans="119:119" x14ac:dyDescent="0.2">
      <c r="DO63715" s="303" t="s">
        <v>232</v>
      </c>
    </row>
    <row r="63716" spans="119:119" x14ac:dyDescent="0.2">
      <c r="DO63716" s="303" t="s">
        <v>232</v>
      </c>
    </row>
    <row r="63717" spans="119:119" x14ac:dyDescent="0.2">
      <c r="DO63717" s="303" t="s">
        <v>232</v>
      </c>
    </row>
    <row r="63718" spans="119:119" x14ac:dyDescent="0.2">
      <c r="DO63718" s="303" t="s">
        <v>232</v>
      </c>
    </row>
    <row r="63719" spans="119:119" x14ac:dyDescent="0.2">
      <c r="DO63719" s="303" t="s">
        <v>232</v>
      </c>
    </row>
    <row r="63720" spans="119:119" x14ac:dyDescent="0.2">
      <c r="DO63720" s="303" t="s">
        <v>232</v>
      </c>
    </row>
    <row r="63721" spans="119:119" x14ac:dyDescent="0.2">
      <c r="DO63721" s="303" t="s">
        <v>232</v>
      </c>
    </row>
    <row r="63722" spans="119:119" x14ac:dyDescent="0.2">
      <c r="DO63722" s="303" t="s">
        <v>232</v>
      </c>
    </row>
    <row r="63723" spans="119:119" x14ac:dyDescent="0.2">
      <c r="DO63723" s="303" t="s">
        <v>232</v>
      </c>
    </row>
    <row r="63724" spans="119:119" x14ac:dyDescent="0.2">
      <c r="DO63724" s="303" t="s">
        <v>232</v>
      </c>
    </row>
    <row r="63725" spans="119:119" x14ac:dyDescent="0.2">
      <c r="DO63725" s="303" t="s">
        <v>232</v>
      </c>
    </row>
    <row r="63726" spans="119:119" x14ac:dyDescent="0.2">
      <c r="DO63726" s="303" t="s">
        <v>232</v>
      </c>
    </row>
    <row r="63727" spans="119:119" x14ac:dyDescent="0.2">
      <c r="DO63727" s="303" t="s">
        <v>232</v>
      </c>
    </row>
    <row r="63728" spans="119:119" x14ac:dyDescent="0.2">
      <c r="DO63728" s="303" t="s">
        <v>232</v>
      </c>
    </row>
    <row r="63729" spans="119:119" x14ac:dyDescent="0.2">
      <c r="DO63729" s="303" t="s">
        <v>232</v>
      </c>
    </row>
    <row r="63730" spans="119:119" x14ac:dyDescent="0.2">
      <c r="DO63730" s="303" t="s">
        <v>232</v>
      </c>
    </row>
    <row r="63731" spans="119:119" x14ac:dyDescent="0.2">
      <c r="DO63731" s="303" t="s">
        <v>232</v>
      </c>
    </row>
    <row r="63732" spans="119:119" x14ac:dyDescent="0.2">
      <c r="DO63732" s="303" t="s">
        <v>232</v>
      </c>
    </row>
    <row r="63733" spans="119:119" x14ac:dyDescent="0.2">
      <c r="DO63733" s="303" t="s">
        <v>232</v>
      </c>
    </row>
    <row r="63734" spans="119:119" x14ac:dyDescent="0.2">
      <c r="DO63734" s="303" t="s">
        <v>232</v>
      </c>
    </row>
    <row r="63735" spans="119:119" x14ac:dyDescent="0.2">
      <c r="DO63735" s="303" t="s">
        <v>232</v>
      </c>
    </row>
    <row r="63736" spans="119:119" x14ac:dyDescent="0.2">
      <c r="DO63736" s="303" t="s">
        <v>232</v>
      </c>
    </row>
    <row r="63737" spans="119:119" x14ac:dyDescent="0.2">
      <c r="DO63737" s="303" t="s">
        <v>232</v>
      </c>
    </row>
    <row r="63738" spans="119:119" x14ac:dyDescent="0.2">
      <c r="DO63738" s="303" t="s">
        <v>232</v>
      </c>
    </row>
    <row r="63739" spans="119:119" x14ac:dyDescent="0.2">
      <c r="DO63739" s="303" t="s">
        <v>232</v>
      </c>
    </row>
    <row r="63740" spans="119:119" x14ac:dyDescent="0.2">
      <c r="DO63740" s="303" t="s">
        <v>232</v>
      </c>
    </row>
    <row r="63741" spans="119:119" x14ac:dyDescent="0.2">
      <c r="DO63741" s="303" t="s">
        <v>232</v>
      </c>
    </row>
    <row r="63742" spans="119:119" x14ac:dyDescent="0.2">
      <c r="DO63742" s="303" t="s">
        <v>232</v>
      </c>
    </row>
    <row r="63743" spans="119:119" x14ac:dyDescent="0.2">
      <c r="DO63743" s="303" t="s">
        <v>232</v>
      </c>
    </row>
    <row r="63744" spans="119:119" x14ac:dyDescent="0.2">
      <c r="DO63744" s="303" t="s">
        <v>232</v>
      </c>
    </row>
    <row r="63745" spans="119:119" x14ac:dyDescent="0.2">
      <c r="DO63745" s="303" t="s">
        <v>232</v>
      </c>
    </row>
    <row r="63746" spans="119:119" x14ac:dyDescent="0.2">
      <c r="DO63746" s="303" t="s">
        <v>232</v>
      </c>
    </row>
    <row r="63747" spans="119:119" x14ac:dyDescent="0.2">
      <c r="DO63747" s="303" t="s">
        <v>232</v>
      </c>
    </row>
    <row r="63748" spans="119:119" x14ac:dyDescent="0.2">
      <c r="DO63748" s="303" t="s">
        <v>232</v>
      </c>
    </row>
    <row r="63749" spans="119:119" x14ac:dyDescent="0.2">
      <c r="DO63749" s="303" t="s">
        <v>232</v>
      </c>
    </row>
    <row r="63750" spans="119:119" x14ac:dyDescent="0.2">
      <c r="DO63750" s="303" t="s">
        <v>232</v>
      </c>
    </row>
    <row r="63751" spans="119:119" x14ac:dyDescent="0.2">
      <c r="DO63751" s="303" t="s">
        <v>232</v>
      </c>
    </row>
    <row r="63752" spans="119:119" x14ac:dyDescent="0.2">
      <c r="DO63752" s="303" t="s">
        <v>232</v>
      </c>
    </row>
    <row r="63753" spans="119:119" x14ac:dyDescent="0.2">
      <c r="DO63753" s="303" t="s">
        <v>232</v>
      </c>
    </row>
    <row r="63754" spans="119:119" x14ac:dyDescent="0.2">
      <c r="DO63754" s="303" t="s">
        <v>232</v>
      </c>
    </row>
    <row r="63755" spans="119:119" x14ac:dyDescent="0.2">
      <c r="DO63755" s="303" t="s">
        <v>232</v>
      </c>
    </row>
    <row r="63756" spans="119:119" x14ac:dyDescent="0.2">
      <c r="DO63756" s="303" t="s">
        <v>232</v>
      </c>
    </row>
    <row r="63757" spans="119:119" x14ac:dyDescent="0.2">
      <c r="DO63757" s="303" t="s">
        <v>232</v>
      </c>
    </row>
    <row r="63758" spans="119:119" x14ac:dyDescent="0.2">
      <c r="DO63758" s="303" t="s">
        <v>232</v>
      </c>
    </row>
    <row r="63759" spans="119:119" x14ac:dyDescent="0.2">
      <c r="DO63759" s="303" t="s">
        <v>232</v>
      </c>
    </row>
    <row r="63760" spans="119:119" x14ac:dyDescent="0.2">
      <c r="DO63760" s="303" t="s">
        <v>232</v>
      </c>
    </row>
    <row r="63761" spans="119:119" x14ac:dyDescent="0.2">
      <c r="DO63761" s="303" t="s">
        <v>232</v>
      </c>
    </row>
    <row r="63762" spans="119:119" x14ac:dyDescent="0.2">
      <c r="DO63762" s="303" t="s">
        <v>232</v>
      </c>
    </row>
    <row r="63763" spans="119:119" x14ac:dyDescent="0.2">
      <c r="DO63763" s="303" t="s">
        <v>232</v>
      </c>
    </row>
    <row r="63764" spans="119:119" x14ac:dyDescent="0.2">
      <c r="DO63764" s="303" t="s">
        <v>232</v>
      </c>
    </row>
    <row r="63765" spans="119:119" x14ac:dyDescent="0.2">
      <c r="DO63765" s="303" t="s">
        <v>232</v>
      </c>
    </row>
    <row r="63766" spans="119:119" x14ac:dyDescent="0.2">
      <c r="DO63766" s="303" t="s">
        <v>232</v>
      </c>
    </row>
    <row r="63767" spans="119:119" x14ac:dyDescent="0.2">
      <c r="DO63767" s="303" t="s">
        <v>232</v>
      </c>
    </row>
    <row r="63768" spans="119:119" x14ac:dyDescent="0.2">
      <c r="DO63768" s="303" t="s">
        <v>232</v>
      </c>
    </row>
    <row r="63769" spans="119:119" x14ac:dyDescent="0.2">
      <c r="DO63769" s="303" t="s">
        <v>232</v>
      </c>
    </row>
    <row r="63770" spans="119:119" x14ac:dyDescent="0.2">
      <c r="DO63770" s="303" t="s">
        <v>232</v>
      </c>
    </row>
    <row r="63771" spans="119:119" x14ac:dyDescent="0.2">
      <c r="DO63771" s="303" t="s">
        <v>232</v>
      </c>
    </row>
    <row r="63772" spans="119:119" x14ac:dyDescent="0.2">
      <c r="DO63772" s="303" t="s">
        <v>232</v>
      </c>
    </row>
    <row r="63773" spans="119:119" x14ac:dyDescent="0.2">
      <c r="DO63773" s="303" t="s">
        <v>232</v>
      </c>
    </row>
    <row r="63774" spans="119:119" x14ac:dyDescent="0.2">
      <c r="DO63774" s="303" t="s">
        <v>232</v>
      </c>
    </row>
    <row r="63775" spans="119:119" x14ac:dyDescent="0.2">
      <c r="DO63775" s="303" t="s">
        <v>232</v>
      </c>
    </row>
    <row r="63776" spans="119:119" x14ac:dyDescent="0.2">
      <c r="DO63776" s="303" t="s">
        <v>232</v>
      </c>
    </row>
    <row r="63777" spans="119:119" x14ac:dyDescent="0.2">
      <c r="DO63777" s="303" t="s">
        <v>232</v>
      </c>
    </row>
    <row r="63778" spans="119:119" x14ac:dyDescent="0.2">
      <c r="DO63778" s="303" t="s">
        <v>232</v>
      </c>
    </row>
    <row r="63779" spans="119:119" x14ac:dyDescent="0.2">
      <c r="DO63779" s="303" t="s">
        <v>232</v>
      </c>
    </row>
    <row r="63780" spans="119:119" x14ac:dyDescent="0.2">
      <c r="DO63780" s="303" t="s">
        <v>232</v>
      </c>
    </row>
    <row r="63781" spans="119:119" x14ac:dyDescent="0.2">
      <c r="DO63781" s="303" t="s">
        <v>232</v>
      </c>
    </row>
    <row r="63782" spans="119:119" x14ac:dyDescent="0.2">
      <c r="DO63782" s="303" t="s">
        <v>232</v>
      </c>
    </row>
    <row r="63783" spans="119:119" x14ac:dyDescent="0.2">
      <c r="DO63783" s="303" t="s">
        <v>232</v>
      </c>
    </row>
    <row r="63784" spans="119:119" x14ac:dyDescent="0.2">
      <c r="DO63784" s="303" t="s">
        <v>232</v>
      </c>
    </row>
    <row r="63785" spans="119:119" x14ac:dyDescent="0.2">
      <c r="DO63785" s="303" t="s">
        <v>232</v>
      </c>
    </row>
    <row r="63786" spans="119:119" x14ac:dyDescent="0.2">
      <c r="DO63786" s="303" t="s">
        <v>232</v>
      </c>
    </row>
    <row r="63787" spans="119:119" x14ac:dyDescent="0.2">
      <c r="DO63787" s="303" t="s">
        <v>232</v>
      </c>
    </row>
    <row r="63788" spans="119:119" x14ac:dyDescent="0.2">
      <c r="DO63788" s="303" t="s">
        <v>232</v>
      </c>
    </row>
    <row r="63789" spans="119:119" x14ac:dyDescent="0.2">
      <c r="DO63789" s="303" t="s">
        <v>232</v>
      </c>
    </row>
    <row r="63790" spans="119:119" x14ac:dyDescent="0.2">
      <c r="DO63790" s="303" t="s">
        <v>232</v>
      </c>
    </row>
    <row r="63791" spans="119:119" x14ac:dyDescent="0.2">
      <c r="DO63791" s="303" t="s">
        <v>232</v>
      </c>
    </row>
    <row r="63792" spans="119:119" x14ac:dyDescent="0.2">
      <c r="DO63792" s="303" t="s">
        <v>232</v>
      </c>
    </row>
    <row r="63793" spans="119:119" x14ac:dyDescent="0.2">
      <c r="DO63793" s="303" t="s">
        <v>232</v>
      </c>
    </row>
    <row r="63794" spans="119:119" x14ac:dyDescent="0.2">
      <c r="DO63794" s="303" t="s">
        <v>232</v>
      </c>
    </row>
    <row r="63795" spans="119:119" x14ac:dyDescent="0.2">
      <c r="DO63795" s="303" t="s">
        <v>232</v>
      </c>
    </row>
    <row r="63796" spans="119:119" x14ac:dyDescent="0.2">
      <c r="DO63796" s="303" t="s">
        <v>232</v>
      </c>
    </row>
    <row r="63797" spans="119:119" x14ac:dyDescent="0.2">
      <c r="DO63797" s="303" t="s">
        <v>232</v>
      </c>
    </row>
    <row r="63798" spans="119:119" x14ac:dyDescent="0.2">
      <c r="DO63798" s="303" t="s">
        <v>232</v>
      </c>
    </row>
    <row r="63799" spans="119:119" x14ac:dyDescent="0.2">
      <c r="DO63799" s="303" t="s">
        <v>232</v>
      </c>
    </row>
    <row r="63800" spans="119:119" x14ac:dyDescent="0.2">
      <c r="DO63800" s="303" t="s">
        <v>232</v>
      </c>
    </row>
    <row r="63801" spans="119:119" x14ac:dyDescent="0.2">
      <c r="DO63801" s="303" t="s">
        <v>232</v>
      </c>
    </row>
    <row r="63802" spans="119:119" x14ac:dyDescent="0.2">
      <c r="DO63802" s="303" t="s">
        <v>232</v>
      </c>
    </row>
    <row r="63803" spans="119:119" x14ac:dyDescent="0.2">
      <c r="DO63803" s="303" t="s">
        <v>232</v>
      </c>
    </row>
    <row r="63804" spans="119:119" x14ac:dyDescent="0.2">
      <c r="DO63804" s="303" t="s">
        <v>232</v>
      </c>
    </row>
    <row r="63805" spans="119:119" x14ac:dyDescent="0.2">
      <c r="DO63805" s="303" t="s">
        <v>232</v>
      </c>
    </row>
    <row r="63806" spans="119:119" x14ac:dyDescent="0.2">
      <c r="DO63806" s="303" t="s">
        <v>232</v>
      </c>
    </row>
    <row r="63807" spans="119:119" x14ac:dyDescent="0.2">
      <c r="DO63807" s="303" t="s">
        <v>232</v>
      </c>
    </row>
    <row r="63808" spans="119:119" x14ac:dyDescent="0.2">
      <c r="DO63808" s="303" t="s">
        <v>232</v>
      </c>
    </row>
    <row r="63809" spans="119:119" x14ac:dyDescent="0.2">
      <c r="DO63809" s="303" t="s">
        <v>232</v>
      </c>
    </row>
    <row r="63810" spans="119:119" x14ac:dyDescent="0.2">
      <c r="DO63810" s="303" t="s">
        <v>232</v>
      </c>
    </row>
    <row r="63811" spans="119:119" x14ac:dyDescent="0.2">
      <c r="DO63811" s="303" t="s">
        <v>232</v>
      </c>
    </row>
    <row r="63812" spans="119:119" x14ac:dyDescent="0.2">
      <c r="DO63812" s="303" t="s">
        <v>232</v>
      </c>
    </row>
    <row r="63813" spans="119:119" x14ac:dyDescent="0.2">
      <c r="DO63813" s="303" t="s">
        <v>232</v>
      </c>
    </row>
    <row r="63814" spans="119:119" x14ac:dyDescent="0.2">
      <c r="DO63814" s="303" t="s">
        <v>232</v>
      </c>
    </row>
    <row r="63815" spans="119:119" x14ac:dyDescent="0.2">
      <c r="DO63815" s="303" t="s">
        <v>232</v>
      </c>
    </row>
    <row r="63816" spans="119:119" x14ac:dyDescent="0.2">
      <c r="DO63816" s="303" t="s">
        <v>232</v>
      </c>
    </row>
    <row r="63817" spans="119:119" x14ac:dyDescent="0.2">
      <c r="DO63817" s="303" t="s">
        <v>232</v>
      </c>
    </row>
    <row r="63818" spans="119:119" x14ac:dyDescent="0.2">
      <c r="DO63818" s="303" t="s">
        <v>232</v>
      </c>
    </row>
    <row r="63819" spans="119:119" x14ac:dyDescent="0.2">
      <c r="DO63819" s="303" t="s">
        <v>232</v>
      </c>
    </row>
    <row r="63820" spans="119:119" x14ac:dyDescent="0.2">
      <c r="DO63820" s="303" t="s">
        <v>232</v>
      </c>
    </row>
    <row r="63821" spans="119:119" x14ac:dyDescent="0.2">
      <c r="DO63821" s="303" t="s">
        <v>232</v>
      </c>
    </row>
    <row r="63822" spans="119:119" x14ac:dyDescent="0.2">
      <c r="DO63822" s="303" t="s">
        <v>232</v>
      </c>
    </row>
    <row r="63823" spans="119:119" x14ac:dyDescent="0.2">
      <c r="DO63823" s="303" t="s">
        <v>232</v>
      </c>
    </row>
    <row r="63824" spans="119:119" x14ac:dyDescent="0.2">
      <c r="DO63824" s="303" t="s">
        <v>232</v>
      </c>
    </row>
    <row r="63825" spans="119:119" x14ac:dyDescent="0.2">
      <c r="DO63825" s="303" t="s">
        <v>232</v>
      </c>
    </row>
    <row r="63826" spans="119:119" x14ac:dyDescent="0.2">
      <c r="DO63826" s="303" t="s">
        <v>232</v>
      </c>
    </row>
    <row r="63827" spans="119:119" x14ac:dyDescent="0.2">
      <c r="DO63827" s="303" t="s">
        <v>232</v>
      </c>
    </row>
    <row r="63828" spans="119:119" x14ac:dyDescent="0.2">
      <c r="DO63828" s="303" t="s">
        <v>232</v>
      </c>
    </row>
    <row r="63829" spans="119:119" x14ac:dyDescent="0.2">
      <c r="DO63829" s="303" t="s">
        <v>232</v>
      </c>
    </row>
    <row r="63830" spans="119:119" x14ac:dyDescent="0.2">
      <c r="DO63830" s="303" t="s">
        <v>232</v>
      </c>
    </row>
    <row r="63831" spans="119:119" x14ac:dyDescent="0.2">
      <c r="DO63831" s="303" t="s">
        <v>232</v>
      </c>
    </row>
    <row r="63832" spans="119:119" x14ac:dyDescent="0.2">
      <c r="DO63832" s="303" t="s">
        <v>232</v>
      </c>
    </row>
    <row r="63833" spans="119:119" x14ac:dyDescent="0.2">
      <c r="DO63833" s="303" t="s">
        <v>232</v>
      </c>
    </row>
    <row r="63834" spans="119:119" x14ac:dyDescent="0.2">
      <c r="DO63834" s="303" t="s">
        <v>232</v>
      </c>
    </row>
    <row r="63835" spans="119:119" x14ac:dyDescent="0.2">
      <c r="DO63835" s="303" t="s">
        <v>232</v>
      </c>
    </row>
    <row r="63836" spans="119:119" x14ac:dyDescent="0.2">
      <c r="DO63836" s="303" t="s">
        <v>232</v>
      </c>
    </row>
    <row r="63837" spans="119:119" x14ac:dyDescent="0.2">
      <c r="DO63837" s="303" t="s">
        <v>232</v>
      </c>
    </row>
    <row r="63838" spans="119:119" x14ac:dyDescent="0.2">
      <c r="DO63838" s="303" t="s">
        <v>232</v>
      </c>
    </row>
    <row r="63839" spans="119:119" x14ac:dyDescent="0.2">
      <c r="DO63839" s="303" t="s">
        <v>232</v>
      </c>
    </row>
    <row r="63840" spans="119:119" x14ac:dyDescent="0.2">
      <c r="DO63840" s="303" t="s">
        <v>232</v>
      </c>
    </row>
    <row r="63841" spans="119:119" x14ac:dyDescent="0.2">
      <c r="DO63841" s="303" t="s">
        <v>232</v>
      </c>
    </row>
    <row r="63842" spans="119:119" x14ac:dyDescent="0.2">
      <c r="DO63842" s="303" t="s">
        <v>232</v>
      </c>
    </row>
    <row r="63843" spans="119:119" x14ac:dyDescent="0.2">
      <c r="DO63843" s="303" t="s">
        <v>232</v>
      </c>
    </row>
    <row r="63844" spans="119:119" x14ac:dyDescent="0.2">
      <c r="DO63844" s="303" t="s">
        <v>232</v>
      </c>
    </row>
    <row r="63845" spans="119:119" x14ac:dyDescent="0.2">
      <c r="DO63845" s="303" t="s">
        <v>232</v>
      </c>
    </row>
    <row r="63846" spans="119:119" x14ac:dyDescent="0.2">
      <c r="DO63846" s="303" t="s">
        <v>232</v>
      </c>
    </row>
    <row r="63847" spans="119:119" x14ac:dyDescent="0.2">
      <c r="DO63847" s="303" t="s">
        <v>232</v>
      </c>
    </row>
    <row r="63848" spans="119:119" x14ac:dyDescent="0.2">
      <c r="DO63848" s="303" t="s">
        <v>232</v>
      </c>
    </row>
    <row r="63849" spans="119:119" x14ac:dyDescent="0.2">
      <c r="DO63849" s="303" t="s">
        <v>232</v>
      </c>
    </row>
    <row r="63850" spans="119:119" x14ac:dyDescent="0.2">
      <c r="DO63850" s="303" t="s">
        <v>232</v>
      </c>
    </row>
    <row r="63851" spans="119:119" x14ac:dyDescent="0.2">
      <c r="DO63851" s="303" t="s">
        <v>232</v>
      </c>
    </row>
    <row r="63852" spans="119:119" x14ac:dyDescent="0.2">
      <c r="DO63852" s="303" t="s">
        <v>232</v>
      </c>
    </row>
    <row r="63853" spans="119:119" x14ac:dyDescent="0.2">
      <c r="DO63853" s="303" t="s">
        <v>232</v>
      </c>
    </row>
    <row r="63854" spans="119:119" x14ac:dyDescent="0.2">
      <c r="DO63854" s="303" t="s">
        <v>232</v>
      </c>
    </row>
    <row r="63855" spans="119:119" x14ac:dyDescent="0.2">
      <c r="DO63855" s="303" t="s">
        <v>232</v>
      </c>
    </row>
    <row r="63856" spans="119:119" x14ac:dyDescent="0.2">
      <c r="DO63856" s="303" t="s">
        <v>232</v>
      </c>
    </row>
    <row r="63857" spans="119:119" x14ac:dyDescent="0.2">
      <c r="DO63857" s="303" t="s">
        <v>232</v>
      </c>
    </row>
    <row r="63858" spans="119:119" x14ac:dyDescent="0.2">
      <c r="DO63858" s="303" t="s">
        <v>232</v>
      </c>
    </row>
    <row r="63859" spans="119:119" x14ac:dyDescent="0.2">
      <c r="DO63859" s="303" t="s">
        <v>232</v>
      </c>
    </row>
    <row r="63860" spans="119:119" x14ac:dyDescent="0.2">
      <c r="DO63860" s="303" t="s">
        <v>232</v>
      </c>
    </row>
    <row r="63861" spans="119:119" x14ac:dyDescent="0.2">
      <c r="DO63861" s="303" t="s">
        <v>232</v>
      </c>
    </row>
    <row r="63862" spans="119:119" x14ac:dyDescent="0.2">
      <c r="DO63862" s="303" t="s">
        <v>232</v>
      </c>
    </row>
    <row r="63863" spans="119:119" x14ac:dyDescent="0.2">
      <c r="DO63863" s="303" t="s">
        <v>232</v>
      </c>
    </row>
    <row r="63864" spans="119:119" x14ac:dyDescent="0.2">
      <c r="DO63864" s="303" t="s">
        <v>232</v>
      </c>
    </row>
    <row r="63865" spans="119:119" x14ac:dyDescent="0.2">
      <c r="DO63865" s="303" t="s">
        <v>232</v>
      </c>
    </row>
    <row r="63866" spans="119:119" x14ac:dyDescent="0.2">
      <c r="DO63866" s="303" t="s">
        <v>232</v>
      </c>
    </row>
    <row r="63867" spans="119:119" x14ac:dyDescent="0.2">
      <c r="DO63867" s="303" t="s">
        <v>232</v>
      </c>
    </row>
    <row r="63868" spans="119:119" x14ac:dyDescent="0.2">
      <c r="DO63868" s="303" t="s">
        <v>232</v>
      </c>
    </row>
    <row r="63869" spans="119:119" x14ac:dyDescent="0.2">
      <c r="DO63869" s="303" t="s">
        <v>232</v>
      </c>
    </row>
    <row r="63870" spans="119:119" x14ac:dyDescent="0.2">
      <c r="DO63870" s="303" t="s">
        <v>232</v>
      </c>
    </row>
    <row r="63871" spans="119:119" x14ac:dyDescent="0.2">
      <c r="DO63871" s="303" t="s">
        <v>232</v>
      </c>
    </row>
    <row r="63872" spans="119:119" x14ac:dyDescent="0.2">
      <c r="DO63872" s="303" t="s">
        <v>232</v>
      </c>
    </row>
    <row r="63873" spans="119:119" x14ac:dyDescent="0.2">
      <c r="DO63873" s="303" t="s">
        <v>232</v>
      </c>
    </row>
    <row r="63874" spans="119:119" x14ac:dyDescent="0.2">
      <c r="DO63874" s="303" t="s">
        <v>232</v>
      </c>
    </row>
    <row r="63875" spans="119:119" x14ac:dyDescent="0.2">
      <c r="DO63875" s="303" t="s">
        <v>232</v>
      </c>
    </row>
    <row r="63876" spans="119:119" x14ac:dyDescent="0.2">
      <c r="DO63876" s="303" t="s">
        <v>232</v>
      </c>
    </row>
    <row r="63877" spans="119:119" x14ac:dyDescent="0.2">
      <c r="DO63877" s="303" t="s">
        <v>232</v>
      </c>
    </row>
    <row r="63878" spans="119:119" x14ac:dyDescent="0.2">
      <c r="DO63878" s="303" t="s">
        <v>232</v>
      </c>
    </row>
    <row r="63879" spans="119:119" x14ac:dyDescent="0.2">
      <c r="DO63879" s="303" t="s">
        <v>232</v>
      </c>
    </row>
    <row r="63880" spans="119:119" x14ac:dyDescent="0.2">
      <c r="DO63880" s="303" t="s">
        <v>232</v>
      </c>
    </row>
    <row r="63881" spans="119:119" x14ac:dyDescent="0.2">
      <c r="DO63881" s="303" t="s">
        <v>232</v>
      </c>
    </row>
    <row r="63882" spans="119:119" x14ac:dyDescent="0.2">
      <c r="DO63882" s="303" t="s">
        <v>232</v>
      </c>
    </row>
    <row r="63883" spans="119:119" x14ac:dyDescent="0.2">
      <c r="DO63883" s="303" t="s">
        <v>232</v>
      </c>
    </row>
    <row r="63884" spans="119:119" x14ac:dyDescent="0.2">
      <c r="DO63884" s="303" t="s">
        <v>232</v>
      </c>
    </row>
    <row r="63885" spans="119:119" x14ac:dyDescent="0.2">
      <c r="DO63885" s="303" t="s">
        <v>232</v>
      </c>
    </row>
    <row r="63886" spans="119:119" x14ac:dyDescent="0.2">
      <c r="DO63886" s="303" t="s">
        <v>232</v>
      </c>
    </row>
    <row r="63887" spans="119:119" x14ac:dyDescent="0.2">
      <c r="DO63887" s="303" t="s">
        <v>232</v>
      </c>
    </row>
    <row r="63888" spans="119:119" x14ac:dyDescent="0.2">
      <c r="DO63888" s="303" t="s">
        <v>232</v>
      </c>
    </row>
    <row r="63889" spans="119:119" x14ac:dyDescent="0.2">
      <c r="DO63889" s="303" t="s">
        <v>232</v>
      </c>
    </row>
    <row r="63890" spans="119:119" x14ac:dyDescent="0.2">
      <c r="DO63890" s="303" t="s">
        <v>232</v>
      </c>
    </row>
    <row r="63891" spans="119:119" x14ac:dyDescent="0.2">
      <c r="DO63891" s="303" t="s">
        <v>232</v>
      </c>
    </row>
    <row r="63892" spans="119:119" x14ac:dyDescent="0.2">
      <c r="DO63892" s="303" t="s">
        <v>232</v>
      </c>
    </row>
    <row r="63893" spans="119:119" x14ac:dyDescent="0.2">
      <c r="DO63893" s="303" t="s">
        <v>232</v>
      </c>
    </row>
    <row r="63894" spans="119:119" x14ac:dyDescent="0.2">
      <c r="DO63894" s="303" t="s">
        <v>232</v>
      </c>
    </row>
    <row r="63895" spans="119:119" x14ac:dyDescent="0.2">
      <c r="DO63895" s="303" t="s">
        <v>232</v>
      </c>
    </row>
    <row r="63896" spans="119:119" x14ac:dyDescent="0.2">
      <c r="DO63896" s="303" t="s">
        <v>232</v>
      </c>
    </row>
    <row r="63897" spans="119:119" x14ac:dyDescent="0.2">
      <c r="DO63897" s="303" t="s">
        <v>232</v>
      </c>
    </row>
    <row r="63898" spans="119:119" x14ac:dyDescent="0.2">
      <c r="DO63898" s="303" t="s">
        <v>232</v>
      </c>
    </row>
    <row r="63899" spans="119:119" x14ac:dyDescent="0.2">
      <c r="DO63899" s="303" t="s">
        <v>232</v>
      </c>
    </row>
    <row r="63900" spans="119:119" x14ac:dyDescent="0.2">
      <c r="DO63900" s="303" t="s">
        <v>232</v>
      </c>
    </row>
    <row r="63901" spans="119:119" x14ac:dyDescent="0.2">
      <c r="DO63901" s="303" t="s">
        <v>232</v>
      </c>
    </row>
    <row r="63902" spans="119:119" x14ac:dyDescent="0.2">
      <c r="DO63902" s="303" t="s">
        <v>232</v>
      </c>
    </row>
    <row r="63903" spans="119:119" x14ac:dyDescent="0.2">
      <c r="DO63903" s="303" t="s">
        <v>232</v>
      </c>
    </row>
    <row r="63904" spans="119:119" x14ac:dyDescent="0.2">
      <c r="DO63904" s="303" t="s">
        <v>232</v>
      </c>
    </row>
    <row r="63905" spans="119:119" x14ac:dyDescent="0.2">
      <c r="DO63905" s="303" t="s">
        <v>232</v>
      </c>
    </row>
    <row r="63906" spans="119:119" x14ac:dyDescent="0.2">
      <c r="DO63906" s="303" t="s">
        <v>232</v>
      </c>
    </row>
    <row r="63907" spans="119:119" x14ac:dyDescent="0.2">
      <c r="DO63907" s="303" t="s">
        <v>232</v>
      </c>
    </row>
    <row r="63908" spans="119:119" x14ac:dyDescent="0.2">
      <c r="DO63908" s="303" t="s">
        <v>232</v>
      </c>
    </row>
    <row r="63909" spans="119:119" x14ac:dyDescent="0.2">
      <c r="DO63909" s="303" t="s">
        <v>232</v>
      </c>
    </row>
    <row r="63910" spans="119:119" x14ac:dyDescent="0.2">
      <c r="DO63910" s="303" t="s">
        <v>232</v>
      </c>
    </row>
    <row r="63911" spans="119:119" x14ac:dyDescent="0.2">
      <c r="DO63911" s="303" t="s">
        <v>232</v>
      </c>
    </row>
    <row r="63912" spans="119:119" x14ac:dyDescent="0.2">
      <c r="DO63912" s="303" t="s">
        <v>232</v>
      </c>
    </row>
    <row r="63913" spans="119:119" x14ac:dyDescent="0.2">
      <c r="DO63913" s="303" t="s">
        <v>232</v>
      </c>
    </row>
    <row r="63914" spans="119:119" x14ac:dyDescent="0.2">
      <c r="DO63914" s="303" t="s">
        <v>232</v>
      </c>
    </row>
    <row r="63915" spans="119:119" x14ac:dyDescent="0.2">
      <c r="DO63915" s="303" t="s">
        <v>232</v>
      </c>
    </row>
    <row r="63916" spans="119:119" x14ac:dyDescent="0.2">
      <c r="DO63916" s="303" t="s">
        <v>232</v>
      </c>
    </row>
    <row r="63917" spans="119:119" x14ac:dyDescent="0.2">
      <c r="DO63917" s="303" t="s">
        <v>232</v>
      </c>
    </row>
    <row r="63918" spans="119:119" x14ac:dyDescent="0.2">
      <c r="DO63918" s="303" t="s">
        <v>232</v>
      </c>
    </row>
    <row r="63919" spans="119:119" x14ac:dyDescent="0.2">
      <c r="DO63919" s="303" t="s">
        <v>232</v>
      </c>
    </row>
    <row r="63920" spans="119:119" x14ac:dyDescent="0.2">
      <c r="DO63920" s="303" t="s">
        <v>232</v>
      </c>
    </row>
    <row r="63921" spans="119:119" x14ac:dyDescent="0.2">
      <c r="DO63921" s="303" t="s">
        <v>232</v>
      </c>
    </row>
    <row r="63922" spans="119:119" x14ac:dyDescent="0.2">
      <c r="DO63922" s="303" t="s">
        <v>232</v>
      </c>
    </row>
    <row r="63923" spans="119:119" x14ac:dyDescent="0.2">
      <c r="DO63923" s="303" t="s">
        <v>232</v>
      </c>
    </row>
    <row r="63924" spans="119:119" x14ac:dyDescent="0.2">
      <c r="DO63924" s="303" t="s">
        <v>232</v>
      </c>
    </row>
    <row r="63925" spans="119:119" x14ac:dyDescent="0.2">
      <c r="DO63925" s="303" t="s">
        <v>232</v>
      </c>
    </row>
    <row r="63926" spans="119:119" x14ac:dyDescent="0.2">
      <c r="DO63926" s="303" t="s">
        <v>232</v>
      </c>
    </row>
    <row r="63927" spans="119:119" x14ac:dyDescent="0.2">
      <c r="DO63927" s="303" t="s">
        <v>232</v>
      </c>
    </row>
    <row r="63928" spans="119:119" x14ac:dyDescent="0.2">
      <c r="DO63928" s="303" t="s">
        <v>232</v>
      </c>
    </row>
    <row r="63929" spans="119:119" x14ac:dyDescent="0.2">
      <c r="DO63929" s="303" t="s">
        <v>232</v>
      </c>
    </row>
    <row r="63930" spans="119:119" x14ac:dyDescent="0.2">
      <c r="DO63930" s="303" t="s">
        <v>232</v>
      </c>
    </row>
    <row r="63931" spans="119:119" x14ac:dyDescent="0.2">
      <c r="DO63931" s="303" t="s">
        <v>232</v>
      </c>
    </row>
    <row r="63932" spans="119:119" x14ac:dyDescent="0.2">
      <c r="DO63932" s="303" t="s">
        <v>232</v>
      </c>
    </row>
    <row r="63933" spans="119:119" x14ac:dyDescent="0.2">
      <c r="DO63933" s="303" t="s">
        <v>232</v>
      </c>
    </row>
    <row r="63934" spans="119:119" x14ac:dyDescent="0.2">
      <c r="DO63934" s="303" t="s">
        <v>232</v>
      </c>
    </row>
    <row r="63935" spans="119:119" x14ac:dyDescent="0.2">
      <c r="DO63935" s="303" t="s">
        <v>232</v>
      </c>
    </row>
    <row r="63936" spans="119:119" x14ac:dyDescent="0.2">
      <c r="DO63936" s="303" t="s">
        <v>232</v>
      </c>
    </row>
    <row r="63937" spans="119:119" x14ac:dyDescent="0.2">
      <c r="DO63937" s="303" t="s">
        <v>232</v>
      </c>
    </row>
    <row r="63938" spans="119:119" x14ac:dyDescent="0.2">
      <c r="DO63938" s="303" t="s">
        <v>232</v>
      </c>
    </row>
    <row r="63939" spans="119:119" x14ac:dyDescent="0.2">
      <c r="DO63939" s="303" t="s">
        <v>232</v>
      </c>
    </row>
    <row r="63940" spans="119:119" x14ac:dyDescent="0.2">
      <c r="DO63940" s="303" t="s">
        <v>232</v>
      </c>
    </row>
    <row r="63941" spans="119:119" x14ac:dyDescent="0.2">
      <c r="DO63941" s="303" t="s">
        <v>232</v>
      </c>
    </row>
    <row r="63942" spans="119:119" x14ac:dyDescent="0.2">
      <c r="DO63942" s="303" t="s">
        <v>232</v>
      </c>
    </row>
    <row r="63943" spans="119:119" x14ac:dyDescent="0.2">
      <c r="DO63943" s="303" t="s">
        <v>232</v>
      </c>
    </row>
    <row r="63944" spans="119:119" x14ac:dyDescent="0.2">
      <c r="DO63944" s="303" t="s">
        <v>232</v>
      </c>
    </row>
    <row r="63945" spans="119:119" x14ac:dyDescent="0.2">
      <c r="DO63945" s="303" t="s">
        <v>232</v>
      </c>
    </row>
    <row r="63946" spans="119:119" x14ac:dyDescent="0.2">
      <c r="DO63946" s="303" t="s">
        <v>232</v>
      </c>
    </row>
    <row r="63947" spans="119:119" x14ac:dyDescent="0.2">
      <c r="DO63947" s="303" t="s">
        <v>232</v>
      </c>
    </row>
    <row r="63948" spans="119:119" x14ac:dyDescent="0.2">
      <c r="DO63948" s="303" t="s">
        <v>232</v>
      </c>
    </row>
    <row r="63949" spans="119:119" x14ac:dyDescent="0.2">
      <c r="DO63949" s="303" t="s">
        <v>232</v>
      </c>
    </row>
    <row r="63950" spans="119:119" x14ac:dyDescent="0.2">
      <c r="DO63950" s="303" t="s">
        <v>232</v>
      </c>
    </row>
    <row r="63951" spans="119:119" x14ac:dyDescent="0.2">
      <c r="DO63951" s="303" t="s">
        <v>232</v>
      </c>
    </row>
    <row r="63952" spans="119:119" x14ac:dyDescent="0.2">
      <c r="DO63952" s="303" t="s">
        <v>232</v>
      </c>
    </row>
    <row r="63953" spans="119:119" x14ac:dyDescent="0.2">
      <c r="DO63953" s="303" t="s">
        <v>232</v>
      </c>
    </row>
    <row r="63954" spans="119:119" x14ac:dyDescent="0.2">
      <c r="DO63954" s="303" t="s">
        <v>232</v>
      </c>
    </row>
    <row r="63955" spans="119:119" x14ac:dyDescent="0.2">
      <c r="DO63955" s="303" t="s">
        <v>232</v>
      </c>
    </row>
    <row r="63956" spans="119:119" x14ac:dyDescent="0.2">
      <c r="DO63956" s="303" t="s">
        <v>232</v>
      </c>
    </row>
    <row r="63957" spans="119:119" x14ac:dyDescent="0.2">
      <c r="DO63957" s="303" t="s">
        <v>232</v>
      </c>
    </row>
    <row r="63958" spans="119:119" x14ac:dyDescent="0.2">
      <c r="DO63958" s="303" t="s">
        <v>232</v>
      </c>
    </row>
    <row r="63959" spans="119:119" x14ac:dyDescent="0.2">
      <c r="DO63959" s="303" t="s">
        <v>232</v>
      </c>
    </row>
    <row r="63960" spans="119:119" x14ac:dyDescent="0.2">
      <c r="DO63960" s="303" t="s">
        <v>232</v>
      </c>
    </row>
    <row r="63961" spans="119:119" x14ac:dyDescent="0.2">
      <c r="DO63961" s="303" t="s">
        <v>232</v>
      </c>
    </row>
    <row r="63962" spans="119:119" x14ac:dyDescent="0.2">
      <c r="DO63962" s="303" t="s">
        <v>232</v>
      </c>
    </row>
    <row r="63963" spans="119:119" x14ac:dyDescent="0.2">
      <c r="DO63963" s="303" t="s">
        <v>232</v>
      </c>
    </row>
    <row r="63964" spans="119:119" x14ac:dyDescent="0.2">
      <c r="DO63964" s="303" t="s">
        <v>232</v>
      </c>
    </row>
    <row r="63965" spans="119:119" x14ac:dyDescent="0.2">
      <c r="DO63965" s="303" t="s">
        <v>232</v>
      </c>
    </row>
    <row r="63966" spans="119:119" x14ac:dyDescent="0.2">
      <c r="DO63966" s="303" t="s">
        <v>232</v>
      </c>
    </row>
    <row r="63967" spans="119:119" x14ac:dyDescent="0.2">
      <c r="DO63967" s="303" t="s">
        <v>232</v>
      </c>
    </row>
    <row r="63968" spans="119:119" x14ac:dyDescent="0.2">
      <c r="DO63968" s="303" t="s">
        <v>232</v>
      </c>
    </row>
    <row r="63969" spans="119:119" x14ac:dyDescent="0.2">
      <c r="DO63969" s="303" t="s">
        <v>232</v>
      </c>
    </row>
    <row r="63970" spans="119:119" x14ac:dyDescent="0.2">
      <c r="DO63970" s="303" t="s">
        <v>232</v>
      </c>
    </row>
    <row r="63971" spans="119:119" x14ac:dyDescent="0.2">
      <c r="DO63971" s="303" t="s">
        <v>232</v>
      </c>
    </row>
    <row r="63972" spans="119:119" x14ac:dyDescent="0.2">
      <c r="DO63972" s="303" t="s">
        <v>232</v>
      </c>
    </row>
    <row r="63973" spans="119:119" x14ac:dyDescent="0.2">
      <c r="DO63973" s="303" t="s">
        <v>232</v>
      </c>
    </row>
    <row r="63974" spans="119:119" x14ac:dyDescent="0.2">
      <c r="DO63974" s="303" t="s">
        <v>232</v>
      </c>
    </row>
    <row r="63975" spans="119:119" x14ac:dyDescent="0.2">
      <c r="DO63975" s="303" t="s">
        <v>232</v>
      </c>
    </row>
    <row r="63976" spans="119:119" x14ac:dyDescent="0.2">
      <c r="DO63976" s="303" t="s">
        <v>232</v>
      </c>
    </row>
    <row r="63977" spans="119:119" x14ac:dyDescent="0.2">
      <c r="DO63977" s="303" t="s">
        <v>232</v>
      </c>
    </row>
    <row r="63978" spans="119:119" x14ac:dyDescent="0.2">
      <c r="DO63978" s="303" t="s">
        <v>232</v>
      </c>
    </row>
    <row r="63979" spans="119:119" x14ac:dyDescent="0.2">
      <c r="DO63979" s="303" t="s">
        <v>232</v>
      </c>
    </row>
    <row r="63980" spans="119:119" x14ac:dyDescent="0.2">
      <c r="DO63980" s="303" t="s">
        <v>232</v>
      </c>
    </row>
    <row r="63981" spans="119:119" x14ac:dyDescent="0.2">
      <c r="DO63981" s="303" t="s">
        <v>232</v>
      </c>
    </row>
    <row r="63982" spans="119:119" x14ac:dyDescent="0.2">
      <c r="DO63982" s="303" t="s">
        <v>232</v>
      </c>
    </row>
    <row r="63983" spans="119:119" x14ac:dyDescent="0.2">
      <c r="DO63983" s="303" t="s">
        <v>232</v>
      </c>
    </row>
    <row r="63984" spans="119:119" x14ac:dyDescent="0.2">
      <c r="DO63984" s="303" t="s">
        <v>232</v>
      </c>
    </row>
    <row r="63985" spans="119:119" x14ac:dyDescent="0.2">
      <c r="DO63985" s="303" t="s">
        <v>232</v>
      </c>
    </row>
    <row r="63986" spans="119:119" x14ac:dyDescent="0.2">
      <c r="DO63986" s="303" t="s">
        <v>232</v>
      </c>
    </row>
    <row r="63987" spans="119:119" x14ac:dyDescent="0.2">
      <c r="DO63987" s="303" t="s">
        <v>232</v>
      </c>
    </row>
    <row r="63988" spans="119:119" x14ac:dyDescent="0.2">
      <c r="DO63988" s="303" t="s">
        <v>232</v>
      </c>
    </row>
    <row r="63989" spans="119:119" x14ac:dyDescent="0.2">
      <c r="DO63989" s="303" t="s">
        <v>232</v>
      </c>
    </row>
    <row r="63990" spans="119:119" x14ac:dyDescent="0.2">
      <c r="DO63990" s="303" t="s">
        <v>232</v>
      </c>
    </row>
    <row r="63991" spans="119:119" x14ac:dyDescent="0.2">
      <c r="DO63991" s="303" t="s">
        <v>232</v>
      </c>
    </row>
    <row r="63992" spans="119:119" x14ac:dyDescent="0.2">
      <c r="DO63992" s="303" t="s">
        <v>232</v>
      </c>
    </row>
    <row r="63993" spans="119:119" x14ac:dyDescent="0.2">
      <c r="DO63993" s="303" t="s">
        <v>232</v>
      </c>
    </row>
    <row r="63994" spans="119:119" x14ac:dyDescent="0.2">
      <c r="DO63994" s="303" t="s">
        <v>232</v>
      </c>
    </row>
    <row r="63995" spans="119:119" x14ac:dyDescent="0.2">
      <c r="DO63995" s="303" t="s">
        <v>232</v>
      </c>
    </row>
    <row r="63996" spans="119:119" x14ac:dyDescent="0.2">
      <c r="DO63996" s="303" t="s">
        <v>232</v>
      </c>
    </row>
    <row r="63997" spans="119:119" x14ac:dyDescent="0.2">
      <c r="DO63997" s="303" t="s">
        <v>232</v>
      </c>
    </row>
    <row r="63998" spans="119:119" x14ac:dyDescent="0.2">
      <c r="DO63998" s="303" t="s">
        <v>232</v>
      </c>
    </row>
    <row r="63999" spans="119:119" x14ac:dyDescent="0.2">
      <c r="DO63999" s="303" t="s">
        <v>232</v>
      </c>
    </row>
    <row r="64000" spans="119:119" x14ac:dyDescent="0.2">
      <c r="DO64000" s="303" t="s">
        <v>232</v>
      </c>
    </row>
    <row r="64001" spans="119:119" x14ac:dyDescent="0.2">
      <c r="DO64001" s="303" t="s">
        <v>232</v>
      </c>
    </row>
    <row r="64002" spans="119:119" x14ac:dyDescent="0.2">
      <c r="DO64002" s="303" t="s">
        <v>232</v>
      </c>
    </row>
    <row r="64003" spans="119:119" x14ac:dyDescent="0.2">
      <c r="DO64003" s="303" t="s">
        <v>232</v>
      </c>
    </row>
    <row r="64004" spans="119:119" x14ac:dyDescent="0.2">
      <c r="DO64004" s="303" t="s">
        <v>232</v>
      </c>
    </row>
    <row r="64005" spans="119:119" x14ac:dyDescent="0.2">
      <c r="DO64005" s="303" t="s">
        <v>232</v>
      </c>
    </row>
    <row r="64006" spans="119:119" x14ac:dyDescent="0.2">
      <c r="DO64006" s="303" t="s">
        <v>232</v>
      </c>
    </row>
    <row r="64007" spans="119:119" x14ac:dyDescent="0.2">
      <c r="DO64007" s="303" t="s">
        <v>232</v>
      </c>
    </row>
    <row r="64008" spans="119:119" x14ac:dyDescent="0.2">
      <c r="DO64008" s="303" t="s">
        <v>232</v>
      </c>
    </row>
    <row r="64009" spans="119:119" x14ac:dyDescent="0.2">
      <c r="DO64009" s="303" t="s">
        <v>232</v>
      </c>
    </row>
    <row r="64010" spans="119:119" x14ac:dyDescent="0.2">
      <c r="DO64010" s="303" t="s">
        <v>232</v>
      </c>
    </row>
    <row r="64011" spans="119:119" x14ac:dyDescent="0.2">
      <c r="DO64011" s="303" t="s">
        <v>232</v>
      </c>
    </row>
    <row r="64012" spans="119:119" x14ac:dyDescent="0.2">
      <c r="DO64012" s="303" t="s">
        <v>232</v>
      </c>
    </row>
    <row r="64013" spans="119:119" x14ac:dyDescent="0.2">
      <c r="DO64013" s="303" t="s">
        <v>232</v>
      </c>
    </row>
    <row r="64014" spans="119:119" x14ac:dyDescent="0.2">
      <c r="DO64014" s="303" t="s">
        <v>232</v>
      </c>
    </row>
    <row r="64015" spans="119:119" x14ac:dyDescent="0.2">
      <c r="DO64015" s="303" t="s">
        <v>232</v>
      </c>
    </row>
    <row r="64016" spans="119:119" x14ac:dyDescent="0.2">
      <c r="DO64016" s="303" t="s">
        <v>232</v>
      </c>
    </row>
    <row r="64017" spans="119:119" x14ac:dyDescent="0.2">
      <c r="DO64017" s="303" t="s">
        <v>232</v>
      </c>
    </row>
    <row r="64018" spans="119:119" x14ac:dyDescent="0.2">
      <c r="DO64018" s="303" t="s">
        <v>232</v>
      </c>
    </row>
    <row r="64019" spans="119:119" x14ac:dyDescent="0.2">
      <c r="DO64019" s="303" t="s">
        <v>232</v>
      </c>
    </row>
    <row r="64020" spans="119:119" x14ac:dyDescent="0.2">
      <c r="DO64020" s="303" t="s">
        <v>232</v>
      </c>
    </row>
    <row r="64021" spans="119:119" x14ac:dyDescent="0.2">
      <c r="DO64021" s="303" t="s">
        <v>232</v>
      </c>
    </row>
    <row r="64022" spans="119:119" x14ac:dyDescent="0.2">
      <c r="DO64022" s="303" t="s">
        <v>232</v>
      </c>
    </row>
    <row r="64023" spans="119:119" x14ac:dyDescent="0.2">
      <c r="DO64023" s="303" t="s">
        <v>232</v>
      </c>
    </row>
    <row r="64024" spans="119:119" x14ac:dyDescent="0.2">
      <c r="DO64024" s="303" t="s">
        <v>232</v>
      </c>
    </row>
    <row r="64025" spans="119:119" x14ac:dyDescent="0.2">
      <c r="DO64025" s="303" t="s">
        <v>232</v>
      </c>
    </row>
    <row r="64026" spans="119:119" x14ac:dyDescent="0.2">
      <c r="DO64026" s="303" t="s">
        <v>232</v>
      </c>
    </row>
    <row r="64027" spans="119:119" x14ac:dyDescent="0.2">
      <c r="DO64027" s="303" t="s">
        <v>232</v>
      </c>
    </row>
    <row r="64028" spans="119:119" x14ac:dyDescent="0.2">
      <c r="DO64028" s="303" t="s">
        <v>232</v>
      </c>
    </row>
    <row r="64029" spans="119:119" x14ac:dyDescent="0.2">
      <c r="DO64029" s="303" t="s">
        <v>232</v>
      </c>
    </row>
    <row r="64030" spans="119:119" x14ac:dyDescent="0.2">
      <c r="DO64030" s="303" t="s">
        <v>232</v>
      </c>
    </row>
    <row r="64031" spans="119:119" x14ac:dyDescent="0.2">
      <c r="DO64031" s="303" t="s">
        <v>232</v>
      </c>
    </row>
    <row r="64032" spans="119:119" x14ac:dyDescent="0.2">
      <c r="DO64032" s="303" t="s">
        <v>232</v>
      </c>
    </row>
    <row r="64033" spans="119:119" x14ac:dyDescent="0.2">
      <c r="DO64033" s="303" t="s">
        <v>232</v>
      </c>
    </row>
    <row r="64034" spans="119:119" x14ac:dyDescent="0.2">
      <c r="DO64034" s="303" t="s">
        <v>232</v>
      </c>
    </row>
    <row r="64035" spans="119:119" x14ac:dyDescent="0.2">
      <c r="DO64035" s="303" t="s">
        <v>232</v>
      </c>
    </row>
    <row r="64036" spans="119:119" x14ac:dyDescent="0.2">
      <c r="DO64036" s="303" t="s">
        <v>232</v>
      </c>
    </row>
    <row r="64037" spans="119:119" x14ac:dyDescent="0.2">
      <c r="DO64037" s="303" t="s">
        <v>232</v>
      </c>
    </row>
    <row r="64038" spans="119:119" x14ac:dyDescent="0.2">
      <c r="DO64038" s="303" t="s">
        <v>232</v>
      </c>
    </row>
    <row r="64039" spans="119:119" x14ac:dyDescent="0.2">
      <c r="DO64039" s="303" t="s">
        <v>232</v>
      </c>
    </row>
    <row r="64040" spans="119:119" x14ac:dyDescent="0.2">
      <c r="DO64040" s="303" t="s">
        <v>232</v>
      </c>
    </row>
    <row r="64041" spans="119:119" x14ac:dyDescent="0.2">
      <c r="DO64041" s="303" t="s">
        <v>232</v>
      </c>
    </row>
    <row r="64042" spans="119:119" x14ac:dyDescent="0.2">
      <c r="DO64042" s="303" t="s">
        <v>232</v>
      </c>
    </row>
    <row r="64043" spans="119:119" x14ac:dyDescent="0.2">
      <c r="DO64043" s="303" t="s">
        <v>232</v>
      </c>
    </row>
    <row r="64044" spans="119:119" x14ac:dyDescent="0.2">
      <c r="DO64044" s="303" t="s">
        <v>232</v>
      </c>
    </row>
    <row r="64045" spans="119:119" x14ac:dyDescent="0.2">
      <c r="DO64045" s="303" t="s">
        <v>232</v>
      </c>
    </row>
    <row r="64046" spans="119:119" x14ac:dyDescent="0.2">
      <c r="DO64046" s="303" t="s">
        <v>232</v>
      </c>
    </row>
    <row r="64047" spans="119:119" x14ac:dyDescent="0.2">
      <c r="DO64047" s="303" t="s">
        <v>232</v>
      </c>
    </row>
    <row r="64048" spans="119:119" x14ac:dyDescent="0.2">
      <c r="DO64048" s="303" t="s">
        <v>232</v>
      </c>
    </row>
    <row r="64049" spans="119:119" x14ac:dyDescent="0.2">
      <c r="DO64049" s="303" t="s">
        <v>232</v>
      </c>
    </row>
    <row r="64050" spans="119:119" x14ac:dyDescent="0.2">
      <c r="DO64050" s="303" t="s">
        <v>232</v>
      </c>
    </row>
    <row r="64051" spans="119:119" x14ac:dyDescent="0.2">
      <c r="DO64051" s="303" t="s">
        <v>232</v>
      </c>
    </row>
    <row r="64052" spans="119:119" x14ac:dyDescent="0.2">
      <c r="DO64052" s="303" t="s">
        <v>232</v>
      </c>
    </row>
    <row r="64053" spans="119:119" x14ac:dyDescent="0.2">
      <c r="DO64053" s="303" t="s">
        <v>232</v>
      </c>
    </row>
    <row r="64054" spans="119:119" x14ac:dyDescent="0.2">
      <c r="DO64054" s="303" t="s">
        <v>232</v>
      </c>
    </row>
    <row r="64055" spans="119:119" x14ac:dyDescent="0.2">
      <c r="DO64055" s="303" t="s">
        <v>232</v>
      </c>
    </row>
    <row r="64056" spans="119:119" x14ac:dyDescent="0.2">
      <c r="DO64056" s="303" t="s">
        <v>232</v>
      </c>
    </row>
    <row r="64057" spans="119:119" x14ac:dyDescent="0.2">
      <c r="DO64057" s="303" t="s">
        <v>232</v>
      </c>
    </row>
    <row r="64058" spans="119:119" x14ac:dyDescent="0.2">
      <c r="DO64058" s="303" t="s">
        <v>232</v>
      </c>
    </row>
    <row r="64059" spans="119:119" x14ac:dyDescent="0.2">
      <c r="DO64059" s="303" t="s">
        <v>232</v>
      </c>
    </row>
    <row r="64060" spans="119:119" x14ac:dyDescent="0.2">
      <c r="DO64060" s="303" t="s">
        <v>232</v>
      </c>
    </row>
    <row r="64061" spans="119:119" x14ac:dyDescent="0.2">
      <c r="DO64061" s="303" t="s">
        <v>232</v>
      </c>
    </row>
    <row r="64062" spans="119:119" x14ac:dyDescent="0.2">
      <c r="DO64062" s="303" t="s">
        <v>232</v>
      </c>
    </row>
    <row r="64063" spans="119:119" x14ac:dyDescent="0.2">
      <c r="DO64063" s="303" t="s">
        <v>232</v>
      </c>
    </row>
    <row r="64064" spans="119:119" x14ac:dyDescent="0.2">
      <c r="DO64064" s="303" t="s">
        <v>232</v>
      </c>
    </row>
    <row r="64065" spans="119:119" x14ac:dyDescent="0.2">
      <c r="DO64065" s="303" t="s">
        <v>232</v>
      </c>
    </row>
    <row r="64066" spans="119:119" x14ac:dyDescent="0.2">
      <c r="DO64066" s="303" t="s">
        <v>232</v>
      </c>
    </row>
    <row r="64067" spans="119:119" x14ac:dyDescent="0.2">
      <c r="DO64067" s="303" t="s">
        <v>232</v>
      </c>
    </row>
    <row r="64068" spans="119:119" x14ac:dyDescent="0.2">
      <c r="DO64068" s="303" t="s">
        <v>232</v>
      </c>
    </row>
    <row r="64069" spans="119:119" x14ac:dyDescent="0.2">
      <c r="DO64069" s="303" t="s">
        <v>232</v>
      </c>
    </row>
    <row r="64070" spans="119:119" x14ac:dyDescent="0.2">
      <c r="DO64070" s="303" t="s">
        <v>232</v>
      </c>
    </row>
    <row r="64071" spans="119:119" x14ac:dyDescent="0.2">
      <c r="DO64071" s="303" t="s">
        <v>232</v>
      </c>
    </row>
    <row r="64072" spans="119:119" x14ac:dyDescent="0.2">
      <c r="DO64072" s="303" t="s">
        <v>232</v>
      </c>
    </row>
    <row r="64073" spans="119:119" x14ac:dyDescent="0.2">
      <c r="DO64073" s="303" t="s">
        <v>232</v>
      </c>
    </row>
    <row r="64074" spans="119:119" x14ac:dyDescent="0.2">
      <c r="DO64074" s="303" t="s">
        <v>232</v>
      </c>
    </row>
    <row r="64075" spans="119:119" x14ac:dyDescent="0.2">
      <c r="DO64075" s="303" t="s">
        <v>232</v>
      </c>
    </row>
    <row r="64076" spans="119:119" x14ac:dyDescent="0.2">
      <c r="DO64076" s="303" t="s">
        <v>232</v>
      </c>
    </row>
    <row r="64077" spans="119:119" x14ac:dyDescent="0.2">
      <c r="DO64077" s="303" t="s">
        <v>232</v>
      </c>
    </row>
    <row r="64078" spans="119:119" x14ac:dyDescent="0.2">
      <c r="DO64078" s="303" t="s">
        <v>232</v>
      </c>
    </row>
    <row r="64079" spans="119:119" x14ac:dyDescent="0.2">
      <c r="DO64079" s="303" t="s">
        <v>232</v>
      </c>
    </row>
    <row r="64080" spans="119:119" x14ac:dyDescent="0.2">
      <c r="DO64080" s="303" t="s">
        <v>232</v>
      </c>
    </row>
    <row r="64081" spans="119:119" x14ac:dyDescent="0.2">
      <c r="DO64081" s="303" t="s">
        <v>232</v>
      </c>
    </row>
    <row r="64082" spans="119:119" x14ac:dyDescent="0.2">
      <c r="DO64082" s="303" t="s">
        <v>232</v>
      </c>
    </row>
    <row r="64083" spans="119:119" x14ac:dyDescent="0.2">
      <c r="DO64083" s="303" t="s">
        <v>232</v>
      </c>
    </row>
    <row r="64084" spans="119:119" x14ac:dyDescent="0.2">
      <c r="DO64084" s="303" t="s">
        <v>232</v>
      </c>
    </row>
    <row r="64085" spans="119:119" x14ac:dyDescent="0.2">
      <c r="DO64085" s="303" t="s">
        <v>232</v>
      </c>
    </row>
    <row r="64086" spans="119:119" x14ac:dyDescent="0.2">
      <c r="DO64086" s="303" t="s">
        <v>232</v>
      </c>
    </row>
    <row r="64087" spans="119:119" x14ac:dyDescent="0.2">
      <c r="DO64087" s="303" t="s">
        <v>232</v>
      </c>
    </row>
    <row r="64088" spans="119:119" x14ac:dyDescent="0.2">
      <c r="DO64088" s="303" t="s">
        <v>232</v>
      </c>
    </row>
    <row r="64089" spans="119:119" x14ac:dyDescent="0.2">
      <c r="DO64089" s="303" t="s">
        <v>232</v>
      </c>
    </row>
    <row r="64090" spans="119:119" x14ac:dyDescent="0.2">
      <c r="DO64090" s="303" t="s">
        <v>232</v>
      </c>
    </row>
    <row r="64091" spans="119:119" x14ac:dyDescent="0.2">
      <c r="DO64091" s="303" t="s">
        <v>232</v>
      </c>
    </row>
    <row r="64092" spans="119:119" x14ac:dyDescent="0.2">
      <c r="DO64092" s="303" t="s">
        <v>232</v>
      </c>
    </row>
    <row r="64093" spans="119:119" x14ac:dyDescent="0.2">
      <c r="DO64093" s="303" t="s">
        <v>232</v>
      </c>
    </row>
    <row r="64094" spans="119:119" x14ac:dyDescent="0.2">
      <c r="DO64094" s="303" t="s">
        <v>232</v>
      </c>
    </row>
    <row r="64095" spans="119:119" x14ac:dyDescent="0.2">
      <c r="DO64095" s="303" t="s">
        <v>232</v>
      </c>
    </row>
    <row r="64096" spans="119:119" x14ac:dyDescent="0.2">
      <c r="DO64096" s="303" t="s">
        <v>232</v>
      </c>
    </row>
    <row r="64097" spans="119:119" x14ac:dyDescent="0.2">
      <c r="DO64097" s="303" t="s">
        <v>232</v>
      </c>
    </row>
    <row r="64098" spans="119:119" x14ac:dyDescent="0.2">
      <c r="DO64098" s="303" t="s">
        <v>232</v>
      </c>
    </row>
    <row r="64099" spans="119:119" x14ac:dyDescent="0.2">
      <c r="DO64099" s="303" t="s">
        <v>232</v>
      </c>
    </row>
    <row r="64100" spans="119:119" x14ac:dyDescent="0.2">
      <c r="DO64100" s="303" t="s">
        <v>232</v>
      </c>
    </row>
    <row r="64101" spans="119:119" x14ac:dyDescent="0.2">
      <c r="DO64101" s="303" t="s">
        <v>232</v>
      </c>
    </row>
    <row r="64102" spans="119:119" x14ac:dyDescent="0.2">
      <c r="DO64102" s="303" t="s">
        <v>232</v>
      </c>
    </row>
    <row r="64103" spans="119:119" x14ac:dyDescent="0.2">
      <c r="DO64103" s="303" t="s">
        <v>232</v>
      </c>
    </row>
    <row r="64104" spans="119:119" x14ac:dyDescent="0.2">
      <c r="DO64104" s="303" t="s">
        <v>232</v>
      </c>
    </row>
    <row r="64105" spans="119:119" x14ac:dyDescent="0.2">
      <c r="DO64105" s="303" t="s">
        <v>232</v>
      </c>
    </row>
    <row r="64106" spans="119:119" x14ac:dyDescent="0.2">
      <c r="DO64106" s="303" t="s">
        <v>232</v>
      </c>
    </row>
    <row r="64107" spans="119:119" x14ac:dyDescent="0.2">
      <c r="DO64107" s="303" t="s">
        <v>232</v>
      </c>
    </row>
    <row r="64108" spans="119:119" x14ac:dyDescent="0.2">
      <c r="DO64108" s="303" t="s">
        <v>232</v>
      </c>
    </row>
    <row r="64109" spans="119:119" x14ac:dyDescent="0.2">
      <c r="DO64109" s="303" t="s">
        <v>232</v>
      </c>
    </row>
    <row r="64110" spans="119:119" x14ac:dyDescent="0.2">
      <c r="DO64110" s="303" t="s">
        <v>232</v>
      </c>
    </row>
    <row r="64111" spans="119:119" x14ac:dyDescent="0.2">
      <c r="DO64111" s="303" t="s">
        <v>232</v>
      </c>
    </row>
    <row r="64112" spans="119:119" x14ac:dyDescent="0.2">
      <c r="DO64112" s="303" t="s">
        <v>232</v>
      </c>
    </row>
    <row r="64113" spans="119:119" x14ac:dyDescent="0.2">
      <c r="DO64113" s="303" t="s">
        <v>232</v>
      </c>
    </row>
    <row r="64114" spans="119:119" x14ac:dyDescent="0.2">
      <c r="DO64114" s="303" t="s">
        <v>232</v>
      </c>
    </row>
    <row r="64115" spans="119:119" x14ac:dyDescent="0.2">
      <c r="DO64115" s="303" t="s">
        <v>232</v>
      </c>
    </row>
    <row r="64116" spans="119:119" x14ac:dyDescent="0.2">
      <c r="DO64116" s="303" t="s">
        <v>232</v>
      </c>
    </row>
    <row r="64117" spans="119:119" x14ac:dyDescent="0.2">
      <c r="DO64117" s="303" t="s">
        <v>232</v>
      </c>
    </row>
    <row r="64118" spans="119:119" x14ac:dyDescent="0.2">
      <c r="DO64118" s="303" t="s">
        <v>232</v>
      </c>
    </row>
    <row r="64119" spans="119:119" x14ac:dyDescent="0.2">
      <c r="DO64119" s="303" t="s">
        <v>232</v>
      </c>
    </row>
    <row r="64120" spans="119:119" x14ac:dyDescent="0.2">
      <c r="DO64120" s="303" t="s">
        <v>232</v>
      </c>
    </row>
    <row r="64121" spans="119:119" x14ac:dyDescent="0.2">
      <c r="DO64121" s="303" t="s">
        <v>232</v>
      </c>
    </row>
    <row r="64122" spans="119:119" x14ac:dyDescent="0.2">
      <c r="DO64122" s="303" t="s">
        <v>232</v>
      </c>
    </row>
    <row r="64123" spans="119:119" x14ac:dyDescent="0.2">
      <c r="DO64123" s="303" t="s">
        <v>232</v>
      </c>
    </row>
    <row r="64124" spans="119:119" x14ac:dyDescent="0.2">
      <c r="DO64124" s="303" t="s">
        <v>232</v>
      </c>
    </row>
    <row r="64125" spans="119:119" x14ac:dyDescent="0.2">
      <c r="DO64125" s="303" t="s">
        <v>232</v>
      </c>
    </row>
    <row r="64126" spans="119:119" x14ac:dyDescent="0.2">
      <c r="DO64126" s="303" t="s">
        <v>232</v>
      </c>
    </row>
    <row r="64127" spans="119:119" x14ac:dyDescent="0.2">
      <c r="DO64127" s="303" t="s">
        <v>232</v>
      </c>
    </row>
    <row r="64128" spans="119:119" x14ac:dyDescent="0.2">
      <c r="DO64128" s="303" t="s">
        <v>232</v>
      </c>
    </row>
    <row r="64129" spans="119:119" x14ac:dyDescent="0.2">
      <c r="DO64129" s="303" t="s">
        <v>232</v>
      </c>
    </row>
    <row r="64130" spans="119:119" x14ac:dyDescent="0.2">
      <c r="DO64130" s="303" t="s">
        <v>232</v>
      </c>
    </row>
    <row r="64131" spans="119:119" x14ac:dyDescent="0.2">
      <c r="DO64131" s="303" t="s">
        <v>232</v>
      </c>
    </row>
    <row r="64132" spans="119:119" x14ac:dyDescent="0.2">
      <c r="DO64132" s="303" t="s">
        <v>232</v>
      </c>
    </row>
    <row r="64133" spans="119:119" x14ac:dyDescent="0.2">
      <c r="DO64133" s="303" t="s">
        <v>232</v>
      </c>
    </row>
    <row r="64134" spans="119:119" x14ac:dyDescent="0.2">
      <c r="DO64134" s="303" t="s">
        <v>232</v>
      </c>
    </row>
    <row r="64135" spans="119:119" x14ac:dyDescent="0.2">
      <c r="DO64135" s="303" t="s">
        <v>232</v>
      </c>
    </row>
    <row r="64136" spans="119:119" x14ac:dyDescent="0.2">
      <c r="DO64136" s="303" t="s">
        <v>232</v>
      </c>
    </row>
    <row r="64137" spans="119:119" x14ac:dyDescent="0.2">
      <c r="DO64137" s="303" t="s">
        <v>232</v>
      </c>
    </row>
    <row r="64138" spans="119:119" x14ac:dyDescent="0.2">
      <c r="DO64138" s="303" t="s">
        <v>232</v>
      </c>
    </row>
    <row r="64139" spans="119:119" x14ac:dyDescent="0.2">
      <c r="DO64139" s="303" t="s">
        <v>232</v>
      </c>
    </row>
    <row r="64140" spans="119:119" x14ac:dyDescent="0.2">
      <c r="DO64140" s="303" t="s">
        <v>232</v>
      </c>
    </row>
    <row r="64141" spans="119:119" x14ac:dyDescent="0.2">
      <c r="DO64141" s="303" t="s">
        <v>232</v>
      </c>
    </row>
    <row r="64142" spans="119:119" x14ac:dyDescent="0.2">
      <c r="DO64142" s="303" t="s">
        <v>232</v>
      </c>
    </row>
    <row r="64143" spans="119:119" x14ac:dyDescent="0.2">
      <c r="DO64143" s="303" t="s">
        <v>232</v>
      </c>
    </row>
    <row r="64144" spans="119:119" x14ac:dyDescent="0.2">
      <c r="DO64144" s="303" t="s">
        <v>232</v>
      </c>
    </row>
    <row r="64145" spans="119:119" x14ac:dyDescent="0.2">
      <c r="DO64145" s="303" t="s">
        <v>232</v>
      </c>
    </row>
    <row r="64146" spans="119:119" x14ac:dyDescent="0.2">
      <c r="DO64146" s="303" t="s">
        <v>232</v>
      </c>
    </row>
    <row r="64147" spans="119:119" x14ac:dyDescent="0.2">
      <c r="DO64147" s="303" t="s">
        <v>232</v>
      </c>
    </row>
    <row r="64148" spans="119:119" x14ac:dyDescent="0.2">
      <c r="DO64148" s="303" t="s">
        <v>232</v>
      </c>
    </row>
    <row r="64149" spans="119:119" x14ac:dyDescent="0.2">
      <c r="DO64149" s="303" t="s">
        <v>232</v>
      </c>
    </row>
    <row r="64150" spans="119:119" x14ac:dyDescent="0.2">
      <c r="DO64150" s="303" t="s">
        <v>232</v>
      </c>
    </row>
    <row r="64151" spans="119:119" x14ac:dyDescent="0.2">
      <c r="DO64151" s="303" t="s">
        <v>232</v>
      </c>
    </row>
    <row r="64152" spans="119:119" x14ac:dyDescent="0.2">
      <c r="DO64152" s="303" t="s">
        <v>232</v>
      </c>
    </row>
    <row r="64153" spans="119:119" x14ac:dyDescent="0.2">
      <c r="DO64153" s="303" t="s">
        <v>232</v>
      </c>
    </row>
    <row r="64154" spans="119:119" x14ac:dyDescent="0.2">
      <c r="DO64154" s="303" t="s">
        <v>232</v>
      </c>
    </row>
    <row r="64155" spans="119:119" x14ac:dyDescent="0.2">
      <c r="DO64155" s="303" t="s">
        <v>232</v>
      </c>
    </row>
    <row r="64156" spans="119:119" x14ac:dyDescent="0.2">
      <c r="DO64156" s="303" t="s">
        <v>232</v>
      </c>
    </row>
    <row r="64157" spans="119:119" x14ac:dyDescent="0.2">
      <c r="DO64157" s="303" t="s">
        <v>232</v>
      </c>
    </row>
    <row r="64158" spans="119:119" x14ac:dyDescent="0.2">
      <c r="DO64158" s="303" t="s">
        <v>232</v>
      </c>
    </row>
    <row r="64159" spans="119:119" x14ac:dyDescent="0.2">
      <c r="DO64159" s="303" t="s">
        <v>232</v>
      </c>
    </row>
    <row r="64160" spans="119:119" x14ac:dyDescent="0.2">
      <c r="DO64160" s="303" t="s">
        <v>232</v>
      </c>
    </row>
    <row r="64161" spans="119:119" x14ac:dyDescent="0.2">
      <c r="DO64161" s="303" t="s">
        <v>232</v>
      </c>
    </row>
    <row r="64162" spans="119:119" x14ac:dyDescent="0.2">
      <c r="DO64162" s="303" t="s">
        <v>232</v>
      </c>
    </row>
    <row r="64163" spans="119:119" x14ac:dyDescent="0.2">
      <c r="DO64163" s="303" t="s">
        <v>232</v>
      </c>
    </row>
    <row r="64164" spans="119:119" x14ac:dyDescent="0.2">
      <c r="DO64164" s="303" t="s">
        <v>232</v>
      </c>
    </row>
    <row r="64165" spans="119:119" x14ac:dyDescent="0.2">
      <c r="DO64165" s="303" t="s">
        <v>232</v>
      </c>
    </row>
    <row r="64166" spans="119:119" x14ac:dyDescent="0.2">
      <c r="DO64166" s="303" t="s">
        <v>232</v>
      </c>
    </row>
    <row r="64167" spans="119:119" x14ac:dyDescent="0.2">
      <c r="DO64167" s="303" t="s">
        <v>232</v>
      </c>
    </row>
    <row r="64168" spans="119:119" x14ac:dyDescent="0.2">
      <c r="DO64168" s="303" t="s">
        <v>232</v>
      </c>
    </row>
    <row r="64169" spans="119:119" x14ac:dyDescent="0.2">
      <c r="DO64169" s="303" t="s">
        <v>232</v>
      </c>
    </row>
    <row r="64170" spans="119:119" x14ac:dyDescent="0.2">
      <c r="DO64170" s="303" t="s">
        <v>232</v>
      </c>
    </row>
    <row r="64171" spans="119:119" x14ac:dyDescent="0.2">
      <c r="DO64171" s="303" t="s">
        <v>232</v>
      </c>
    </row>
    <row r="64172" spans="119:119" x14ac:dyDescent="0.2">
      <c r="DO64172" s="303" t="s">
        <v>232</v>
      </c>
    </row>
    <row r="64173" spans="119:119" x14ac:dyDescent="0.2">
      <c r="DO64173" s="303" t="s">
        <v>232</v>
      </c>
    </row>
    <row r="64174" spans="119:119" x14ac:dyDescent="0.2">
      <c r="DO64174" s="303" t="s">
        <v>232</v>
      </c>
    </row>
    <row r="64175" spans="119:119" x14ac:dyDescent="0.2">
      <c r="DO64175" s="303" t="s">
        <v>232</v>
      </c>
    </row>
    <row r="64176" spans="119:119" x14ac:dyDescent="0.2">
      <c r="DO64176" s="303" t="s">
        <v>232</v>
      </c>
    </row>
    <row r="64177" spans="119:119" x14ac:dyDescent="0.2">
      <c r="DO64177" s="303" t="s">
        <v>232</v>
      </c>
    </row>
    <row r="64178" spans="119:119" x14ac:dyDescent="0.2">
      <c r="DO64178" s="303" t="s">
        <v>232</v>
      </c>
    </row>
    <row r="64179" spans="119:119" x14ac:dyDescent="0.2">
      <c r="DO64179" s="303" t="s">
        <v>232</v>
      </c>
    </row>
    <row r="64180" spans="119:119" x14ac:dyDescent="0.2">
      <c r="DO64180" s="303" t="s">
        <v>232</v>
      </c>
    </row>
    <row r="64181" spans="119:119" x14ac:dyDescent="0.2">
      <c r="DO64181" s="303" t="s">
        <v>232</v>
      </c>
    </row>
    <row r="64182" spans="119:119" x14ac:dyDescent="0.2">
      <c r="DO64182" s="303" t="s">
        <v>232</v>
      </c>
    </row>
    <row r="64183" spans="119:119" x14ac:dyDescent="0.2">
      <c r="DO64183" s="303" t="s">
        <v>232</v>
      </c>
    </row>
    <row r="64184" spans="119:119" x14ac:dyDescent="0.2">
      <c r="DO64184" s="303" t="s">
        <v>232</v>
      </c>
    </row>
    <row r="64185" spans="119:119" x14ac:dyDescent="0.2">
      <c r="DO64185" s="303" t="s">
        <v>232</v>
      </c>
    </row>
    <row r="64186" spans="119:119" x14ac:dyDescent="0.2">
      <c r="DO64186" s="303" t="s">
        <v>232</v>
      </c>
    </row>
    <row r="64187" spans="119:119" x14ac:dyDescent="0.2">
      <c r="DO64187" s="303" t="s">
        <v>232</v>
      </c>
    </row>
    <row r="64188" spans="119:119" x14ac:dyDescent="0.2">
      <c r="DO64188" s="303" t="s">
        <v>232</v>
      </c>
    </row>
    <row r="64189" spans="119:119" x14ac:dyDescent="0.2">
      <c r="DO64189" s="303" t="s">
        <v>232</v>
      </c>
    </row>
    <row r="64190" spans="119:119" x14ac:dyDescent="0.2">
      <c r="DO64190" s="303" t="s">
        <v>232</v>
      </c>
    </row>
    <row r="64191" spans="119:119" x14ac:dyDescent="0.2">
      <c r="DO64191" s="303" t="s">
        <v>232</v>
      </c>
    </row>
    <row r="64192" spans="119:119" x14ac:dyDescent="0.2">
      <c r="DO64192" s="303" t="s">
        <v>232</v>
      </c>
    </row>
    <row r="64193" spans="119:119" x14ac:dyDescent="0.2">
      <c r="DO64193" s="303" t="s">
        <v>232</v>
      </c>
    </row>
    <row r="64194" spans="119:119" x14ac:dyDescent="0.2">
      <c r="DO64194" s="303" t="s">
        <v>232</v>
      </c>
    </row>
    <row r="64195" spans="119:119" x14ac:dyDescent="0.2">
      <c r="DO64195" s="303" t="s">
        <v>232</v>
      </c>
    </row>
    <row r="64196" spans="119:119" x14ac:dyDescent="0.2">
      <c r="DO64196" s="303" t="s">
        <v>232</v>
      </c>
    </row>
    <row r="64197" spans="119:119" x14ac:dyDescent="0.2">
      <c r="DO64197" s="303" t="s">
        <v>232</v>
      </c>
    </row>
    <row r="64198" spans="119:119" x14ac:dyDescent="0.2">
      <c r="DO64198" s="303" t="s">
        <v>232</v>
      </c>
    </row>
    <row r="64199" spans="119:119" x14ac:dyDescent="0.2">
      <c r="DO64199" s="303" t="s">
        <v>232</v>
      </c>
    </row>
    <row r="64200" spans="119:119" x14ac:dyDescent="0.2">
      <c r="DO64200" s="303" t="s">
        <v>232</v>
      </c>
    </row>
    <row r="64201" spans="119:119" x14ac:dyDescent="0.2">
      <c r="DO64201" s="303" t="s">
        <v>232</v>
      </c>
    </row>
    <row r="64202" spans="119:119" x14ac:dyDescent="0.2">
      <c r="DO64202" s="303" t="s">
        <v>232</v>
      </c>
    </row>
    <row r="64203" spans="119:119" x14ac:dyDescent="0.2">
      <c r="DO64203" s="303" t="s">
        <v>232</v>
      </c>
    </row>
    <row r="64204" spans="119:119" x14ac:dyDescent="0.2">
      <c r="DO64204" s="303" t="s">
        <v>232</v>
      </c>
    </row>
    <row r="64205" spans="119:119" x14ac:dyDescent="0.2">
      <c r="DO64205" s="303" t="s">
        <v>232</v>
      </c>
    </row>
    <row r="64206" spans="119:119" x14ac:dyDescent="0.2">
      <c r="DO64206" s="303" t="s">
        <v>232</v>
      </c>
    </row>
    <row r="64207" spans="119:119" x14ac:dyDescent="0.2">
      <c r="DO64207" s="303" t="s">
        <v>232</v>
      </c>
    </row>
    <row r="64208" spans="119:119" x14ac:dyDescent="0.2">
      <c r="DO64208" s="303" t="s">
        <v>232</v>
      </c>
    </row>
    <row r="64209" spans="119:119" x14ac:dyDescent="0.2">
      <c r="DO64209" s="303" t="s">
        <v>232</v>
      </c>
    </row>
    <row r="64210" spans="119:119" x14ac:dyDescent="0.2">
      <c r="DO64210" s="303" t="s">
        <v>232</v>
      </c>
    </row>
    <row r="64211" spans="119:119" x14ac:dyDescent="0.2">
      <c r="DO64211" s="303" t="s">
        <v>232</v>
      </c>
    </row>
    <row r="64212" spans="119:119" x14ac:dyDescent="0.2">
      <c r="DO64212" s="303" t="s">
        <v>232</v>
      </c>
    </row>
    <row r="64213" spans="119:119" x14ac:dyDescent="0.2">
      <c r="DO64213" s="303" t="s">
        <v>232</v>
      </c>
    </row>
    <row r="64214" spans="119:119" x14ac:dyDescent="0.2">
      <c r="DO64214" s="303" t="s">
        <v>232</v>
      </c>
    </row>
    <row r="64215" spans="119:119" x14ac:dyDescent="0.2">
      <c r="DO64215" s="303" t="s">
        <v>232</v>
      </c>
    </row>
    <row r="64216" spans="119:119" x14ac:dyDescent="0.2">
      <c r="DO64216" s="303" t="s">
        <v>232</v>
      </c>
    </row>
    <row r="64217" spans="119:119" x14ac:dyDescent="0.2">
      <c r="DO64217" s="303" t="s">
        <v>232</v>
      </c>
    </row>
    <row r="64218" spans="119:119" x14ac:dyDescent="0.2">
      <c r="DO64218" s="303" t="s">
        <v>232</v>
      </c>
    </row>
    <row r="64219" spans="119:119" x14ac:dyDescent="0.2">
      <c r="DO64219" s="303" t="s">
        <v>232</v>
      </c>
    </row>
    <row r="64220" spans="119:119" x14ac:dyDescent="0.2">
      <c r="DO64220" s="303" t="s">
        <v>232</v>
      </c>
    </row>
    <row r="64221" spans="119:119" x14ac:dyDescent="0.2">
      <c r="DO64221" s="303" t="s">
        <v>232</v>
      </c>
    </row>
    <row r="64222" spans="119:119" x14ac:dyDescent="0.2">
      <c r="DO64222" s="303" t="s">
        <v>232</v>
      </c>
    </row>
    <row r="64223" spans="119:119" x14ac:dyDescent="0.2">
      <c r="DO64223" s="303" t="s">
        <v>232</v>
      </c>
    </row>
    <row r="64224" spans="119:119" x14ac:dyDescent="0.2">
      <c r="DO64224" s="303" t="s">
        <v>232</v>
      </c>
    </row>
    <row r="64225" spans="119:119" x14ac:dyDescent="0.2">
      <c r="DO64225" s="303" t="s">
        <v>232</v>
      </c>
    </row>
    <row r="64226" spans="119:119" x14ac:dyDescent="0.2">
      <c r="DO64226" s="303" t="s">
        <v>232</v>
      </c>
    </row>
    <row r="64227" spans="119:119" x14ac:dyDescent="0.2">
      <c r="DO64227" s="303" t="s">
        <v>232</v>
      </c>
    </row>
    <row r="64228" spans="119:119" x14ac:dyDescent="0.2">
      <c r="DO64228" s="303" t="s">
        <v>232</v>
      </c>
    </row>
    <row r="64229" spans="119:119" x14ac:dyDescent="0.2">
      <c r="DO64229" s="303" t="s">
        <v>232</v>
      </c>
    </row>
    <row r="64230" spans="119:119" x14ac:dyDescent="0.2">
      <c r="DO64230" s="303" t="s">
        <v>232</v>
      </c>
    </row>
    <row r="64231" spans="119:119" x14ac:dyDescent="0.2">
      <c r="DO64231" s="303" t="s">
        <v>232</v>
      </c>
    </row>
    <row r="64232" spans="119:119" x14ac:dyDescent="0.2">
      <c r="DO64232" s="303" t="s">
        <v>232</v>
      </c>
    </row>
    <row r="64233" spans="119:119" x14ac:dyDescent="0.2">
      <c r="DO64233" s="303" t="s">
        <v>232</v>
      </c>
    </row>
    <row r="64234" spans="119:119" x14ac:dyDescent="0.2">
      <c r="DO64234" s="303" t="s">
        <v>232</v>
      </c>
    </row>
    <row r="64235" spans="119:119" x14ac:dyDescent="0.2">
      <c r="DO64235" s="303" t="s">
        <v>232</v>
      </c>
    </row>
    <row r="64236" spans="119:119" x14ac:dyDescent="0.2">
      <c r="DO64236" s="303" t="s">
        <v>232</v>
      </c>
    </row>
    <row r="64237" spans="119:119" x14ac:dyDescent="0.2">
      <c r="DO64237" s="303" t="s">
        <v>232</v>
      </c>
    </row>
    <row r="64238" spans="119:119" x14ac:dyDescent="0.2">
      <c r="DO64238" s="303" t="s">
        <v>232</v>
      </c>
    </row>
    <row r="64239" spans="119:119" x14ac:dyDescent="0.2">
      <c r="DO64239" s="303" t="s">
        <v>232</v>
      </c>
    </row>
    <row r="64240" spans="119:119" x14ac:dyDescent="0.2">
      <c r="DO64240" s="303" t="s">
        <v>232</v>
      </c>
    </row>
    <row r="64241" spans="119:119" x14ac:dyDescent="0.2">
      <c r="DO64241" s="303" t="s">
        <v>232</v>
      </c>
    </row>
    <row r="64242" spans="119:119" x14ac:dyDescent="0.2">
      <c r="DO64242" s="303" t="s">
        <v>232</v>
      </c>
    </row>
    <row r="64243" spans="119:119" x14ac:dyDescent="0.2">
      <c r="DO64243" s="303" t="s">
        <v>232</v>
      </c>
    </row>
    <row r="64244" spans="119:119" x14ac:dyDescent="0.2">
      <c r="DO64244" s="303" t="s">
        <v>232</v>
      </c>
    </row>
    <row r="64245" spans="119:119" x14ac:dyDescent="0.2">
      <c r="DO64245" s="303" t="s">
        <v>232</v>
      </c>
    </row>
    <row r="64246" spans="119:119" x14ac:dyDescent="0.2">
      <c r="DO64246" s="303" t="s">
        <v>232</v>
      </c>
    </row>
    <row r="64247" spans="119:119" x14ac:dyDescent="0.2">
      <c r="DO64247" s="303" t="s">
        <v>232</v>
      </c>
    </row>
    <row r="64248" spans="119:119" x14ac:dyDescent="0.2">
      <c r="DO64248" s="303" t="s">
        <v>232</v>
      </c>
    </row>
    <row r="64249" spans="119:119" x14ac:dyDescent="0.2">
      <c r="DO64249" s="303" t="s">
        <v>232</v>
      </c>
    </row>
    <row r="64250" spans="119:119" x14ac:dyDescent="0.2">
      <c r="DO64250" s="303" t="s">
        <v>232</v>
      </c>
    </row>
    <row r="64251" spans="119:119" x14ac:dyDescent="0.2">
      <c r="DO64251" s="303" t="s">
        <v>232</v>
      </c>
    </row>
    <row r="64252" spans="119:119" x14ac:dyDescent="0.2">
      <c r="DO64252" s="303" t="s">
        <v>232</v>
      </c>
    </row>
    <row r="64253" spans="119:119" x14ac:dyDescent="0.2">
      <c r="DO64253" s="303" t="s">
        <v>232</v>
      </c>
    </row>
    <row r="64254" spans="119:119" x14ac:dyDescent="0.2">
      <c r="DO64254" s="303" t="s">
        <v>232</v>
      </c>
    </row>
    <row r="64255" spans="119:119" x14ac:dyDescent="0.2">
      <c r="DO64255" s="303" t="s">
        <v>232</v>
      </c>
    </row>
    <row r="64256" spans="119:119" x14ac:dyDescent="0.2">
      <c r="DO64256" s="303" t="s">
        <v>232</v>
      </c>
    </row>
    <row r="64257" spans="119:119" x14ac:dyDescent="0.2">
      <c r="DO64257" s="303" t="s">
        <v>232</v>
      </c>
    </row>
    <row r="64258" spans="119:119" x14ac:dyDescent="0.2">
      <c r="DO64258" s="303" t="s">
        <v>232</v>
      </c>
    </row>
    <row r="64259" spans="119:119" x14ac:dyDescent="0.2">
      <c r="DO64259" s="303" t="s">
        <v>232</v>
      </c>
    </row>
    <row r="64260" spans="119:119" x14ac:dyDescent="0.2">
      <c r="DO64260" s="303" t="s">
        <v>232</v>
      </c>
    </row>
    <row r="64261" spans="119:119" x14ac:dyDescent="0.2">
      <c r="DO64261" s="303" t="s">
        <v>232</v>
      </c>
    </row>
    <row r="64262" spans="119:119" x14ac:dyDescent="0.2">
      <c r="DO64262" s="303" t="s">
        <v>232</v>
      </c>
    </row>
    <row r="64263" spans="119:119" x14ac:dyDescent="0.2">
      <c r="DO64263" s="303" t="s">
        <v>232</v>
      </c>
    </row>
    <row r="64264" spans="119:119" x14ac:dyDescent="0.2">
      <c r="DO64264" s="303" t="s">
        <v>232</v>
      </c>
    </row>
    <row r="64265" spans="119:119" x14ac:dyDescent="0.2">
      <c r="DO64265" s="303" t="s">
        <v>232</v>
      </c>
    </row>
    <row r="64266" spans="119:119" x14ac:dyDescent="0.2">
      <c r="DO64266" s="303" t="s">
        <v>232</v>
      </c>
    </row>
    <row r="64267" spans="119:119" x14ac:dyDescent="0.2">
      <c r="DO64267" s="303" t="s">
        <v>232</v>
      </c>
    </row>
    <row r="64268" spans="119:119" x14ac:dyDescent="0.2">
      <c r="DO64268" s="303" t="s">
        <v>232</v>
      </c>
    </row>
    <row r="64269" spans="119:119" x14ac:dyDescent="0.2">
      <c r="DO64269" s="303" t="s">
        <v>232</v>
      </c>
    </row>
    <row r="64270" spans="119:119" x14ac:dyDescent="0.2">
      <c r="DO64270" s="303" t="s">
        <v>232</v>
      </c>
    </row>
    <row r="64271" spans="119:119" x14ac:dyDescent="0.2">
      <c r="DO64271" s="303" t="s">
        <v>232</v>
      </c>
    </row>
    <row r="64272" spans="119:119" x14ac:dyDescent="0.2">
      <c r="DO64272" s="303" t="s">
        <v>232</v>
      </c>
    </row>
    <row r="64273" spans="119:119" x14ac:dyDescent="0.2">
      <c r="DO64273" s="303" t="s">
        <v>232</v>
      </c>
    </row>
    <row r="64274" spans="119:119" x14ac:dyDescent="0.2">
      <c r="DO64274" s="303" t="s">
        <v>232</v>
      </c>
    </row>
    <row r="64275" spans="119:119" x14ac:dyDescent="0.2">
      <c r="DO64275" s="303" t="s">
        <v>232</v>
      </c>
    </row>
    <row r="64276" spans="119:119" x14ac:dyDescent="0.2">
      <c r="DO64276" s="303" t="s">
        <v>232</v>
      </c>
    </row>
    <row r="64277" spans="119:119" x14ac:dyDescent="0.2">
      <c r="DO64277" s="303" t="s">
        <v>232</v>
      </c>
    </row>
    <row r="64278" spans="119:119" x14ac:dyDescent="0.2">
      <c r="DO64278" s="303" t="s">
        <v>232</v>
      </c>
    </row>
    <row r="64279" spans="119:119" x14ac:dyDescent="0.2">
      <c r="DO64279" s="303" t="s">
        <v>232</v>
      </c>
    </row>
    <row r="64280" spans="119:119" x14ac:dyDescent="0.2">
      <c r="DO64280" s="303" t="s">
        <v>232</v>
      </c>
    </row>
    <row r="64281" spans="119:119" x14ac:dyDescent="0.2">
      <c r="DO64281" s="303" t="s">
        <v>232</v>
      </c>
    </row>
    <row r="64282" spans="119:119" x14ac:dyDescent="0.2">
      <c r="DO64282" s="303" t="s">
        <v>232</v>
      </c>
    </row>
    <row r="64283" spans="119:119" x14ac:dyDescent="0.2">
      <c r="DO64283" s="303" t="s">
        <v>232</v>
      </c>
    </row>
    <row r="64284" spans="119:119" x14ac:dyDescent="0.2">
      <c r="DO64284" s="303" t="s">
        <v>232</v>
      </c>
    </row>
    <row r="64285" spans="119:119" x14ac:dyDescent="0.2">
      <c r="DO64285" s="303" t="s">
        <v>232</v>
      </c>
    </row>
    <row r="64286" spans="119:119" x14ac:dyDescent="0.2">
      <c r="DO64286" s="303" t="s">
        <v>232</v>
      </c>
    </row>
    <row r="64287" spans="119:119" x14ac:dyDescent="0.2">
      <c r="DO64287" s="303" t="s">
        <v>232</v>
      </c>
    </row>
    <row r="64288" spans="119:119" x14ac:dyDescent="0.2">
      <c r="DO64288" s="303" t="s">
        <v>232</v>
      </c>
    </row>
    <row r="64289" spans="119:119" x14ac:dyDescent="0.2">
      <c r="DO64289" s="303" t="s">
        <v>232</v>
      </c>
    </row>
    <row r="64290" spans="119:119" x14ac:dyDescent="0.2">
      <c r="DO64290" s="303" t="s">
        <v>232</v>
      </c>
    </row>
    <row r="64291" spans="119:119" x14ac:dyDescent="0.2">
      <c r="DO64291" s="303" t="s">
        <v>232</v>
      </c>
    </row>
    <row r="64292" spans="119:119" x14ac:dyDescent="0.2">
      <c r="DO64292" s="303" t="s">
        <v>232</v>
      </c>
    </row>
    <row r="64293" spans="119:119" x14ac:dyDescent="0.2">
      <c r="DO64293" s="303" t="s">
        <v>232</v>
      </c>
    </row>
    <row r="64294" spans="119:119" x14ac:dyDescent="0.2">
      <c r="DO64294" s="303" t="s">
        <v>232</v>
      </c>
    </row>
    <row r="64295" spans="119:119" x14ac:dyDescent="0.2">
      <c r="DO64295" s="303" t="s">
        <v>232</v>
      </c>
    </row>
    <row r="64296" spans="119:119" x14ac:dyDescent="0.2">
      <c r="DO64296" s="303" t="s">
        <v>232</v>
      </c>
    </row>
    <row r="64297" spans="119:119" x14ac:dyDescent="0.2">
      <c r="DO64297" s="303" t="s">
        <v>232</v>
      </c>
    </row>
    <row r="64298" spans="119:119" x14ac:dyDescent="0.2">
      <c r="DO64298" s="303" t="s">
        <v>232</v>
      </c>
    </row>
    <row r="64299" spans="119:119" x14ac:dyDescent="0.2">
      <c r="DO64299" s="303" t="s">
        <v>232</v>
      </c>
    </row>
    <row r="64300" spans="119:119" x14ac:dyDescent="0.2">
      <c r="DO64300" s="303" t="s">
        <v>232</v>
      </c>
    </row>
    <row r="64301" spans="119:119" x14ac:dyDescent="0.2">
      <c r="DO64301" s="303" t="s">
        <v>232</v>
      </c>
    </row>
    <row r="64302" spans="119:119" x14ac:dyDescent="0.2">
      <c r="DO64302" s="303" t="s">
        <v>232</v>
      </c>
    </row>
    <row r="64303" spans="119:119" x14ac:dyDescent="0.2">
      <c r="DO64303" s="303" t="s">
        <v>232</v>
      </c>
    </row>
    <row r="64304" spans="119:119" x14ac:dyDescent="0.2">
      <c r="DO64304" s="303" t="s">
        <v>232</v>
      </c>
    </row>
    <row r="64305" spans="119:119" x14ac:dyDescent="0.2">
      <c r="DO64305" s="303" t="s">
        <v>232</v>
      </c>
    </row>
    <row r="64306" spans="119:119" x14ac:dyDescent="0.2">
      <c r="DO64306" s="303" t="s">
        <v>232</v>
      </c>
    </row>
    <row r="64307" spans="119:119" x14ac:dyDescent="0.2">
      <c r="DO64307" s="303" t="s">
        <v>232</v>
      </c>
    </row>
    <row r="64308" spans="119:119" x14ac:dyDescent="0.2">
      <c r="DO64308" s="303" t="s">
        <v>232</v>
      </c>
    </row>
    <row r="64309" spans="119:119" x14ac:dyDescent="0.2">
      <c r="DO64309" s="303" t="s">
        <v>232</v>
      </c>
    </row>
    <row r="64310" spans="119:119" x14ac:dyDescent="0.2">
      <c r="DO64310" s="303" t="s">
        <v>232</v>
      </c>
    </row>
    <row r="64311" spans="119:119" x14ac:dyDescent="0.2">
      <c r="DO64311" s="303" t="s">
        <v>232</v>
      </c>
    </row>
    <row r="64312" spans="119:119" x14ac:dyDescent="0.2">
      <c r="DO64312" s="303" t="s">
        <v>232</v>
      </c>
    </row>
    <row r="64313" spans="119:119" x14ac:dyDescent="0.2">
      <c r="DO64313" s="303" t="s">
        <v>232</v>
      </c>
    </row>
    <row r="64314" spans="119:119" x14ac:dyDescent="0.2">
      <c r="DO64314" s="303" t="s">
        <v>232</v>
      </c>
    </row>
    <row r="64315" spans="119:119" x14ac:dyDescent="0.2">
      <c r="DO64315" s="303" t="s">
        <v>232</v>
      </c>
    </row>
    <row r="64316" spans="119:119" x14ac:dyDescent="0.2">
      <c r="DO64316" s="303" t="s">
        <v>232</v>
      </c>
    </row>
    <row r="64317" spans="119:119" x14ac:dyDescent="0.2">
      <c r="DO64317" s="303" t="s">
        <v>232</v>
      </c>
    </row>
    <row r="64318" spans="119:119" x14ac:dyDescent="0.2">
      <c r="DO64318" s="303" t="s">
        <v>232</v>
      </c>
    </row>
    <row r="64319" spans="119:119" x14ac:dyDescent="0.2">
      <c r="DO64319" s="303" t="s">
        <v>232</v>
      </c>
    </row>
    <row r="64320" spans="119:119" x14ac:dyDescent="0.2">
      <c r="DO64320" s="303" t="s">
        <v>232</v>
      </c>
    </row>
    <row r="64321" spans="119:119" x14ac:dyDescent="0.2">
      <c r="DO64321" s="303" t="s">
        <v>232</v>
      </c>
    </row>
    <row r="64322" spans="119:119" x14ac:dyDescent="0.2">
      <c r="DO64322" s="303" t="s">
        <v>232</v>
      </c>
    </row>
    <row r="64323" spans="119:119" x14ac:dyDescent="0.2">
      <c r="DO64323" s="303" t="s">
        <v>232</v>
      </c>
    </row>
    <row r="64324" spans="119:119" x14ac:dyDescent="0.2">
      <c r="DO64324" s="303" t="s">
        <v>232</v>
      </c>
    </row>
    <row r="64325" spans="119:119" x14ac:dyDescent="0.2">
      <c r="DO64325" s="303" t="s">
        <v>232</v>
      </c>
    </row>
    <row r="64326" spans="119:119" x14ac:dyDescent="0.2">
      <c r="DO64326" s="303" t="s">
        <v>232</v>
      </c>
    </row>
    <row r="64327" spans="119:119" x14ac:dyDescent="0.2">
      <c r="DO64327" s="303" t="s">
        <v>232</v>
      </c>
    </row>
    <row r="64328" spans="119:119" x14ac:dyDescent="0.2">
      <c r="DO64328" s="303" t="s">
        <v>232</v>
      </c>
    </row>
    <row r="64329" spans="119:119" x14ac:dyDescent="0.2">
      <c r="DO64329" s="303" t="s">
        <v>232</v>
      </c>
    </row>
    <row r="64330" spans="119:119" x14ac:dyDescent="0.2">
      <c r="DO64330" s="303" t="s">
        <v>232</v>
      </c>
    </row>
    <row r="64331" spans="119:119" x14ac:dyDescent="0.2">
      <c r="DO64331" s="303" t="s">
        <v>232</v>
      </c>
    </row>
    <row r="64332" spans="119:119" x14ac:dyDescent="0.2">
      <c r="DO64332" s="303" t="s">
        <v>232</v>
      </c>
    </row>
    <row r="64333" spans="119:119" x14ac:dyDescent="0.2">
      <c r="DO64333" s="303" t="s">
        <v>232</v>
      </c>
    </row>
    <row r="64334" spans="119:119" x14ac:dyDescent="0.2">
      <c r="DO64334" s="303" t="s">
        <v>232</v>
      </c>
    </row>
    <row r="64335" spans="119:119" x14ac:dyDescent="0.2">
      <c r="DO64335" s="303" t="s">
        <v>232</v>
      </c>
    </row>
    <row r="64336" spans="119:119" x14ac:dyDescent="0.2">
      <c r="DO64336" s="303" t="s">
        <v>232</v>
      </c>
    </row>
    <row r="64337" spans="119:119" x14ac:dyDescent="0.2">
      <c r="DO64337" s="303" t="s">
        <v>232</v>
      </c>
    </row>
    <row r="64338" spans="119:119" x14ac:dyDescent="0.2">
      <c r="DO64338" s="303" t="s">
        <v>232</v>
      </c>
    </row>
    <row r="64339" spans="119:119" x14ac:dyDescent="0.2">
      <c r="DO64339" s="303" t="s">
        <v>232</v>
      </c>
    </row>
    <row r="64340" spans="119:119" x14ac:dyDescent="0.2">
      <c r="DO64340" s="303" t="s">
        <v>232</v>
      </c>
    </row>
    <row r="64341" spans="119:119" x14ac:dyDescent="0.2">
      <c r="DO64341" s="303" t="s">
        <v>232</v>
      </c>
    </row>
    <row r="64342" spans="119:119" x14ac:dyDescent="0.2">
      <c r="DO64342" s="303" t="s">
        <v>232</v>
      </c>
    </row>
    <row r="64343" spans="119:119" x14ac:dyDescent="0.2">
      <c r="DO64343" s="303" t="s">
        <v>232</v>
      </c>
    </row>
    <row r="64344" spans="119:119" x14ac:dyDescent="0.2">
      <c r="DO64344" s="303" t="s">
        <v>232</v>
      </c>
    </row>
    <row r="64345" spans="119:119" x14ac:dyDescent="0.2">
      <c r="DO64345" s="303" t="s">
        <v>232</v>
      </c>
    </row>
    <row r="64346" spans="119:119" x14ac:dyDescent="0.2">
      <c r="DO64346" s="303" t="s">
        <v>232</v>
      </c>
    </row>
    <row r="64347" spans="119:119" x14ac:dyDescent="0.2">
      <c r="DO64347" s="303" t="s">
        <v>232</v>
      </c>
    </row>
    <row r="64348" spans="119:119" x14ac:dyDescent="0.2">
      <c r="DO64348" s="303" t="s">
        <v>232</v>
      </c>
    </row>
    <row r="64349" spans="119:119" x14ac:dyDescent="0.2">
      <c r="DO64349" s="303" t="s">
        <v>232</v>
      </c>
    </row>
    <row r="64350" spans="119:119" x14ac:dyDescent="0.2">
      <c r="DO64350" s="303" t="s">
        <v>232</v>
      </c>
    </row>
    <row r="64351" spans="119:119" x14ac:dyDescent="0.2">
      <c r="DO64351" s="303" t="s">
        <v>232</v>
      </c>
    </row>
    <row r="64352" spans="119:119" x14ac:dyDescent="0.2">
      <c r="DO64352" s="303" t="s">
        <v>232</v>
      </c>
    </row>
    <row r="64353" spans="119:119" x14ac:dyDescent="0.2">
      <c r="DO64353" s="303" t="s">
        <v>232</v>
      </c>
    </row>
    <row r="64354" spans="119:119" x14ac:dyDescent="0.2">
      <c r="DO64354" s="303" t="s">
        <v>232</v>
      </c>
    </row>
    <row r="64355" spans="119:119" x14ac:dyDescent="0.2">
      <c r="DO64355" s="303" t="s">
        <v>232</v>
      </c>
    </row>
    <row r="64356" spans="119:119" x14ac:dyDescent="0.2">
      <c r="DO64356" s="303" t="s">
        <v>232</v>
      </c>
    </row>
    <row r="64357" spans="119:119" x14ac:dyDescent="0.2">
      <c r="DO64357" s="303" t="s">
        <v>232</v>
      </c>
    </row>
    <row r="64358" spans="119:119" x14ac:dyDescent="0.2">
      <c r="DO64358" s="303" t="s">
        <v>232</v>
      </c>
    </row>
    <row r="64359" spans="119:119" x14ac:dyDescent="0.2">
      <c r="DO64359" s="303" t="s">
        <v>232</v>
      </c>
    </row>
    <row r="64360" spans="119:119" x14ac:dyDescent="0.2">
      <c r="DO64360" s="303" t="s">
        <v>232</v>
      </c>
    </row>
    <row r="64361" spans="119:119" x14ac:dyDescent="0.2">
      <c r="DO64361" s="303" t="s">
        <v>232</v>
      </c>
    </row>
    <row r="64362" spans="119:119" x14ac:dyDescent="0.2">
      <c r="DO64362" s="303" t="s">
        <v>232</v>
      </c>
    </row>
    <row r="64363" spans="119:119" x14ac:dyDescent="0.2">
      <c r="DO64363" s="303" t="s">
        <v>232</v>
      </c>
    </row>
    <row r="64364" spans="119:119" x14ac:dyDescent="0.2">
      <c r="DO64364" s="303" t="s">
        <v>232</v>
      </c>
    </row>
    <row r="64365" spans="119:119" x14ac:dyDescent="0.2">
      <c r="DO64365" s="303" t="s">
        <v>232</v>
      </c>
    </row>
    <row r="64366" spans="119:119" x14ac:dyDescent="0.2">
      <c r="DO64366" s="303" t="s">
        <v>232</v>
      </c>
    </row>
    <row r="64367" spans="119:119" x14ac:dyDescent="0.2">
      <c r="DO64367" s="303" t="s">
        <v>232</v>
      </c>
    </row>
    <row r="64368" spans="119:119" x14ac:dyDescent="0.2">
      <c r="DO64368" s="303" t="s">
        <v>232</v>
      </c>
    </row>
    <row r="64369" spans="119:119" x14ac:dyDescent="0.2">
      <c r="DO64369" s="303" t="s">
        <v>232</v>
      </c>
    </row>
    <row r="64370" spans="119:119" x14ac:dyDescent="0.2">
      <c r="DO64370" s="303" t="s">
        <v>232</v>
      </c>
    </row>
    <row r="64371" spans="119:119" x14ac:dyDescent="0.2">
      <c r="DO64371" s="303" t="s">
        <v>232</v>
      </c>
    </row>
    <row r="64372" spans="119:119" x14ac:dyDescent="0.2">
      <c r="DO64372" s="303" t="s">
        <v>232</v>
      </c>
    </row>
    <row r="64373" spans="119:119" x14ac:dyDescent="0.2">
      <c r="DO64373" s="303" t="s">
        <v>232</v>
      </c>
    </row>
    <row r="64374" spans="119:119" x14ac:dyDescent="0.2">
      <c r="DO64374" s="303" t="s">
        <v>232</v>
      </c>
    </row>
    <row r="64375" spans="119:119" x14ac:dyDescent="0.2">
      <c r="DO64375" s="303" t="s">
        <v>232</v>
      </c>
    </row>
    <row r="64376" spans="119:119" x14ac:dyDescent="0.2">
      <c r="DO64376" s="303" t="s">
        <v>232</v>
      </c>
    </row>
    <row r="64377" spans="119:119" x14ac:dyDescent="0.2">
      <c r="DO64377" s="303" t="s">
        <v>232</v>
      </c>
    </row>
    <row r="64378" spans="119:119" x14ac:dyDescent="0.2">
      <c r="DO64378" s="303" t="s">
        <v>232</v>
      </c>
    </row>
    <row r="64379" spans="119:119" x14ac:dyDescent="0.2">
      <c r="DO64379" s="303" t="s">
        <v>232</v>
      </c>
    </row>
    <row r="64380" spans="119:119" x14ac:dyDescent="0.2">
      <c r="DO64380" s="303" t="s">
        <v>232</v>
      </c>
    </row>
    <row r="64381" spans="119:119" x14ac:dyDescent="0.2">
      <c r="DO64381" s="303" t="s">
        <v>232</v>
      </c>
    </row>
    <row r="64382" spans="119:119" x14ac:dyDescent="0.2">
      <c r="DO64382" s="303" t="s">
        <v>232</v>
      </c>
    </row>
    <row r="64383" spans="119:119" x14ac:dyDescent="0.2">
      <c r="DO64383" s="303" t="s">
        <v>232</v>
      </c>
    </row>
    <row r="64384" spans="119:119" x14ac:dyDescent="0.2">
      <c r="DO64384" s="303" t="s">
        <v>232</v>
      </c>
    </row>
    <row r="64385" spans="119:119" x14ac:dyDescent="0.2">
      <c r="DO64385" s="303" t="s">
        <v>232</v>
      </c>
    </row>
    <row r="64386" spans="119:119" x14ac:dyDescent="0.2">
      <c r="DO64386" s="303" t="s">
        <v>232</v>
      </c>
    </row>
    <row r="64387" spans="119:119" x14ac:dyDescent="0.2">
      <c r="DO64387" s="303" t="s">
        <v>232</v>
      </c>
    </row>
    <row r="64388" spans="119:119" x14ac:dyDescent="0.2">
      <c r="DO64388" s="303" t="s">
        <v>232</v>
      </c>
    </row>
    <row r="64389" spans="119:119" x14ac:dyDescent="0.2">
      <c r="DO64389" s="303" t="s">
        <v>232</v>
      </c>
    </row>
    <row r="64390" spans="119:119" x14ac:dyDescent="0.2">
      <c r="DO64390" s="303" t="s">
        <v>232</v>
      </c>
    </row>
    <row r="64391" spans="119:119" x14ac:dyDescent="0.2">
      <c r="DO64391" s="303" t="s">
        <v>232</v>
      </c>
    </row>
    <row r="64392" spans="119:119" x14ac:dyDescent="0.2">
      <c r="DO64392" s="303" t="s">
        <v>232</v>
      </c>
    </row>
    <row r="64393" spans="119:119" x14ac:dyDescent="0.2">
      <c r="DO64393" s="303" t="s">
        <v>232</v>
      </c>
    </row>
    <row r="64394" spans="119:119" x14ac:dyDescent="0.2">
      <c r="DO64394" s="303" t="s">
        <v>232</v>
      </c>
    </row>
    <row r="64395" spans="119:119" x14ac:dyDescent="0.2">
      <c r="DO64395" s="303" t="s">
        <v>232</v>
      </c>
    </row>
    <row r="64396" spans="119:119" x14ac:dyDescent="0.2">
      <c r="DO64396" s="303" t="s">
        <v>232</v>
      </c>
    </row>
    <row r="64397" spans="119:119" x14ac:dyDescent="0.2">
      <c r="DO64397" s="303" t="s">
        <v>232</v>
      </c>
    </row>
    <row r="64398" spans="119:119" x14ac:dyDescent="0.2">
      <c r="DO64398" s="303" t="s">
        <v>232</v>
      </c>
    </row>
    <row r="64399" spans="119:119" x14ac:dyDescent="0.2">
      <c r="DO64399" s="303" t="s">
        <v>232</v>
      </c>
    </row>
    <row r="64400" spans="119:119" x14ac:dyDescent="0.2">
      <c r="DO64400" s="303" t="s">
        <v>232</v>
      </c>
    </row>
    <row r="64401" spans="119:119" x14ac:dyDescent="0.2">
      <c r="DO64401" s="303" t="s">
        <v>232</v>
      </c>
    </row>
    <row r="64402" spans="119:119" x14ac:dyDescent="0.2">
      <c r="DO64402" s="303" t="s">
        <v>232</v>
      </c>
    </row>
    <row r="64403" spans="119:119" x14ac:dyDescent="0.2">
      <c r="DO64403" s="303" t="s">
        <v>232</v>
      </c>
    </row>
    <row r="64404" spans="119:119" x14ac:dyDescent="0.2">
      <c r="DO64404" s="303" t="s">
        <v>232</v>
      </c>
    </row>
    <row r="64405" spans="119:119" x14ac:dyDescent="0.2">
      <c r="DO64405" s="303" t="s">
        <v>232</v>
      </c>
    </row>
    <row r="64406" spans="119:119" x14ac:dyDescent="0.2">
      <c r="DO64406" s="303" t="s">
        <v>232</v>
      </c>
    </row>
    <row r="64407" spans="119:119" x14ac:dyDescent="0.2">
      <c r="DO64407" s="303" t="s">
        <v>232</v>
      </c>
    </row>
    <row r="64408" spans="119:119" x14ac:dyDescent="0.2">
      <c r="DO64408" s="303" t="s">
        <v>232</v>
      </c>
    </row>
    <row r="64409" spans="119:119" x14ac:dyDescent="0.2">
      <c r="DO64409" s="303" t="s">
        <v>232</v>
      </c>
    </row>
    <row r="64410" spans="119:119" x14ac:dyDescent="0.2">
      <c r="DO64410" s="303" t="s">
        <v>232</v>
      </c>
    </row>
    <row r="64411" spans="119:119" x14ac:dyDescent="0.2">
      <c r="DO64411" s="303" t="s">
        <v>232</v>
      </c>
    </row>
    <row r="64412" spans="119:119" x14ac:dyDescent="0.2">
      <c r="DO64412" s="303" t="s">
        <v>232</v>
      </c>
    </row>
    <row r="64413" spans="119:119" x14ac:dyDescent="0.2">
      <c r="DO64413" s="303" t="s">
        <v>232</v>
      </c>
    </row>
    <row r="64414" spans="119:119" x14ac:dyDescent="0.2">
      <c r="DO64414" s="303" t="s">
        <v>232</v>
      </c>
    </row>
    <row r="64415" spans="119:119" x14ac:dyDescent="0.2">
      <c r="DO64415" s="303" t="s">
        <v>232</v>
      </c>
    </row>
    <row r="64416" spans="119:119" x14ac:dyDescent="0.2">
      <c r="DO64416" s="303" t="s">
        <v>232</v>
      </c>
    </row>
    <row r="64417" spans="119:119" x14ac:dyDescent="0.2">
      <c r="DO64417" s="303" t="s">
        <v>232</v>
      </c>
    </row>
    <row r="64418" spans="119:119" x14ac:dyDescent="0.2">
      <c r="DO64418" s="303" t="s">
        <v>232</v>
      </c>
    </row>
    <row r="64419" spans="119:119" x14ac:dyDescent="0.2">
      <c r="DO64419" s="303" t="s">
        <v>232</v>
      </c>
    </row>
    <row r="64420" spans="119:119" x14ac:dyDescent="0.2">
      <c r="DO64420" s="303" t="s">
        <v>232</v>
      </c>
    </row>
    <row r="64421" spans="119:119" x14ac:dyDescent="0.2">
      <c r="DO64421" s="303" t="s">
        <v>232</v>
      </c>
    </row>
    <row r="64422" spans="119:119" x14ac:dyDescent="0.2">
      <c r="DO64422" s="303" t="s">
        <v>232</v>
      </c>
    </row>
    <row r="64423" spans="119:119" x14ac:dyDescent="0.2">
      <c r="DO64423" s="303" t="s">
        <v>232</v>
      </c>
    </row>
    <row r="64424" spans="119:119" x14ac:dyDescent="0.2">
      <c r="DO64424" s="303" t="s">
        <v>232</v>
      </c>
    </row>
    <row r="64425" spans="119:119" x14ac:dyDescent="0.2">
      <c r="DO64425" s="303" t="s">
        <v>232</v>
      </c>
    </row>
    <row r="64426" spans="119:119" x14ac:dyDescent="0.2">
      <c r="DO64426" s="303" t="s">
        <v>232</v>
      </c>
    </row>
    <row r="64427" spans="119:119" x14ac:dyDescent="0.2">
      <c r="DO64427" s="303" t="s">
        <v>232</v>
      </c>
    </row>
    <row r="64428" spans="119:119" x14ac:dyDescent="0.2">
      <c r="DO64428" s="303" t="s">
        <v>232</v>
      </c>
    </row>
    <row r="64429" spans="119:119" x14ac:dyDescent="0.2">
      <c r="DO64429" s="303" t="s">
        <v>232</v>
      </c>
    </row>
    <row r="64430" spans="119:119" x14ac:dyDescent="0.2">
      <c r="DO64430" s="303" t="s">
        <v>232</v>
      </c>
    </row>
    <row r="64431" spans="119:119" x14ac:dyDescent="0.2">
      <c r="DO64431" s="303" t="s">
        <v>232</v>
      </c>
    </row>
    <row r="64432" spans="119:119" x14ac:dyDescent="0.2">
      <c r="DO64432" s="303" t="s">
        <v>232</v>
      </c>
    </row>
    <row r="64433" spans="119:119" x14ac:dyDescent="0.2">
      <c r="DO64433" s="303" t="s">
        <v>232</v>
      </c>
    </row>
    <row r="64434" spans="119:119" x14ac:dyDescent="0.2">
      <c r="DO64434" s="303" t="s">
        <v>232</v>
      </c>
    </row>
    <row r="64435" spans="119:119" x14ac:dyDescent="0.2">
      <c r="DO64435" s="303" t="s">
        <v>232</v>
      </c>
    </row>
    <row r="64436" spans="119:119" x14ac:dyDescent="0.2">
      <c r="DO64436" s="303" t="s">
        <v>232</v>
      </c>
    </row>
    <row r="64437" spans="119:119" x14ac:dyDescent="0.2">
      <c r="DO64437" s="303" t="s">
        <v>232</v>
      </c>
    </row>
    <row r="64438" spans="119:119" x14ac:dyDescent="0.2">
      <c r="DO64438" s="303" t="s">
        <v>232</v>
      </c>
    </row>
    <row r="64439" spans="119:119" x14ac:dyDescent="0.2">
      <c r="DO64439" s="303" t="s">
        <v>232</v>
      </c>
    </row>
    <row r="64440" spans="119:119" x14ac:dyDescent="0.2">
      <c r="DO64440" s="303" t="s">
        <v>232</v>
      </c>
    </row>
    <row r="64441" spans="119:119" x14ac:dyDescent="0.2">
      <c r="DO64441" s="303" t="s">
        <v>232</v>
      </c>
    </row>
    <row r="64442" spans="119:119" x14ac:dyDescent="0.2">
      <c r="DO64442" s="303" t="s">
        <v>232</v>
      </c>
    </row>
    <row r="64443" spans="119:119" x14ac:dyDescent="0.2">
      <c r="DO64443" s="303" t="s">
        <v>232</v>
      </c>
    </row>
    <row r="64444" spans="119:119" x14ac:dyDescent="0.2">
      <c r="DO64444" s="303" t="s">
        <v>232</v>
      </c>
    </row>
    <row r="64445" spans="119:119" x14ac:dyDescent="0.2">
      <c r="DO64445" s="303" t="s">
        <v>232</v>
      </c>
    </row>
    <row r="64446" spans="119:119" x14ac:dyDescent="0.2">
      <c r="DO64446" s="303" t="s">
        <v>232</v>
      </c>
    </row>
    <row r="64447" spans="119:119" x14ac:dyDescent="0.2">
      <c r="DO64447" s="303" t="s">
        <v>232</v>
      </c>
    </row>
    <row r="64448" spans="119:119" x14ac:dyDescent="0.2">
      <c r="DO64448" s="303" t="s">
        <v>232</v>
      </c>
    </row>
    <row r="64449" spans="119:119" x14ac:dyDescent="0.2">
      <c r="DO64449" s="303" t="s">
        <v>232</v>
      </c>
    </row>
    <row r="64450" spans="119:119" x14ac:dyDescent="0.2">
      <c r="DO64450" s="303" t="s">
        <v>232</v>
      </c>
    </row>
    <row r="64451" spans="119:119" x14ac:dyDescent="0.2">
      <c r="DO64451" s="303" t="s">
        <v>232</v>
      </c>
    </row>
    <row r="64452" spans="119:119" x14ac:dyDescent="0.2">
      <c r="DO64452" s="303" t="s">
        <v>232</v>
      </c>
    </row>
    <row r="64453" spans="119:119" x14ac:dyDescent="0.2">
      <c r="DO64453" s="303" t="s">
        <v>232</v>
      </c>
    </row>
    <row r="64454" spans="119:119" x14ac:dyDescent="0.2">
      <c r="DO64454" s="303" t="s">
        <v>232</v>
      </c>
    </row>
    <row r="64455" spans="119:119" x14ac:dyDescent="0.2">
      <c r="DO64455" s="303" t="s">
        <v>232</v>
      </c>
    </row>
    <row r="64456" spans="119:119" x14ac:dyDescent="0.2">
      <c r="DO64456" s="303" t="s">
        <v>232</v>
      </c>
    </row>
    <row r="64457" spans="119:119" x14ac:dyDescent="0.2">
      <c r="DO64457" s="303" t="s">
        <v>232</v>
      </c>
    </row>
    <row r="64458" spans="119:119" x14ac:dyDescent="0.2">
      <c r="DO64458" s="303" t="s">
        <v>232</v>
      </c>
    </row>
    <row r="64459" spans="119:119" x14ac:dyDescent="0.2">
      <c r="DO64459" s="303" t="s">
        <v>232</v>
      </c>
    </row>
    <row r="64460" spans="119:119" x14ac:dyDescent="0.2">
      <c r="DO64460" s="303" t="s">
        <v>232</v>
      </c>
    </row>
    <row r="64461" spans="119:119" x14ac:dyDescent="0.2">
      <c r="DO64461" s="303" t="s">
        <v>232</v>
      </c>
    </row>
    <row r="64462" spans="119:119" x14ac:dyDescent="0.2">
      <c r="DO64462" s="303" t="s">
        <v>232</v>
      </c>
    </row>
    <row r="64463" spans="119:119" x14ac:dyDescent="0.2">
      <c r="DO64463" s="303" t="s">
        <v>232</v>
      </c>
    </row>
    <row r="64464" spans="119:119" x14ac:dyDescent="0.2">
      <c r="DO64464" s="303" t="s">
        <v>232</v>
      </c>
    </row>
    <row r="64465" spans="119:119" x14ac:dyDescent="0.2">
      <c r="DO64465" s="303" t="s">
        <v>232</v>
      </c>
    </row>
    <row r="64466" spans="119:119" x14ac:dyDescent="0.2">
      <c r="DO64466" s="303" t="s">
        <v>232</v>
      </c>
    </row>
    <row r="64467" spans="119:119" x14ac:dyDescent="0.2">
      <c r="DO64467" s="303" t="s">
        <v>232</v>
      </c>
    </row>
    <row r="64468" spans="119:119" x14ac:dyDescent="0.2">
      <c r="DO64468" s="303" t="s">
        <v>232</v>
      </c>
    </row>
    <row r="64469" spans="119:119" x14ac:dyDescent="0.2">
      <c r="DO64469" s="303" t="s">
        <v>232</v>
      </c>
    </row>
    <row r="64470" spans="119:119" x14ac:dyDescent="0.2">
      <c r="DO64470" s="303" t="s">
        <v>232</v>
      </c>
    </row>
    <row r="64471" spans="119:119" x14ac:dyDescent="0.2">
      <c r="DO64471" s="303" t="s">
        <v>232</v>
      </c>
    </row>
    <row r="64472" spans="119:119" x14ac:dyDescent="0.2">
      <c r="DO64472" s="303" t="s">
        <v>232</v>
      </c>
    </row>
    <row r="64473" spans="119:119" x14ac:dyDescent="0.2">
      <c r="DO64473" s="303" t="s">
        <v>232</v>
      </c>
    </row>
    <row r="64474" spans="119:119" x14ac:dyDescent="0.2">
      <c r="DO64474" s="303" t="s">
        <v>232</v>
      </c>
    </row>
    <row r="64475" spans="119:119" x14ac:dyDescent="0.2">
      <c r="DO64475" s="303" t="s">
        <v>232</v>
      </c>
    </row>
    <row r="64476" spans="119:119" x14ac:dyDescent="0.2">
      <c r="DO64476" s="303" t="s">
        <v>232</v>
      </c>
    </row>
    <row r="64477" spans="119:119" x14ac:dyDescent="0.2">
      <c r="DO64477" s="303" t="s">
        <v>232</v>
      </c>
    </row>
    <row r="64478" spans="119:119" x14ac:dyDescent="0.2">
      <c r="DO64478" s="303" t="s">
        <v>232</v>
      </c>
    </row>
    <row r="64479" spans="119:119" x14ac:dyDescent="0.2">
      <c r="DO64479" s="303" t="s">
        <v>232</v>
      </c>
    </row>
    <row r="64480" spans="119:119" x14ac:dyDescent="0.2">
      <c r="DO64480" s="303" t="s">
        <v>232</v>
      </c>
    </row>
    <row r="64481" spans="119:119" x14ac:dyDescent="0.2">
      <c r="DO64481" s="303" t="s">
        <v>232</v>
      </c>
    </row>
    <row r="64482" spans="119:119" x14ac:dyDescent="0.2">
      <c r="DO64482" s="303" t="s">
        <v>232</v>
      </c>
    </row>
    <row r="64483" spans="119:119" x14ac:dyDescent="0.2">
      <c r="DO64483" s="303" t="s">
        <v>232</v>
      </c>
    </row>
    <row r="64484" spans="119:119" x14ac:dyDescent="0.2">
      <c r="DO64484" s="303" t="s">
        <v>232</v>
      </c>
    </row>
    <row r="64485" spans="119:119" x14ac:dyDescent="0.2">
      <c r="DO64485" s="303" t="s">
        <v>232</v>
      </c>
    </row>
    <row r="64486" spans="119:119" x14ac:dyDescent="0.2">
      <c r="DO64486" s="303" t="s">
        <v>232</v>
      </c>
    </row>
    <row r="64487" spans="119:119" x14ac:dyDescent="0.2">
      <c r="DO64487" s="303" t="s">
        <v>232</v>
      </c>
    </row>
    <row r="64488" spans="119:119" x14ac:dyDescent="0.2">
      <c r="DO64488" s="303" t="s">
        <v>232</v>
      </c>
    </row>
    <row r="64489" spans="119:119" x14ac:dyDescent="0.2">
      <c r="DO64489" s="303" t="s">
        <v>232</v>
      </c>
    </row>
    <row r="64490" spans="119:119" x14ac:dyDescent="0.2">
      <c r="DO64490" s="303" t="s">
        <v>232</v>
      </c>
    </row>
    <row r="64491" spans="119:119" x14ac:dyDescent="0.2">
      <c r="DO64491" s="303" t="s">
        <v>232</v>
      </c>
    </row>
    <row r="64492" spans="119:119" x14ac:dyDescent="0.2">
      <c r="DO64492" s="303" t="s">
        <v>232</v>
      </c>
    </row>
    <row r="64493" spans="119:119" x14ac:dyDescent="0.2">
      <c r="DO64493" s="303" t="s">
        <v>232</v>
      </c>
    </row>
    <row r="64494" spans="119:119" x14ac:dyDescent="0.2">
      <c r="DO64494" s="303" t="s">
        <v>232</v>
      </c>
    </row>
    <row r="64495" spans="119:119" x14ac:dyDescent="0.2">
      <c r="DO64495" s="303" t="s">
        <v>232</v>
      </c>
    </row>
    <row r="64496" spans="119:119" x14ac:dyDescent="0.2">
      <c r="DO64496" s="303" t="s">
        <v>232</v>
      </c>
    </row>
    <row r="64497" spans="119:119" x14ac:dyDescent="0.2">
      <c r="DO64497" s="303" t="s">
        <v>232</v>
      </c>
    </row>
    <row r="64498" spans="119:119" x14ac:dyDescent="0.2">
      <c r="DO64498" s="303" t="s">
        <v>232</v>
      </c>
    </row>
    <row r="64499" spans="119:119" x14ac:dyDescent="0.2">
      <c r="DO64499" s="303" t="s">
        <v>232</v>
      </c>
    </row>
    <row r="64500" spans="119:119" x14ac:dyDescent="0.2">
      <c r="DO64500" s="303" t="s">
        <v>232</v>
      </c>
    </row>
    <row r="64501" spans="119:119" x14ac:dyDescent="0.2">
      <c r="DO64501" s="303" t="s">
        <v>232</v>
      </c>
    </row>
    <row r="64502" spans="119:119" x14ac:dyDescent="0.2">
      <c r="DO64502" s="303" t="s">
        <v>232</v>
      </c>
    </row>
    <row r="64503" spans="119:119" x14ac:dyDescent="0.2">
      <c r="DO64503" s="303" t="s">
        <v>232</v>
      </c>
    </row>
    <row r="64504" spans="119:119" x14ac:dyDescent="0.2">
      <c r="DO64504" s="303" t="s">
        <v>232</v>
      </c>
    </row>
    <row r="64505" spans="119:119" x14ac:dyDescent="0.2">
      <c r="DO64505" s="303" t="s">
        <v>232</v>
      </c>
    </row>
    <row r="64506" spans="119:119" x14ac:dyDescent="0.2">
      <c r="DO64506" s="303" t="s">
        <v>232</v>
      </c>
    </row>
    <row r="64507" spans="119:119" x14ac:dyDescent="0.2">
      <c r="DO64507" s="303" t="s">
        <v>232</v>
      </c>
    </row>
    <row r="64508" spans="119:119" x14ac:dyDescent="0.2">
      <c r="DO64508" s="303" t="s">
        <v>232</v>
      </c>
    </row>
    <row r="64509" spans="119:119" x14ac:dyDescent="0.2">
      <c r="DO64509" s="303" t="s">
        <v>232</v>
      </c>
    </row>
    <row r="64510" spans="119:119" x14ac:dyDescent="0.2">
      <c r="DO64510" s="303" t="s">
        <v>232</v>
      </c>
    </row>
    <row r="64511" spans="119:119" x14ac:dyDescent="0.2">
      <c r="DO64511" s="303" t="s">
        <v>232</v>
      </c>
    </row>
    <row r="64512" spans="119:119" x14ac:dyDescent="0.2">
      <c r="DO64512" s="303" t="s">
        <v>232</v>
      </c>
    </row>
    <row r="64513" spans="119:119" x14ac:dyDescent="0.2">
      <c r="DO64513" s="303" t="s">
        <v>232</v>
      </c>
    </row>
    <row r="64514" spans="119:119" x14ac:dyDescent="0.2">
      <c r="DO64514" s="303" t="s">
        <v>232</v>
      </c>
    </row>
    <row r="64515" spans="119:119" x14ac:dyDescent="0.2">
      <c r="DO64515" s="303" t="s">
        <v>232</v>
      </c>
    </row>
    <row r="64516" spans="119:119" x14ac:dyDescent="0.2">
      <c r="DO64516" s="303" t="s">
        <v>232</v>
      </c>
    </row>
    <row r="64517" spans="119:119" x14ac:dyDescent="0.2">
      <c r="DO64517" s="303" t="s">
        <v>232</v>
      </c>
    </row>
    <row r="64518" spans="119:119" x14ac:dyDescent="0.2">
      <c r="DO64518" s="303" t="s">
        <v>232</v>
      </c>
    </row>
    <row r="64519" spans="119:119" x14ac:dyDescent="0.2">
      <c r="DO64519" s="303" t="s">
        <v>232</v>
      </c>
    </row>
    <row r="64520" spans="119:119" x14ac:dyDescent="0.2">
      <c r="DO64520" s="303" t="s">
        <v>232</v>
      </c>
    </row>
    <row r="64521" spans="119:119" x14ac:dyDescent="0.2">
      <c r="DO64521" s="303" t="s">
        <v>232</v>
      </c>
    </row>
    <row r="64522" spans="119:119" x14ac:dyDescent="0.2">
      <c r="DO64522" s="303" t="s">
        <v>232</v>
      </c>
    </row>
    <row r="64523" spans="119:119" x14ac:dyDescent="0.2">
      <c r="DO64523" s="303" t="s">
        <v>232</v>
      </c>
    </row>
    <row r="64524" spans="119:119" x14ac:dyDescent="0.2">
      <c r="DO64524" s="303" t="s">
        <v>232</v>
      </c>
    </row>
    <row r="64525" spans="119:119" x14ac:dyDescent="0.2">
      <c r="DO64525" s="303" t="s">
        <v>232</v>
      </c>
    </row>
    <row r="64526" spans="119:119" x14ac:dyDescent="0.2">
      <c r="DO64526" s="303" t="s">
        <v>232</v>
      </c>
    </row>
    <row r="64527" spans="119:119" x14ac:dyDescent="0.2">
      <c r="DO64527" s="303" t="s">
        <v>232</v>
      </c>
    </row>
    <row r="64528" spans="119:119" x14ac:dyDescent="0.2">
      <c r="DO64528" s="303" t="s">
        <v>232</v>
      </c>
    </row>
    <row r="64529" spans="119:119" x14ac:dyDescent="0.2">
      <c r="DO64529" s="303" t="s">
        <v>232</v>
      </c>
    </row>
    <row r="64530" spans="119:119" x14ac:dyDescent="0.2">
      <c r="DO64530" s="303" t="s">
        <v>232</v>
      </c>
    </row>
    <row r="64531" spans="119:119" x14ac:dyDescent="0.2">
      <c r="DO64531" s="303" t="s">
        <v>232</v>
      </c>
    </row>
    <row r="64532" spans="119:119" x14ac:dyDescent="0.2">
      <c r="DO64532" s="303" t="s">
        <v>232</v>
      </c>
    </row>
    <row r="64533" spans="119:119" x14ac:dyDescent="0.2">
      <c r="DO64533" s="303" t="s">
        <v>232</v>
      </c>
    </row>
    <row r="64534" spans="119:119" x14ac:dyDescent="0.2">
      <c r="DO64534" s="303" t="s">
        <v>232</v>
      </c>
    </row>
    <row r="64535" spans="119:119" x14ac:dyDescent="0.2">
      <c r="DO64535" s="303" t="s">
        <v>232</v>
      </c>
    </row>
    <row r="64536" spans="119:119" x14ac:dyDescent="0.2">
      <c r="DO64536" s="303" t="s">
        <v>232</v>
      </c>
    </row>
    <row r="64537" spans="119:119" x14ac:dyDescent="0.2">
      <c r="DO64537" s="303" t="s">
        <v>232</v>
      </c>
    </row>
    <row r="64538" spans="119:119" x14ac:dyDescent="0.2">
      <c r="DO64538" s="303" t="s">
        <v>232</v>
      </c>
    </row>
    <row r="64539" spans="119:119" x14ac:dyDescent="0.2">
      <c r="DO64539" s="303" t="s">
        <v>232</v>
      </c>
    </row>
    <row r="64540" spans="119:119" x14ac:dyDescent="0.2">
      <c r="DO64540" s="303" t="s">
        <v>232</v>
      </c>
    </row>
    <row r="64541" spans="119:119" x14ac:dyDescent="0.2">
      <c r="DO64541" s="303" t="s">
        <v>232</v>
      </c>
    </row>
    <row r="64542" spans="119:119" x14ac:dyDescent="0.2">
      <c r="DO64542" s="303" t="s">
        <v>232</v>
      </c>
    </row>
    <row r="64543" spans="119:119" x14ac:dyDescent="0.2">
      <c r="DO64543" s="303" t="s">
        <v>232</v>
      </c>
    </row>
    <row r="64544" spans="119:119" x14ac:dyDescent="0.2">
      <c r="DO64544" s="303" t="s">
        <v>232</v>
      </c>
    </row>
    <row r="64545" spans="119:119" x14ac:dyDescent="0.2">
      <c r="DO64545" s="303" t="s">
        <v>232</v>
      </c>
    </row>
    <row r="64546" spans="119:119" x14ac:dyDescent="0.2">
      <c r="DO64546" s="303" t="s">
        <v>232</v>
      </c>
    </row>
    <row r="64547" spans="119:119" x14ac:dyDescent="0.2">
      <c r="DO64547" s="303" t="s">
        <v>232</v>
      </c>
    </row>
    <row r="64548" spans="119:119" x14ac:dyDescent="0.2">
      <c r="DO64548" s="303" t="s">
        <v>232</v>
      </c>
    </row>
    <row r="64549" spans="119:119" x14ac:dyDescent="0.2">
      <c r="DO64549" s="303" t="s">
        <v>232</v>
      </c>
    </row>
    <row r="64550" spans="119:119" x14ac:dyDescent="0.2">
      <c r="DO64550" s="303" t="s">
        <v>232</v>
      </c>
    </row>
    <row r="64551" spans="119:119" x14ac:dyDescent="0.2">
      <c r="DO64551" s="303" t="s">
        <v>232</v>
      </c>
    </row>
    <row r="64552" spans="119:119" x14ac:dyDescent="0.2">
      <c r="DO64552" s="303" t="s">
        <v>232</v>
      </c>
    </row>
    <row r="64553" spans="119:119" x14ac:dyDescent="0.2">
      <c r="DO64553" s="303" t="s">
        <v>232</v>
      </c>
    </row>
    <row r="64554" spans="119:119" x14ac:dyDescent="0.2">
      <c r="DO64554" s="303" t="s">
        <v>232</v>
      </c>
    </row>
    <row r="64555" spans="119:119" x14ac:dyDescent="0.2">
      <c r="DO64555" s="303" t="s">
        <v>232</v>
      </c>
    </row>
    <row r="64556" spans="119:119" x14ac:dyDescent="0.2">
      <c r="DO64556" s="303" t="s">
        <v>232</v>
      </c>
    </row>
    <row r="64557" spans="119:119" x14ac:dyDescent="0.2">
      <c r="DO64557" s="303" t="s">
        <v>232</v>
      </c>
    </row>
    <row r="64558" spans="119:119" x14ac:dyDescent="0.2">
      <c r="DO64558" s="303" t="s">
        <v>232</v>
      </c>
    </row>
    <row r="64559" spans="119:119" x14ac:dyDescent="0.2">
      <c r="DO64559" s="303" t="s">
        <v>232</v>
      </c>
    </row>
    <row r="64560" spans="119:119" x14ac:dyDescent="0.2">
      <c r="DO64560" s="303" t="s">
        <v>232</v>
      </c>
    </row>
    <row r="64561" spans="119:119" x14ac:dyDescent="0.2">
      <c r="DO64561" s="303" t="s">
        <v>232</v>
      </c>
    </row>
    <row r="64562" spans="119:119" x14ac:dyDescent="0.2">
      <c r="DO64562" s="303" t="s">
        <v>232</v>
      </c>
    </row>
    <row r="64563" spans="119:119" x14ac:dyDescent="0.2">
      <c r="DO64563" s="303" t="s">
        <v>232</v>
      </c>
    </row>
    <row r="64564" spans="119:119" x14ac:dyDescent="0.2">
      <c r="DO64564" s="303" t="s">
        <v>232</v>
      </c>
    </row>
    <row r="64565" spans="119:119" x14ac:dyDescent="0.2">
      <c r="DO64565" s="303" t="s">
        <v>232</v>
      </c>
    </row>
    <row r="64566" spans="119:119" x14ac:dyDescent="0.2">
      <c r="DO64566" s="303" t="s">
        <v>232</v>
      </c>
    </row>
    <row r="64567" spans="119:119" x14ac:dyDescent="0.2">
      <c r="DO64567" s="303" t="s">
        <v>232</v>
      </c>
    </row>
    <row r="64568" spans="119:119" x14ac:dyDescent="0.2">
      <c r="DO64568" s="303" t="s">
        <v>232</v>
      </c>
    </row>
    <row r="64569" spans="119:119" x14ac:dyDescent="0.2">
      <c r="DO64569" s="303" t="s">
        <v>232</v>
      </c>
    </row>
    <row r="64570" spans="119:119" x14ac:dyDescent="0.2">
      <c r="DO64570" s="303" t="s">
        <v>232</v>
      </c>
    </row>
    <row r="64571" spans="119:119" x14ac:dyDescent="0.2">
      <c r="DO64571" s="303" t="s">
        <v>232</v>
      </c>
    </row>
    <row r="64572" spans="119:119" x14ac:dyDescent="0.2">
      <c r="DO64572" s="303" t="s">
        <v>232</v>
      </c>
    </row>
    <row r="64573" spans="119:119" x14ac:dyDescent="0.2">
      <c r="DO64573" s="303" t="s">
        <v>232</v>
      </c>
    </row>
    <row r="64574" spans="119:119" x14ac:dyDescent="0.2">
      <c r="DO64574" s="303" t="s">
        <v>232</v>
      </c>
    </row>
    <row r="64575" spans="119:119" x14ac:dyDescent="0.2">
      <c r="DO64575" s="303" t="s">
        <v>232</v>
      </c>
    </row>
    <row r="64576" spans="119:119" x14ac:dyDescent="0.2">
      <c r="DO64576" s="303" t="s">
        <v>232</v>
      </c>
    </row>
    <row r="64577" spans="119:119" x14ac:dyDescent="0.2">
      <c r="DO64577" s="303" t="s">
        <v>232</v>
      </c>
    </row>
    <row r="64578" spans="119:119" x14ac:dyDescent="0.2">
      <c r="DO64578" s="303" t="s">
        <v>232</v>
      </c>
    </row>
    <row r="64579" spans="119:119" x14ac:dyDescent="0.2">
      <c r="DO64579" s="303" t="s">
        <v>232</v>
      </c>
    </row>
    <row r="64580" spans="119:119" x14ac:dyDescent="0.2">
      <c r="DO64580" s="303" t="s">
        <v>232</v>
      </c>
    </row>
    <row r="64581" spans="119:119" x14ac:dyDescent="0.2">
      <c r="DO64581" s="303" t="s">
        <v>232</v>
      </c>
    </row>
    <row r="64582" spans="119:119" x14ac:dyDescent="0.2">
      <c r="DO64582" s="303" t="s">
        <v>232</v>
      </c>
    </row>
    <row r="64583" spans="119:119" x14ac:dyDescent="0.2">
      <c r="DO64583" s="303" t="s">
        <v>232</v>
      </c>
    </row>
    <row r="64584" spans="119:119" x14ac:dyDescent="0.2">
      <c r="DO64584" s="303" t="s">
        <v>232</v>
      </c>
    </row>
    <row r="64585" spans="119:119" x14ac:dyDescent="0.2">
      <c r="DO64585" s="303" t="s">
        <v>232</v>
      </c>
    </row>
    <row r="64586" spans="119:119" x14ac:dyDescent="0.2">
      <c r="DO64586" s="303" t="s">
        <v>232</v>
      </c>
    </row>
    <row r="64587" spans="119:119" x14ac:dyDescent="0.2">
      <c r="DO64587" s="303" t="s">
        <v>232</v>
      </c>
    </row>
    <row r="64588" spans="119:119" x14ac:dyDescent="0.2">
      <c r="DO64588" s="303" t="s">
        <v>232</v>
      </c>
    </row>
    <row r="64589" spans="119:119" x14ac:dyDescent="0.2">
      <c r="DO64589" s="303" t="s">
        <v>232</v>
      </c>
    </row>
    <row r="64590" spans="119:119" x14ac:dyDescent="0.2">
      <c r="DO64590" s="303" t="s">
        <v>232</v>
      </c>
    </row>
    <row r="64591" spans="119:119" x14ac:dyDescent="0.2">
      <c r="DO64591" s="303" t="s">
        <v>232</v>
      </c>
    </row>
    <row r="64592" spans="119:119" x14ac:dyDescent="0.2">
      <c r="DO64592" s="303" t="s">
        <v>232</v>
      </c>
    </row>
    <row r="64593" spans="119:119" x14ac:dyDescent="0.2">
      <c r="DO64593" s="303" t="s">
        <v>232</v>
      </c>
    </row>
    <row r="64594" spans="119:119" x14ac:dyDescent="0.2">
      <c r="DO64594" s="303" t="s">
        <v>232</v>
      </c>
    </row>
    <row r="64595" spans="119:119" x14ac:dyDescent="0.2">
      <c r="DO64595" s="303" t="s">
        <v>232</v>
      </c>
    </row>
    <row r="64596" spans="119:119" x14ac:dyDescent="0.2">
      <c r="DO64596" s="303" t="s">
        <v>232</v>
      </c>
    </row>
    <row r="64597" spans="119:119" x14ac:dyDescent="0.2">
      <c r="DO64597" s="303" t="s">
        <v>232</v>
      </c>
    </row>
    <row r="64598" spans="119:119" x14ac:dyDescent="0.2">
      <c r="DO64598" s="303" t="s">
        <v>232</v>
      </c>
    </row>
    <row r="64599" spans="119:119" x14ac:dyDescent="0.2">
      <c r="DO64599" s="303" t="s">
        <v>232</v>
      </c>
    </row>
    <row r="64600" spans="119:119" x14ac:dyDescent="0.2">
      <c r="DO64600" s="303" t="s">
        <v>232</v>
      </c>
    </row>
    <row r="64601" spans="119:119" x14ac:dyDescent="0.2">
      <c r="DO64601" s="303" t="s">
        <v>232</v>
      </c>
    </row>
    <row r="64602" spans="119:119" x14ac:dyDescent="0.2">
      <c r="DO64602" s="303" t="s">
        <v>232</v>
      </c>
    </row>
    <row r="64603" spans="119:119" x14ac:dyDescent="0.2">
      <c r="DO64603" s="303" t="s">
        <v>232</v>
      </c>
    </row>
    <row r="64604" spans="119:119" x14ac:dyDescent="0.2">
      <c r="DO64604" s="303" t="s">
        <v>232</v>
      </c>
    </row>
    <row r="64605" spans="119:119" x14ac:dyDescent="0.2">
      <c r="DO64605" s="303" t="s">
        <v>232</v>
      </c>
    </row>
    <row r="64606" spans="119:119" x14ac:dyDescent="0.2">
      <c r="DO64606" s="303" t="s">
        <v>232</v>
      </c>
    </row>
    <row r="64607" spans="119:119" x14ac:dyDescent="0.2">
      <c r="DO64607" s="303" t="s">
        <v>232</v>
      </c>
    </row>
    <row r="64608" spans="119:119" x14ac:dyDescent="0.2">
      <c r="DO64608" s="303" t="s">
        <v>232</v>
      </c>
    </row>
    <row r="64609" spans="119:119" x14ac:dyDescent="0.2">
      <c r="DO64609" s="303" t="s">
        <v>232</v>
      </c>
    </row>
    <row r="64610" spans="119:119" x14ac:dyDescent="0.2">
      <c r="DO64610" s="303" t="s">
        <v>232</v>
      </c>
    </row>
    <row r="64611" spans="119:119" x14ac:dyDescent="0.2">
      <c r="DO64611" s="303" t="s">
        <v>232</v>
      </c>
    </row>
    <row r="64612" spans="119:119" x14ac:dyDescent="0.2">
      <c r="DO64612" s="303" t="s">
        <v>232</v>
      </c>
    </row>
    <row r="64613" spans="119:119" x14ac:dyDescent="0.2">
      <c r="DO64613" s="303" t="s">
        <v>232</v>
      </c>
    </row>
    <row r="64614" spans="119:119" x14ac:dyDescent="0.2">
      <c r="DO64614" s="303" t="s">
        <v>232</v>
      </c>
    </row>
    <row r="64615" spans="119:119" x14ac:dyDescent="0.2">
      <c r="DO64615" s="303" t="s">
        <v>232</v>
      </c>
    </row>
    <row r="64616" spans="119:119" x14ac:dyDescent="0.2">
      <c r="DO64616" s="303" t="s">
        <v>232</v>
      </c>
    </row>
    <row r="64617" spans="119:119" x14ac:dyDescent="0.2">
      <c r="DO64617" s="303" t="s">
        <v>232</v>
      </c>
    </row>
    <row r="64618" spans="119:119" x14ac:dyDescent="0.2">
      <c r="DO64618" s="303" t="s">
        <v>232</v>
      </c>
    </row>
    <row r="64619" spans="119:119" x14ac:dyDescent="0.2">
      <c r="DO64619" s="303" t="s">
        <v>232</v>
      </c>
    </row>
    <row r="64620" spans="119:119" x14ac:dyDescent="0.2">
      <c r="DO64620" s="303" t="s">
        <v>232</v>
      </c>
    </row>
    <row r="64621" spans="119:119" x14ac:dyDescent="0.2">
      <c r="DO64621" s="303" t="s">
        <v>232</v>
      </c>
    </row>
    <row r="64622" spans="119:119" x14ac:dyDescent="0.2">
      <c r="DO64622" s="303" t="s">
        <v>232</v>
      </c>
    </row>
    <row r="64623" spans="119:119" x14ac:dyDescent="0.2">
      <c r="DO64623" s="303" t="s">
        <v>232</v>
      </c>
    </row>
    <row r="64624" spans="119:119" x14ac:dyDescent="0.2">
      <c r="DO64624" s="303" t="s">
        <v>232</v>
      </c>
    </row>
    <row r="64625" spans="119:119" x14ac:dyDescent="0.2">
      <c r="DO64625" s="303" t="s">
        <v>232</v>
      </c>
    </row>
    <row r="64626" spans="119:119" x14ac:dyDescent="0.2">
      <c r="DO64626" s="303" t="s">
        <v>232</v>
      </c>
    </row>
    <row r="64627" spans="119:119" x14ac:dyDescent="0.2">
      <c r="DO64627" s="303" t="s">
        <v>232</v>
      </c>
    </row>
    <row r="64628" spans="119:119" x14ac:dyDescent="0.2">
      <c r="DO64628" s="303" t="s">
        <v>232</v>
      </c>
    </row>
    <row r="64629" spans="119:119" x14ac:dyDescent="0.2">
      <c r="DO64629" s="303" t="s">
        <v>232</v>
      </c>
    </row>
    <row r="64630" spans="119:119" x14ac:dyDescent="0.2">
      <c r="DO64630" s="303" t="s">
        <v>232</v>
      </c>
    </row>
    <row r="64631" spans="119:119" x14ac:dyDescent="0.2">
      <c r="DO64631" s="303" t="s">
        <v>232</v>
      </c>
    </row>
    <row r="64632" spans="119:119" x14ac:dyDescent="0.2">
      <c r="DO64632" s="303" t="s">
        <v>232</v>
      </c>
    </row>
    <row r="64633" spans="119:119" x14ac:dyDescent="0.2">
      <c r="DO64633" s="303" t="s">
        <v>232</v>
      </c>
    </row>
    <row r="64634" spans="119:119" x14ac:dyDescent="0.2">
      <c r="DO64634" s="303" t="s">
        <v>232</v>
      </c>
    </row>
    <row r="64635" spans="119:119" x14ac:dyDescent="0.2">
      <c r="DO64635" s="303" t="s">
        <v>232</v>
      </c>
    </row>
    <row r="64636" spans="119:119" x14ac:dyDescent="0.2">
      <c r="DO64636" s="303" t="s">
        <v>232</v>
      </c>
    </row>
    <row r="64637" spans="119:119" x14ac:dyDescent="0.2">
      <c r="DO64637" s="303" t="s">
        <v>232</v>
      </c>
    </row>
    <row r="64638" spans="119:119" x14ac:dyDescent="0.2">
      <c r="DO64638" s="303" t="s">
        <v>232</v>
      </c>
    </row>
    <row r="64639" spans="119:119" x14ac:dyDescent="0.2">
      <c r="DO64639" s="303" t="s">
        <v>232</v>
      </c>
    </row>
    <row r="64640" spans="119:119" x14ac:dyDescent="0.2">
      <c r="DO64640" s="303" t="s">
        <v>232</v>
      </c>
    </row>
    <row r="64641" spans="119:119" x14ac:dyDescent="0.2">
      <c r="DO64641" s="303" t="s">
        <v>232</v>
      </c>
    </row>
    <row r="64642" spans="119:119" x14ac:dyDescent="0.2">
      <c r="DO64642" s="303" t="s">
        <v>232</v>
      </c>
    </row>
    <row r="64643" spans="119:119" x14ac:dyDescent="0.2">
      <c r="DO64643" s="303" t="s">
        <v>232</v>
      </c>
    </row>
    <row r="64644" spans="119:119" x14ac:dyDescent="0.2">
      <c r="DO64644" s="303" t="s">
        <v>232</v>
      </c>
    </row>
    <row r="64645" spans="119:119" x14ac:dyDescent="0.2">
      <c r="DO64645" s="303" t="s">
        <v>232</v>
      </c>
    </row>
    <row r="64646" spans="119:119" x14ac:dyDescent="0.2">
      <c r="DO64646" s="303" t="s">
        <v>232</v>
      </c>
    </row>
    <row r="64647" spans="119:119" x14ac:dyDescent="0.2">
      <c r="DO64647" s="303" t="s">
        <v>232</v>
      </c>
    </row>
    <row r="64648" spans="119:119" x14ac:dyDescent="0.2">
      <c r="DO64648" s="303" t="s">
        <v>232</v>
      </c>
    </row>
    <row r="64649" spans="119:119" x14ac:dyDescent="0.2">
      <c r="DO64649" s="303" t="s">
        <v>232</v>
      </c>
    </row>
    <row r="64650" spans="119:119" x14ac:dyDescent="0.2">
      <c r="DO64650" s="303" t="s">
        <v>232</v>
      </c>
    </row>
    <row r="64651" spans="119:119" x14ac:dyDescent="0.2">
      <c r="DO64651" s="303" t="s">
        <v>232</v>
      </c>
    </row>
    <row r="64652" spans="119:119" x14ac:dyDescent="0.2">
      <c r="DO64652" s="303" t="s">
        <v>232</v>
      </c>
    </row>
    <row r="64653" spans="119:119" x14ac:dyDescent="0.2">
      <c r="DO64653" s="303" t="s">
        <v>232</v>
      </c>
    </row>
    <row r="64654" spans="119:119" x14ac:dyDescent="0.2">
      <c r="DO64654" s="303" t="s">
        <v>232</v>
      </c>
    </row>
    <row r="64655" spans="119:119" x14ac:dyDescent="0.2">
      <c r="DO64655" s="303" t="s">
        <v>232</v>
      </c>
    </row>
    <row r="64656" spans="119:119" x14ac:dyDescent="0.2">
      <c r="DO64656" s="303" t="s">
        <v>232</v>
      </c>
    </row>
    <row r="64657" spans="119:119" x14ac:dyDescent="0.2">
      <c r="DO64657" s="303" t="s">
        <v>232</v>
      </c>
    </row>
    <row r="64658" spans="119:119" x14ac:dyDescent="0.2">
      <c r="DO64658" s="303" t="s">
        <v>232</v>
      </c>
    </row>
    <row r="64659" spans="119:119" x14ac:dyDescent="0.2">
      <c r="DO64659" s="303" t="s">
        <v>232</v>
      </c>
    </row>
    <row r="64660" spans="119:119" x14ac:dyDescent="0.2">
      <c r="DO64660" s="303" t="s">
        <v>232</v>
      </c>
    </row>
    <row r="64661" spans="119:119" x14ac:dyDescent="0.2">
      <c r="DO64661" s="303" t="s">
        <v>232</v>
      </c>
    </row>
    <row r="64662" spans="119:119" x14ac:dyDescent="0.2">
      <c r="DO64662" s="303" t="s">
        <v>232</v>
      </c>
    </row>
    <row r="64663" spans="119:119" x14ac:dyDescent="0.2">
      <c r="DO64663" s="303" t="s">
        <v>232</v>
      </c>
    </row>
    <row r="64664" spans="119:119" x14ac:dyDescent="0.2">
      <c r="DO64664" s="303" t="s">
        <v>232</v>
      </c>
    </row>
    <row r="64665" spans="119:119" x14ac:dyDescent="0.2">
      <c r="DO64665" s="303" t="s">
        <v>232</v>
      </c>
    </row>
    <row r="64666" spans="119:119" x14ac:dyDescent="0.2">
      <c r="DO64666" s="303" t="s">
        <v>232</v>
      </c>
    </row>
    <row r="64667" spans="119:119" x14ac:dyDescent="0.2">
      <c r="DO64667" s="303" t="s">
        <v>232</v>
      </c>
    </row>
    <row r="64668" spans="119:119" x14ac:dyDescent="0.2">
      <c r="DO64668" s="303" t="s">
        <v>232</v>
      </c>
    </row>
    <row r="64669" spans="119:119" x14ac:dyDescent="0.2">
      <c r="DO64669" s="303" t="s">
        <v>232</v>
      </c>
    </row>
    <row r="64670" spans="119:119" x14ac:dyDescent="0.2">
      <c r="DO64670" s="303" t="s">
        <v>232</v>
      </c>
    </row>
    <row r="64671" spans="119:119" x14ac:dyDescent="0.2">
      <c r="DO64671" s="303" t="s">
        <v>232</v>
      </c>
    </row>
    <row r="64672" spans="119:119" x14ac:dyDescent="0.2">
      <c r="DO64672" s="303" t="s">
        <v>232</v>
      </c>
    </row>
    <row r="64673" spans="119:119" x14ac:dyDescent="0.2">
      <c r="DO64673" s="303" t="s">
        <v>232</v>
      </c>
    </row>
    <row r="64674" spans="119:119" x14ac:dyDescent="0.2">
      <c r="DO64674" s="303" t="s">
        <v>232</v>
      </c>
    </row>
    <row r="64675" spans="119:119" x14ac:dyDescent="0.2">
      <c r="DO64675" s="303" t="s">
        <v>232</v>
      </c>
    </row>
    <row r="64676" spans="119:119" x14ac:dyDescent="0.2">
      <c r="DO64676" s="303" t="s">
        <v>232</v>
      </c>
    </row>
    <row r="64677" spans="119:119" x14ac:dyDescent="0.2">
      <c r="DO64677" s="303" t="s">
        <v>232</v>
      </c>
    </row>
    <row r="64678" spans="119:119" x14ac:dyDescent="0.2">
      <c r="DO64678" s="303" t="s">
        <v>232</v>
      </c>
    </row>
    <row r="64679" spans="119:119" x14ac:dyDescent="0.2">
      <c r="DO64679" s="303" t="s">
        <v>232</v>
      </c>
    </row>
    <row r="64680" spans="119:119" x14ac:dyDescent="0.2">
      <c r="DO64680" s="303" t="s">
        <v>232</v>
      </c>
    </row>
    <row r="64681" spans="119:119" x14ac:dyDescent="0.2">
      <c r="DO64681" s="303" t="s">
        <v>232</v>
      </c>
    </row>
    <row r="64682" spans="119:119" x14ac:dyDescent="0.2">
      <c r="DO64682" s="303" t="s">
        <v>232</v>
      </c>
    </row>
    <row r="64683" spans="119:119" x14ac:dyDescent="0.2">
      <c r="DO64683" s="303" t="s">
        <v>232</v>
      </c>
    </row>
    <row r="64684" spans="119:119" x14ac:dyDescent="0.2">
      <c r="DO64684" s="303" t="s">
        <v>232</v>
      </c>
    </row>
    <row r="64685" spans="119:119" x14ac:dyDescent="0.2">
      <c r="DO64685" s="303" t="s">
        <v>232</v>
      </c>
    </row>
    <row r="64686" spans="119:119" x14ac:dyDescent="0.2">
      <c r="DO64686" s="303" t="s">
        <v>232</v>
      </c>
    </row>
    <row r="64687" spans="119:119" x14ac:dyDescent="0.2">
      <c r="DO64687" s="303" t="s">
        <v>232</v>
      </c>
    </row>
    <row r="64688" spans="119:119" x14ac:dyDescent="0.2">
      <c r="DO64688" s="303" t="s">
        <v>232</v>
      </c>
    </row>
    <row r="64689" spans="119:119" x14ac:dyDescent="0.2">
      <c r="DO64689" s="303" t="s">
        <v>232</v>
      </c>
    </row>
    <row r="64690" spans="119:119" x14ac:dyDescent="0.2">
      <c r="DO64690" s="303" t="s">
        <v>232</v>
      </c>
    </row>
    <row r="64691" spans="119:119" x14ac:dyDescent="0.2">
      <c r="DO64691" s="303" t="s">
        <v>232</v>
      </c>
    </row>
    <row r="64692" spans="119:119" x14ac:dyDescent="0.2">
      <c r="DO64692" s="303" t="s">
        <v>232</v>
      </c>
    </row>
    <row r="64693" spans="119:119" x14ac:dyDescent="0.2">
      <c r="DO64693" s="303" t="s">
        <v>232</v>
      </c>
    </row>
    <row r="64694" spans="119:119" x14ac:dyDescent="0.2">
      <c r="DO64694" s="303" t="s">
        <v>232</v>
      </c>
    </row>
    <row r="64695" spans="119:119" x14ac:dyDescent="0.2">
      <c r="DO64695" s="303" t="s">
        <v>232</v>
      </c>
    </row>
    <row r="64696" spans="119:119" x14ac:dyDescent="0.2">
      <c r="DO64696" s="303" t="s">
        <v>232</v>
      </c>
    </row>
    <row r="64697" spans="119:119" x14ac:dyDescent="0.2">
      <c r="DO64697" s="303" t="s">
        <v>232</v>
      </c>
    </row>
    <row r="64698" spans="119:119" x14ac:dyDescent="0.2">
      <c r="DO64698" s="303" t="s">
        <v>232</v>
      </c>
    </row>
    <row r="64699" spans="119:119" x14ac:dyDescent="0.2">
      <c r="DO64699" s="303" t="s">
        <v>232</v>
      </c>
    </row>
    <row r="64700" spans="119:119" x14ac:dyDescent="0.2">
      <c r="DO64700" s="303" t="s">
        <v>232</v>
      </c>
    </row>
    <row r="64701" spans="119:119" x14ac:dyDescent="0.2">
      <c r="DO64701" s="303" t="s">
        <v>232</v>
      </c>
    </row>
    <row r="64702" spans="119:119" x14ac:dyDescent="0.2">
      <c r="DO64702" s="303" t="s">
        <v>232</v>
      </c>
    </row>
    <row r="64703" spans="119:119" x14ac:dyDescent="0.2">
      <c r="DO64703" s="303" t="s">
        <v>232</v>
      </c>
    </row>
    <row r="64704" spans="119:119" x14ac:dyDescent="0.2">
      <c r="DO64704" s="303" t="s">
        <v>232</v>
      </c>
    </row>
    <row r="64705" spans="119:119" x14ac:dyDescent="0.2">
      <c r="DO64705" s="303" t="s">
        <v>232</v>
      </c>
    </row>
    <row r="64706" spans="119:119" x14ac:dyDescent="0.2">
      <c r="DO64706" s="303" t="s">
        <v>232</v>
      </c>
    </row>
    <row r="64707" spans="119:119" x14ac:dyDescent="0.2">
      <c r="DO64707" s="303" t="s">
        <v>232</v>
      </c>
    </row>
    <row r="64708" spans="119:119" x14ac:dyDescent="0.2">
      <c r="DO64708" s="303" t="s">
        <v>232</v>
      </c>
    </row>
    <row r="64709" spans="119:119" x14ac:dyDescent="0.2">
      <c r="DO64709" s="303" t="s">
        <v>232</v>
      </c>
    </row>
    <row r="64710" spans="119:119" x14ac:dyDescent="0.2">
      <c r="DO64710" s="303" t="s">
        <v>232</v>
      </c>
    </row>
    <row r="64711" spans="119:119" x14ac:dyDescent="0.2">
      <c r="DO64711" s="303" t="s">
        <v>232</v>
      </c>
    </row>
    <row r="64712" spans="119:119" x14ac:dyDescent="0.2">
      <c r="DO64712" s="303" t="s">
        <v>232</v>
      </c>
    </row>
    <row r="64713" spans="119:119" x14ac:dyDescent="0.2">
      <c r="DO64713" s="303" t="s">
        <v>232</v>
      </c>
    </row>
    <row r="64714" spans="119:119" x14ac:dyDescent="0.2">
      <c r="DO64714" s="303" t="s">
        <v>232</v>
      </c>
    </row>
    <row r="64715" spans="119:119" x14ac:dyDescent="0.2">
      <c r="DO64715" s="303" t="s">
        <v>232</v>
      </c>
    </row>
    <row r="64716" spans="119:119" x14ac:dyDescent="0.2">
      <c r="DO64716" s="303" t="s">
        <v>232</v>
      </c>
    </row>
    <row r="64717" spans="119:119" x14ac:dyDescent="0.2">
      <c r="DO64717" s="303" t="s">
        <v>232</v>
      </c>
    </row>
    <row r="64718" spans="119:119" x14ac:dyDescent="0.2">
      <c r="DO64718" s="303" t="s">
        <v>232</v>
      </c>
    </row>
    <row r="64719" spans="119:119" x14ac:dyDescent="0.2">
      <c r="DO64719" s="303" t="s">
        <v>232</v>
      </c>
    </row>
    <row r="64720" spans="119:119" x14ac:dyDescent="0.2">
      <c r="DO64720" s="303" t="s">
        <v>232</v>
      </c>
    </row>
    <row r="64721" spans="119:119" x14ac:dyDescent="0.2">
      <c r="DO64721" s="303" t="s">
        <v>232</v>
      </c>
    </row>
    <row r="64722" spans="119:119" x14ac:dyDescent="0.2">
      <c r="DO64722" s="303" t="s">
        <v>232</v>
      </c>
    </row>
    <row r="64723" spans="119:119" x14ac:dyDescent="0.2">
      <c r="DO64723" s="303" t="s">
        <v>232</v>
      </c>
    </row>
    <row r="64724" spans="119:119" x14ac:dyDescent="0.2">
      <c r="DO64724" s="303" t="s">
        <v>232</v>
      </c>
    </row>
    <row r="64725" spans="119:119" x14ac:dyDescent="0.2">
      <c r="DO64725" s="303" t="s">
        <v>232</v>
      </c>
    </row>
    <row r="64726" spans="119:119" x14ac:dyDescent="0.2">
      <c r="DO64726" s="303" t="s">
        <v>232</v>
      </c>
    </row>
    <row r="64727" spans="119:119" x14ac:dyDescent="0.2">
      <c r="DO64727" s="303" t="s">
        <v>232</v>
      </c>
    </row>
    <row r="64728" spans="119:119" x14ac:dyDescent="0.2">
      <c r="DO64728" s="303" t="s">
        <v>232</v>
      </c>
    </row>
    <row r="64729" spans="119:119" x14ac:dyDescent="0.2">
      <c r="DO64729" s="303" t="s">
        <v>232</v>
      </c>
    </row>
    <row r="64730" spans="119:119" x14ac:dyDescent="0.2">
      <c r="DO64730" s="303" t="s">
        <v>232</v>
      </c>
    </row>
    <row r="64731" spans="119:119" x14ac:dyDescent="0.2">
      <c r="DO64731" s="303" t="s">
        <v>232</v>
      </c>
    </row>
    <row r="64732" spans="119:119" x14ac:dyDescent="0.2">
      <c r="DO64732" s="303" t="s">
        <v>232</v>
      </c>
    </row>
    <row r="64733" spans="119:119" x14ac:dyDescent="0.2">
      <c r="DO64733" s="303" t="s">
        <v>232</v>
      </c>
    </row>
    <row r="64734" spans="119:119" x14ac:dyDescent="0.2">
      <c r="DO64734" s="303" t="s">
        <v>232</v>
      </c>
    </row>
    <row r="64735" spans="119:119" x14ac:dyDescent="0.2">
      <c r="DO64735" s="303" t="s">
        <v>232</v>
      </c>
    </row>
    <row r="64736" spans="119:119" x14ac:dyDescent="0.2">
      <c r="DO64736" s="303" t="s">
        <v>232</v>
      </c>
    </row>
    <row r="64737" spans="119:119" x14ac:dyDescent="0.2">
      <c r="DO64737" s="303" t="s">
        <v>232</v>
      </c>
    </row>
    <row r="64738" spans="119:119" x14ac:dyDescent="0.2">
      <c r="DO64738" s="303" t="s">
        <v>232</v>
      </c>
    </row>
    <row r="64739" spans="119:119" x14ac:dyDescent="0.2">
      <c r="DO64739" s="303" t="s">
        <v>232</v>
      </c>
    </row>
    <row r="64740" spans="119:119" x14ac:dyDescent="0.2">
      <c r="DO64740" s="303" t="s">
        <v>232</v>
      </c>
    </row>
    <row r="64741" spans="119:119" x14ac:dyDescent="0.2">
      <c r="DO64741" s="303" t="s">
        <v>232</v>
      </c>
    </row>
    <row r="64742" spans="119:119" x14ac:dyDescent="0.2">
      <c r="DO64742" s="303" t="s">
        <v>232</v>
      </c>
    </row>
    <row r="64743" spans="119:119" x14ac:dyDescent="0.2">
      <c r="DO64743" s="303" t="s">
        <v>232</v>
      </c>
    </row>
    <row r="64744" spans="119:119" x14ac:dyDescent="0.2">
      <c r="DO64744" s="303" t="s">
        <v>232</v>
      </c>
    </row>
    <row r="64745" spans="119:119" x14ac:dyDescent="0.2">
      <c r="DO64745" s="303" t="s">
        <v>232</v>
      </c>
    </row>
    <row r="64746" spans="119:119" x14ac:dyDescent="0.2">
      <c r="DO64746" s="303" t="s">
        <v>232</v>
      </c>
    </row>
    <row r="64747" spans="119:119" x14ac:dyDescent="0.2">
      <c r="DO64747" s="303" t="s">
        <v>232</v>
      </c>
    </row>
    <row r="64748" spans="119:119" x14ac:dyDescent="0.2">
      <c r="DO64748" s="303" t="s">
        <v>232</v>
      </c>
    </row>
    <row r="64749" spans="119:119" x14ac:dyDescent="0.2">
      <c r="DO64749" s="303" t="s">
        <v>232</v>
      </c>
    </row>
    <row r="64750" spans="119:119" x14ac:dyDescent="0.2">
      <c r="DO64750" s="303" t="s">
        <v>232</v>
      </c>
    </row>
    <row r="64751" spans="119:119" x14ac:dyDescent="0.2">
      <c r="DO64751" s="303" t="s">
        <v>232</v>
      </c>
    </row>
    <row r="64752" spans="119:119" x14ac:dyDescent="0.2">
      <c r="DO64752" s="303" t="s">
        <v>232</v>
      </c>
    </row>
    <row r="64753" spans="119:119" x14ac:dyDescent="0.2">
      <c r="DO64753" s="303" t="s">
        <v>232</v>
      </c>
    </row>
    <row r="64754" spans="119:119" x14ac:dyDescent="0.2">
      <c r="DO64754" s="303" t="s">
        <v>232</v>
      </c>
    </row>
    <row r="64755" spans="119:119" x14ac:dyDescent="0.2">
      <c r="DO64755" s="303" t="s">
        <v>232</v>
      </c>
    </row>
    <row r="64756" spans="119:119" x14ac:dyDescent="0.2">
      <c r="DO64756" s="303" t="s">
        <v>232</v>
      </c>
    </row>
    <row r="64757" spans="119:119" x14ac:dyDescent="0.2">
      <c r="DO64757" s="303" t="s">
        <v>232</v>
      </c>
    </row>
    <row r="64758" spans="119:119" x14ac:dyDescent="0.2">
      <c r="DO64758" s="303" t="s">
        <v>232</v>
      </c>
    </row>
    <row r="64759" spans="119:119" x14ac:dyDescent="0.2">
      <c r="DO64759" s="303" t="s">
        <v>232</v>
      </c>
    </row>
    <row r="64760" spans="119:119" x14ac:dyDescent="0.2">
      <c r="DO64760" s="303" t="s">
        <v>232</v>
      </c>
    </row>
    <row r="64761" spans="119:119" x14ac:dyDescent="0.2">
      <c r="DO64761" s="303" t="s">
        <v>232</v>
      </c>
    </row>
    <row r="64762" spans="119:119" x14ac:dyDescent="0.2">
      <c r="DO64762" s="303" t="s">
        <v>232</v>
      </c>
    </row>
    <row r="64763" spans="119:119" x14ac:dyDescent="0.2">
      <c r="DO64763" s="303" t="s">
        <v>232</v>
      </c>
    </row>
    <row r="64764" spans="119:119" x14ac:dyDescent="0.2">
      <c r="DO64764" s="303" t="s">
        <v>232</v>
      </c>
    </row>
    <row r="64765" spans="119:119" x14ac:dyDescent="0.2">
      <c r="DO64765" s="303" t="s">
        <v>232</v>
      </c>
    </row>
    <row r="64766" spans="119:119" x14ac:dyDescent="0.2">
      <c r="DO64766" s="303" t="s">
        <v>232</v>
      </c>
    </row>
    <row r="64767" spans="119:119" x14ac:dyDescent="0.2">
      <c r="DO64767" s="303" t="s">
        <v>232</v>
      </c>
    </row>
    <row r="64768" spans="119:119" x14ac:dyDescent="0.2">
      <c r="DO64768" s="303" t="s">
        <v>232</v>
      </c>
    </row>
    <row r="64769" spans="119:119" x14ac:dyDescent="0.2">
      <c r="DO64769" s="303" t="s">
        <v>232</v>
      </c>
    </row>
    <row r="64770" spans="119:119" x14ac:dyDescent="0.2">
      <c r="DO64770" s="303" t="s">
        <v>232</v>
      </c>
    </row>
    <row r="64771" spans="119:119" x14ac:dyDescent="0.2">
      <c r="DO64771" s="303" t="s">
        <v>232</v>
      </c>
    </row>
    <row r="64772" spans="119:119" x14ac:dyDescent="0.2">
      <c r="DO64772" s="303" t="s">
        <v>232</v>
      </c>
    </row>
    <row r="64773" spans="119:119" x14ac:dyDescent="0.2">
      <c r="DO64773" s="303" t="s">
        <v>232</v>
      </c>
    </row>
    <row r="64774" spans="119:119" x14ac:dyDescent="0.2">
      <c r="DO64774" s="303" t="s">
        <v>232</v>
      </c>
    </row>
    <row r="64775" spans="119:119" x14ac:dyDescent="0.2">
      <c r="DO64775" s="303" t="s">
        <v>232</v>
      </c>
    </row>
    <row r="64776" spans="119:119" x14ac:dyDescent="0.2">
      <c r="DO64776" s="303" t="s">
        <v>232</v>
      </c>
    </row>
    <row r="64777" spans="119:119" x14ac:dyDescent="0.2">
      <c r="DO64777" s="303" t="s">
        <v>232</v>
      </c>
    </row>
    <row r="64778" spans="119:119" x14ac:dyDescent="0.2">
      <c r="DO64778" s="303" t="s">
        <v>232</v>
      </c>
    </row>
    <row r="64779" spans="119:119" x14ac:dyDescent="0.2">
      <c r="DO64779" s="303" t="s">
        <v>232</v>
      </c>
    </row>
    <row r="64780" spans="119:119" x14ac:dyDescent="0.2">
      <c r="DO64780" s="303" t="s">
        <v>232</v>
      </c>
    </row>
    <row r="64781" spans="119:119" x14ac:dyDescent="0.2">
      <c r="DO64781" s="303" t="s">
        <v>232</v>
      </c>
    </row>
    <row r="64782" spans="119:119" x14ac:dyDescent="0.2">
      <c r="DO64782" s="303" t="s">
        <v>232</v>
      </c>
    </row>
    <row r="64783" spans="119:119" x14ac:dyDescent="0.2">
      <c r="DO64783" s="303" t="s">
        <v>232</v>
      </c>
    </row>
    <row r="64784" spans="119:119" x14ac:dyDescent="0.2">
      <c r="DO64784" s="303" t="s">
        <v>232</v>
      </c>
    </row>
    <row r="64785" spans="119:119" x14ac:dyDescent="0.2">
      <c r="DO64785" s="303" t="s">
        <v>232</v>
      </c>
    </row>
    <row r="64786" spans="119:119" x14ac:dyDescent="0.2">
      <c r="DO64786" s="303" t="s">
        <v>232</v>
      </c>
    </row>
    <row r="64787" spans="119:119" x14ac:dyDescent="0.2">
      <c r="DO64787" s="303" t="s">
        <v>232</v>
      </c>
    </row>
    <row r="64788" spans="119:119" x14ac:dyDescent="0.2">
      <c r="DO64788" s="303" t="s">
        <v>232</v>
      </c>
    </row>
    <row r="64789" spans="119:119" x14ac:dyDescent="0.2">
      <c r="DO64789" s="303" t="s">
        <v>232</v>
      </c>
    </row>
    <row r="64790" spans="119:119" x14ac:dyDescent="0.2">
      <c r="DO64790" s="303" t="s">
        <v>232</v>
      </c>
    </row>
    <row r="64791" spans="119:119" x14ac:dyDescent="0.2">
      <c r="DO64791" s="303" t="s">
        <v>232</v>
      </c>
    </row>
    <row r="64792" spans="119:119" x14ac:dyDescent="0.2">
      <c r="DO64792" s="303" t="s">
        <v>232</v>
      </c>
    </row>
    <row r="64793" spans="119:119" x14ac:dyDescent="0.2">
      <c r="DO64793" s="303" t="s">
        <v>232</v>
      </c>
    </row>
    <row r="64794" spans="119:119" x14ac:dyDescent="0.2">
      <c r="DO64794" s="303" t="s">
        <v>232</v>
      </c>
    </row>
    <row r="64795" spans="119:119" x14ac:dyDescent="0.2">
      <c r="DO64795" s="303" t="s">
        <v>232</v>
      </c>
    </row>
    <row r="64796" spans="119:119" x14ac:dyDescent="0.2">
      <c r="DO64796" s="303" t="s">
        <v>232</v>
      </c>
    </row>
    <row r="64797" spans="119:119" x14ac:dyDescent="0.2">
      <c r="DO64797" s="303" t="s">
        <v>232</v>
      </c>
    </row>
    <row r="64798" spans="119:119" x14ac:dyDescent="0.2">
      <c r="DO64798" s="303" t="s">
        <v>232</v>
      </c>
    </row>
    <row r="64799" spans="119:119" x14ac:dyDescent="0.2">
      <c r="DO64799" s="303" t="s">
        <v>232</v>
      </c>
    </row>
    <row r="64800" spans="119:119" x14ac:dyDescent="0.2">
      <c r="DO64800" s="303" t="s">
        <v>232</v>
      </c>
    </row>
    <row r="64801" spans="119:119" x14ac:dyDescent="0.2">
      <c r="DO64801" s="303" t="s">
        <v>232</v>
      </c>
    </row>
    <row r="64802" spans="119:119" x14ac:dyDescent="0.2">
      <c r="DO64802" s="303" t="s">
        <v>232</v>
      </c>
    </row>
    <row r="64803" spans="119:119" x14ac:dyDescent="0.2">
      <c r="DO64803" s="303" t="s">
        <v>232</v>
      </c>
    </row>
    <row r="64804" spans="119:119" x14ac:dyDescent="0.2">
      <c r="DO64804" s="303" t="s">
        <v>232</v>
      </c>
    </row>
    <row r="64805" spans="119:119" x14ac:dyDescent="0.2">
      <c r="DO64805" s="303" t="s">
        <v>232</v>
      </c>
    </row>
    <row r="64806" spans="119:119" x14ac:dyDescent="0.2">
      <c r="DO64806" s="303" t="s">
        <v>232</v>
      </c>
    </row>
    <row r="64807" spans="119:119" x14ac:dyDescent="0.2">
      <c r="DO64807" s="303" t="s">
        <v>232</v>
      </c>
    </row>
    <row r="64808" spans="119:119" x14ac:dyDescent="0.2">
      <c r="DO64808" s="303" t="s">
        <v>232</v>
      </c>
    </row>
    <row r="64809" spans="119:119" x14ac:dyDescent="0.2">
      <c r="DO64809" s="303" t="s">
        <v>232</v>
      </c>
    </row>
    <row r="64810" spans="119:119" x14ac:dyDescent="0.2">
      <c r="DO64810" s="303" t="s">
        <v>232</v>
      </c>
    </row>
    <row r="64811" spans="119:119" x14ac:dyDescent="0.2">
      <c r="DO64811" s="303" t="s">
        <v>232</v>
      </c>
    </row>
    <row r="64812" spans="119:119" x14ac:dyDescent="0.2">
      <c r="DO64812" s="303" t="s">
        <v>232</v>
      </c>
    </row>
    <row r="64813" spans="119:119" x14ac:dyDescent="0.2">
      <c r="DO64813" s="303" t="s">
        <v>232</v>
      </c>
    </row>
    <row r="64814" spans="119:119" x14ac:dyDescent="0.2">
      <c r="DO64814" s="303" t="s">
        <v>232</v>
      </c>
    </row>
    <row r="64815" spans="119:119" x14ac:dyDescent="0.2">
      <c r="DO64815" s="303" t="s">
        <v>232</v>
      </c>
    </row>
    <row r="64816" spans="119:119" x14ac:dyDescent="0.2">
      <c r="DO64816" s="303" t="s">
        <v>232</v>
      </c>
    </row>
    <row r="64817" spans="119:119" x14ac:dyDescent="0.2">
      <c r="DO64817" s="303" t="s">
        <v>232</v>
      </c>
    </row>
    <row r="64818" spans="119:119" x14ac:dyDescent="0.2">
      <c r="DO64818" s="303" t="s">
        <v>232</v>
      </c>
    </row>
    <row r="64819" spans="119:119" x14ac:dyDescent="0.2">
      <c r="DO64819" s="303" t="s">
        <v>232</v>
      </c>
    </row>
    <row r="64820" spans="119:119" x14ac:dyDescent="0.2">
      <c r="DO64820" s="303" t="s">
        <v>232</v>
      </c>
    </row>
    <row r="64821" spans="119:119" x14ac:dyDescent="0.2">
      <c r="DO64821" s="303" t="s">
        <v>232</v>
      </c>
    </row>
    <row r="64822" spans="119:119" x14ac:dyDescent="0.2">
      <c r="DO64822" s="303" t="s">
        <v>232</v>
      </c>
    </row>
    <row r="64823" spans="119:119" x14ac:dyDescent="0.2">
      <c r="DO64823" s="303" t="s">
        <v>232</v>
      </c>
    </row>
    <row r="64824" spans="119:119" x14ac:dyDescent="0.2">
      <c r="DO64824" s="303" t="s">
        <v>232</v>
      </c>
    </row>
    <row r="64825" spans="119:119" x14ac:dyDescent="0.2">
      <c r="DO64825" s="303" t="s">
        <v>232</v>
      </c>
    </row>
    <row r="64826" spans="119:119" x14ac:dyDescent="0.2">
      <c r="DO64826" s="303" t="s">
        <v>232</v>
      </c>
    </row>
    <row r="64827" spans="119:119" x14ac:dyDescent="0.2">
      <c r="DO64827" s="303" t="s">
        <v>232</v>
      </c>
    </row>
    <row r="64828" spans="119:119" x14ac:dyDescent="0.2">
      <c r="DO64828" s="303" t="s">
        <v>232</v>
      </c>
    </row>
    <row r="64829" spans="119:119" x14ac:dyDescent="0.2">
      <c r="DO64829" s="303" t="s">
        <v>232</v>
      </c>
    </row>
    <row r="64830" spans="119:119" x14ac:dyDescent="0.2">
      <c r="DO64830" s="303" t="s">
        <v>232</v>
      </c>
    </row>
    <row r="64831" spans="119:119" x14ac:dyDescent="0.2">
      <c r="DO64831" s="303" t="s">
        <v>232</v>
      </c>
    </row>
    <row r="64832" spans="119:119" x14ac:dyDescent="0.2">
      <c r="DO64832" s="303" t="s">
        <v>232</v>
      </c>
    </row>
    <row r="64833" spans="119:119" x14ac:dyDescent="0.2">
      <c r="DO64833" s="303" t="s">
        <v>232</v>
      </c>
    </row>
    <row r="64834" spans="119:119" x14ac:dyDescent="0.2">
      <c r="DO64834" s="303" t="s">
        <v>232</v>
      </c>
    </row>
    <row r="64835" spans="119:119" x14ac:dyDescent="0.2">
      <c r="DO64835" s="303" t="s">
        <v>232</v>
      </c>
    </row>
    <row r="64836" spans="119:119" x14ac:dyDescent="0.2">
      <c r="DO64836" s="303" t="s">
        <v>232</v>
      </c>
    </row>
    <row r="64837" spans="119:119" x14ac:dyDescent="0.2">
      <c r="DO64837" s="303" t="s">
        <v>232</v>
      </c>
    </row>
    <row r="64838" spans="119:119" x14ac:dyDescent="0.2">
      <c r="DO64838" s="303" t="s">
        <v>232</v>
      </c>
    </row>
    <row r="64839" spans="119:119" x14ac:dyDescent="0.2">
      <c r="DO64839" s="303" t="s">
        <v>232</v>
      </c>
    </row>
    <row r="64840" spans="119:119" x14ac:dyDescent="0.2">
      <c r="DO64840" s="303" t="s">
        <v>232</v>
      </c>
    </row>
    <row r="64841" spans="119:119" x14ac:dyDescent="0.2">
      <c r="DO64841" s="303" t="s">
        <v>232</v>
      </c>
    </row>
    <row r="64842" spans="119:119" x14ac:dyDescent="0.2">
      <c r="DO64842" s="303" t="s">
        <v>232</v>
      </c>
    </row>
    <row r="64843" spans="119:119" x14ac:dyDescent="0.2">
      <c r="DO64843" s="303" t="s">
        <v>232</v>
      </c>
    </row>
    <row r="64844" spans="119:119" x14ac:dyDescent="0.2">
      <c r="DO64844" s="303" t="s">
        <v>232</v>
      </c>
    </row>
    <row r="64845" spans="119:119" x14ac:dyDescent="0.2">
      <c r="DO64845" s="303" t="s">
        <v>232</v>
      </c>
    </row>
    <row r="64846" spans="119:119" x14ac:dyDescent="0.2">
      <c r="DO64846" s="303" t="s">
        <v>232</v>
      </c>
    </row>
    <row r="64847" spans="119:119" x14ac:dyDescent="0.2">
      <c r="DO64847" s="303" t="s">
        <v>232</v>
      </c>
    </row>
    <row r="64848" spans="119:119" x14ac:dyDescent="0.2">
      <c r="DO64848" s="303" t="s">
        <v>232</v>
      </c>
    </row>
    <row r="64849" spans="119:119" x14ac:dyDescent="0.2">
      <c r="DO64849" s="303" t="s">
        <v>232</v>
      </c>
    </row>
    <row r="64850" spans="119:119" x14ac:dyDescent="0.2">
      <c r="DO64850" s="303" t="s">
        <v>232</v>
      </c>
    </row>
    <row r="64851" spans="119:119" x14ac:dyDescent="0.2">
      <c r="DO64851" s="303" t="s">
        <v>232</v>
      </c>
    </row>
    <row r="64852" spans="119:119" x14ac:dyDescent="0.2">
      <c r="DO64852" s="303" t="s">
        <v>232</v>
      </c>
    </row>
    <row r="64853" spans="119:119" x14ac:dyDescent="0.2">
      <c r="DO64853" s="303" t="s">
        <v>232</v>
      </c>
    </row>
    <row r="64854" spans="119:119" x14ac:dyDescent="0.2">
      <c r="DO64854" s="303" t="s">
        <v>232</v>
      </c>
    </row>
    <row r="64855" spans="119:119" x14ac:dyDescent="0.2">
      <c r="DO64855" s="303" t="s">
        <v>232</v>
      </c>
    </row>
    <row r="64856" spans="119:119" x14ac:dyDescent="0.2">
      <c r="DO64856" s="303" t="s">
        <v>232</v>
      </c>
    </row>
    <row r="64857" spans="119:119" x14ac:dyDescent="0.2">
      <c r="DO64857" s="303" t="s">
        <v>232</v>
      </c>
    </row>
    <row r="64858" spans="119:119" x14ac:dyDescent="0.2">
      <c r="DO64858" s="303" t="s">
        <v>232</v>
      </c>
    </row>
    <row r="64859" spans="119:119" x14ac:dyDescent="0.2">
      <c r="DO64859" s="303" t="s">
        <v>232</v>
      </c>
    </row>
    <row r="64860" spans="119:119" x14ac:dyDescent="0.2">
      <c r="DO64860" s="303" t="s">
        <v>232</v>
      </c>
    </row>
    <row r="64861" spans="119:119" x14ac:dyDescent="0.2">
      <c r="DO64861" s="303" t="s">
        <v>232</v>
      </c>
    </row>
    <row r="64862" spans="119:119" x14ac:dyDescent="0.2">
      <c r="DO64862" s="303" t="s">
        <v>232</v>
      </c>
    </row>
    <row r="64863" spans="119:119" x14ac:dyDescent="0.2">
      <c r="DO64863" s="303" t="s">
        <v>232</v>
      </c>
    </row>
    <row r="64864" spans="119:119" x14ac:dyDescent="0.2">
      <c r="DO64864" s="303" t="s">
        <v>232</v>
      </c>
    </row>
    <row r="64865" spans="119:119" x14ac:dyDescent="0.2">
      <c r="DO64865" s="303" t="s">
        <v>232</v>
      </c>
    </row>
    <row r="64866" spans="119:119" x14ac:dyDescent="0.2">
      <c r="DO64866" s="303" t="s">
        <v>232</v>
      </c>
    </row>
    <row r="64867" spans="119:119" x14ac:dyDescent="0.2">
      <c r="DO64867" s="303" t="s">
        <v>232</v>
      </c>
    </row>
    <row r="64868" spans="119:119" x14ac:dyDescent="0.2">
      <c r="DO64868" s="303" t="s">
        <v>232</v>
      </c>
    </row>
    <row r="64869" spans="119:119" x14ac:dyDescent="0.2">
      <c r="DO64869" s="303" t="s">
        <v>232</v>
      </c>
    </row>
    <row r="64870" spans="119:119" x14ac:dyDescent="0.2">
      <c r="DO64870" s="303" t="s">
        <v>232</v>
      </c>
    </row>
    <row r="64871" spans="119:119" x14ac:dyDescent="0.2">
      <c r="DO64871" s="303" t="s">
        <v>232</v>
      </c>
    </row>
    <row r="64872" spans="119:119" x14ac:dyDescent="0.2">
      <c r="DO64872" s="303" t="s">
        <v>232</v>
      </c>
    </row>
    <row r="64873" spans="119:119" x14ac:dyDescent="0.2">
      <c r="DO64873" s="303" t="s">
        <v>232</v>
      </c>
    </row>
    <row r="64874" spans="119:119" x14ac:dyDescent="0.2">
      <c r="DO64874" s="303" t="s">
        <v>232</v>
      </c>
    </row>
    <row r="64875" spans="119:119" x14ac:dyDescent="0.2">
      <c r="DO64875" s="303" t="s">
        <v>232</v>
      </c>
    </row>
    <row r="64876" spans="119:119" x14ac:dyDescent="0.2">
      <c r="DO64876" s="303" t="s">
        <v>232</v>
      </c>
    </row>
    <row r="64877" spans="119:119" x14ac:dyDescent="0.2">
      <c r="DO64877" s="303" t="s">
        <v>232</v>
      </c>
    </row>
    <row r="64878" spans="119:119" x14ac:dyDescent="0.2">
      <c r="DO64878" s="303" t="s">
        <v>232</v>
      </c>
    </row>
    <row r="64879" spans="119:119" x14ac:dyDescent="0.2">
      <c r="DO64879" s="303" t="s">
        <v>232</v>
      </c>
    </row>
    <row r="64880" spans="119:119" x14ac:dyDescent="0.2">
      <c r="DO64880" s="303" t="s">
        <v>232</v>
      </c>
    </row>
    <row r="64881" spans="119:119" x14ac:dyDescent="0.2">
      <c r="DO64881" s="303" t="s">
        <v>232</v>
      </c>
    </row>
    <row r="64882" spans="119:119" x14ac:dyDescent="0.2">
      <c r="DO64882" s="303" t="s">
        <v>232</v>
      </c>
    </row>
    <row r="64883" spans="119:119" x14ac:dyDescent="0.2">
      <c r="DO64883" s="303" t="s">
        <v>232</v>
      </c>
    </row>
    <row r="64884" spans="119:119" x14ac:dyDescent="0.2">
      <c r="DO64884" s="303" t="s">
        <v>232</v>
      </c>
    </row>
    <row r="64885" spans="119:119" x14ac:dyDescent="0.2">
      <c r="DO64885" s="303" t="s">
        <v>232</v>
      </c>
    </row>
    <row r="64886" spans="119:119" x14ac:dyDescent="0.2">
      <c r="DO64886" s="303" t="s">
        <v>232</v>
      </c>
    </row>
    <row r="64887" spans="119:119" x14ac:dyDescent="0.2">
      <c r="DO64887" s="303" t="s">
        <v>232</v>
      </c>
    </row>
    <row r="64888" spans="119:119" x14ac:dyDescent="0.2">
      <c r="DO64888" s="303" t="s">
        <v>232</v>
      </c>
    </row>
    <row r="64889" spans="119:119" x14ac:dyDescent="0.2">
      <c r="DO64889" s="303" t="s">
        <v>232</v>
      </c>
    </row>
    <row r="64890" spans="119:119" x14ac:dyDescent="0.2">
      <c r="DO64890" s="303" t="s">
        <v>232</v>
      </c>
    </row>
    <row r="64891" spans="119:119" x14ac:dyDescent="0.2">
      <c r="DO64891" s="303" t="s">
        <v>232</v>
      </c>
    </row>
    <row r="64892" spans="119:119" x14ac:dyDescent="0.2">
      <c r="DO64892" s="303" t="s">
        <v>232</v>
      </c>
    </row>
    <row r="64893" spans="119:119" x14ac:dyDescent="0.2">
      <c r="DO64893" s="303" t="s">
        <v>232</v>
      </c>
    </row>
    <row r="64894" spans="119:119" x14ac:dyDescent="0.2">
      <c r="DO64894" s="303" t="s">
        <v>232</v>
      </c>
    </row>
    <row r="64895" spans="119:119" x14ac:dyDescent="0.2">
      <c r="DO64895" s="303" t="s">
        <v>232</v>
      </c>
    </row>
    <row r="64896" spans="119:119" x14ac:dyDescent="0.2">
      <c r="DO64896" s="303" t="s">
        <v>232</v>
      </c>
    </row>
    <row r="64897" spans="119:119" x14ac:dyDescent="0.2">
      <c r="DO64897" s="303" t="s">
        <v>232</v>
      </c>
    </row>
    <row r="64898" spans="119:119" x14ac:dyDescent="0.2">
      <c r="DO64898" s="303" t="s">
        <v>232</v>
      </c>
    </row>
    <row r="64899" spans="119:119" x14ac:dyDescent="0.2">
      <c r="DO64899" s="303" t="s">
        <v>232</v>
      </c>
    </row>
    <row r="64900" spans="119:119" x14ac:dyDescent="0.2">
      <c r="DO64900" s="303" t="s">
        <v>232</v>
      </c>
    </row>
    <row r="64901" spans="119:119" x14ac:dyDescent="0.2">
      <c r="DO64901" s="303" t="s">
        <v>232</v>
      </c>
    </row>
    <row r="64902" spans="119:119" x14ac:dyDescent="0.2">
      <c r="DO64902" s="303" t="s">
        <v>232</v>
      </c>
    </row>
    <row r="64903" spans="119:119" x14ac:dyDescent="0.2">
      <c r="DO64903" s="303" t="s">
        <v>232</v>
      </c>
    </row>
    <row r="64904" spans="119:119" x14ac:dyDescent="0.2">
      <c r="DO64904" s="303" t="s">
        <v>232</v>
      </c>
    </row>
    <row r="64905" spans="119:119" x14ac:dyDescent="0.2">
      <c r="DO64905" s="303" t="s">
        <v>232</v>
      </c>
    </row>
    <row r="64906" spans="119:119" x14ac:dyDescent="0.2">
      <c r="DO64906" s="303" t="s">
        <v>232</v>
      </c>
    </row>
    <row r="64907" spans="119:119" x14ac:dyDescent="0.2">
      <c r="DO64907" s="303" t="s">
        <v>232</v>
      </c>
    </row>
    <row r="64908" spans="119:119" x14ac:dyDescent="0.2">
      <c r="DO64908" s="303" t="s">
        <v>232</v>
      </c>
    </row>
    <row r="64909" spans="119:119" x14ac:dyDescent="0.2">
      <c r="DO64909" s="303" t="s">
        <v>232</v>
      </c>
    </row>
    <row r="64910" spans="119:119" x14ac:dyDescent="0.2">
      <c r="DO64910" s="303" t="s">
        <v>232</v>
      </c>
    </row>
    <row r="64911" spans="119:119" x14ac:dyDescent="0.2">
      <c r="DO64911" s="303" t="s">
        <v>232</v>
      </c>
    </row>
    <row r="64912" spans="119:119" x14ac:dyDescent="0.2">
      <c r="DO64912" s="303" t="s">
        <v>232</v>
      </c>
    </row>
    <row r="64913" spans="119:119" x14ac:dyDescent="0.2">
      <c r="DO64913" s="303" t="s">
        <v>232</v>
      </c>
    </row>
    <row r="64914" spans="119:119" x14ac:dyDescent="0.2">
      <c r="DO64914" s="303" t="s">
        <v>232</v>
      </c>
    </row>
    <row r="64915" spans="119:119" x14ac:dyDescent="0.2">
      <c r="DO64915" s="303" t="s">
        <v>232</v>
      </c>
    </row>
    <row r="64916" spans="119:119" x14ac:dyDescent="0.2">
      <c r="DO64916" s="303" t="s">
        <v>232</v>
      </c>
    </row>
    <row r="64917" spans="119:119" x14ac:dyDescent="0.2">
      <c r="DO64917" s="303" t="s">
        <v>232</v>
      </c>
    </row>
    <row r="64918" spans="119:119" x14ac:dyDescent="0.2">
      <c r="DO64918" s="303" t="s">
        <v>232</v>
      </c>
    </row>
    <row r="64919" spans="119:119" x14ac:dyDescent="0.2">
      <c r="DO64919" s="303" t="s">
        <v>232</v>
      </c>
    </row>
    <row r="64920" spans="119:119" x14ac:dyDescent="0.2">
      <c r="DO64920" s="303" t="s">
        <v>232</v>
      </c>
    </row>
    <row r="64921" spans="119:119" x14ac:dyDescent="0.2">
      <c r="DO64921" s="303" t="s">
        <v>232</v>
      </c>
    </row>
    <row r="64922" spans="119:119" x14ac:dyDescent="0.2">
      <c r="DO64922" s="303" t="s">
        <v>232</v>
      </c>
    </row>
    <row r="64923" spans="119:119" x14ac:dyDescent="0.2">
      <c r="DO64923" s="303" t="s">
        <v>232</v>
      </c>
    </row>
    <row r="64924" spans="119:119" x14ac:dyDescent="0.2">
      <c r="DO64924" s="303" t="s">
        <v>232</v>
      </c>
    </row>
    <row r="64925" spans="119:119" x14ac:dyDescent="0.2">
      <c r="DO64925" s="303" t="s">
        <v>232</v>
      </c>
    </row>
    <row r="64926" spans="119:119" x14ac:dyDescent="0.2">
      <c r="DO64926" s="303" t="s">
        <v>232</v>
      </c>
    </row>
    <row r="64927" spans="119:119" x14ac:dyDescent="0.2">
      <c r="DO64927" s="303" t="s">
        <v>232</v>
      </c>
    </row>
    <row r="64928" spans="119:119" x14ac:dyDescent="0.2">
      <c r="DO64928" s="303" t="s">
        <v>232</v>
      </c>
    </row>
    <row r="64929" spans="119:119" x14ac:dyDescent="0.2">
      <c r="DO64929" s="303" t="s">
        <v>232</v>
      </c>
    </row>
    <row r="64930" spans="119:119" x14ac:dyDescent="0.2">
      <c r="DO64930" s="303" t="s">
        <v>232</v>
      </c>
    </row>
    <row r="64931" spans="119:119" x14ac:dyDescent="0.2">
      <c r="DO64931" s="303" t="s">
        <v>232</v>
      </c>
    </row>
    <row r="64932" spans="119:119" x14ac:dyDescent="0.2">
      <c r="DO64932" s="303" t="s">
        <v>232</v>
      </c>
    </row>
    <row r="64933" spans="119:119" x14ac:dyDescent="0.2">
      <c r="DO64933" s="303" t="s">
        <v>232</v>
      </c>
    </row>
    <row r="64934" spans="119:119" x14ac:dyDescent="0.2">
      <c r="DO64934" s="303" t="s">
        <v>232</v>
      </c>
    </row>
    <row r="64935" spans="119:119" x14ac:dyDescent="0.2">
      <c r="DO64935" s="303" t="s">
        <v>232</v>
      </c>
    </row>
    <row r="64936" spans="119:119" x14ac:dyDescent="0.2">
      <c r="DO64936" s="303" t="s">
        <v>232</v>
      </c>
    </row>
    <row r="64937" spans="119:119" x14ac:dyDescent="0.2">
      <c r="DO64937" s="303" t="s">
        <v>232</v>
      </c>
    </row>
    <row r="64938" spans="119:119" x14ac:dyDescent="0.2">
      <c r="DO64938" s="303" t="s">
        <v>232</v>
      </c>
    </row>
    <row r="64939" spans="119:119" x14ac:dyDescent="0.2">
      <c r="DO64939" s="303" t="s">
        <v>232</v>
      </c>
    </row>
    <row r="64940" spans="119:119" x14ac:dyDescent="0.2">
      <c r="DO64940" s="303" t="s">
        <v>232</v>
      </c>
    </row>
    <row r="64941" spans="119:119" x14ac:dyDescent="0.2">
      <c r="DO64941" s="303" t="s">
        <v>232</v>
      </c>
    </row>
    <row r="64942" spans="119:119" x14ac:dyDescent="0.2">
      <c r="DO64942" s="303" t="s">
        <v>232</v>
      </c>
    </row>
    <row r="64943" spans="119:119" x14ac:dyDescent="0.2">
      <c r="DO64943" s="303" t="s">
        <v>232</v>
      </c>
    </row>
    <row r="64944" spans="119:119" x14ac:dyDescent="0.2">
      <c r="DO64944" s="303" t="s">
        <v>232</v>
      </c>
    </row>
    <row r="64945" spans="119:119" x14ac:dyDescent="0.2">
      <c r="DO64945" s="303" t="s">
        <v>232</v>
      </c>
    </row>
    <row r="64946" spans="119:119" x14ac:dyDescent="0.2">
      <c r="DO64946" s="303" t="s">
        <v>232</v>
      </c>
    </row>
    <row r="64947" spans="119:119" x14ac:dyDescent="0.2">
      <c r="DO64947" s="303" t="s">
        <v>232</v>
      </c>
    </row>
    <row r="64948" spans="119:119" x14ac:dyDescent="0.2">
      <c r="DO64948" s="303" t="s">
        <v>232</v>
      </c>
    </row>
    <row r="64949" spans="119:119" x14ac:dyDescent="0.2">
      <c r="DO64949" s="303" t="s">
        <v>232</v>
      </c>
    </row>
    <row r="64950" spans="119:119" x14ac:dyDescent="0.2">
      <c r="DO64950" s="303" t="s">
        <v>232</v>
      </c>
    </row>
    <row r="64951" spans="119:119" x14ac:dyDescent="0.2">
      <c r="DO64951" s="303" t="s">
        <v>232</v>
      </c>
    </row>
    <row r="64952" spans="119:119" x14ac:dyDescent="0.2">
      <c r="DO64952" s="303" t="s">
        <v>232</v>
      </c>
    </row>
    <row r="64953" spans="119:119" x14ac:dyDescent="0.2">
      <c r="DO64953" s="303" t="s">
        <v>232</v>
      </c>
    </row>
    <row r="64954" spans="119:119" x14ac:dyDescent="0.2">
      <c r="DO64954" s="303" t="s">
        <v>232</v>
      </c>
    </row>
    <row r="64955" spans="119:119" x14ac:dyDescent="0.2">
      <c r="DO64955" s="303" t="s">
        <v>232</v>
      </c>
    </row>
    <row r="64956" spans="119:119" x14ac:dyDescent="0.2">
      <c r="DO64956" s="303" t="s">
        <v>232</v>
      </c>
    </row>
    <row r="64957" spans="119:119" x14ac:dyDescent="0.2">
      <c r="DO64957" s="303" t="s">
        <v>232</v>
      </c>
    </row>
    <row r="64958" spans="119:119" x14ac:dyDescent="0.2">
      <c r="DO64958" s="303" t="s">
        <v>232</v>
      </c>
    </row>
    <row r="64959" spans="119:119" x14ac:dyDescent="0.2">
      <c r="DO64959" s="303" t="s">
        <v>232</v>
      </c>
    </row>
    <row r="64960" spans="119:119" x14ac:dyDescent="0.2">
      <c r="DO64960" s="303" t="s">
        <v>232</v>
      </c>
    </row>
    <row r="64961" spans="119:119" x14ac:dyDescent="0.2">
      <c r="DO64961" s="303" t="s">
        <v>232</v>
      </c>
    </row>
    <row r="64962" spans="119:119" x14ac:dyDescent="0.2">
      <c r="DO64962" s="303" t="s">
        <v>232</v>
      </c>
    </row>
    <row r="64963" spans="119:119" x14ac:dyDescent="0.2">
      <c r="DO64963" s="303" t="s">
        <v>232</v>
      </c>
    </row>
    <row r="64964" spans="119:119" x14ac:dyDescent="0.2">
      <c r="DO64964" s="303" t="s">
        <v>232</v>
      </c>
    </row>
    <row r="64965" spans="119:119" x14ac:dyDescent="0.2">
      <c r="DO64965" s="303" t="s">
        <v>232</v>
      </c>
    </row>
    <row r="64966" spans="119:119" x14ac:dyDescent="0.2">
      <c r="DO64966" s="303" t="s">
        <v>232</v>
      </c>
    </row>
    <row r="64967" spans="119:119" x14ac:dyDescent="0.2">
      <c r="DO64967" s="303" t="s">
        <v>232</v>
      </c>
    </row>
    <row r="64968" spans="119:119" x14ac:dyDescent="0.2">
      <c r="DO64968" s="303" t="s">
        <v>232</v>
      </c>
    </row>
    <row r="64969" spans="119:119" x14ac:dyDescent="0.2">
      <c r="DO64969" s="303" t="s">
        <v>232</v>
      </c>
    </row>
    <row r="64970" spans="119:119" x14ac:dyDescent="0.2">
      <c r="DO64970" s="303" t="s">
        <v>232</v>
      </c>
    </row>
    <row r="64971" spans="119:119" x14ac:dyDescent="0.2">
      <c r="DO64971" s="303" t="s">
        <v>232</v>
      </c>
    </row>
    <row r="64972" spans="119:119" x14ac:dyDescent="0.2">
      <c r="DO64972" s="303" t="s">
        <v>232</v>
      </c>
    </row>
    <row r="64973" spans="119:119" x14ac:dyDescent="0.2">
      <c r="DO64973" s="303" t="s">
        <v>232</v>
      </c>
    </row>
    <row r="64974" spans="119:119" x14ac:dyDescent="0.2">
      <c r="DO64974" s="303" t="s">
        <v>232</v>
      </c>
    </row>
    <row r="64975" spans="119:119" x14ac:dyDescent="0.2">
      <c r="DO64975" s="303" t="s">
        <v>232</v>
      </c>
    </row>
    <row r="64976" spans="119:119" x14ac:dyDescent="0.2">
      <c r="DO64976" s="303" t="s">
        <v>232</v>
      </c>
    </row>
    <row r="64977" spans="119:119" x14ac:dyDescent="0.2">
      <c r="DO64977" s="303" t="s">
        <v>232</v>
      </c>
    </row>
    <row r="64978" spans="119:119" x14ac:dyDescent="0.2">
      <c r="DO64978" s="303" t="s">
        <v>232</v>
      </c>
    </row>
    <row r="64979" spans="119:119" x14ac:dyDescent="0.2">
      <c r="DO64979" s="303" t="s">
        <v>232</v>
      </c>
    </row>
    <row r="64980" spans="119:119" x14ac:dyDescent="0.2">
      <c r="DO64980" s="303" t="s">
        <v>232</v>
      </c>
    </row>
    <row r="64981" spans="119:119" x14ac:dyDescent="0.2">
      <c r="DO64981" s="303" t="s">
        <v>232</v>
      </c>
    </row>
    <row r="64982" spans="119:119" x14ac:dyDescent="0.2">
      <c r="DO64982" s="303" t="s">
        <v>232</v>
      </c>
    </row>
    <row r="64983" spans="119:119" x14ac:dyDescent="0.2">
      <c r="DO64983" s="303" t="s">
        <v>232</v>
      </c>
    </row>
    <row r="64984" spans="119:119" x14ac:dyDescent="0.2">
      <c r="DO64984" s="303" t="s">
        <v>232</v>
      </c>
    </row>
    <row r="64985" spans="119:119" x14ac:dyDescent="0.2">
      <c r="DO64985" s="303" t="s">
        <v>232</v>
      </c>
    </row>
    <row r="64986" spans="119:119" x14ac:dyDescent="0.2">
      <c r="DO64986" s="303" t="s">
        <v>232</v>
      </c>
    </row>
    <row r="64987" spans="119:119" x14ac:dyDescent="0.2">
      <c r="DO64987" s="303" t="s">
        <v>232</v>
      </c>
    </row>
    <row r="64988" spans="119:119" x14ac:dyDescent="0.2">
      <c r="DO64988" s="303" t="s">
        <v>232</v>
      </c>
    </row>
    <row r="64989" spans="119:119" x14ac:dyDescent="0.2">
      <c r="DO64989" s="303" t="s">
        <v>232</v>
      </c>
    </row>
    <row r="64990" spans="119:119" x14ac:dyDescent="0.2">
      <c r="DO64990" s="303" t="s">
        <v>232</v>
      </c>
    </row>
    <row r="64991" spans="119:119" x14ac:dyDescent="0.2">
      <c r="DO64991" s="303" t="s">
        <v>232</v>
      </c>
    </row>
    <row r="64992" spans="119:119" x14ac:dyDescent="0.2">
      <c r="DO64992" s="303" t="s">
        <v>232</v>
      </c>
    </row>
    <row r="64993" spans="119:119" x14ac:dyDescent="0.2">
      <c r="DO64993" s="303" t="s">
        <v>232</v>
      </c>
    </row>
    <row r="64994" spans="119:119" x14ac:dyDescent="0.2">
      <c r="DO64994" s="303" t="s">
        <v>232</v>
      </c>
    </row>
    <row r="64995" spans="119:119" x14ac:dyDescent="0.2">
      <c r="DO64995" s="303" t="s">
        <v>232</v>
      </c>
    </row>
    <row r="64996" spans="119:119" x14ac:dyDescent="0.2">
      <c r="DO64996" s="303" t="s">
        <v>232</v>
      </c>
    </row>
    <row r="64997" spans="119:119" x14ac:dyDescent="0.2">
      <c r="DO64997" s="303" t="s">
        <v>232</v>
      </c>
    </row>
    <row r="64998" spans="119:119" x14ac:dyDescent="0.2">
      <c r="DO64998" s="303" t="s">
        <v>232</v>
      </c>
    </row>
    <row r="64999" spans="119:119" x14ac:dyDescent="0.2">
      <c r="DO64999" s="303" t="s">
        <v>232</v>
      </c>
    </row>
    <row r="65000" spans="119:119" x14ac:dyDescent="0.2">
      <c r="DO65000" s="303" t="s">
        <v>232</v>
      </c>
    </row>
    <row r="65001" spans="119:119" x14ac:dyDescent="0.2">
      <c r="DO65001" s="303" t="s">
        <v>232</v>
      </c>
    </row>
    <row r="65002" spans="119:119" x14ac:dyDescent="0.2">
      <c r="DO65002" s="303" t="s">
        <v>232</v>
      </c>
    </row>
    <row r="65003" spans="119:119" x14ac:dyDescent="0.2">
      <c r="DO65003" s="303" t="s">
        <v>232</v>
      </c>
    </row>
    <row r="65004" spans="119:119" x14ac:dyDescent="0.2">
      <c r="DO65004" s="303" t="s">
        <v>232</v>
      </c>
    </row>
    <row r="65005" spans="119:119" x14ac:dyDescent="0.2">
      <c r="DO65005" s="303" t="s">
        <v>232</v>
      </c>
    </row>
    <row r="65006" spans="119:119" x14ac:dyDescent="0.2">
      <c r="DO65006" s="303" t="s">
        <v>232</v>
      </c>
    </row>
    <row r="65007" spans="119:119" x14ac:dyDescent="0.2">
      <c r="DO65007" s="303" t="s">
        <v>232</v>
      </c>
    </row>
    <row r="65008" spans="119:119" x14ac:dyDescent="0.2">
      <c r="DO65008" s="303" t="s">
        <v>232</v>
      </c>
    </row>
    <row r="65009" spans="119:119" x14ac:dyDescent="0.2">
      <c r="DO65009" s="303" t="s">
        <v>232</v>
      </c>
    </row>
    <row r="65010" spans="119:119" x14ac:dyDescent="0.2">
      <c r="DO65010" s="303" t="s">
        <v>232</v>
      </c>
    </row>
    <row r="65011" spans="119:119" x14ac:dyDescent="0.2">
      <c r="DO65011" s="303" t="s">
        <v>232</v>
      </c>
    </row>
    <row r="65012" spans="119:119" x14ac:dyDescent="0.2">
      <c r="DO65012" s="303" t="s">
        <v>232</v>
      </c>
    </row>
    <row r="65013" spans="119:119" x14ac:dyDescent="0.2">
      <c r="DO65013" s="303" t="s">
        <v>232</v>
      </c>
    </row>
    <row r="65014" spans="119:119" x14ac:dyDescent="0.2">
      <c r="DO65014" s="303" t="s">
        <v>232</v>
      </c>
    </row>
    <row r="65015" spans="119:119" x14ac:dyDescent="0.2">
      <c r="DO65015" s="303" t="s">
        <v>232</v>
      </c>
    </row>
    <row r="65016" spans="119:119" x14ac:dyDescent="0.2">
      <c r="DO65016" s="303" t="s">
        <v>232</v>
      </c>
    </row>
    <row r="65017" spans="119:119" x14ac:dyDescent="0.2">
      <c r="DO65017" s="303" t="s">
        <v>232</v>
      </c>
    </row>
    <row r="65018" spans="119:119" x14ac:dyDescent="0.2">
      <c r="DO65018" s="303" t="s">
        <v>232</v>
      </c>
    </row>
    <row r="65019" spans="119:119" x14ac:dyDescent="0.2">
      <c r="DO65019" s="303" t="s">
        <v>232</v>
      </c>
    </row>
    <row r="65020" spans="119:119" x14ac:dyDescent="0.2">
      <c r="DO65020" s="303" t="s">
        <v>232</v>
      </c>
    </row>
    <row r="65021" spans="119:119" x14ac:dyDescent="0.2">
      <c r="DO65021" s="303" t="s">
        <v>232</v>
      </c>
    </row>
    <row r="65022" spans="119:119" x14ac:dyDescent="0.2">
      <c r="DO65022" s="303" t="s">
        <v>232</v>
      </c>
    </row>
    <row r="65023" spans="119:119" x14ac:dyDescent="0.2">
      <c r="DO65023" s="303" t="s">
        <v>232</v>
      </c>
    </row>
    <row r="65024" spans="119:119" x14ac:dyDescent="0.2">
      <c r="DO65024" s="303" t="s">
        <v>232</v>
      </c>
    </row>
    <row r="65025" spans="119:119" x14ac:dyDescent="0.2">
      <c r="DO65025" s="303" t="s">
        <v>232</v>
      </c>
    </row>
    <row r="65026" spans="119:119" x14ac:dyDescent="0.2">
      <c r="DO65026" s="303" t="s">
        <v>232</v>
      </c>
    </row>
    <row r="65027" spans="119:119" x14ac:dyDescent="0.2">
      <c r="DO65027" s="303" t="s">
        <v>232</v>
      </c>
    </row>
    <row r="65028" spans="119:119" x14ac:dyDescent="0.2">
      <c r="DO65028" s="303" t="s">
        <v>232</v>
      </c>
    </row>
    <row r="65029" spans="119:119" x14ac:dyDescent="0.2">
      <c r="DO65029" s="303" t="s">
        <v>232</v>
      </c>
    </row>
    <row r="65030" spans="119:119" x14ac:dyDescent="0.2">
      <c r="DO65030" s="303" t="s">
        <v>232</v>
      </c>
    </row>
    <row r="65031" spans="119:119" x14ac:dyDescent="0.2">
      <c r="DO65031" s="303" t="s">
        <v>232</v>
      </c>
    </row>
    <row r="65032" spans="119:119" x14ac:dyDescent="0.2">
      <c r="DO65032" s="303" t="s">
        <v>232</v>
      </c>
    </row>
    <row r="65033" spans="119:119" x14ac:dyDescent="0.2">
      <c r="DO65033" s="303" t="s">
        <v>232</v>
      </c>
    </row>
    <row r="65034" spans="119:119" x14ac:dyDescent="0.2">
      <c r="DO65034" s="303" t="s">
        <v>232</v>
      </c>
    </row>
    <row r="65035" spans="119:119" x14ac:dyDescent="0.2">
      <c r="DO65035" s="303" t="s">
        <v>232</v>
      </c>
    </row>
    <row r="65036" spans="119:119" x14ac:dyDescent="0.2">
      <c r="DO65036" s="303" t="s">
        <v>232</v>
      </c>
    </row>
    <row r="65037" spans="119:119" x14ac:dyDescent="0.2">
      <c r="DO65037" s="303" t="s">
        <v>232</v>
      </c>
    </row>
    <row r="65038" spans="119:119" x14ac:dyDescent="0.2">
      <c r="DO65038" s="303" t="s">
        <v>232</v>
      </c>
    </row>
    <row r="65039" spans="119:119" x14ac:dyDescent="0.2">
      <c r="DO65039" s="303" t="s">
        <v>232</v>
      </c>
    </row>
    <row r="65040" spans="119:119" x14ac:dyDescent="0.2">
      <c r="DO65040" s="303" t="s">
        <v>232</v>
      </c>
    </row>
    <row r="65041" spans="119:119" x14ac:dyDescent="0.2">
      <c r="DO65041" s="303" t="s">
        <v>232</v>
      </c>
    </row>
    <row r="65042" spans="119:119" x14ac:dyDescent="0.2">
      <c r="DO65042" s="303" t="s">
        <v>232</v>
      </c>
    </row>
    <row r="65043" spans="119:119" x14ac:dyDescent="0.2">
      <c r="DO65043" s="303" t="s">
        <v>232</v>
      </c>
    </row>
    <row r="65044" spans="119:119" x14ac:dyDescent="0.2">
      <c r="DO65044" s="303" t="s">
        <v>232</v>
      </c>
    </row>
    <row r="65045" spans="119:119" x14ac:dyDescent="0.2">
      <c r="DO65045" s="303" t="s">
        <v>232</v>
      </c>
    </row>
    <row r="65046" spans="119:119" x14ac:dyDescent="0.2">
      <c r="DO65046" s="303" t="s">
        <v>232</v>
      </c>
    </row>
    <row r="65047" spans="119:119" x14ac:dyDescent="0.2">
      <c r="DO65047" s="303" t="s">
        <v>232</v>
      </c>
    </row>
    <row r="65048" spans="119:119" x14ac:dyDescent="0.2">
      <c r="DO65048" s="303" t="s">
        <v>232</v>
      </c>
    </row>
    <row r="65049" spans="119:119" x14ac:dyDescent="0.2">
      <c r="DO65049" s="303" t="s">
        <v>232</v>
      </c>
    </row>
    <row r="65050" spans="119:119" x14ac:dyDescent="0.2">
      <c r="DO65050" s="303" t="s">
        <v>232</v>
      </c>
    </row>
    <row r="65051" spans="119:119" x14ac:dyDescent="0.2">
      <c r="DO65051" s="303" t="s">
        <v>232</v>
      </c>
    </row>
    <row r="65052" spans="119:119" x14ac:dyDescent="0.2">
      <c r="DO65052" s="303" t="s">
        <v>232</v>
      </c>
    </row>
    <row r="65053" spans="119:119" x14ac:dyDescent="0.2">
      <c r="DO65053" s="303" t="s">
        <v>232</v>
      </c>
    </row>
    <row r="65054" spans="119:119" x14ac:dyDescent="0.2">
      <c r="DO65054" s="303" t="s">
        <v>232</v>
      </c>
    </row>
    <row r="65055" spans="119:119" x14ac:dyDescent="0.2">
      <c r="DO65055" s="303" t="s">
        <v>232</v>
      </c>
    </row>
    <row r="65056" spans="119:119" x14ac:dyDescent="0.2">
      <c r="DO65056" s="303" t="s">
        <v>232</v>
      </c>
    </row>
    <row r="65057" spans="119:119" x14ac:dyDescent="0.2">
      <c r="DO65057" s="303" t="s">
        <v>232</v>
      </c>
    </row>
    <row r="65058" spans="119:119" x14ac:dyDescent="0.2">
      <c r="DO65058" s="303" t="s">
        <v>232</v>
      </c>
    </row>
    <row r="65059" spans="119:119" x14ac:dyDescent="0.2">
      <c r="DO65059" s="303" t="s">
        <v>232</v>
      </c>
    </row>
    <row r="65060" spans="119:119" x14ac:dyDescent="0.2">
      <c r="DO65060" s="303" t="s">
        <v>232</v>
      </c>
    </row>
    <row r="65061" spans="119:119" x14ac:dyDescent="0.2">
      <c r="DO65061" s="303" t="s">
        <v>232</v>
      </c>
    </row>
    <row r="65062" spans="119:119" x14ac:dyDescent="0.2">
      <c r="DO65062" s="303" t="s">
        <v>232</v>
      </c>
    </row>
    <row r="65063" spans="119:119" x14ac:dyDescent="0.2">
      <c r="DO65063" s="303" t="s">
        <v>232</v>
      </c>
    </row>
    <row r="65064" spans="119:119" x14ac:dyDescent="0.2">
      <c r="DO65064" s="303" t="s">
        <v>232</v>
      </c>
    </row>
    <row r="65065" spans="119:119" x14ac:dyDescent="0.2">
      <c r="DO65065" s="303" t="s">
        <v>232</v>
      </c>
    </row>
    <row r="65066" spans="119:119" x14ac:dyDescent="0.2">
      <c r="DO65066" s="303" t="s">
        <v>232</v>
      </c>
    </row>
    <row r="65067" spans="119:119" x14ac:dyDescent="0.2">
      <c r="DO65067" s="303" t="s">
        <v>232</v>
      </c>
    </row>
    <row r="65068" spans="119:119" x14ac:dyDescent="0.2">
      <c r="DO65068" s="303" t="s">
        <v>232</v>
      </c>
    </row>
    <row r="65069" spans="119:119" x14ac:dyDescent="0.2">
      <c r="DO65069" s="303" t="s">
        <v>232</v>
      </c>
    </row>
    <row r="65070" spans="119:119" x14ac:dyDescent="0.2">
      <c r="DO65070" s="303" t="s">
        <v>232</v>
      </c>
    </row>
    <row r="65071" spans="119:119" x14ac:dyDescent="0.2">
      <c r="DO65071" s="303" t="s">
        <v>232</v>
      </c>
    </row>
    <row r="65072" spans="119:119" x14ac:dyDescent="0.2">
      <c r="DO65072" s="303" t="s">
        <v>232</v>
      </c>
    </row>
    <row r="65073" spans="119:119" x14ac:dyDescent="0.2">
      <c r="DO65073" s="303" t="s">
        <v>232</v>
      </c>
    </row>
    <row r="65074" spans="119:119" x14ac:dyDescent="0.2">
      <c r="DO65074" s="303" t="s">
        <v>232</v>
      </c>
    </row>
    <row r="65075" spans="119:119" x14ac:dyDescent="0.2">
      <c r="DO65075" s="303" t="s">
        <v>232</v>
      </c>
    </row>
    <row r="65076" spans="119:119" x14ac:dyDescent="0.2">
      <c r="DO65076" s="303" t="s">
        <v>232</v>
      </c>
    </row>
    <row r="65077" spans="119:119" x14ac:dyDescent="0.2">
      <c r="DO65077" s="303" t="s">
        <v>232</v>
      </c>
    </row>
    <row r="65078" spans="119:119" x14ac:dyDescent="0.2">
      <c r="DO65078" s="303" t="s">
        <v>232</v>
      </c>
    </row>
    <row r="65079" spans="119:119" x14ac:dyDescent="0.2">
      <c r="DO65079" s="303" t="s">
        <v>232</v>
      </c>
    </row>
    <row r="65080" spans="119:119" x14ac:dyDescent="0.2">
      <c r="DO65080" s="303" t="s">
        <v>232</v>
      </c>
    </row>
    <row r="65081" spans="119:119" x14ac:dyDescent="0.2">
      <c r="DO65081" s="303" t="s">
        <v>232</v>
      </c>
    </row>
    <row r="65082" spans="119:119" x14ac:dyDescent="0.2">
      <c r="DO65082" s="303" t="s">
        <v>232</v>
      </c>
    </row>
    <row r="65083" spans="119:119" x14ac:dyDescent="0.2">
      <c r="DO65083" s="303" t="s">
        <v>232</v>
      </c>
    </row>
    <row r="65084" spans="119:119" x14ac:dyDescent="0.2">
      <c r="DO65084" s="303" t="s">
        <v>232</v>
      </c>
    </row>
    <row r="65085" spans="119:119" x14ac:dyDescent="0.2">
      <c r="DO65085" s="303" t="s">
        <v>232</v>
      </c>
    </row>
    <row r="65086" spans="119:119" x14ac:dyDescent="0.2">
      <c r="DO65086" s="303" t="s">
        <v>232</v>
      </c>
    </row>
    <row r="65087" spans="119:119" x14ac:dyDescent="0.2">
      <c r="DO65087" s="303" t="s">
        <v>232</v>
      </c>
    </row>
    <row r="65088" spans="119:119" x14ac:dyDescent="0.2">
      <c r="DO65088" s="303" t="s">
        <v>232</v>
      </c>
    </row>
    <row r="65089" spans="119:119" x14ac:dyDescent="0.2">
      <c r="DO65089" s="303" t="s">
        <v>232</v>
      </c>
    </row>
    <row r="65090" spans="119:119" x14ac:dyDescent="0.2">
      <c r="DO65090" s="303" t="s">
        <v>232</v>
      </c>
    </row>
    <row r="65091" spans="119:119" x14ac:dyDescent="0.2">
      <c r="DO65091" s="303" t="s">
        <v>232</v>
      </c>
    </row>
    <row r="65092" spans="119:119" x14ac:dyDescent="0.2">
      <c r="DO65092" s="303" t="s">
        <v>232</v>
      </c>
    </row>
    <row r="65093" spans="119:119" x14ac:dyDescent="0.2">
      <c r="DO65093" s="303" t="s">
        <v>232</v>
      </c>
    </row>
    <row r="65094" spans="119:119" x14ac:dyDescent="0.2">
      <c r="DO65094" s="303" t="s">
        <v>232</v>
      </c>
    </row>
    <row r="65095" spans="119:119" x14ac:dyDescent="0.2">
      <c r="DO65095" s="303" t="s">
        <v>232</v>
      </c>
    </row>
    <row r="65096" spans="119:119" x14ac:dyDescent="0.2">
      <c r="DO65096" s="303" t="s">
        <v>232</v>
      </c>
    </row>
    <row r="65097" spans="119:119" x14ac:dyDescent="0.2">
      <c r="DO65097" s="303" t="s">
        <v>232</v>
      </c>
    </row>
    <row r="65098" spans="119:119" x14ac:dyDescent="0.2">
      <c r="DO65098" s="303" t="s">
        <v>232</v>
      </c>
    </row>
    <row r="65099" spans="119:119" x14ac:dyDescent="0.2">
      <c r="DO65099" s="303" t="s">
        <v>232</v>
      </c>
    </row>
    <row r="65100" spans="119:119" x14ac:dyDescent="0.2">
      <c r="DO65100" s="303" t="s">
        <v>232</v>
      </c>
    </row>
    <row r="65101" spans="119:119" x14ac:dyDescent="0.2">
      <c r="DO65101" s="303" t="s">
        <v>232</v>
      </c>
    </row>
    <row r="65102" spans="119:119" x14ac:dyDescent="0.2">
      <c r="DO65102" s="303" t="s">
        <v>232</v>
      </c>
    </row>
    <row r="65103" spans="119:119" x14ac:dyDescent="0.2">
      <c r="DO65103" s="303" t="s">
        <v>232</v>
      </c>
    </row>
    <row r="65104" spans="119:119" x14ac:dyDescent="0.2">
      <c r="DO65104" s="303" t="s">
        <v>232</v>
      </c>
    </row>
    <row r="65105" spans="119:119" x14ac:dyDescent="0.2">
      <c r="DO65105" s="303" t="s">
        <v>232</v>
      </c>
    </row>
    <row r="65106" spans="119:119" x14ac:dyDescent="0.2">
      <c r="DO65106" s="303" t="s">
        <v>232</v>
      </c>
    </row>
    <row r="65107" spans="119:119" x14ac:dyDescent="0.2">
      <c r="DO65107" s="303" t="s">
        <v>232</v>
      </c>
    </row>
    <row r="65108" spans="119:119" x14ac:dyDescent="0.2">
      <c r="DO65108" s="303" t="s">
        <v>232</v>
      </c>
    </row>
    <row r="65109" spans="119:119" x14ac:dyDescent="0.2">
      <c r="DO65109" s="303" t="s">
        <v>232</v>
      </c>
    </row>
    <row r="65110" spans="119:119" x14ac:dyDescent="0.2">
      <c r="DO65110" s="303" t="s">
        <v>232</v>
      </c>
    </row>
    <row r="65111" spans="119:119" x14ac:dyDescent="0.2">
      <c r="DO65111" s="303" t="s">
        <v>232</v>
      </c>
    </row>
    <row r="65112" spans="119:119" x14ac:dyDescent="0.2">
      <c r="DO65112" s="303" t="s">
        <v>232</v>
      </c>
    </row>
    <row r="65113" spans="119:119" x14ac:dyDescent="0.2">
      <c r="DO65113" s="303" t="s">
        <v>232</v>
      </c>
    </row>
    <row r="65114" spans="119:119" x14ac:dyDescent="0.2">
      <c r="DO65114" s="303" t="s">
        <v>232</v>
      </c>
    </row>
    <row r="65115" spans="119:119" x14ac:dyDescent="0.2">
      <c r="DO65115" s="303" t="s">
        <v>232</v>
      </c>
    </row>
    <row r="65116" spans="119:119" x14ac:dyDescent="0.2">
      <c r="DO65116" s="303" t="s">
        <v>232</v>
      </c>
    </row>
    <row r="65117" spans="119:119" x14ac:dyDescent="0.2">
      <c r="DO65117" s="303" t="s">
        <v>232</v>
      </c>
    </row>
    <row r="65118" spans="119:119" x14ac:dyDescent="0.2">
      <c r="DO65118" s="303" t="s">
        <v>232</v>
      </c>
    </row>
    <row r="65119" spans="119:119" x14ac:dyDescent="0.2">
      <c r="DO65119" s="303" t="s">
        <v>232</v>
      </c>
    </row>
    <row r="65120" spans="119:119" x14ac:dyDescent="0.2">
      <c r="DO65120" s="303" t="s">
        <v>232</v>
      </c>
    </row>
    <row r="65121" spans="119:119" x14ac:dyDescent="0.2">
      <c r="DO65121" s="303" t="s">
        <v>232</v>
      </c>
    </row>
    <row r="65122" spans="119:119" x14ac:dyDescent="0.2">
      <c r="DO65122" s="303" t="s">
        <v>232</v>
      </c>
    </row>
    <row r="65123" spans="119:119" x14ac:dyDescent="0.2">
      <c r="DO65123" s="303" t="s">
        <v>232</v>
      </c>
    </row>
    <row r="65124" spans="119:119" x14ac:dyDescent="0.2">
      <c r="DO65124" s="303" t="s">
        <v>232</v>
      </c>
    </row>
    <row r="65125" spans="119:119" x14ac:dyDescent="0.2">
      <c r="DO65125" s="303" t="s">
        <v>232</v>
      </c>
    </row>
    <row r="65126" spans="119:119" x14ac:dyDescent="0.2">
      <c r="DO65126" s="303" t="s">
        <v>232</v>
      </c>
    </row>
    <row r="65127" spans="119:119" x14ac:dyDescent="0.2">
      <c r="DO65127" s="303" t="s">
        <v>232</v>
      </c>
    </row>
    <row r="65128" spans="119:119" x14ac:dyDescent="0.2">
      <c r="DO65128" s="303" t="s">
        <v>232</v>
      </c>
    </row>
    <row r="65129" spans="119:119" x14ac:dyDescent="0.2">
      <c r="DO65129" s="303" t="s">
        <v>232</v>
      </c>
    </row>
    <row r="65130" spans="119:119" x14ac:dyDescent="0.2">
      <c r="DO65130" s="303" t="s">
        <v>232</v>
      </c>
    </row>
    <row r="65131" spans="119:119" x14ac:dyDescent="0.2">
      <c r="DO65131" s="303" t="s">
        <v>232</v>
      </c>
    </row>
    <row r="65132" spans="119:119" x14ac:dyDescent="0.2">
      <c r="DO65132" s="303" t="s">
        <v>232</v>
      </c>
    </row>
    <row r="65133" spans="119:119" x14ac:dyDescent="0.2">
      <c r="DO65133" s="303" t="s">
        <v>232</v>
      </c>
    </row>
    <row r="65134" spans="119:119" x14ac:dyDescent="0.2">
      <c r="DO65134" s="303" t="s">
        <v>232</v>
      </c>
    </row>
    <row r="65135" spans="119:119" x14ac:dyDescent="0.2">
      <c r="DO65135" s="303" t="s">
        <v>232</v>
      </c>
    </row>
    <row r="65136" spans="119:119" x14ac:dyDescent="0.2">
      <c r="DO65136" s="303" t="s">
        <v>232</v>
      </c>
    </row>
    <row r="65137" spans="119:119" x14ac:dyDescent="0.2">
      <c r="DO65137" s="303" t="s">
        <v>232</v>
      </c>
    </row>
    <row r="65138" spans="119:119" x14ac:dyDescent="0.2">
      <c r="DO65138" s="303" t="s">
        <v>232</v>
      </c>
    </row>
    <row r="65139" spans="119:119" x14ac:dyDescent="0.2">
      <c r="DO65139" s="303" t="s">
        <v>232</v>
      </c>
    </row>
    <row r="65140" spans="119:119" x14ac:dyDescent="0.2">
      <c r="DO65140" s="303" t="s">
        <v>232</v>
      </c>
    </row>
    <row r="65141" spans="119:119" x14ac:dyDescent="0.2">
      <c r="DO65141" s="303" t="s">
        <v>232</v>
      </c>
    </row>
    <row r="65142" spans="119:119" x14ac:dyDescent="0.2">
      <c r="DO65142" s="303" t="s">
        <v>232</v>
      </c>
    </row>
    <row r="65143" spans="119:119" x14ac:dyDescent="0.2">
      <c r="DO65143" s="303" t="s">
        <v>232</v>
      </c>
    </row>
    <row r="65144" spans="119:119" x14ac:dyDescent="0.2">
      <c r="DO65144" s="303" t="s">
        <v>232</v>
      </c>
    </row>
    <row r="65145" spans="119:119" x14ac:dyDescent="0.2">
      <c r="DO65145" s="303" t="s">
        <v>232</v>
      </c>
    </row>
    <row r="65146" spans="119:119" x14ac:dyDescent="0.2">
      <c r="DO65146" s="303" t="s">
        <v>232</v>
      </c>
    </row>
    <row r="65147" spans="119:119" x14ac:dyDescent="0.2">
      <c r="DO65147" s="303" t="s">
        <v>232</v>
      </c>
    </row>
    <row r="65148" spans="119:119" x14ac:dyDescent="0.2">
      <c r="DO65148" s="303" t="s">
        <v>232</v>
      </c>
    </row>
    <row r="65149" spans="119:119" x14ac:dyDescent="0.2">
      <c r="DO65149" s="303" t="s">
        <v>232</v>
      </c>
    </row>
    <row r="65150" spans="119:119" x14ac:dyDescent="0.2">
      <c r="DO65150" s="303" t="s">
        <v>232</v>
      </c>
    </row>
    <row r="65151" spans="119:119" x14ac:dyDescent="0.2">
      <c r="DO65151" s="303" t="s">
        <v>232</v>
      </c>
    </row>
    <row r="65152" spans="119:119" x14ac:dyDescent="0.2">
      <c r="DO65152" s="303" t="s">
        <v>232</v>
      </c>
    </row>
    <row r="65153" spans="119:119" x14ac:dyDescent="0.2">
      <c r="DO65153" s="303" t="s">
        <v>232</v>
      </c>
    </row>
    <row r="65154" spans="119:119" x14ac:dyDescent="0.2">
      <c r="DO65154" s="303" t="s">
        <v>232</v>
      </c>
    </row>
    <row r="65155" spans="119:119" x14ac:dyDescent="0.2">
      <c r="DO65155" s="303" t="s">
        <v>232</v>
      </c>
    </row>
    <row r="65156" spans="119:119" x14ac:dyDescent="0.2">
      <c r="DO65156" s="303" t="s">
        <v>232</v>
      </c>
    </row>
    <row r="65157" spans="119:119" x14ac:dyDescent="0.2">
      <c r="DO65157" s="303" t="s">
        <v>232</v>
      </c>
    </row>
    <row r="65158" spans="119:119" x14ac:dyDescent="0.2">
      <c r="DO65158" s="303" t="s">
        <v>232</v>
      </c>
    </row>
    <row r="65159" spans="119:119" x14ac:dyDescent="0.2">
      <c r="DO65159" s="303" t="s">
        <v>232</v>
      </c>
    </row>
    <row r="65160" spans="119:119" x14ac:dyDescent="0.2">
      <c r="DO65160" s="303" t="s">
        <v>232</v>
      </c>
    </row>
    <row r="65161" spans="119:119" x14ac:dyDescent="0.2">
      <c r="DO65161" s="303" t="s">
        <v>232</v>
      </c>
    </row>
    <row r="65162" spans="119:119" x14ac:dyDescent="0.2">
      <c r="DO65162" s="303" t="s">
        <v>232</v>
      </c>
    </row>
    <row r="65163" spans="119:119" x14ac:dyDescent="0.2">
      <c r="DO65163" s="303" t="s">
        <v>232</v>
      </c>
    </row>
    <row r="65164" spans="119:119" x14ac:dyDescent="0.2">
      <c r="DO65164" s="303" t="s">
        <v>232</v>
      </c>
    </row>
    <row r="65165" spans="119:119" x14ac:dyDescent="0.2">
      <c r="DO65165" s="303" t="s">
        <v>232</v>
      </c>
    </row>
    <row r="65166" spans="119:119" x14ac:dyDescent="0.2">
      <c r="DO65166" s="303" t="s">
        <v>232</v>
      </c>
    </row>
    <row r="65167" spans="119:119" x14ac:dyDescent="0.2">
      <c r="DO65167" s="303" t="s">
        <v>232</v>
      </c>
    </row>
    <row r="65168" spans="119:119" x14ac:dyDescent="0.2">
      <c r="DO65168" s="303" t="s">
        <v>232</v>
      </c>
    </row>
    <row r="65169" spans="119:119" x14ac:dyDescent="0.2">
      <c r="DO65169" s="303" t="s">
        <v>232</v>
      </c>
    </row>
    <row r="65170" spans="119:119" x14ac:dyDescent="0.2">
      <c r="DO65170" s="303" t="s">
        <v>232</v>
      </c>
    </row>
    <row r="65171" spans="119:119" x14ac:dyDescent="0.2">
      <c r="DO65171" s="303" t="s">
        <v>232</v>
      </c>
    </row>
    <row r="65172" spans="119:119" x14ac:dyDescent="0.2">
      <c r="DO65172" s="303" t="s">
        <v>232</v>
      </c>
    </row>
    <row r="65173" spans="119:119" x14ac:dyDescent="0.2">
      <c r="DO65173" s="303" t="s">
        <v>232</v>
      </c>
    </row>
    <row r="65174" spans="119:119" x14ac:dyDescent="0.2">
      <c r="DO65174" s="303" t="s">
        <v>232</v>
      </c>
    </row>
    <row r="65175" spans="119:119" x14ac:dyDescent="0.2">
      <c r="DO65175" s="303" t="s">
        <v>232</v>
      </c>
    </row>
    <row r="65176" spans="119:119" x14ac:dyDescent="0.2">
      <c r="DO65176" s="303" t="s">
        <v>232</v>
      </c>
    </row>
    <row r="65177" spans="119:119" x14ac:dyDescent="0.2">
      <c r="DO65177" s="303" t="s">
        <v>232</v>
      </c>
    </row>
    <row r="65178" spans="119:119" x14ac:dyDescent="0.2">
      <c r="DO65178" s="303" t="s">
        <v>232</v>
      </c>
    </row>
    <row r="65179" spans="119:119" x14ac:dyDescent="0.2">
      <c r="DO65179" s="303" t="s">
        <v>232</v>
      </c>
    </row>
    <row r="65180" spans="119:119" x14ac:dyDescent="0.2">
      <c r="DO65180" s="303" t="s">
        <v>232</v>
      </c>
    </row>
    <row r="65181" spans="119:119" x14ac:dyDescent="0.2">
      <c r="DO65181" s="303" t="s">
        <v>232</v>
      </c>
    </row>
    <row r="65182" spans="119:119" x14ac:dyDescent="0.2">
      <c r="DO65182" s="303" t="s">
        <v>232</v>
      </c>
    </row>
    <row r="65183" spans="119:119" x14ac:dyDescent="0.2">
      <c r="DO65183" s="303" t="s">
        <v>232</v>
      </c>
    </row>
    <row r="65184" spans="119:119" x14ac:dyDescent="0.2">
      <c r="DO65184" s="303" t="s">
        <v>232</v>
      </c>
    </row>
    <row r="65185" spans="119:119" x14ac:dyDescent="0.2">
      <c r="DO65185" s="303" t="s">
        <v>232</v>
      </c>
    </row>
    <row r="65186" spans="119:119" x14ac:dyDescent="0.2">
      <c r="DO65186" s="303" t="s">
        <v>232</v>
      </c>
    </row>
    <row r="65187" spans="119:119" x14ac:dyDescent="0.2">
      <c r="DO65187" s="303" t="s">
        <v>232</v>
      </c>
    </row>
    <row r="65188" spans="119:119" x14ac:dyDescent="0.2">
      <c r="DO65188" s="303" t="s">
        <v>232</v>
      </c>
    </row>
    <row r="65189" spans="119:119" x14ac:dyDescent="0.2">
      <c r="DO65189" s="303" t="s">
        <v>232</v>
      </c>
    </row>
    <row r="65190" spans="119:119" x14ac:dyDescent="0.2">
      <c r="DO65190" s="303" t="s">
        <v>232</v>
      </c>
    </row>
    <row r="65191" spans="119:119" x14ac:dyDescent="0.2">
      <c r="DO65191" s="303" t="s">
        <v>232</v>
      </c>
    </row>
    <row r="65192" spans="119:119" x14ac:dyDescent="0.2">
      <c r="DO65192" s="303" t="s">
        <v>232</v>
      </c>
    </row>
    <row r="65193" spans="119:119" x14ac:dyDescent="0.2">
      <c r="DO65193" s="303" t="s">
        <v>232</v>
      </c>
    </row>
    <row r="65194" spans="119:119" x14ac:dyDescent="0.2">
      <c r="DO65194" s="303" t="s">
        <v>232</v>
      </c>
    </row>
    <row r="65195" spans="119:119" x14ac:dyDescent="0.2">
      <c r="DO65195" s="303" t="s">
        <v>232</v>
      </c>
    </row>
    <row r="65196" spans="119:119" x14ac:dyDescent="0.2">
      <c r="DO65196" s="303" t="s">
        <v>232</v>
      </c>
    </row>
    <row r="65197" spans="119:119" x14ac:dyDescent="0.2">
      <c r="DO65197" s="303" t="s">
        <v>232</v>
      </c>
    </row>
    <row r="65198" spans="119:119" x14ac:dyDescent="0.2">
      <c r="DO65198" s="303" t="s">
        <v>232</v>
      </c>
    </row>
    <row r="65199" spans="119:119" x14ac:dyDescent="0.2">
      <c r="DO65199" s="303" t="s">
        <v>232</v>
      </c>
    </row>
    <row r="65200" spans="119:119" x14ac:dyDescent="0.2">
      <c r="DO65200" s="303" t="s">
        <v>232</v>
      </c>
    </row>
    <row r="65201" spans="119:119" x14ac:dyDescent="0.2">
      <c r="DO65201" s="303" t="s">
        <v>232</v>
      </c>
    </row>
    <row r="65202" spans="119:119" x14ac:dyDescent="0.2">
      <c r="DO65202" s="303" t="s">
        <v>232</v>
      </c>
    </row>
    <row r="65203" spans="119:119" x14ac:dyDescent="0.2">
      <c r="DO65203" s="303" t="s">
        <v>232</v>
      </c>
    </row>
    <row r="65204" spans="119:119" x14ac:dyDescent="0.2">
      <c r="DO65204" s="303" t="s">
        <v>232</v>
      </c>
    </row>
    <row r="65205" spans="119:119" x14ac:dyDescent="0.2">
      <c r="DO65205" s="303" t="s">
        <v>232</v>
      </c>
    </row>
    <row r="65206" spans="119:119" x14ac:dyDescent="0.2">
      <c r="DO65206" s="303" t="s">
        <v>232</v>
      </c>
    </row>
    <row r="65207" spans="119:119" x14ac:dyDescent="0.2">
      <c r="DO65207" s="303" t="s">
        <v>232</v>
      </c>
    </row>
    <row r="65208" spans="119:119" x14ac:dyDescent="0.2">
      <c r="DO65208" s="303" t="s">
        <v>232</v>
      </c>
    </row>
    <row r="65209" spans="119:119" x14ac:dyDescent="0.2">
      <c r="DO65209" s="303" t="s">
        <v>232</v>
      </c>
    </row>
    <row r="65210" spans="119:119" x14ac:dyDescent="0.2">
      <c r="DO65210" s="303" t="s">
        <v>232</v>
      </c>
    </row>
    <row r="65211" spans="119:119" x14ac:dyDescent="0.2">
      <c r="DO65211" s="303" t="s">
        <v>232</v>
      </c>
    </row>
    <row r="65212" spans="119:119" x14ac:dyDescent="0.2">
      <c r="DO65212" s="303" t="s">
        <v>232</v>
      </c>
    </row>
    <row r="65213" spans="119:119" x14ac:dyDescent="0.2">
      <c r="DO65213" s="303" t="s">
        <v>232</v>
      </c>
    </row>
    <row r="65214" spans="119:119" x14ac:dyDescent="0.2">
      <c r="DO65214" s="303" t="s">
        <v>232</v>
      </c>
    </row>
    <row r="65215" spans="119:119" x14ac:dyDescent="0.2">
      <c r="DO65215" s="303" t="s">
        <v>232</v>
      </c>
    </row>
    <row r="65216" spans="119:119" x14ac:dyDescent="0.2">
      <c r="DO65216" s="303" t="s">
        <v>232</v>
      </c>
    </row>
    <row r="65217" spans="119:119" x14ac:dyDescent="0.2">
      <c r="DO65217" s="303" t="s">
        <v>232</v>
      </c>
    </row>
    <row r="65218" spans="119:119" x14ac:dyDescent="0.2">
      <c r="DO65218" s="303" t="s">
        <v>232</v>
      </c>
    </row>
    <row r="65219" spans="119:119" x14ac:dyDescent="0.2">
      <c r="DO65219" s="303" t="s">
        <v>232</v>
      </c>
    </row>
    <row r="65220" spans="119:119" x14ac:dyDescent="0.2">
      <c r="DO65220" s="303" t="s">
        <v>232</v>
      </c>
    </row>
    <row r="65221" spans="119:119" x14ac:dyDescent="0.2">
      <c r="DO65221" s="303" t="s">
        <v>232</v>
      </c>
    </row>
    <row r="65222" spans="119:119" x14ac:dyDescent="0.2">
      <c r="DO65222" s="303" t="s">
        <v>232</v>
      </c>
    </row>
    <row r="65223" spans="119:119" x14ac:dyDescent="0.2">
      <c r="DO65223" s="303" t="s">
        <v>232</v>
      </c>
    </row>
    <row r="65224" spans="119:119" x14ac:dyDescent="0.2">
      <c r="DO65224" s="303" t="s">
        <v>232</v>
      </c>
    </row>
    <row r="65225" spans="119:119" x14ac:dyDescent="0.2">
      <c r="DO65225" s="303" t="s">
        <v>232</v>
      </c>
    </row>
    <row r="65226" spans="119:119" x14ac:dyDescent="0.2">
      <c r="DO65226" s="303" t="s">
        <v>232</v>
      </c>
    </row>
    <row r="65227" spans="119:119" x14ac:dyDescent="0.2">
      <c r="DO65227" s="303" t="s">
        <v>232</v>
      </c>
    </row>
    <row r="65228" spans="119:119" x14ac:dyDescent="0.2">
      <c r="DO65228" s="303" t="s">
        <v>232</v>
      </c>
    </row>
    <row r="65229" spans="119:119" x14ac:dyDescent="0.2">
      <c r="DO65229" s="303" t="s">
        <v>232</v>
      </c>
    </row>
    <row r="65230" spans="119:119" x14ac:dyDescent="0.2">
      <c r="DO65230" s="303" t="s">
        <v>232</v>
      </c>
    </row>
    <row r="65231" spans="119:119" x14ac:dyDescent="0.2">
      <c r="DO65231" s="303" t="s">
        <v>232</v>
      </c>
    </row>
    <row r="65232" spans="119:119" x14ac:dyDescent="0.2">
      <c r="DO65232" s="303" t="s">
        <v>232</v>
      </c>
    </row>
    <row r="65233" spans="119:119" x14ac:dyDescent="0.2">
      <c r="DO65233" s="303" t="s">
        <v>232</v>
      </c>
    </row>
    <row r="65234" spans="119:119" x14ac:dyDescent="0.2">
      <c r="DO65234" s="303" t="s">
        <v>232</v>
      </c>
    </row>
    <row r="65235" spans="119:119" x14ac:dyDescent="0.2">
      <c r="DO65235" s="303" t="s">
        <v>232</v>
      </c>
    </row>
    <row r="65236" spans="119:119" x14ac:dyDescent="0.2">
      <c r="DO65236" s="303" t="s">
        <v>232</v>
      </c>
    </row>
    <row r="65237" spans="119:119" x14ac:dyDescent="0.2">
      <c r="DO65237" s="303" t="s">
        <v>232</v>
      </c>
    </row>
    <row r="65238" spans="119:119" x14ac:dyDescent="0.2">
      <c r="DO65238" s="303" t="s">
        <v>232</v>
      </c>
    </row>
    <row r="65239" spans="119:119" x14ac:dyDescent="0.2">
      <c r="DO65239" s="303" t="s">
        <v>232</v>
      </c>
    </row>
    <row r="65240" spans="119:119" x14ac:dyDescent="0.2">
      <c r="DO65240" s="303" t="s">
        <v>232</v>
      </c>
    </row>
    <row r="65241" spans="119:119" x14ac:dyDescent="0.2">
      <c r="DO65241" s="303" t="s">
        <v>232</v>
      </c>
    </row>
    <row r="65242" spans="119:119" x14ac:dyDescent="0.2">
      <c r="DO65242" s="303" t="s">
        <v>232</v>
      </c>
    </row>
    <row r="65243" spans="119:119" x14ac:dyDescent="0.2">
      <c r="DO65243" s="303" t="s">
        <v>232</v>
      </c>
    </row>
    <row r="65244" spans="119:119" x14ac:dyDescent="0.2">
      <c r="DO65244" s="303" t="s">
        <v>232</v>
      </c>
    </row>
    <row r="65245" spans="119:119" x14ac:dyDescent="0.2">
      <c r="DO65245" s="303" t="s">
        <v>232</v>
      </c>
    </row>
    <row r="65246" spans="119:119" x14ac:dyDescent="0.2">
      <c r="DO65246" s="303" t="s">
        <v>232</v>
      </c>
    </row>
    <row r="65247" spans="119:119" x14ac:dyDescent="0.2">
      <c r="DO65247" s="303" t="s">
        <v>232</v>
      </c>
    </row>
    <row r="65248" spans="119:119" x14ac:dyDescent="0.2">
      <c r="DO65248" s="303" t="s">
        <v>232</v>
      </c>
    </row>
    <row r="65249" spans="119:119" x14ac:dyDescent="0.2">
      <c r="DO65249" s="303" t="s">
        <v>232</v>
      </c>
    </row>
    <row r="65250" spans="119:119" x14ac:dyDescent="0.2">
      <c r="DO65250" s="303" t="s">
        <v>232</v>
      </c>
    </row>
    <row r="65251" spans="119:119" x14ac:dyDescent="0.2">
      <c r="DO65251" s="303" t="s">
        <v>232</v>
      </c>
    </row>
    <row r="65252" spans="119:119" x14ac:dyDescent="0.2">
      <c r="DO65252" s="303" t="s">
        <v>232</v>
      </c>
    </row>
    <row r="65253" spans="119:119" x14ac:dyDescent="0.2">
      <c r="DO65253" s="303" t="s">
        <v>232</v>
      </c>
    </row>
    <row r="65254" spans="119:119" x14ac:dyDescent="0.2">
      <c r="DO65254" s="303" t="s">
        <v>232</v>
      </c>
    </row>
    <row r="65255" spans="119:119" x14ac:dyDescent="0.2">
      <c r="DO65255" s="303" t="s">
        <v>232</v>
      </c>
    </row>
    <row r="65256" spans="119:119" x14ac:dyDescent="0.2">
      <c r="DO65256" s="303" t="s">
        <v>232</v>
      </c>
    </row>
    <row r="65257" spans="119:119" x14ac:dyDescent="0.2">
      <c r="DO65257" s="303" t="s">
        <v>232</v>
      </c>
    </row>
    <row r="65258" spans="119:119" x14ac:dyDescent="0.2">
      <c r="DO65258" s="303" t="s">
        <v>232</v>
      </c>
    </row>
    <row r="65259" spans="119:119" x14ac:dyDescent="0.2">
      <c r="DO65259" s="303" t="s">
        <v>232</v>
      </c>
    </row>
    <row r="65260" spans="119:119" x14ac:dyDescent="0.2">
      <c r="DO65260" s="303" t="s">
        <v>232</v>
      </c>
    </row>
    <row r="65261" spans="119:119" x14ac:dyDescent="0.2">
      <c r="DO65261" s="303" t="s">
        <v>232</v>
      </c>
    </row>
    <row r="65262" spans="119:119" x14ac:dyDescent="0.2">
      <c r="DO65262" s="303" t="s">
        <v>232</v>
      </c>
    </row>
    <row r="65263" spans="119:119" x14ac:dyDescent="0.2">
      <c r="DO65263" s="303" t="s">
        <v>232</v>
      </c>
    </row>
    <row r="65264" spans="119:119" x14ac:dyDescent="0.2">
      <c r="DO65264" s="303" t="s">
        <v>232</v>
      </c>
    </row>
    <row r="65265" spans="119:119" x14ac:dyDescent="0.2">
      <c r="DO65265" s="303" t="s">
        <v>232</v>
      </c>
    </row>
    <row r="65266" spans="119:119" x14ac:dyDescent="0.2">
      <c r="DO65266" s="303" t="s">
        <v>232</v>
      </c>
    </row>
    <row r="65267" spans="119:119" x14ac:dyDescent="0.2">
      <c r="DO65267" s="303" t="s">
        <v>232</v>
      </c>
    </row>
    <row r="65268" spans="119:119" x14ac:dyDescent="0.2">
      <c r="DO65268" s="303" t="s">
        <v>232</v>
      </c>
    </row>
    <row r="65269" spans="119:119" x14ac:dyDescent="0.2">
      <c r="DO65269" s="303" t="s">
        <v>232</v>
      </c>
    </row>
    <row r="65270" spans="119:119" x14ac:dyDescent="0.2">
      <c r="DO65270" s="303" t="s">
        <v>232</v>
      </c>
    </row>
    <row r="65271" spans="119:119" x14ac:dyDescent="0.2">
      <c r="DO65271" s="303" t="s">
        <v>232</v>
      </c>
    </row>
    <row r="65272" spans="119:119" x14ac:dyDescent="0.2">
      <c r="DO65272" s="303" t="s">
        <v>232</v>
      </c>
    </row>
    <row r="65273" spans="119:119" x14ac:dyDescent="0.2">
      <c r="DO65273" s="303" t="s">
        <v>232</v>
      </c>
    </row>
    <row r="65274" spans="119:119" x14ac:dyDescent="0.2">
      <c r="DO65274" s="303" t="s">
        <v>232</v>
      </c>
    </row>
    <row r="65275" spans="119:119" x14ac:dyDescent="0.2">
      <c r="DO65275" s="303" t="s">
        <v>232</v>
      </c>
    </row>
    <row r="65276" spans="119:119" x14ac:dyDescent="0.2">
      <c r="DO65276" s="303" t="s">
        <v>232</v>
      </c>
    </row>
    <row r="65277" spans="119:119" x14ac:dyDescent="0.2">
      <c r="DO65277" s="303" t="s">
        <v>232</v>
      </c>
    </row>
    <row r="65278" spans="119:119" x14ac:dyDescent="0.2">
      <c r="DO65278" s="303" t="s">
        <v>232</v>
      </c>
    </row>
    <row r="65279" spans="119:119" x14ac:dyDescent="0.2">
      <c r="DO65279" s="303" t="s">
        <v>232</v>
      </c>
    </row>
    <row r="65280" spans="119:119" x14ac:dyDescent="0.2">
      <c r="DO65280" s="303" t="s">
        <v>232</v>
      </c>
    </row>
    <row r="65281" spans="119:119" x14ac:dyDescent="0.2">
      <c r="DO65281" s="303" t="s">
        <v>232</v>
      </c>
    </row>
    <row r="65282" spans="119:119" x14ac:dyDescent="0.2">
      <c r="DO65282" s="303" t="s">
        <v>232</v>
      </c>
    </row>
    <row r="65283" spans="119:119" x14ac:dyDescent="0.2">
      <c r="DO65283" s="303" t="s">
        <v>232</v>
      </c>
    </row>
    <row r="65284" spans="119:119" x14ac:dyDescent="0.2">
      <c r="DO65284" s="303" t="s">
        <v>232</v>
      </c>
    </row>
    <row r="65285" spans="119:119" x14ac:dyDescent="0.2">
      <c r="DO65285" s="303" t="s">
        <v>232</v>
      </c>
    </row>
    <row r="65286" spans="119:119" x14ac:dyDescent="0.2">
      <c r="DO65286" s="303" t="s">
        <v>232</v>
      </c>
    </row>
    <row r="65287" spans="119:119" x14ac:dyDescent="0.2">
      <c r="DO65287" s="303" t="s">
        <v>232</v>
      </c>
    </row>
    <row r="65288" spans="119:119" x14ac:dyDescent="0.2">
      <c r="DO65288" s="303" t="s">
        <v>232</v>
      </c>
    </row>
    <row r="65289" spans="119:119" x14ac:dyDescent="0.2">
      <c r="DO65289" s="303" t="s">
        <v>232</v>
      </c>
    </row>
    <row r="65290" spans="119:119" x14ac:dyDescent="0.2">
      <c r="DO65290" s="303" t="s">
        <v>232</v>
      </c>
    </row>
    <row r="65291" spans="119:119" x14ac:dyDescent="0.2">
      <c r="DO65291" s="303" t="s">
        <v>232</v>
      </c>
    </row>
    <row r="65292" spans="119:119" x14ac:dyDescent="0.2">
      <c r="DO65292" s="303" t="s">
        <v>232</v>
      </c>
    </row>
    <row r="65293" spans="119:119" x14ac:dyDescent="0.2">
      <c r="DO65293" s="303" t="s">
        <v>232</v>
      </c>
    </row>
    <row r="65294" spans="119:119" x14ac:dyDescent="0.2">
      <c r="DO65294" s="303" t="s">
        <v>232</v>
      </c>
    </row>
    <row r="65295" spans="119:119" x14ac:dyDescent="0.2">
      <c r="DO65295" s="303" t="s">
        <v>232</v>
      </c>
    </row>
    <row r="65296" spans="119:119" x14ac:dyDescent="0.2">
      <c r="DO65296" s="303" t="s">
        <v>232</v>
      </c>
    </row>
    <row r="65297" spans="119:119" x14ac:dyDescent="0.2">
      <c r="DO65297" s="303" t="s">
        <v>232</v>
      </c>
    </row>
    <row r="65298" spans="119:119" x14ac:dyDescent="0.2">
      <c r="DO65298" s="303" t="s">
        <v>232</v>
      </c>
    </row>
    <row r="65299" spans="119:119" x14ac:dyDescent="0.2">
      <c r="DO65299" s="303" t="s">
        <v>232</v>
      </c>
    </row>
    <row r="65300" spans="119:119" x14ac:dyDescent="0.2">
      <c r="DO65300" s="303" t="s">
        <v>232</v>
      </c>
    </row>
    <row r="65301" spans="119:119" x14ac:dyDescent="0.2">
      <c r="DO65301" s="303" t="s">
        <v>232</v>
      </c>
    </row>
    <row r="65302" spans="119:119" x14ac:dyDescent="0.2">
      <c r="DO65302" s="303" t="s">
        <v>232</v>
      </c>
    </row>
    <row r="65303" spans="119:119" x14ac:dyDescent="0.2">
      <c r="DO65303" s="303" t="s">
        <v>232</v>
      </c>
    </row>
    <row r="65304" spans="119:119" x14ac:dyDescent="0.2">
      <c r="DO65304" s="303" t="s">
        <v>232</v>
      </c>
    </row>
    <row r="65305" spans="119:119" x14ac:dyDescent="0.2">
      <c r="DO65305" s="303" t="s">
        <v>232</v>
      </c>
    </row>
    <row r="65306" spans="119:119" x14ac:dyDescent="0.2">
      <c r="DO65306" s="303" t="s">
        <v>232</v>
      </c>
    </row>
    <row r="65307" spans="119:119" x14ac:dyDescent="0.2">
      <c r="DO65307" s="303" t="s">
        <v>232</v>
      </c>
    </row>
    <row r="65308" spans="119:119" x14ac:dyDescent="0.2">
      <c r="DO65308" s="303" t="s">
        <v>232</v>
      </c>
    </row>
    <row r="65309" spans="119:119" x14ac:dyDescent="0.2">
      <c r="DO65309" s="303" t="s">
        <v>232</v>
      </c>
    </row>
    <row r="65310" spans="119:119" x14ac:dyDescent="0.2">
      <c r="DO65310" s="303" t="s">
        <v>232</v>
      </c>
    </row>
    <row r="65311" spans="119:119" x14ac:dyDescent="0.2">
      <c r="DO65311" s="303" t="s">
        <v>232</v>
      </c>
    </row>
    <row r="65312" spans="119:119" x14ac:dyDescent="0.2">
      <c r="DO65312" s="303" t="s">
        <v>232</v>
      </c>
    </row>
    <row r="65313" spans="119:119" x14ac:dyDescent="0.2">
      <c r="DO65313" s="303" t="s">
        <v>232</v>
      </c>
    </row>
    <row r="65314" spans="119:119" x14ac:dyDescent="0.2">
      <c r="DO65314" s="303" t="s">
        <v>232</v>
      </c>
    </row>
    <row r="65315" spans="119:119" x14ac:dyDescent="0.2">
      <c r="DO65315" s="303" t="s">
        <v>232</v>
      </c>
    </row>
    <row r="65316" spans="119:119" x14ac:dyDescent="0.2">
      <c r="DO65316" s="303" t="s">
        <v>232</v>
      </c>
    </row>
    <row r="65317" spans="119:119" x14ac:dyDescent="0.2">
      <c r="DO65317" s="303" t="s">
        <v>232</v>
      </c>
    </row>
    <row r="65318" spans="119:119" x14ac:dyDescent="0.2">
      <c r="DO65318" s="303" t="s">
        <v>232</v>
      </c>
    </row>
    <row r="65319" spans="119:119" x14ac:dyDescent="0.2">
      <c r="DO65319" s="303" t="s">
        <v>232</v>
      </c>
    </row>
    <row r="65320" spans="119:119" x14ac:dyDescent="0.2">
      <c r="DO65320" s="303" t="s">
        <v>232</v>
      </c>
    </row>
    <row r="65321" spans="119:119" x14ac:dyDescent="0.2">
      <c r="DO65321" s="303" t="s">
        <v>232</v>
      </c>
    </row>
    <row r="65322" spans="119:119" x14ac:dyDescent="0.2">
      <c r="DO65322" s="303" t="s">
        <v>232</v>
      </c>
    </row>
    <row r="65323" spans="119:119" x14ac:dyDescent="0.2">
      <c r="DO65323" s="303" t="s">
        <v>232</v>
      </c>
    </row>
    <row r="65324" spans="119:119" x14ac:dyDescent="0.2">
      <c r="DO65324" s="303" t="s">
        <v>232</v>
      </c>
    </row>
    <row r="65325" spans="119:119" x14ac:dyDescent="0.2">
      <c r="DO65325" s="303" t="s">
        <v>232</v>
      </c>
    </row>
    <row r="65326" spans="119:119" x14ac:dyDescent="0.2">
      <c r="DO65326" s="303" t="s">
        <v>232</v>
      </c>
    </row>
    <row r="65327" spans="119:119" x14ac:dyDescent="0.2">
      <c r="DO65327" s="303" t="s">
        <v>232</v>
      </c>
    </row>
    <row r="65328" spans="119:119" x14ac:dyDescent="0.2">
      <c r="DO65328" s="303" t="s">
        <v>232</v>
      </c>
    </row>
    <row r="65329" spans="119:119" x14ac:dyDescent="0.2">
      <c r="DO65329" s="303" t="s">
        <v>232</v>
      </c>
    </row>
    <row r="65330" spans="119:119" x14ac:dyDescent="0.2">
      <c r="DO65330" s="303" t="s">
        <v>232</v>
      </c>
    </row>
    <row r="65331" spans="119:119" x14ac:dyDescent="0.2">
      <c r="DO65331" s="303" t="s">
        <v>232</v>
      </c>
    </row>
    <row r="65332" spans="119:119" x14ac:dyDescent="0.2">
      <c r="DO65332" s="303" t="s">
        <v>232</v>
      </c>
    </row>
    <row r="65333" spans="119:119" x14ac:dyDescent="0.2">
      <c r="DO65333" s="303" t="s">
        <v>232</v>
      </c>
    </row>
    <row r="65334" spans="119:119" x14ac:dyDescent="0.2">
      <c r="DO65334" s="303" t="s">
        <v>232</v>
      </c>
    </row>
    <row r="65335" spans="119:119" x14ac:dyDescent="0.2">
      <c r="DO65335" s="303" t="s">
        <v>232</v>
      </c>
    </row>
    <row r="65336" spans="119:119" x14ac:dyDescent="0.2">
      <c r="DO65336" s="303" t="s">
        <v>232</v>
      </c>
    </row>
    <row r="65337" spans="119:119" x14ac:dyDescent="0.2">
      <c r="DO65337" s="303" t="s">
        <v>232</v>
      </c>
    </row>
    <row r="65338" spans="119:119" x14ac:dyDescent="0.2">
      <c r="DO65338" s="303" t="s">
        <v>232</v>
      </c>
    </row>
    <row r="65339" spans="119:119" x14ac:dyDescent="0.2">
      <c r="DO65339" s="303" t="s">
        <v>232</v>
      </c>
    </row>
    <row r="65340" spans="119:119" x14ac:dyDescent="0.2">
      <c r="DO65340" s="303" t="s">
        <v>232</v>
      </c>
    </row>
    <row r="65341" spans="119:119" x14ac:dyDescent="0.2">
      <c r="DO65341" s="303" t="s">
        <v>232</v>
      </c>
    </row>
    <row r="65342" spans="119:119" x14ac:dyDescent="0.2">
      <c r="DO65342" s="303" t="s">
        <v>232</v>
      </c>
    </row>
    <row r="65343" spans="119:119" x14ac:dyDescent="0.2">
      <c r="DO65343" s="303" t="s">
        <v>232</v>
      </c>
    </row>
    <row r="65344" spans="119:119" x14ac:dyDescent="0.2">
      <c r="DO65344" s="303" t="s">
        <v>232</v>
      </c>
    </row>
    <row r="65345" spans="119:119" x14ac:dyDescent="0.2">
      <c r="DO65345" s="303" t="s">
        <v>232</v>
      </c>
    </row>
    <row r="65346" spans="119:119" x14ac:dyDescent="0.2">
      <c r="DO65346" s="303" t="s">
        <v>232</v>
      </c>
    </row>
    <row r="65347" spans="119:119" x14ac:dyDescent="0.2">
      <c r="DO65347" s="303" t="s">
        <v>232</v>
      </c>
    </row>
    <row r="65348" spans="119:119" x14ac:dyDescent="0.2">
      <c r="DO65348" s="303" t="s">
        <v>232</v>
      </c>
    </row>
    <row r="65349" spans="119:119" x14ac:dyDescent="0.2">
      <c r="DO65349" s="303" t="s">
        <v>232</v>
      </c>
    </row>
    <row r="65350" spans="119:119" x14ac:dyDescent="0.2">
      <c r="DO65350" s="303" t="s">
        <v>232</v>
      </c>
    </row>
    <row r="65351" spans="119:119" x14ac:dyDescent="0.2">
      <c r="DO65351" s="303" t="s">
        <v>232</v>
      </c>
    </row>
    <row r="65352" spans="119:119" x14ac:dyDescent="0.2">
      <c r="DO65352" s="303" t="s">
        <v>232</v>
      </c>
    </row>
    <row r="65353" spans="119:119" x14ac:dyDescent="0.2">
      <c r="DO65353" s="303" t="s">
        <v>232</v>
      </c>
    </row>
    <row r="65354" spans="119:119" x14ac:dyDescent="0.2">
      <c r="DO65354" s="303" t="s">
        <v>232</v>
      </c>
    </row>
    <row r="65355" spans="119:119" x14ac:dyDescent="0.2">
      <c r="DO65355" s="303" t="s">
        <v>232</v>
      </c>
    </row>
    <row r="65356" spans="119:119" x14ac:dyDescent="0.2">
      <c r="DO65356" s="303" t="s">
        <v>232</v>
      </c>
    </row>
    <row r="65357" spans="119:119" x14ac:dyDescent="0.2">
      <c r="DO65357" s="303" t="s">
        <v>232</v>
      </c>
    </row>
    <row r="65358" spans="119:119" x14ac:dyDescent="0.2">
      <c r="DO65358" s="303" t="s">
        <v>232</v>
      </c>
    </row>
    <row r="65359" spans="119:119" x14ac:dyDescent="0.2">
      <c r="DO65359" s="303" t="s">
        <v>232</v>
      </c>
    </row>
    <row r="65360" spans="119:119" x14ac:dyDescent="0.2">
      <c r="DO65360" s="303" t="s">
        <v>232</v>
      </c>
    </row>
    <row r="65361" spans="119:119" x14ac:dyDescent="0.2">
      <c r="DO65361" s="303" t="s">
        <v>232</v>
      </c>
    </row>
    <row r="65362" spans="119:119" x14ac:dyDescent="0.2">
      <c r="DO65362" s="303" t="s">
        <v>232</v>
      </c>
    </row>
    <row r="65363" spans="119:119" x14ac:dyDescent="0.2">
      <c r="DO65363" s="303" t="s">
        <v>232</v>
      </c>
    </row>
    <row r="65364" spans="119:119" x14ac:dyDescent="0.2">
      <c r="DO65364" s="303" t="s">
        <v>232</v>
      </c>
    </row>
    <row r="65365" spans="119:119" x14ac:dyDescent="0.2">
      <c r="DO65365" s="303" t="s">
        <v>232</v>
      </c>
    </row>
    <row r="65366" spans="119:119" x14ac:dyDescent="0.2">
      <c r="DO65366" s="303" t="s">
        <v>232</v>
      </c>
    </row>
    <row r="65367" spans="119:119" x14ac:dyDescent="0.2">
      <c r="DO65367" s="303" t="s">
        <v>232</v>
      </c>
    </row>
    <row r="65368" spans="119:119" x14ac:dyDescent="0.2">
      <c r="DO65368" s="303" t="s">
        <v>232</v>
      </c>
    </row>
    <row r="65369" spans="119:119" x14ac:dyDescent="0.2">
      <c r="DO65369" s="303" t="s">
        <v>232</v>
      </c>
    </row>
    <row r="65370" spans="119:119" x14ac:dyDescent="0.2">
      <c r="DO65370" s="303" t="s">
        <v>232</v>
      </c>
    </row>
    <row r="65371" spans="119:119" x14ac:dyDescent="0.2">
      <c r="DO65371" s="303" t="s">
        <v>232</v>
      </c>
    </row>
    <row r="65372" spans="119:119" x14ac:dyDescent="0.2">
      <c r="DO65372" s="303" t="s">
        <v>232</v>
      </c>
    </row>
    <row r="65373" spans="119:119" x14ac:dyDescent="0.2">
      <c r="DO65373" s="303" t="s">
        <v>232</v>
      </c>
    </row>
    <row r="65374" spans="119:119" x14ac:dyDescent="0.2">
      <c r="DO65374" s="303" t="s">
        <v>232</v>
      </c>
    </row>
    <row r="65375" spans="119:119" x14ac:dyDescent="0.2">
      <c r="DO65375" s="303" t="s">
        <v>232</v>
      </c>
    </row>
    <row r="65376" spans="119:119" x14ac:dyDescent="0.2">
      <c r="DO65376" s="303" t="s">
        <v>232</v>
      </c>
    </row>
    <row r="65377" spans="119:119" x14ac:dyDescent="0.2">
      <c r="DO65377" s="303" t="s">
        <v>232</v>
      </c>
    </row>
    <row r="65378" spans="119:119" x14ac:dyDescent="0.2">
      <c r="DO65378" s="303" t="s">
        <v>232</v>
      </c>
    </row>
    <row r="65379" spans="119:119" x14ac:dyDescent="0.2">
      <c r="DO65379" s="303" t="s">
        <v>232</v>
      </c>
    </row>
    <row r="65380" spans="119:119" x14ac:dyDescent="0.2">
      <c r="DO65380" s="303" t="s">
        <v>232</v>
      </c>
    </row>
    <row r="65381" spans="119:119" x14ac:dyDescent="0.2">
      <c r="DO65381" s="303" t="s">
        <v>232</v>
      </c>
    </row>
    <row r="65382" spans="119:119" x14ac:dyDescent="0.2">
      <c r="DO65382" s="303" t="s">
        <v>232</v>
      </c>
    </row>
    <row r="65383" spans="119:119" x14ac:dyDescent="0.2">
      <c r="DO65383" s="303" t="s">
        <v>232</v>
      </c>
    </row>
    <row r="65384" spans="119:119" x14ac:dyDescent="0.2">
      <c r="DO65384" s="303" t="s">
        <v>232</v>
      </c>
    </row>
    <row r="65385" spans="119:119" x14ac:dyDescent="0.2">
      <c r="DO65385" s="303" t="s">
        <v>232</v>
      </c>
    </row>
    <row r="65386" spans="119:119" x14ac:dyDescent="0.2">
      <c r="DO65386" s="303" t="s">
        <v>232</v>
      </c>
    </row>
    <row r="65387" spans="119:119" x14ac:dyDescent="0.2">
      <c r="DO65387" s="303" t="s">
        <v>232</v>
      </c>
    </row>
    <row r="65388" spans="119:119" x14ac:dyDescent="0.2">
      <c r="DO65388" s="303" t="s">
        <v>232</v>
      </c>
    </row>
    <row r="65389" spans="119:119" x14ac:dyDescent="0.2">
      <c r="DO65389" s="303" t="s">
        <v>232</v>
      </c>
    </row>
    <row r="65390" spans="119:119" x14ac:dyDescent="0.2">
      <c r="DO65390" s="303" t="s">
        <v>232</v>
      </c>
    </row>
    <row r="65391" spans="119:119" x14ac:dyDescent="0.2">
      <c r="DO65391" s="303" t="s">
        <v>232</v>
      </c>
    </row>
    <row r="65392" spans="119:119" x14ac:dyDescent="0.2">
      <c r="DO65392" s="303" t="s">
        <v>232</v>
      </c>
    </row>
    <row r="65393" spans="119:119" x14ac:dyDescent="0.2">
      <c r="DO65393" s="303" t="s">
        <v>232</v>
      </c>
    </row>
    <row r="65394" spans="119:119" x14ac:dyDescent="0.2">
      <c r="DO65394" s="303" t="s">
        <v>232</v>
      </c>
    </row>
    <row r="65395" spans="119:119" x14ac:dyDescent="0.2">
      <c r="DO65395" s="303" t="s">
        <v>232</v>
      </c>
    </row>
    <row r="65396" spans="119:119" x14ac:dyDescent="0.2">
      <c r="DO65396" s="303" t="s">
        <v>232</v>
      </c>
    </row>
    <row r="65397" spans="119:119" x14ac:dyDescent="0.2">
      <c r="DO65397" s="303" t="s">
        <v>232</v>
      </c>
    </row>
    <row r="65398" spans="119:119" x14ac:dyDescent="0.2">
      <c r="DO65398" s="303" t="s">
        <v>232</v>
      </c>
    </row>
    <row r="65399" spans="119:119" x14ac:dyDescent="0.2">
      <c r="DO65399" s="303" t="s">
        <v>232</v>
      </c>
    </row>
    <row r="65400" spans="119:119" x14ac:dyDescent="0.2">
      <c r="DO65400" s="303" t="s">
        <v>232</v>
      </c>
    </row>
    <row r="65401" spans="119:119" x14ac:dyDescent="0.2">
      <c r="DO65401" s="303" t="s">
        <v>232</v>
      </c>
    </row>
    <row r="65402" spans="119:119" x14ac:dyDescent="0.2">
      <c r="DO65402" s="303" t="s">
        <v>232</v>
      </c>
    </row>
    <row r="65403" spans="119:119" x14ac:dyDescent="0.2">
      <c r="DO65403" s="303" t="s">
        <v>232</v>
      </c>
    </row>
    <row r="65404" spans="119:119" x14ac:dyDescent="0.2">
      <c r="DO65404" s="303" t="s">
        <v>232</v>
      </c>
    </row>
    <row r="65405" spans="119:119" x14ac:dyDescent="0.2">
      <c r="DO65405" s="303" t="s">
        <v>232</v>
      </c>
    </row>
    <row r="65406" spans="119:119" x14ac:dyDescent="0.2">
      <c r="DO65406" s="303" t="s">
        <v>232</v>
      </c>
    </row>
    <row r="65407" spans="119:119" x14ac:dyDescent="0.2">
      <c r="DO65407" s="303" t="s">
        <v>232</v>
      </c>
    </row>
    <row r="65408" spans="119:119" x14ac:dyDescent="0.2">
      <c r="DO65408" s="303" t="s">
        <v>232</v>
      </c>
    </row>
    <row r="65409" spans="119:119" x14ac:dyDescent="0.2">
      <c r="DO65409" s="303" t="s">
        <v>232</v>
      </c>
    </row>
    <row r="65410" spans="119:119" x14ac:dyDescent="0.2">
      <c r="DO65410" s="303" t="s">
        <v>232</v>
      </c>
    </row>
    <row r="65411" spans="119:119" x14ac:dyDescent="0.2">
      <c r="DO65411" s="303" t="s">
        <v>232</v>
      </c>
    </row>
    <row r="65412" spans="119:119" x14ac:dyDescent="0.2">
      <c r="DO65412" s="303" t="s">
        <v>232</v>
      </c>
    </row>
    <row r="65413" spans="119:119" x14ac:dyDescent="0.2">
      <c r="DO65413" s="303" t="s">
        <v>232</v>
      </c>
    </row>
    <row r="65414" spans="119:119" x14ac:dyDescent="0.2">
      <c r="DO65414" s="303" t="s">
        <v>232</v>
      </c>
    </row>
    <row r="65415" spans="119:119" x14ac:dyDescent="0.2">
      <c r="DO65415" s="303" t="s">
        <v>232</v>
      </c>
    </row>
    <row r="65416" spans="119:119" x14ac:dyDescent="0.2">
      <c r="DO65416" s="303" t="s">
        <v>232</v>
      </c>
    </row>
    <row r="65417" spans="119:119" x14ac:dyDescent="0.2">
      <c r="DO65417" s="303" t="s">
        <v>232</v>
      </c>
    </row>
    <row r="65418" spans="119:119" x14ac:dyDescent="0.2">
      <c r="DO65418" s="303" t="s">
        <v>232</v>
      </c>
    </row>
    <row r="65419" spans="119:119" x14ac:dyDescent="0.2">
      <c r="DO65419" s="303" t="s">
        <v>232</v>
      </c>
    </row>
    <row r="65420" spans="119:119" x14ac:dyDescent="0.2">
      <c r="DO65420" s="303" t="s">
        <v>232</v>
      </c>
    </row>
    <row r="65421" spans="119:119" x14ac:dyDescent="0.2">
      <c r="DO65421" s="303" t="s">
        <v>232</v>
      </c>
    </row>
    <row r="65422" spans="119:119" x14ac:dyDescent="0.2">
      <c r="DO65422" s="303" t="s">
        <v>232</v>
      </c>
    </row>
    <row r="65423" spans="119:119" x14ac:dyDescent="0.2">
      <c r="DO65423" s="303" t="s">
        <v>232</v>
      </c>
    </row>
    <row r="65424" spans="119:119" x14ac:dyDescent="0.2">
      <c r="DO65424" s="303" t="s">
        <v>232</v>
      </c>
    </row>
    <row r="65425" spans="119:119" x14ac:dyDescent="0.2">
      <c r="DO65425" s="303" t="s">
        <v>232</v>
      </c>
    </row>
    <row r="65426" spans="119:119" x14ac:dyDescent="0.2">
      <c r="DO65426" s="303" t="s">
        <v>232</v>
      </c>
    </row>
    <row r="65427" spans="119:119" x14ac:dyDescent="0.2">
      <c r="DO65427" s="303" t="s">
        <v>232</v>
      </c>
    </row>
    <row r="65428" spans="119:119" x14ac:dyDescent="0.2">
      <c r="DO65428" s="303" t="s">
        <v>232</v>
      </c>
    </row>
    <row r="65429" spans="119:119" x14ac:dyDescent="0.2">
      <c r="DO65429" s="303" t="s">
        <v>232</v>
      </c>
    </row>
    <row r="65430" spans="119:119" x14ac:dyDescent="0.2">
      <c r="DO65430" s="303" t="s">
        <v>232</v>
      </c>
    </row>
    <row r="65431" spans="119:119" x14ac:dyDescent="0.2">
      <c r="DO65431" s="303" t="s">
        <v>232</v>
      </c>
    </row>
    <row r="65432" spans="119:119" x14ac:dyDescent="0.2">
      <c r="DO65432" s="303" t="s">
        <v>232</v>
      </c>
    </row>
    <row r="65433" spans="119:119" x14ac:dyDescent="0.2">
      <c r="DO65433" s="303" t="s">
        <v>232</v>
      </c>
    </row>
    <row r="65434" spans="119:119" x14ac:dyDescent="0.2">
      <c r="DO65434" s="303" t="s">
        <v>232</v>
      </c>
    </row>
    <row r="65435" spans="119:119" x14ac:dyDescent="0.2">
      <c r="DO65435" s="303" t="s">
        <v>232</v>
      </c>
    </row>
    <row r="65436" spans="119:119" x14ac:dyDescent="0.2">
      <c r="DO65436" s="303" t="s">
        <v>232</v>
      </c>
    </row>
    <row r="65437" spans="119:119" x14ac:dyDescent="0.2">
      <c r="DO65437" s="303" t="s">
        <v>232</v>
      </c>
    </row>
    <row r="65438" spans="119:119" x14ac:dyDescent="0.2">
      <c r="DO65438" s="303" t="s">
        <v>232</v>
      </c>
    </row>
    <row r="65439" spans="119:119" x14ac:dyDescent="0.2">
      <c r="DO65439" s="303" t="s">
        <v>232</v>
      </c>
    </row>
    <row r="65440" spans="119:119" x14ac:dyDescent="0.2">
      <c r="DO65440" s="303" t="s">
        <v>232</v>
      </c>
    </row>
    <row r="65441" spans="119:119" x14ac:dyDescent="0.2">
      <c r="DO65441" s="303" t="s">
        <v>232</v>
      </c>
    </row>
    <row r="65442" spans="119:119" x14ac:dyDescent="0.2">
      <c r="DO65442" s="303" t="s">
        <v>232</v>
      </c>
    </row>
    <row r="65443" spans="119:119" x14ac:dyDescent="0.2">
      <c r="DO65443" s="303" t="s">
        <v>232</v>
      </c>
    </row>
    <row r="65444" spans="119:119" x14ac:dyDescent="0.2">
      <c r="DO65444" s="303" t="s">
        <v>232</v>
      </c>
    </row>
    <row r="65445" spans="119:119" x14ac:dyDescent="0.2">
      <c r="DO65445" s="303" t="s">
        <v>232</v>
      </c>
    </row>
    <row r="65446" spans="119:119" x14ac:dyDescent="0.2">
      <c r="DO65446" s="303" t="s">
        <v>232</v>
      </c>
    </row>
    <row r="65447" spans="119:119" x14ac:dyDescent="0.2">
      <c r="DO65447" s="303" t="s">
        <v>232</v>
      </c>
    </row>
    <row r="65448" spans="119:119" x14ac:dyDescent="0.2">
      <c r="DO65448" s="303" t="s">
        <v>232</v>
      </c>
    </row>
    <row r="65449" spans="119:119" x14ac:dyDescent="0.2">
      <c r="DO65449" s="303" t="s">
        <v>232</v>
      </c>
    </row>
    <row r="65450" spans="119:119" x14ac:dyDescent="0.2">
      <c r="DO65450" s="303" t="s">
        <v>232</v>
      </c>
    </row>
    <row r="65451" spans="119:119" x14ac:dyDescent="0.2">
      <c r="DO65451" s="303" t="s">
        <v>232</v>
      </c>
    </row>
    <row r="65452" spans="119:119" x14ac:dyDescent="0.2">
      <c r="DO65452" s="303" t="s">
        <v>232</v>
      </c>
    </row>
    <row r="65453" spans="119:119" x14ac:dyDescent="0.2">
      <c r="DO65453" s="303" t="s">
        <v>232</v>
      </c>
    </row>
    <row r="65454" spans="119:119" x14ac:dyDescent="0.2">
      <c r="DO65454" s="303" t="s">
        <v>232</v>
      </c>
    </row>
    <row r="65455" spans="119:119" x14ac:dyDescent="0.2">
      <c r="DO65455" s="303" t="s">
        <v>232</v>
      </c>
    </row>
    <row r="65456" spans="119:119" x14ac:dyDescent="0.2">
      <c r="DO65456" s="303" t="s">
        <v>232</v>
      </c>
    </row>
    <row r="65457" spans="119:119" x14ac:dyDescent="0.2">
      <c r="DO65457" s="303" t="s">
        <v>232</v>
      </c>
    </row>
    <row r="65458" spans="119:119" x14ac:dyDescent="0.2">
      <c r="DO65458" s="303" t="s">
        <v>232</v>
      </c>
    </row>
    <row r="65459" spans="119:119" x14ac:dyDescent="0.2">
      <c r="DO65459" s="303" t="s">
        <v>232</v>
      </c>
    </row>
    <row r="65460" spans="119:119" x14ac:dyDescent="0.2">
      <c r="DO65460" s="303" t="s">
        <v>232</v>
      </c>
    </row>
    <row r="65461" spans="119:119" x14ac:dyDescent="0.2">
      <c r="DO65461" s="303" t="s">
        <v>232</v>
      </c>
    </row>
    <row r="65462" spans="119:119" x14ac:dyDescent="0.2">
      <c r="DO65462" s="303" t="s">
        <v>232</v>
      </c>
    </row>
    <row r="65463" spans="119:119" x14ac:dyDescent="0.2">
      <c r="DO65463" s="303" t="s">
        <v>232</v>
      </c>
    </row>
    <row r="65464" spans="119:119" x14ac:dyDescent="0.2">
      <c r="DO65464" s="303" t="s">
        <v>232</v>
      </c>
    </row>
    <row r="65465" spans="119:119" x14ac:dyDescent="0.2">
      <c r="DO65465" s="303" t="s">
        <v>232</v>
      </c>
    </row>
    <row r="65466" spans="119:119" x14ac:dyDescent="0.2">
      <c r="DO65466" s="303" t="s">
        <v>232</v>
      </c>
    </row>
    <row r="65467" spans="119:119" x14ac:dyDescent="0.2">
      <c r="DO65467" s="303" t="s">
        <v>232</v>
      </c>
    </row>
    <row r="65468" spans="119:119" x14ac:dyDescent="0.2">
      <c r="DO65468" s="303" t="s">
        <v>232</v>
      </c>
    </row>
    <row r="65469" spans="119:119" x14ac:dyDescent="0.2">
      <c r="DO65469" s="303" t="s">
        <v>232</v>
      </c>
    </row>
    <row r="65470" spans="119:119" x14ac:dyDescent="0.2">
      <c r="DO65470" s="303" t="s">
        <v>232</v>
      </c>
    </row>
    <row r="65471" spans="119:119" x14ac:dyDescent="0.2">
      <c r="DO65471" s="303" t="s">
        <v>232</v>
      </c>
    </row>
    <row r="65472" spans="119:119" x14ac:dyDescent="0.2">
      <c r="DO65472" s="303" t="s">
        <v>232</v>
      </c>
    </row>
    <row r="65473" spans="119:119" x14ac:dyDescent="0.2">
      <c r="DO65473" s="303" t="s">
        <v>232</v>
      </c>
    </row>
    <row r="65474" spans="119:119" x14ac:dyDescent="0.2">
      <c r="DO65474" s="303" t="s">
        <v>232</v>
      </c>
    </row>
    <row r="65475" spans="119:119" x14ac:dyDescent="0.2">
      <c r="DO65475" s="303" t="s">
        <v>232</v>
      </c>
    </row>
    <row r="65476" spans="119:119" x14ac:dyDescent="0.2">
      <c r="DO65476" s="303" t="s">
        <v>232</v>
      </c>
    </row>
    <row r="65477" spans="119:119" x14ac:dyDescent="0.2">
      <c r="DO65477" s="303" t="s">
        <v>232</v>
      </c>
    </row>
    <row r="65478" spans="119:119" x14ac:dyDescent="0.2">
      <c r="DO65478" s="303" t="s">
        <v>232</v>
      </c>
    </row>
    <row r="65479" spans="119:119" x14ac:dyDescent="0.2">
      <c r="DO65479" s="303" t="s">
        <v>232</v>
      </c>
    </row>
    <row r="65480" spans="119:119" x14ac:dyDescent="0.2">
      <c r="DO65480" s="303" t="s">
        <v>232</v>
      </c>
    </row>
    <row r="65481" spans="119:119" x14ac:dyDescent="0.2">
      <c r="DO65481" s="303" t="s">
        <v>232</v>
      </c>
    </row>
    <row r="65482" spans="119:119" x14ac:dyDescent="0.2">
      <c r="DO65482" s="303" t="s">
        <v>232</v>
      </c>
    </row>
    <row r="65483" spans="119:119" x14ac:dyDescent="0.2">
      <c r="DO65483" s="303" t="s">
        <v>232</v>
      </c>
    </row>
    <row r="65484" spans="119:119" x14ac:dyDescent="0.2">
      <c r="DO65484" s="303" t="s">
        <v>232</v>
      </c>
    </row>
    <row r="65485" spans="119:119" x14ac:dyDescent="0.2">
      <c r="DO65485" s="303" t="s">
        <v>232</v>
      </c>
    </row>
    <row r="65486" spans="119:119" x14ac:dyDescent="0.2">
      <c r="DO65486" s="303" t="s">
        <v>232</v>
      </c>
    </row>
    <row r="65487" spans="119:119" x14ac:dyDescent="0.2">
      <c r="DO65487" s="303" t="s">
        <v>232</v>
      </c>
    </row>
    <row r="65488" spans="119:119" x14ac:dyDescent="0.2">
      <c r="DO65488" s="303" t="s">
        <v>232</v>
      </c>
    </row>
    <row r="65489" spans="119:119" x14ac:dyDescent="0.2">
      <c r="DO65489" s="303" t="s">
        <v>232</v>
      </c>
    </row>
    <row r="65490" spans="119:119" x14ac:dyDescent="0.2">
      <c r="DO65490" s="303" t="s">
        <v>232</v>
      </c>
    </row>
    <row r="65491" spans="119:119" x14ac:dyDescent="0.2">
      <c r="DO65491" s="303" t="s">
        <v>232</v>
      </c>
    </row>
    <row r="65492" spans="119:119" x14ac:dyDescent="0.2">
      <c r="DO65492" s="303" t="s">
        <v>232</v>
      </c>
    </row>
    <row r="65493" spans="119:119" x14ac:dyDescent="0.2">
      <c r="DO65493" s="303" t="s">
        <v>232</v>
      </c>
    </row>
    <row r="65494" spans="119:119" x14ac:dyDescent="0.2">
      <c r="DO65494" s="303" t="s">
        <v>232</v>
      </c>
    </row>
    <row r="65495" spans="119:119" x14ac:dyDescent="0.2">
      <c r="DO65495" s="303" t="s">
        <v>232</v>
      </c>
    </row>
    <row r="65496" spans="119:119" x14ac:dyDescent="0.2">
      <c r="DO65496" s="303" t="s">
        <v>232</v>
      </c>
    </row>
    <row r="65497" spans="119:119" x14ac:dyDescent="0.2">
      <c r="DO65497" s="303" t="s">
        <v>232</v>
      </c>
    </row>
    <row r="65498" spans="119:119" x14ac:dyDescent="0.2">
      <c r="DO65498" s="303" t="s">
        <v>232</v>
      </c>
    </row>
    <row r="65499" spans="119:119" x14ac:dyDescent="0.2">
      <c r="DO65499" s="303" t="s">
        <v>232</v>
      </c>
    </row>
    <row r="65500" spans="119:119" x14ac:dyDescent="0.2">
      <c r="DO65500" s="303" t="s">
        <v>232</v>
      </c>
    </row>
    <row r="65501" spans="119:119" x14ac:dyDescent="0.2">
      <c r="DO65501" s="303" t="s">
        <v>232</v>
      </c>
    </row>
    <row r="65502" spans="119:119" x14ac:dyDescent="0.2">
      <c r="DO65502" s="303" t="s">
        <v>232</v>
      </c>
    </row>
    <row r="65503" spans="119:119" x14ac:dyDescent="0.2">
      <c r="DO65503" s="303" t="s">
        <v>232</v>
      </c>
    </row>
    <row r="65504" spans="119:119" x14ac:dyDescent="0.2">
      <c r="DO65504" s="303" t="s">
        <v>232</v>
      </c>
    </row>
    <row r="65505" spans="119:119" x14ac:dyDescent="0.2">
      <c r="DO65505" s="303" t="s">
        <v>232</v>
      </c>
    </row>
    <row r="65506" spans="119:119" x14ac:dyDescent="0.2">
      <c r="DO65506" s="303" t="s">
        <v>232</v>
      </c>
    </row>
    <row r="65507" spans="119:119" x14ac:dyDescent="0.2">
      <c r="DO65507" s="303" t="s">
        <v>232</v>
      </c>
    </row>
    <row r="65508" spans="119:119" x14ac:dyDescent="0.2">
      <c r="DO65508" s="303" t="s">
        <v>232</v>
      </c>
    </row>
    <row r="65509" spans="119:119" x14ac:dyDescent="0.2">
      <c r="DO65509" s="303" t="s">
        <v>232</v>
      </c>
    </row>
    <row r="65510" spans="119:119" x14ac:dyDescent="0.2">
      <c r="DO65510" s="303" t="s">
        <v>232</v>
      </c>
    </row>
    <row r="65511" spans="119:119" x14ac:dyDescent="0.2">
      <c r="DO65511" s="303" t="s">
        <v>232</v>
      </c>
    </row>
    <row r="65512" spans="119:119" x14ac:dyDescent="0.2">
      <c r="DO65512" s="303" t="s">
        <v>232</v>
      </c>
    </row>
    <row r="65513" spans="119:119" x14ac:dyDescent="0.2">
      <c r="DO65513" s="303" t="s">
        <v>232</v>
      </c>
    </row>
    <row r="65514" spans="119:119" x14ac:dyDescent="0.2">
      <c r="DO65514" s="303" t="s">
        <v>232</v>
      </c>
    </row>
    <row r="65515" spans="119:119" x14ac:dyDescent="0.2">
      <c r="DO65515" s="303" t="s">
        <v>232</v>
      </c>
    </row>
    <row r="65516" spans="119:119" x14ac:dyDescent="0.2">
      <c r="DO65516" s="303" t="s">
        <v>232</v>
      </c>
    </row>
    <row r="65517" spans="119:119" x14ac:dyDescent="0.2">
      <c r="DO65517" s="303" t="s">
        <v>232</v>
      </c>
    </row>
    <row r="65518" spans="119:119" x14ac:dyDescent="0.2">
      <c r="DO65518" s="303" t="s">
        <v>232</v>
      </c>
    </row>
    <row r="65519" spans="119:119" x14ac:dyDescent="0.2">
      <c r="DO65519" s="303" t="s">
        <v>232</v>
      </c>
    </row>
    <row r="65520" spans="119:119" x14ac:dyDescent="0.2">
      <c r="DO65520" s="303" t="s">
        <v>232</v>
      </c>
    </row>
    <row r="65521" spans="119:119" x14ac:dyDescent="0.2">
      <c r="DO65521" s="303" t="s">
        <v>232</v>
      </c>
    </row>
    <row r="65522" spans="119:119" x14ac:dyDescent="0.2">
      <c r="DO65522" s="303" t="s">
        <v>232</v>
      </c>
    </row>
    <row r="65523" spans="119:119" x14ac:dyDescent="0.2">
      <c r="DO65523" s="303" t="s">
        <v>232</v>
      </c>
    </row>
    <row r="65524" spans="119:119" x14ac:dyDescent="0.2">
      <c r="DO65524" s="303" t="s">
        <v>232</v>
      </c>
    </row>
    <row r="65525" spans="119:119" x14ac:dyDescent="0.2">
      <c r="DO65525" s="303" t="s">
        <v>232</v>
      </c>
    </row>
    <row r="65526" spans="119:119" x14ac:dyDescent="0.2">
      <c r="DO65526" s="303" t="s">
        <v>232</v>
      </c>
    </row>
    <row r="65527" spans="119:119" x14ac:dyDescent="0.2">
      <c r="DO65527" s="303" t="s">
        <v>232</v>
      </c>
    </row>
    <row r="65528" spans="119:119" x14ac:dyDescent="0.2">
      <c r="DO65528" s="303" t="s">
        <v>232</v>
      </c>
    </row>
    <row r="65529" spans="119:119" x14ac:dyDescent="0.2">
      <c r="DO65529" s="303" t="s">
        <v>232</v>
      </c>
    </row>
    <row r="65530" spans="119:119" x14ac:dyDescent="0.2">
      <c r="DO65530" s="303" t="s">
        <v>232</v>
      </c>
    </row>
    <row r="65531" spans="119:119" x14ac:dyDescent="0.2">
      <c r="DO65531" s="303" t="s">
        <v>232</v>
      </c>
    </row>
    <row r="65532" spans="119:119" x14ac:dyDescent="0.2">
      <c r="DO65532" s="303" t="s">
        <v>232</v>
      </c>
    </row>
    <row r="65533" spans="119:119" x14ac:dyDescent="0.2">
      <c r="DO65533" s="303" t="s">
        <v>232</v>
      </c>
    </row>
    <row r="65534" spans="119:119" x14ac:dyDescent="0.2">
      <c r="DO65534" s="303" t="s">
        <v>232</v>
      </c>
    </row>
    <row r="65535" spans="119:119" x14ac:dyDescent="0.2">
      <c r="DO65535" s="303" t="s">
        <v>232</v>
      </c>
    </row>
    <row r="65536" spans="119:119" x14ac:dyDescent="0.2">
      <c r="DO65536" s="303" t="s">
        <v>232</v>
      </c>
    </row>
  </sheetData>
  <mergeCells count="12">
    <mergeCell ref="DG4:DI4"/>
    <mergeCell ref="CJ188:CQ188"/>
    <mergeCell ref="DC4:DE4"/>
    <mergeCell ref="A8:CR8"/>
    <mergeCell ref="CJ195:CQ195"/>
    <mergeCell ref="A78:CW78"/>
    <mergeCell ref="CI38:CR38"/>
    <mergeCell ref="CJ48:CR48"/>
    <mergeCell ref="A148:CE148"/>
    <mergeCell ref="CK148:CQ148"/>
    <mergeCell ref="CK158:CQ158"/>
    <mergeCell ref="CK138:CQ138"/>
  </mergeCells>
  <phoneticPr fontId="11" type="noConversion"/>
  <dataValidations disablePrompts="1" count="1">
    <dataValidation type="custom" allowBlank="1" showInputMessage="1" showErrorMessage="1" sqref="CO3 CQ3">
      <formula1>-1</formula1>
    </dataValidation>
  </dataValidations>
  <pageMargins left="0.75" right="0.75" top="0.53" bottom="0.52" header="0.49" footer="0.5"/>
  <pageSetup scale="48" fitToHeight="2" orientation="landscape"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S58"/>
  <sheetViews>
    <sheetView showGridLines="0" topLeftCell="A4" zoomScale="85" zoomScaleNormal="85" workbookViewId="0">
      <selection activeCell="AF31" sqref="AF31"/>
    </sheetView>
  </sheetViews>
  <sheetFormatPr defaultRowHeight="12.75" outlineLevelRow="1" outlineLevelCol="1" x14ac:dyDescent="0.2"/>
  <cols>
    <col min="1" max="1" width="28.85546875" style="303" customWidth="1"/>
    <col min="2" max="22" width="10" style="303" hidden="1" customWidth="1" outlineLevel="1"/>
    <col min="23" max="23" width="10" style="303" bestFit="1" customWidth="1" collapsed="1"/>
    <col min="24" max="27" width="10" style="303" bestFit="1" customWidth="1"/>
    <col min="28" max="28" width="10.7109375" style="303" bestFit="1" customWidth="1"/>
    <col min="29" max="29" width="10" style="303" customWidth="1"/>
    <col min="30" max="30" width="10.85546875" style="303" bestFit="1" customWidth="1"/>
    <col min="31" max="35" width="10" style="303" customWidth="1"/>
    <col min="36" max="36" width="2.28515625" style="303" customWidth="1"/>
    <col min="37" max="37" width="8" style="303" customWidth="1" outlineLevel="1"/>
    <col min="38" max="38" width="2.42578125" style="303" customWidth="1" outlineLevel="1"/>
    <col min="39" max="39" width="8" style="303" customWidth="1" outlineLevel="1"/>
    <col min="40" max="40" width="2.28515625" style="303" customWidth="1" outlineLevel="1"/>
    <col min="41" max="41" width="2.42578125" style="303" customWidth="1"/>
    <col min="42" max="42" width="1.42578125" style="303" customWidth="1"/>
    <col min="43" max="16384" width="9.140625" style="303"/>
  </cols>
  <sheetData>
    <row r="1" spans="1:45" x14ac:dyDescent="0.2">
      <c r="A1" s="310" t="s">
        <v>453</v>
      </c>
    </row>
    <row r="2" spans="1:45" x14ac:dyDescent="0.2">
      <c r="A2" s="427" t="s">
        <v>572</v>
      </c>
      <c r="B2" s="313"/>
      <c r="C2" s="313"/>
      <c r="D2" s="313"/>
      <c r="E2" s="313"/>
      <c r="F2" s="313"/>
      <c r="G2" s="313"/>
      <c r="H2" s="313"/>
      <c r="I2" s="313"/>
      <c r="J2" s="313"/>
      <c r="K2" s="313"/>
      <c r="L2" s="313"/>
      <c r="M2" s="313"/>
      <c r="N2" s="313"/>
      <c r="O2" s="313"/>
      <c r="P2" s="313"/>
      <c r="Q2" s="313"/>
      <c r="R2" s="313"/>
      <c r="S2" s="313"/>
      <c r="T2" s="313"/>
      <c r="U2" s="313"/>
      <c r="V2" s="313"/>
      <c r="W2" s="313"/>
      <c r="X2" s="313"/>
      <c r="Y2" s="313"/>
      <c r="Z2" s="313"/>
      <c r="AA2" s="313"/>
      <c r="AB2" s="313"/>
      <c r="AC2" s="313"/>
      <c r="AD2" s="895"/>
      <c r="AE2" s="313"/>
      <c r="AF2" s="313"/>
      <c r="AG2" s="313"/>
      <c r="AH2" s="313"/>
      <c r="AI2" s="313"/>
      <c r="AJ2" s="313"/>
      <c r="AK2" s="313"/>
      <c r="AL2" s="313"/>
      <c r="AM2" s="313"/>
      <c r="AN2" s="313"/>
      <c r="AQ2" s="847" t="s">
        <v>508</v>
      </c>
    </row>
    <row r="3" spans="1:45" x14ac:dyDescent="0.2">
      <c r="Y3" s="894"/>
      <c r="AB3" s="320"/>
      <c r="AD3" s="320"/>
    </row>
    <row r="4" spans="1:45" x14ac:dyDescent="0.2">
      <c r="I4" s="310"/>
      <c r="J4" s="310"/>
      <c r="AA4" s="320"/>
      <c r="AB4" s="320"/>
      <c r="AC4" s="320"/>
      <c r="AD4" s="320"/>
      <c r="AE4" s="320"/>
      <c r="AF4" s="320"/>
      <c r="AG4" s="320"/>
      <c r="AH4" s="320"/>
      <c r="AI4" s="320"/>
      <c r="AK4" s="562"/>
      <c r="AL4" s="563" t="s">
        <v>34</v>
      </c>
      <c r="AM4" s="564"/>
      <c r="AN4" s="565"/>
    </row>
    <row r="5" spans="1:45" x14ac:dyDescent="0.2">
      <c r="B5" s="848">
        <v>1989</v>
      </c>
      <c r="C5" s="848">
        <f>B5+1</f>
        <v>1990</v>
      </c>
      <c r="D5" s="848">
        <f>'yrP&amp;L'!D5</f>
        <v>1991</v>
      </c>
      <c r="E5" s="848">
        <f>'yrP&amp;L'!E5</f>
        <v>1992</v>
      </c>
      <c r="F5" s="848">
        <f>'yrP&amp;L'!F5</f>
        <v>1993</v>
      </c>
      <c r="G5" s="848">
        <f>'yrP&amp;L'!G5</f>
        <v>1994</v>
      </c>
      <c r="H5" s="848">
        <f>'yrP&amp;L'!H5</f>
        <v>1995</v>
      </c>
      <c r="I5" s="848">
        <f>'yrP&amp;L'!I5</f>
        <v>1996</v>
      </c>
      <c r="J5" s="848">
        <f>'yrP&amp;L'!J5</f>
        <v>1997</v>
      </c>
      <c r="K5" s="848">
        <f>'yrP&amp;L'!K5</f>
        <v>1998</v>
      </c>
      <c r="L5" s="848">
        <f>'yrP&amp;L'!L5</f>
        <v>1999</v>
      </c>
      <c r="M5" s="848">
        <f>'yrP&amp;L'!M5</f>
        <v>2000</v>
      </c>
      <c r="N5" s="848">
        <f>'yrP&amp;L'!N5</f>
        <v>2001</v>
      </c>
      <c r="O5" s="848">
        <f>'yrP&amp;L'!O5</f>
        <v>2002</v>
      </c>
      <c r="P5" s="848">
        <f>'yrP&amp;L'!P5</f>
        <v>2003</v>
      </c>
      <c r="Q5" s="848">
        <f>'yrP&amp;L'!Q5</f>
        <v>2004</v>
      </c>
      <c r="R5" s="848">
        <f>'yrP&amp;L'!R5</f>
        <v>2005</v>
      </c>
      <c r="S5" s="848">
        <f>'yrP&amp;L'!S5</f>
        <v>2006</v>
      </c>
      <c r="T5" s="848">
        <f>'yrP&amp;L'!T5</f>
        <v>2007</v>
      </c>
      <c r="U5" s="848">
        <f>'yrP&amp;L'!U5</f>
        <v>2008</v>
      </c>
      <c r="V5" s="848">
        <f>'yrP&amp;L'!V5</f>
        <v>2009</v>
      </c>
      <c r="W5" s="848">
        <f>'yrP&amp;L'!W5</f>
        <v>2010</v>
      </c>
      <c r="X5" s="848">
        <f>'yrP&amp;L'!X5</f>
        <v>2011</v>
      </c>
      <c r="Y5" s="848">
        <f>'yrP&amp;L'!Y5</f>
        <v>2012</v>
      </c>
      <c r="Z5" s="848">
        <f>'yrP&amp;L'!Z5</f>
        <v>2013</v>
      </c>
      <c r="AA5" s="848">
        <f>'yrP&amp;L'!AA5</f>
        <v>2014</v>
      </c>
      <c r="AB5" s="848">
        <f>'yrP&amp;L'!AB5</f>
        <v>2015</v>
      </c>
      <c r="AC5" s="848">
        <f>'yrP&amp;L'!AC5</f>
        <v>2016</v>
      </c>
      <c r="AD5" s="848">
        <f>'yrP&amp;L'!AD5</f>
        <v>2017</v>
      </c>
      <c r="AE5" s="1217">
        <f>'yrP&amp;L'!AE5</f>
        <v>2018</v>
      </c>
      <c r="AF5" s="1217">
        <f>'yrP&amp;L'!AF5</f>
        <v>2019</v>
      </c>
      <c r="AG5" s="1217">
        <f>'yrP&amp;L'!AG5</f>
        <v>2020</v>
      </c>
      <c r="AH5" s="1217">
        <f>'yrP&amp;L'!AH5</f>
        <v>2021</v>
      </c>
      <c r="AI5" s="1217">
        <f>'yrP&amp;L'!AI5</f>
        <v>2022</v>
      </c>
      <c r="AK5" s="1276" t="str">
        <f>'yrP&amp;L'!AK5</f>
        <v>11-16A</v>
      </c>
      <c r="AL5" s="563"/>
      <c r="AM5" s="567" t="str">
        <f>'yrP&amp;L'!AM5</f>
        <v>16-22E</v>
      </c>
      <c r="AN5" s="565"/>
    </row>
    <row r="6" spans="1:45" x14ac:dyDescent="0.2">
      <c r="AK6" s="323"/>
      <c r="AL6" s="324"/>
      <c r="AM6" s="324"/>
      <c r="AN6" s="568"/>
      <c r="AS6" s="311"/>
    </row>
    <row r="7" spans="1:45" outlineLevel="1" x14ac:dyDescent="0.2">
      <c r="A7" s="303" t="s">
        <v>245</v>
      </c>
      <c r="B7" s="849" t="str">
        <f>IF(ISERROR((B11-B9)),"NA ",B11-B9)</f>
        <v xml:space="preserve">NA </v>
      </c>
      <c r="C7" s="849" t="str">
        <f t="shared" ref="C7:AA7" si="0">IF(ISERROR((C11-C9)),"NA ",C11-C9)</f>
        <v xml:space="preserve">NA </v>
      </c>
      <c r="D7" s="849" t="str">
        <f t="shared" si="0"/>
        <v xml:space="preserve">NA </v>
      </c>
      <c r="E7" s="849" t="str">
        <f t="shared" si="0"/>
        <v xml:space="preserve">NA </v>
      </c>
      <c r="F7" s="849" t="str">
        <f t="shared" si="0"/>
        <v xml:space="preserve">NA </v>
      </c>
      <c r="G7" s="849" t="str">
        <f t="shared" si="0"/>
        <v xml:space="preserve">NA </v>
      </c>
      <c r="H7" s="849" t="str">
        <f t="shared" si="0"/>
        <v xml:space="preserve">NA </v>
      </c>
      <c r="I7" s="849" t="str">
        <f t="shared" si="0"/>
        <v xml:space="preserve">NA </v>
      </c>
      <c r="J7" s="849" t="str">
        <f t="shared" si="0"/>
        <v xml:space="preserve">NA </v>
      </c>
      <c r="K7" s="849" t="str">
        <f t="shared" si="0"/>
        <v xml:space="preserve">NA </v>
      </c>
      <c r="L7" s="849" t="str">
        <f t="shared" si="0"/>
        <v xml:space="preserve">NA </v>
      </c>
      <c r="M7" s="849" t="str">
        <f t="shared" si="0"/>
        <v xml:space="preserve">NA </v>
      </c>
      <c r="N7" s="849" t="str">
        <f t="shared" si="0"/>
        <v xml:space="preserve">NA </v>
      </c>
      <c r="O7" s="849" t="str">
        <f t="shared" si="0"/>
        <v xml:space="preserve">NA </v>
      </c>
      <c r="P7" s="849" t="str">
        <f t="shared" si="0"/>
        <v xml:space="preserve">NA </v>
      </c>
      <c r="Q7" s="849" t="str">
        <f t="shared" si="0"/>
        <v xml:space="preserve">NA </v>
      </c>
      <c r="R7" s="849" t="str">
        <f t="shared" si="0"/>
        <v xml:space="preserve">NA </v>
      </c>
      <c r="S7" s="849" t="str">
        <f t="shared" si="0"/>
        <v xml:space="preserve">NA </v>
      </c>
      <c r="T7" s="849">
        <f t="shared" si="0"/>
        <v>16245.7</v>
      </c>
      <c r="U7" s="849">
        <f t="shared" si="0"/>
        <v>16044.398000000001</v>
      </c>
      <c r="V7" s="849">
        <f t="shared" si="0"/>
        <v>16702</v>
      </c>
      <c r="W7" s="849">
        <f t="shared" si="0"/>
        <v>17671</v>
      </c>
      <c r="X7" s="849">
        <f t="shared" si="0"/>
        <v>17815</v>
      </c>
      <c r="Y7" s="849">
        <f t="shared" si="0"/>
        <v>17859</v>
      </c>
      <c r="Z7" s="849">
        <f t="shared" si="0"/>
        <v>17326</v>
      </c>
      <c r="AA7" s="849">
        <f t="shared" si="0"/>
        <v>17000.808499999999</v>
      </c>
      <c r="AB7" s="849">
        <f t="shared" ref="AB7:AH7" si="1">IF(ISERROR((AB11-AB9)),"NA ",AB11-AB9)</f>
        <v>16878.479775</v>
      </c>
      <c r="AC7" s="849">
        <f t="shared" si="1"/>
        <v>16011.65174125</v>
      </c>
      <c r="AD7" s="849">
        <f t="shared" si="1"/>
        <v>15871.848831237501</v>
      </c>
      <c r="AE7" s="849">
        <f t="shared" si="1"/>
        <v>15239.57291436125</v>
      </c>
      <c r="AF7" s="849">
        <f t="shared" si="1"/>
        <v>14611.189759312752</v>
      </c>
      <c r="AG7" s="849">
        <f t="shared" si="1"/>
        <v>13943.520427789761</v>
      </c>
      <c r="AH7" s="849">
        <f t="shared" si="1"/>
        <v>13241.015987726281</v>
      </c>
      <c r="AI7" s="849">
        <f>IF(ISERROR((AI11-AI9)),"NA ",AI11-AI9)</f>
        <v>12499.713950899091</v>
      </c>
      <c r="AK7" s="571">
        <f>RATE(5,,-X7,AC7)*100</f>
        <v>-2.1118633076419688</v>
      </c>
      <c r="AL7" s="305" t="s">
        <v>102</v>
      </c>
      <c r="AM7" s="572">
        <f>RATE(6,,-AC7,AI7)*100</f>
        <v>-4.0428538530057558</v>
      </c>
      <c r="AN7" s="335" t="s">
        <v>102</v>
      </c>
    </row>
    <row r="8" spans="1:45" outlineLevel="1" x14ac:dyDescent="0.2">
      <c r="A8" s="573" t="s">
        <v>32</v>
      </c>
      <c r="C8" s="849" t="s">
        <v>271</v>
      </c>
      <c r="D8" s="849" t="s">
        <v>271</v>
      </c>
      <c r="E8" s="849" t="s">
        <v>271</v>
      </c>
      <c r="F8" s="849" t="s">
        <v>271</v>
      </c>
      <c r="G8" s="849" t="s">
        <v>271</v>
      </c>
      <c r="H8" s="849" t="s">
        <v>271</v>
      </c>
      <c r="I8" s="849" t="s">
        <v>271</v>
      </c>
      <c r="J8" s="849" t="s">
        <v>271</v>
      </c>
      <c r="K8" s="849" t="s">
        <v>271</v>
      </c>
      <c r="L8" s="849" t="s">
        <v>271</v>
      </c>
      <c r="M8" s="849" t="s">
        <v>271</v>
      </c>
      <c r="N8" s="849" t="s">
        <v>271</v>
      </c>
      <c r="O8" s="849" t="s">
        <v>271</v>
      </c>
      <c r="P8" s="849" t="s">
        <v>271</v>
      </c>
      <c r="Q8" s="849" t="s">
        <v>271</v>
      </c>
      <c r="R8" s="849" t="s">
        <v>271</v>
      </c>
      <c r="S8" s="849" t="s">
        <v>271</v>
      </c>
      <c r="T8" s="849" t="s">
        <v>271</v>
      </c>
      <c r="U8" s="850">
        <f t="shared" ref="U8:AF8" si="2">U7/T7-1</f>
        <v>-1.2391094258788482E-2</v>
      </c>
      <c r="V8" s="850">
        <f t="shared" si="2"/>
        <v>4.0986392883048506E-2</v>
      </c>
      <c r="W8" s="850">
        <f t="shared" si="2"/>
        <v>5.801700395162257E-2</v>
      </c>
      <c r="X8" s="850">
        <f t="shared" si="2"/>
        <v>8.1489445984948006E-3</v>
      </c>
      <c r="Y8" s="850">
        <f t="shared" si="2"/>
        <v>2.469828795958362E-3</v>
      </c>
      <c r="Z8" s="850">
        <f t="shared" si="2"/>
        <v>-2.9844896130802434E-2</v>
      </c>
      <c r="AA8" s="850">
        <f t="shared" si="2"/>
        <v>-1.8768988802955189E-2</v>
      </c>
      <c r="AB8" s="850">
        <f t="shared" si="2"/>
        <v>-7.1954651450840679E-3</v>
      </c>
      <c r="AC8" s="850">
        <f>AC7/AB7-1</f>
        <v>-5.1356996915914443E-2</v>
      </c>
      <c r="AD8" s="850">
        <f t="shared" si="2"/>
        <v>-8.7313234306946041E-3</v>
      </c>
      <c r="AE8" s="850">
        <f t="shared" si="2"/>
        <v>-3.9836311673525082E-2</v>
      </c>
      <c r="AF8" s="850">
        <f t="shared" si="2"/>
        <v>-4.1233646020114589E-2</v>
      </c>
      <c r="AG8" s="850">
        <f>AG7/AF7-1</f>
        <v>-4.5695753906518033E-2</v>
      </c>
      <c r="AH8" s="850">
        <f>AH7/AG7-1</f>
        <v>-5.0382142996210022E-2</v>
      </c>
      <c r="AI8" s="850">
        <f>AI7/AH7-1</f>
        <v>-5.5985283721002754E-2</v>
      </c>
      <c r="AK8" s="334"/>
      <c r="AL8" s="305"/>
      <c r="AM8" s="305"/>
      <c r="AN8" s="335"/>
    </row>
    <row r="9" spans="1:45" outlineLevel="1" x14ac:dyDescent="0.2">
      <c r="A9" s="303" t="s">
        <v>332</v>
      </c>
      <c r="B9" s="849" t="s">
        <v>271</v>
      </c>
      <c r="C9" s="849" t="s">
        <v>271</v>
      </c>
      <c r="D9" s="849" t="s">
        <v>271</v>
      </c>
      <c r="E9" s="849" t="s">
        <v>271</v>
      </c>
      <c r="F9" s="849" t="s">
        <v>271</v>
      </c>
      <c r="G9" s="849" t="s">
        <v>271</v>
      </c>
      <c r="H9" s="849" t="s">
        <v>271</v>
      </c>
      <c r="I9" s="849" t="s">
        <v>271</v>
      </c>
      <c r="J9" s="849" t="s">
        <v>271</v>
      </c>
      <c r="K9" s="849" t="s">
        <v>271</v>
      </c>
      <c r="L9" s="849" t="s">
        <v>271</v>
      </c>
      <c r="M9" s="849" t="s">
        <v>271</v>
      </c>
      <c r="N9" s="849" t="s">
        <v>271</v>
      </c>
      <c r="O9" s="849" t="s">
        <v>271</v>
      </c>
      <c r="P9" s="849" t="s">
        <v>271</v>
      </c>
      <c r="Q9" s="849" t="s">
        <v>271</v>
      </c>
      <c r="R9" s="849" t="s">
        <v>271</v>
      </c>
      <c r="S9" s="849" t="s">
        <v>271</v>
      </c>
      <c r="T9" s="849">
        <v>228</v>
      </c>
      <c r="U9" s="849">
        <v>344</v>
      </c>
      <c r="V9" s="849">
        <v>476</v>
      </c>
      <c r="W9" s="849">
        <v>720</v>
      </c>
      <c r="X9" s="849">
        <v>989</v>
      </c>
      <c r="Y9" s="849">
        <v>1421</v>
      </c>
      <c r="Z9" s="849">
        <v>1705</v>
      </c>
      <c r="AA9" s="849">
        <f>qtrSales!$AP183</f>
        <v>2022.1914999999999</v>
      </c>
      <c r="AB9" s="849">
        <f>qtrSales!AP190</f>
        <v>2325.5202249999998</v>
      </c>
      <c r="AC9" s="849">
        <f>qtrSales!$AP$197</f>
        <v>2674.3482587499993</v>
      </c>
      <c r="AD9" s="849">
        <f>qtrSales!$AP$204</f>
        <v>3223.1511687624989</v>
      </c>
      <c r="AE9" s="849">
        <f>qtrSales!$AP$211</f>
        <v>3545.4662856387495</v>
      </c>
      <c r="AF9" s="849">
        <f>AE9*(1+AF10)</f>
        <v>3900.0129142026249</v>
      </c>
      <c r="AG9" s="849">
        <f>AF9*(1+AG10)</f>
        <v>4290.0142056228879</v>
      </c>
      <c r="AH9" s="849">
        <f>AG9*(1+AH10)</f>
        <v>4719.0156261851771</v>
      </c>
      <c r="AI9" s="849">
        <f>AH9*(1+AI10)</f>
        <v>5190.9171888036954</v>
      </c>
      <c r="AK9" s="851"/>
      <c r="AL9" s="305"/>
      <c r="AM9" s="572"/>
      <c r="AN9" s="335"/>
    </row>
    <row r="10" spans="1:45" outlineLevel="1" x14ac:dyDescent="0.2">
      <c r="A10" s="573" t="s">
        <v>32</v>
      </c>
      <c r="B10" s="849" t="s">
        <v>271</v>
      </c>
      <c r="C10" s="849" t="s">
        <v>271</v>
      </c>
      <c r="D10" s="849" t="s">
        <v>271</v>
      </c>
      <c r="E10" s="849" t="s">
        <v>271</v>
      </c>
      <c r="F10" s="849" t="s">
        <v>271</v>
      </c>
      <c r="G10" s="849" t="s">
        <v>271</v>
      </c>
      <c r="H10" s="849" t="s">
        <v>271</v>
      </c>
      <c r="I10" s="849" t="s">
        <v>271</v>
      </c>
      <c r="J10" s="849" t="s">
        <v>271</v>
      </c>
      <c r="K10" s="849" t="s">
        <v>271</v>
      </c>
      <c r="L10" s="849" t="s">
        <v>271</v>
      </c>
      <c r="M10" s="849" t="s">
        <v>271</v>
      </c>
      <c r="N10" s="849" t="s">
        <v>271</v>
      </c>
      <c r="O10" s="849" t="s">
        <v>271</v>
      </c>
      <c r="P10" s="849" t="s">
        <v>271</v>
      </c>
      <c r="Q10" s="849" t="s">
        <v>271</v>
      </c>
      <c r="R10" s="849" t="s">
        <v>271</v>
      </c>
      <c r="S10" s="849" t="s">
        <v>271</v>
      </c>
      <c r="T10" s="852" t="s">
        <v>271</v>
      </c>
      <c r="U10" s="850">
        <f t="shared" ref="U10:AB10" si="3">U9/T9-1</f>
        <v>0.50877192982456143</v>
      </c>
      <c r="V10" s="850">
        <f t="shared" si="3"/>
        <v>0.38372093023255816</v>
      </c>
      <c r="W10" s="850">
        <f t="shared" si="3"/>
        <v>0.51260504201680668</v>
      </c>
      <c r="X10" s="850">
        <f t="shared" si="3"/>
        <v>0.37361111111111112</v>
      </c>
      <c r="Y10" s="850">
        <f t="shared" si="3"/>
        <v>0.43680485338725994</v>
      </c>
      <c r="Z10" s="850">
        <f t="shared" si="3"/>
        <v>0.19985925404644611</v>
      </c>
      <c r="AA10" s="850">
        <f t="shared" si="3"/>
        <v>0.1860360703812316</v>
      </c>
      <c r="AB10" s="850">
        <f t="shared" si="3"/>
        <v>0.14999999999999991</v>
      </c>
      <c r="AC10" s="850">
        <f>AC9/AB9-1</f>
        <v>0.14999999999999991</v>
      </c>
      <c r="AD10" s="850">
        <f>AD9/AC9-1</f>
        <v>0.20520996404148661</v>
      </c>
      <c r="AE10" s="850">
        <f>AE9/AD9-1</f>
        <v>0.10000000000000031</v>
      </c>
      <c r="AF10" s="992">
        <v>0.1</v>
      </c>
      <c r="AG10" s="992">
        <v>0.1</v>
      </c>
      <c r="AH10" s="992">
        <v>0.1</v>
      </c>
      <c r="AI10" s="992">
        <v>0.1</v>
      </c>
      <c r="AK10" s="334"/>
      <c r="AL10" s="305"/>
      <c r="AM10" s="305"/>
      <c r="AN10" s="335"/>
    </row>
    <row r="11" spans="1:45" x14ac:dyDescent="0.2">
      <c r="A11" s="303" t="s">
        <v>246</v>
      </c>
      <c r="B11" s="853">
        <v>729.96199999999999</v>
      </c>
      <c r="C11" s="849">
        <f>'yrP&amp;L'!C7</f>
        <v>789.79500000000007</v>
      </c>
      <c r="D11" s="849">
        <f>'yrP&amp;L'!D7</f>
        <v>930.42600000000004</v>
      </c>
      <c r="E11" s="849">
        <f>'yrP&amp;L'!E7</f>
        <v>1096.856</v>
      </c>
      <c r="F11" s="849">
        <f>'yrP&amp;L'!F7</f>
        <v>1305.5999999999999</v>
      </c>
      <c r="G11" s="849">
        <f>'yrP&amp;L'!G7</f>
        <v>1554.04</v>
      </c>
      <c r="H11" s="849">
        <f>'yrP&amp;L'!H7</f>
        <v>1925.6690000000001</v>
      </c>
      <c r="I11" s="849">
        <f>'yrP&amp;L'!I7</f>
        <v>2388.5</v>
      </c>
      <c r="J11" s="849">
        <f>'yrP&amp;L'!J7</f>
        <v>3060.0839999999998</v>
      </c>
      <c r="K11" s="849">
        <f>'yrP&amp;L'!K7</f>
        <v>3681.7</v>
      </c>
      <c r="L11" s="849">
        <f>'yrP&amp;L'!L7</f>
        <v>4556.9799999999996</v>
      </c>
      <c r="M11" s="849">
        <f>'yrP&amp;L'!M7</f>
        <v>6152.2000000000007</v>
      </c>
      <c r="N11" s="849">
        <f>'yrP&amp;L'!N7</f>
        <v>7488.6459999999997</v>
      </c>
      <c r="O11" s="849">
        <f>'yrP&amp;L'!O7</f>
        <v>9120.2000000000007</v>
      </c>
      <c r="P11" s="849">
        <f>'yrP&amp;L'!P7</f>
        <v>10282</v>
      </c>
      <c r="Q11" s="849">
        <f>'yrP&amp;L'!Q7</f>
        <v>11700.7</v>
      </c>
      <c r="R11" s="849">
        <f>'yrP&amp;L'!R7</f>
        <v>13402.199999999999</v>
      </c>
      <c r="S11" s="849">
        <f>'yrP&amp;L'!S7</f>
        <v>15585.301000000001</v>
      </c>
      <c r="T11" s="849">
        <f>'yrP&amp;L'!T7</f>
        <v>16473.7</v>
      </c>
      <c r="U11" s="849">
        <f>'yrP&amp;L'!U7</f>
        <v>16388.398000000001</v>
      </c>
      <c r="V11" s="849">
        <f>'yrP&amp;L'!V7</f>
        <v>17178</v>
      </c>
      <c r="W11" s="849">
        <f>'yrP&amp;L'!W7</f>
        <v>18391</v>
      </c>
      <c r="X11" s="849">
        <f>'yrP&amp;L'!X7</f>
        <v>18804</v>
      </c>
      <c r="Y11" s="849">
        <f>'yrP&amp;L'!Y7</f>
        <v>19280</v>
      </c>
      <c r="Z11" s="849">
        <f>'yrP&amp;L'!Z7</f>
        <v>19031</v>
      </c>
      <c r="AA11" s="849">
        <f>'yrP&amp;L'!AA7</f>
        <v>19023</v>
      </c>
      <c r="AB11" s="849">
        <f>'yrP&amp;L'!AB7</f>
        <v>19204</v>
      </c>
      <c r="AC11" s="849">
        <f>'yrP&amp;L'!AC7</f>
        <v>18686</v>
      </c>
      <c r="AD11" s="849">
        <f>'yrP&amp;L'!AD7</f>
        <v>19095</v>
      </c>
      <c r="AE11" s="849">
        <f>'yrP&amp;L'!AE7</f>
        <v>18785.039199999999</v>
      </c>
      <c r="AF11" s="993">
        <f>(AE11)*(1+AF41)*(AF43)*(AF16/AE16)</f>
        <v>18511.202673515378</v>
      </c>
      <c r="AG11" s="993">
        <f>(AF11)*(1+AG41)*(AG43)*(AG16/AF16)</f>
        <v>18233.534633412648</v>
      </c>
      <c r="AH11" s="993">
        <f>(AG11)*(1+AH41)*(AH43)*(AH16/AG16)</f>
        <v>17960.031613911458</v>
      </c>
      <c r="AI11" s="993">
        <f>(AH11)*(1+AI41)*(AI43)*(AI16/AH16)</f>
        <v>17690.631139702786</v>
      </c>
      <c r="AK11" s="571">
        <f>RATE(5,,-X11,AC11)*100</f>
        <v>-0.12582143419704223</v>
      </c>
      <c r="AL11" s="305" t="s">
        <v>102</v>
      </c>
      <c r="AM11" s="572">
        <f>RATE(6,,-AC11,AI11)*100</f>
        <v>-0.90817420970335938</v>
      </c>
      <c r="AN11" s="335" t="s">
        <v>102</v>
      </c>
    </row>
    <row r="12" spans="1:45" x14ac:dyDescent="0.2">
      <c r="A12" s="573" t="s">
        <v>32</v>
      </c>
      <c r="C12" s="850">
        <f>C11/B11-1</f>
        <v>8.1967280488573602E-2</v>
      </c>
      <c r="D12" s="850">
        <f t="shared" ref="D12:AF12" si="4">D11/C11-1</f>
        <v>0.17806012952728234</v>
      </c>
      <c r="E12" s="850">
        <f t="shared" si="4"/>
        <v>0.17887505293274253</v>
      </c>
      <c r="F12" s="850">
        <f t="shared" si="4"/>
        <v>0.190311216786889</v>
      </c>
      <c r="G12" s="850">
        <f t="shared" si="4"/>
        <v>0.19028799019607856</v>
      </c>
      <c r="H12" s="850">
        <f t="shared" si="4"/>
        <v>0.23913734524207886</v>
      </c>
      <c r="I12" s="850">
        <f t="shared" si="4"/>
        <v>0.24034815952274236</v>
      </c>
      <c r="J12" s="850">
        <f t="shared" si="4"/>
        <v>0.28117395855139193</v>
      </c>
      <c r="K12" s="850">
        <f t="shared" si="4"/>
        <v>0.20313690735287016</v>
      </c>
      <c r="L12" s="850">
        <f t="shared" si="4"/>
        <v>0.23773800146671364</v>
      </c>
      <c r="M12" s="850">
        <f t="shared" si="4"/>
        <v>0.35006078587134493</v>
      </c>
      <c r="N12" s="850">
        <f t="shared" si="4"/>
        <v>0.21723058418126828</v>
      </c>
      <c r="O12" s="850">
        <f t="shared" si="4"/>
        <v>0.21787036000900573</v>
      </c>
      <c r="P12" s="850">
        <f t="shared" si="4"/>
        <v>0.12738755729041018</v>
      </c>
      <c r="Q12" s="850">
        <f t="shared" si="4"/>
        <v>0.13797899241392741</v>
      </c>
      <c r="R12" s="850">
        <f t="shared" si="4"/>
        <v>0.14541865016622912</v>
      </c>
      <c r="S12" s="850">
        <f t="shared" si="4"/>
        <v>0.16289124173643144</v>
      </c>
      <c r="T12" s="850">
        <f t="shared" si="4"/>
        <v>5.700236395819358E-2</v>
      </c>
      <c r="U12" s="850">
        <f t="shared" si="4"/>
        <v>-5.1780717143082855E-3</v>
      </c>
      <c r="V12" s="850">
        <f t="shared" si="4"/>
        <v>4.8180548214657559E-2</v>
      </c>
      <c r="W12" s="850">
        <f t="shared" si="4"/>
        <v>7.0613575503551074E-2</v>
      </c>
      <c r="X12" s="850">
        <f t="shared" si="4"/>
        <v>2.2456636398238361E-2</v>
      </c>
      <c r="Y12" s="850">
        <f t="shared" si="4"/>
        <v>2.5313763029142677E-2</v>
      </c>
      <c r="Z12" s="850">
        <f t="shared" si="4"/>
        <v>-1.2914937759336054E-2</v>
      </c>
      <c r="AA12" s="850">
        <f>AA11/Z11-1</f>
        <v>-4.2036677000678591E-4</v>
      </c>
      <c r="AB12" s="850">
        <f>AB11/AA11-1</f>
        <v>9.5147978762550878E-3</v>
      </c>
      <c r="AC12" s="850">
        <f>AC11/AB11-1</f>
        <v>-2.6973547177671309E-2</v>
      </c>
      <c r="AD12" s="850">
        <f t="shared" si="4"/>
        <v>2.1888044525313122E-2</v>
      </c>
      <c r="AE12" s="850">
        <f t="shared" si="4"/>
        <v>-1.6232563498298047E-2</v>
      </c>
      <c r="AF12" s="850">
        <f t="shared" si="4"/>
        <v>-1.4577373172829033E-2</v>
      </c>
      <c r="AG12" s="850">
        <f>AG11/AF11-1</f>
        <v>-1.4999999999999902E-2</v>
      </c>
      <c r="AH12" s="850">
        <f>AH11/AG11-1</f>
        <v>-1.5000000000000013E-2</v>
      </c>
      <c r="AI12" s="850">
        <f>AI11/AH11-1</f>
        <v>-1.5000000000000013E-2</v>
      </c>
      <c r="AK12" s="334"/>
      <c r="AL12" s="305"/>
      <c r="AM12" s="305"/>
      <c r="AN12" s="335"/>
      <c r="AR12" s="311"/>
    </row>
    <row r="13" spans="1:45" x14ac:dyDescent="0.2">
      <c r="B13" s="431"/>
      <c r="C13" s="431"/>
      <c r="D13" s="431"/>
      <c r="E13" s="431"/>
      <c r="F13" s="431"/>
      <c r="G13" s="431"/>
      <c r="H13" s="431"/>
      <c r="I13" s="431"/>
      <c r="J13" s="431"/>
      <c r="K13" s="431"/>
      <c r="L13" s="431"/>
      <c r="M13" s="431"/>
      <c r="N13" s="431"/>
      <c r="O13" s="431"/>
      <c r="P13" s="431"/>
      <c r="Q13" s="431"/>
      <c r="R13" s="431"/>
      <c r="S13" s="431"/>
      <c r="T13" s="431"/>
      <c r="U13" s="431"/>
      <c r="V13" s="431"/>
      <c r="W13" s="431"/>
      <c r="X13" s="431"/>
      <c r="Y13" s="431"/>
      <c r="Z13" s="854"/>
      <c r="AA13" s="854"/>
      <c r="AB13" s="854"/>
      <c r="AC13" s="431"/>
      <c r="AD13" s="431"/>
      <c r="AE13" s="431"/>
      <c r="AF13" s="431"/>
      <c r="AG13" s="431"/>
      <c r="AH13" s="431"/>
      <c r="AI13" s="431"/>
      <c r="AJ13" s="431"/>
      <c r="AK13" s="334"/>
      <c r="AL13" s="305"/>
      <c r="AM13" s="305"/>
      <c r="AN13" s="335"/>
    </row>
    <row r="14" spans="1:45" x14ac:dyDescent="0.2">
      <c r="A14" s="303" t="s">
        <v>35</v>
      </c>
      <c r="B14" s="472">
        <v>66</v>
      </c>
      <c r="C14" s="413">
        <f>B16</f>
        <v>66</v>
      </c>
      <c r="D14" s="413">
        <f t="shared" ref="D14:P14" si="5">C16</f>
        <v>66</v>
      </c>
      <c r="E14" s="413">
        <f t="shared" si="5"/>
        <v>75</v>
      </c>
      <c r="F14" s="413">
        <f t="shared" si="5"/>
        <v>79</v>
      </c>
      <c r="G14" s="413">
        <f t="shared" si="5"/>
        <v>90</v>
      </c>
      <c r="H14" s="413">
        <f t="shared" si="5"/>
        <v>108</v>
      </c>
      <c r="I14" s="413">
        <f t="shared" si="5"/>
        <v>128</v>
      </c>
      <c r="J14" s="413">
        <f t="shared" si="5"/>
        <v>150</v>
      </c>
      <c r="K14" s="413">
        <f t="shared" si="5"/>
        <v>182</v>
      </c>
      <c r="L14" s="413">
        <f t="shared" si="5"/>
        <v>213</v>
      </c>
      <c r="M14" s="413">
        <f t="shared" si="5"/>
        <v>259</v>
      </c>
      <c r="N14" s="413">
        <f t="shared" si="5"/>
        <v>320</v>
      </c>
      <c r="O14" s="413">
        <f t="shared" si="5"/>
        <v>382</v>
      </c>
      <c r="P14" s="413">
        <f t="shared" si="5"/>
        <v>457</v>
      </c>
      <c r="Q14" s="413">
        <f t="shared" ref="Q14:W14" si="6">P16</f>
        <v>542</v>
      </c>
      <c r="R14" s="413">
        <f t="shared" si="6"/>
        <v>637</v>
      </c>
      <c r="S14" s="413">
        <f t="shared" si="6"/>
        <v>732</v>
      </c>
      <c r="T14" s="413">
        <f t="shared" si="6"/>
        <v>817</v>
      </c>
      <c r="U14" s="413">
        <f t="shared" si="6"/>
        <v>929</v>
      </c>
      <c r="V14" s="413">
        <f t="shared" si="6"/>
        <v>1004</v>
      </c>
      <c r="W14" s="413">
        <f t="shared" si="6"/>
        <v>1058</v>
      </c>
      <c r="X14" s="413">
        <f t="shared" ref="X14:AF14" si="7">W16</f>
        <v>1089</v>
      </c>
      <c r="Y14" s="432">
        <f t="shared" si="7"/>
        <v>1127</v>
      </c>
      <c r="Z14" s="413">
        <f t="shared" si="7"/>
        <v>1146</v>
      </c>
      <c r="AA14" s="413">
        <f>Z16</f>
        <v>1158</v>
      </c>
      <c r="AB14" s="413">
        <f t="shared" si="7"/>
        <v>1162</v>
      </c>
      <c r="AC14" s="413">
        <f t="shared" si="7"/>
        <v>1166</v>
      </c>
      <c r="AD14" s="413">
        <f t="shared" si="7"/>
        <v>1154</v>
      </c>
      <c r="AE14" s="413">
        <f t="shared" si="7"/>
        <v>1158</v>
      </c>
      <c r="AF14" s="413">
        <f t="shared" si="7"/>
        <v>1163</v>
      </c>
      <c r="AG14" s="413">
        <f>AF16</f>
        <v>1167</v>
      </c>
      <c r="AH14" s="413">
        <f>AG16</f>
        <v>1167</v>
      </c>
      <c r="AI14" s="413">
        <f>AH16</f>
        <v>1167</v>
      </c>
      <c r="AK14" s="334"/>
      <c r="AL14" s="305"/>
      <c r="AM14" s="305"/>
      <c r="AN14" s="335"/>
    </row>
    <row r="15" spans="1:45" x14ac:dyDescent="0.2">
      <c r="A15" s="855" t="s">
        <v>333</v>
      </c>
      <c r="B15" s="472">
        <v>0</v>
      </c>
      <c r="C15" s="472">
        <v>0</v>
      </c>
      <c r="D15" s="472">
        <v>9</v>
      </c>
      <c r="E15" s="472">
        <v>4</v>
      </c>
      <c r="F15" s="472">
        <v>11</v>
      </c>
      <c r="G15" s="472">
        <v>18</v>
      </c>
      <c r="H15" s="472">
        <v>20</v>
      </c>
      <c r="I15" s="472">
        <v>22</v>
      </c>
      <c r="J15" s="472">
        <v>32</v>
      </c>
      <c r="K15" s="472">
        <v>31</v>
      </c>
      <c r="L15" s="472">
        <v>46</v>
      </c>
      <c r="M15" s="472">
        <v>61</v>
      </c>
      <c r="N15" s="472">
        <v>62</v>
      </c>
      <c r="O15" s="472">
        <v>75</v>
      </c>
      <c r="P15" s="472">
        <v>85</v>
      </c>
      <c r="Q15" s="472">
        <v>95</v>
      </c>
      <c r="R15" s="472">
        <v>95</v>
      </c>
      <c r="S15" s="472">
        <v>85</v>
      </c>
      <c r="T15" s="472">
        <v>112</v>
      </c>
      <c r="U15" s="472">
        <v>75</v>
      </c>
      <c r="V15" s="472">
        <v>54</v>
      </c>
      <c r="W15" s="985">
        <v>31</v>
      </c>
      <c r="X15" s="985">
        <v>38</v>
      </c>
      <c r="Y15" s="985">
        <f>20-1</f>
        <v>19</v>
      </c>
      <c r="Z15" s="985">
        <v>12</v>
      </c>
      <c r="AA15" s="985">
        <v>4</v>
      </c>
      <c r="AB15" s="995">
        <f>AB16-AB14</f>
        <v>4</v>
      </c>
      <c r="AC15" s="995">
        <f>AC16-AC14</f>
        <v>-12</v>
      </c>
      <c r="AD15" s="1278">
        <f>AD16-AD14</f>
        <v>4</v>
      </c>
      <c r="AE15" s="1278">
        <f>AE16-AE14</f>
        <v>5</v>
      </c>
      <c r="AF15" s="1279">
        <v>4</v>
      </c>
      <c r="AG15" s="994">
        <v>0</v>
      </c>
      <c r="AH15" s="994">
        <v>0</v>
      </c>
      <c r="AI15" s="994">
        <v>0</v>
      </c>
      <c r="AK15" s="334"/>
      <c r="AL15" s="305"/>
      <c r="AM15" s="305"/>
      <c r="AN15" s="335"/>
    </row>
    <row r="16" spans="1:45" x14ac:dyDescent="0.2">
      <c r="A16" s="303" t="s">
        <v>36</v>
      </c>
      <c r="B16" s="413">
        <f t="shared" ref="B16:X16" si="8">SUM(B14:B15)</f>
        <v>66</v>
      </c>
      <c r="C16" s="413">
        <f>SUM(C14:C15)</f>
        <v>66</v>
      </c>
      <c r="D16" s="413">
        <f t="shared" si="8"/>
        <v>75</v>
      </c>
      <c r="E16" s="413">
        <f t="shared" si="8"/>
        <v>79</v>
      </c>
      <c r="F16" s="413">
        <f t="shared" si="8"/>
        <v>90</v>
      </c>
      <c r="G16" s="413">
        <f t="shared" si="8"/>
        <v>108</v>
      </c>
      <c r="H16" s="413">
        <f t="shared" si="8"/>
        <v>128</v>
      </c>
      <c r="I16" s="413">
        <f t="shared" si="8"/>
        <v>150</v>
      </c>
      <c r="J16" s="413">
        <f t="shared" si="8"/>
        <v>182</v>
      </c>
      <c r="K16" s="413">
        <f t="shared" si="8"/>
        <v>213</v>
      </c>
      <c r="L16" s="413">
        <f t="shared" si="8"/>
        <v>259</v>
      </c>
      <c r="M16" s="413">
        <f t="shared" si="8"/>
        <v>320</v>
      </c>
      <c r="N16" s="413">
        <f t="shared" si="8"/>
        <v>382</v>
      </c>
      <c r="O16" s="413">
        <f t="shared" si="8"/>
        <v>457</v>
      </c>
      <c r="P16" s="413">
        <f t="shared" si="8"/>
        <v>542</v>
      </c>
      <c r="Q16" s="413">
        <f t="shared" si="8"/>
        <v>637</v>
      </c>
      <c r="R16" s="413">
        <f t="shared" si="8"/>
        <v>732</v>
      </c>
      <c r="S16" s="413">
        <f t="shared" si="8"/>
        <v>817</v>
      </c>
      <c r="T16" s="413">
        <f t="shared" si="8"/>
        <v>929</v>
      </c>
      <c r="U16" s="413">
        <f t="shared" si="8"/>
        <v>1004</v>
      </c>
      <c r="V16" s="413">
        <f t="shared" si="8"/>
        <v>1058</v>
      </c>
      <c r="W16" s="413">
        <f t="shared" si="8"/>
        <v>1089</v>
      </c>
      <c r="X16" s="413">
        <f t="shared" si="8"/>
        <v>1127</v>
      </c>
      <c r="Y16" s="413">
        <f>SUM(Y14:Y15)</f>
        <v>1146</v>
      </c>
      <c r="Z16" s="413">
        <f>SUM(Z14:Z15)</f>
        <v>1158</v>
      </c>
      <c r="AA16" s="413">
        <f>SUM(AA14:AA15)</f>
        <v>1162</v>
      </c>
      <c r="AB16" s="413">
        <f>stores!$D306</f>
        <v>1166</v>
      </c>
      <c r="AC16" s="413">
        <f>stores!D311</f>
        <v>1154</v>
      </c>
      <c r="AD16" s="995">
        <f>stores!D316</f>
        <v>1158</v>
      </c>
      <c r="AE16" s="995">
        <f>stores!D321</f>
        <v>1163</v>
      </c>
      <c r="AF16" s="259">
        <f>AF14+AF15</f>
        <v>1167</v>
      </c>
      <c r="AG16" s="585">
        <f>AG14+AG15</f>
        <v>1167</v>
      </c>
      <c r="AH16" s="585">
        <f>AH14+AH15</f>
        <v>1167</v>
      </c>
      <c r="AI16" s="585">
        <f>AI14+AI15</f>
        <v>1167</v>
      </c>
      <c r="AK16" s="571">
        <f>RATE(5,,-X16,AC16)*100</f>
        <v>0.47462143688396091</v>
      </c>
      <c r="AL16" s="305" t="s">
        <v>102</v>
      </c>
      <c r="AM16" s="572">
        <f>RATE(6,,-AC16,AI16)*100</f>
        <v>0.18687748570822466</v>
      </c>
      <c r="AN16" s="335" t="s">
        <v>102</v>
      </c>
    </row>
    <row r="17" spans="1:40" x14ac:dyDescent="0.2">
      <c r="A17" s="303" t="s">
        <v>37</v>
      </c>
      <c r="B17" s="413">
        <f t="shared" ref="B17:Y17" si="9">AVERAGE(B14,B16)</f>
        <v>66</v>
      </c>
      <c r="C17" s="413">
        <f t="shared" si="9"/>
        <v>66</v>
      </c>
      <c r="D17" s="413">
        <f t="shared" si="9"/>
        <v>70.5</v>
      </c>
      <c r="E17" s="413">
        <f t="shared" si="9"/>
        <v>77</v>
      </c>
      <c r="F17" s="413">
        <f t="shared" si="9"/>
        <v>84.5</v>
      </c>
      <c r="G17" s="413">
        <f t="shared" si="9"/>
        <v>99</v>
      </c>
      <c r="H17" s="413">
        <f t="shared" si="9"/>
        <v>118</v>
      </c>
      <c r="I17" s="413">
        <f t="shared" si="9"/>
        <v>139</v>
      </c>
      <c r="J17" s="413">
        <f t="shared" si="9"/>
        <v>166</v>
      </c>
      <c r="K17" s="413">
        <f t="shared" si="9"/>
        <v>197.5</v>
      </c>
      <c r="L17" s="413">
        <f t="shared" si="9"/>
        <v>236</v>
      </c>
      <c r="M17" s="413">
        <f t="shared" si="9"/>
        <v>289.5</v>
      </c>
      <c r="N17" s="413">
        <f t="shared" si="9"/>
        <v>351</v>
      </c>
      <c r="O17" s="413">
        <f t="shared" si="9"/>
        <v>419.5</v>
      </c>
      <c r="P17" s="413">
        <f t="shared" si="9"/>
        <v>499.5</v>
      </c>
      <c r="Q17" s="413">
        <f t="shared" si="9"/>
        <v>589.5</v>
      </c>
      <c r="R17" s="413">
        <f t="shared" si="9"/>
        <v>684.5</v>
      </c>
      <c r="S17" s="413">
        <f t="shared" si="9"/>
        <v>774.5</v>
      </c>
      <c r="T17" s="413">
        <f t="shared" si="9"/>
        <v>873</v>
      </c>
      <c r="U17" s="413">
        <f t="shared" si="9"/>
        <v>966.5</v>
      </c>
      <c r="V17" s="413">
        <f t="shared" si="9"/>
        <v>1031</v>
      </c>
      <c r="W17" s="413">
        <f t="shared" si="9"/>
        <v>1073.5</v>
      </c>
      <c r="X17" s="413">
        <f t="shared" si="9"/>
        <v>1108</v>
      </c>
      <c r="Y17" s="413">
        <f t="shared" si="9"/>
        <v>1136.5</v>
      </c>
      <c r="Z17" s="413">
        <f t="shared" ref="Z17:AE17" si="10">AVERAGE(Z14,Z16)</f>
        <v>1152</v>
      </c>
      <c r="AA17" s="413">
        <f t="shared" si="10"/>
        <v>1160</v>
      </c>
      <c r="AB17" s="413">
        <f t="shared" si="10"/>
        <v>1164</v>
      </c>
      <c r="AC17" s="413">
        <f t="shared" si="10"/>
        <v>1160</v>
      </c>
      <c r="AD17" s="413">
        <f t="shared" si="10"/>
        <v>1156</v>
      </c>
      <c r="AE17" s="413">
        <f t="shared" si="10"/>
        <v>1160.5</v>
      </c>
      <c r="AF17" s="413">
        <f>AVERAGE(AF14,AF16)</f>
        <v>1165</v>
      </c>
      <c r="AG17" s="413">
        <f>AVERAGE(AG14,AG16)</f>
        <v>1167</v>
      </c>
      <c r="AH17" s="413">
        <f>AVERAGE(AH14,AH16)</f>
        <v>1167</v>
      </c>
      <c r="AI17" s="413">
        <f>AVERAGE(AI14,AI16)</f>
        <v>1167</v>
      </c>
      <c r="AK17" s="334"/>
      <c r="AL17" s="305"/>
      <c r="AM17" s="305"/>
      <c r="AN17" s="335"/>
    </row>
    <row r="18" spans="1:40" x14ac:dyDescent="0.2">
      <c r="A18" s="573" t="s">
        <v>33</v>
      </c>
      <c r="C18" s="850">
        <f t="shared" ref="C18:Q18" si="11">C17/B17-1</f>
        <v>0</v>
      </c>
      <c r="D18" s="850">
        <f t="shared" si="11"/>
        <v>6.8181818181818121E-2</v>
      </c>
      <c r="E18" s="850">
        <f t="shared" si="11"/>
        <v>9.219858156028371E-2</v>
      </c>
      <c r="F18" s="850">
        <f t="shared" si="11"/>
        <v>9.740259740259738E-2</v>
      </c>
      <c r="G18" s="850">
        <f t="shared" si="11"/>
        <v>0.17159763313609466</v>
      </c>
      <c r="H18" s="850">
        <f t="shared" si="11"/>
        <v>0.19191919191919182</v>
      </c>
      <c r="I18" s="850">
        <f t="shared" si="11"/>
        <v>0.17796610169491522</v>
      </c>
      <c r="J18" s="850">
        <f t="shared" si="11"/>
        <v>0.19424460431654667</v>
      </c>
      <c r="K18" s="850">
        <f t="shared" si="11"/>
        <v>0.18975903614457823</v>
      </c>
      <c r="L18" s="850">
        <f t="shared" si="11"/>
        <v>0.19493670886075942</v>
      </c>
      <c r="M18" s="850">
        <f t="shared" si="11"/>
        <v>0.22669491525423724</v>
      </c>
      <c r="N18" s="850">
        <f t="shared" si="11"/>
        <v>0.21243523316062185</v>
      </c>
      <c r="O18" s="850">
        <f t="shared" si="11"/>
        <v>0.1951566951566952</v>
      </c>
      <c r="P18" s="850">
        <f t="shared" si="11"/>
        <v>0.19070321811680579</v>
      </c>
      <c r="Q18" s="850">
        <f t="shared" si="11"/>
        <v>0.18018018018018012</v>
      </c>
      <c r="R18" s="850">
        <f>R17/Q17-1</f>
        <v>0.16115351993214588</v>
      </c>
      <c r="S18" s="850">
        <f t="shared" ref="S18:Z18" si="12">S17/R17-1</f>
        <v>0.13148283418553697</v>
      </c>
      <c r="T18" s="850">
        <f t="shared" si="12"/>
        <v>0.12717882504841826</v>
      </c>
      <c r="U18" s="850">
        <f t="shared" si="12"/>
        <v>0.10710194730813294</v>
      </c>
      <c r="V18" s="850">
        <f t="shared" si="12"/>
        <v>6.6735644076564959E-2</v>
      </c>
      <c r="W18" s="850">
        <f t="shared" si="12"/>
        <v>4.1222114451988423E-2</v>
      </c>
      <c r="X18" s="850">
        <f t="shared" si="12"/>
        <v>3.2137866790870939E-2</v>
      </c>
      <c r="Y18" s="850">
        <f t="shared" si="12"/>
        <v>2.5722021660649741E-2</v>
      </c>
      <c r="Z18" s="850">
        <f t="shared" si="12"/>
        <v>1.363836339639235E-2</v>
      </c>
      <c r="AA18" s="850">
        <f t="shared" ref="AA18:AF18" si="13">AA17/Z17-1</f>
        <v>6.9444444444444198E-3</v>
      </c>
      <c r="AB18" s="850">
        <f t="shared" si="13"/>
        <v>3.4482758620688614E-3</v>
      </c>
      <c r="AC18" s="850">
        <f t="shared" si="13"/>
        <v>-3.4364261168384758E-3</v>
      </c>
      <c r="AD18" s="850">
        <f t="shared" si="13"/>
        <v>-3.4482758620689724E-3</v>
      </c>
      <c r="AE18" s="850">
        <f t="shared" si="13"/>
        <v>3.8927335640137617E-3</v>
      </c>
      <c r="AF18" s="850">
        <f t="shared" si="13"/>
        <v>3.8776389487289453E-3</v>
      </c>
      <c r="AG18" s="850">
        <f>AG17/AF17-1</f>
        <v>1.7167381974247942E-3</v>
      </c>
      <c r="AH18" s="850">
        <f>AH17/AG17-1</f>
        <v>0</v>
      </c>
      <c r="AI18" s="850">
        <f>AI17/AH17-1</f>
        <v>0</v>
      </c>
      <c r="AK18" s="334"/>
      <c r="AL18" s="305"/>
      <c r="AM18" s="305"/>
      <c r="AN18" s="335"/>
    </row>
    <row r="19" spans="1:40" x14ac:dyDescent="0.2">
      <c r="Y19" s="458"/>
      <c r="AK19" s="334"/>
      <c r="AL19" s="305"/>
      <c r="AM19" s="305"/>
      <c r="AN19" s="335"/>
    </row>
    <row r="20" spans="1:40" x14ac:dyDescent="0.2">
      <c r="A20" s="856" t="s">
        <v>25</v>
      </c>
      <c r="B20" s="857" t="str">
        <f t="shared" ref="B20:S20" si="14">IF(ISERROR(B7/B17),"NA ",B7/B17)</f>
        <v xml:space="preserve">NA </v>
      </c>
      <c r="C20" s="857" t="str">
        <f t="shared" si="14"/>
        <v xml:space="preserve">NA </v>
      </c>
      <c r="D20" s="857" t="str">
        <f t="shared" si="14"/>
        <v xml:space="preserve">NA </v>
      </c>
      <c r="E20" s="857" t="str">
        <f t="shared" si="14"/>
        <v xml:space="preserve">NA </v>
      </c>
      <c r="F20" s="857" t="str">
        <f t="shared" si="14"/>
        <v xml:space="preserve">NA </v>
      </c>
      <c r="G20" s="857" t="str">
        <f t="shared" si="14"/>
        <v xml:space="preserve">NA </v>
      </c>
      <c r="H20" s="857" t="str">
        <f t="shared" si="14"/>
        <v xml:space="preserve">NA </v>
      </c>
      <c r="I20" s="857" t="str">
        <f t="shared" si="14"/>
        <v xml:space="preserve">NA </v>
      </c>
      <c r="J20" s="857" t="str">
        <f t="shared" si="14"/>
        <v xml:space="preserve">NA </v>
      </c>
      <c r="K20" s="857" t="str">
        <f t="shared" si="14"/>
        <v xml:space="preserve">NA </v>
      </c>
      <c r="L20" s="857" t="str">
        <f t="shared" si="14"/>
        <v xml:space="preserve">NA </v>
      </c>
      <c r="M20" s="857" t="str">
        <f t="shared" si="14"/>
        <v xml:space="preserve">NA </v>
      </c>
      <c r="N20" s="857" t="str">
        <f t="shared" si="14"/>
        <v xml:space="preserve">NA </v>
      </c>
      <c r="O20" s="857" t="str">
        <f t="shared" si="14"/>
        <v xml:space="preserve">NA </v>
      </c>
      <c r="P20" s="857" t="str">
        <f t="shared" si="14"/>
        <v xml:space="preserve">NA </v>
      </c>
      <c r="Q20" s="857" t="str">
        <f t="shared" si="14"/>
        <v xml:space="preserve">NA </v>
      </c>
      <c r="R20" s="857" t="str">
        <f t="shared" si="14"/>
        <v xml:space="preserve">NA </v>
      </c>
      <c r="S20" s="857" t="str">
        <f t="shared" si="14"/>
        <v xml:space="preserve">NA </v>
      </c>
      <c r="T20" s="458">
        <f t="shared" ref="T20:AC20" si="15">T7/T17</f>
        <v>18.609049255441008</v>
      </c>
      <c r="U20" s="458">
        <f t="shared" si="15"/>
        <v>16.600515261251942</v>
      </c>
      <c r="V20" s="458">
        <f t="shared" si="15"/>
        <v>16.19980601357905</v>
      </c>
      <c r="W20" s="458">
        <f t="shared" si="15"/>
        <v>16.461108523521194</v>
      </c>
      <c r="X20" s="458">
        <f t="shared" si="15"/>
        <v>16.078519855595669</v>
      </c>
      <c r="Y20" s="458">
        <f t="shared" si="15"/>
        <v>15.714034315882094</v>
      </c>
      <c r="Z20" s="458">
        <f t="shared" si="15"/>
        <v>15.039930555555555</v>
      </c>
      <c r="AA20" s="458">
        <f t="shared" si="15"/>
        <v>14.655869396551724</v>
      </c>
      <c r="AB20" s="458">
        <f>AB7/AB17</f>
        <v>14.500412177835051</v>
      </c>
      <c r="AC20" s="458">
        <f t="shared" si="15"/>
        <v>13.803148052801724</v>
      </c>
      <c r="AD20" s="458">
        <f t="shared" ref="AD20:AI20" si="16">AD7/AD17</f>
        <v>13.729973037402683</v>
      </c>
      <c r="AE20" s="458">
        <f t="shared" si="16"/>
        <v>13.131902554382808</v>
      </c>
      <c r="AF20" s="458">
        <f t="shared" si="16"/>
        <v>12.541793784817813</v>
      </c>
      <c r="AG20" s="458">
        <f t="shared" si="16"/>
        <v>11.948175173770146</v>
      </c>
      <c r="AH20" s="458">
        <f t="shared" si="16"/>
        <v>11.346200503621493</v>
      </c>
      <c r="AI20" s="458">
        <f t="shared" si="16"/>
        <v>10.710980249270857</v>
      </c>
      <c r="AK20" s="334"/>
      <c r="AL20" s="305"/>
      <c r="AM20" s="305"/>
      <c r="AN20" s="335"/>
    </row>
    <row r="21" spans="1:40" x14ac:dyDescent="0.2">
      <c r="A21" s="858" t="s">
        <v>32</v>
      </c>
      <c r="B21" s="852" t="s">
        <v>352</v>
      </c>
      <c r="C21" s="852" t="s">
        <v>352</v>
      </c>
      <c r="D21" s="857" t="s">
        <v>271</v>
      </c>
      <c r="E21" s="857" t="s">
        <v>271</v>
      </c>
      <c r="F21" s="857" t="s">
        <v>271</v>
      </c>
      <c r="G21" s="857" t="s">
        <v>271</v>
      </c>
      <c r="H21" s="857" t="s">
        <v>271</v>
      </c>
      <c r="I21" s="857" t="s">
        <v>271</v>
      </c>
      <c r="J21" s="857" t="s">
        <v>271</v>
      </c>
      <c r="K21" s="857" t="s">
        <v>271</v>
      </c>
      <c r="L21" s="857" t="s">
        <v>271</v>
      </c>
      <c r="M21" s="857" t="s">
        <v>271</v>
      </c>
      <c r="N21" s="857" t="s">
        <v>271</v>
      </c>
      <c r="O21" s="857" t="s">
        <v>271</v>
      </c>
      <c r="P21" s="857" t="s">
        <v>271</v>
      </c>
      <c r="Q21" s="857" t="s">
        <v>271</v>
      </c>
      <c r="R21" s="857" t="s">
        <v>271</v>
      </c>
      <c r="S21" s="857" t="s">
        <v>271</v>
      </c>
      <c r="T21" s="857" t="s">
        <v>271</v>
      </c>
      <c r="U21" s="850">
        <f t="shared" ref="U21:AF21" si="17">U20/T20-1</f>
        <v>-0.10793318705423927</v>
      </c>
      <c r="V21" s="850">
        <f t="shared" si="17"/>
        <v>-2.4138362054833773E-2</v>
      </c>
      <c r="W21" s="850">
        <f t="shared" si="17"/>
        <v>1.6129977712270982E-2</v>
      </c>
      <c r="X21" s="850">
        <f t="shared" si="17"/>
        <v>-2.3241974705339286E-2</v>
      </c>
      <c r="Y21" s="850">
        <f t="shared" si="17"/>
        <v>-2.2669097839048025E-2</v>
      </c>
      <c r="Z21" s="850">
        <f t="shared" si="17"/>
        <v>-4.2898198309597957E-2</v>
      </c>
      <c r="AA21" s="850">
        <f t="shared" si="17"/>
        <v>-2.5536099225003661E-2</v>
      </c>
      <c r="AB21" s="850">
        <f t="shared" si="17"/>
        <v>-1.0607164577575268E-2</v>
      </c>
      <c r="AC21" s="850">
        <f t="shared" si="17"/>
        <v>-4.8085814146658912E-2</v>
      </c>
      <c r="AD21" s="850">
        <f t="shared" si="17"/>
        <v>-5.3013280100395743E-3</v>
      </c>
      <c r="AE21" s="850">
        <f t="shared" si="17"/>
        <v>-4.3559479788535138E-2</v>
      </c>
      <c r="AF21" s="850">
        <f t="shared" si="17"/>
        <v>-4.4937035370251399E-2</v>
      </c>
      <c r="AG21" s="850">
        <f>AG20/AF20-1</f>
        <v>-4.7331236761862461E-2</v>
      </c>
      <c r="AH21" s="850">
        <f>AH20/AG20-1</f>
        <v>-5.0382142996209911E-2</v>
      </c>
      <c r="AI21" s="850">
        <f>AI20/AH20-1</f>
        <v>-5.5985283721002865E-2</v>
      </c>
      <c r="AK21" s="334"/>
      <c r="AL21" s="305"/>
      <c r="AM21" s="305"/>
      <c r="AN21" s="335"/>
    </row>
    <row r="22" spans="1:40" x14ac:dyDescent="0.2">
      <c r="A22" s="858"/>
      <c r="Q22" s="311"/>
      <c r="R22" s="311"/>
      <c r="S22" s="311"/>
      <c r="T22" s="311"/>
      <c r="U22" s="311"/>
      <c r="V22" s="311"/>
      <c r="W22" s="311"/>
      <c r="X22" s="311"/>
      <c r="Y22" s="311"/>
      <c r="Z22" s="311"/>
      <c r="AA22" s="311"/>
      <c r="AB22" s="311"/>
      <c r="AC22" s="311"/>
      <c r="AD22" s="311"/>
      <c r="AE22" s="311"/>
      <c r="AF22" s="311"/>
      <c r="AG22" s="311"/>
      <c r="AH22" s="311"/>
      <c r="AI22" s="311"/>
      <c r="AK22" s="334"/>
      <c r="AL22" s="305"/>
      <c r="AM22" s="305"/>
      <c r="AN22" s="335"/>
    </row>
    <row r="23" spans="1:40" x14ac:dyDescent="0.2">
      <c r="A23" s="856" t="s">
        <v>264</v>
      </c>
      <c r="B23" s="458">
        <f t="shared" ref="B23:AA23" si="18">B11/B17</f>
        <v>11.060030303030302</v>
      </c>
      <c r="C23" s="458">
        <f t="shared" si="18"/>
        <v>11.966590909090911</v>
      </c>
      <c r="D23" s="458">
        <f t="shared" si="18"/>
        <v>13.197531914893618</v>
      </c>
      <c r="E23" s="458">
        <f t="shared" si="18"/>
        <v>14.244883116883116</v>
      </c>
      <c r="F23" s="458">
        <f t="shared" si="18"/>
        <v>15.450887573964495</v>
      </c>
      <c r="G23" s="458">
        <f t="shared" si="18"/>
        <v>15.697373737373738</v>
      </c>
      <c r="H23" s="458">
        <f t="shared" si="18"/>
        <v>16.319228813559324</v>
      </c>
      <c r="I23" s="458">
        <f t="shared" si="18"/>
        <v>17.18345323741007</v>
      </c>
      <c r="J23" s="458">
        <f t="shared" si="18"/>
        <v>18.434240963855419</v>
      </c>
      <c r="K23" s="458">
        <f t="shared" si="18"/>
        <v>18.641518987341772</v>
      </c>
      <c r="L23" s="458">
        <f t="shared" si="18"/>
        <v>19.309237288135591</v>
      </c>
      <c r="M23" s="458">
        <f t="shared" si="18"/>
        <v>21.251122625215892</v>
      </c>
      <c r="N23" s="458">
        <f t="shared" si="18"/>
        <v>21.335173789173787</v>
      </c>
      <c r="O23" s="458">
        <f t="shared" si="18"/>
        <v>21.740643623361144</v>
      </c>
      <c r="P23" s="458">
        <f t="shared" si="18"/>
        <v>20.584584584584583</v>
      </c>
      <c r="Q23" s="458">
        <f t="shared" si="18"/>
        <v>19.848515691263785</v>
      </c>
      <c r="R23" s="458">
        <f t="shared" si="18"/>
        <v>19.579547114682249</v>
      </c>
      <c r="S23" s="458">
        <f t="shared" si="18"/>
        <v>20.12304841833441</v>
      </c>
      <c r="T23" s="458">
        <f t="shared" si="18"/>
        <v>18.870217640320735</v>
      </c>
      <c r="U23" s="458">
        <f t="shared" si="18"/>
        <v>16.956438696326956</v>
      </c>
      <c r="V23" s="458">
        <f t="shared" si="18"/>
        <v>16.661493695441319</v>
      </c>
      <c r="W23" s="458">
        <f t="shared" si="18"/>
        <v>17.131811830461107</v>
      </c>
      <c r="X23" s="458">
        <f t="shared" si="18"/>
        <v>16.971119133574007</v>
      </c>
      <c r="Y23" s="458">
        <f t="shared" si="18"/>
        <v>16.964364276286844</v>
      </c>
      <c r="Z23" s="458">
        <f t="shared" si="18"/>
        <v>16.519965277777779</v>
      </c>
      <c r="AA23" s="458">
        <f t="shared" si="18"/>
        <v>16.399137931034481</v>
      </c>
      <c r="AB23" s="458">
        <f t="shared" ref="AB23:AH23" si="19">AB11/AB17</f>
        <v>16.498281786941579</v>
      </c>
      <c r="AC23" s="458">
        <f t="shared" si="19"/>
        <v>16.108620689655172</v>
      </c>
      <c r="AD23" s="458">
        <f t="shared" si="19"/>
        <v>16.518166089965398</v>
      </c>
      <c r="AE23" s="458">
        <f t="shared" si="19"/>
        <v>16.187022145626884</v>
      </c>
      <c r="AF23" s="458">
        <f t="shared" si="19"/>
        <v>15.889444354948822</v>
      </c>
      <c r="AG23" s="458">
        <f t="shared" si="19"/>
        <v>15.624279891527548</v>
      </c>
      <c r="AH23" s="458">
        <f t="shared" si="19"/>
        <v>15.389915693154634</v>
      </c>
      <c r="AI23" s="458">
        <f>AI11/AI17</f>
        <v>15.159066957757314</v>
      </c>
      <c r="AK23" s="334"/>
      <c r="AL23" s="305"/>
      <c r="AM23" s="305"/>
      <c r="AN23" s="335"/>
    </row>
    <row r="24" spans="1:40" x14ac:dyDescent="0.2">
      <c r="A24" s="858" t="s">
        <v>32</v>
      </c>
      <c r="C24" s="850">
        <f t="shared" ref="C24:X24" si="20">C23/B23-1</f>
        <v>8.1967280488573602E-2</v>
      </c>
      <c r="D24" s="850">
        <f t="shared" si="20"/>
        <v>0.1028648021106473</v>
      </c>
      <c r="E24" s="850">
        <f t="shared" si="20"/>
        <v>7.9359626386471982E-2</v>
      </c>
      <c r="F24" s="850">
        <f t="shared" si="20"/>
        <v>8.466229222000532E-2</v>
      </c>
      <c r="G24" s="850">
        <f t="shared" si="20"/>
        <v>1.5952880520895274E-2</v>
      </c>
      <c r="H24" s="850">
        <f t="shared" si="20"/>
        <v>3.9615230330218631E-2</v>
      </c>
      <c r="I24" s="850">
        <f t="shared" si="20"/>
        <v>5.2957430386212812E-2</v>
      </c>
      <c r="J24" s="850">
        <f t="shared" si="20"/>
        <v>7.2790242401466809E-2</v>
      </c>
      <c r="K24" s="850">
        <f t="shared" si="20"/>
        <v>1.1244185420640207E-2</v>
      </c>
      <c r="L24" s="850">
        <f t="shared" si="20"/>
        <v>3.5818878346084437E-2</v>
      </c>
      <c r="M24" s="850">
        <f t="shared" si="20"/>
        <v>0.10056768727335896</v>
      </c>
      <c r="N24" s="850">
        <f t="shared" si="20"/>
        <v>3.9551399443793489E-3</v>
      </c>
      <c r="O24" s="850">
        <f t="shared" si="20"/>
        <v>1.9004758910991626E-2</v>
      </c>
      <c r="P24" s="850">
        <f t="shared" si="20"/>
        <v>-5.31750144477936E-2</v>
      </c>
      <c r="Q24" s="850">
        <f t="shared" si="20"/>
        <v>-3.5758258336290427E-2</v>
      </c>
      <c r="R24" s="850">
        <f t="shared" si="20"/>
        <v>-1.3551067533977945E-2</v>
      </c>
      <c r="S24" s="850">
        <f t="shared" si="20"/>
        <v>2.7758624878744032E-2</v>
      </c>
      <c r="T24" s="850">
        <f t="shared" si="20"/>
        <v>-6.2258498412805174E-2</v>
      </c>
      <c r="U24" s="850">
        <f t="shared" si="20"/>
        <v>-0.10141795820650912</v>
      </c>
      <c r="V24" s="850">
        <f t="shared" si="20"/>
        <v>-1.7394277546589176E-2</v>
      </c>
      <c r="W24" s="850">
        <f t="shared" si="20"/>
        <v>2.8227849412353123E-2</v>
      </c>
      <c r="X24" s="850">
        <f t="shared" si="20"/>
        <v>-9.3797841394324122E-3</v>
      </c>
      <c r="Y24" s="850">
        <f t="shared" ref="Y24:AF24" si="21">Y23/X23-1</f>
        <v>-3.9802073357675383E-4</v>
      </c>
      <c r="Z24" s="850">
        <f t="shared" si="21"/>
        <v>-2.619603017663652E-2</v>
      </c>
      <c r="AA24" s="850">
        <f t="shared" si="21"/>
        <v>-7.3140194129724945E-3</v>
      </c>
      <c r="AB24" s="850">
        <f t="shared" si="21"/>
        <v>6.0456748594981402E-3</v>
      </c>
      <c r="AC24" s="850">
        <f t="shared" si="21"/>
        <v>-2.3618283547249375E-2</v>
      </c>
      <c r="AD24" s="850">
        <f t="shared" si="21"/>
        <v>2.542398931605816E-2</v>
      </c>
      <c r="AE24" s="850">
        <f t="shared" si="21"/>
        <v>-2.0047258426568293E-2</v>
      </c>
      <c r="AF24" s="850">
        <f t="shared" si="21"/>
        <v>-1.8383726667011269E-2</v>
      </c>
      <c r="AG24" s="850">
        <f>AG23/AF23-1</f>
        <v>-1.6688089117394944E-2</v>
      </c>
      <c r="AH24" s="850">
        <f>AH23/AG23-1</f>
        <v>-1.5000000000000013E-2</v>
      </c>
      <c r="AI24" s="850">
        <f>AI23/AH23-1</f>
        <v>-1.5000000000000013E-2</v>
      </c>
      <c r="AK24" s="334"/>
      <c r="AL24" s="305"/>
      <c r="AM24" s="305"/>
      <c r="AN24" s="335"/>
    </row>
    <row r="25" spans="1:40" x14ac:dyDescent="0.2">
      <c r="A25" s="859"/>
      <c r="AK25" s="334"/>
      <c r="AL25" s="305"/>
      <c r="AM25" s="305"/>
      <c r="AN25" s="335"/>
    </row>
    <row r="26" spans="1:40" x14ac:dyDescent="0.2">
      <c r="A26" s="856" t="s">
        <v>103</v>
      </c>
      <c r="B26" s="852" t="s">
        <v>271</v>
      </c>
      <c r="C26" s="414">
        <f t="shared" ref="C26:X26" si="22">(C29+B29)/2</f>
        <v>4822.5</v>
      </c>
      <c r="D26" s="414">
        <f t="shared" si="22"/>
        <v>5145.5</v>
      </c>
      <c r="E26" s="414">
        <f t="shared" si="22"/>
        <v>5398.5</v>
      </c>
      <c r="F26" s="414">
        <f t="shared" si="22"/>
        <v>6094.5</v>
      </c>
      <c r="G26" s="414">
        <f t="shared" si="22"/>
        <v>7278</v>
      </c>
      <c r="H26" s="414">
        <f t="shared" si="22"/>
        <v>8855</v>
      </c>
      <c r="I26" s="414">
        <f t="shared" si="22"/>
        <v>10631</v>
      </c>
      <c r="J26" s="414">
        <f t="shared" si="22"/>
        <v>13186</v>
      </c>
      <c r="K26" s="414">
        <f t="shared" si="22"/>
        <v>16285.05</v>
      </c>
      <c r="L26" s="414">
        <f t="shared" si="22"/>
        <v>19869.05</v>
      </c>
      <c r="M26" s="414">
        <f t="shared" si="22"/>
        <v>24863</v>
      </c>
      <c r="N26" s="414">
        <f t="shared" si="22"/>
        <v>30655.5</v>
      </c>
      <c r="O26" s="414">
        <f t="shared" si="22"/>
        <v>37063.5</v>
      </c>
      <c r="P26" s="414">
        <f t="shared" si="22"/>
        <v>44503</v>
      </c>
      <c r="Q26" s="414">
        <f t="shared" si="22"/>
        <v>52906.5</v>
      </c>
      <c r="R26" s="414">
        <f t="shared" si="22"/>
        <v>61620.5</v>
      </c>
      <c r="S26" s="414">
        <f t="shared" si="22"/>
        <v>69441</v>
      </c>
      <c r="T26" s="414">
        <f t="shared" si="22"/>
        <v>77782.5</v>
      </c>
      <c r="U26" s="414">
        <f t="shared" si="22"/>
        <v>85551.288314327001</v>
      </c>
      <c r="V26" s="414">
        <f t="shared" si="22"/>
        <v>90574.616491865658</v>
      </c>
      <c r="W26" s="414">
        <f t="shared" si="22"/>
        <v>94201.828177538671</v>
      </c>
      <c r="X26" s="414">
        <f t="shared" si="22"/>
        <v>97141</v>
      </c>
      <c r="Y26" s="414">
        <f t="shared" ref="Y26:AF26" si="23">(Y29+X29)/2</f>
        <v>99014.1</v>
      </c>
      <c r="Z26" s="414">
        <f t="shared" si="23"/>
        <v>99932.6</v>
      </c>
      <c r="AA26" s="414">
        <f t="shared" si="23"/>
        <v>100347</v>
      </c>
      <c r="AB26" s="414">
        <f>(AB29+AA29)/2</f>
        <v>100397</v>
      </c>
      <c r="AC26" s="414">
        <f t="shared" si="23"/>
        <v>99750</v>
      </c>
      <c r="AD26" s="414">
        <f t="shared" si="23"/>
        <v>99150</v>
      </c>
      <c r="AE26" s="414">
        <f t="shared" si="23"/>
        <v>99368.125</v>
      </c>
      <c r="AF26" s="414">
        <f t="shared" si="23"/>
        <v>99707.421539122966</v>
      </c>
      <c r="AG26" s="414">
        <f>(AG29+AF29)/2</f>
        <v>99878.593078245918</v>
      </c>
      <c r="AH26" s="414">
        <f>(AH29+AG29)/2</f>
        <v>99878.593078245918</v>
      </c>
      <c r="AI26" s="414">
        <f>(AI29+AH29)/2</f>
        <v>99878.593078245918</v>
      </c>
      <c r="AK26" s="571">
        <f>RATE(5,,-X26,AC26)*100</f>
        <v>0.53147784888541916</v>
      </c>
      <c r="AL26" s="305" t="s">
        <v>102</v>
      </c>
      <c r="AM26" s="572">
        <f>RATE(6,,-AC26,AI26)*100</f>
        <v>2.1474362437010071E-2</v>
      </c>
      <c r="AN26" s="335" t="s">
        <v>102</v>
      </c>
    </row>
    <row r="27" spans="1:40" x14ac:dyDescent="0.2">
      <c r="A27" s="858" t="s">
        <v>32</v>
      </c>
      <c r="B27" s="852" t="s">
        <v>271</v>
      </c>
      <c r="C27" s="852" t="s">
        <v>271</v>
      </c>
      <c r="D27" s="850">
        <f t="shared" ref="D27:X27" si="24">D26/C26-1</f>
        <v>6.6977708657335322E-2</v>
      </c>
      <c r="E27" s="850">
        <f t="shared" si="24"/>
        <v>4.916917695073364E-2</v>
      </c>
      <c r="F27" s="850">
        <f t="shared" si="24"/>
        <v>0.12892470130591827</v>
      </c>
      <c r="G27" s="850">
        <f t="shared" si="24"/>
        <v>0.19419148412503073</v>
      </c>
      <c r="H27" s="850">
        <f t="shared" si="24"/>
        <v>0.21668040670513888</v>
      </c>
      <c r="I27" s="850">
        <f t="shared" si="24"/>
        <v>0.20056465273856583</v>
      </c>
      <c r="J27" s="850">
        <f t="shared" si="24"/>
        <v>0.24033486972062845</v>
      </c>
      <c r="K27" s="850">
        <f t="shared" si="24"/>
        <v>0.23502578492340365</v>
      </c>
      <c r="L27" s="850">
        <f t="shared" si="24"/>
        <v>0.22007915235138986</v>
      </c>
      <c r="M27" s="850">
        <f t="shared" si="24"/>
        <v>0.25134316940165746</v>
      </c>
      <c r="N27" s="850">
        <f t="shared" si="24"/>
        <v>0.23297671238386353</v>
      </c>
      <c r="O27" s="850">
        <f t="shared" si="24"/>
        <v>0.20903263688408269</v>
      </c>
      <c r="P27" s="850">
        <f t="shared" si="24"/>
        <v>0.20072308335694156</v>
      </c>
      <c r="Q27" s="850">
        <f t="shared" si="24"/>
        <v>0.1888299665191111</v>
      </c>
      <c r="R27" s="850">
        <f t="shared" si="24"/>
        <v>0.16470565998506803</v>
      </c>
      <c r="S27" s="850">
        <f t="shared" si="24"/>
        <v>0.12691393286325159</v>
      </c>
      <c r="T27" s="850">
        <f t="shared" si="24"/>
        <v>0.12012355812848319</v>
      </c>
      <c r="U27" s="850">
        <f t="shared" si="24"/>
        <v>9.9878357141092167E-2</v>
      </c>
      <c r="V27" s="850">
        <f t="shared" si="24"/>
        <v>5.871715407817435E-2</v>
      </c>
      <c r="W27" s="850">
        <f t="shared" si="24"/>
        <v>4.0046668991402967E-2</v>
      </c>
      <c r="X27" s="850">
        <f t="shared" si="24"/>
        <v>3.1200793862747433E-2</v>
      </c>
      <c r="Y27" s="850">
        <f t="shared" ref="Y27:AF27" si="25">Y26/X26-1</f>
        <v>1.9282280396537121E-2</v>
      </c>
      <c r="Z27" s="850">
        <f t="shared" si="25"/>
        <v>9.276456585476156E-3</v>
      </c>
      <c r="AA27" s="850">
        <f t="shared" si="25"/>
        <v>4.1467949397893111E-3</v>
      </c>
      <c r="AB27" s="850">
        <f t="shared" si="25"/>
        <v>4.9827099963128951E-4</v>
      </c>
      <c r="AC27" s="850">
        <f t="shared" si="25"/>
        <v>-6.4444156697909261E-3</v>
      </c>
      <c r="AD27" s="850">
        <f t="shared" si="25"/>
        <v>-6.0150375939849177E-3</v>
      </c>
      <c r="AE27" s="850">
        <f t="shared" si="25"/>
        <v>2.1999495713564965E-3</v>
      </c>
      <c r="AF27" s="850">
        <f t="shared" si="25"/>
        <v>3.4145410223143102E-3</v>
      </c>
      <c r="AG27" s="850">
        <f>AG26/AF26-1</f>
        <v>1.7167381974247942E-3</v>
      </c>
      <c r="AH27" s="850">
        <f>AH26/AG26-1</f>
        <v>0</v>
      </c>
      <c r="AI27" s="850">
        <f>AI26/AH26-1</f>
        <v>0</v>
      </c>
      <c r="AK27" s="334"/>
      <c r="AL27" s="305"/>
      <c r="AM27" s="305"/>
      <c r="AN27" s="335"/>
    </row>
    <row r="28" spans="1:40" x14ac:dyDescent="0.2">
      <c r="A28" s="856"/>
      <c r="AK28" s="334"/>
      <c r="AL28" s="305"/>
      <c r="AM28" s="305"/>
      <c r="AN28" s="335"/>
    </row>
    <row r="29" spans="1:40" x14ac:dyDescent="0.2">
      <c r="A29" s="856" t="s">
        <v>42</v>
      </c>
      <c r="B29" s="684">
        <v>4493</v>
      </c>
      <c r="C29" s="684">
        <v>5152</v>
      </c>
      <c r="D29" s="684">
        <v>5139</v>
      </c>
      <c r="E29" s="684">
        <v>5658</v>
      </c>
      <c r="F29" s="684">
        <v>6531</v>
      </c>
      <c r="G29" s="684">
        <v>8025</v>
      </c>
      <c r="H29" s="684">
        <v>9685</v>
      </c>
      <c r="I29" s="684">
        <v>11577</v>
      </c>
      <c r="J29" s="684">
        <v>14795</v>
      </c>
      <c r="K29" s="684">
        <v>17775.099999999999</v>
      </c>
      <c r="L29" s="684">
        <v>21963</v>
      </c>
      <c r="M29" s="684">
        <v>27763</v>
      </c>
      <c r="N29" s="684">
        <v>33548</v>
      </c>
      <c r="O29" s="684">
        <v>40579</v>
      </c>
      <c r="P29" s="684">
        <v>48427</v>
      </c>
      <c r="Q29" s="684">
        <v>57386</v>
      </c>
      <c r="R29" s="684">
        <v>65855</v>
      </c>
      <c r="S29" s="684">
        <v>73027</v>
      </c>
      <c r="T29" s="684">
        <v>82538</v>
      </c>
      <c r="U29" s="684">
        <v>88564.576628654002</v>
      </c>
      <c r="V29" s="684">
        <v>92584.656355077328</v>
      </c>
      <c r="W29" s="996">
        <f>stores!D587</f>
        <v>95819</v>
      </c>
      <c r="X29" s="996">
        <f>stores!D600</f>
        <v>98463</v>
      </c>
      <c r="Y29" s="996">
        <f>stores!D613</f>
        <v>99565.2</v>
      </c>
      <c r="Z29" s="996">
        <f>stores!D618</f>
        <v>100300</v>
      </c>
      <c r="AA29" s="996">
        <f>stores!$D623</f>
        <v>100394</v>
      </c>
      <c r="AB29" s="996">
        <f>stores!$D$628</f>
        <v>100400</v>
      </c>
      <c r="AC29" s="996">
        <f>stores!$D$633</f>
        <v>99100</v>
      </c>
      <c r="AD29" s="1278">
        <f>stores!$D$638</f>
        <v>99200</v>
      </c>
      <c r="AE29" s="1278">
        <f>stores!D643</f>
        <v>99536.25</v>
      </c>
      <c r="AF29" s="994">
        <f>AE29+(AF16-AE16)*(AE29/AE16)</f>
        <v>99878.593078245918</v>
      </c>
      <c r="AG29" s="994">
        <f>AF29+(AG16-AF16)*(AF29/AF16)</f>
        <v>99878.593078245918</v>
      </c>
      <c r="AH29" s="994">
        <f>AG29+(AH16-AG16)*(AG29/AG16)</f>
        <v>99878.593078245918</v>
      </c>
      <c r="AI29" s="994">
        <f>AH29+(AI16-AH16)*(AH29/AH16)</f>
        <v>99878.593078245918</v>
      </c>
      <c r="AK29" s="571">
        <f>RATE(5,,-X29,AC29)*100</f>
        <v>0.12905516948465909</v>
      </c>
      <c r="AL29" s="305" t="s">
        <v>102</v>
      </c>
      <c r="AM29" s="572">
        <f>RATE(6,,-AC29,AI29)*100</f>
        <v>0.1305173975093932</v>
      </c>
      <c r="AN29" s="335" t="s">
        <v>102</v>
      </c>
    </row>
    <row r="30" spans="1:40" x14ac:dyDescent="0.2">
      <c r="A30" s="858" t="s">
        <v>32</v>
      </c>
      <c r="C30" s="850">
        <f t="shared" ref="C30:X30" si="26">C29/B29-1</f>
        <v>0.14667260182506126</v>
      </c>
      <c r="D30" s="850">
        <f t="shared" si="26"/>
        <v>-2.5232919254658537E-3</v>
      </c>
      <c r="E30" s="850">
        <f t="shared" si="26"/>
        <v>0.10099241097489786</v>
      </c>
      <c r="F30" s="850">
        <f t="shared" si="26"/>
        <v>0.1542948038176033</v>
      </c>
      <c r="G30" s="850">
        <f t="shared" si="26"/>
        <v>0.22875516766192017</v>
      </c>
      <c r="H30" s="850">
        <f t="shared" si="26"/>
        <v>0.20685358255451702</v>
      </c>
      <c r="I30" s="850">
        <f t="shared" si="26"/>
        <v>0.1953536396489417</v>
      </c>
      <c r="J30" s="850">
        <f t="shared" si="26"/>
        <v>0.27796493046557824</v>
      </c>
      <c r="K30" s="850">
        <f t="shared" si="26"/>
        <v>0.20142615748563686</v>
      </c>
      <c r="L30" s="850">
        <f t="shared" si="26"/>
        <v>0.23560486298248673</v>
      </c>
      <c r="M30" s="850">
        <f t="shared" si="26"/>
        <v>0.26408049902108099</v>
      </c>
      <c r="N30" s="850">
        <f t="shared" si="26"/>
        <v>0.20837085329395233</v>
      </c>
      <c r="O30" s="850">
        <f t="shared" si="26"/>
        <v>0.20958030284964835</v>
      </c>
      <c r="P30" s="850">
        <f t="shared" si="26"/>
        <v>0.1934005273663717</v>
      </c>
      <c r="Q30" s="850">
        <f t="shared" si="26"/>
        <v>0.18500010324818805</v>
      </c>
      <c r="R30" s="850">
        <f t="shared" si="26"/>
        <v>0.14757954901892445</v>
      </c>
      <c r="S30" s="850">
        <f t="shared" si="26"/>
        <v>0.10890592969402468</v>
      </c>
      <c r="T30" s="850">
        <f t="shared" si="26"/>
        <v>0.13023950045873445</v>
      </c>
      <c r="U30" s="850">
        <f t="shared" si="26"/>
        <v>7.3015782168867727E-2</v>
      </c>
      <c r="V30" s="850">
        <f t="shared" si="26"/>
        <v>4.5391508427565563E-2</v>
      </c>
      <c r="W30" s="850">
        <f t="shared" si="26"/>
        <v>3.4933905597904102E-2</v>
      </c>
      <c r="X30" s="850">
        <f t="shared" si="26"/>
        <v>2.759369227397479E-2</v>
      </c>
      <c r="Y30" s="850">
        <f t="shared" ref="Y30:AF30" si="27">Y29/X29-1</f>
        <v>1.1194052588281878E-2</v>
      </c>
      <c r="Z30" s="850">
        <f t="shared" si="27"/>
        <v>7.3800886253430065E-3</v>
      </c>
      <c r="AA30" s="850">
        <f t="shared" si="27"/>
        <v>9.3718843469581259E-4</v>
      </c>
      <c r="AB30" s="850">
        <f t="shared" si="27"/>
        <v>5.9764527760686192E-5</v>
      </c>
      <c r="AC30" s="850">
        <f t="shared" si="27"/>
        <v>-1.294820717131473E-2</v>
      </c>
      <c r="AD30" s="850">
        <f t="shared" si="27"/>
        <v>1.0090817356205317E-3</v>
      </c>
      <c r="AE30" s="850">
        <f t="shared" si="27"/>
        <v>3.3896169354838968E-3</v>
      </c>
      <c r="AF30" s="850">
        <f t="shared" si="27"/>
        <v>3.4393809114359186E-3</v>
      </c>
      <c r="AG30" s="850">
        <f>AG29/AF29-1</f>
        <v>0</v>
      </c>
      <c r="AH30" s="850">
        <f>AH29/AG29-1</f>
        <v>0</v>
      </c>
      <c r="AI30" s="850">
        <f>AI29/AH29-1</f>
        <v>0</v>
      </c>
      <c r="AK30" s="334"/>
      <c r="AL30" s="305"/>
      <c r="AM30" s="305"/>
      <c r="AN30" s="335"/>
    </row>
    <row r="31" spans="1:40" x14ac:dyDescent="0.2">
      <c r="A31" s="858"/>
      <c r="C31" s="850"/>
      <c r="D31" s="850"/>
      <c r="E31" s="850"/>
      <c r="F31" s="850"/>
      <c r="G31" s="850"/>
      <c r="H31" s="850"/>
      <c r="I31" s="850"/>
      <c r="J31" s="850"/>
      <c r="K31" s="850"/>
      <c r="L31" s="850"/>
      <c r="M31" s="850"/>
      <c r="N31" s="850"/>
      <c r="O31" s="850"/>
      <c r="P31" s="850"/>
      <c r="Q31" s="850"/>
      <c r="R31" s="850"/>
      <c r="S31" s="850"/>
      <c r="T31" s="850"/>
      <c r="U31" s="850"/>
      <c r="V31" s="850"/>
      <c r="W31" s="850"/>
      <c r="X31" s="850"/>
      <c r="Y31" s="850"/>
      <c r="Z31" s="850"/>
      <c r="AA31" s="850"/>
      <c r="AB31" s="850"/>
      <c r="AC31" s="850"/>
      <c r="AD31" s="850"/>
      <c r="AE31" s="850"/>
      <c r="AF31" s="850"/>
      <c r="AG31" s="850"/>
      <c r="AH31" s="850"/>
      <c r="AI31" s="850"/>
      <c r="AJ31" s="850"/>
      <c r="AK31" s="334"/>
      <c r="AL31" s="305"/>
      <c r="AM31" s="305"/>
      <c r="AN31" s="335"/>
    </row>
    <row r="32" spans="1:40" x14ac:dyDescent="0.2">
      <c r="A32" s="856" t="s">
        <v>351</v>
      </c>
      <c r="B32" s="684">
        <v>3694</v>
      </c>
      <c r="C32" s="684">
        <v>3694</v>
      </c>
      <c r="D32" s="684">
        <v>4331</v>
      </c>
      <c r="E32" s="684">
        <v>4771</v>
      </c>
      <c r="F32" s="684">
        <v>5523</v>
      </c>
      <c r="G32" s="684">
        <v>6824</v>
      </c>
      <c r="H32" s="684">
        <v>8378</v>
      </c>
      <c r="I32" s="684">
        <v>10064</v>
      </c>
      <c r="J32" s="684">
        <v>12267.2</v>
      </c>
      <c r="K32" s="684">
        <v>15111</v>
      </c>
      <c r="L32" s="684">
        <v>18668.55</v>
      </c>
      <c r="M32" s="684">
        <v>23598.55</v>
      </c>
      <c r="N32" s="684">
        <v>28576</v>
      </c>
      <c r="O32" s="684">
        <v>34507</v>
      </c>
      <c r="P32" s="684">
        <v>41447</v>
      </c>
      <c r="Q32" s="684">
        <v>49200.978000000003</v>
      </c>
      <c r="R32" s="684">
        <v>56625</v>
      </c>
      <c r="S32" s="684">
        <v>62357</v>
      </c>
      <c r="T32" s="684">
        <v>69889</v>
      </c>
      <c r="U32" s="684">
        <v>74992</v>
      </c>
      <c r="V32" s="684">
        <v>78396</v>
      </c>
      <c r="W32" s="996">
        <v>80139</v>
      </c>
      <c r="X32" s="996">
        <v>82226</v>
      </c>
      <c r="Y32" s="996">
        <v>83098</v>
      </c>
      <c r="Z32" s="996">
        <v>83700</v>
      </c>
      <c r="AA32" s="996">
        <v>83758</v>
      </c>
      <c r="AB32" s="996">
        <v>83800</v>
      </c>
      <c r="AC32" s="996">
        <f t="shared" ref="AC32:AI32" si="28">AB32/AB29*AC29</f>
        <v>82714.940239043834</v>
      </c>
      <c r="AD32" s="1278">
        <f t="shared" si="28"/>
        <v>82798.406374501996</v>
      </c>
      <c r="AE32" s="994">
        <f t="shared" si="28"/>
        <v>83079.061254980086</v>
      </c>
      <c r="AF32" s="994">
        <f t="shared" si="28"/>
        <v>83364.801792400482</v>
      </c>
      <c r="AG32" s="994">
        <f t="shared" si="28"/>
        <v>83364.801792400482</v>
      </c>
      <c r="AH32" s="994">
        <f t="shared" si="28"/>
        <v>83364.801792400482</v>
      </c>
      <c r="AI32" s="994">
        <f t="shared" si="28"/>
        <v>83364.801792400482</v>
      </c>
      <c r="AK32" s="334"/>
      <c r="AL32" s="305"/>
      <c r="AM32" s="305"/>
      <c r="AN32" s="335"/>
    </row>
    <row r="33" spans="1:40" x14ac:dyDescent="0.2">
      <c r="A33" s="858" t="s">
        <v>32</v>
      </c>
      <c r="C33" s="850">
        <f t="shared" ref="C33:AF33" si="29">C32/B32-1</f>
        <v>0</v>
      </c>
      <c r="D33" s="850">
        <f t="shared" si="29"/>
        <v>0.17244179750947475</v>
      </c>
      <c r="E33" s="850">
        <f t="shared" si="29"/>
        <v>0.10159316555068121</v>
      </c>
      <c r="F33" s="850">
        <f t="shared" si="29"/>
        <v>0.15761894780968344</v>
      </c>
      <c r="G33" s="850">
        <f t="shared" si="29"/>
        <v>0.23556038384935718</v>
      </c>
      <c r="H33" s="850">
        <f t="shared" si="29"/>
        <v>0.22772567409144195</v>
      </c>
      <c r="I33" s="850">
        <f t="shared" si="29"/>
        <v>0.20124134638338509</v>
      </c>
      <c r="J33" s="850">
        <f t="shared" si="29"/>
        <v>0.2189189189189189</v>
      </c>
      <c r="K33" s="850">
        <f t="shared" si="29"/>
        <v>0.23182144254597614</v>
      </c>
      <c r="L33" s="850">
        <f t="shared" si="29"/>
        <v>0.23542783402819123</v>
      </c>
      <c r="M33" s="850">
        <f t="shared" si="29"/>
        <v>0.26408049902108099</v>
      </c>
      <c r="N33" s="850">
        <f t="shared" si="29"/>
        <v>0.21092185748700665</v>
      </c>
      <c r="O33" s="850">
        <f t="shared" si="29"/>
        <v>0.20755179171332583</v>
      </c>
      <c r="P33" s="850">
        <f t="shared" si="29"/>
        <v>0.20111861361462902</v>
      </c>
      <c r="Q33" s="850">
        <f t="shared" si="29"/>
        <v>0.18708176707602497</v>
      </c>
      <c r="R33" s="850">
        <f t="shared" si="29"/>
        <v>0.15089175666386145</v>
      </c>
      <c r="S33" s="850">
        <f t="shared" si="29"/>
        <v>0.10122737306843277</v>
      </c>
      <c r="T33" s="850">
        <f t="shared" si="29"/>
        <v>0.1207883637763203</v>
      </c>
      <c r="U33" s="850">
        <f t="shared" si="29"/>
        <v>7.3015782168867727E-2</v>
      </c>
      <c r="V33" s="850">
        <f t="shared" si="29"/>
        <v>4.5391508427565563E-2</v>
      </c>
      <c r="W33" s="850">
        <f t="shared" si="29"/>
        <v>2.2233277208020708E-2</v>
      </c>
      <c r="X33" s="850">
        <f t="shared" si="29"/>
        <v>2.6042251587865994E-2</v>
      </c>
      <c r="Y33" s="850">
        <f t="shared" si="29"/>
        <v>1.0604918152409271E-2</v>
      </c>
      <c r="Z33" s="850">
        <f t="shared" si="29"/>
        <v>7.2444583503814552E-3</v>
      </c>
      <c r="AA33" s="850">
        <f t="shared" si="29"/>
        <v>6.9295101553157323E-4</v>
      </c>
      <c r="AB33" s="850">
        <f t="shared" si="29"/>
        <v>5.0144463812418216E-4</v>
      </c>
      <c r="AC33" s="850">
        <f t="shared" si="29"/>
        <v>-1.2948207171314619E-2</v>
      </c>
      <c r="AD33" s="850">
        <f t="shared" si="29"/>
        <v>1.0090817356205317E-3</v>
      </c>
      <c r="AE33" s="850">
        <f t="shared" si="29"/>
        <v>3.3896169354838968E-3</v>
      </c>
      <c r="AF33" s="850">
        <f t="shared" si="29"/>
        <v>3.4393809114359186E-3</v>
      </c>
      <c r="AG33" s="850">
        <f>AG32/AF32-1</f>
        <v>0</v>
      </c>
      <c r="AH33" s="850">
        <f>AH32/AG32-1</f>
        <v>0</v>
      </c>
      <c r="AI33" s="850">
        <f>AI32/AH32-1</f>
        <v>0</v>
      </c>
      <c r="AK33" s="334"/>
      <c r="AL33" s="305"/>
      <c r="AM33" s="305"/>
      <c r="AN33" s="335"/>
    </row>
    <row r="34" spans="1:40" x14ac:dyDescent="0.2">
      <c r="A34" s="859"/>
      <c r="AK34" s="334"/>
      <c r="AL34" s="305"/>
      <c r="AM34" s="305"/>
      <c r="AN34" s="335"/>
    </row>
    <row r="35" spans="1:40" x14ac:dyDescent="0.2">
      <c r="A35" s="856" t="s">
        <v>41</v>
      </c>
      <c r="B35" s="414">
        <f t="shared" ref="B35:AA35" si="30">B29/B17*1000</f>
        <v>68075.757575757583</v>
      </c>
      <c r="C35" s="414">
        <f t="shared" si="30"/>
        <v>78060.606060606064</v>
      </c>
      <c r="D35" s="414">
        <f t="shared" si="30"/>
        <v>72893.617021276601</v>
      </c>
      <c r="E35" s="414">
        <f t="shared" si="30"/>
        <v>73480.519480519477</v>
      </c>
      <c r="F35" s="414">
        <f t="shared" si="30"/>
        <v>77289.940828402367</v>
      </c>
      <c r="G35" s="414">
        <f t="shared" si="30"/>
        <v>81060.606060606064</v>
      </c>
      <c r="H35" s="414">
        <f t="shared" si="30"/>
        <v>82076.271186440674</v>
      </c>
      <c r="I35" s="414">
        <f t="shared" si="30"/>
        <v>83287.769784172662</v>
      </c>
      <c r="J35" s="414">
        <f t="shared" si="30"/>
        <v>89126.506024096379</v>
      </c>
      <c r="K35" s="414">
        <f t="shared" si="30"/>
        <v>90000.506329113923</v>
      </c>
      <c r="L35" s="414">
        <f t="shared" si="30"/>
        <v>93063.559322033892</v>
      </c>
      <c r="M35" s="414">
        <f t="shared" si="30"/>
        <v>95899.827288428321</v>
      </c>
      <c r="N35" s="414">
        <f t="shared" si="30"/>
        <v>95578.347578347573</v>
      </c>
      <c r="O35" s="414">
        <f t="shared" si="30"/>
        <v>96731.823599523239</v>
      </c>
      <c r="P35" s="414">
        <f t="shared" si="30"/>
        <v>96950.950950950952</v>
      </c>
      <c r="Q35" s="414">
        <f t="shared" si="30"/>
        <v>97346.904156064469</v>
      </c>
      <c r="R35" s="414">
        <f t="shared" si="30"/>
        <v>96208.91161431701</v>
      </c>
      <c r="S35" s="414">
        <f t="shared" si="30"/>
        <v>94289.218850871534</v>
      </c>
      <c r="T35" s="414">
        <f t="shared" si="30"/>
        <v>94545.246277205035</v>
      </c>
      <c r="U35" s="414">
        <f t="shared" si="30"/>
        <v>91634.326568705641</v>
      </c>
      <c r="V35" s="414">
        <f t="shared" si="30"/>
        <v>89800.830606282572</v>
      </c>
      <c r="W35" s="414">
        <f t="shared" si="30"/>
        <v>89258.500232883089</v>
      </c>
      <c r="X35" s="414">
        <f t="shared" si="30"/>
        <v>88865.523465703969</v>
      </c>
      <c r="Y35" s="414">
        <f t="shared" si="30"/>
        <v>87606.863176418832</v>
      </c>
      <c r="Z35" s="414">
        <f t="shared" si="30"/>
        <v>87065.972222222234</v>
      </c>
      <c r="AA35" s="414">
        <f t="shared" si="30"/>
        <v>86546.551724137928</v>
      </c>
      <c r="AB35" s="414">
        <f t="shared" ref="AB35:AH35" si="31">AB29/AB17*1000</f>
        <v>86254.295532646051</v>
      </c>
      <c r="AC35" s="414">
        <f t="shared" si="31"/>
        <v>85431.034482758623</v>
      </c>
      <c r="AD35" s="414">
        <f t="shared" si="31"/>
        <v>85813.148788927341</v>
      </c>
      <c r="AE35" s="414">
        <f t="shared" si="31"/>
        <v>85770.142180094786</v>
      </c>
      <c r="AF35" s="414">
        <f t="shared" si="31"/>
        <v>85732.697921241124</v>
      </c>
      <c r="AG35" s="414">
        <f t="shared" si="31"/>
        <v>85585.769561478941</v>
      </c>
      <c r="AH35" s="414">
        <f t="shared" si="31"/>
        <v>85585.769561478941</v>
      </c>
      <c r="AI35" s="414">
        <f>AI29/AI17*1000</f>
        <v>85585.769561478941</v>
      </c>
      <c r="AK35" s="334"/>
      <c r="AL35" s="305"/>
      <c r="AM35" s="305"/>
      <c r="AN35" s="335"/>
    </row>
    <row r="36" spans="1:40" x14ac:dyDescent="0.2">
      <c r="A36" s="858" t="s">
        <v>32</v>
      </c>
      <c r="C36" s="850">
        <f t="shared" ref="C36:AF36" si="32">C35/B35-1</f>
        <v>0.14667260182506103</v>
      </c>
      <c r="D36" s="850">
        <f t="shared" si="32"/>
        <v>-6.6192017972776518E-2</v>
      </c>
      <c r="E36" s="850">
        <f t="shared" si="32"/>
        <v>8.0514931653283828E-3</v>
      </c>
      <c r="F36" s="850">
        <f t="shared" si="32"/>
        <v>5.1842602295330886E-2</v>
      </c>
      <c r="G36" s="850">
        <f t="shared" si="32"/>
        <v>4.8785976438709522E-2</v>
      </c>
      <c r="H36" s="850">
        <f t="shared" si="32"/>
        <v>1.2529700617772699E-2</v>
      </c>
      <c r="I36" s="850">
        <f t="shared" si="32"/>
        <v>1.4760643730756362E-2</v>
      </c>
      <c r="J36" s="850">
        <f t="shared" si="32"/>
        <v>7.0103164666960094E-2</v>
      </c>
      <c r="K36" s="850">
        <f t="shared" si="32"/>
        <v>9.8062893296999576E-3</v>
      </c>
      <c r="L36" s="850">
        <f t="shared" si="32"/>
        <v>3.403373067390314E-2</v>
      </c>
      <c r="M36" s="850">
        <f t="shared" si="32"/>
        <v>3.0476676231347533E-2</v>
      </c>
      <c r="N36" s="850">
        <f t="shared" si="32"/>
        <v>-3.3522449327657577E-3</v>
      </c>
      <c r="O36" s="850">
        <f t="shared" si="32"/>
        <v>1.2068382122113253E-2</v>
      </c>
      <c r="P36" s="850">
        <f t="shared" si="32"/>
        <v>2.2653077681540346E-3</v>
      </c>
      <c r="Q36" s="850">
        <f t="shared" si="32"/>
        <v>4.0840569507547553E-3</v>
      </c>
      <c r="R36" s="850">
        <f t="shared" si="32"/>
        <v>-1.1690074292686869E-2</v>
      </c>
      <c r="S36" s="850">
        <f t="shared" si="32"/>
        <v>-1.9953377823679785E-2</v>
      </c>
      <c r="T36" s="850">
        <f t="shared" si="32"/>
        <v>2.7153414722678182E-3</v>
      </c>
      <c r="U36" s="850">
        <f t="shared" si="32"/>
        <v>-3.0788641662264249E-2</v>
      </c>
      <c r="V36" s="850">
        <f t="shared" si="32"/>
        <v>-2.0008833273285953E-2</v>
      </c>
      <c r="W36" s="850">
        <f t="shared" si="32"/>
        <v>-6.0392578747655579E-3</v>
      </c>
      <c r="X36" s="850">
        <f t="shared" si="32"/>
        <v>-4.402681718310375E-3</v>
      </c>
      <c r="Y36" s="850">
        <f t="shared" si="32"/>
        <v>-1.4163651326162485E-2</v>
      </c>
      <c r="Z36" s="850">
        <f t="shared" si="32"/>
        <v>-6.1740705532097317E-3</v>
      </c>
      <c r="AA36" s="850">
        <f t="shared" si="32"/>
        <v>-5.9658266579573072E-3</v>
      </c>
      <c r="AB36" s="850">
        <f t="shared" si="32"/>
        <v>-3.3768669654618E-3</v>
      </c>
      <c r="AC36" s="850">
        <f t="shared" si="32"/>
        <v>-9.5445802994916784E-3</v>
      </c>
      <c r="AD36" s="850">
        <f t="shared" si="32"/>
        <v>4.4727809803806196E-3</v>
      </c>
      <c r="AE36" s="850">
        <f t="shared" si="32"/>
        <v>-5.0116572389546921E-4</v>
      </c>
      <c r="AF36" s="850">
        <f t="shared" si="32"/>
        <v>-4.3656519508894487E-4</v>
      </c>
      <c r="AG36" s="850">
        <f>AG35/AF35-1</f>
        <v>-1.7137960582689349E-3</v>
      </c>
      <c r="AH36" s="850">
        <f>AH35/AG35-1</f>
        <v>0</v>
      </c>
      <c r="AI36" s="850">
        <f>AI35/AH35-1</f>
        <v>0</v>
      </c>
      <c r="AK36" s="334"/>
      <c r="AL36" s="305"/>
      <c r="AM36" s="305"/>
      <c r="AN36" s="335"/>
    </row>
    <row r="37" spans="1:40" x14ac:dyDescent="0.2">
      <c r="A37" s="859"/>
      <c r="AK37" s="334"/>
      <c r="AL37" s="305"/>
      <c r="AM37" s="305"/>
      <c r="AN37" s="335"/>
    </row>
    <row r="38" spans="1:40" x14ac:dyDescent="0.2">
      <c r="A38" s="856" t="s">
        <v>265</v>
      </c>
      <c r="B38" s="860"/>
      <c r="C38" s="860">
        <f t="shared" ref="C38:AC38" si="33">C11/C26*1000</f>
        <v>163.77293934681182</v>
      </c>
      <c r="D38" s="860">
        <f t="shared" si="33"/>
        <v>180.82324361092216</v>
      </c>
      <c r="E38" s="860">
        <f t="shared" si="33"/>
        <v>203.17791979253496</v>
      </c>
      <c r="F38" s="860">
        <f t="shared" si="33"/>
        <v>214.22594142259413</v>
      </c>
      <c r="G38" s="860">
        <f t="shared" si="33"/>
        <v>213.52569387194285</v>
      </c>
      <c r="H38" s="860">
        <f t="shared" si="33"/>
        <v>217.4668548842462</v>
      </c>
      <c r="I38" s="860">
        <f t="shared" si="33"/>
        <v>224.67312576427429</v>
      </c>
      <c r="J38" s="860">
        <f t="shared" si="33"/>
        <v>232.07068102532989</v>
      </c>
      <c r="K38" s="860">
        <f t="shared" si="33"/>
        <v>226.07851986945082</v>
      </c>
      <c r="L38" s="860">
        <f t="shared" si="33"/>
        <v>229.35067353497021</v>
      </c>
      <c r="M38" s="860">
        <f t="shared" si="33"/>
        <v>247.44399308208989</v>
      </c>
      <c r="N38" s="860">
        <f t="shared" si="33"/>
        <v>244.28392947431945</v>
      </c>
      <c r="O38" s="860">
        <f t="shared" si="33"/>
        <v>246.0695832827445</v>
      </c>
      <c r="P38" s="860">
        <f t="shared" si="33"/>
        <v>231.04060400422443</v>
      </c>
      <c r="Q38" s="860">
        <f t="shared" si="33"/>
        <v>221.1580807651234</v>
      </c>
      <c r="R38" s="860">
        <f t="shared" si="33"/>
        <v>217.4958009104113</v>
      </c>
      <c r="S38" s="860">
        <f t="shared" si="33"/>
        <v>224.43946659754326</v>
      </c>
      <c r="T38" s="860">
        <f t="shared" si="33"/>
        <v>211.79185549448783</v>
      </c>
      <c r="U38" s="860">
        <f t="shared" si="33"/>
        <v>191.5622584172761</v>
      </c>
      <c r="V38" s="860">
        <f t="shared" si="33"/>
        <v>189.65578509010552</v>
      </c>
      <c r="W38" s="860">
        <f t="shared" si="33"/>
        <v>195.22975674462674</v>
      </c>
      <c r="X38" s="860">
        <f t="shared" si="33"/>
        <v>193.57428892022935</v>
      </c>
      <c r="Y38" s="860">
        <f t="shared" si="33"/>
        <v>194.71974193574448</v>
      </c>
      <c r="Z38" s="860">
        <f t="shared" si="33"/>
        <v>190.43835545157432</v>
      </c>
      <c r="AA38" s="860">
        <f>AA11/AA26*1000</f>
        <v>189.57218451971659</v>
      </c>
      <c r="AB38" s="860">
        <f>AB11/AB26*1000</f>
        <v>191.28061595465999</v>
      </c>
      <c r="AC38" s="860">
        <f t="shared" si="33"/>
        <v>187.32832080200501</v>
      </c>
      <c r="AD38" s="860">
        <f t="shared" ref="AD38:AI38" si="34">AD11/AD26*1000</f>
        <v>192.58698940998485</v>
      </c>
      <c r="AE38" s="860">
        <f t="shared" si="34"/>
        <v>189.0449195856317</v>
      </c>
      <c r="AF38" s="860">
        <f t="shared" si="34"/>
        <v>185.65521390252775</v>
      </c>
      <c r="AG38" s="860">
        <f t="shared" si="34"/>
        <v>182.55698314781336</v>
      </c>
      <c r="AH38" s="860">
        <f t="shared" si="34"/>
        <v>179.81862840059614</v>
      </c>
      <c r="AI38" s="860">
        <f t="shared" si="34"/>
        <v>177.12134897458719</v>
      </c>
      <c r="AK38" s="571">
        <f>RATE(5,,-X38,AC38)*100</f>
        <v>-0.65382435148366913</v>
      </c>
      <c r="AL38" s="305" t="s">
        <v>102</v>
      </c>
      <c r="AM38" s="572">
        <f>RATE(6,,-AC38,AI38)*100</f>
        <v>-0.92944897889700206</v>
      </c>
      <c r="AN38" s="335" t="s">
        <v>102</v>
      </c>
    </row>
    <row r="39" spans="1:40" x14ac:dyDescent="0.2">
      <c r="A39" s="858" t="s">
        <v>32</v>
      </c>
      <c r="C39" s="850"/>
      <c r="D39" s="850">
        <f t="shared" ref="D39:AF39" si="35">D38/C38-1</f>
        <v>0.10410941106701377</v>
      </c>
      <c r="E39" s="850">
        <f t="shared" si="35"/>
        <v>0.12362722698257422</v>
      </c>
      <c r="F39" s="850">
        <f t="shared" si="35"/>
        <v>5.4376093826240091E-2</v>
      </c>
      <c r="G39" s="850">
        <f t="shared" si="35"/>
        <v>-3.2687336837042835E-3</v>
      </c>
      <c r="H39" s="850">
        <f t="shared" si="35"/>
        <v>1.8457549257125727E-2</v>
      </c>
      <c r="I39" s="850">
        <f t="shared" si="35"/>
        <v>3.3137329750153599E-2</v>
      </c>
      <c r="J39" s="850">
        <f t="shared" si="35"/>
        <v>3.2925857224317401E-2</v>
      </c>
      <c r="K39" s="850">
        <f t="shared" si="35"/>
        <v>-2.5820414407389247E-2</v>
      </c>
      <c r="L39" s="850">
        <f t="shared" si="35"/>
        <v>1.4473527460321822E-2</v>
      </c>
      <c r="M39" s="850">
        <f t="shared" si="35"/>
        <v>7.8889323795078736E-2</v>
      </c>
      <c r="N39" s="850">
        <f t="shared" si="35"/>
        <v>-1.2770823685835375E-2</v>
      </c>
      <c r="O39" s="850">
        <f t="shared" si="35"/>
        <v>7.309747359425689E-3</v>
      </c>
      <c r="P39" s="850">
        <f t="shared" si="35"/>
        <v>-6.1076135774372098E-2</v>
      </c>
      <c r="Q39" s="850">
        <f t="shared" si="35"/>
        <v>-4.2773967293300297E-2</v>
      </c>
      <c r="R39" s="850">
        <f t="shared" si="35"/>
        <v>-1.6559557046443851E-2</v>
      </c>
      <c r="S39" s="850">
        <f t="shared" si="35"/>
        <v>3.1925516070041793E-2</v>
      </c>
      <c r="T39" s="850">
        <f t="shared" si="35"/>
        <v>-5.6351992342481672E-2</v>
      </c>
      <c r="U39" s="850">
        <f t="shared" si="35"/>
        <v>-9.5516407040204809E-2</v>
      </c>
      <c r="V39" s="850">
        <f t="shared" si="35"/>
        <v>-9.952238728663021E-3</v>
      </c>
      <c r="W39" s="850">
        <f t="shared" si="35"/>
        <v>2.9389937416741674E-2</v>
      </c>
      <c r="X39" s="850">
        <f t="shared" si="35"/>
        <v>-8.4795875997676351E-3</v>
      </c>
      <c r="Y39" s="850">
        <f t="shared" si="35"/>
        <v>5.9173820134097443E-3</v>
      </c>
      <c r="Z39" s="850">
        <f t="shared" si="35"/>
        <v>-2.1987428915055562E-2</v>
      </c>
      <c r="AA39" s="850">
        <f t="shared" si="35"/>
        <v>-4.5483008388926827E-3</v>
      </c>
      <c r="AB39" s="850">
        <f t="shared" si="35"/>
        <v>9.0120364402179742E-3</v>
      </c>
      <c r="AC39" s="850">
        <f t="shared" si="35"/>
        <v>-2.0662287879665842E-2</v>
      </c>
      <c r="AD39" s="850">
        <f t="shared" si="35"/>
        <v>2.8071935868885234E-2</v>
      </c>
      <c r="AE39" s="850">
        <f t="shared" si="35"/>
        <v>-1.8392051483876126E-2</v>
      </c>
      <c r="AF39" s="850">
        <f t="shared" si="35"/>
        <v>-1.7930689121579468E-2</v>
      </c>
      <c r="AG39" s="850">
        <f>AG38/AF38-1</f>
        <v>-1.6688089117394833E-2</v>
      </c>
      <c r="AH39" s="850">
        <f>AH38/AG38-1</f>
        <v>-1.5000000000000124E-2</v>
      </c>
      <c r="AI39" s="850">
        <f>AI38/AH38-1</f>
        <v>-1.5000000000000013E-2</v>
      </c>
      <c r="AK39" s="334"/>
      <c r="AL39" s="305"/>
      <c r="AM39" s="305"/>
      <c r="AN39" s="335"/>
    </row>
    <row r="40" spans="1:40" x14ac:dyDescent="0.2">
      <c r="A40" s="859"/>
      <c r="AK40" s="334"/>
      <c r="AL40" s="305"/>
      <c r="AM40" s="305"/>
      <c r="AN40" s="335"/>
    </row>
    <row r="41" spans="1:40" x14ac:dyDescent="0.2">
      <c r="A41" s="856" t="s">
        <v>38</v>
      </c>
      <c r="B41" s="861">
        <v>7.9000000000000001E-2</v>
      </c>
      <c r="C41" s="862">
        <f>INDEX('qtrP&amp;L'!14:14,MATCH(C5,'qtrP&amp;L'!6:6,0)+2)%</f>
        <v>8.199999999999999E-2</v>
      </c>
      <c r="D41" s="862">
        <f>INDEX('qtrP&amp;L'!14:14,MATCH(D5,'qtrP&amp;L'!6:6,0)+2)%</f>
        <v>8.199999999999999E-2</v>
      </c>
      <c r="E41" s="862">
        <f>INDEX('qtrP&amp;L'!14:14,MATCH(E5,'qtrP&amp;L'!6:6,0)+2)%</f>
        <v>0.105</v>
      </c>
      <c r="F41" s="862">
        <f>INDEX('qtrP&amp;L'!14:14,MATCH(F5,'qtrP&amp;L'!6:6,0)+2)%</f>
        <v>8.3000000000000004E-2</v>
      </c>
      <c r="G41" s="862">
        <f>INDEX('qtrP&amp;L'!14:14,MATCH(G5,'qtrP&amp;L'!6:6,0)+2)%</f>
        <v>6.3003061579048975E-2</v>
      </c>
      <c r="H41" s="862">
        <f>INDEX('qtrP&amp;L'!14:14,MATCH(H5,'qtrP&amp;L'!6:6,0)+2)%</f>
        <v>5.9000000000000004E-2</v>
      </c>
      <c r="I41" s="862">
        <f>INDEX('qtrP&amp;L'!14:14,MATCH(I5,'qtrP&amp;L'!6:6,0)+2)%</f>
        <v>0.113</v>
      </c>
      <c r="J41" s="862">
        <f>INDEX('qtrP&amp;L'!14:14,MATCH(J5,'qtrP&amp;L'!6:6,0)+2)%</f>
        <v>0.10076240554180867</v>
      </c>
      <c r="K41" s="862">
        <f>INDEX('qtrP&amp;L'!14:14,MATCH(K5,'qtrP&amp;L'!6:6,0)+2)%</f>
        <v>7.9000000000000001E-2</v>
      </c>
      <c r="L41" s="862">
        <f>INDEX('qtrP&amp;L'!14:14,MATCH(L5,'qtrP&amp;L'!6:6,0)+2)%</f>
        <v>8.1509495323657338E-2</v>
      </c>
      <c r="M41" s="862">
        <f>INDEX('qtrP&amp;L'!14:14,MATCH(M5,'qtrP&amp;L'!6:6,0)+2)%</f>
        <v>9.5515620428464607E-2</v>
      </c>
      <c r="N41" s="862">
        <f>INDEX('qtrP&amp;L'!14:14,MATCH(N5,'qtrP&amp;L'!6:6,0)+2)%</f>
        <v>6.8000000000000005E-2</v>
      </c>
      <c r="O41" s="862">
        <f>INDEX('qtrP&amp;L'!14:14,MATCH(O5,'qtrP&amp;L'!6:6,0)+2)%</f>
        <v>5.9056288469869427E-2</v>
      </c>
      <c r="P41" s="862">
        <f>INDEX('qtrP&amp;L'!14:14,MATCH(P5,'qtrP&amp;L'!6:6,0)+2)%</f>
        <v>-1.2342184383842436E-2</v>
      </c>
      <c r="Q41" s="862">
        <f>INDEX('qtrP&amp;L'!14:14,MATCH(Q5,'qtrP&amp;L'!6:6,0)+2)%</f>
        <v>5.4574854495884851E-3</v>
      </c>
      <c r="R41" s="862">
        <f>INDEX('qtrP&amp;L'!14:14,MATCH(R5,'qtrP&amp;L'!6:6,0)+2)%</f>
        <v>3.6890876124815335E-2</v>
      </c>
      <c r="S41" s="862">
        <f>INDEX('qtrP&amp;L'!14:14,MATCH(S5,'qtrP&amp;L'!6:6,0)+2)%</f>
        <v>5.9000000000000004E-2</v>
      </c>
      <c r="T41" s="862">
        <f>INDEX('qtrP&amp;L'!14:14,MATCH(T5,'qtrP&amp;L'!6:6,0)+2)%</f>
        <v>-7.9988102247825314E-3</v>
      </c>
      <c r="U41" s="862">
        <f>INDEX('qtrP&amp;L'!14:14,MATCH(U5,'qtrP&amp;L'!6:6,0)+2)%</f>
        <v>-6.9000000000000006E-2</v>
      </c>
      <c r="V41" s="862">
        <f>INDEX('qtrP&amp;L'!14:14,MATCH(V5,'qtrP&amp;L'!6:6,0)+2)%</f>
        <v>6.5541130581591653E-3</v>
      </c>
      <c r="W41" s="862">
        <f>INDEX('qtrP&amp;L'!14:14,MATCH(W5,'qtrP&amp;L'!6:6,0)+2)%</f>
        <v>4.4736447175248759E-2</v>
      </c>
      <c r="X41" s="862">
        <f>INDEX('qtrP&amp;L'!14:14,MATCH(X5,'qtrP&amp;L'!6:6,0)+2)%</f>
        <v>5.0000000000000001E-3</v>
      </c>
      <c r="Y41" s="862">
        <f>INDEX('qtrP&amp;L'!14:14,MATCH(Y5,'qtrP&amp;L'!6:6,0)+2)%</f>
        <v>3.0000000000000001E-3</v>
      </c>
      <c r="Z41" s="862">
        <f>INDEX('qtrP&amp;L'!14:14,MATCH(Z5,'qtrP&amp;L'!6:6,0)+2)%</f>
        <v>-1.2309600126110033E-2</v>
      </c>
      <c r="AA41" s="862">
        <f>qtrSales!$F183/100</f>
        <v>-3.0000000000000001E-3</v>
      </c>
      <c r="AB41" s="862">
        <f>qtrSales!$F190/100</f>
        <v>6.9999999999999993E-3</v>
      </c>
      <c r="AC41" s="862">
        <f>'qtrP&amp;L'!DE14/100</f>
        <v>-2.4E-2</v>
      </c>
      <c r="AD41" s="862">
        <f>'qtrP&amp;L'!$DI$14/100</f>
        <v>1.4999999999999999E-2</v>
      </c>
      <c r="AE41" s="862">
        <f>'qtrP&amp;L'!DM14/100</f>
        <v>4.3939297182834743E-4</v>
      </c>
      <c r="AF41" s="997">
        <v>-1.4999999999999999E-2</v>
      </c>
      <c r="AG41" s="997">
        <v>-1.4999999999999999E-2</v>
      </c>
      <c r="AH41" s="997">
        <v>-1.4999999999999999E-2</v>
      </c>
      <c r="AI41" s="997">
        <v>-1.4999999999999999E-2</v>
      </c>
      <c r="AK41" s="334"/>
      <c r="AL41" s="305"/>
      <c r="AM41" s="305"/>
      <c r="AN41" s="335"/>
    </row>
    <row r="42" spans="1:40" ht="9" customHeight="1" x14ac:dyDescent="0.2">
      <c r="AC42" s="581"/>
      <c r="AD42" s="581"/>
      <c r="AE42" s="998"/>
      <c r="AF42" s="998"/>
      <c r="AG42" s="998"/>
      <c r="AH42" s="998"/>
      <c r="AI42" s="998"/>
      <c r="AK42" s="334"/>
      <c r="AL42" s="305"/>
      <c r="AM42" s="305"/>
      <c r="AN42" s="335"/>
    </row>
    <row r="43" spans="1:40" x14ac:dyDescent="0.2">
      <c r="A43" s="303" t="s">
        <v>231</v>
      </c>
      <c r="B43" s="863"/>
      <c r="C43" s="863">
        <f t="shared" ref="C43:AA43" si="36">C11/(B11*(1+C41)*(C16/B16))</f>
        <v>0.99996976015579797</v>
      </c>
      <c r="D43" s="863">
        <f t="shared" si="36"/>
        <v>0.9581265378780115</v>
      </c>
      <c r="E43" s="863">
        <f t="shared" si="36"/>
        <v>1.0128372641039658</v>
      </c>
      <c r="F43" s="863">
        <f t="shared" si="36"/>
        <v>0.96475414102969348</v>
      </c>
      <c r="G43" s="863">
        <f t="shared" si="36"/>
        <v>0.93311740515901642</v>
      </c>
      <c r="H43" s="863">
        <f t="shared" si="36"/>
        <v>0.98727302648536741</v>
      </c>
      <c r="I43" s="863">
        <f t="shared" si="36"/>
        <v>0.95097073626182105</v>
      </c>
      <c r="J43" s="863">
        <f t="shared" si="36"/>
        <v>0.9592556921327301</v>
      </c>
      <c r="K43" s="863">
        <f t="shared" si="36"/>
        <v>0.95276411012727991</v>
      </c>
      <c r="L43" s="863">
        <f t="shared" si="36"/>
        <v>0.94119200113326573</v>
      </c>
      <c r="M43" s="863">
        <f t="shared" si="36"/>
        <v>0.99743484089916878</v>
      </c>
      <c r="N43" s="863">
        <f t="shared" si="36"/>
        <v>0.95474681583722032</v>
      </c>
      <c r="O43" s="863">
        <f t="shared" si="36"/>
        <v>0.96123412512839457</v>
      </c>
      <c r="P43" s="863">
        <f t="shared" si="36"/>
        <v>0.96246212052915914</v>
      </c>
      <c r="Q43" s="863">
        <f t="shared" si="36"/>
        <v>0.96300909187497974</v>
      </c>
      <c r="R43" s="863">
        <f t="shared" si="36"/>
        <v>0.96130134166298831</v>
      </c>
      <c r="S43" s="863">
        <f t="shared" si="36"/>
        <v>0.98385741722008357</v>
      </c>
      <c r="T43" s="863">
        <f t="shared" si="36"/>
        <v>0.93706584388115044</v>
      </c>
      <c r="U43" s="863">
        <f t="shared" si="36"/>
        <v>0.98872990463217758</v>
      </c>
      <c r="V43" s="863">
        <f t="shared" si="36"/>
        <v>0.98820492327206044</v>
      </c>
      <c r="W43" s="863">
        <f t="shared" si="36"/>
        <v>0.99559747834628021</v>
      </c>
      <c r="X43" s="863">
        <f t="shared" si="36"/>
        <v>0.98306628087396353</v>
      </c>
      <c r="Y43" s="863">
        <f t="shared" si="36"/>
        <v>1.0052987729080158</v>
      </c>
      <c r="Z43" s="863">
        <f t="shared" si="36"/>
        <v>0.98903077484278756</v>
      </c>
      <c r="AA43" s="863">
        <f t="shared" si="36"/>
        <v>0.99913614792771799</v>
      </c>
      <c r="AB43" s="863">
        <f>AB11/(AA11*(1+AB41)*(AB16/AA16))</f>
        <v>0.99905821780317261</v>
      </c>
      <c r="AC43" s="863">
        <f>AC11/(AB11*(1+AC41)*(AC16/AB16))</f>
        <v>1.0073202652133308</v>
      </c>
      <c r="AD43" s="863">
        <f>AD11/(AC11*(1+AD41)*(AD16/AC16))</f>
        <v>1.0033085780496453</v>
      </c>
      <c r="AE43" s="863">
        <v>1</v>
      </c>
      <c r="AF43" s="999">
        <v>0.997</v>
      </c>
      <c r="AG43" s="999">
        <v>1</v>
      </c>
      <c r="AH43" s="999">
        <v>1</v>
      </c>
      <c r="AI43" s="999">
        <v>1</v>
      </c>
      <c r="AK43" s="334"/>
      <c r="AL43" s="305"/>
      <c r="AM43" s="305"/>
      <c r="AN43" s="335"/>
    </row>
    <row r="44" spans="1:40" ht="6" customHeight="1" x14ac:dyDescent="0.2">
      <c r="B44" s="863"/>
      <c r="C44" s="863"/>
      <c r="D44" s="863"/>
      <c r="E44" s="863"/>
      <c r="F44" s="863"/>
      <c r="G44" s="863"/>
      <c r="H44" s="863"/>
      <c r="I44" s="863"/>
      <c r="J44" s="863"/>
      <c r="K44" s="863"/>
      <c r="L44" s="863"/>
      <c r="M44" s="863"/>
      <c r="N44" s="863"/>
      <c r="O44" s="863"/>
      <c r="P44" s="863"/>
      <c r="Q44" s="863"/>
      <c r="R44" s="863"/>
      <c r="S44" s="863"/>
      <c r="T44" s="863"/>
      <c r="U44" s="863"/>
      <c r="V44" s="863"/>
      <c r="W44" s="863"/>
      <c r="X44" s="863"/>
      <c r="Y44" s="863"/>
      <c r="Z44" s="864"/>
      <c r="AA44" s="864"/>
      <c r="AB44" s="864"/>
      <c r="AC44" s="864"/>
      <c r="AD44" s="864"/>
      <c r="AE44" s="864"/>
      <c r="AF44" s="864"/>
      <c r="AG44" s="864"/>
      <c r="AH44" s="864"/>
      <c r="AI44" s="864"/>
      <c r="AK44" s="334"/>
      <c r="AL44" s="305"/>
      <c r="AM44" s="305"/>
      <c r="AN44" s="335"/>
    </row>
    <row r="45" spans="1:40" x14ac:dyDescent="0.2">
      <c r="A45" s="303" t="s">
        <v>247</v>
      </c>
      <c r="B45" s="863"/>
      <c r="C45" s="865"/>
      <c r="D45" s="866">
        <f>(D12-D41)/D18*100</f>
        <v>140.88818997334758</v>
      </c>
      <c r="E45" s="866">
        <f t="shared" ref="E45:AC45" si="37">(E12-E41)/E18*100</f>
        <v>80.126018950128426</v>
      </c>
      <c r="F45" s="866">
        <f t="shared" si="37"/>
        <v>110.1728492345394</v>
      </c>
      <c r="G45" s="866">
        <f t="shared" si="37"/>
        <v>74.176389435441379</v>
      </c>
      <c r="H45" s="866">
        <f t="shared" si="37"/>
        <v>93.861037784030614</v>
      </c>
      <c r="I45" s="866">
        <f t="shared" si="37"/>
        <v>71.557537255636191</v>
      </c>
      <c r="J45" s="866">
        <f t="shared" si="37"/>
        <v>92.878540253081809</v>
      </c>
      <c r="K45" s="866">
        <f t="shared" si="37"/>
        <v>65.418179747861757</v>
      </c>
      <c r="L45" s="866">
        <f t="shared" si="37"/>
        <v>80.143194709749693</v>
      </c>
      <c r="M45" s="866">
        <f t="shared" si="37"/>
        <v>112.28534400844816</v>
      </c>
      <c r="N45" s="866">
        <f t="shared" si="37"/>
        <v>70.247567675572597</v>
      </c>
      <c r="O45" s="866">
        <f t="shared" si="37"/>
        <v>81.377721328812882</v>
      </c>
      <c r="P45" s="866">
        <f t="shared" si="37"/>
        <v>73.270783290436185</v>
      </c>
      <c r="Q45" s="866">
        <f t="shared" si="37"/>
        <v>73.549436365208138</v>
      </c>
      <c r="R45" s="866">
        <f t="shared" si="37"/>
        <v>67.344339786750979</v>
      </c>
      <c r="S45" s="866">
        <f t="shared" si="37"/>
        <v>79.015061076208085</v>
      </c>
      <c r="T45" s="866">
        <f t="shared" si="37"/>
        <v>51.110060309355354</v>
      </c>
      <c r="U45" s="866">
        <f t="shared" si="37"/>
        <v>59.589885982255439</v>
      </c>
      <c r="V45" s="866">
        <f t="shared" si="37"/>
        <v>62.375115625977799</v>
      </c>
      <c r="W45" s="866">
        <f t="shared" si="37"/>
        <v>62.774868956422701</v>
      </c>
      <c r="X45" s="866">
        <f t="shared" si="37"/>
        <v>54.317968618866388</v>
      </c>
      <c r="Y45" s="866">
        <f t="shared" si="37"/>
        <v>86.749647144877756</v>
      </c>
      <c r="Z45" s="866">
        <f t="shared" si="37"/>
        <v>-4.4384917429766277</v>
      </c>
      <c r="AA45" s="866">
        <f t="shared" si="37"/>
        <v>37.146718511902414</v>
      </c>
      <c r="AB45" s="866">
        <f>(AB12-AB41)/AB18*100</f>
        <v>72.929138411399762</v>
      </c>
      <c r="AC45" s="867">
        <f t="shared" si="37"/>
        <v>86.530222870235377</v>
      </c>
      <c r="AD45" s="867" t="s">
        <v>94</v>
      </c>
      <c r="AE45" s="867" t="s">
        <v>94</v>
      </c>
      <c r="AF45" s="867" t="s">
        <v>94</v>
      </c>
      <c r="AG45" s="867" t="s">
        <v>94</v>
      </c>
      <c r="AH45" s="867" t="s">
        <v>94</v>
      </c>
      <c r="AI45" s="867" t="s">
        <v>94</v>
      </c>
      <c r="AK45" s="334"/>
      <c r="AL45" s="305"/>
      <c r="AM45" s="305"/>
      <c r="AN45" s="335"/>
    </row>
    <row r="46" spans="1:40" ht="6.75" customHeight="1" x14ac:dyDescent="0.2">
      <c r="A46" s="868"/>
      <c r="B46" s="868"/>
      <c r="C46" s="868"/>
      <c r="D46" s="868"/>
      <c r="E46" s="868"/>
      <c r="F46" s="868"/>
      <c r="G46" s="868"/>
      <c r="H46" s="868"/>
      <c r="I46" s="868"/>
      <c r="J46" s="868"/>
      <c r="K46" s="868"/>
      <c r="L46" s="868"/>
      <c r="M46" s="868"/>
      <c r="N46" s="868"/>
      <c r="O46" s="868"/>
      <c r="P46" s="868"/>
      <c r="Q46" s="868"/>
      <c r="R46" s="868"/>
      <c r="S46" s="868"/>
      <c r="T46" s="868"/>
      <c r="U46" s="868"/>
      <c r="V46" s="868"/>
      <c r="W46" s="868"/>
      <c r="X46" s="868"/>
      <c r="Y46" s="868"/>
      <c r="Z46" s="868"/>
      <c r="AA46" s="868"/>
      <c r="AB46" s="868"/>
      <c r="AC46" s="868"/>
      <c r="AD46" s="868"/>
      <c r="AE46" s="868"/>
      <c r="AF46" s="868"/>
      <c r="AG46" s="868"/>
      <c r="AH46" s="868"/>
      <c r="AI46" s="868"/>
      <c r="AK46" s="334"/>
      <c r="AL46" s="305"/>
      <c r="AM46" s="305"/>
      <c r="AN46" s="335"/>
    </row>
    <row r="47" spans="1:40" ht="13.5" hidden="1" outlineLevel="1" thickBot="1" x14ac:dyDescent="0.25">
      <c r="A47" s="303" t="s">
        <v>349</v>
      </c>
      <c r="Y47" s="869">
        <v>169</v>
      </c>
      <c r="Z47" s="311"/>
      <c r="AD47" s="303">
        <v>160</v>
      </c>
      <c r="AK47" s="334"/>
      <c r="AL47" s="305"/>
      <c r="AM47" s="305"/>
      <c r="AN47" s="335"/>
    </row>
    <row r="48" spans="1:40" hidden="1" outlineLevel="1" x14ac:dyDescent="0.2">
      <c r="A48" s="310"/>
      <c r="B48" s="310"/>
      <c r="C48" s="310"/>
      <c r="D48" s="310"/>
      <c r="E48" s="310"/>
      <c r="F48" s="310"/>
      <c r="G48" s="310"/>
      <c r="H48" s="310"/>
      <c r="I48" s="310"/>
      <c r="J48" s="310"/>
      <c r="K48" s="310"/>
      <c r="L48" s="310"/>
      <c r="M48" s="310"/>
      <c r="N48" s="310"/>
      <c r="O48" s="310"/>
      <c r="P48" s="310"/>
      <c r="Q48" s="310"/>
      <c r="R48" s="310"/>
      <c r="S48" s="310"/>
      <c r="T48" s="310"/>
      <c r="U48" s="310"/>
      <c r="V48" s="310"/>
      <c r="W48" s="310"/>
      <c r="X48" s="310"/>
      <c r="Y48" s="310"/>
      <c r="AK48" s="334"/>
      <c r="AL48" s="305"/>
      <c r="AM48" s="305"/>
      <c r="AN48" s="335"/>
    </row>
    <row r="49" spans="1:40" collapsed="1" x14ac:dyDescent="0.2">
      <c r="A49" s="303" t="s">
        <v>39</v>
      </c>
      <c r="B49" s="870">
        <f>'yrP&amp;L'!B44</f>
        <v>36.972000000000008</v>
      </c>
      <c r="C49" s="870">
        <f>'yrP&amp;L'!C44</f>
        <v>50.926000000000016</v>
      </c>
      <c r="D49" s="870">
        <f>'yrP&amp;L'!D44</f>
        <v>59.310999999999979</v>
      </c>
      <c r="E49" s="870">
        <f>'yrP&amp;L'!E44</f>
        <v>82.261999999999944</v>
      </c>
      <c r="F49" s="870">
        <f>'yrP&amp;L'!F44</f>
        <v>102.25599999999991</v>
      </c>
      <c r="G49" s="870">
        <f>'yrP&amp;L'!G44</f>
        <v>123.81499999999983</v>
      </c>
      <c r="H49" s="870">
        <f>'yrP&amp;L'!H44</f>
        <v>149.93100000000027</v>
      </c>
      <c r="I49" s="870">
        <f>'yrP&amp;L'!I44</f>
        <v>189.2679999999998</v>
      </c>
      <c r="J49" s="870">
        <f>'yrP&amp;L'!J44</f>
        <v>258.82599999999991</v>
      </c>
      <c r="K49" s="870">
        <f>'yrP&amp;L'!K44</f>
        <v>322.7999999999995</v>
      </c>
      <c r="L49" s="870">
        <f>'yrP&amp;L'!L44</f>
        <v>448.9429999999993</v>
      </c>
      <c r="M49" s="870">
        <f>'yrP&amp;L'!M44</f>
        <v>634.93300000000113</v>
      </c>
      <c r="N49" s="870">
        <f>'yrP&amp;L'!N44</f>
        <v>840.96799999999962</v>
      </c>
      <c r="O49" s="870">
        <f>'yrP&amp;L'!O44</f>
        <v>1077.6490000000019</v>
      </c>
      <c r="P49" s="870">
        <f>'yrP&amp;L'!P44</f>
        <v>1006.6620000000003</v>
      </c>
      <c r="Q49" s="870">
        <f>'yrP&amp;L'!Q44</f>
        <v>1193.4550000000013</v>
      </c>
      <c r="R49" s="870">
        <f>'yrP&amp;L'!R44</f>
        <v>1413.6999999999989</v>
      </c>
      <c r="S49" s="870">
        <f>'yrP&amp;L'!S44</f>
        <v>1814.6460000000029</v>
      </c>
      <c r="T49" s="870">
        <f>'yrP&amp;L'!T44</f>
        <v>1804.4209999999998</v>
      </c>
      <c r="U49" s="870">
        <f>'yrP&amp;L'!U44</f>
        <v>1536.3149999999996</v>
      </c>
      <c r="V49" s="870">
        <f>'yrP&amp;L'!V44</f>
        <v>1859</v>
      </c>
      <c r="W49" s="870">
        <f>'yrP&amp;L'!W44</f>
        <v>2093</v>
      </c>
      <c r="X49" s="870">
        <f>'yrP&amp;L'!X44</f>
        <v>2159</v>
      </c>
      <c r="Y49" s="870">
        <f>'yrP&amp;L'!Y44</f>
        <v>1889</v>
      </c>
      <c r="Z49" s="870">
        <f>'yrP&amp;L'!Z44</f>
        <v>1742</v>
      </c>
      <c r="AA49" s="870">
        <f>'yrP&amp;L'!AA44</f>
        <v>1689</v>
      </c>
      <c r="AB49" s="870">
        <f>'yrP&amp;L'!AB44</f>
        <v>1553</v>
      </c>
      <c r="AC49" s="870">
        <f>'yrP&amp;L'!AC44</f>
        <v>1368</v>
      </c>
      <c r="AD49" s="870">
        <f>'yrP&amp;L'!AD44</f>
        <v>1416</v>
      </c>
      <c r="AE49" s="870">
        <f>'yrP&amp;L'!AE44</f>
        <v>1336.8090430399989</v>
      </c>
      <c r="AF49" s="870">
        <f>'yrP&amp;L'!AF44</f>
        <v>1173.9700453969399</v>
      </c>
      <c r="AG49" s="870">
        <f>'yrP&amp;L'!AG44</f>
        <v>1076.7148304257244</v>
      </c>
      <c r="AH49" s="870">
        <f>'yrP&amp;L'!AH44</f>
        <v>974.56199099786318</v>
      </c>
      <c r="AI49" s="870">
        <f>'yrP&amp;L'!AI44</f>
        <v>919.08980376525324</v>
      </c>
      <c r="AK49" s="571">
        <f>RATE(5,,-X49,AC49)*100</f>
        <v>-8.7218790736770053</v>
      </c>
      <c r="AL49" s="305" t="s">
        <v>102</v>
      </c>
      <c r="AM49" s="572">
        <f>RATE(6,,-AC49,AI49)*100</f>
        <v>-6.4137651542020517</v>
      </c>
      <c r="AN49" s="335" t="s">
        <v>102</v>
      </c>
    </row>
    <row r="50" spans="1:40" x14ac:dyDescent="0.2">
      <c r="A50" s="573" t="s">
        <v>46</v>
      </c>
      <c r="B50" s="426">
        <f t="shared" ref="B50:AA50" si="38">B49/B11</f>
        <v>5.0649211876782639E-2</v>
      </c>
      <c r="C50" s="426">
        <f t="shared" si="38"/>
        <v>6.4480023297184733E-2</v>
      </c>
      <c r="D50" s="426">
        <f t="shared" si="38"/>
        <v>6.374606900495039E-2</v>
      </c>
      <c r="E50" s="426">
        <f t="shared" si="38"/>
        <v>7.4997994267251081E-2</v>
      </c>
      <c r="F50" s="426">
        <f t="shared" si="38"/>
        <v>7.8321078431372496E-2</v>
      </c>
      <c r="G50" s="426">
        <f t="shared" si="38"/>
        <v>7.9672981390440295E-2</v>
      </c>
      <c r="H50" s="426">
        <f t="shared" si="38"/>
        <v>7.7859175174965309E-2</v>
      </c>
      <c r="I50" s="426">
        <f t="shared" si="38"/>
        <v>7.9241364873351386E-2</v>
      </c>
      <c r="J50" s="426">
        <f t="shared" si="38"/>
        <v>8.4581338290059982E-2</v>
      </c>
      <c r="K50" s="426">
        <f t="shared" si="38"/>
        <v>8.7676888393948313E-2</v>
      </c>
      <c r="L50" s="426">
        <f t="shared" si="38"/>
        <v>9.8517658624790838E-2</v>
      </c>
      <c r="M50" s="426">
        <f t="shared" si="38"/>
        <v>0.10320421962875086</v>
      </c>
      <c r="N50" s="426">
        <f t="shared" si="38"/>
        <v>0.11229907248920561</v>
      </c>
      <c r="O50" s="426">
        <f t="shared" si="38"/>
        <v>0.11816067630095851</v>
      </c>
      <c r="P50" s="426">
        <f t="shared" si="38"/>
        <v>9.7905271347986794E-2</v>
      </c>
      <c r="Q50" s="426">
        <f t="shared" si="38"/>
        <v>0.10199859837445634</v>
      </c>
      <c r="R50" s="426">
        <f t="shared" si="38"/>
        <v>0.10548268194773985</v>
      </c>
      <c r="S50" s="426">
        <f t="shared" si="38"/>
        <v>0.11643316994647732</v>
      </c>
      <c r="T50" s="426">
        <f t="shared" si="38"/>
        <v>0.10953343814686438</v>
      </c>
      <c r="U50" s="426">
        <f t="shared" si="38"/>
        <v>9.3744062110280663E-2</v>
      </c>
      <c r="V50" s="426">
        <f t="shared" si="38"/>
        <v>0.10821981604377692</v>
      </c>
      <c r="W50" s="426">
        <f t="shared" si="38"/>
        <v>0.11380566581480071</v>
      </c>
      <c r="X50" s="426">
        <f t="shared" si="38"/>
        <v>0.11481599659646884</v>
      </c>
      <c r="Y50" s="426">
        <f t="shared" si="38"/>
        <v>9.7977178423236513E-2</v>
      </c>
      <c r="Z50" s="426">
        <f t="shared" si="38"/>
        <v>9.1534864168987443E-2</v>
      </c>
      <c r="AA50" s="426">
        <f t="shared" si="38"/>
        <v>8.8787257530357988E-2</v>
      </c>
      <c r="AB50" s="426">
        <f t="shared" ref="AB50:AH50" si="39">AB49/AB11</f>
        <v>8.0868569048114972E-2</v>
      </c>
      <c r="AC50" s="426">
        <f t="shared" si="39"/>
        <v>7.320988975703735E-2</v>
      </c>
      <c r="AD50" s="426">
        <f t="shared" si="39"/>
        <v>7.415553809897879E-2</v>
      </c>
      <c r="AE50" s="426">
        <f t="shared" si="39"/>
        <v>7.1163494992334056E-2</v>
      </c>
      <c r="AF50" s="426">
        <f t="shared" si="39"/>
        <v>6.3419436656948269E-2</v>
      </c>
      <c r="AG50" s="426">
        <f t="shared" si="39"/>
        <v>5.9051349728574426E-2</v>
      </c>
      <c r="AH50" s="426">
        <f t="shared" si="39"/>
        <v>5.4262821577829974E-2</v>
      </c>
      <c r="AI50" s="426">
        <f>AI49/AI11</f>
        <v>5.1953477324082321E-2</v>
      </c>
      <c r="AK50" s="397"/>
      <c r="AL50" s="313"/>
      <c r="AM50" s="313"/>
      <c r="AN50" s="603"/>
    </row>
    <row r="52" spans="1:40" x14ac:dyDescent="0.2">
      <c r="AD52" s="311"/>
    </row>
    <row r="53" spans="1:40" x14ac:dyDescent="0.2">
      <c r="A53" s="412" t="s">
        <v>88</v>
      </c>
    </row>
    <row r="55" spans="1:40" x14ac:dyDescent="0.2">
      <c r="X55" s="319"/>
      <c r="AC55" s="319"/>
    </row>
    <row r="56" spans="1:40" x14ac:dyDescent="0.2">
      <c r="X56" s="413"/>
      <c r="AC56" s="413"/>
    </row>
    <row r="57" spans="1:40" x14ac:dyDescent="0.2">
      <c r="X57" s="320"/>
      <c r="AC57" s="320"/>
    </row>
    <row r="58" spans="1:40" x14ac:dyDescent="0.2">
      <c r="AC58" s="311"/>
    </row>
  </sheetData>
  <phoneticPr fontId="11" type="noConversion"/>
  <pageMargins left="0.75" right="0.75" top="1" bottom="1" header="0.5" footer="0.5"/>
  <pageSetup scale="67" orientation="landscape" horizontalDpi="300" verticalDpi="300"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V79"/>
  <sheetViews>
    <sheetView showGridLines="0" zoomScale="85" zoomScaleNormal="85" workbookViewId="0">
      <selection activeCell="AD39" sqref="AD39"/>
    </sheetView>
  </sheetViews>
  <sheetFormatPr defaultRowHeight="12.75" outlineLevelRow="2" outlineLevelCol="1" x14ac:dyDescent="0.2"/>
  <cols>
    <col min="1" max="1" width="25.140625" style="303" customWidth="1"/>
    <col min="2" max="8" width="9.140625" style="303" hidden="1" customWidth="1" outlineLevel="1"/>
    <col min="9" max="9" width="9.85546875" style="303" hidden="1" customWidth="1" outlineLevel="1"/>
    <col min="10" max="17" width="9.140625" style="303" hidden="1" customWidth="1" outlineLevel="1"/>
    <col min="18" max="18" width="9.5703125" style="303" hidden="1" customWidth="1" outlineLevel="1"/>
    <col min="19" max="19" width="9.28515625" style="303" hidden="1" customWidth="1" outlineLevel="1"/>
    <col min="20" max="20" width="9.5703125" style="303" hidden="1" customWidth="1" outlineLevel="1"/>
    <col min="21" max="22" width="9.28515625" style="303" hidden="1" customWidth="1" outlineLevel="1"/>
    <col min="23" max="23" width="9.42578125" style="303" bestFit="1" customWidth="1" collapsed="1"/>
    <col min="24" max="24" width="9.85546875" style="303" bestFit="1" customWidth="1"/>
    <col min="25" max="25" width="10.5703125" style="303" bestFit="1" customWidth="1"/>
    <col min="26" max="28" width="10.140625" style="303" bestFit="1" customWidth="1"/>
    <col min="29" max="29" width="10.28515625" style="303" bestFit="1" customWidth="1"/>
    <col min="30" max="33" width="9.42578125" style="303" customWidth="1"/>
    <col min="34" max="35" width="9.42578125" style="303" customWidth="1" outlineLevel="1"/>
    <col min="36" max="36" width="2.28515625" style="303" customWidth="1"/>
    <col min="37" max="37" width="6.5703125" style="303" customWidth="1"/>
    <col min="38" max="38" width="2.5703125" style="303" customWidth="1"/>
    <col min="39" max="39" width="8" style="303" customWidth="1"/>
    <col min="40" max="40" width="2.28515625" style="303" customWidth="1"/>
    <col min="41" max="41" width="2.42578125" style="303" customWidth="1"/>
    <col min="42" max="16384" width="9.140625" style="303"/>
  </cols>
  <sheetData>
    <row r="1" spans="1:43" x14ac:dyDescent="0.2">
      <c r="A1" s="310" t="s">
        <v>453</v>
      </c>
      <c r="B1" s="310"/>
      <c r="C1" s="310"/>
      <c r="D1" s="310"/>
      <c r="E1" s="310"/>
      <c r="F1" s="310"/>
      <c r="G1" s="310"/>
      <c r="H1" s="310"/>
      <c r="I1" s="310"/>
      <c r="J1" s="310"/>
      <c r="K1" s="310"/>
      <c r="L1" s="310"/>
      <c r="M1" s="310"/>
      <c r="N1" s="310"/>
      <c r="O1" s="310"/>
      <c r="P1" s="310"/>
      <c r="Q1" s="310"/>
      <c r="AC1" s="320"/>
      <c r="AD1" s="320"/>
      <c r="AE1" s="320"/>
      <c r="AF1" s="320"/>
      <c r="AG1" s="320"/>
      <c r="AH1" s="320"/>
      <c r="AI1" s="320"/>
    </row>
    <row r="2" spans="1:43" x14ac:dyDescent="0.2">
      <c r="A2" s="312" t="s">
        <v>574</v>
      </c>
      <c r="B2" s="312"/>
      <c r="C2" s="312"/>
      <c r="D2" s="312"/>
      <c r="E2" s="312"/>
      <c r="F2" s="312"/>
      <c r="G2" s="312"/>
      <c r="H2" s="312"/>
      <c r="I2" s="312"/>
      <c r="J2" s="312"/>
      <c r="K2" s="312"/>
      <c r="L2" s="312"/>
      <c r="M2" s="312"/>
      <c r="N2" s="312"/>
      <c r="O2" s="312"/>
      <c r="P2" s="312"/>
      <c r="Q2" s="312"/>
      <c r="R2" s="313"/>
      <c r="S2" s="313"/>
      <c r="T2" s="313"/>
      <c r="U2" s="313"/>
      <c r="V2" s="313"/>
      <c r="W2" s="313"/>
      <c r="X2" s="313"/>
      <c r="Y2" s="313"/>
      <c r="Z2" s="555"/>
      <c r="AA2" s="555"/>
      <c r="AB2" s="555"/>
      <c r="AC2" s="556"/>
      <c r="AD2" s="556"/>
      <c r="AE2" s="556"/>
      <c r="AF2" s="556"/>
      <c r="AG2" s="556"/>
      <c r="AH2" s="556"/>
      <c r="AI2" s="556"/>
      <c r="AJ2" s="313"/>
      <c r="AK2" s="313"/>
      <c r="AL2" s="313"/>
      <c r="AM2" s="313"/>
      <c r="AN2" s="313"/>
    </row>
    <row r="3" spans="1:43" x14ac:dyDescent="0.2">
      <c r="A3" s="557" t="s">
        <v>40</v>
      </c>
      <c r="B3" s="557"/>
      <c r="C3" s="557"/>
      <c r="D3" s="557"/>
      <c r="E3" s="557"/>
      <c r="F3" s="557"/>
      <c r="G3" s="557"/>
      <c r="H3" s="557"/>
      <c r="I3" s="557"/>
      <c r="J3" s="557"/>
      <c r="K3" s="557"/>
      <c r="L3" s="557"/>
      <c r="M3" s="557"/>
      <c r="N3" s="557"/>
      <c r="O3" s="557"/>
      <c r="P3" s="557"/>
      <c r="Q3" s="557"/>
      <c r="Z3" s="558"/>
      <c r="AA3" s="558"/>
      <c r="AB3" s="558"/>
      <c r="AC3" s="558"/>
      <c r="AD3" s="558"/>
      <c r="AE3" s="558"/>
      <c r="AF3" s="558"/>
      <c r="AG3" s="558"/>
      <c r="AH3" s="558"/>
      <c r="AI3" s="558"/>
    </row>
    <row r="4" spans="1:43" x14ac:dyDescent="0.2">
      <c r="W4" s="559" t="s">
        <v>353</v>
      </c>
      <c r="X4" s="560"/>
      <c r="Z4" s="561"/>
      <c r="AA4" s="561"/>
      <c r="AB4" s="561"/>
      <c r="AC4" s="561"/>
      <c r="AD4" s="561"/>
      <c r="AE4" s="561"/>
      <c r="AF4" s="561"/>
      <c r="AG4" s="561"/>
      <c r="AH4" s="561"/>
      <c r="AI4" s="561"/>
      <c r="AK4" s="562"/>
      <c r="AL4" s="563" t="s">
        <v>34</v>
      </c>
      <c r="AM4" s="564"/>
      <c r="AN4" s="565"/>
    </row>
    <row r="5" spans="1:43" x14ac:dyDescent="0.2">
      <c r="B5" s="566">
        <f t="shared" ref="B5:L5" si="0">C5-1</f>
        <v>1989</v>
      </c>
      <c r="C5" s="566">
        <f t="shared" si="0"/>
        <v>1990</v>
      </c>
      <c r="D5" s="566">
        <f t="shared" si="0"/>
        <v>1991</v>
      </c>
      <c r="E5" s="566">
        <f t="shared" si="0"/>
        <v>1992</v>
      </c>
      <c r="F5" s="566">
        <f t="shared" si="0"/>
        <v>1993</v>
      </c>
      <c r="G5" s="566">
        <f t="shared" si="0"/>
        <v>1994</v>
      </c>
      <c r="H5" s="566">
        <f t="shared" si="0"/>
        <v>1995</v>
      </c>
      <c r="I5" s="566">
        <f t="shared" si="0"/>
        <v>1996</v>
      </c>
      <c r="J5" s="566">
        <f t="shared" si="0"/>
        <v>1997</v>
      </c>
      <c r="K5" s="566">
        <f t="shared" si="0"/>
        <v>1998</v>
      </c>
      <c r="L5" s="566">
        <f t="shared" si="0"/>
        <v>1999</v>
      </c>
      <c r="M5" s="566">
        <v>2000</v>
      </c>
      <c r="N5" s="566">
        <v>2001</v>
      </c>
      <c r="O5" s="566">
        <v>2002</v>
      </c>
      <c r="P5" s="566">
        <v>2003</v>
      </c>
      <c r="Q5" s="566">
        <v>2004</v>
      </c>
      <c r="R5" s="566">
        <f>Q5+1</f>
        <v>2005</v>
      </c>
      <c r="S5" s="566">
        <f t="shared" ref="S5:AD5" si="1">R5+1</f>
        <v>2006</v>
      </c>
      <c r="T5" s="566">
        <f t="shared" si="1"/>
        <v>2007</v>
      </c>
      <c r="U5" s="566">
        <f t="shared" si="1"/>
        <v>2008</v>
      </c>
      <c r="V5" s="566">
        <f t="shared" si="1"/>
        <v>2009</v>
      </c>
      <c r="W5" s="566">
        <f t="shared" si="1"/>
        <v>2010</v>
      </c>
      <c r="X5" s="566">
        <f t="shared" si="1"/>
        <v>2011</v>
      </c>
      <c r="Y5" s="566">
        <f t="shared" si="1"/>
        <v>2012</v>
      </c>
      <c r="Z5" s="566">
        <f t="shared" si="1"/>
        <v>2013</v>
      </c>
      <c r="AA5" s="566">
        <f>Z5+1</f>
        <v>2014</v>
      </c>
      <c r="AB5" s="848">
        <f>AA5+1</f>
        <v>2015</v>
      </c>
      <c r="AC5" s="848">
        <f t="shared" si="1"/>
        <v>2016</v>
      </c>
      <c r="AD5" s="848">
        <f t="shared" si="1"/>
        <v>2017</v>
      </c>
      <c r="AE5" s="1277">
        <f t="shared" ref="AE5:AI5" si="2">AD5+1</f>
        <v>2018</v>
      </c>
      <c r="AF5" s="1277">
        <f t="shared" si="2"/>
        <v>2019</v>
      </c>
      <c r="AG5" s="1277">
        <f t="shared" si="2"/>
        <v>2020</v>
      </c>
      <c r="AH5" s="1277">
        <f t="shared" si="2"/>
        <v>2021</v>
      </c>
      <c r="AI5" s="1277">
        <f t="shared" si="2"/>
        <v>2022</v>
      </c>
      <c r="AK5" s="1276" t="s">
        <v>622</v>
      </c>
      <c r="AL5" s="563"/>
      <c r="AM5" s="567" t="s">
        <v>623</v>
      </c>
      <c r="AN5" s="565"/>
    </row>
    <row r="6" spans="1:43" x14ac:dyDescent="0.2">
      <c r="B6" s="431"/>
      <c r="C6" s="431"/>
      <c r="D6" s="431"/>
      <c r="E6" s="431"/>
      <c r="F6" s="431"/>
      <c r="G6" s="431"/>
      <c r="H6" s="431"/>
      <c r="I6" s="431"/>
      <c r="J6" s="431"/>
      <c r="K6" s="431"/>
      <c r="L6" s="431"/>
      <c r="M6" s="431"/>
      <c r="N6" s="431"/>
      <c r="O6" s="431"/>
      <c r="P6" s="431"/>
      <c r="Q6" s="431"/>
      <c r="R6" s="431"/>
      <c r="S6" s="431"/>
      <c r="T6" s="431"/>
      <c r="U6" s="431"/>
      <c r="V6" s="431"/>
      <c r="W6" s="431"/>
      <c r="X6" s="953"/>
      <c r="Y6" s="431"/>
      <c r="Z6" s="431"/>
      <c r="AA6" s="431"/>
      <c r="AB6" s="431"/>
      <c r="AC6" s="431"/>
      <c r="AD6" s="431"/>
      <c r="AE6" s="431"/>
      <c r="AF6" s="431"/>
      <c r="AG6" s="431"/>
      <c r="AH6" s="431"/>
      <c r="AI6" s="431"/>
      <c r="AK6" s="323"/>
      <c r="AL6" s="324"/>
      <c r="AM6" s="324"/>
      <c r="AN6" s="568"/>
    </row>
    <row r="7" spans="1:43" x14ac:dyDescent="0.2">
      <c r="A7" s="303" t="s">
        <v>26</v>
      </c>
      <c r="B7" s="569">
        <v>729.96199999999999</v>
      </c>
      <c r="C7" s="570">
        <f>INDEX('qtrP&amp;L'!14:14,MATCH(C5,'qtrP&amp;L'!6:6,0))</f>
        <v>789.79500000000007</v>
      </c>
      <c r="D7" s="570">
        <f>INDEX('qtrP&amp;L'!14:14,MATCH(D5,'qtrP&amp;L'!6:6,0))</f>
        <v>930.42600000000004</v>
      </c>
      <c r="E7" s="570">
        <f>INDEX('qtrP&amp;L'!14:14,MATCH(E5,'qtrP&amp;L'!6:6,0))</f>
        <v>1096.856</v>
      </c>
      <c r="F7" s="570">
        <f>INDEX('qtrP&amp;L'!14:14,MATCH(F5,'qtrP&amp;L'!6:6,0))</f>
        <v>1305.5999999999999</v>
      </c>
      <c r="G7" s="570">
        <f>INDEX('qtrP&amp;L'!14:14,MATCH(G5,'qtrP&amp;L'!6:6,0))</f>
        <v>1554.04</v>
      </c>
      <c r="H7" s="570">
        <f>INDEX('qtrP&amp;L'!14:14,MATCH(H5,'qtrP&amp;L'!6:6,0))</f>
        <v>1925.6690000000001</v>
      </c>
      <c r="I7" s="570">
        <f>INDEX('qtrP&amp;L'!14:14,MATCH(I5,'qtrP&amp;L'!6:6,0))</f>
        <v>2388.5</v>
      </c>
      <c r="J7" s="570">
        <f>INDEX('qtrP&amp;L'!14:14,MATCH(J5,'qtrP&amp;L'!6:6,0))</f>
        <v>3060.0839999999998</v>
      </c>
      <c r="K7" s="570">
        <f>INDEX('qtrP&amp;L'!14:14,MATCH(K5,'qtrP&amp;L'!6:6,0))</f>
        <v>3681.7</v>
      </c>
      <c r="L7" s="570">
        <f>INDEX('qtrP&amp;L'!14:14,MATCH(L5,'qtrP&amp;L'!6:6,0))</f>
        <v>4556.9799999999996</v>
      </c>
      <c r="M7" s="570">
        <f>INDEX('qtrP&amp;L'!14:14,MATCH(M5,'qtrP&amp;L'!6:6,0))</f>
        <v>6152.2000000000007</v>
      </c>
      <c r="N7" s="570">
        <f>INDEX('qtrP&amp;L'!14:14,MATCH(N5,'qtrP&amp;L'!6:6,0))</f>
        <v>7488.6459999999997</v>
      </c>
      <c r="O7" s="570">
        <f>INDEX('qtrP&amp;L'!14:14,MATCH(O5,'qtrP&amp;L'!6:6,0))</f>
        <v>9120.2000000000007</v>
      </c>
      <c r="P7" s="570">
        <f>INDEX('qtrP&amp;L'!14:14,MATCH(P5,'qtrP&amp;L'!6:6,0))</f>
        <v>10282</v>
      </c>
      <c r="Q7" s="570">
        <f>INDEX('qtrP&amp;L'!14:14,MATCH(Q5,'qtrP&amp;L'!6:6,0))</f>
        <v>11700.7</v>
      </c>
      <c r="R7" s="570">
        <f>INDEX('qtrP&amp;L'!14:14,MATCH(R5,'qtrP&amp;L'!6:6,0))</f>
        <v>13402.199999999999</v>
      </c>
      <c r="S7" s="570">
        <f>INDEX('qtrP&amp;L'!14:14,MATCH(S5,'qtrP&amp;L'!6:6,0))</f>
        <v>15585.301000000001</v>
      </c>
      <c r="T7" s="570">
        <f>INDEX('qtrP&amp;L'!14:14,MATCH(T5,'qtrP&amp;L'!6:6,0))</f>
        <v>16473.7</v>
      </c>
      <c r="U7" s="570">
        <f>INDEX('qtrP&amp;L'!14:14,MATCH(U5,'qtrP&amp;L'!6:6,0))</f>
        <v>16388.398000000001</v>
      </c>
      <c r="V7" s="570">
        <f>INDEX('qtrP&amp;L'!14:14,MATCH(V5,'qtrP&amp;L'!6:6,0))</f>
        <v>17178</v>
      </c>
      <c r="W7" s="570">
        <f>INDEX('qtrP&amp;L'!14:14,MATCH(W5,'qtrP&amp;L'!6:6,0))</f>
        <v>18391</v>
      </c>
      <c r="X7" s="570">
        <f>INDEX('qtrP&amp;L'!14:14,MATCH(X5,'qtrP&amp;L'!6:6,0))</f>
        <v>18804</v>
      </c>
      <c r="Y7" s="570">
        <f>INDEX('qtrP&amp;L'!14:14,MATCH(Y5,'qtrP&amp;L'!6:6,0))</f>
        <v>19280</v>
      </c>
      <c r="Z7" s="570">
        <f>INDEX('qtrP&amp;L'!14:14,MATCH(Z5,'qtrP&amp;L'!6:6,0))</f>
        <v>19031</v>
      </c>
      <c r="AA7" s="570">
        <f>INDEX('qtrP&amp;L'!14:14,MATCH(AA5,'qtrP&amp;L'!6:6,0))</f>
        <v>19023</v>
      </c>
      <c r="AB7" s="570">
        <f>INDEX('qtrP&amp;L'!14:14,MATCH(AB5,'qtrP&amp;L'!6:6,0))</f>
        <v>19204</v>
      </c>
      <c r="AC7" s="570">
        <f>INDEX('qtrP&amp;L'!14:14,MATCH(AC5,'qtrP&amp;L'!6:6,0))</f>
        <v>18686</v>
      </c>
      <c r="AD7" s="570">
        <f>INDEX('qtrP&amp;L'!14:14,MATCH(AD5,'qtrP&amp;L'!6:6,0))</f>
        <v>19095</v>
      </c>
      <c r="AE7" s="570">
        <f>INDEX('qtrP&amp;L'!14:14,MATCH(AE5,'qtrP&amp;L'!6:6,0))</f>
        <v>18785.039199999999</v>
      </c>
      <c r="AF7" s="570">
        <f>yrSales!AF11</f>
        <v>18511.202673515378</v>
      </c>
      <c r="AG7" s="570">
        <f>yrSales!AG11</f>
        <v>18233.534633412648</v>
      </c>
      <c r="AH7" s="570">
        <f>yrSales!AH11</f>
        <v>17960.031613911458</v>
      </c>
      <c r="AI7" s="570">
        <f>yrSales!AI11</f>
        <v>17690.631139702786</v>
      </c>
      <c r="AK7" s="571">
        <f>RATE(5,,-X7,AC7)*100</f>
        <v>-0.12582143419704223</v>
      </c>
      <c r="AL7" s="305" t="s">
        <v>102</v>
      </c>
      <c r="AM7" s="572">
        <f>RATE(6,,-AC7,AI7)*100</f>
        <v>-0.90817420970335938</v>
      </c>
      <c r="AN7" s="335" t="s">
        <v>102</v>
      </c>
      <c r="AQ7" s="320"/>
    </row>
    <row r="8" spans="1:43" x14ac:dyDescent="0.2">
      <c r="A8" s="573" t="s">
        <v>27</v>
      </c>
      <c r="B8" s="574"/>
      <c r="C8" s="575">
        <f>C7/B7-1</f>
        <v>8.1967280488573602E-2</v>
      </c>
      <c r="D8" s="575">
        <f t="shared" ref="D8:Y8" si="3">D7/C7-1</f>
        <v>0.17806012952728234</v>
      </c>
      <c r="E8" s="575">
        <f t="shared" si="3"/>
        <v>0.17887505293274253</v>
      </c>
      <c r="F8" s="575">
        <f t="shared" si="3"/>
        <v>0.190311216786889</v>
      </c>
      <c r="G8" s="575">
        <f t="shared" si="3"/>
        <v>0.19028799019607856</v>
      </c>
      <c r="H8" s="575">
        <f t="shared" si="3"/>
        <v>0.23913734524207886</v>
      </c>
      <c r="I8" s="575">
        <f t="shared" si="3"/>
        <v>0.24034815952274236</v>
      </c>
      <c r="J8" s="575">
        <f t="shared" si="3"/>
        <v>0.28117395855139193</v>
      </c>
      <c r="K8" s="575">
        <f t="shared" si="3"/>
        <v>0.20313690735287016</v>
      </c>
      <c r="L8" s="575">
        <f t="shared" si="3"/>
        <v>0.23773800146671364</v>
      </c>
      <c r="M8" s="575">
        <f t="shared" si="3"/>
        <v>0.35006078587134493</v>
      </c>
      <c r="N8" s="575">
        <f>N7/M7-1</f>
        <v>0.21723058418126828</v>
      </c>
      <c r="O8" s="575">
        <f>O7/N7-1</f>
        <v>0.21787036000900573</v>
      </c>
      <c r="P8" s="575">
        <f>P7/O7-1</f>
        <v>0.12738755729041018</v>
      </c>
      <c r="Q8" s="575">
        <f t="shared" si="3"/>
        <v>0.13797899241392741</v>
      </c>
      <c r="R8" s="575">
        <f t="shared" si="3"/>
        <v>0.14541865016622912</v>
      </c>
      <c r="S8" s="575">
        <f t="shared" si="3"/>
        <v>0.16289124173643144</v>
      </c>
      <c r="T8" s="575">
        <f t="shared" si="3"/>
        <v>5.700236395819358E-2</v>
      </c>
      <c r="U8" s="575">
        <f t="shared" si="3"/>
        <v>-5.1780717143082855E-3</v>
      </c>
      <c r="V8" s="575">
        <f t="shared" si="3"/>
        <v>4.8180548214657559E-2</v>
      </c>
      <c r="W8" s="575">
        <f t="shared" si="3"/>
        <v>7.0613575503551074E-2</v>
      </c>
      <c r="X8" s="575">
        <f t="shared" si="3"/>
        <v>2.2456636398238361E-2</v>
      </c>
      <c r="Y8" s="575">
        <f t="shared" si="3"/>
        <v>2.5313763029142677E-2</v>
      </c>
      <c r="Z8" s="575">
        <f t="shared" ref="Z8:AF8" si="4">Z7/Y7-1</f>
        <v>-1.2914937759336054E-2</v>
      </c>
      <c r="AA8" s="575">
        <f t="shared" si="4"/>
        <v>-4.2036677000678591E-4</v>
      </c>
      <c r="AB8" s="575">
        <f t="shared" si="4"/>
        <v>9.5147978762550878E-3</v>
      </c>
      <c r="AC8" s="575">
        <f t="shared" si="4"/>
        <v>-2.6973547177671309E-2</v>
      </c>
      <c r="AD8" s="575">
        <f t="shared" si="4"/>
        <v>2.1888044525313122E-2</v>
      </c>
      <c r="AE8" s="575">
        <f t="shared" si="4"/>
        <v>-1.6232563498298047E-2</v>
      </c>
      <c r="AF8" s="575">
        <f t="shared" si="4"/>
        <v>-1.4577373172829033E-2</v>
      </c>
      <c r="AG8" s="575">
        <f>AG7/AF7-1</f>
        <v>-1.4999999999999902E-2</v>
      </c>
      <c r="AH8" s="575">
        <f>AH7/AG7-1</f>
        <v>-1.5000000000000013E-2</v>
      </c>
      <c r="AI8" s="575">
        <f>AI7/AH7-1</f>
        <v>-1.5000000000000013E-2</v>
      </c>
      <c r="AK8" s="334"/>
      <c r="AL8" s="305"/>
      <c r="AM8" s="305"/>
      <c r="AN8" s="335"/>
      <c r="AQ8" s="311"/>
    </row>
    <row r="9" spans="1:43" x14ac:dyDescent="0.2">
      <c r="A9" s="573" t="s">
        <v>249</v>
      </c>
      <c r="B9" s="574">
        <v>7.9000000000000001E-2</v>
      </c>
      <c r="C9" s="575">
        <f>yrSales!C41</f>
        <v>8.199999999999999E-2</v>
      </c>
      <c r="D9" s="575">
        <f>yrSales!D41</f>
        <v>8.199999999999999E-2</v>
      </c>
      <c r="E9" s="575">
        <f>yrSales!E41</f>
        <v>0.105</v>
      </c>
      <c r="F9" s="575">
        <f>yrSales!F41</f>
        <v>8.3000000000000004E-2</v>
      </c>
      <c r="G9" s="575">
        <f>yrSales!G41</f>
        <v>6.3003061579048975E-2</v>
      </c>
      <c r="H9" s="575">
        <f>yrSales!H41</f>
        <v>5.9000000000000004E-2</v>
      </c>
      <c r="I9" s="575">
        <f>yrSales!I41</f>
        <v>0.113</v>
      </c>
      <c r="J9" s="575">
        <f>yrSales!J41</f>
        <v>0.10076240554180867</v>
      </c>
      <c r="K9" s="575">
        <f>yrSales!K41</f>
        <v>7.9000000000000001E-2</v>
      </c>
      <c r="L9" s="575">
        <f>yrSales!L41</f>
        <v>8.1509495323657338E-2</v>
      </c>
      <c r="M9" s="575">
        <f>yrSales!M41</f>
        <v>9.5515620428464607E-2</v>
      </c>
      <c r="N9" s="575">
        <f>yrSales!N41</f>
        <v>6.8000000000000005E-2</v>
      </c>
      <c r="O9" s="575">
        <f>yrSales!O41</f>
        <v>5.9056288469869427E-2</v>
      </c>
      <c r="P9" s="575">
        <f>yrSales!P41</f>
        <v>-1.2342184383842436E-2</v>
      </c>
      <c r="Q9" s="575">
        <f>yrSales!Q41</f>
        <v>5.4574854495884851E-3</v>
      </c>
      <c r="R9" s="575">
        <f>yrSales!R41</f>
        <v>3.6890876124815335E-2</v>
      </c>
      <c r="S9" s="575">
        <f>yrSales!S41</f>
        <v>5.9000000000000004E-2</v>
      </c>
      <c r="T9" s="575">
        <f>yrSales!T41</f>
        <v>-7.9988102247825314E-3</v>
      </c>
      <c r="U9" s="575">
        <f>yrSales!U41</f>
        <v>-6.9000000000000006E-2</v>
      </c>
      <c r="V9" s="575">
        <f>yrSales!V41</f>
        <v>6.5541130581591653E-3</v>
      </c>
      <c r="W9" s="575">
        <f>yrSales!W41</f>
        <v>4.4736447175248759E-2</v>
      </c>
      <c r="X9" s="575">
        <f>yrSales!X41</f>
        <v>5.0000000000000001E-3</v>
      </c>
      <c r="Y9" s="575">
        <f>yrSales!Y41</f>
        <v>3.0000000000000001E-3</v>
      </c>
      <c r="Z9" s="575">
        <f>yrSales!Z41</f>
        <v>-1.2309600126110033E-2</v>
      </c>
      <c r="AA9" s="575">
        <f>yrSales!AA41</f>
        <v>-3.0000000000000001E-3</v>
      </c>
      <c r="AB9" s="575">
        <f>yrSales!AB41</f>
        <v>6.9999999999999993E-3</v>
      </c>
      <c r="AC9" s="575">
        <f>yrSales!AC41</f>
        <v>-2.4E-2</v>
      </c>
      <c r="AD9" s="575">
        <f>yrSales!AD41</f>
        <v>1.4999999999999999E-2</v>
      </c>
      <c r="AE9" s="575">
        <f>yrSales!AE41</f>
        <v>4.3939297182834743E-4</v>
      </c>
      <c r="AF9" s="575">
        <f>yrSales!AF41</f>
        <v>-1.4999999999999999E-2</v>
      </c>
      <c r="AG9" s="575">
        <f>yrSales!AG41</f>
        <v>-1.4999999999999999E-2</v>
      </c>
      <c r="AH9" s="575">
        <f>yrSales!AH41</f>
        <v>-1.4999999999999999E-2</v>
      </c>
      <c r="AI9" s="575">
        <f>yrSales!AI41</f>
        <v>-1.4999999999999999E-2</v>
      </c>
      <c r="AK9" s="571"/>
      <c r="AL9" s="305"/>
      <c r="AM9" s="572"/>
      <c r="AN9" s="335"/>
    </row>
    <row r="10" spans="1:43" x14ac:dyDescent="0.2">
      <c r="A10" s="573"/>
      <c r="B10" s="574"/>
      <c r="C10" s="575"/>
      <c r="D10" s="575"/>
      <c r="E10" s="575"/>
      <c r="F10" s="575"/>
      <c r="G10" s="575"/>
      <c r="H10" s="575"/>
      <c r="I10" s="575"/>
      <c r="J10" s="575"/>
      <c r="K10" s="575"/>
      <c r="L10" s="575"/>
      <c r="M10" s="575"/>
      <c r="N10" s="575"/>
      <c r="O10" s="575"/>
      <c r="P10" s="575"/>
      <c r="Q10" s="575"/>
      <c r="R10" s="575"/>
      <c r="S10" s="575"/>
      <c r="T10" s="575"/>
      <c r="U10" s="575"/>
      <c r="V10" s="575"/>
      <c r="W10" s="575"/>
      <c r="X10" s="575"/>
      <c r="Y10" s="575"/>
      <c r="Z10" s="575"/>
      <c r="AA10" s="575"/>
      <c r="AB10" s="575"/>
      <c r="AC10" s="575"/>
      <c r="AD10" s="575"/>
      <c r="AE10" s="575"/>
      <c r="AF10" s="575"/>
      <c r="AG10" s="575"/>
      <c r="AH10" s="575"/>
      <c r="AI10" s="575"/>
      <c r="AK10" s="334"/>
      <c r="AL10" s="305"/>
      <c r="AM10" s="305"/>
      <c r="AN10" s="335"/>
    </row>
    <row r="11" spans="1:43" x14ac:dyDescent="0.2">
      <c r="A11" s="303" t="s">
        <v>28</v>
      </c>
      <c r="B11" s="576">
        <v>488.81099999999998</v>
      </c>
      <c r="C11" s="577">
        <f>INDEX('qtrP&amp;L'!24:24,MATCH(C5,'qtrP&amp;L'!6:6,0))</f>
        <v>525.23400000000004</v>
      </c>
      <c r="D11" s="577">
        <f>INDEX('qtrP&amp;L'!24:24,MATCH(D5,'qtrP&amp;L'!6:6,0))</f>
        <v>620.37300000000005</v>
      </c>
      <c r="E11" s="577">
        <f>INDEX('qtrP&amp;L'!24:24,MATCH(E5,'qtrP&amp;L'!6:6,0))</f>
        <v>724.37</v>
      </c>
      <c r="F11" s="577">
        <f>INDEX('qtrP&amp;L'!24:24,MATCH(F5,'qtrP&amp;L'!6:6,0))</f>
        <v>868.87599999999998</v>
      </c>
      <c r="G11" s="577">
        <f>INDEX('qtrP&amp;L'!24:24,MATCH(G5,'qtrP&amp;L'!6:6,0))</f>
        <v>1038.5520000000001</v>
      </c>
      <c r="H11" s="577">
        <f>INDEX('qtrP&amp;L'!24:24,MATCH(H5,'qtrP&amp;L'!6:6,0))</f>
        <v>1296.0509999999999</v>
      </c>
      <c r="I11" s="577">
        <f>INDEX('qtrP&amp;L'!24:24,MATCH(I5,'qtrP&amp;L'!6:6,0))</f>
        <v>1603.4380000000001</v>
      </c>
      <c r="J11" s="577">
        <f>INDEX('qtrP&amp;L'!24:24,MATCH(J5,'qtrP&amp;L'!6:6,0))</f>
        <v>2046.5609999999999</v>
      </c>
      <c r="K11" s="577">
        <f>INDEX('qtrP&amp;L'!24:24,MATCH(K5,'qtrP&amp;L'!6:6,0))</f>
        <v>2452.0231250000002</v>
      </c>
      <c r="L11" s="577">
        <f>INDEX('qtrP&amp;L'!24:24,MATCH(L5,'qtrP&amp;L'!6:6,0))</f>
        <v>3014.373</v>
      </c>
      <c r="M11" s="577">
        <f>INDEX('qtrP&amp;L'!24:24,MATCH(M5,'qtrP&amp;L'!6:6,0))</f>
        <v>4054.2709999999997</v>
      </c>
      <c r="N11" s="577">
        <f>INDEX('qtrP&amp;L'!24:24,MATCH(N5,'qtrP&amp;L'!6:6,0))</f>
        <v>4921.268</v>
      </c>
      <c r="O11" s="577">
        <f>INDEX('qtrP&amp;L'!24:24,MATCH(O5,'qtrP&amp;L'!6:6,0))</f>
        <v>5983.2549999999992</v>
      </c>
      <c r="P11" s="577">
        <f>INDEX('qtrP&amp;L'!24:24,MATCH(P5,'qtrP&amp;L'!6:6,0))</f>
        <v>6892.0789999999997</v>
      </c>
      <c r="Q11" s="577">
        <f>INDEX('qtrP&amp;L'!24:24,MATCH(Q5,'qtrP&amp;L'!6:6,0))</f>
        <v>7587.0249999999996</v>
      </c>
      <c r="R11" s="577">
        <f>INDEX('qtrP&amp;L'!24:24,MATCH(R5,'qtrP&amp;L'!6:6,0))</f>
        <v>8641.6</v>
      </c>
      <c r="S11" s="577">
        <f>INDEX('qtrP&amp;L'!24:24,MATCH(S5,'qtrP&amp;L'!6:6,0))</f>
        <v>9917.7179999999989</v>
      </c>
      <c r="T11" s="577">
        <f>INDEX('qtrP&amp;L'!24:24,MATCH(T5,'qtrP&amp;L'!6:6,0))</f>
        <v>10459.6</v>
      </c>
      <c r="U11" s="577">
        <f>INDEX('qtrP&amp;L'!24:24,MATCH(U5,'qtrP&amp;L'!6:6,0))</f>
        <v>10333.613000000001</v>
      </c>
      <c r="V11" s="577">
        <f>INDEX('qtrP&amp;L'!24:24,MATCH(V5,'qtrP&amp;L'!6:6,0))</f>
        <v>10680</v>
      </c>
      <c r="W11" s="577">
        <f>INDEX('qtrP&amp;L'!24:24,MATCH(W5,'qtrP&amp;L'!6:6,0))</f>
        <v>11358</v>
      </c>
      <c r="X11" s="577">
        <f>INDEX('qtrP&amp;L'!24:24,MATCH(X5,'qtrP&amp;L'!6:6,0))</f>
        <v>11625</v>
      </c>
      <c r="Y11" s="577">
        <f>INDEX('qtrP&amp;L'!24:24,MATCH(Y5,'qtrP&amp;L'!6:6,0))</f>
        <v>12290</v>
      </c>
      <c r="Z11" s="577">
        <f>INDEX('qtrP&amp;L'!24:24,MATCH(Z5,'qtrP&amp;L'!6:6,0))</f>
        <v>12086</v>
      </c>
      <c r="AA11" s="577">
        <f>INDEX('qtrP&amp;L'!24:24,MATCH(AA5,'qtrP&amp;L'!6:6,0))</f>
        <v>12098</v>
      </c>
      <c r="AB11" s="577">
        <f>INDEX('qtrP&amp;L'!24:24,MATCH(AB5,'qtrP&amp;L'!6:6,0))</f>
        <v>12264</v>
      </c>
      <c r="AC11" s="577">
        <f>INDEX('qtrP&amp;L'!24:24,MATCH(AC5,'qtrP&amp;L'!6:6,0))</f>
        <v>11945</v>
      </c>
      <c r="AD11" s="577">
        <f>INDEX('qtrP&amp;L'!24:24,MATCH(AD5,'qtrP&amp;L'!6:6,0))</f>
        <v>12176</v>
      </c>
      <c r="AE11" s="577">
        <f>INDEX('qtrP&amp;L'!24:24,MATCH(AE5,'qtrP&amp;L'!6:6,0))</f>
        <v>11976.401156960001</v>
      </c>
      <c r="AF11" s="577">
        <f>(1-AF$12)*AF7</f>
        <v>11851.796935245982</v>
      </c>
      <c r="AG11" s="577">
        <f>(1-AG$12)*AG7</f>
        <v>11701.370283167413</v>
      </c>
      <c r="AH11" s="577">
        <f>(1-AH$12)*AH7</f>
        <v>11556.381782663553</v>
      </c>
      <c r="AI11" s="577">
        <f>(1-AI$12)*AI7</f>
        <v>11391.881371493449</v>
      </c>
      <c r="AK11" s="571">
        <f>RATE(5,,-X11,AC11)*100</f>
        <v>0.54457402903263108</v>
      </c>
      <c r="AL11" s="305" t="s">
        <v>102</v>
      </c>
      <c r="AM11" s="572">
        <f>RATE(6,,-AC11,AI11)*100</f>
        <v>-0.78708347284783076</v>
      </c>
      <c r="AN11" s="335" t="s">
        <v>102</v>
      </c>
    </row>
    <row r="12" spans="1:43" x14ac:dyDescent="0.2">
      <c r="A12" s="573" t="s">
        <v>44</v>
      </c>
      <c r="B12" s="575">
        <f t="shared" ref="B12:AA12" si="5">1-B11/B7</f>
        <v>0.33036103249210236</v>
      </c>
      <c r="C12" s="575">
        <f t="shared" si="5"/>
        <v>0.33497426547395215</v>
      </c>
      <c r="D12" s="575">
        <f t="shared" si="5"/>
        <v>0.33323767822481309</v>
      </c>
      <c r="E12" s="575">
        <f t="shared" si="5"/>
        <v>0.33959425849883662</v>
      </c>
      <c r="F12" s="575">
        <f t="shared" si="5"/>
        <v>0.33450061274509801</v>
      </c>
      <c r="G12" s="575">
        <f t="shared" si="5"/>
        <v>0.33170832153612506</v>
      </c>
      <c r="H12" s="575">
        <f t="shared" si="5"/>
        <v>0.32696065627062598</v>
      </c>
      <c r="I12" s="575">
        <f t="shared" si="5"/>
        <v>0.32868411136696662</v>
      </c>
      <c r="J12" s="575">
        <f t="shared" si="5"/>
        <v>0.33120757469402795</v>
      </c>
      <c r="K12" s="575">
        <f t="shared" si="5"/>
        <v>0.33399703262080005</v>
      </c>
      <c r="L12" s="575">
        <f t="shared" si="5"/>
        <v>0.33851520085670761</v>
      </c>
      <c r="M12" s="575">
        <f t="shared" si="5"/>
        <v>0.34100468125223504</v>
      </c>
      <c r="N12" s="575">
        <f t="shared" si="5"/>
        <v>0.34283607477239542</v>
      </c>
      <c r="O12" s="575">
        <f t="shared" si="5"/>
        <v>0.34395572465516122</v>
      </c>
      <c r="P12" s="575">
        <f t="shared" si="5"/>
        <v>0.32969470920054467</v>
      </c>
      <c r="Q12" s="575">
        <f t="shared" si="5"/>
        <v>0.35157511943729869</v>
      </c>
      <c r="R12" s="575">
        <f t="shared" si="5"/>
        <v>0.35521033860112516</v>
      </c>
      <c r="S12" s="575">
        <f t="shared" si="5"/>
        <v>0.36364924873764082</v>
      </c>
      <c r="T12" s="575">
        <f t="shared" si="5"/>
        <v>0.36507281302925265</v>
      </c>
      <c r="U12" s="575">
        <f t="shared" si="5"/>
        <v>0.36945557460832956</v>
      </c>
      <c r="V12" s="575">
        <f t="shared" si="5"/>
        <v>0.3782745371987426</v>
      </c>
      <c r="W12" s="575">
        <f t="shared" si="5"/>
        <v>0.3824153118373117</v>
      </c>
      <c r="X12" s="575">
        <f t="shared" si="5"/>
        <v>0.38178047223994893</v>
      </c>
      <c r="Y12" s="575">
        <f t="shared" si="5"/>
        <v>0.36255186721991706</v>
      </c>
      <c r="Z12" s="575">
        <f t="shared" si="5"/>
        <v>0.36493090221218016</v>
      </c>
      <c r="AA12" s="575">
        <f t="shared" si="5"/>
        <v>0.36403301266887456</v>
      </c>
      <c r="AB12" s="575">
        <f>1-AB11/AB7</f>
        <v>0.36138304519891684</v>
      </c>
      <c r="AC12" s="575">
        <f>1-AC11/AC7</f>
        <v>0.3607513646580327</v>
      </c>
      <c r="AD12" s="575">
        <f>1-AD11/AD7</f>
        <v>0.36234616391725583</v>
      </c>
      <c r="AE12" s="575">
        <f>1-AE11/AE7</f>
        <v>0.36245003114180352</v>
      </c>
      <c r="AF12" s="986">
        <f>AE12-0.0027</f>
        <v>0.35975003114180354</v>
      </c>
      <c r="AG12" s="986">
        <f>AF12-0.0015</f>
        <v>0.35825003114180354</v>
      </c>
      <c r="AH12" s="986">
        <f>AG12-0.0017</f>
        <v>0.35655003114180356</v>
      </c>
      <c r="AI12" s="986">
        <f>AH12-0.0005</f>
        <v>0.35605003114180356</v>
      </c>
      <c r="AK12" s="571"/>
      <c r="AL12" s="305"/>
      <c r="AM12" s="572"/>
      <c r="AN12" s="335"/>
    </row>
    <row r="13" spans="1:43" hidden="1" outlineLevel="1" x14ac:dyDescent="0.2">
      <c r="A13" s="573" t="s">
        <v>248</v>
      </c>
      <c r="B13" s="578"/>
      <c r="C13" s="578">
        <f t="shared" ref="C13:Y13" si="6">IF(ISERROR((C12-B12)*10000)=TRUE,"NM",(C12-B12)*10000)</f>
        <v>46.132329818497908</v>
      </c>
      <c r="D13" s="578">
        <f t="shared" si="6"/>
        <v>-17.365872491390544</v>
      </c>
      <c r="E13" s="578">
        <f t="shared" si="6"/>
        <v>63.56580274023527</v>
      </c>
      <c r="F13" s="578">
        <f t="shared" si="6"/>
        <v>-50.936457537386069</v>
      </c>
      <c r="G13" s="578">
        <f t="shared" si="6"/>
        <v>-27.922912089729522</v>
      </c>
      <c r="H13" s="578">
        <f t="shared" si="6"/>
        <v>-47.476652654990794</v>
      </c>
      <c r="I13" s="578">
        <f t="shared" si="6"/>
        <v>17.234550963406427</v>
      </c>
      <c r="J13" s="578">
        <f t="shared" si="6"/>
        <v>25.234633270613259</v>
      </c>
      <c r="K13" s="578">
        <f t="shared" si="6"/>
        <v>27.894579267720985</v>
      </c>
      <c r="L13" s="578">
        <f t="shared" si="6"/>
        <v>45.181682359075602</v>
      </c>
      <c r="M13" s="578">
        <f t="shared" si="6"/>
        <v>24.894803955274327</v>
      </c>
      <c r="N13" s="578">
        <f t="shared" si="6"/>
        <v>18.313935201603737</v>
      </c>
      <c r="O13" s="578">
        <f t="shared" si="6"/>
        <v>11.196498827658052</v>
      </c>
      <c r="P13" s="578">
        <f t="shared" si="6"/>
        <v>-142.61015454616555</v>
      </c>
      <c r="Q13" s="578">
        <f t="shared" si="6"/>
        <v>218.80410236754022</v>
      </c>
      <c r="R13" s="578">
        <f t="shared" si="6"/>
        <v>36.352191638264756</v>
      </c>
      <c r="S13" s="578">
        <f t="shared" si="6"/>
        <v>84.389101365156534</v>
      </c>
      <c r="T13" s="578">
        <f t="shared" si="6"/>
        <v>14.235642916118341</v>
      </c>
      <c r="U13" s="578">
        <f t="shared" si="6"/>
        <v>43.827615790769102</v>
      </c>
      <c r="V13" s="578">
        <f t="shared" si="6"/>
        <v>88.189625904130381</v>
      </c>
      <c r="W13" s="578">
        <f t="shared" si="6"/>
        <v>41.407746385690999</v>
      </c>
      <c r="X13" s="578">
        <f t="shared" si="6"/>
        <v>-6.3483959736276852</v>
      </c>
      <c r="Y13" s="578">
        <f t="shared" si="6"/>
        <v>-192.28605020031875</v>
      </c>
      <c r="Z13" s="578">
        <f t="shared" ref="Z13:AF13" si="7">IF(ISERROR((Z12-Y12)*10000)=TRUE,"NM",(Z12-Y12)*10000)</f>
        <v>23.790349922631073</v>
      </c>
      <c r="AA13" s="578">
        <f t="shared" si="7"/>
        <v>-8.9788954330560777</v>
      </c>
      <c r="AB13" s="578">
        <f t="shared" si="7"/>
        <v>-26.499674699577149</v>
      </c>
      <c r="AC13" s="578">
        <f t="shared" si="7"/>
        <v>-6.3168054088413861</v>
      </c>
      <c r="AD13" s="578">
        <f t="shared" si="7"/>
        <v>15.94799259223123</v>
      </c>
      <c r="AE13" s="578">
        <f t="shared" si="7"/>
        <v>1.0386722454769348</v>
      </c>
      <c r="AF13" s="578">
        <f t="shared" si="7"/>
        <v>-26.999999999999801</v>
      </c>
      <c r="AG13" s="578">
        <f>IF(ISERROR((AG12-AF12)*10000)=TRUE,"NM",(AG12-AF12)*10000)</f>
        <v>-15.000000000000014</v>
      </c>
      <c r="AH13" s="578">
        <f>IF(ISERROR((AH12-AG12)*10000)=TRUE,"NM",(AH12-AG12)*10000)</f>
        <v>-16.999999999999794</v>
      </c>
      <c r="AI13" s="578"/>
      <c r="AK13" s="334"/>
      <c r="AL13" s="305"/>
      <c r="AM13" s="305"/>
      <c r="AN13" s="335"/>
    </row>
    <row r="14" spans="1:43" ht="6.75" hidden="1" customHeight="1" outlineLevel="1" x14ac:dyDescent="0.2"/>
    <row r="15" spans="1:43" hidden="1" outlineLevel="1" x14ac:dyDescent="0.2">
      <c r="A15" s="579" t="s">
        <v>511</v>
      </c>
      <c r="B15" s="578"/>
      <c r="C15" s="578"/>
      <c r="D15" s="578"/>
      <c r="E15" s="578"/>
      <c r="F15" s="578"/>
      <c r="G15" s="578"/>
      <c r="H15" s="578"/>
      <c r="I15" s="578"/>
      <c r="J15" s="578"/>
      <c r="K15" s="578"/>
      <c r="L15" s="578"/>
      <c r="M15" s="578"/>
      <c r="N15" s="578"/>
      <c r="O15" s="578"/>
      <c r="P15" s="578"/>
      <c r="Q15" s="578"/>
      <c r="R15" s="578"/>
      <c r="S15" s="578"/>
      <c r="T15" s="578"/>
      <c r="U15" s="578"/>
      <c r="V15" s="578"/>
      <c r="W15" s="578"/>
      <c r="X15" s="578"/>
      <c r="Y15" s="578"/>
      <c r="Z15" s="578"/>
      <c r="AA15" s="578"/>
      <c r="AB15" s="578"/>
      <c r="AC15" s="578"/>
      <c r="AD15" s="578"/>
      <c r="AE15" s="578"/>
      <c r="AF15" s="578"/>
      <c r="AG15" s="578"/>
      <c r="AH15" s="578"/>
      <c r="AI15" s="578"/>
      <c r="AK15" s="334"/>
      <c r="AL15" s="305"/>
      <c r="AM15" s="305"/>
      <c r="AN15" s="335"/>
    </row>
    <row r="16" spans="1:43" hidden="1" outlineLevel="1" x14ac:dyDescent="0.2">
      <c r="A16" s="573" t="s">
        <v>512</v>
      </c>
      <c r="B16" s="578"/>
      <c r="C16" s="578"/>
      <c r="D16" s="578"/>
      <c r="E16" s="578"/>
      <c r="F16" s="578"/>
      <c r="G16" s="578"/>
      <c r="H16" s="578"/>
      <c r="I16" s="578"/>
      <c r="J16" s="578"/>
      <c r="K16" s="578"/>
      <c r="L16" s="578"/>
      <c r="M16" s="578"/>
      <c r="N16" s="578"/>
      <c r="O16" s="578"/>
      <c r="P16" s="578"/>
      <c r="Q16" s="578"/>
      <c r="R16" s="578"/>
      <c r="S16" s="578"/>
      <c r="T16" s="578"/>
      <c r="U16" s="578"/>
      <c r="V16" s="578"/>
      <c r="W16" s="578"/>
      <c r="X16" s="580">
        <v>0.38900000000000001</v>
      </c>
      <c r="Y16" s="580">
        <v>0.372</v>
      </c>
      <c r="Z16" s="578"/>
      <c r="AA16" s="578"/>
      <c r="AB16" s="578"/>
      <c r="AC16" s="578"/>
      <c r="AD16" s="578"/>
      <c r="AE16" s="578"/>
      <c r="AF16" s="578"/>
      <c r="AG16" s="578"/>
      <c r="AH16" s="578"/>
      <c r="AI16" s="578"/>
      <c r="AK16" s="334"/>
      <c r="AL16" s="305"/>
      <c r="AM16" s="305"/>
      <c r="AN16" s="335"/>
    </row>
    <row r="17" spans="1:40" hidden="1" outlineLevel="1" x14ac:dyDescent="0.2">
      <c r="A17" s="573" t="s">
        <v>248</v>
      </c>
      <c r="B17" s="578"/>
      <c r="C17" s="578"/>
      <c r="D17" s="578"/>
      <c r="E17" s="578"/>
      <c r="F17" s="578"/>
      <c r="G17" s="578"/>
      <c r="H17" s="578"/>
      <c r="I17" s="578"/>
      <c r="J17" s="578"/>
      <c r="K17" s="578"/>
      <c r="L17" s="578"/>
      <c r="M17" s="578"/>
      <c r="N17" s="578"/>
      <c r="O17" s="578"/>
      <c r="P17" s="578"/>
      <c r="Q17" s="578"/>
      <c r="R17" s="578"/>
      <c r="S17" s="578"/>
      <c r="T17" s="578"/>
      <c r="U17" s="578"/>
      <c r="V17" s="578"/>
      <c r="W17" s="578"/>
      <c r="X17" s="580"/>
      <c r="Y17" s="578">
        <f>IF(ISERROR((Y16-X16)*10000)=TRUE,"NM",(Y16-X16)*10000)</f>
        <v>-170.00000000000014</v>
      </c>
      <c r="Z17" s="578"/>
      <c r="AA17" s="578"/>
      <c r="AB17" s="578"/>
      <c r="AC17" s="578"/>
      <c r="AD17" s="578"/>
      <c r="AE17" s="578"/>
      <c r="AF17" s="578"/>
      <c r="AG17" s="578"/>
      <c r="AH17" s="578"/>
      <c r="AI17" s="578"/>
      <c r="AK17" s="334"/>
      <c r="AL17" s="305"/>
      <c r="AM17" s="305"/>
      <c r="AN17" s="335"/>
    </row>
    <row r="18" spans="1:40" hidden="1" outlineLevel="1" x14ac:dyDescent="0.2">
      <c r="A18" s="573" t="s">
        <v>513</v>
      </c>
      <c r="B18" s="578"/>
      <c r="C18" s="578"/>
      <c r="D18" s="578"/>
      <c r="E18" s="578"/>
      <c r="F18" s="578"/>
      <c r="G18" s="578"/>
      <c r="H18" s="578"/>
      <c r="I18" s="578"/>
      <c r="J18" s="578"/>
      <c r="K18" s="578"/>
      <c r="L18" s="578"/>
      <c r="M18" s="578"/>
      <c r="N18" s="578"/>
      <c r="O18" s="578"/>
      <c r="P18" s="578"/>
      <c r="Q18" s="578"/>
      <c r="R18" s="578"/>
      <c r="S18" s="578"/>
      <c r="T18" s="578"/>
      <c r="U18" s="578"/>
      <c r="V18" s="578"/>
      <c r="W18" s="578"/>
      <c r="X18" s="580">
        <v>0.36399999999999999</v>
      </c>
      <c r="Y18" s="580">
        <v>0.35399999999999998</v>
      </c>
      <c r="Z18" s="578"/>
      <c r="AA18" s="578"/>
      <c r="AB18" s="578"/>
      <c r="AC18" s="578"/>
      <c r="AD18" s="578"/>
      <c r="AE18" s="578"/>
      <c r="AF18" s="578"/>
      <c r="AG18" s="578"/>
      <c r="AH18" s="578"/>
      <c r="AI18" s="578"/>
      <c r="AK18" s="334"/>
      <c r="AL18" s="305"/>
      <c r="AM18" s="305"/>
      <c r="AN18" s="335"/>
    </row>
    <row r="19" spans="1:40" hidden="1" outlineLevel="1" x14ac:dyDescent="0.2">
      <c r="A19" s="573" t="s">
        <v>248</v>
      </c>
      <c r="B19" s="578"/>
      <c r="C19" s="578"/>
      <c r="D19" s="578"/>
      <c r="E19" s="578"/>
      <c r="F19" s="578"/>
      <c r="G19" s="578"/>
      <c r="H19" s="578"/>
      <c r="I19" s="578"/>
      <c r="J19" s="578"/>
      <c r="K19" s="578"/>
      <c r="L19" s="578"/>
      <c r="M19" s="578"/>
      <c r="N19" s="578"/>
      <c r="O19" s="578"/>
      <c r="P19" s="578"/>
      <c r="Q19" s="578"/>
      <c r="R19" s="578"/>
      <c r="S19" s="578"/>
      <c r="T19" s="578"/>
      <c r="U19" s="578"/>
      <c r="V19" s="578"/>
      <c r="W19" s="578"/>
      <c r="X19" s="580"/>
      <c r="Y19" s="578">
        <f>IF(ISERROR((Y18-X18)*10000)=TRUE,"NM",(Y18-X18)*10000)</f>
        <v>-100.00000000000009</v>
      </c>
      <c r="Z19" s="578"/>
      <c r="AA19" s="578"/>
      <c r="AB19" s="578"/>
      <c r="AC19" s="578"/>
      <c r="AD19" s="578"/>
      <c r="AE19" s="578"/>
      <c r="AF19" s="578"/>
      <c r="AG19" s="578"/>
      <c r="AH19" s="578"/>
      <c r="AI19" s="578"/>
      <c r="AK19" s="334"/>
      <c r="AL19" s="305"/>
      <c r="AM19" s="305"/>
      <c r="AN19" s="335"/>
    </row>
    <row r="20" spans="1:40" hidden="1" outlineLevel="1" x14ac:dyDescent="0.2">
      <c r="A20" s="573" t="s">
        <v>514</v>
      </c>
      <c r="B20" s="578"/>
      <c r="C20" s="578"/>
      <c r="D20" s="578"/>
      <c r="E20" s="578"/>
      <c r="F20" s="578"/>
      <c r="G20" s="578"/>
      <c r="H20" s="578"/>
      <c r="I20" s="578"/>
      <c r="J20" s="578"/>
      <c r="K20" s="578"/>
      <c r="L20" s="578"/>
      <c r="M20" s="578"/>
      <c r="N20" s="578"/>
      <c r="O20" s="578"/>
      <c r="P20" s="578"/>
      <c r="Q20" s="578"/>
      <c r="R20" s="578"/>
      <c r="S20" s="578"/>
      <c r="T20" s="578"/>
      <c r="U20" s="578"/>
      <c r="V20" s="578"/>
      <c r="W20" s="578"/>
      <c r="X20" s="580">
        <v>-0.1125</v>
      </c>
      <c r="Y20" s="580">
        <v>-0.10340000000000001</v>
      </c>
      <c r="Z20" s="578"/>
      <c r="AA20" s="578"/>
      <c r="AB20" s="578"/>
      <c r="AC20" s="578"/>
      <c r="AD20" s="578"/>
      <c r="AE20" s="578"/>
      <c r="AF20" s="578"/>
      <c r="AG20" s="578"/>
      <c r="AH20" s="578"/>
      <c r="AI20" s="578"/>
      <c r="AK20" s="334"/>
      <c r="AL20" s="305"/>
      <c r="AM20" s="305"/>
      <c r="AN20" s="335"/>
    </row>
    <row r="21" spans="1:40" hidden="1" outlineLevel="1" x14ac:dyDescent="0.2">
      <c r="A21" s="573" t="s">
        <v>248</v>
      </c>
      <c r="B21" s="578"/>
      <c r="C21" s="578"/>
      <c r="D21" s="578"/>
      <c r="E21" s="578"/>
      <c r="F21" s="578"/>
      <c r="G21" s="578"/>
      <c r="H21" s="578"/>
      <c r="I21" s="578"/>
      <c r="J21" s="578"/>
      <c r="K21" s="578"/>
      <c r="L21" s="578"/>
      <c r="M21" s="578"/>
      <c r="N21" s="578"/>
      <c r="O21" s="578"/>
      <c r="P21" s="578"/>
      <c r="Q21" s="578"/>
      <c r="R21" s="578"/>
      <c r="S21" s="578"/>
      <c r="T21" s="578"/>
      <c r="U21" s="578"/>
      <c r="V21" s="578"/>
      <c r="W21" s="578"/>
      <c r="X21" s="580"/>
      <c r="Y21" s="578">
        <f>IF(ISERROR((Y20-X20)*10000)=TRUE,"NM",(Y20-X20)*10000)</f>
        <v>90.999999999999972</v>
      </c>
      <c r="Z21" s="578"/>
      <c r="AA21" s="578"/>
      <c r="AB21" s="578"/>
      <c r="AC21" s="578"/>
      <c r="AD21" s="578"/>
      <c r="AE21" s="578"/>
      <c r="AF21" s="578"/>
      <c r="AG21" s="578"/>
      <c r="AH21" s="578"/>
      <c r="AI21" s="578"/>
      <c r="AK21" s="334"/>
      <c r="AL21" s="305"/>
      <c r="AM21" s="305"/>
      <c r="AN21" s="335"/>
    </row>
    <row r="22" spans="1:40" hidden="1" outlineLevel="1" x14ac:dyDescent="0.2">
      <c r="A22" s="573" t="s">
        <v>515</v>
      </c>
      <c r="B22" s="578"/>
      <c r="C22" s="578"/>
      <c r="D22" s="578"/>
      <c r="E22" s="578"/>
      <c r="F22" s="578"/>
      <c r="G22" s="578"/>
      <c r="H22" s="578"/>
      <c r="I22" s="578"/>
      <c r="J22" s="578"/>
      <c r="K22" s="578"/>
      <c r="L22" s="578"/>
      <c r="M22" s="578"/>
      <c r="N22" s="578"/>
      <c r="O22" s="578"/>
      <c r="P22" s="578"/>
      <c r="Q22" s="578"/>
      <c r="R22" s="578"/>
      <c r="S22" s="578"/>
      <c r="T22" s="578"/>
      <c r="U22" s="578"/>
      <c r="V22" s="578"/>
      <c r="W22" s="578"/>
      <c r="X22" s="578">
        <f>X20*yrSales!X9/X7*10000</f>
        <v>-59.169591576260373</v>
      </c>
      <c r="Y22" s="578">
        <f>Y20*yrSales!Y9/Y7*10000</f>
        <v>-76.209232365145226</v>
      </c>
      <c r="Z22" s="578"/>
      <c r="AA22" s="578"/>
      <c r="AB22" s="578"/>
      <c r="AC22" s="578"/>
      <c r="AD22" s="578"/>
      <c r="AE22" s="578"/>
      <c r="AF22" s="578"/>
      <c r="AG22" s="578"/>
      <c r="AH22" s="578"/>
      <c r="AI22" s="578"/>
      <c r="AK22" s="334"/>
      <c r="AL22" s="305"/>
      <c r="AM22" s="305"/>
      <c r="AN22" s="335"/>
    </row>
    <row r="23" spans="1:40" collapsed="1" x14ac:dyDescent="0.2">
      <c r="B23" s="581"/>
      <c r="C23" s="581"/>
      <c r="D23" s="581"/>
      <c r="E23" s="581"/>
      <c r="F23" s="581"/>
      <c r="G23" s="581"/>
      <c r="H23" s="581"/>
      <c r="I23" s="581"/>
      <c r="J23" s="581"/>
      <c r="K23" s="581"/>
      <c r="L23" s="581"/>
      <c r="M23" s="581"/>
      <c r="N23" s="581"/>
      <c r="O23" s="581"/>
      <c r="P23" s="581"/>
      <c r="Q23" s="581"/>
      <c r="R23" s="581"/>
      <c r="S23" s="581"/>
      <c r="T23" s="581"/>
      <c r="U23" s="581"/>
      <c r="V23" s="581"/>
      <c r="W23" s="581"/>
      <c r="X23" s="581"/>
      <c r="Y23" s="581"/>
      <c r="Z23" s="581"/>
      <c r="AA23" s="581"/>
      <c r="AB23" s="581"/>
      <c r="AC23" s="311"/>
      <c r="AD23" s="311"/>
      <c r="AE23" s="311"/>
      <c r="AF23" s="311"/>
      <c r="AG23" s="311"/>
      <c r="AH23" s="311"/>
      <c r="AI23" s="311"/>
      <c r="AK23" s="334"/>
      <c r="AL23" s="305"/>
      <c r="AM23" s="305"/>
      <c r="AN23" s="335"/>
    </row>
    <row r="24" spans="1:40" x14ac:dyDescent="0.2">
      <c r="A24" s="303" t="s">
        <v>29</v>
      </c>
      <c r="B24" s="576">
        <v>188.48599999999999</v>
      </c>
      <c r="C24" s="577">
        <f>INDEX('qtrP&amp;L'!34:34,MATCH(C5,'qtrP&amp;L'!6:6,0))</f>
        <v>193.738</v>
      </c>
      <c r="D24" s="577">
        <f>INDEX('qtrP&amp;L'!34:34,MATCH(D5,'qtrP&amp;L'!6:6,0))</f>
        <v>229.56700000000001</v>
      </c>
      <c r="E24" s="577">
        <f>INDEX('qtrP&amp;L'!34:34,MATCH(E5,'qtrP&amp;L'!6:6,0))</f>
        <v>269.15800000000002</v>
      </c>
      <c r="F24" s="577">
        <f>INDEX('qtrP&amp;L'!34:34,MATCH(F5,'qtrP&amp;L'!6:6,0))</f>
        <v>305.54699999999997</v>
      </c>
      <c r="G24" s="577">
        <f>INDEX('qtrP&amp;L'!34:34,MATCH(G5,'qtrP&amp;L'!6:6,0))</f>
        <v>356.89300000000003</v>
      </c>
      <c r="H24" s="577">
        <f>INDEX('qtrP&amp;L'!34:34,MATCH(H5,'qtrP&amp;L'!6:6,0))</f>
        <v>436.44200000000001</v>
      </c>
      <c r="I24" s="577">
        <f>INDEX('qtrP&amp;L'!34:34,MATCH(I5,'qtrP&amp;L'!6:6,0))</f>
        <v>536.226</v>
      </c>
      <c r="J24" s="577">
        <f>INDEX('qtrP&amp;L'!34:34,MATCH(J5,'qtrP&amp;L'!6:6,0))</f>
        <v>678.79300000000001</v>
      </c>
      <c r="K24" s="577">
        <f>INDEX('qtrP&amp;L'!34:34,MATCH(K5,'qtrP&amp;L'!6:6,0))</f>
        <v>816.30100000000016</v>
      </c>
      <c r="L24" s="577">
        <f>INDEX('qtrP&amp;L'!34:34,MATCH(L5,'qtrP&amp;L'!6:6,0))</f>
        <v>975.26900000000001</v>
      </c>
      <c r="M24" s="577">
        <f>INDEX('qtrP&amp;L'!34:34,MATCH(M5,'qtrP&amp;L'!6:6,0))</f>
        <v>1295.953</v>
      </c>
      <c r="N24" s="577">
        <f>INDEX('qtrP&amp;L'!34:34,MATCH(N5,'qtrP&amp;L'!6:6,0))</f>
        <v>1532.4750000000001</v>
      </c>
      <c r="O24" s="577">
        <f>INDEX('qtrP&amp;L'!34:34,MATCH(O5,'qtrP&amp;L'!6:6,0))</f>
        <v>1826.7070000000001</v>
      </c>
      <c r="P24" s="577">
        <f>INDEX('qtrP&amp;L'!34:34,MATCH(P5,'qtrP&amp;L'!6:6,0))</f>
        <v>2148.701</v>
      </c>
      <c r="Q24" s="577">
        <f>INDEX('qtrP&amp;L'!34:34,MATCH(Q5,'qtrP&amp;L'!6:6,0))</f>
        <v>2632.0819999999999</v>
      </c>
      <c r="R24" s="577">
        <f>INDEX('qtrP&amp;L'!34:34,MATCH(R5,'qtrP&amp;L'!6:6,0))</f>
        <v>3008</v>
      </c>
      <c r="S24" s="577">
        <f>INDEX('qtrP&amp;L'!34:34,MATCH(S5,'qtrP&amp;L'!6:6,0))</f>
        <v>3465.1119999999996</v>
      </c>
      <c r="T24" s="577">
        <f>INDEX('qtrP&amp;L'!34:34,MATCH(T5,'qtrP&amp;L'!6:6,0))</f>
        <v>3757.4</v>
      </c>
      <c r="U24" s="577">
        <f>INDEX('qtrP&amp;L'!34:34,MATCH(U5,'qtrP&amp;L'!6:6,0))</f>
        <v>3977.3209999999999</v>
      </c>
      <c r="V24" s="577">
        <f>INDEX('qtrP&amp;L'!34:34,MATCH(V5,'qtrP&amp;L'!6:6,0))</f>
        <v>3951</v>
      </c>
      <c r="W24" s="577">
        <f>INDEX('qtrP&amp;L'!34:34,MATCH(W5,'qtrP&amp;L'!6:6,0))</f>
        <v>4188</v>
      </c>
      <c r="X24" s="577">
        <f>INDEX('qtrP&amp;L'!34:34,MATCH(X5,'qtrP&amp;L'!6:6,0))</f>
        <v>4243</v>
      </c>
      <c r="Y24" s="577">
        <f>INDEX('qtrP&amp;L'!34:34,MATCH(Y5,'qtrP&amp;L'!6:6,0))</f>
        <v>4266</v>
      </c>
      <c r="Z24" s="577">
        <f>INDEX('qtrP&amp;L'!34:34,MATCH(Z5,'qtrP&amp;L'!6:6,0))</f>
        <v>4312</v>
      </c>
      <c r="AA24" s="577">
        <f>INDEX('qtrP&amp;L'!34:34,MATCH(AA5,'qtrP&amp;L'!6:6,0))</f>
        <v>4350</v>
      </c>
      <c r="AB24" s="577">
        <f>INDEX('qtrP&amp;L'!34:34,MATCH(AB5,'qtrP&amp;L'!6:6,0))</f>
        <v>4452</v>
      </c>
      <c r="AC24" s="577">
        <f>INDEX('qtrP&amp;L'!34:34,MATCH(AC5,'qtrP&amp;L'!6:6,0))</f>
        <v>4434</v>
      </c>
      <c r="AD24" s="577">
        <f>INDEX('qtrP&amp;L'!34:34,MATCH(AD5,'qtrP&amp;L'!6:6,0))</f>
        <v>4512</v>
      </c>
      <c r="AE24" s="577">
        <f>INDEX('qtrP&amp;L'!34:34,MATCH(AE5,'qtrP&amp;L'!6:6,0))</f>
        <v>4511.8289999999997</v>
      </c>
      <c r="AF24" s="577">
        <f>AF25*AF7</f>
        <v>4520.4356928724555</v>
      </c>
      <c r="AG24" s="577">
        <f>AG25*AG7</f>
        <v>4485.4495198195109</v>
      </c>
      <c r="AH24" s="577">
        <f>AH25*AH7</f>
        <v>4454.0878402500421</v>
      </c>
      <c r="AI24" s="577">
        <f>AI25*AI7</f>
        <v>4399.659964444083</v>
      </c>
      <c r="AK24" s="571">
        <f>RATE(5,,-X24,AC24)*100</f>
        <v>0.88451986080007294</v>
      </c>
      <c r="AL24" s="305" t="s">
        <v>102</v>
      </c>
      <c r="AM24" s="572">
        <f>RATE(6,,-AC24,AI24)*100</f>
        <v>-0.12949698127427683</v>
      </c>
      <c r="AN24" s="335" t="s">
        <v>102</v>
      </c>
    </row>
    <row r="25" spans="1:40" x14ac:dyDescent="0.2">
      <c r="A25" s="573" t="s">
        <v>250</v>
      </c>
      <c r="B25" s="575">
        <f t="shared" ref="B25:X25" si="8">IF(B24=0,"NA",B24/B$7)</f>
        <v>0.25821344124762657</v>
      </c>
      <c r="C25" s="575">
        <f t="shared" si="8"/>
        <v>0.24530162890370283</v>
      </c>
      <c r="D25" s="575">
        <f t="shared" si="8"/>
        <v>0.24673321682756069</v>
      </c>
      <c r="E25" s="575">
        <f t="shared" si="8"/>
        <v>0.24539046146440374</v>
      </c>
      <c r="F25" s="575">
        <f t="shared" si="8"/>
        <v>0.23402803308823528</v>
      </c>
      <c r="G25" s="575">
        <f t="shared" si="8"/>
        <v>0.22965496383619471</v>
      </c>
      <c r="H25" s="575">
        <f t="shared" si="8"/>
        <v>0.22664435061269614</v>
      </c>
      <c r="I25" s="575">
        <f t="shared" si="8"/>
        <v>0.22450324471425581</v>
      </c>
      <c r="J25" s="575">
        <f t="shared" si="8"/>
        <v>0.22182168855495471</v>
      </c>
      <c r="K25" s="575">
        <f t="shared" si="8"/>
        <v>0.22171849960616025</v>
      </c>
      <c r="L25" s="575">
        <f t="shared" si="8"/>
        <v>0.2140165197126167</v>
      </c>
      <c r="M25" s="575">
        <f t="shared" si="8"/>
        <v>0.21064871103020055</v>
      </c>
      <c r="N25" s="575">
        <f t="shared" si="8"/>
        <v>0.20463979736790872</v>
      </c>
      <c r="O25" s="575">
        <f t="shared" si="8"/>
        <v>0.20029242779763601</v>
      </c>
      <c r="P25" s="575">
        <f t="shared" si="8"/>
        <v>0.20897695000972574</v>
      </c>
      <c r="Q25" s="575">
        <f t="shared" si="8"/>
        <v>0.22495081490850971</v>
      </c>
      <c r="R25" s="575">
        <f t="shared" si="8"/>
        <v>0.22444076345674593</v>
      </c>
      <c r="S25" s="575">
        <f t="shared" si="8"/>
        <v>0.22233205505623532</v>
      </c>
      <c r="T25" s="575">
        <f t="shared" si="8"/>
        <v>0.22808476541396286</v>
      </c>
      <c r="U25" s="575">
        <f t="shared" si="8"/>
        <v>0.24269126244066075</v>
      </c>
      <c r="V25" s="575">
        <f t="shared" si="8"/>
        <v>0.23000349283967866</v>
      </c>
      <c r="W25" s="575">
        <f t="shared" si="8"/>
        <v>0.22772008047414496</v>
      </c>
      <c r="X25" s="575">
        <f t="shared" si="8"/>
        <v>0.22564348011061477</v>
      </c>
      <c r="Y25" s="575">
        <f t="shared" ref="Y25:AD25" si="9">IF(Y24=0,"NA",Y24/Y$7)</f>
        <v>0.22126556016597509</v>
      </c>
      <c r="Z25" s="575">
        <f t="shared" si="9"/>
        <v>0.22657768903368189</v>
      </c>
      <c r="AA25" s="575">
        <f t="shared" si="9"/>
        <v>0.22867055669452768</v>
      </c>
      <c r="AB25" s="575">
        <f t="shared" si="9"/>
        <v>0.23182670277025619</v>
      </c>
      <c r="AC25" s="575">
        <f t="shared" si="9"/>
        <v>0.23728994969495878</v>
      </c>
      <c r="AD25" s="575">
        <f t="shared" si="9"/>
        <v>0.23629222309505107</v>
      </c>
      <c r="AE25" s="575">
        <f>IF(AE24=0,"NA",AE24/AE$7)</f>
        <v>0.24018203805504967</v>
      </c>
      <c r="AF25" s="986">
        <v>0.2442</v>
      </c>
      <c r="AG25" s="986">
        <v>0.246</v>
      </c>
      <c r="AH25" s="986">
        <v>0.248</v>
      </c>
      <c r="AI25" s="986">
        <v>0.2487</v>
      </c>
      <c r="AK25" s="334"/>
      <c r="AL25" s="305"/>
      <c r="AM25" s="305"/>
      <c r="AN25" s="335"/>
    </row>
    <row r="26" spans="1:40" hidden="1" outlineLevel="1" x14ac:dyDescent="0.2">
      <c r="A26" s="573" t="s">
        <v>248</v>
      </c>
      <c r="B26" s="578"/>
      <c r="C26" s="578">
        <f t="shared" ref="C26:O26" si="10">IF(ISERROR((C25-B25)*10000)=TRUE,"NM",(C25-B25)*10000)</f>
        <v>-129.11812343923745</v>
      </c>
      <c r="D26" s="578">
        <f t="shared" si="10"/>
        <v>14.315879238578633</v>
      </c>
      <c r="E26" s="578">
        <f t="shared" si="10"/>
        <v>-13.4275536315695</v>
      </c>
      <c r="F26" s="578">
        <f t="shared" si="10"/>
        <v>-113.62428376168465</v>
      </c>
      <c r="G26" s="578">
        <f t="shared" si="10"/>
        <v>-43.730692520405626</v>
      </c>
      <c r="H26" s="578">
        <f t="shared" si="10"/>
        <v>-30.106132234985761</v>
      </c>
      <c r="I26" s="578">
        <f t="shared" si="10"/>
        <v>-21.411058984403265</v>
      </c>
      <c r="J26" s="578">
        <f t="shared" si="10"/>
        <v>-26.815561593011019</v>
      </c>
      <c r="K26" s="578">
        <f t="shared" si="10"/>
        <v>-1.0318894879446372</v>
      </c>
      <c r="L26" s="578">
        <f t="shared" si="10"/>
        <v>-77.019798935435418</v>
      </c>
      <c r="M26" s="578">
        <f t="shared" si="10"/>
        <v>-33.678086824161511</v>
      </c>
      <c r="N26" s="578">
        <f t="shared" si="10"/>
        <v>-60.089136622918375</v>
      </c>
      <c r="O26" s="578">
        <f t="shared" si="10"/>
        <v>-43.473695702727078</v>
      </c>
      <c r="P26" s="578" t="str">
        <f>IF(ISERROR((P25-#REF!)*10000)=TRUE,"NM",(P25-#REF!)*10000)</f>
        <v>NM</v>
      </c>
      <c r="Q26" s="578">
        <f t="shared" ref="Q26:Z26" si="11">IF(ISERROR((Q25-P25)*10000)=TRUE,"NM",(Q25-P25)*10000)</f>
        <v>159.7386489878397</v>
      </c>
      <c r="R26" s="578">
        <f t="shared" si="11"/>
        <v>-5.100514517637766</v>
      </c>
      <c r="S26" s="578">
        <f t="shared" si="11"/>
        <v>-21.087084005106117</v>
      </c>
      <c r="T26" s="578">
        <f t="shared" si="11"/>
        <v>57.527103577275362</v>
      </c>
      <c r="U26" s="578">
        <f t="shared" si="11"/>
        <v>146.06497026697889</v>
      </c>
      <c r="V26" s="578">
        <f t="shared" si="11"/>
        <v>-126.87769600982085</v>
      </c>
      <c r="W26" s="578">
        <f t="shared" si="11"/>
        <v>-22.834123655336992</v>
      </c>
      <c r="X26" s="578">
        <f t="shared" si="11"/>
        <v>-20.7660036353019</v>
      </c>
      <c r="Y26" s="578">
        <f t="shared" si="11"/>
        <v>-43.779199446396802</v>
      </c>
      <c r="Z26" s="578">
        <f t="shared" si="11"/>
        <v>53.121288677067945</v>
      </c>
      <c r="AA26" s="578">
        <f t="shared" ref="AA26:AF26" si="12">IF(ISERROR((AA25-Z25)*10000)=TRUE,"NM",(AA25-Z25)*10000)</f>
        <v>20.928676608457931</v>
      </c>
      <c r="AB26" s="578">
        <f t="shared" si="12"/>
        <v>31.561460757285055</v>
      </c>
      <c r="AC26" s="578">
        <f t="shared" si="12"/>
        <v>54.632469247025973</v>
      </c>
      <c r="AD26" s="578">
        <f t="shared" si="12"/>
        <v>-9.9772659990771118</v>
      </c>
      <c r="AE26" s="578">
        <f t="shared" si="12"/>
        <v>38.898149599985999</v>
      </c>
      <c r="AF26" s="578">
        <f t="shared" si="12"/>
        <v>40.179619449503271</v>
      </c>
      <c r="AG26" s="578">
        <f>IF(ISERROR((AG25-AF25)*10000)=TRUE,"NM",(AG25-AF25)*10000)</f>
        <v>17.999999999999961</v>
      </c>
      <c r="AH26" s="578">
        <f>IF(ISERROR((AH25-AG25)*10000)=TRUE,"NM",(AH25-AG25)*10000)</f>
        <v>20.000000000000018</v>
      </c>
      <c r="AI26" s="578"/>
      <c r="AK26" s="334"/>
      <c r="AL26" s="305"/>
      <c r="AM26" s="305"/>
      <c r="AN26" s="335"/>
    </row>
    <row r="27" spans="1:40" hidden="1" outlineLevel="1" x14ac:dyDescent="0.2">
      <c r="A27" s="582" t="s">
        <v>511</v>
      </c>
      <c r="B27" s="578"/>
      <c r="C27" s="578"/>
      <c r="D27" s="578"/>
      <c r="E27" s="578"/>
      <c r="F27" s="578"/>
      <c r="G27" s="578"/>
      <c r="H27" s="578"/>
      <c r="I27" s="578"/>
      <c r="J27" s="578"/>
      <c r="K27" s="578"/>
      <c r="L27" s="578"/>
      <c r="M27" s="578"/>
      <c r="N27" s="578"/>
      <c r="O27" s="578"/>
      <c r="P27" s="578"/>
      <c r="Q27" s="578"/>
      <c r="R27" s="578"/>
      <c r="S27" s="578"/>
      <c r="T27" s="578"/>
      <c r="U27" s="578"/>
      <c r="V27" s="578"/>
      <c r="W27" s="578"/>
      <c r="X27" s="583"/>
      <c r="Y27" s="583"/>
      <c r="Z27" s="583"/>
      <c r="AA27" s="583"/>
      <c r="AB27" s="583"/>
      <c r="AC27" s="583"/>
      <c r="AD27" s="583"/>
      <c r="AE27" s="583"/>
      <c r="AF27" s="583"/>
      <c r="AG27" s="583"/>
      <c r="AH27" s="583"/>
      <c r="AI27" s="583"/>
      <c r="AK27" s="334"/>
      <c r="AL27" s="305"/>
      <c r="AM27" s="305"/>
      <c r="AN27" s="335"/>
    </row>
    <row r="28" spans="1:40" hidden="1" outlineLevel="1" x14ac:dyDescent="0.2">
      <c r="A28" s="573" t="s">
        <v>516</v>
      </c>
      <c r="B28" s="578"/>
      <c r="C28" s="578"/>
      <c r="D28" s="578"/>
      <c r="E28" s="578"/>
      <c r="F28" s="578"/>
      <c r="G28" s="578"/>
      <c r="H28" s="578"/>
      <c r="I28" s="578"/>
      <c r="J28" s="578"/>
      <c r="K28" s="578"/>
      <c r="L28" s="578"/>
      <c r="M28" s="578"/>
      <c r="N28" s="578"/>
      <c r="O28" s="578"/>
      <c r="P28" s="578"/>
      <c r="Q28" s="578"/>
      <c r="R28" s="578"/>
      <c r="S28" s="578"/>
      <c r="T28" s="578"/>
      <c r="U28" s="578"/>
      <c r="V28" s="578"/>
      <c r="W28" s="584">
        <v>187</v>
      </c>
      <c r="X28" s="584">
        <v>202</v>
      </c>
      <c r="Y28" s="584">
        <v>245</v>
      </c>
      <c r="Z28" s="578"/>
      <c r="AA28" s="578"/>
      <c r="AB28" s="578"/>
      <c r="AC28" s="578"/>
      <c r="AD28" s="578"/>
      <c r="AE28" s="578"/>
      <c r="AF28" s="578"/>
      <c r="AG28" s="578"/>
      <c r="AH28" s="578"/>
      <c r="AI28" s="578"/>
      <c r="AK28" s="334"/>
      <c r="AL28" s="305"/>
      <c r="AM28" s="305"/>
      <c r="AN28" s="335"/>
    </row>
    <row r="29" spans="1:40" hidden="1" outlineLevel="1" x14ac:dyDescent="0.2">
      <c r="A29" s="573" t="s">
        <v>517</v>
      </c>
      <c r="B29" s="578"/>
      <c r="C29" s="578"/>
      <c r="D29" s="578"/>
      <c r="E29" s="578"/>
      <c r="F29" s="578"/>
      <c r="G29" s="578"/>
      <c r="H29" s="578"/>
      <c r="I29" s="578"/>
      <c r="J29" s="578"/>
      <c r="K29" s="578"/>
      <c r="L29" s="578"/>
      <c r="M29" s="578"/>
      <c r="N29" s="578"/>
      <c r="O29" s="578"/>
      <c r="P29" s="578"/>
      <c r="Q29" s="578"/>
      <c r="R29" s="578"/>
      <c r="S29" s="578"/>
      <c r="T29" s="578"/>
      <c r="U29" s="578"/>
      <c r="V29" s="578"/>
      <c r="W29" s="575">
        <f>W28/W7</f>
        <v>1.0168016964819749E-2</v>
      </c>
      <c r="X29" s="575">
        <f>X28/X7</f>
        <v>1.074239523505637E-2</v>
      </c>
      <c r="Y29" s="575">
        <f>Y28/Y7</f>
        <v>1.270746887966805E-2</v>
      </c>
      <c r="Z29" s="578"/>
      <c r="AA29" s="578"/>
      <c r="AB29" s="578"/>
      <c r="AC29" s="578"/>
      <c r="AD29" s="578"/>
      <c r="AE29" s="578"/>
      <c r="AF29" s="578"/>
      <c r="AG29" s="578"/>
      <c r="AH29" s="578"/>
      <c r="AI29" s="578"/>
      <c r="AK29" s="334"/>
      <c r="AL29" s="305"/>
      <c r="AM29" s="305"/>
      <c r="AN29" s="335"/>
    </row>
    <row r="30" spans="1:40" hidden="1" outlineLevel="1" x14ac:dyDescent="0.2">
      <c r="A30" s="573" t="s">
        <v>518</v>
      </c>
      <c r="B30" s="578"/>
      <c r="C30" s="578"/>
      <c r="D30" s="578"/>
      <c r="E30" s="578"/>
      <c r="F30" s="578"/>
      <c r="G30" s="578"/>
      <c r="H30" s="578"/>
      <c r="I30" s="578"/>
      <c r="J30" s="578"/>
      <c r="K30" s="578"/>
      <c r="L30" s="578"/>
      <c r="M30" s="578"/>
      <c r="N30" s="578"/>
      <c r="O30" s="578"/>
      <c r="P30" s="578"/>
      <c r="Q30" s="578"/>
      <c r="R30" s="578"/>
      <c r="S30" s="578"/>
      <c r="T30" s="578"/>
      <c r="U30" s="578"/>
      <c r="V30" s="578"/>
      <c r="W30" s="584">
        <v>180</v>
      </c>
      <c r="X30" s="584">
        <v>347</v>
      </c>
      <c r="Y30" s="584">
        <v>388</v>
      </c>
      <c r="Z30" s="578"/>
      <c r="AA30" s="578"/>
      <c r="AB30" s="578"/>
      <c r="AC30" s="578"/>
      <c r="AD30" s="578"/>
      <c r="AE30" s="578"/>
      <c r="AF30" s="578"/>
      <c r="AG30" s="578"/>
      <c r="AH30" s="578"/>
      <c r="AI30" s="578"/>
      <c r="AK30" s="334"/>
      <c r="AL30" s="305"/>
      <c r="AM30" s="305"/>
      <c r="AN30" s="335"/>
    </row>
    <row r="31" spans="1:40" hidden="1" outlineLevel="1" x14ac:dyDescent="0.2">
      <c r="A31" s="573" t="s">
        <v>521</v>
      </c>
      <c r="B31" s="578"/>
      <c r="C31" s="578"/>
      <c r="D31" s="578"/>
      <c r="E31" s="578"/>
      <c r="F31" s="578"/>
      <c r="G31" s="578"/>
      <c r="H31" s="578"/>
      <c r="I31" s="578"/>
      <c r="J31" s="578"/>
      <c r="K31" s="578"/>
      <c r="L31" s="578"/>
      <c r="M31" s="578"/>
      <c r="N31" s="578"/>
      <c r="O31" s="578"/>
      <c r="P31" s="578"/>
      <c r="Q31" s="578"/>
      <c r="R31" s="578"/>
      <c r="S31" s="578"/>
      <c r="T31" s="578"/>
      <c r="U31" s="578"/>
      <c r="V31" s="578"/>
      <c r="W31" s="575">
        <f>W30/W$7</f>
        <v>9.7873960089174053E-3</v>
      </c>
      <c r="X31" s="575">
        <f>X30/X7</f>
        <v>1.845352052754733E-2</v>
      </c>
      <c r="Y31" s="575">
        <f>Y30/Y7</f>
        <v>2.0124481327800831E-2</v>
      </c>
      <c r="Z31" s="578"/>
      <c r="AA31" s="578"/>
      <c r="AB31" s="578"/>
      <c r="AC31" s="578"/>
      <c r="AD31" s="578"/>
      <c r="AE31" s="578"/>
      <c r="AF31" s="578"/>
      <c r="AG31" s="578"/>
      <c r="AH31" s="578"/>
      <c r="AI31" s="578"/>
      <c r="AK31" s="334"/>
      <c r="AL31" s="305"/>
      <c r="AM31" s="305"/>
      <c r="AN31" s="335"/>
    </row>
    <row r="32" spans="1:40" hidden="1" outlineLevel="1" x14ac:dyDescent="0.2">
      <c r="A32" s="573" t="s">
        <v>519</v>
      </c>
      <c r="B32" s="578"/>
      <c r="C32" s="578"/>
      <c r="D32" s="578"/>
      <c r="E32" s="578"/>
      <c r="F32" s="578"/>
      <c r="G32" s="578"/>
      <c r="H32" s="578"/>
      <c r="I32" s="578"/>
      <c r="J32" s="578"/>
      <c r="K32" s="578"/>
      <c r="L32" s="578"/>
      <c r="M32" s="578"/>
      <c r="N32" s="578"/>
      <c r="O32" s="578"/>
      <c r="P32" s="578"/>
      <c r="Q32" s="578"/>
      <c r="R32" s="578"/>
      <c r="S32" s="578"/>
      <c r="T32" s="578"/>
      <c r="U32" s="578"/>
      <c r="V32" s="578"/>
      <c r="W32" s="584">
        <f>1017-148</f>
        <v>869</v>
      </c>
      <c r="X32" s="584">
        <f>1123-161</f>
        <v>962</v>
      </c>
      <c r="Y32" s="584">
        <f>1163-170</f>
        <v>993</v>
      </c>
      <c r="Z32" s="578"/>
      <c r="AA32" s="578"/>
      <c r="AB32" s="578"/>
      <c r="AC32" s="578"/>
      <c r="AD32" s="578"/>
      <c r="AE32" s="578"/>
      <c r="AF32" s="578"/>
      <c r="AG32" s="578"/>
      <c r="AH32" s="578"/>
      <c r="AI32" s="578"/>
      <c r="AK32" s="334"/>
      <c r="AL32" s="305"/>
      <c r="AM32" s="305"/>
      <c r="AN32" s="335"/>
    </row>
    <row r="33" spans="1:46" hidden="1" outlineLevel="1" x14ac:dyDescent="0.2">
      <c r="A33" s="573" t="s">
        <v>520</v>
      </c>
      <c r="B33" s="311"/>
      <c r="C33" s="311"/>
      <c r="D33" s="311"/>
      <c r="E33" s="311"/>
      <c r="F33" s="311"/>
      <c r="G33" s="311"/>
      <c r="H33" s="311"/>
      <c r="I33" s="311"/>
      <c r="J33" s="311"/>
      <c r="K33" s="311"/>
      <c r="L33" s="311"/>
      <c r="M33" s="311"/>
      <c r="N33" s="311"/>
      <c r="O33" s="311"/>
      <c r="P33" s="311"/>
      <c r="Q33" s="311"/>
      <c r="R33" s="311"/>
      <c r="S33" s="311"/>
      <c r="T33" s="311"/>
      <c r="U33" s="311"/>
      <c r="V33" s="311"/>
      <c r="W33" s="575">
        <f>W32/W$7</f>
        <v>4.725137295416236E-2</v>
      </c>
      <c r="X33" s="575">
        <f>X32/X$7</f>
        <v>5.1159327802595189E-2</v>
      </c>
      <c r="Y33" s="575">
        <f>Y32/Y$7</f>
        <v>5.1504149377593358E-2</v>
      </c>
      <c r="Z33" s="311"/>
      <c r="AA33" s="311"/>
      <c r="AB33" s="311"/>
      <c r="AK33" s="334"/>
      <c r="AL33" s="305"/>
      <c r="AM33" s="305"/>
      <c r="AN33" s="335"/>
    </row>
    <row r="34" spans="1:46" collapsed="1" x14ac:dyDescent="0.2">
      <c r="B34" s="311"/>
      <c r="C34" s="311"/>
      <c r="D34" s="311"/>
      <c r="E34" s="311"/>
      <c r="F34" s="311"/>
      <c r="G34" s="311"/>
      <c r="H34" s="311"/>
      <c r="I34" s="311"/>
      <c r="J34" s="311"/>
      <c r="K34" s="311"/>
      <c r="L34" s="311"/>
      <c r="M34" s="311"/>
      <c r="N34" s="311"/>
      <c r="O34" s="311"/>
      <c r="P34" s="311"/>
      <c r="Q34" s="311"/>
      <c r="R34" s="311"/>
      <c r="S34" s="311"/>
      <c r="T34" s="311"/>
      <c r="U34" s="311"/>
      <c r="V34" s="311"/>
      <c r="W34" s="575"/>
      <c r="X34" s="575"/>
      <c r="Y34" s="311">
        <f t="shared" ref="Y34:AI34" si="13">Y24/X24-1</f>
        <v>5.4206929059628095E-3</v>
      </c>
      <c r="Z34" s="311">
        <f t="shared" si="13"/>
        <v>1.0782934833567737E-2</v>
      </c>
      <c r="AA34" s="311">
        <f t="shared" si="13"/>
        <v>8.8126159554731132E-3</v>
      </c>
      <c r="AB34" s="311">
        <f t="shared" si="13"/>
        <v>2.3448275862068879E-2</v>
      </c>
      <c r="AC34" s="311">
        <f t="shared" si="13"/>
        <v>-4.0431266846361336E-3</v>
      </c>
      <c r="AD34" s="311">
        <f t="shared" si="13"/>
        <v>1.7591339648173276E-2</v>
      </c>
      <c r="AE34" s="311">
        <f t="shared" si="13"/>
        <v>-3.78989361702331E-5</v>
      </c>
      <c r="AF34" s="311">
        <f t="shared" si="13"/>
        <v>1.9075840135909239E-3</v>
      </c>
      <c r="AG34" s="311">
        <f t="shared" si="13"/>
        <v>-7.7395577395579229E-3</v>
      </c>
      <c r="AH34" s="311">
        <f t="shared" si="13"/>
        <v>-6.9918699186989341E-3</v>
      </c>
      <c r="AI34" s="311">
        <f t="shared" si="13"/>
        <v>-1.2219758064516251E-2</v>
      </c>
      <c r="AK34" s="334"/>
      <c r="AL34" s="305"/>
      <c r="AM34" s="305"/>
      <c r="AN34" s="335"/>
    </row>
    <row r="35" spans="1:46" hidden="1" outlineLevel="1" x14ac:dyDescent="0.2">
      <c r="A35" s="303" t="s">
        <v>334</v>
      </c>
      <c r="B35" s="576">
        <v>0</v>
      </c>
      <c r="C35" s="577">
        <f>INDEX('qtrP&amp;L'!44:44,MATCH(C5,'qtrP&amp;L'!6:6,0))</f>
        <v>6.6000000000000003E-2</v>
      </c>
      <c r="D35" s="577">
        <f>INDEX('qtrP&amp;L'!44:44,MATCH(D5,'qtrP&amp;L'!6:6,0))</f>
        <v>5.3339999999999996</v>
      </c>
      <c r="E35" s="577">
        <f>INDEX('qtrP&amp;L'!44:44,MATCH(E5,'qtrP&amp;L'!6:6,0))</f>
        <v>2.992</v>
      </c>
      <c r="F35" s="577">
        <f>INDEX('qtrP&amp;L'!44:44,MATCH(F5,'qtrP&amp;L'!6:6,0))</f>
        <v>5.3599999999999994</v>
      </c>
      <c r="G35" s="577">
        <f>INDEX('qtrP&amp;L'!44:44,MATCH(G5,'qtrP&amp;L'!6:6,0))</f>
        <v>8.19</v>
      </c>
      <c r="H35" s="577">
        <f>INDEX('qtrP&amp;L'!44:44,MATCH(H5,'qtrP&amp;L'!6:6,0))</f>
        <v>10.712</v>
      </c>
      <c r="I35" s="577">
        <f>INDEX('qtrP&amp;L'!44:44,MATCH(I5,'qtrP&amp;L'!6:6,0))</f>
        <v>10.263</v>
      </c>
      <c r="J35" s="577">
        <f>INDEX('qtrP&amp;L'!44:44,MATCH(J5,'qtrP&amp;L'!6:6,0))</f>
        <v>18.576999999999998</v>
      </c>
      <c r="K35" s="577">
        <f>INDEX('qtrP&amp;L'!44:44,MATCH(K5,'qtrP&amp;L'!6:6,0))</f>
        <v>22.388000000000002</v>
      </c>
      <c r="L35" s="577">
        <f>INDEX('qtrP&amp;L'!44:44,MATCH(L5,'qtrP&amp;L'!6:6,0))</f>
        <v>30.972000000000001</v>
      </c>
      <c r="M35" s="577">
        <f>INDEX('qtrP&amp;L'!44:44,MATCH(M5,'qtrP&amp;L'!6:6,0))</f>
        <v>37.189000000000007</v>
      </c>
      <c r="N35" s="577">
        <f>INDEX('qtrP&amp;L'!44:44,MATCH(N5,'qtrP&amp;L'!6:6,0))</f>
        <v>33.508000000000003</v>
      </c>
      <c r="O35" s="577">
        <f>INDEX('qtrP&amp;L'!44:44,MATCH(O5,'qtrP&amp;L'!6:6,0))</f>
        <v>41.198</v>
      </c>
      <c r="P35" s="577">
        <f>INDEX('qtrP&amp;L'!44:44,MATCH(P5,'qtrP&amp;L'!6:6,0))</f>
        <v>0</v>
      </c>
      <c r="Q35" s="577">
        <f>INDEX('qtrP&amp;L'!44:44,MATCH(Q5,'qtrP&amp;L'!6:6,0))</f>
        <v>0</v>
      </c>
      <c r="R35" s="577">
        <f>INDEX('qtrP&amp;L'!44:44,MATCH(R5,'qtrP&amp;L'!6:6,0))</f>
        <v>0</v>
      </c>
      <c r="S35" s="577">
        <f>INDEX('qtrP&amp;L'!44:44,MATCH(S5,'qtrP&amp;L'!6:6,0))</f>
        <v>0</v>
      </c>
      <c r="T35" s="577">
        <f>INDEX('qtrP&amp;L'!44:44,MATCH(T5,'qtrP&amp;L'!6:6,0))</f>
        <v>0</v>
      </c>
      <c r="U35" s="577">
        <f>INDEX('qtrP&amp;L'!44:44,MATCH(U5,'qtrP&amp;L'!6:6,0))</f>
        <v>0</v>
      </c>
      <c r="V35" s="577">
        <f>INDEX('qtrP&amp;L'!44:44,MATCH(V5,'qtrP&amp;L'!6:6,0))</f>
        <v>0</v>
      </c>
      <c r="W35" s="577">
        <f>INDEX('qtrP&amp;L'!44:44,MATCH(W5,'qtrP&amp;L'!6:6,0))</f>
        <v>0</v>
      </c>
      <c r="X35" s="577">
        <f>INDEX('qtrP&amp;L'!44:44,MATCH(X5,'qtrP&amp;L'!6:6,0))</f>
        <v>0</v>
      </c>
      <c r="Y35" s="577">
        <f>INDEX('qtrP&amp;L'!44:44,MATCH(Y5,'qtrP&amp;L'!6:6,0))</f>
        <v>0</v>
      </c>
      <c r="Z35" s="454">
        <f>INDEX('qtrP&amp;L'!44:44,MATCH(Z5,'qtrP&amp;L'!6:6,0))</f>
        <v>0</v>
      </c>
      <c r="AA35" s="454">
        <f>INDEX('qtrP&amp;L'!44:44,MATCH(AA5,'qtrP&amp;L'!6:6,0))</f>
        <v>0</v>
      </c>
      <c r="AB35" s="454">
        <f>INDEX('qtrP&amp;L'!44:44,MATCH(AB5,'qtrP&amp;L'!6:6,0))</f>
        <v>0</v>
      </c>
      <c r="AC35" s="454">
        <v>0</v>
      </c>
      <c r="AD35" s="454">
        <v>0</v>
      </c>
      <c r="AE35" s="454">
        <v>0</v>
      </c>
      <c r="AF35" s="454">
        <v>0</v>
      </c>
      <c r="AG35" s="454">
        <v>0</v>
      </c>
      <c r="AH35" s="454">
        <v>0</v>
      </c>
      <c r="AI35" s="454"/>
      <c r="AK35" s="571"/>
      <c r="AL35" s="305"/>
      <c r="AM35" s="572"/>
      <c r="AN35" s="335"/>
    </row>
    <row r="36" spans="1:46" hidden="1" outlineLevel="1" x14ac:dyDescent="0.2">
      <c r="Q36" s="413"/>
      <c r="R36" s="413"/>
      <c r="S36" s="413"/>
      <c r="T36" s="413"/>
      <c r="U36" s="413"/>
      <c r="V36" s="413"/>
      <c r="W36" s="413"/>
      <c r="X36" s="585"/>
      <c r="Y36" s="585"/>
      <c r="Z36" s="585"/>
      <c r="AA36" s="585"/>
      <c r="AB36" s="585"/>
      <c r="AC36" s="585"/>
      <c r="AD36" s="585"/>
      <c r="AE36" s="585"/>
      <c r="AF36" s="585"/>
      <c r="AG36" s="585"/>
      <c r="AH36" s="585"/>
      <c r="AI36" s="585"/>
      <c r="AK36" s="571"/>
      <c r="AL36" s="305"/>
      <c r="AM36" s="572"/>
      <c r="AN36" s="335"/>
    </row>
    <row r="37" spans="1:46" collapsed="1" x14ac:dyDescent="0.2">
      <c r="A37" s="303" t="s">
        <v>335</v>
      </c>
      <c r="B37" s="576">
        <v>10.65</v>
      </c>
      <c r="C37" s="577">
        <f>INDEX('qtrP&amp;L'!54:54,MATCH(C5,'qtrP&amp;L'!6:6,0))</f>
        <v>10.987</v>
      </c>
      <c r="D37" s="577">
        <f>INDEX('qtrP&amp;L'!54:54,MATCH(D5,'qtrP&amp;L'!6:6,0))</f>
        <v>12.505000000000001</v>
      </c>
      <c r="E37" s="577">
        <f>INDEX('qtrP&amp;L'!54:54,MATCH(E5,'qtrP&amp;L'!6:6,0))</f>
        <v>14.678000000000001</v>
      </c>
      <c r="F37" s="577">
        <f>INDEX('qtrP&amp;L'!54:54,MATCH(F5,'qtrP&amp;L'!6:6,0))</f>
        <v>18.117999999999999</v>
      </c>
      <c r="G37" s="577">
        <f>INDEX('qtrP&amp;L'!54:54,MATCH(G5,'qtrP&amp;L'!6:6,0))</f>
        <v>22.358000000000001</v>
      </c>
      <c r="H37" s="577">
        <f>INDEX('qtrP&amp;L'!54:54,MATCH(H5,'qtrP&amp;L'!6:6,0))</f>
        <v>28.887</v>
      </c>
      <c r="I37" s="577">
        <f>INDEX('qtrP&amp;L'!54:54,MATCH(I5,'qtrP&amp;L'!6:6,0))</f>
        <v>38.734999999999999</v>
      </c>
      <c r="J37" s="577">
        <f>INDEX('qtrP&amp;L'!54:54,MATCH(J5,'qtrP&amp;L'!6:6,0))</f>
        <v>52.06</v>
      </c>
      <c r="K37" s="577">
        <f>INDEX('qtrP&amp;L'!54:54,MATCH(K5,'qtrP&amp;L'!6:6,0))</f>
        <v>65.688999999999993</v>
      </c>
      <c r="L37" s="577">
        <f>INDEX('qtrP&amp;L'!54:54,MATCH(L5,'qtrP&amp;L'!6:6,0))</f>
        <v>83.322999999999993</v>
      </c>
      <c r="M37" s="577">
        <f>INDEX('qtrP&amp;L'!54:54,MATCH(M5,'qtrP&amp;L'!6:6,0))</f>
        <v>122.62599999999999</v>
      </c>
      <c r="N37" s="577">
        <f>INDEX('qtrP&amp;L'!54:54,MATCH(N5,'qtrP&amp;L'!6:6,0))</f>
        <v>152.84800000000001</v>
      </c>
      <c r="O37" s="577">
        <f>INDEX('qtrP&amp;L'!54:54,MATCH(O5,'qtrP&amp;L'!6:6,0))</f>
        <v>193.49700000000001</v>
      </c>
      <c r="P37" s="577">
        <f>INDEX('qtrP&amp;L'!54:54,MATCH(P5,'qtrP&amp;L'!6:6,0))</f>
        <v>239.55799999999999</v>
      </c>
      <c r="Q37" s="577">
        <f>INDEX('qtrP&amp;L'!54:54,MATCH(Q5,'qtrP&amp;L'!6:6,0))</f>
        <v>288.13799999999998</v>
      </c>
      <c r="R37" s="577">
        <f>INDEX('qtrP&amp;L'!54:54,MATCH(R5,'qtrP&amp;L'!6:6,0))</f>
        <v>338.9</v>
      </c>
      <c r="S37" s="577">
        <f>INDEX('qtrP&amp;L'!54:54,MATCH(S5,'qtrP&amp;L'!6:6,0))</f>
        <v>387.82499999999999</v>
      </c>
      <c r="T37" s="577">
        <f>INDEX('qtrP&amp;L'!54:54,MATCH(T5,'qtrP&amp;L'!6:6,0))</f>
        <v>452.279</v>
      </c>
      <c r="U37" s="577">
        <f>INDEX('qtrP&amp;L'!54:54,MATCH(U5,'qtrP&amp;L'!6:6,0))</f>
        <v>541.149</v>
      </c>
      <c r="V37" s="577">
        <f>INDEX('qtrP&amp;L'!54:54,MATCH(V5,'qtrP&amp;L'!6:6,0))</f>
        <v>688</v>
      </c>
      <c r="W37" s="577">
        <f>INDEX('qtrP&amp;L'!54:54,MATCH(W5,'qtrP&amp;L'!6:6,0))</f>
        <v>752</v>
      </c>
      <c r="X37" s="577">
        <f>INDEX('qtrP&amp;L'!54:54,MATCH(X5,'qtrP&amp;L'!6:6,0))</f>
        <v>777</v>
      </c>
      <c r="Y37" s="577">
        <f>INDEX('qtrP&amp;L'!54:54,MATCH(Y5,'qtrP&amp;L'!6:6,0))</f>
        <v>835</v>
      </c>
      <c r="Z37" s="577">
        <f>INDEX('qtrP&amp;L'!54:54,MATCH(Z5,'qtrP&amp;L'!6:6,0))</f>
        <v>891</v>
      </c>
      <c r="AA37" s="577">
        <f>INDEX('qtrP&amp;L'!54:54,MATCH(AA5,'qtrP&amp;L'!6:6,0))</f>
        <v>886</v>
      </c>
      <c r="AB37" s="577">
        <f>INDEX('qtrP&amp;L'!54:54,MATCH(AB5,'qtrP&amp;L'!6:6,0))</f>
        <v>935</v>
      </c>
      <c r="AC37" s="577">
        <f>INDEX('qtrP&amp;L'!54:54,MATCH(AC5,'qtrP&amp;L'!6:6,0))</f>
        <v>939</v>
      </c>
      <c r="AD37" s="577">
        <f>INDEX('qtrP&amp;L'!54:54,MATCH(AD5,'qtrP&amp;L'!6:6,0))</f>
        <v>991</v>
      </c>
      <c r="AE37" s="577">
        <f>INDEX('qtrP&amp;L'!54:54,MATCH(AE5,'qtrP&amp;L'!6:6,0))</f>
        <v>960</v>
      </c>
      <c r="AF37" s="987">
        <f>AE37+5</f>
        <v>965</v>
      </c>
      <c r="AG37" s="987">
        <f>AF37+5</f>
        <v>970</v>
      </c>
      <c r="AH37" s="987">
        <f>AG37+5</f>
        <v>975</v>
      </c>
      <c r="AI37" s="1171">
        <f>AH37+5</f>
        <v>980</v>
      </c>
      <c r="AK37" s="571"/>
      <c r="AL37" s="305"/>
      <c r="AM37" s="572"/>
      <c r="AN37" s="335"/>
    </row>
    <row r="38" spans="1:46" x14ac:dyDescent="0.2">
      <c r="A38" s="573" t="s">
        <v>45</v>
      </c>
      <c r="B38" s="575">
        <f t="shared" ref="B38:AA38" si="14">IF(B37=0,"NA",B37/B$7)</f>
        <v>1.4589800564960917E-2</v>
      </c>
      <c r="C38" s="575">
        <f t="shared" si="14"/>
        <v>1.3911204806310497E-2</v>
      </c>
      <c r="D38" s="575">
        <f t="shared" si="14"/>
        <v>1.3440080135335857E-2</v>
      </c>
      <c r="E38" s="575">
        <f t="shared" si="14"/>
        <v>1.3381884221812163E-2</v>
      </c>
      <c r="F38" s="575">
        <f t="shared" si="14"/>
        <v>1.3877144607843138E-2</v>
      </c>
      <c r="G38" s="575">
        <f t="shared" si="14"/>
        <v>1.4387017065197807E-2</v>
      </c>
      <c r="H38" s="575">
        <f t="shared" si="14"/>
        <v>1.5001020424590103E-2</v>
      </c>
      <c r="I38" s="575">
        <f t="shared" si="14"/>
        <v>1.6217291186937408E-2</v>
      </c>
      <c r="J38" s="575">
        <f t="shared" si="14"/>
        <v>1.7012604882741783E-2</v>
      </c>
      <c r="K38" s="575">
        <f t="shared" si="14"/>
        <v>1.7842029497243121E-2</v>
      </c>
      <c r="L38" s="575">
        <f t="shared" si="14"/>
        <v>1.8284697321471678E-2</v>
      </c>
      <c r="M38" s="575">
        <f t="shared" si="14"/>
        <v>1.9932056825200738E-2</v>
      </c>
      <c r="N38" s="575">
        <f t="shared" si="14"/>
        <v>2.0410632309231871E-2</v>
      </c>
      <c r="O38" s="575">
        <f t="shared" si="14"/>
        <v>2.1216311045810399E-2</v>
      </c>
      <c r="P38" s="575">
        <f t="shared" si="14"/>
        <v>2.3298774557479088E-2</v>
      </c>
      <c r="Q38" s="575">
        <f t="shared" si="14"/>
        <v>2.4625706154332645E-2</v>
      </c>
      <c r="R38" s="575">
        <f t="shared" si="14"/>
        <v>2.5286893196639359E-2</v>
      </c>
      <c r="S38" s="575">
        <f t="shared" si="14"/>
        <v>2.4884023734928182E-2</v>
      </c>
      <c r="T38" s="575">
        <f t="shared" si="14"/>
        <v>2.7454609468425428E-2</v>
      </c>
      <c r="U38" s="575">
        <f t="shared" si="14"/>
        <v>3.3020250057388158E-2</v>
      </c>
      <c r="V38" s="575">
        <f t="shared" si="14"/>
        <v>4.0051228315286992E-2</v>
      </c>
      <c r="W38" s="575">
        <f t="shared" si="14"/>
        <v>4.088956554836605E-2</v>
      </c>
      <c r="X38" s="575">
        <f t="shared" si="14"/>
        <v>4.1320995532865348E-2</v>
      </c>
      <c r="Y38" s="575">
        <f t="shared" si="14"/>
        <v>4.3309128630705393E-2</v>
      </c>
      <c r="Z38" s="575">
        <f t="shared" si="14"/>
        <v>4.6818349009510797E-2</v>
      </c>
      <c r="AA38" s="575">
        <f t="shared" si="14"/>
        <v>4.6575198443988858E-2</v>
      </c>
      <c r="AB38" s="575">
        <f t="shared" ref="AB38:AH38" si="15">IF(AB37=0,"NA",AB37/AB$7)</f>
        <v>4.8687773380545717E-2</v>
      </c>
      <c r="AC38" s="575">
        <f t="shared" si="15"/>
        <v>5.0251525206036603E-2</v>
      </c>
      <c r="AD38" s="575">
        <f t="shared" si="15"/>
        <v>5.1898402723225975E-2</v>
      </c>
      <c r="AE38" s="575">
        <f t="shared" si="15"/>
        <v>5.1104498094419734E-2</v>
      </c>
      <c r="AF38" s="575">
        <f t="shared" si="15"/>
        <v>5.2130594484855332E-2</v>
      </c>
      <c r="AG38" s="575">
        <f t="shared" si="15"/>
        <v>5.3198681413229185E-2</v>
      </c>
      <c r="AH38" s="575">
        <f t="shared" si="15"/>
        <v>5.4287209563973468E-2</v>
      </c>
      <c r="AI38" s="575">
        <f>IF(AI37=0,"NA",AI37/AI$7)</f>
        <v>5.5396553817721204E-2</v>
      </c>
      <c r="AK38" s="334"/>
      <c r="AL38" s="305"/>
      <c r="AM38" s="305"/>
      <c r="AN38" s="335"/>
    </row>
    <row r="39" spans="1:46" x14ac:dyDescent="0.2">
      <c r="A39" s="573" t="s">
        <v>561</v>
      </c>
      <c r="B39" s="575"/>
      <c r="C39" s="575"/>
      <c r="D39" s="575"/>
      <c r="E39" s="575"/>
      <c r="F39" s="575"/>
      <c r="G39" s="575"/>
      <c r="H39" s="575"/>
      <c r="I39" s="575"/>
      <c r="J39" s="575"/>
      <c r="K39" s="575"/>
      <c r="L39" s="575"/>
      <c r="M39" s="575"/>
      <c r="N39" s="575"/>
      <c r="O39" s="575"/>
      <c r="P39" s="575"/>
      <c r="Q39" s="575"/>
      <c r="R39" s="575"/>
      <c r="S39" s="575"/>
      <c r="T39" s="575"/>
      <c r="U39" s="575"/>
      <c r="V39" s="575"/>
      <c r="W39" s="586">
        <f>W37/flow!Y20</f>
        <v>-0.93882646691635452</v>
      </c>
      <c r="X39" s="586">
        <f>X37/flow!Z20</f>
        <v>-0.8381877022653722</v>
      </c>
      <c r="Y39" s="586">
        <f>Y37/flow!AA20</f>
        <v>-1.0636942675159236</v>
      </c>
      <c r="Z39" s="586">
        <f>Z37/flow!AB20</f>
        <v>-1.385692068429238</v>
      </c>
      <c r="AA39" s="586">
        <f>AA37/flow!AC20</f>
        <v>-1.2991202346041055</v>
      </c>
      <c r="AB39" s="586">
        <f>AB37/flow!AD20</f>
        <v>-1.355072463768116</v>
      </c>
      <c r="AC39" s="586">
        <f>AC37/flow!AE20</f>
        <v>-1.22265625</v>
      </c>
      <c r="AD39" s="586">
        <f>AD37/flow!AF20</f>
        <v>-1.4747023809523809</v>
      </c>
      <c r="AE39" s="586">
        <f>AE37/flow!AG20</f>
        <v>-1.3714285714285714</v>
      </c>
      <c r="AF39" s="586">
        <f>AF37/flow!AH20</f>
        <v>-1.4846153846153847</v>
      </c>
      <c r="AG39" s="586">
        <f>AG37/flow!AI20</f>
        <v>-1.4923076923076923</v>
      </c>
      <c r="AH39" s="586">
        <f>AH37/flow!AJ20</f>
        <v>-1.5</v>
      </c>
      <c r="AI39" s="586">
        <f>AI37/flow!AK20</f>
        <v>-1.5076923076923077</v>
      </c>
      <c r="AK39" s="334"/>
      <c r="AL39" s="305"/>
      <c r="AM39" s="305"/>
      <c r="AN39" s="335"/>
      <c r="AT39" s="311"/>
    </row>
    <row r="40" spans="1:46" hidden="1" outlineLevel="1" x14ac:dyDescent="0.2">
      <c r="A40" s="303" t="s">
        <v>284</v>
      </c>
      <c r="B40" s="576">
        <v>5.0430000000000001</v>
      </c>
      <c r="C40" s="577">
        <f>INDEX('qtrP&amp;L'!64:64,MATCH(C5,'qtrP&amp;L'!6:6,0))</f>
        <v>5.0439999999999996</v>
      </c>
      <c r="D40" s="577">
        <f>INDEX('qtrP&amp;L'!64:64,MATCH(D5,'qtrP&amp;L'!6:6,0))</f>
        <v>5.0449999999999999</v>
      </c>
      <c r="E40" s="577">
        <f>INDEX('qtrP&amp;L'!64:64,MATCH(E5,'qtrP&amp;L'!6:6,0))</f>
        <v>5.1559999999999997</v>
      </c>
      <c r="F40" s="577">
        <f>INDEX('qtrP&amp;L'!64:64,MATCH(F5,'qtrP&amp;L'!6:6,0))</f>
        <v>5.0829999999999993</v>
      </c>
      <c r="G40" s="577">
        <f>INDEX('qtrP&amp;L'!64:64,MATCH(G5,'qtrP&amp;L'!6:6,0))</f>
        <v>5.0439999999999996</v>
      </c>
      <c r="H40" s="577">
        <f>INDEX('qtrP&amp;L'!64:64,MATCH(H5,'qtrP&amp;L'!6:6,0))</f>
        <v>5.0439999999999996</v>
      </c>
      <c r="I40" s="577">
        <f>INDEX('qtrP&amp;L'!64:64,MATCH(I5,'qtrP&amp;L'!6:6,0))</f>
        <v>5.32</v>
      </c>
      <c r="J40" s="577">
        <f>INDEX('qtrP&amp;L'!64:64,MATCH(J5,'qtrP&amp;L'!6:6,0))</f>
        <v>5.36</v>
      </c>
      <c r="K40" s="577">
        <f>INDEX('qtrP&amp;L'!64:64,MATCH(K5,'qtrP&amp;L'!6:6,0))</f>
        <v>5.36</v>
      </c>
      <c r="L40" s="577">
        <f>INDEX('qtrP&amp;L'!64:64,MATCH(L5,'qtrP&amp;L'!6:6,0))</f>
        <v>5.2</v>
      </c>
      <c r="M40" s="577">
        <f>INDEX('qtrP&amp;L'!64:64,MATCH(M5,'qtrP&amp;L'!6:6,0))</f>
        <v>5.36</v>
      </c>
      <c r="N40" s="577">
        <f>INDEX('qtrP&amp;L'!64:64,MATCH(N5,'qtrP&amp;L'!6:6,0))</f>
        <v>5.32</v>
      </c>
      <c r="O40" s="577">
        <f>INDEX('qtrP&amp;L'!64:64,MATCH(O5,'qtrP&amp;L'!6:6,0))</f>
        <v>0</v>
      </c>
      <c r="P40" s="577">
        <f>INDEX('qtrP&amp;L'!64:64,MATCH(P5,'qtrP&amp;L'!6:6,0))</f>
        <v>0</v>
      </c>
      <c r="Q40" s="577">
        <f>INDEX('qtrP&amp;L'!64:64,MATCH(Q5,'qtrP&amp;L'!6:6,0))</f>
        <v>0</v>
      </c>
      <c r="R40" s="577">
        <f>INDEX('qtrP&amp;L'!64:64,MATCH(R5,'qtrP&amp;L'!6:6,0))</f>
        <v>0</v>
      </c>
      <c r="S40" s="577">
        <f>INDEX('qtrP&amp;L'!64:64,MATCH(S5,'qtrP&amp;L'!6:6,0))</f>
        <v>0</v>
      </c>
      <c r="T40" s="577">
        <f>INDEX('qtrP&amp;L'!64:64,MATCH(T5,'qtrP&amp;L'!6:6,0))</f>
        <v>0</v>
      </c>
      <c r="U40" s="577">
        <f>INDEX('qtrP&amp;L'!64:64,MATCH(U5,'qtrP&amp;L'!6:6,0))</f>
        <v>0</v>
      </c>
      <c r="V40" s="577">
        <f>INDEX('qtrP&amp;L'!64:64,MATCH(V5,'qtrP&amp;L'!6:6,0))</f>
        <v>0</v>
      </c>
      <c r="W40" s="577">
        <f>INDEX('qtrP&amp;L'!64:64,MATCH(W5,'qtrP&amp;L'!6:6,0))</f>
        <v>0</v>
      </c>
      <c r="X40" s="577">
        <f>INDEX('qtrP&amp;L'!64:64,MATCH(X5,'qtrP&amp;L'!6:6,0))</f>
        <v>0</v>
      </c>
      <c r="Y40" s="577">
        <f>INDEX('qtrP&amp;L'!64:64,MATCH(Y5,'qtrP&amp;L'!6:6,0))</f>
        <v>0</v>
      </c>
      <c r="Z40" s="587">
        <f>INDEX('qtrP&amp;L'!64:64,MATCH(Z5,'qtrP&amp;L'!6:6,0))</f>
        <v>0</v>
      </c>
      <c r="AA40" s="587">
        <f>INDEX('qtrP&amp;L'!64:64,MATCH(AA5,'qtrP&amp;L'!6:6,0))</f>
        <v>0</v>
      </c>
      <c r="AB40" s="587">
        <f>INDEX('qtrP&amp;L'!64:64,MATCH(AB5,'qtrP&amp;L'!6:6,0))</f>
        <v>0</v>
      </c>
      <c r="AC40" s="587">
        <v>0</v>
      </c>
      <c r="AD40" s="587">
        <v>0</v>
      </c>
      <c r="AE40" s="587">
        <v>0</v>
      </c>
      <c r="AF40" s="587">
        <v>0</v>
      </c>
      <c r="AG40" s="587">
        <v>0</v>
      </c>
      <c r="AH40" s="587">
        <v>0</v>
      </c>
      <c r="AI40" s="587"/>
      <c r="AK40" s="571"/>
      <c r="AL40" s="305"/>
      <c r="AM40" s="572"/>
      <c r="AN40" s="335"/>
    </row>
    <row r="41" spans="1:46" hidden="1" outlineLevel="1" x14ac:dyDescent="0.2">
      <c r="A41" s="573"/>
      <c r="B41" s="575"/>
      <c r="C41" s="575"/>
      <c r="D41" s="575"/>
      <c r="E41" s="575"/>
      <c r="F41" s="575"/>
      <c r="G41" s="575"/>
      <c r="H41" s="575"/>
      <c r="I41" s="575"/>
      <c r="J41" s="575"/>
      <c r="K41" s="575"/>
      <c r="L41" s="575"/>
      <c r="M41" s="575"/>
      <c r="N41" s="575"/>
      <c r="O41" s="575"/>
      <c r="P41" s="575"/>
      <c r="Q41" s="575"/>
      <c r="R41" s="575"/>
      <c r="S41" s="575"/>
      <c r="T41" s="575"/>
      <c r="U41" s="575"/>
      <c r="V41" s="575"/>
      <c r="W41" s="575"/>
      <c r="X41" s="575"/>
      <c r="Y41" s="575"/>
      <c r="Z41" s="588"/>
      <c r="AA41" s="588"/>
      <c r="AB41" s="588"/>
      <c r="AC41" s="588"/>
      <c r="AD41" s="588"/>
      <c r="AE41" s="588"/>
      <c r="AF41" s="588"/>
      <c r="AG41" s="588"/>
      <c r="AH41" s="588"/>
      <c r="AI41" s="588"/>
      <c r="AK41" s="334"/>
      <c r="AL41" s="305"/>
      <c r="AM41" s="305"/>
      <c r="AN41" s="335"/>
    </row>
    <row r="42" spans="1:46" hidden="1" outlineLevel="1" x14ac:dyDescent="0.2">
      <c r="A42" s="303" t="s">
        <v>285</v>
      </c>
      <c r="B42" s="576">
        <v>0</v>
      </c>
      <c r="C42" s="577">
        <f>INDEX('qtrP&amp;L'!74:74,MATCH(C5,'qtrP&amp;L'!6:6,0))</f>
        <v>3.8</v>
      </c>
      <c r="D42" s="577">
        <f>INDEX('qtrP&amp;L'!74:74,MATCH(D5,'qtrP&amp;L'!6:6,0))</f>
        <v>-1.7090000000000003</v>
      </c>
      <c r="E42" s="577">
        <f>INDEX('qtrP&amp;L'!74:74,MATCH(E5,'qtrP&amp;L'!6:6,0))</f>
        <v>-1.76</v>
      </c>
      <c r="F42" s="577">
        <f>INDEX('qtrP&amp;L'!74:74,MATCH(F5,'qtrP&amp;L'!6:6,0))</f>
        <v>0.35999999999999988</v>
      </c>
      <c r="G42" s="577">
        <f>INDEX('qtrP&amp;L'!74:74,MATCH(G5,'qtrP&amp;L'!6:6,0))</f>
        <v>-0.81200000000000028</v>
      </c>
      <c r="H42" s="577">
        <f>INDEX('qtrP&amp;L'!74:74,MATCH(H5,'qtrP&amp;L'!6:6,0))</f>
        <v>-1.3980000000000001</v>
      </c>
      <c r="I42" s="577">
        <f>INDEX('qtrP&amp;L'!74:74,MATCH(I5,'qtrP&amp;L'!6:6,0))</f>
        <v>5.25</v>
      </c>
      <c r="J42" s="577">
        <f>INDEX('qtrP&amp;L'!74:74,MATCH(J5,'qtrP&amp;L'!6:6,0))</f>
        <v>-9.300000000000086E-2</v>
      </c>
      <c r="K42" s="577">
        <f>INDEX('qtrP&amp;L'!74:74,MATCH(K5,'qtrP&amp;L'!6:6,0))</f>
        <v>-2.8611249999999995</v>
      </c>
      <c r="L42" s="577">
        <f>INDEX('qtrP&amp;L'!74:74,MATCH(L5,'qtrP&amp;L'!6:6,0))</f>
        <v>-1.1000000000000001</v>
      </c>
      <c r="M42" s="577">
        <f>INDEX('qtrP&amp;L'!74:74,MATCH(M5,'qtrP&amp;L'!6:6,0))</f>
        <v>1.8680000000000003</v>
      </c>
      <c r="N42" s="577">
        <f>INDEX('qtrP&amp;L'!74:74,MATCH(N5,'qtrP&amp;L'!6:6,0))</f>
        <v>2.2590000000000003</v>
      </c>
      <c r="O42" s="577">
        <f>INDEX('qtrP&amp;L'!74:74,MATCH(O5,'qtrP&amp;L'!6:6,0))</f>
        <v>-2.1060000000000016</v>
      </c>
      <c r="P42" s="577">
        <f>INDEX('qtrP&amp;L'!74:74,MATCH(P5,'qtrP&amp;L'!6:6,0))</f>
        <v>-5</v>
      </c>
      <c r="Q42" s="577">
        <f>INDEX('qtrP&amp;L'!74:74,MATCH(Q5,'qtrP&amp;L'!6:6,0))</f>
        <v>0</v>
      </c>
      <c r="R42" s="577">
        <f>INDEX('qtrP&amp;L'!74:74,MATCH(R5,'qtrP&amp;L'!6:6,0))</f>
        <v>0</v>
      </c>
      <c r="S42" s="577">
        <f>INDEX('qtrP&amp;L'!74:74,MATCH(S5,'qtrP&amp;L'!6:6,0))</f>
        <v>0</v>
      </c>
      <c r="T42" s="577">
        <f>INDEX('qtrP&amp;L'!74:74,MATCH(T5,'qtrP&amp;L'!6:6,0))</f>
        <v>0</v>
      </c>
      <c r="U42" s="577">
        <f>INDEX('qtrP&amp;L'!74:74,MATCH(U5,'qtrP&amp;L'!6:6,0))</f>
        <v>0</v>
      </c>
      <c r="V42" s="577">
        <f>INDEX('qtrP&amp;L'!74:74,MATCH(V5,'qtrP&amp;L'!6:6,0))</f>
        <v>0</v>
      </c>
      <c r="W42" s="577">
        <f>INDEX('qtrP&amp;L'!74:74,MATCH(W5,'qtrP&amp;L'!6:6,0))</f>
        <v>0</v>
      </c>
      <c r="X42" s="577">
        <f>INDEX('qtrP&amp;L'!74:74,MATCH(X5,'qtrP&amp;L'!6:6,0))</f>
        <v>0</v>
      </c>
      <c r="Y42" s="577">
        <v>0</v>
      </c>
      <c r="Z42" s="587">
        <v>0</v>
      </c>
      <c r="AA42" s="587">
        <v>0</v>
      </c>
      <c r="AB42" s="587">
        <v>0</v>
      </c>
      <c r="AC42" s="587">
        <v>0</v>
      </c>
      <c r="AD42" s="587">
        <v>0</v>
      </c>
      <c r="AE42" s="587">
        <v>0</v>
      </c>
      <c r="AF42" s="587">
        <v>0</v>
      </c>
      <c r="AG42" s="587">
        <v>0</v>
      </c>
      <c r="AH42" s="587">
        <v>0</v>
      </c>
      <c r="AI42" s="587"/>
      <c r="AK42" s="571"/>
      <c r="AL42" s="305"/>
      <c r="AM42" s="572"/>
      <c r="AN42" s="335"/>
    </row>
    <row r="43" spans="1:46" hidden="1" outlineLevel="1" x14ac:dyDescent="0.2">
      <c r="B43" s="531"/>
      <c r="AK43" s="571"/>
      <c r="AL43" s="305"/>
      <c r="AM43" s="572"/>
      <c r="AN43" s="335"/>
    </row>
    <row r="44" spans="1:46" collapsed="1" x14ac:dyDescent="0.2">
      <c r="A44" s="303" t="s">
        <v>337</v>
      </c>
      <c r="B44" s="577">
        <f t="shared" ref="B44:Z44" si="16">B7-B11-B37-B40-B35-B42-B24</f>
        <v>36.972000000000008</v>
      </c>
      <c r="C44" s="577">
        <f t="shared" si="16"/>
        <v>50.926000000000016</v>
      </c>
      <c r="D44" s="577">
        <f t="shared" si="16"/>
        <v>59.310999999999979</v>
      </c>
      <c r="E44" s="577">
        <f t="shared" si="16"/>
        <v>82.261999999999944</v>
      </c>
      <c r="F44" s="577">
        <f t="shared" si="16"/>
        <v>102.25599999999991</v>
      </c>
      <c r="G44" s="577">
        <f t="shared" si="16"/>
        <v>123.81499999999983</v>
      </c>
      <c r="H44" s="577">
        <f t="shared" si="16"/>
        <v>149.93100000000027</v>
      </c>
      <c r="I44" s="577">
        <f t="shared" si="16"/>
        <v>189.2679999999998</v>
      </c>
      <c r="J44" s="577">
        <f t="shared" si="16"/>
        <v>258.82599999999991</v>
      </c>
      <c r="K44" s="577">
        <f t="shared" si="16"/>
        <v>322.7999999999995</v>
      </c>
      <c r="L44" s="577">
        <f t="shared" si="16"/>
        <v>448.9429999999993</v>
      </c>
      <c r="M44" s="577">
        <f t="shared" si="16"/>
        <v>634.93300000000113</v>
      </c>
      <c r="N44" s="577">
        <f t="shared" si="16"/>
        <v>840.96799999999962</v>
      </c>
      <c r="O44" s="577">
        <f t="shared" si="16"/>
        <v>1077.6490000000019</v>
      </c>
      <c r="P44" s="577">
        <f t="shared" si="16"/>
        <v>1006.6620000000003</v>
      </c>
      <c r="Q44" s="577">
        <f t="shared" si="16"/>
        <v>1193.4550000000013</v>
      </c>
      <c r="R44" s="577">
        <f t="shared" si="16"/>
        <v>1413.6999999999989</v>
      </c>
      <c r="S44" s="577">
        <f t="shared" si="16"/>
        <v>1814.6460000000029</v>
      </c>
      <c r="T44" s="577">
        <f t="shared" si="16"/>
        <v>1804.4209999999998</v>
      </c>
      <c r="U44" s="577">
        <f t="shared" si="16"/>
        <v>1536.3149999999996</v>
      </c>
      <c r="V44" s="577">
        <f t="shared" si="16"/>
        <v>1859</v>
      </c>
      <c r="W44" s="577">
        <f t="shared" si="16"/>
        <v>2093</v>
      </c>
      <c r="X44" s="577">
        <f t="shared" si="16"/>
        <v>2159</v>
      </c>
      <c r="Y44" s="577">
        <f t="shared" si="16"/>
        <v>1889</v>
      </c>
      <c r="Z44" s="577">
        <f t="shared" si="16"/>
        <v>1742</v>
      </c>
      <c r="AA44" s="577">
        <f t="shared" ref="AA44:AF44" si="17">AA7-AA11-AA37-AA40-AA35-AA42-AA24</f>
        <v>1689</v>
      </c>
      <c r="AB44" s="577">
        <f t="shared" si="17"/>
        <v>1553</v>
      </c>
      <c r="AC44" s="577">
        <f t="shared" si="17"/>
        <v>1368</v>
      </c>
      <c r="AD44" s="577">
        <f t="shared" si="17"/>
        <v>1416</v>
      </c>
      <c r="AE44" s="577">
        <f t="shared" si="17"/>
        <v>1336.8090430399989</v>
      </c>
      <c r="AF44" s="577">
        <f t="shared" si="17"/>
        <v>1173.9700453969399</v>
      </c>
      <c r="AG44" s="577">
        <f>AG7-AG11-AG37-AG40-AG35-AG42-AG24</f>
        <v>1076.7148304257244</v>
      </c>
      <c r="AH44" s="577">
        <f>AH7-AH11-AH37-AH40-AH35-AH42-AH24</f>
        <v>974.56199099786318</v>
      </c>
      <c r="AI44" s="577">
        <f>AI7-AI11-AI37-AI40-AI35-AI42-AI24</f>
        <v>919.08980376525324</v>
      </c>
      <c r="AK44" s="571"/>
      <c r="AL44" s="305"/>
      <c r="AM44" s="572"/>
      <c r="AN44" s="335"/>
    </row>
    <row r="45" spans="1:46" x14ac:dyDescent="0.2">
      <c r="A45" s="573" t="s">
        <v>46</v>
      </c>
      <c r="B45" s="575">
        <f t="shared" ref="B45:AD45" si="18">IF(B44=0,"NA",B44/B$7)</f>
        <v>5.0649211876782639E-2</v>
      </c>
      <c r="C45" s="575">
        <f t="shared" si="18"/>
        <v>6.4480023297184733E-2</v>
      </c>
      <c r="D45" s="575">
        <f t="shared" si="18"/>
        <v>6.374606900495039E-2</v>
      </c>
      <c r="E45" s="575">
        <f t="shared" si="18"/>
        <v>7.4997994267251081E-2</v>
      </c>
      <c r="F45" s="575">
        <f t="shared" si="18"/>
        <v>7.8321078431372496E-2</v>
      </c>
      <c r="G45" s="575">
        <f t="shared" si="18"/>
        <v>7.9672981390440295E-2</v>
      </c>
      <c r="H45" s="575">
        <f t="shared" si="18"/>
        <v>7.7859175174965309E-2</v>
      </c>
      <c r="I45" s="575">
        <f t="shared" si="18"/>
        <v>7.9241364873351386E-2</v>
      </c>
      <c r="J45" s="575">
        <f t="shared" si="18"/>
        <v>8.4581338290059982E-2</v>
      </c>
      <c r="K45" s="575">
        <f t="shared" si="18"/>
        <v>8.7676888393948313E-2</v>
      </c>
      <c r="L45" s="575">
        <f t="shared" si="18"/>
        <v>9.8517658624790838E-2</v>
      </c>
      <c r="M45" s="575">
        <f t="shared" si="18"/>
        <v>0.10320421962875086</v>
      </c>
      <c r="N45" s="575">
        <f t="shared" si="18"/>
        <v>0.11229907248920561</v>
      </c>
      <c r="O45" s="575">
        <f t="shared" si="18"/>
        <v>0.11816067630095851</v>
      </c>
      <c r="P45" s="575">
        <f t="shared" si="18"/>
        <v>9.7905271347986794E-2</v>
      </c>
      <c r="Q45" s="575">
        <f t="shared" si="18"/>
        <v>0.10199859837445634</v>
      </c>
      <c r="R45" s="575">
        <f t="shared" si="18"/>
        <v>0.10548268194773985</v>
      </c>
      <c r="S45" s="575">
        <f t="shared" si="18"/>
        <v>0.11643316994647732</v>
      </c>
      <c r="T45" s="575">
        <f t="shared" si="18"/>
        <v>0.10953343814686438</v>
      </c>
      <c r="U45" s="575">
        <f t="shared" si="18"/>
        <v>9.3744062110280663E-2</v>
      </c>
      <c r="V45" s="575">
        <f t="shared" si="18"/>
        <v>0.10821981604377692</v>
      </c>
      <c r="W45" s="575">
        <f t="shared" si="18"/>
        <v>0.11380566581480071</v>
      </c>
      <c r="X45" s="575">
        <f t="shared" si="18"/>
        <v>0.11481599659646884</v>
      </c>
      <c r="Y45" s="575">
        <f t="shared" si="18"/>
        <v>9.7977178423236513E-2</v>
      </c>
      <c r="Z45" s="575">
        <f t="shared" si="18"/>
        <v>9.1534864168987443E-2</v>
      </c>
      <c r="AA45" s="575">
        <f t="shared" si="18"/>
        <v>8.8787257530357988E-2</v>
      </c>
      <c r="AB45" s="575">
        <f>IF(AB44=0,"NA",AB44/AB$7)</f>
        <v>8.0868569048114972E-2</v>
      </c>
      <c r="AC45" s="575">
        <f>IF(AC44=0,"NA",AC44/AC$7)</f>
        <v>7.320988975703735E-2</v>
      </c>
      <c r="AD45" s="575">
        <f t="shared" si="18"/>
        <v>7.415553809897879E-2</v>
      </c>
      <c r="AE45" s="575">
        <f>IF(AE44=0,"NA",AE44/AE$7)</f>
        <v>7.1163494992334056E-2</v>
      </c>
      <c r="AF45" s="575">
        <f>IF(AF44=0,"NA",AF44/AF$7)</f>
        <v>6.3419436656948269E-2</v>
      </c>
      <c r="AG45" s="575">
        <f>IF(AG44=0,"NA",AG44/AG$7)</f>
        <v>5.9051349728574426E-2</v>
      </c>
      <c r="AH45" s="575">
        <f>IF(AH44=0,"NA",AH44/AH$7)</f>
        <v>5.4262821577829974E-2</v>
      </c>
      <c r="AI45" s="575">
        <f>IF(AI44=0,"NA",AI44/AI$7)</f>
        <v>5.1953477324082321E-2</v>
      </c>
      <c r="AK45" s="571"/>
      <c r="AL45" s="305"/>
      <c r="AM45" s="572"/>
      <c r="AN45" s="335"/>
    </row>
    <row r="46" spans="1:46" x14ac:dyDescent="0.2">
      <c r="A46" s="310"/>
      <c r="B46" s="310"/>
      <c r="C46" s="310"/>
      <c r="D46" s="310"/>
      <c r="E46" s="310"/>
      <c r="F46" s="310"/>
      <c r="G46" s="310"/>
      <c r="H46" s="310"/>
      <c r="I46" s="310"/>
      <c r="J46" s="310"/>
      <c r="K46" s="310"/>
      <c r="L46" s="310"/>
      <c r="M46" s="310"/>
      <c r="N46" s="310"/>
      <c r="O46" s="310"/>
      <c r="P46" s="310"/>
      <c r="Q46" s="310"/>
      <c r="R46" s="310"/>
      <c r="S46" s="589"/>
      <c r="T46" s="589"/>
      <c r="U46" s="589"/>
      <c r="V46" s="589"/>
      <c r="W46" s="589"/>
      <c r="X46" s="949"/>
      <c r="Y46" s="589"/>
      <c r="Z46" s="589"/>
      <c r="AA46" s="589"/>
      <c r="AB46" s="589"/>
      <c r="AC46" s="585"/>
      <c r="AD46" s="950"/>
      <c r="AE46" s="310"/>
      <c r="AF46" s="310"/>
      <c r="AG46" s="310"/>
      <c r="AH46" s="310"/>
      <c r="AI46" s="310"/>
      <c r="AK46" s="571"/>
      <c r="AL46" s="305"/>
      <c r="AM46" s="572"/>
      <c r="AN46" s="335"/>
    </row>
    <row r="47" spans="1:46" x14ac:dyDescent="0.2">
      <c r="A47" s="303" t="s">
        <v>336</v>
      </c>
      <c r="B47" s="576">
        <v>41.326000000000001</v>
      </c>
      <c r="C47" s="577">
        <f>INDEX('qtrP&amp;L'!104:104,MATCH(C5,'qtrP&amp;L'!6:6,0))</f>
        <v>30.332000000000001</v>
      </c>
      <c r="D47" s="577">
        <f>INDEX('qtrP&amp;L'!104:104,MATCH(D5,'qtrP&amp;L'!6:6,0))</f>
        <v>26.008000000000003</v>
      </c>
      <c r="E47" s="577">
        <f>INDEX('qtrP&amp;L'!104:104,MATCH(E5,'qtrP&amp;L'!6:6,0))</f>
        <v>14.393000000000001</v>
      </c>
      <c r="F47" s="577">
        <f>INDEX('qtrP&amp;L'!104:104,MATCH(F5,'qtrP&amp;L'!6:6,0))</f>
        <v>5.7110000000000003</v>
      </c>
      <c r="G47" s="577">
        <f>INDEX('qtrP&amp;L'!104:104,MATCH(G5,'qtrP&amp;L'!6:6,0))</f>
        <v>6.4239999999999995</v>
      </c>
      <c r="H47" s="577">
        <f>INDEX('qtrP&amp;L'!104:104,MATCH(H5,'qtrP&amp;L'!6:6,0))</f>
        <v>13.149999999999999</v>
      </c>
      <c r="I47" s="577">
        <f>INDEX('qtrP&amp;L'!104:104,MATCH(I5,'qtrP&amp;L'!6:6,0))</f>
        <v>17.622000000000003</v>
      </c>
      <c r="J47" s="577">
        <f>INDEX('qtrP&amp;L'!104:104,MATCH(J5,'qtrP&amp;L'!6:6,0))</f>
        <v>23.772000000000002</v>
      </c>
      <c r="K47" s="577">
        <f>INDEX('qtrP&amp;L'!104:104,MATCH(K5,'qtrP&amp;L'!6:6,0))</f>
        <v>21.116</v>
      </c>
      <c r="L47" s="577">
        <f>INDEX('qtrP&amp;L'!104:104,MATCH(L5,'qtrP&amp;L'!6:6,0))</f>
        <v>27.163</v>
      </c>
      <c r="M47" s="577">
        <f>INDEX('qtrP&amp;L'!104:104,MATCH(M5,'qtrP&amp;L'!6:6,0))</f>
        <v>38.613</v>
      </c>
      <c r="N47" s="577">
        <f>INDEX('qtrP&amp;L'!104:104,MATCH(N5,'qtrP&amp;L'!6:6,0))</f>
        <v>50.111000000000004</v>
      </c>
      <c r="O47" s="577">
        <f>INDEX('qtrP&amp;L'!104:104,MATCH(O5,'qtrP&amp;L'!6:6,0))</f>
        <v>56.027000000000001</v>
      </c>
      <c r="P47" s="577">
        <f>INDEX('qtrP&amp;L'!104:104,MATCH(P5,'qtrP&amp;L'!6:6,0))</f>
        <v>72.965999999999994</v>
      </c>
      <c r="Q47" s="577">
        <f>INDEX('qtrP&amp;L'!104:104,MATCH(Q5,'qtrP&amp;L'!6:6,0))</f>
        <v>62.470999999999997</v>
      </c>
      <c r="R47" s="577">
        <f>INDEX('qtrP&amp;L'!104:104,MATCH(R5,'qtrP&amp;L'!6:6,0))</f>
        <v>70.3</v>
      </c>
      <c r="S47" s="577">
        <f>INDEX('qtrP&amp;L'!104:104,MATCH(S5,'qtrP&amp;L'!6:6,0))</f>
        <v>40.408500000000004</v>
      </c>
      <c r="T47" s="577">
        <f>INDEX('qtrP&amp;L'!104:104,MATCH(T5,'qtrP&amp;L'!6:6,0))</f>
        <v>62.4</v>
      </c>
      <c r="U47" s="577">
        <f>INDEX('qtrP&amp;L'!104:104,MATCH(U5,'qtrP&amp;L'!6:6,0))</f>
        <v>111.456</v>
      </c>
      <c r="V47" s="577">
        <f>INDEX('qtrP&amp;L'!104:104,MATCH(V5,'qtrP&amp;L'!6:6,0))</f>
        <v>301</v>
      </c>
      <c r="W47" s="577">
        <f>INDEX('qtrP&amp;L'!104:104,MATCH(W5,'qtrP&amp;L'!6:6,0))</f>
        <v>305</v>
      </c>
      <c r="X47" s="577">
        <f>INDEX('qtrP&amp;L'!104:104,MATCH(X5,'qtrP&amp;L'!6:6,0))</f>
        <v>299</v>
      </c>
      <c r="Y47" s="577">
        <f>INDEX('qtrP&amp;L'!104:104,MATCH(Y5,'qtrP&amp;L'!6:6,0))</f>
        <v>328.5</v>
      </c>
      <c r="Z47" s="577">
        <f>INDEX('qtrP&amp;L'!104:104,MATCH(Z5,'qtrP&amp;L'!6:6,0))</f>
        <v>338</v>
      </c>
      <c r="AA47" s="577">
        <f>INDEX('qtrP&amp;L'!104:104,MATCH(AA5,'qtrP&amp;L'!6:6,0))</f>
        <v>340</v>
      </c>
      <c r="AB47" s="577">
        <f>INDEX('qtrP&amp;L'!104:104,MATCH(AB5,'qtrP&amp;L'!6:6,0))</f>
        <v>328</v>
      </c>
      <c r="AC47" s="577">
        <f>INDEX('qtrP&amp;L'!104:104,MATCH(AC5,'qtrP&amp;L'!6:6,0))</f>
        <v>308</v>
      </c>
      <c r="AD47" s="577">
        <f>INDEX('qtrP&amp;L'!104:104,MATCH(AD5,'qtrP&amp;L'!6:6,0))</f>
        <v>299</v>
      </c>
      <c r="AE47" s="577">
        <f>INDEX('qtrP&amp;L'!104:104,MATCH(AE5,'qtrP&amp;L'!6:6,0))</f>
        <v>280</v>
      </c>
      <c r="AF47" s="987">
        <f>AE47</f>
        <v>280</v>
      </c>
      <c r="AG47" s="987">
        <f>AF47</f>
        <v>280</v>
      </c>
      <c r="AH47" s="987">
        <f>AG47</f>
        <v>280</v>
      </c>
      <c r="AI47" s="1171">
        <f>AH47</f>
        <v>280</v>
      </c>
      <c r="AK47" s="571">
        <f>RATE(5,,-X47,AC47)*100</f>
        <v>0.59488665600256119</v>
      </c>
      <c r="AL47" s="305" t="s">
        <v>102</v>
      </c>
      <c r="AM47" s="572">
        <f>RATE(6,,-AC47,AI47)*100</f>
        <v>-1.5759528290077676</v>
      </c>
      <c r="AN47" s="335" t="s">
        <v>102</v>
      </c>
    </row>
    <row r="48" spans="1:46" x14ac:dyDescent="0.2">
      <c r="A48" s="573" t="s">
        <v>243</v>
      </c>
      <c r="B48" s="574"/>
      <c r="C48" s="575">
        <f>C47/B47-1</f>
        <v>-0.26603107002855342</v>
      </c>
      <c r="D48" s="575">
        <f t="shared" ref="D48:Y48" si="19">D47/C47-1</f>
        <v>-0.1425557167348015</v>
      </c>
      <c r="E48" s="575">
        <f t="shared" si="19"/>
        <v>-0.44659335589049531</v>
      </c>
      <c r="F48" s="575">
        <f t="shared" si="19"/>
        <v>-0.60320989369832556</v>
      </c>
      <c r="G48" s="575">
        <f t="shared" si="19"/>
        <v>0.12484678690246875</v>
      </c>
      <c r="H48" s="575">
        <f t="shared" si="19"/>
        <v>1.0470112079701122</v>
      </c>
      <c r="I48" s="575">
        <f t="shared" si="19"/>
        <v>0.34007604562737681</v>
      </c>
      <c r="J48" s="575">
        <f t="shared" si="19"/>
        <v>0.3489955737146746</v>
      </c>
      <c r="K48" s="575">
        <f t="shared" si="19"/>
        <v>-0.11172808345953233</v>
      </c>
      <c r="L48" s="575">
        <f t="shared" si="19"/>
        <v>0.28637052472059099</v>
      </c>
      <c r="M48" s="575">
        <f t="shared" si="19"/>
        <v>0.42152928616132246</v>
      </c>
      <c r="N48" s="575">
        <f t="shared" si="19"/>
        <v>0.29777536062983989</v>
      </c>
      <c r="O48" s="575">
        <f t="shared" si="19"/>
        <v>0.11805791143661071</v>
      </c>
      <c r="P48" s="575">
        <f t="shared" si="19"/>
        <v>0.30233637353418885</v>
      </c>
      <c r="Q48" s="575">
        <f t="shared" si="19"/>
        <v>-0.14383411451909101</v>
      </c>
      <c r="R48" s="575">
        <f t="shared" si="19"/>
        <v>0.12532214947735754</v>
      </c>
      <c r="S48" s="575">
        <f t="shared" si="19"/>
        <v>-0.42519914651493596</v>
      </c>
      <c r="T48" s="575">
        <f t="shared" si="19"/>
        <v>0.54422955566279363</v>
      </c>
      <c r="U48" s="575">
        <f t="shared" si="19"/>
        <v>0.7861538461538462</v>
      </c>
      <c r="V48" s="575">
        <f t="shared" si="19"/>
        <v>1.7006172839506171</v>
      </c>
      <c r="W48" s="575">
        <f t="shared" si="19"/>
        <v>1.3289036544850585E-2</v>
      </c>
      <c r="X48" s="575">
        <f t="shared" si="19"/>
        <v>-1.9672131147540961E-2</v>
      </c>
      <c r="Y48" s="575">
        <f t="shared" si="19"/>
        <v>9.8662207357859577E-2</v>
      </c>
      <c r="Z48" s="575">
        <f t="shared" ref="Z48:AF48" si="20">Z47/Y47-1</f>
        <v>2.8919330289193246E-2</v>
      </c>
      <c r="AA48" s="575">
        <f t="shared" si="20"/>
        <v>5.9171597633136397E-3</v>
      </c>
      <c r="AB48" s="575">
        <f t="shared" si="20"/>
        <v>-3.5294117647058809E-2</v>
      </c>
      <c r="AC48" s="575">
        <f t="shared" si="20"/>
        <v>-6.0975609756097615E-2</v>
      </c>
      <c r="AD48" s="575">
        <f t="shared" si="20"/>
        <v>-2.9220779220779258E-2</v>
      </c>
      <c r="AE48" s="575">
        <f t="shared" si="20"/>
        <v>-6.3545150501672198E-2</v>
      </c>
      <c r="AF48" s="575">
        <f t="shared" si="20"/>
        <v>0</v>
      </c>
      <c r="AG48" s="575">
        <f>AG47/AF47-1</f>
        <v>0</v>
      </c>
      <c r="AH48" s="575">
        <f>AH47/AG47-1</f>
        <v>0</v>
      </c>
      <c r="AI48" s="575">
        <f>AI47/AH47-1</f>
        <v>0</v>
      </c>
      <c r="AK48" s="334"/>
      <c r="AL48" s="305"/>
      <c r="AM48" s="305"/>
      <c r="AN48" s="335"/>
    </row>
    <row r="49" spans="1:48" hidden="1" outlineLevel="1" x14ac:dyDescent="0.2">
      <c r="A49" s="310"/>
      <c r="B49" s="590"/>
      <c r="C49" s="591"/>
      <c r="D49" s="591"/>
      <c r="E49" s="591"/>
      <c r="F49" s="591"/>
      <c r="G49" s="591"/>
      <c r="H49" s="591"/>
      <c r="I49" s="591"/>
      <c r="J49" s="591"/>
      <c r="K49" s="591"/>
      <c r="L49" s="591"/>
      <c r="M49" s="591"/>
      <c r="N49" s="591"/>
      <c r="O49" s="591"/>
      <c r="P49" s="591"/>
      <c r="Q49" s="591"/>
      <c r="R49" s="591"/>
      <c r="S49" s="591"/>
      <c r="T49" s="591"/>
      <c r="U49" s="591"/>
      <c r="V49" s="591"/>
      <c r="W49" s="591"/>
      <c r="X49" s="591"/>
      <c r="Y49" s="591"/>
      <c r="Z49" s="591"/>
      <c r="AA49" s="591"/>
      <c r="AB49" s="591"/>
      <c r="AC49" s="591"/>
      <c r="AD49" s="591"/>
      <c r="AE49" s="591"/>
      <c r="AF49" s="591"/>
      <c r="AG49" s="591"/>
      <c r="AH49" s="591"/>
      <c r="AI49" s="591"/>
      <c r="AK49" s="571"/>
      <c r="AL49" s="305"/>
      <c r="AM49" s="572"/>
      <c r="AN49" s="335"/>
    </row>
    <row r="50" spans="1:48" hidden="1" outlineLevel="1" x14ac:dyDescent="0.2">
      <c r="A50" s="303" t="s">
        <v>287</v>
      </c>
      <c r="B50" s="576">
        <v>0</v>
      </c>
      <c r="C50" s="577">
        <f>INDEX('qtrP&amp;L'!114:114,MATCH(C5,'qtrP&amp;L'!6:6,0))</f>
        <v>0</v>
      </c>
      <c r="D50" s="577">
        <f>INDEX('qtrP&amp;L'!114:114,MATCH(D5,'qtrP&amp;L'!6:6,0))</f>
        <v>0</v>
      </c>
      <c r="E50" s="577">
        <f>INDEX('qtrP&amp;L'!114:114,MATCH(E5,'qtrP&amp;L'!6:6,0))</f>
        <v>17.734999999999999</v>
      </c>
      <c r="F50" s="577">
        <f>INDEX('qtrP&amp;L'!114:114,MATCH(F5,'qtrP&amp;L'!6:6,0))</f>
        <v>0</v>
      </c>
      <c r="G50" s="577">
        <f>INDEX('qtrP&amp;L'!114:114,MATCH(G5,'qtrP&amp;L'!6:6,0))</f>
        <v>0</v>
      </c>
      <c r="H50" s="577">
        <f>INDEX('qtrP&amp;L'!114:114,MATCH(H5,'qtrP&amp;L'!6:6,0))</f>
        <v>14.052</v>
      </c>
      <c r="I50" s="577">
        <f>INDEX('qtrP&amp;L'!114:114,MATCH(I5,'qtrP&amp;L'!6:6,0))</f>
        <v>0</v>
      </c>
      <c r="J50" s="577">
        <f>INDEX('qtrP&amp;L'!114:114,MATCH(J5,'qtrP&amp;L'!6:6,0))</f>
        <v>0</v>
      </c>
      <c r="K50" s="577">
        <f>INDEX('qtrP&amp;L'!114:114,MATCH(K5,'qtrP&amp;L'!6:6,0))</f>
        <v>0</v>
      </c>
      <c r="L50" s="577">
        <f>INDEX('qtrP&amp;L'!114:114,MATCH(L5,'qtrP&amp;L'!6:6,0))</f>
        <v>0</v>
      </c>
      <c r="M50" s="577">
        <f>INDEX('qtrP&amp;L'!114:114,MATCH(M5,'qtrP&amp;L'!6:6,0))</f>
        <v>0</v>
      </c>
      <c r="N50" s="577">
        <f>INDEX('qtrP&amp;L'!114:114,MATCH(N5,'qtrP&amp;L'!6:6,0))</f>
        <v>0</v>
      </c>
      <c r="O50" s="577">
        <f>INDEX('qtrP&amp;L'!114:114,MATCH(O5,'qtrP&amp;L'!6:6,0))</f>
        <v>0</v>
      </c>
      <c r="P50" s="577">
        <f>INDEX('qtrP&amp;L'!114:114,MATCH(P5,'qtrP&amp;L'!6:6,0))</f>
        <v>0</v>
      </c>
      <c r="Q50" s="577">
        <f>INDEX('qtrP&amp;L'!114:114,MATCH(Q5,'qtrP&amp;L'!6:6,0))</f>
        <v>0</v>
      </c>
      <c r="R50" s="577">
        <f>INDEX('qtrP&amp;L'!114:114,MATCH(R5,'qtrP&amp;L'!6:6,0))</f>
        <v>-10.277813504823152</v>
      </c>
      <c r="S50" s="577">
        <f>INDEX('qtrP&amp;L'!114:114,MATCH(S5,'qtrP&amp;L'!6:6,0))</f>
        <v>0</v>
      </c>
      <c r="T50" s="577">
        <f>INDEX('qtrP&amp;L'!114:114,MATCH(T5,'qtrP&amp;L'!6:6,0))</f>
        <v>0</v>
      </c>
      <c r="U50" s="577">
        <f>INDEX('qtrP&amp;L'!114:114,MATCH(U5,'qtrP&amp;L'!6:6,0))</f>
        <v>0</v>
      </c>
      <c r="V50" s="577">
        <f>INDEX('qtrP&amp;L'!114:114,MATCH(V5,'qtrP&amp;L'!6:6,0))</f>
        <v>0</v>
      </c>
      <c r="W50" s="577">
        <f>INDEX('qtrP&amp;L'!114:114,MATCH(W5,'qtrP&amp;L'!6:6,0))</f>
        <v>0</v>
      </c>
      <c r="X50" s="577">
        <f>INDEX('qtrP&amp;L'!114:114,MATCH(X5,'qtrP&amp;L'!6:6,0))</f>
        <v>0</v>
      </c>
      <c r="Y50" s="577">
        <f>INDEX('qtrP&amp;L'!114:114,MATCH(Y5,'qtrP&amp;L'!6:6,0))</f>
        <v>0</v>
      </c>
      <c r="Z50" s="454">
        <f>INDEX('qtrP&amp;L'!114:114,MATCH(Z5,'qtrP&amp;L'!6:6,0))</f>
        <v>0</v>
      </c>
      <c r="AA50" s="454">
        <f>INDEX('qtrP&amp;L'!114:114,MATCH(AA5,'qtrP&amp;L'!6:6,0))</f>
        <v>0</v>
      </c>
      <c r="AB50" s="454">
        <f>INDEX('qtrP&amp;L'!114:114,MATCH(AB5,'qtrP&amp;L'!6:6,0))</f>
        <v>0</v>
      </c>
      <c r="AC50" s="454">
        <v>0</v>
      </c>
      <c r="AD50" s="454">
        <v>0</v>
      </c>
      <c r="AE50" s="454">
        <v>0</v>
      </c>
      <c r="AF50" s="454">
        <v>0</v>
      </c>
      <c r="AG50" s="454">
        <v>0</v>
      </c>
      <c r="AH50" s="454">
        <v>0</v>
      </c>
      <c r="AI50" s="454"/>
      <c r="AJ50" s="417"/>
      <c r="AK50" s="571"/>
      <c r="AL50" s="305"/>
      <c r="AM50" s="572"/>
      <c r="AN50" s="335"/>
    </row>
    <row r="51" spans="1:48" hidden="1" outlineLevel="1" x14ac:dyDescent="0.2">
      <c r="A51" s="310"/>
      <c r="B51" s="591"/>
      <c r="C51" s="591"/>
      <c r="D51" s="591"/>
      <c r="E51" s="591"/>
      <c r="F51" s="591"/>
      <c r="G51" s="591"/>
      <c r="H51" s="591"/>
      <c r="I51" s="591"/>
      <c r="J51" s="591"/>
      <c r="K51" s="591"/>
      <c r="L51" s="591"/>
      <c r="M51" s="591"/>
      <c r="N51" s="591"/>
      <c r="O51" s="591"/>
      <c r="P51" s="591"/>
      <c r="Q51" s="591"/>
      <c r="R51" s="591"/>
      <c r="S51" s="591"/>
      <c r="T51" s="591"/>
      <c r="U51" s="591"/>
      <c r="V51" s="591"/>
      <c r="W51" s="591"/>
      <c r="X51" s="591"/>
      <c r="Y51" s="591"/>
      <c r="Z51" s="591"/>
      <c r="AA51" s="591"/>
      <c r="AB51" s="591"/>
      <c r="AC51" s="591"/>
      <c r="AD51" s="591"/>
      <c r="AE51" s="591"/>
      <c r="AF51" s="591"/>
      <c r="AG51" s="591"/>
      <c r="AH51" s="591"/>
      <c r="AI51" s="591"/>
      <c r="AK51" s="571"/>
      <c r="AL51" s="305"/>
      <c r="AM51" s="572"/>
      <c r="AN51" s="335"/>
    </row>
    <row r="52" spans="1:48" collapsed="1" x14ac:dyDescent="0.2">
      <c r="AK52" s="571"/>
      <c r="AL52" s="305"/>
      <c r="AM52" s="572"/>
      <c r="AN52" s="335"/>
    </row>
    <row r="53" spans="1:48" x14ac:dyDescent="0.2">
      <c r="A53" s="303" t="s">
        <v>338</v>
      </c>
      <c r="B53" s="577">
        <f>B44-B47-B50</f>
        <v>-4.3539999999999921</v>
      </c>
      <c r="C53" s="577">
        <f>C44-C47-C50</f>
        <v>20.594000000000015</v>
      </c>
      <c r="D53" s="577">
        <f t="shared" ref="D53:Y53" si="21">D44-D47-D50</f>
        <v>33.302999999999976</v>
      </c>
      <c r="E53" s="577">
        <f t="shared" si="21"/>
        <v>50.133999999999943</v>
      </c>
      <c r="F53" s="577">
        <f t="shared" si="21"/>
        <v>96.544999999999916</v>
      </c>
      <c r="G53" s="577">
        <f t="shared" si="21"/>
        <v>117.39099999999982</v>
      </c>
      <c r="H53" s="577">
        <f t="shared" si="21"/>
        <v>122.72900000000027</v>
      </c>
      <c r="I53" s="577">
        <f t="shared" si="21"/>
        <v>171.64599999999979</v>
      </c>
      <c r="J53" s="577">
        <f t="shared" si="21"/>
        <v>235.05399999999992</v>
      </c>
      <c r="K53" s="577">
        <f t="shared" si="21"/>
        <v>301.68399999999951</v>
      </c>
      <c r="L53" s="577">
        <f t="shared" si="21"/>
        <v>421.77999999999929</v>
      </c>
      <c r="M53" s="577">
        <f t="shared" si="21"/>
        <v>596.32000000000107</v>
      </c>
      <c r="N53" s="577">
        <f t="shared" si="21"/>
        <v>790.85699999999963</v>
      </c>
      <c r="O53" s="577">
        <f t="shared" si="21"/>
        <v>1021.6220000000019</v>
      </c>
      <c r="P53" s="577">
        <f t="shared" si="21"/>
        <v>933.69600000000025</v>
      </c>
      <c r="Q53" s="577">
        <f t="shared" si="21"/>
        <v>1130.9840000000013</v>
      </c>
      <c r="R53" s="577">
        <f t="shared" si="21"/>
        <v>1353.6778135048221</v>
      </c>
      <c r="S53" s="577">
        <f t="shared" si="21"/>
        <v>1774.2375000000029</v>
      </c>
      <c r="T53" s="577">
        <f t="shared" si="21"/>
        <v>1742.0209999999997</v>
      </c>
      <c r="U53" s="577">
        <f t="shared" si="21"/>
        <v>1424.8589999999997</v>
      </c>
      <c r="V53" s="577">
        <f t="shared" si="21"/>
        <v>1558</v>
      </c>
      <c r="W53" s="577">
        <f t="shared" si="21"/>
        <v>1788</v>
      </c>
      <c r="X53" s="577">
        <f t="shared" si="21"/>
        <v>1860</v>
      </c>
      <c r="Y53" s="577">
        <f t="shared" si="21"/>
        <v>1560.5</v>
      </c>
      <c r="Z53" s="577">
        <f t="shared" ref="Z53:AE53" si="22">Z44-Z47-Z50</f>
        <v>1404</v>
      </c>
      <c r="AA53" s="577">
        <f t="shared" si="22"/>
        <v>1349</v>
      </c>
      <c r="AB53" s="577">
        <f t="shared" si="22"/>
        <v>1225</v>
      </c>
      <c r="AC53" s="577">
        <f>AC44-AC47-AC50</f>
        <v>1060</v>
      </c>
      <c r="AD53" s="577">
        <f>AD44-AD47-AD50</f>
        <v>1117</v>
      </c>
      <c r="AE53" s="577">
        <f t="shared" si="22"/>
        <v>1056.8090430399989</v>
      </c>
      <c r="AF53" s="577">
        <f>AF44-AF47-AF50</f>
        <v>893.97004539693989</v>
      </c>
      <c r="AG53" s="577">
        <f>AG44-AG47-AG50</f>
        <v>796.71483042572436</v>
      </c>
      <c r="AH53" s="577">
        <f>AH44-AH47-AH50</f>
        <v>694.56199099786318</v>
      </c>
      <c r="AI53" s="577">
        <f>AI44-AI47-AI50</f>
        <v>639.08980376525324</v>
      </c>
      <c r="AK53" s="571">
        <f>RATE(5,,-X53,AC53)*100</f>
        <v>-10.636826295816425</v>
      </c>
      <c r="AL53" s="305" t="s">
        <v>102</v>
      </c>
      <c r="AM53" s="572">
        <f>RATE(6,,-AC53,AI53)*100</f>
        <v>-8.0871984320619337</v>
      </c>
      <c r="AN53" s="335" t="s">
        <v>102</v>
      </c>
    </row>
    <row r="54" spans="1:48" x14ac:dyDescent="0.2">
      <c r="A54" s="573" t="s">
        <v>45</v>
      </c>
      <c r="B54" s="575">
        <f t="shared" ref="B54:AA54" si="23">IF(B53=0,"NA",B53/B$7)</f>
        <v>-5.9646940525671091E-3</v>
      </c>
      <c r="C54" s="575">
        <f t="shared" si="23"/>
        <v>2.6075120759184361E-2</v>
      </c>
      <c r="D54" s="575">
        <f t="shared" si="23"/>
        <v>3.5793281787052357E-2</v>
      </c>
      <c r="E54" s="575">
        <f t="shared" si="23"/>
        <v>4.5707002560044292E-2</v>
      </c>
      <c r="F54" s="575">
        <f t="shared" si="23"/>
        <v>7.394684436274504E-2</v>
      </c>
      <c r="G54" s="575">
        <f t="shared" si="23"/>
        <v>7.5539239659210722E-2</v>
      </c>
      <c r="H54" s="575">
        <f t="shared" si="23"/>
        <v>6.3733175327639516E-2</v>
      </c>
      <c r="I54" s="575">
        <f t="shared" si="23"/>
        <v>7.186351266485233E-2</v>
      </c>
      <c r="J54" s="575">
        <f t="shared" si="23"/>
        <v>7.6812924089665488E-2</v>
      </c>
      <c r="K54" s="575">
        <f t="shared" si="23"/>
        <v>8.1941494418339228E-2</v>
      </c>
      <c r="L54" s="575">
        <f t="shared" si="23"/>
        <v>9.255691269217757E-2</v>
      </c>
      <c r="M54" s="575">
        <f t="shared" si="23"/>
        <v>9.6927928220799223E-2</v>
      </c>
      <c r="N54" s="575">
        <f t="shared" si="23"/>
        <v>0.1056074756371178</v>
      </c>
      <c r="O54" s="575">
        <f t="shared" si="23"/>
        <v>0.11201749961623668</v>
      </c>
      <c r="P54" s="575">
        <f t="shared" si="23"/>
        <v>9.0808792063800839E-2</v>
      </c>
      <c r="Q54" s="575">
        <f t="shared" si="23"/>
        <v>9.6659516097327619E-2</v>
      </c>
      <c r="R54" s="575">
        <f t="shared" si="23"/>
        <v>0.10100414958027952</v>
      </c>
      <c r="S54" s="575">
        <f t="shared" si="23"/>
        <v>0.11384043850035382</v>
      </c>
      <c r="T54" s="575">
        <f t="shared" si="23"/>
        <v>0.10574558235247696</v>
      </c>
      <c r="U54" s="575">
        <f t="shared" si="23"/>
        <v>8.6943153321026229E-2</v>
      </c>
      <c r="V54" s="575">
        <f t="shared" si="23"/>
        <v>9.0697403655838865E-2</v>
      </c>
      <c r="W54" s="575">
        <f t="shared" si="23"/>
        <v>9.7221467021912894E-2</v>
      </c>
      <c r="X54" s="575">
        <f t="shared" si="23"/>
        <v>9.8915124441608174E-2</v>
      </c>
      <c r="Y54" s="575">
        <f t="shared" si="23"/>
        <v>8.0938796680497929E-2</v>
      </c>
      <c r="Z54" s="575">
        <f t="shared" si="23"/>
        <v>7.3774368136198837E-2</v>
      </c>
      <c r="AA54" s="575">
        <f t="shared" si="23"/>
        <v>7.0914156547337431E-2</v>
      </c>
      <c r="AB54" s="575">
        <f t="shared" ref="AB54:AH54" si="24">IF(AB53=0,"NA",AB53/AB$7)</f>
        <v>6.3788794001249746E-2</v>
      </c>
      <c r="AC54" s="575">
        <f t="shared" si="24"/>
        <v>5.6726961361447073E-2</v>
      </c>
      <c r="AD54" s="575">
        <f t="shared" si="24"/>
        <v>5.8496988740507988E-2</v>
      </c>
      <c r="AE54" s="575">
        <f t="shared" si="24"/>
        <v>5.6258016381461634E-2</v>
      </c>
      <c r="AF54" s="575">
        <f t="shared" si="24"/>
        <v>4.8293461055124956E-2</v>
      </c>
      <c r="AG54" s="575">
        <f t="shared" si="24"/>
        <v>4.3695029320631983E-2</v>
      </c>
      <c r="AH54" s="575">
        <f t="shared" si="24"/>
        <v>3.8672648574842719E-2</v>
      </c>
      <c r="AI54" s="575">
        <f>IF(AI53=0,"NA",AI53/AI$7)</f>
        <v>3.612589051901912E-2</v>
      </c>
      <c r="AK54" s="334"/>
      <c r="AL54" s="305"/>
      <c r="AM54" s="305"/>
      <c r="AN54" s="335"/>
    </row>
    <row r="55" spans="1:48" x14ac:dyDescent="0.2">
      <c r="A55" s="310"/>
      <c r="B55" s="591"/>
      <c r="C55" s="591"/>
      <c r="D55" s="591"/>
      <c r="E55" s="591"/>
      <c r="F55" s="591"/>
      <c r="G55" s="591"/>
      <c r="H55" s="591"/>
      <c r="I55" s="591"/>
      <c r="J55" s="591"/>
      <c r="K55" s="591"/>
      <c r="L55" s="591"/>
      <c r="M55" s="591"/>
      <c r="N55" s="591"/>
      <c r="O55" s="591"/>
      <c r="P55" s="591"/>
      <c r="Q55" s="591"/>
      <c r="R55" s="591"/>
      <c r="S55" s="591"/>
      <c r="T55" s="591"/>
      <c r="U55" s="591"/>
      <c r="V55" s="591"/>
      <c r="W55" s="591"/>
      <c r="X55" s="591"/>
      <c r="Y55" s="591"/>
      <c r="Z55" s="591"/>
      <c r="AA55" s="591"/>
      <c r="AB55" s="591"/>
      <c r="AC55" s="591"/>
      <c r="AD55" s="591"/>
      <c r="AE55" s="591"/>
      <c r="AF55" s="591"/>
      <c r="AG55" s="591"/>
      <c r="AH55" s="591"/>
      <c r="AI55" s="591"/>
      <c r="AK55" s="334"/>
      <c r="AL55" s="305"/>
      <c r="AM55" s="305"/>
      <c r="AN55" s="335"/>
    </row>
    <row r="56" spans="1:48" x14ac:dyDescent="0.2">
      <c r="A56" s="303" t="s">
        <v>339</v>
      </c>
      <c r="B56" s="592">
        <v>0.217</v>
      </c>
      <c r="C56" s="577">
        <f>INDEX('qtrP&amp;L'!134:134,MATCH(C5,'qtrP&amp;L'!6:6,0))</f>
        <v>9.1080000000000005</v>
      </c>
      <c r="D56" s="577">
        <f>INDEX('qtrP&amp;L'!134:134,MATCH(D5,'qtrP&amp;L'!6:6,0))</f>
        <v>14.538</v>
      </c>
      <c r="E56" s="577">
        <f>INDEX('qtrP&amp;L'!134:134,MATCH(E5,'qtrP&amp;L'!6:6,0))</f>
        <v>21.442</v>
      </c>
      <c r="F56" s="577">
        <f>INDEX('qtrP&amp;L'!134:134,MATCH(F5,'qtrP&amp;L'!6:6,0))</f>
        <v>41.028999999999996</v>
      </c>
      <c r="G56" s="577">
        <f>INDEX('qtrP&amp;L'!134:134,MATCH(G5,'qtrP&amp;L'!6:6,0))</f>
        <v>48.939</v>
      </c>
      <c r="H56" s="577">
        <f>INDEX('qtrP&amp;L'!134:134,MATCH(H5,'qtrP&amp;L'!6:6,0))</f>
        <v>50.076999999999998</v>
      </c>
      <c r="I56" s="577">
        <f>INDEX('qtrP&amp;L'!134:134,MATCH(I5,'qtrP&amp;L'!6:6,0))</f>
        <v>68.89</v>
      </c>
      <c r="J56" s="577">
        <f>INDEX('qtrP&amp;L'!134:134,MATCH(J5,'qtrP&amp;L'!6:6,0))</f>
        <v>93.797665999999964</v>
      </c>
      <c r="K56" s="577">
        <f>INDEX('qtrP&amp;L'!134:134,MATCH(K5,'qtrP&amp;L'!6:6,0))</f>
        <v>123.599414</v>
      </c>
      <c r="L56" s="577">
        <f>INDEX('qtrP&amp;L'!134:134,MATCH(L5,'qtrP&amp;L'!6:6,0))</f>
        <v>162.97</v>
      </c>
      <c r="M56" s="577">
        <f>INDEX('qtrP&amp;L'!134:134,MATCH(M5,'qtrP&amp;L'!6:6,0))</f>
        <v>232.96800000000002</v>
      </c>
      <c r="N56" s="577">
        <f>INDEX('qtrP&amp;L'!134:134,MATCH(N5,'qtrP&amp;L'!6:6,0))</f>
        <v>304.18799999999999</v>
      </c>
      <c r="O56" s="577">
        <f>INDEX('qtrP&amp;L'!134:134,MATCH(O5,'qtrP&amp;L'!6:6,0))</f>
        <v>386.18700000000001</v>
      </c>
      <c r="P56" s="577">
        <f>INDEX('qtrP&amp;L'!134:134,MATCH(P5,'qtrP&amp;L'!6:6,0))</f>
        <v>352.97399999999999</v>
      </c>
      <c r="Q56" s="577">
        <f>INDEX('qtrP&amp;L'!134:134,MATCH(Q5,'qtrP&amp;L'!6:6,0))</f>
        <v>427.47111200000012</v>
      </c>
      <c r="R56" s="577">
        <f>INDEX('qtrP&amp;L'!134:134,MATCH(R5,'qtrP&amp;L'!6:6,0))</f>
        <v>511.77803390083386</v>
      </c>
      <c r="S56" s="577">
        <f>INDEX('qtrP&amp;L'!134:134,MATCH(S5,'qtrP&amp;L'!6:6,0))</f>
        <v>665.6397244599957</v>
      </c>
      <c r="T56" s="577">
        <f>INDEX('qtrP&amp;L'!134:134,MATCH(T5,'qtrP&amp;L'!6:6,0))</f>
        <v>658.19999999999993</v>
      </c>
      <c r="U56" s="577">
        <f>INDEX('qtrP&amp;L'!134:134,MATCH(U5,'qtrP&amp;L'!6:6,0))</f>
        <v>539.73199999999997</v>
      </c>
      <c r="V56" s="577">
        <f>INDEX('qtrP&amp;L'!134:134,MATCH(V5,'qtrP&amp;L'!6:6,0))</f>
        <v>585</v>
      </c>
      <c r="W56" s="577">
        <f>INDEX('qtrP&amp;L'!134:134,MATCH(W5,'qtrP&amp;L'!6:6,0))</f>
        <v>668</v>
      </c>
      <c r="X56" s="577">
        <f>INDEX('qtrP&amp;L'!134:134,MATCH(X5,'qtrP&amp;L'!6:6,0))</f>
        <v>693</v>
      </c>
      <c r="Y56" s="577">
        <f>INDEX('qtrP&amp;L'!134:134,MATCH(Y5,'qtrP&amp;L'!6:6,0))</f>
        <v>575</v>
      </c>
      <c r="Z56" s="577">
        <f>INDEX('qtrP&amp;L'!134:134,MATCH(Z5,'qtrP&amp;L'!6:6,0))</f>
        <v>515</v>
      </c>
      <c r="AA56" s="577">
        <f>INDEX('qtrP&amp;L'!134:134,MATCH(AA5,'qtrP&amp;L'!6:6,0))</f>
        <v>482</v>
      </c>
      <c r="AB56" s="577">
        <f>INDEX('qtrP&amp;L'!134:134,MATCH(AB5,'qtrP&amp;L'!6:6,0))</f>
        <v>442.84000000000003</v>
      </c>
      <c r="AC56" s="577">
        <f>INDEX('qtrP&amp;L'!134:134,MATCH(AC5,'qtrP&amp;L'!6:6,0))</f>
        <v>386.86</v>
      </c>
      <c r="AD56" s="577">
        <f>INDEX('qtrP&amp;L'!134:134,MATCH(AD5,'qtrP&amp;L'!6:6,0))</f>
        <v>400</v>
      </c>
      <c r="AE56" s="577">
        <f>INDEX('qtrP&amp;L'!134:134,MATCH(AE5,'qtrP&amp;L'!6:6,0))</f>
        <v>258.91821554479998</v>
      </c>
      <c r="AF56" s="577">
        <f>AF57*AF53</f>
        <v>219.0226611222505</v>
      </c>
      <c r="AG56" s="577">
        <f>AG57*AG53</f>
        <v>195.19513345430266</v>
      </c>
      <c r="AH56" s="577">
        <f>AH57*AH53</f>
        <v>170.16768779447665</v>
      </c>
      <c r="AI56" s="577">
        <f>AI57*AI53</f>
        <v>156.5770019224872</v>
      </c>
      <c r="AK56" s="571">
        <f>RATE(5,,-X56,AC56)*100</f>
        <v>-11.005305086245821</v>
      </c>
      <c r="AL56" s="305" t="s">
        <v>102</v>
      </c>
      <c r="AM56" s="572">
        <f>RATE(6,,-AC56,AI56)*100</f>
        <v>-13.993945645286285</v>
      </c>
      <c r="AN56" s="335" t="s">
        <v>102</v>
      </c>
    </row>
    <row r="57" spans="1:48" x14ac:dyDescent="0.2">
      <c r="A57" s="573" t="s">
        <v>30</v>
      </c>
      <c r="B57" s="575">
        <f t="shared" ref="B57:AA57" si="25">B56/B53</f>
        <v>-4.9839228295820028E-2</v>
      </c>
      <c r="C57" s="575">
        <f t="shared" si="25"/>
        <v>0.44226473730212651</v>
      </c>
      <c r="D57" s="575">
        <f t="shared" si="25"/>
        <v>0.43653724889649614</v>
      </c>
      <c r="E57" s="575">
        <f t="shared" si="25"/>
        <v>0.42769378066781077</v>
      </c>
      <c r="F57" s="575">
        <f t="shared" si="25"/>
        <v>0.42497281060645326</v>
      </c>
      <c r="G57" s="575">
        <f t="shared" si="25"/>
        <v>0.41688885860074515</v>
      </c>
      <c r="H57" s="575">
        <f t="shared" si="25"/>
        <v>0.4080290721834276</v>
      </c>
      <c r="I57" s="575">
        <f t="shared" si="25"/>
        <v>0.40134928865222658</v>
      </c>
      <c r="J57" s="575">
        <f t="shared" si="25"/>
        <v>0.39904730827809781</v>
      </c>
      <c r="K57" s="575">
        <f t="shared" si="25"/>
        <v>0.40969827369035217</v>
      </c>
      <c r="L57" s="575">
        <f t="shared" si="25"/>
        <v>0.38638626772251</v>
      </c>
      <c r="M57" s="575">
        <f t="shared" si="25"/>
        <v>0.39067614703514825</v>
      </c>
      <c r="N57" s="575">
        <f t="shared" si="25"/>
        <v>0.38463084982493689</v>
      </c>
      <c r="O57" s="575">
        <f t="shared" si="25"/>
        <v>0.37801359015369607</v>
      </c>
      <c r="P57" s="575">
        <f t="shared" si="25"/>
        <v>0.37803953320995259</v>
      </c>
      <c r="Q57" s="575">
        <f t="shared" si="25"/>
        <v>0.37796388985166868</v>
      </c>
      <c r="R57" s="575">
        <f t="shared" si="25"/>
        <v>0.37806487540471961</v>
      </c>
      <c r="S57" s="575">
        <f t="shared" si="25"/>
        <v>0.37516945981583333</v>
      </c>
      <c r="T57" s="575">
        <f t="shared" si="25"/>
        <v>0.37783700655732627</v>
      </c>
      <c r="U57" s="575">
        <f t="shared" si="25"/>
        <v>0.37879677919008131</v>
      </c>
      <c r="V57" s="575">
        <f t="shared" si="25"/>
        <v>0.37548138639281131</v>
      </c>
      <c r="W57" s="575">
        <f t="shared" si="25"/>
        <v>0.37360178970917224</v>
      </c>
      <c r="X57" s="575">
        <f t="shared" si="25"/>
        <v>0.3725806451612903</v>
      </c>
      <c r="Y57" s="575">
        <f t="shared" si="25"/>
        <v>0.36847164370394103</v>
      </c>
      <c r="Z57" s="575">
        <f t="shared" si="25"/>
        <v>0.36680911680911682</v>
      </c>
      <c r="AA57" s="575">
        <f t="shared" si="25"/>
        <v>0.35730170496664193</v>
      </c>
      <c r="AB57" s="575">
        <f>AB56/AB53</f>
        <v>0.36150204081632653</v>
      </c>
      <c r="AC57" s="575">
        <f>AC56/AC53</f>
        <v>0.36496226415094341</v>
      </c>
      <c r="AD57" s="575">
        <f>AD56/AD53</f>
        <v>0.35810205908683973</v>
      </c>
      <c r="AE57" s="575">
        <f>AE56/AE53</f>
        <v>0.24500000000000025</v>
      </c>
      <c r="AF57" s="986">
        <f>AE57</f>
        <v>0.24500000000000025</v>
      </c>
      <c r="AG57" s="986">
        <f>AF57</f>
        <v>0.24500000000000025</v>
      </c>
      <c r="AH57" s="986">
        <f>AG57</f>
        <v>0.24500000000000025</v>
      </c>
      <c r="AI57" s="986">
        <f>AH57</f>
        <v>0.24500000000000025</v>
      </c>
      <c r="AK57" s="334"/>
      <c r="AL57" s="305"/>
      <c r="AM57" s="305"/>
      <c r="AN57" s="335"/>
    </row>
    <row r="58" spans="1:48" x14ac:dyDescent="0.2">
      <c r="A58" s="310"/>
      <c r="B58" s="310"/>
      <c r="C58" s="310"/>
      <c r="D58" s="310"/>
      <c r="E58" s="310"/>
      <c r="F58" s="310"/>
      <c r="G58" s="310"/>
      <c r="H58" s="310"/>
      <c r="I58" s="310"/>
      <c r="J58" s="310"/>
      <c r="K58" s="310"/>
      <c r="L58" s="310"/>
      <c r="M58" s="310"/>
      <c r="N58" s="310"/>
      <c r="O58" s="310"/>
      <c r="P58" s="310"/>
      <c r="Q58" s="310"/>
      <c r="R58" s="310"/>
      <c r="S58" s="310"/>
      <c r="T58" s="310"/>
      <c r="U58" s="310"/>
      <c r="V58" s="310"/>
      <c r="W58" s="310"/>
      <c r="X58" s="310"/>
      <c r="Y58" s="310"/>
      <c r="Z58" s="310"/>
      <c r="AA58" s="310"/>
      <c r="AB58" s="310"/>
      <c r="AC58" s="310"/>
      <c r="AD58" s="310"/>
      <c r="AE58" s="310"/>
      <c r="AF58" s="310"/>
      <c r="AG58" s="310"/>
      <c r="AH58" s="310"/>
      <c r="AI58" s="310"/>
      <c r="AK58" s="334"/>
      <c r="AL58" s="305"/>
      <c r="AM58" s="305"/>
      <c r="AN58" s="335"/>
      <c r="AV58" s="303">
        <f>36/56-1</f>
        <v>-0.3571428571428571</v>
      </c>
    </row>
    <row r="59" spans="1:48" x14ac:dyDescent="0.2">
      <c r="A59" s="303" t="s">
        <v>340</v>
      </c>
      <c r="B59" s="577">
        <f t="shared" ref="B59:Z59" si="26">B53-B56</f>
        <v>-4.5709999999999917</v>
      </c>
      <c r="C59" s="577">
        <f t="shared" si="26"/>
        <v>11.486000000000015</v>
      </c>
      <c r="D59" s="577">
        <f t="shared" si="26"/>
        <v>18.764999999999976</v>
      </c>
      <c r="E59" s="577">
        <f t="shared" si="26"/>
        <v>28.691999999999943</v>
      </c>
      <c r="F59" s="577">
        <f t="shared" si="26"/>
        <v>55.51599999999992</v>
      </c>
      <c r="G59" s="577">
        <f t="shared" si="26"/>
        <v>68.451999999999828</v>
      </c>
      <c r="H59" s="576">
        <f>H53-H56+8.3</f>
        <v>80.952000000000268</v>
      </c>
      <c r="I59" s="577">
        <f t="shared" si="26"/>
        <v>102.75599999999979</v>
      </c>
      <c r="J59" s="577">
        <f t="shared" si="26"/>
        <v>141.25633399999995</v>
      </c>
      <c r="K59" s="577">
        <f t="shared" si="26"/>
        <v>178.08458599999952</v>
      </c>
      <c r="L59" s="577">
        <f t="shared" si="26"/>
        <v>258.80999999999926</v>
      </c>
      <c r="M59" s="577">
        <f t="shared" si="26"/>
        <v>363.35200000000106</v>
      </c>
      <c r="N59" s="577">
        <f t="shared" si="26"/>
        <v>486.66899999999964</v>
      </c>
      <c r="O59" s="577">
        <f t="shared" si="26"/>
        <v>635.43500000000188</v>
      </c>
      <c r="P59" s="577">
        <f t="shared" si="26"/>
        <v>580.72200000000021</v>
      </c>
      <c r="Q59" s="577">
        <f t="shared" si="26"/>
        <v>703.51288800000111</v>
      </c>
      <c r="R59" s="577">
        <f t="shared" si="26"/>
        <v>841.89977960398824</v>
      </c>
      <c r="S59" s="577">
        <f t="shared" si="26"/>
        <v>1108.5977755400072</v>
      </c>
      <c r="T59" s="577">
        <f t="shared" si="26"/>
        <v>1083.8209999999999</v>
      </c>
      <c r="U59" s="577">
        <f t="shared" si="26"/>
        <v>885.12699999999973</v>
      </c>
      <c r="V59" s="577">
        <f t="shared" si="26"/>
        <v>973</v>
      </c>
      <c r="W59" s="577">
        <f t="shared" si="26"/>
        <v>1120</v>
      </c>
      <c r="X59" s="577">
        <f t="shared" si="26"/>
        <v>1167</v>
      </c>
      <c r="Y59" s="577">
        <f t="shared" si="26"/>
        <v>985.5</v>
      </c>
      <c r="Z59" s="577">
        <f t="shared" si="26"/>
        <v>889</v>
      </c>
      <c r="AA59" s="577">
        <f t="shared" ref="AA59:AF59" si="27">AA53-AA56</f>
        <v>867</v>
      </c>
      <c r="AB59" s="577">
        <f t="shared" si="27"/>
        <v>782.16</v>
      </c>
      <c r="AC59" s="1039">
        <f>AC53-AC56</f>
        <v>673.14</v>
      </c>
      <c r="AD59" s="577">
        <f t="shared" si="27"/>
        <v>717</v>
      </c>
      <c r="AE59" s="577">
        <f t="shared" si="27"/>
        <v>797.89082749519889</v>
      </c>
      <c r="AF59" s="577">
        <f t="shared" si="27"/>
        <v>674.9473842746894</v>
      </c>
      <c r="AG59" s="577">
        <f>AG53-AG56</f>
        <v>601.51969697142169</v>
      </c>
      <c r="AH59" s="577">
        <f>AH53-AH56</f>
        <v>524.39430320338647</v>
      </c>
      <c r="AI59" s="577">
        <f>AI53-AI56</f>
        <v>482.51280184276607</v>
      </c>
      <c r="AK59" s="571">
        <f>RATE(5,,-X59,AC59)*100</f>
        <v>-10.420855923081374</v>
      </c>
      <c r="AL59" s="305" t="s">
        <v>102</v>
      </c>
      <c r="AM59" s="572">
        <f>RATE(6,,-AC59,AI59)*100</f>
        <v>-5.3979443111461478</v>
      </c>
      <c r="AN59" s="335" t="s">
        <v>102</v>
      </c>
    </row>
    <row r="60" spans="1:48" x14ac:dyDescent="0.2">
      <c r="A60" s="573" t="s">
        <v>45</v>
      </c>
      <c r="B60" s="575">
        <f t="shared" ref="B60:AD60" si="28">B59/B7</f>
        <v>-6.2619698011677207E-3</v>
      </c>
      <c r="C60" s="575">
        <f t="shared" si="28"/>
        <v>1.4543014326502464E-2</v>
      </c>
      <c r="D60" s="575">
        <f t="shared" si="28"/>
        <v>2.0168181026755459E-2</v>
      </c>
      <c r="E60" s="575">
        <f t="shared" si="28"/>
        <v>2.6158401832145645E-2</v>
      </c>
      <c r="F60" s="575">
        <f t="shared" si="28"/>
        <v>4.2521446078431314E-2</v>
      </c>
      <c r="G60" s="575">
        <f t="shared" si="28"/>
        <v>4.4047772258114223E-2</v>
      </c>
      <c r="H60" s="575">
        <f t="shared" si="28"/>
        <v>4.2038377311988853E-2</v>
      </c>
      <c r="I60" s="575">
        <f t="shared" si="28"/>
        <v>4.3021142976763571E-2</v>
      </c>
      <c r="J60" s="575">
        <f t="shared" si="28"/>
        <v>4.6160933490714623E-2</v>
      </c>
      <c r="K60" s="575">
        <f t="shared" si="28"/>
        <v>4.8370205611538021E-2</v>
      </c>
      <c r="L60" s="575">
        <f t="shared" si="28"/>
        <v>5.6794192645128853E-2</v>
      </c>
      <c r="M60" s="575">
        <f t="shared" si="28"/>
        <v>5.9060498683397973E-2</v>
      </c>
      <c r="N60" s="575">
        <f t="shared" si="28"/>
        <v>6.4987582534946853E-2</v>
      </c>
      <c r="O60" s="575">
        <f t="shared" si="28"/>
        <v>6.9673362426262778E-2</v>
      </c>
      <c r="P60" s="575">
        <f t="shared" si="28"/>
        <v>5.6479478700641919E-2</v>
      </c>
      <c r="Q60" s="575">
        <f t="shared" si="28"/>
        <v>6.0125709402001681E-2</v>
      </c>
      <c r="R60" s="575">
        <f t="shared" si="28"/>
        <v>6.2818028353851474E-2</v>
      </c>
      <c r="S60" s="575">
        <f t="shared" si="28"/>
        <v>7.1130982682978475E-2</v>
      </c>
      <c r="T60" s="575">
        <f t="shared" si="28"/>
        <v>6.5790988059755848E-2</v>
      </c>
      <c r="U60" s="575">
        <f t="shared" si="28"/>
        <v>5.4009366870392074E-2</v>
      </c>
      <c r="V60" s="575">
        <f t="shared" si="28"/>
        <v>5.6642216788916053E-2</v>
      </c>
      <c r="W60" s="575">
        <f t="shared" si="28"/>
        <v>6.0899352944374964E-2</v>
      </c>
      <c r="X60" s="575">
        <f t="shared" si="28"/>
        <v>6.2061263560944477E-2</v>
      </c>
      <c r="Y60" s="575">
        <f t="shared" si="28"/>
        <v>5.1115145228215766E-2</v>
      </c>
      <c r="Z60" s="575">
        <f t="shared" si="28"/>
        <v>4.6713257317009094E-2</v>
      </c>
      <c r="AA60" s="575">
        <f t="shared" si="28"/>
        <v>4.5576407506702415E-2</v>
      </c>
      <c r="AB60" s="575">
        <f>AB59/AB7</f>
        <v>4.0729014788585712E-2</v>
      </c>
      <c r="AC60" s="575">
        <f>AC59/AC7</f>
        <v>3.6023761104570264E-2</v>
      </c>
      <c r="AD60" s="575">
        <f t="shared" si="28"/>
        <v>3.7549096622152396E-2</v>
      </c>
      <c r="AE60" s="575">
        <f>AE59/AE7</f>
        <v>4.2474802368003516E-2</v>
      </c>
      <c r="AF60" s="575">
        <f>AF59/AF7</f>
        <v>3.6461563096619333E-2</v>
      </c>
      <c r="AG60" s="575">
        <f>AG59/AG7</f>
        <v>3.2989747137077134E-2</v>
      </c>
      <c r="AH60" s="575">
        <f>AH59/AH7</f>
        <v>2.9197849674006241E-2</v>
      </c>
      <c r="AI60" s="575">
        <f>AI59/AI7</f>
        <v>2.7275047341859426E-2</v>
      </c>
      <c r="AK60" s="571"/>
      <c r="AL60" s="305"/>
      <c r="AM60" s="572"/>
      <c r="AN60" s="335"/>
    </row>
    <row r="61" spans="1:48" x14ac:dyDescent="0.2">
      <c r="A61" s="310"/>
      <c r="B61" s="591"/>
      <c r="C61" s="591"/>
      <c r="D61" s="591"/>
      <c r="E61" s="591"/>
      <c r="F61" s="591"/>
      <c r="G61" s="591"/>
      <c r="H61" s="591"/>
      <c r="I61" s="591"/>
      <c r="J61" s="591"/>
      <c r="K61" s="591"/>
      <c r="L61" s="591"/>
      <c r="M61" s="591"/>
      <c r="N61" s="591"/>
      <c r="O61" s="591"/>
      <c r="P61" s="591"/>
      <c r="Q61" s="591"/>
      <c r="R61" s="591"/>
      <c r="S61" s="591"/>
      <c r="T61" s="591"/>
      <c r="U61" s="591"/>
      <c r="V61" s="591"/>
      <c r="W61" s="591"/>
      <c r="X61" s="591"/>
      <c r="Y61" s="591"/>
      <c r="Z61" s="593"/>
      <c r="AA61" s="593"/>
      <c r="AB61" s="593"/>
      <c r="AC61" s="593"/>
      <c r="AD61" s="593"/>
      <c r="AE61" s="593"/>
      <c r="AF61" s="593"/>
      <c r="AG61" s="593"/>
      <c r="AH61" s="593"/>
      <c r="AI61" s="593"/>
      <c r="AK61" s="334"/>
      <c r="AL61" s="305"/>
      <c r="AM61" s="305"/>
      <c r="AN61" s="335"/>
    </row>
    <row r="62" spans="1:48" outlineLevel="1" x14ac:dyDescent="0.2">
      <c r="A62" s="303" t="s">
        <v>341</v>
      </c>
      <c r="B62" s="594" t="s">
        <v>281</v>
      </c>
      <c r="C62" s="577">
        <f>INDEX('qtrP&amp;L'!154:154,MATCH(C5,'qtrP&amp;L'!6:6,0))</f>
        <v>0</v>
      </c>
      <c r="D62" s="577">
        <f>INDEX('qtrP&amp;L'!154:154,MATCH(D5,'qtrP&amp;L'!6:6,0))</f>
        <v>1.329</v>
      </c>
      <c r="E62" s="577">
        <f>INDEX('qtrP&amp;L'!154:154,MATCH(E5,'qtrP&amp;L'!6:6,0))</f>
        <v>-2.121</v>
      </c>
      <c r="F62" s="577">
        <f>INDEX('qtrP&amp;L'!154:154,MATCH(F5,'qtrP&amp;L'!6:6,0))</f>
        <v>-1.7689999999999999</v>
      </c>
      <c r="G62" s="577">
        <f>INDEX('qtrP&amp;L'!154:154,MATCH(G5,'qtrP&amp;L'!6:6,0))</f>
        <v>0</v>
      </c>
      <c r="H62" s="577">
        <f>INDEX('qtrP&amp;L'!154:154,MATCH(H5,'qtrP&amp;L'!6:6,0))</f>
        <v>0</v>
      </c>
      <c r="I62" s="577">
        <f>INDEX('qtrP&amp;L'!154:154,MATCH(I5,'qtrP&amp;L'!6:6,0))</f>
        <v>0</v>
      </c>
      <c r="J62" s="577">
        <f>INDEX('qtrP&amp;L'!154:154,MATCH(J5,'qtrP&amp;L'!6:6,0))</f>
        <v>0</v>
      </c>
      <c r="K62" s="577">
        <f>INDEX('qtrP&amp;L'!154:154,MATCH(K5,'qtrP&amp;L'!6:6,0))</f>
        <v>0</v>
      </c>
      <c r="L62" s="577">
        <f>INDEX('qtrP&amp;L'!154:154,MATCH(L5,'qtrP&amp;L'!6:6,0))</f>
        <v>0</v>
      </c>
      <c r="M62" s="577">
        <f>INDEX('qtrP&amp;L'!154:154,MATCH(M5,'qtrP&amp;L'!6:6,0))</f>
        <v>0</v>
      </c>
      <c r="N62" s="577">
        <f>INDEX('qtrP&amp;L'!154:154,MATCH(N5,'qtrP&amp;L'!6:6,0))</f>
        <v>0</v>
      </c>
      <c r="O62" s="577">
        <f>INDEX('qtrP&amp;L'!154:154,MATCH(O5,'qtrP&amp;L'!6:6,0))</f>
        <v>0</v>
      </c>
      <c r="P62" s="577">
        <f>INDEX('qtrP&amp;L'!154:154,MATCH(P5,'qtrP&amp;L'!6:6,0))</f>
        <v>0</v>
      </c>
      <c r="Q62" s="577">
        <f>INDEX('qtrP&amp;L'!154:154,MATCH(Q5,'qtrP&amp;L'!6:6,0))</f>
        <v>0</v>
      </c>
      <c r="R62" s="577">
        <f>INDEX('qtrP&amp;L'!154:154,MATCH(R5,'qtrP&amp;L'!6:6,0))</f>
        <v>0</v>
      </c>
      <c r="S62" s="577">
        <f>INDEX('qtrP&amp;L'!154:154,MATCH(S5,'qtrP&amp;L'!6:6,0))</f>
        <v>0</v>
      </c>
      <c r="T62" s="577">
        <f>INDEX('qtrP&amp;L'!154:154,MATCH(T5,'qtrP&amp;L'!6:6,0))</f>
        <v>0</v>
      </c>
      <c r="U62" s="577">
        <f>INDEX('qtrP&amp;L'!154:154,MATCH(U5,'qtrP&amp;L'!6:6,0))</f>
        <v>0</v>
      </c>
      <c r="V62" s="577">
        <f>INDEX('qtrP&amp;L'!154:154,MATCH(V5,'qtrP&amp;L'!6:6,0))</f>
        <v>0</v>
      </c>
      <c r="W62" s="989">
        <f>INDEX('qtrP&amp;L'!154:154,MATCH(W5,'qtrP&amp;L'!6:6,0))</f>
        <v>0</v>
      </c>
      <c r="X62" s="989">
        <f>INDEX('qtrP&amp;L'!154:154,MATCH(X5,'qtrP&amp;L'!6:6,0))</f>
        <v>0</v>
      </c>
      <c r="Y62" s="989">
        <f>INDEX('qtrP&amp;L'!154:154,MATCH(Y5,'qtrP&amp;L'!6:6,0))</f>
        <v>0</v>
      </c>
      <c r="Z62" s="990">
        <f>INDEX('qtrP&amp;L'!154:154,MATCH(Z5,'qtrP&amp;L'!6:6,0))</f>
        <v>0</v>
      </c>
      <c r="AA62" s="990">
        <f>INDEX('qtrP&amp;L'!154:154,MATCH(AA5,'qtrP&amp;L'!6:6,0))</f>
        <v>0</v>
      </c>
      <c r="AB62" s="990">
        <f>INDEX('qtrP&amp;L'!154:154,MATCH(AB5,'qtrP&amp;L'!6:6,0))</f>
        <v>-107.146</v>
      </c>
      <c r="AC62" s="990">
        <f>INDEX('qtrP&amp;L'!154:154,MATCH(AC5,'qtrP&amp;L'!6:6,0))</f>
        <v>-117.26</v>
      </c>
      <c r="AD62" s="990">
        <f>INDEX('qtrP&amp;L'!154:154,MATCH(AD5,'qtrP&amp;L'!6:6,0))</f>
        <v>143</v>
      </c>
      <c r="AE62" s="990">
        <f>INDEX('qtrP&amp;L'!154:154,MATCH(AE5,'qtrP&amp;L'!6:6,0))</f>
        <v>0</v>
      </c>
      <c r="AF62" s="988">
        <v>0</v>
      </c>
      <c r="AG62" s="988">
        <v>0</v>
      </c>
      <c r="AH62" s="988">
        <v>0</v>
      </c>
      <c r="AI62" s="988">
        <v>0</v>
      </c>
      <c r="AK62" s="334"/>
      <c r="AL62" s="305"/>
      <c r="AM62" s="305"/>
      <c r="AN62" s="335"/>
    </row>
    <row r="63" spans="1:48" outlineLevel="1" x14ac:dyDescent="0.2">
      <c r="A63" s="310"/>
      <c r="B63" s="591"/>
      <c r="C63" s="591"/>
      <c r="D63" s="591"/>
      <c r="E63" s="591"/>
      <c r="F63" s="591"/>
      <c r="G63" s="591"/>
      <c r="H63" s="591"/>
      <c r="I63" s="591"/>
      <c r="J63" s="591"/>
      <c r="K63" s="591"/>
      <c r="L63" s="591"/>
      <c r="M63" s="591"/>
      <c r="N63" s="591"/>
      <c r="O63" s="591"/>
      <c r="P63" s="591"/>
      <c r="Q63" s="591"/>
      <c r="R63" s="591"/>
      <c r="S63" s="591"/>
      <c r="T63" s="591"/>
      <c r="U63" s="591"/>
      <c r="V63" s="591"/>
      <c r="W63" s="591"/>
      <c r="X63" s="591"/>
      <c r="Y63" s="591"/>
      <c r="Z63" s="591"/>
      <c r="AA63" s="591"/>
      <c r="AB63" s="591"/>
      <c r="AC63" s="591"/>
      <c r="AD63" s="591"/>
      <c r="AE63" s="591"/>
      <c r="AF63" s="591"/>
      <c r="AG63" s="591"/>
      <c r="AH63" s="591"/>
      <c r="AI63" s="591"/>
      <c r="AK63" s="571"/>
      <c r="AL63" s="305"/>
      <c r="AM63" s="572"/>
      <c r="AN63" s="335"/>
    </row>
    <row r="64" spans="1:48" x14ac:dyDescent="0.2">
      <c r="A64" s="303" t="s">
        <v>342</v>
      </c>
      <c r="B64" s="577">
        <f t="shared" ref="B64:Y64" si="29">B62+B59</f>
        <v>-4.5709999999999917</v>
      </c>
      <c r="C64" s="577">
        <f t="shared" si="29"/>
        <v>11.486000000000015</v>
      </c>
      <c r="D64" s="577">
        <f t="shared" si="29"/>
        <v>20.093999999999976</v>
      </c>
      <c r="E64" s="577">
        <f t="shared" si="29"/>
        <v>26.570999999999945</v>
      </c>
      <c r="F64" s="577">
        <f t="shared" si="29"/>
        <v>53.746999999999922</v>
      </c>
      <c r="G64" s="577">
        <f t="shared" si="29"/>
        <v>68.451999999999828</v>
      </c>
      <c r="H64" s="576">
        <f>H62+H59-8.3</f>
        <v>72.652000000000271</v>
      </c>
      <c r="I64" s="577">
        <f t="shared" si="29"/>
        <v>102.75599999999979</v>
      </c>
      <c r="J64" s="577">
        <f t="shared" si="29"/>
        <v>141.25633399999995</v>
      </c>
      <c r="K64" s="577">
        <f t="shared" si="29"/>
        <v>178.08458599999952</v>
      </c>
      <c r="L64" s="577">
        <f t="shared" si="29"/>
        <v>258.80999999999926</v>
      </c>
      <c r="M64" s="577">
        <f t="shared" si="29"/>
        <v>363.35200000000106</v>
      </c>
      <c r="N64" s="577">
        <f t="shared" si="29"/>
        <v>486.66899999999964</v>
      </c>
      <c r="O64" s="577">
        <f t="shared" si="29"/>
        <v>635.43500000000188</v>
      </c>
      <c r="P64" s="577">
        <f t="shared" si="29"/>
        <v>580.72200000000021</v>
      </c>
      <c r="Q64" s="577">
        <f t="shared" si="29"/>
        <v>703.51288800000111</v>
      </c>
      <c r="R64" s="577">
        <f t="shared" si="29"/>
        <v>841.89977960398824</v>
      </c>
      <c r="S64" s="577">
        <f t="shared" si="29"/>
        <v>1108.5977755400072</v>
      </c>
      <c r="T64" s="577">
        <f t="shared" si="29"/>
        <v>1083.8209999999999</v>
      </c>
      <c r="U64" s="577">
        <f t="shared" si="29"/>
        <v>885.12699999999973</v>
      </c>
      <c r="V64" s="577">
        <f t="shared" si="29"/>
        <v>973</v>
      </c>
      <c r="W64" s="577">
        <f t="shared" si="29"/>
        <v>1120</v>
      </c>
      <c r="X64" s="577">
        <f t="shared" si="29"/>
        <v>1167</v>
      </c>
      <c r="Y64" s="577">
        <f t="shared" si="29"/>
        <v>985.5</v>
      </c>
      <c r="Z64" s="577">
        <f t="shared" ref="Z64:AE64" si="30">Z62+Z59</f>
        <v>889</v>
      </c>
      <c r="AA64" s="577">
        <f t="shared" si="30"/>
        <v>867</v>
      </c>
      <c r="AB64" s="577">
        <f t="shared" si="30"/>
        <v>675.01400000000001</v>
      </c>
      <c r="AC64" s="577">
        <f>AC62+AC59</f>
        <v>555.88</v>
      </c>
      <c r="AD64" s="577">
        <f t="shared" si="30"/>
        <v>860</v>
      </c>
      <c r="AE64" s="577">
        <f t="shared" si="30"/>
        <v>797.89082749519889</v>
      </c>
      <c r="AF64" s="577">
        <f>AF62+AF59</f>
        <v>674.9473842746894</v>
      </c>
      <c r="AG64" s="577">
        <f>AG62+AG59</f>
        <v>601.51969697142169</v>
      </c>
      <c r="AH64" s="577">
        <f>AH62+AH59</f>
        <v>524.39430320338647</v>
      </c>
      <c r="AI64" s="577">
        <f>AI62+AI59</f>
        <v>482.51280184276607</v>
      </c>
      <c r="AK64" s="571">
        <f>RATE(5,,-X64,AC64)*100</f>
        <v>-13.785157617909279</v>
      </c>
      <c r="AL64" s="305" t="s">
        <v>102</v>
      </c>
      <c r="AM64" s="572">
        <f>RATE(6,,-AC64,AI64)*100</f>
        <v>-2.3314743451809115</v>
      </c>
      <c r="AN64" s="335" t="s">
        <v>102</v>
      </c>
    </row>
    <row r="65" spans="1:44" x14ac:dyDescent="0.2">
      <c r="A65" s="573" t="s">
        <v>31</v>
      </c>
      <c r="B65" s="575">
        <f t="shared" ref="B65:AD65" si="31">B64/B7</f>
        <v>-6.2619698011677207E-3</v>
      </c>
      <c r="C65" s="575">
        <f t="shared" si="31"/>
        <v>1.4543014326502464E-2</v>
      </c>
      <c r="D65" s="575">
        <f t="shared" si="31"/>
        <v>2.1596558995556847E-2</v>
      </c>
      <c r="E65" s="575">
        <f t="shared" si="31"/>
        <v>2.4224693122889371E-2</v>
      </c>
      <c r="F65" s="575">
        <f t="shared" si="31"/>
        <v>4.1166513480392103E-2</v>
      </c>
      <c r="G65" s="575">
        <f t="shared" si="31"/>
        <v>4.4047772258114223E-2</v>
      </c>
      <c r="H65" s="575">
        <f t="shared" si="31"/>
        <v>3.7728186931399045E-2</v>
      </c>
      <c r="I65" s="575">
        <f t="shared" si="31"/>
        <v>4.3021142976763571E-2</v>
      </c>
      <c r="J65" s="575">
        <f t="shared" si="31"/>
        <v>4.6160933490714623E-2</v>
      </c>
      <c r="K65" s="575">
        <f t="shared" si="31"/>
        <v>4.8370205611538021E-2</v>
      </c>
      <c r="L65" s="575">
        <f t="shared" si="31"/>
        <v>5.6794192645128853E-2</v>
      </c>
      <c r="M65" s="575">
        <f t="shared" si="31"/>
        <v>5.9060498683397973E-2</v>
      </c>
      <c r="N65" s="575">
        <f t="shared" si="31"/>
        <v>6.4987582534946853E-2</v>
      </c>
      <c r="O65" s="575">
        <f t="shared" si="31"/>
        <v>6.9673362426262778E-2</v>
      </c>
      <c r="P65" s="575">
        <f t="shared" si="31"/>
        <v>5.6479478700641919E-2</v>
      </c>
      <c r="Q65" s="575">
        <f t="shared" si="31"/>
        <v>6.0125709402001681E-2</v>
      </c>
      <c r="R65" s="575">
        <f t="shared" si="31"/>
        <v>6.2818028353851474E-2</v>
      </c>
      <c r="S65" s="575">
        <f t="shared" si="31"/>
        <v>7.1130982682978475E-2</v>
      </c>
      <c r="T65" s="575">
        <f t="shared" si="31"/>
        <v>6.5790988059755848E-2</v>
      </c>
      <c r="U65" s="575">
        <f t="shared" si="31"/>
        <v>5.4009366870392074E-2</v>
      </c>
      <c r="V65" s="575">
        <f t="shared" si="31"/>
        <v>5.6642216788916053E-2</v>
      </c>
      <c r="W65" s="575">
        <f t="shared" si="31"/>
        <v>6.0899352944374964E-2</v>
      </c>
      <c r="X65" s="575">
        <f t="shared" si="31"/>
        <v>6.2061263560944477E-2</v>
      </c>
      <c r="Y65" s="575">
        <f t="shared" si="31"/>
        <v>5.1115145228215766E-2</v>
      </c>
      <c r="Z65" s="575">
        <f t="shared" si="31"/>
        <v>4.6713257317009094E-2</v>
      </c>
      <c r="AA65" s="575">
        <f t="shared" si="31"/>
        <v>4.5576407506702415E-2</v>
      </c>
      <c r="AB65" s="575">
        <f>AB64/AB7</f>
        <v>3.5149656321599665E-2</v>
      </c>
      <c r="AC65" s="575">
        <f>AC64/AC7</f>
        <v>2.9748474793963395E-2</v>
      </c>
      <c r="AD65" s="575">
        <f t="shared" si="31"/>
        <v>4.5037968054464521E-2</v>
      </c>
      <c r="AE65" s="575">
        <f>AE64/AE7</f>
        <v>4.2474802368003516E-2</v>
      </c>
      <c r="AF65" s="575">
        <f>AF64/AF7</f>
        <v>3.6461563096619333E-2</v>
      </c>
      <c r="AG65" s="575">
        <f>AG64/AG7</f>
        <v>3.2989747137077134E-2</v>
      </c>
      <c r="AH65" s="575">
        <f>AH64/AH7</f>
        <v>2.9197849674006241E-2</v>
      </c>
      <c r="AI65" s="575">
        <f>AI64/AI7</f>
        <v>2.7275047341859426E-2</v>
      </c>
      <c r="AK65" s="334"/>
      <c r="AL65" s="305"/>
      <c r="AM65" s="305"/>
      <c r="AN65" s="335"/>
    </row>
    <row r="66" spans="1:44" ht="12" customHeight="1" x14ac:dyDescent="0.2">
      <c r="A66" s="310"/>
      <c r="B66" s="310"/>
      <c r="C66" s="310"/>
      <c r="D66" s="310"/>
      <c r="E66" s="310"/>
      <c r="F66" s="310"/>
      <c r="G66" s="310"/>
      <c r="H66" s="310"/>
      <c r="I66" s="310"/>
      <c r="J66" s="310"/>
      <c r="K66" s="310"/>
      <c r="L66" s="310"/>
      <c r="M66" s="310"/>
      <c r="N66" s="310"/>
      <c r="O66" s="310"/>
      <c r="P66" s="310"/>
      <c r="Q66" s="310"/>
      <c r="R66" s="310"/>
      <c r="S66" s="310"/>
      <c r="T66" s="310"/>
      <c r="U66" s="310"/>
      <c r="V66" s="310"/>
      <c r="W66" s="310"/>
      <c r="X66" s="310"/>
      <c r="Y66" s="310"/>
      <c r="Z66" s="310"/>
      <c r="AA66" s="310"/>
      <c r="AB66" s="310"/>
      <c r="AC66" s="310"/>
      <c r="AD66" s="310"/>
      <c r="AE66" s="310"/>
      <c r="AF66" s="310"/>
      <c r="AG66" s="310"/>
      <c r="AH66" s="310"/>
      <c r="AI66" s="310"/>
      <c r="AK66" s="334"/>
      <c r="AL66" s="305"/>
      <c r="AM66" s="305"/>
      <c r="AN66" s="335"/>
    </row>
    <row r="67" spans="1:44" ht="12" customHeight="1" outlineLevel="1" x14ac:dyDescent="0.2">
      <c r="A67" s="303" t="s">
        <v>266</v>
      </c>
      <c r="B67" s="595">
        <f t="shared" ref="B67:X67" si="32">ROUND((B$59)/B$73,2)</f>
        <v>-0.02</v>
      </c>
      <c r="C67" s="595">
        <f t="shared" si="32"/>
        <v>0.05</v>
      </c>
      <c r="D67" s="595">
        <f t="shared" si="32"/>
        <v>0.09</v>
      </c>
      <c r="E67" s="596">
        <f>ROUND((E$59+10.461)/E$73,2)</f>
        <v>0.15</v>
      </c>
      <c r="F67" s="595">
        <f t="shared" si="32"/>
        <v>0.19</v>
      </c>
      <c r="G67" s="595">
        <f t="shared" si="32"/>
        <v>0.23</v>
      </c>
      <c r="H67" s="595">
        <f t="shared" si="32"/>
        <v>0.28000000000000003</v>
      </c>
      <c r="I67" s="595">
        <f t="shared" si="32"/>
        <v>0.34</v>
      </c>
      <c r="J67" s="595">
        <f t="shared" si="32"/>
        <v>0.45</v>
      </c>
      <c r="K67" s="595">
        <f t="shared" si="32"/>
        <v>0.55000000000000004</v>
      </c>
      <c r="L67" s="595">
        <f t="shared" si="32"/>
        <v>0.78</v>
      </c>
      <c r="M67" s="595">
        <f t="shared" si="32"/>
        <v>1.07</v>
      </c>
      <c r="N67" s="595">
        <f t="shared" si="32"/>
        <v>1.42</v>
      </c>
      <c r="O67" s="595">
        <f t="shared" si="32"/>
        <v>1.84</v>
      </c>
      <c r="P67" s="595">
        <f t="shared" si="32"/>
        <v>1.69</v>
      </c>
      <c r="Q67" s="595">
        <f t="shared" si="32"/>
        <v>2.04</v>
      </c>
      <c r="R67" s="595">
        <f t="shared" si="32"/>
        <v>2.4300000000000002</v>
      </c>
      <c r="S67" s="595">
        <f t="shared" si="32"/>
        <v>3.31</v>
      </c>
      <c r="T67" s="595">
        <f t="shared" si="32"/>
        <v>3.39</v>
      </c>
      <c r="U67" s="595">
        <f t="shared" si="32"/>
        <v>2.89</v>
      </c>
      <c r="V67" s="595">
        <f t="shared" si="32"/>
        <v>3.18</v>
      </c>
      <c r="W67" s="595">
        <f t="shared" si="32"/>
        <v>3.66</v>
      </c>
      <c r="X67" s="595">
        <f t="shared" si="32"/>
        <v>4.3099999999999996</v>
      </c>
      <c r="Y67" s="595">
        <f t="shared" ref="Y67:AE67" si="33">(Y$59)/Y$73</f>
        <v>4.1599831152384974</v>
      </c>
      <c r="Z67" s="595">
        <f t="shared" si="33"/>
        <v>4.0501138952164011</v>
      </c>
      <c r="AA67" s="595">
        <f t="shared" si="33"/>
        <v>4.2416829745596871</v>
      </c>
      <c r="AB67" s="595">
        <f t="shared" si="33"/>
        <v>4.0110769230769225</v>
      </c>
      <c r="AC67" s="595">
        <f t="shared" si="33"/>
        <v>3.7605586592178768</v>
      </c>
      <c r="AD67" s="595">
        <f>(AD$59)/AD$73</f>
        <v>4.2678571428571432</v>
      </c>
      <c r="AE67" s="595">
        <f t="shared" si="33"/>
        <v>4.8241289482012268</v>
      </c>
      <c r="AF67" s="595">
        <f>(AF$59)/AF$73</f>
        <v>4.1468526018412808</v>
      </c>
      <c r="AG67" s="595">
        <f>(AG$59)/AG$73</f>
        <v>3.8022554770850068</v>
      </c>
      <c r="AH67" s="595">
        <f>(AH$59)/AH$73</f>
        <v>3.4467844154287071</v>
      </c>
      <c r="AI67" s="595">
        <f>(AI$59)/AI$73</f>
        <v>3.3030825797093279</v>
      </c>
      <c r="AK67" s="571">
        <f>RATE(5,,-X67,AC67)*100</f>
        <v>-2.6905496520446217</v>
      </c>
      <c r="AL67" s="305" t="s">
        <v>102</v>
      </c>
      <c r="AM67" s="572">
        <f>RATE(6,,-AC67,AI67)*100</f>
        <v>-2.1386556823546075</v>
      </c>
      <c r="AN67" s="335" t="s">
        <v>102</v>
      </c>
      <c r="AQ67" s="311"/>
    </row>
    <row r="68" spans="1:44" ht="12" customHeight="1" outlineLevel="1" x14ac:dyDescent="0.2">
      <c r="A68" s="573" t="s">
        <v>244</v>
      </c>
      <c r="B68" s="575"/>
      <c r="C68" s="575">
        <f t="shared" ref="C68:P68" si="34">C67/B67-1</f>
        <v>-3.5</v>
      </c>
      <c r="D68" s="575">
        <f t="shared" si="34"/>
        <v>0.79999999999999982</v>
      </c>
      <c r="E68" s="575">
        <f t="shared" si="34"/>
        <v>0.66666666666666674</v>
      </c>
      <c r="F68" s="575">
        <f t="shared" si="34"/>
        <v>0.26666666666666683</v>
      </c>
      <c r="G68" s="575">
        <f t="shared" si="34"/>
        <v>0.21052631578947367</v>
      </c>
      <c r="H68" s="575">
        <f t="shared" si="34"/>
        <v>0.21739130434782616</v>
      </c>
      <c r="I68" s="575">
        <f t="shared" si="34"/>
        <v>0.21428571428571419</v>
      </c>
      <c r="J68" s="575">
        <f t="shared" si="34"/>
        <v>0.32352941176470584</v>
      </c>
      <c r="K68" s="575">
        <f t="shared" si="34"/>
        <v>0.22222222222222232</v>
      </c>
      <c r="L68" s="575">
        <f t="shared" si="34"/>
        <v>0.41818181818181821</v>
      </c>
      <c r="M68" s="575">
        <f t="shared" si="34"/>
        <v>0.37179487179487181</v>
      </c>
      <c r="N68" s="575">
        <f t="shared" si="34"/>
        <v>0.32710280373831768</v>
      </c>
      <c r="O68" s="575">
        <f t="shared" si="34"/>
        <v>0.29577464788732399</v>
      </c>
      <c r="P68" s="575">
        <f t="shared" si="34"/>
        <v>-8.1521739130434812E-2</v>
      </c>
      <c r="Q68" s="575">
        <f t="shared" ref="Q68:AF68" si="35">Q67/P67-1</f>
        <v>0.2071005917159765</v>
      </c>
      <c r="R68" s="575">
        <f t="shared" si="35"/>
        <v>0.19117647058823528</v>
      </c>
      <c r="S68" s="575">
        <f t="shared" si="35"/>
        <v>0.36213991769547316</v>
      </c>
      <c r="T68" s="575">
        <f t="shared" si="35"/>
        <v>2.4169184290030232E-2</v>
      </c>
      <c r="U68" s="575">
        <f t="shared" si="35"/>
        <v>-0.14749262536873153</v>
      </c>
      <c r="V68" s="575">
        <f t="shared" si="35"/>
        <v>0.10034602076124566</v>
      </c>
      <c r="W68" s="575">
        <f t="shared" si="35"/>
        <v>0.15094339622641506</v>
      </c>
      <c r="X68" s="575">
        <f t="shared" si="35"/>
        <v>0.17759562841530041</v>
      </c>
      <c r="Y68" s="575">
        <f t="shared" si="35"/>
        <v>-3.4806701800812578E-2</v>
      </c>
      <c r="Z68" s="575">
        <f t="shared" si="35"/>
        <v>-2.6410977395468938E-2</v>
      </c>
      <c r="AA68" s="575">
        <f t="shared" si="35"/>
        <v>4.729967707069882E-2</v>
      </c>
      <c r="AB68" s="575">
        <f t="shared" si="35"/>
        <v>-5.4366640049685167E-2</v>
      </c>
      <c r="AC68" s="575">
        <f t="shared" si="35"/>
        <v>-6.2456609200820745E-2</v>
      </c>
      <c r="AD68" s="575">
        <f t="shared" si="35"/>
        <v>0.13489976612803978</v>
      </c>
      <c r="AE68" s="575">
        <f t="shared" si="35"/>
        <v>0.13033983723543385</v>
      </c>
      <c r="AF68" s="575">
        <f t="shared" si="35"/>
        <v>-0.14039349976589699</v>
      </c>
      <c r="AG68" s="575">
        <f>AG67/AF67-1</f>
        <v>-8.3098474395561173E-2</v>
      </c>
      <c r="AH68" s="575">
        <f>AH67/AG67-1</f>
        <v>-9.3489525835023901E-2</v>
      </c>
      <c r="AI68" s="575">
        <f>AI67/AH67-1</f>
        <v>-4.1691564774440804E-2</v>
      </c>
      <c r="AK68" s="334"/>
      <c r="AL68" s="305"/>
      <c r="AM68" s="305"/>
      <c r="AN68" s="335"/>
    </row>
    <row r="69" spans="1:44" ht="15" customHeight="1" x14ac:dyDescent="0.2">
      <c r="A69" s="310"/>
      <c r="B69" s="310"/>
      <c r="C69" s="310"/>
      <c r="D69" s="310"/>
      <c r="E69" s="310"/>
      <c r="F69" s="310"/>
      <c r="G69" s="310"/>
      <c r="H69" s="310"/>
      <c r="I69" s="310"/>
      <c r="J69" s="310"/>
      <c r="K69" s="310"/>
      <c r="L69" s="310"/>
      <c r="M69" s="310"/>
      <c r="N69" s="310"/>
      <c r="O69" s="310"/>
      <c r="P69" s="310"/>
      <c r="Q69" s="310"/>
      <c r="R69" s="310"/>
      <c r="S69" s="310"/>
      <c r="T69" s="310"/>
      <c r="U69" s="310"/>
      <c r="V69" s="310"/>
      <c r="W69" s="310"/>
      <c r="X69" s="310"/>
      <c r="Y69" s="310"/>
      <c r="Z69" s="310"/>
      <c r="AA69" s="310"/>
      <c r="AB69" s="597"/>
      <c r="AC69" s="597"/>
      <c r="AD69" s="947"/>
      <c r="AE69" s="947"/>
      <c r="AF69" s="947"/>
      <c r="AG69" s="947"/>
      <c r="AH69" s="951"/>
      <c r="AI69" s="951"/>
      <c r="AK69" s="571"/>
      <c r="AL69" s="305"/>
      <c r="AM69" s="572"/>
      <c r="AN69" s="335"/>
    </row>
    <row r="70" spans="1:44" ht="12" customHeight="1" x14ac:dyDescent="0.2">
      <c r="A70" s="303" t="s">
        <v>343</v>
      </c>
      <c r="B70" s="595">
        <f>B67+B62/B73</f>
        <v>-0.02</v>
      </c>
      <c r="C70" s="595">
        <f>C67+C62/C73</f>
        <v>0.05</v>
      </c>
      <c r="D70" s="595">
        <f t="shared" ref="D70:Y70" si="36">D67+D62/D73</f>
        <v>9.6238265114532484E-2</v>
      </c>
      <c r="E70" s="595">
        <f>E67+E62/E73-(E50*E59/E53)/E73-0.015</f>
        <v>8.80323734020617E-2</v>
      </c>
      <c r="F70" s="595">
        <f>F67-0.05</f>
        <v>0.14000000000000001</v>
      </c>
      <c r="G70" s="595">
        <f t="shared" si="36"/>
        <v>0.23</v>
      </c>
      <c r="H70" s="595">
        <f>H64/H73</f>
        <v>0.24683690526344493</v>
      </c>
      <c r="I70" s="595">
        <f t="shared" si="36"/>
        <v>0.34</v>
      </c>
      <c r="J70" s="595">
        <f t="shared" si="36"/>
        <v>0.45</v>
      </c>
      <c r="K70" s="595">
        <f t="shared" si="36"/>
        <v>0.55000000000000004</v>
      </c>
      <c r="L70" s="595">
        <f t="shared" si="36"/>
        <v>0.78</v>
      </c>
      <c r="M70" s="595">
        <f t="shared" si="36"/>
        <v>1.07</v>
      </c>
      <c r="N70" s="595">
        <f t="shared" si="36"/>
        <v>1.42</v>
      </c>
      <c r="O70" s="595">
        <f t="shared" si="36"/>
        <v>1.84</v>
      </c>
      <c r="P70" s="595">
        <f t="shared" si="36"/>
        <v>1.69</v>
      </c>
      <c r="Q70" s="595">
        <f t="shared" si="36"/>
        <v>2.04</v>
      </c>
      <c r="R70" s="595">
        <f t="shared" si="36"/>
        <v>2.4300000000000002</v>
      </c>
      <c r="S70" s="595">
        <f t="shared" si="36"/>
        <v>3.31</v>
      </c>
      <c r="T70" s="595">
        <f t="shared" si="36"/>
        <v>3.39</v>
      </c>
      <c r="U70" s="595">
        <f t="shared" si="36"/>
        <v>2.89</v>
      </c>
      <c r="V70" s="595">
        <f t="shared" si="36"/>
        <v>3.18</v>
      </c>
      <c r="W70" s="595">
        <f t="shared" si="36"/>
        <v>3.66</v>
      </c>
      <c r="X70" s="595">
        <f t="shared" si="36"/>
        <v>4.3099999999999996</v>
      </c>
      <c r="Y70" s="595">
        <f t="shared" si="36"/>
        <v>4.1599831152384974</v>
      </c>
      <c r="Z70" s="595">
        <f t="shared" ref="Z70:AF70" si="37">Z67+Z62/Z73</f>
        <v>4.0501138952164011</v>
      </c>
      <c r="AA70" s="595">
        <f t="shared" si="37"/>
        <v>4.2416829745596871</v>
      </c>
      <c r="AB70" s="595">
        <f t="shared" si="37"/>
        <v>3.461610256410256</v>
      </c>
      <c r="AC70" s="595">
        <f t="shared" si="37"/>
        <v>3.1054748603351952</v>
      </c>
      <c r="AD70" s="595">
        <f t="shared" si="37"/>
        <v>5.1190476190476195</v>
      </c>
      <c r="AE70" s="595">
        <f t="shared" si="37"/>
        <v>4.8241289482012268</v>
      </c>
      <c r="AF70" s="595">
        <f t="shared" si="37"/>
        <v>4.1468526018412808</v>
      </c>
      <c r="AG70" s="595">
        <f>AG67+AG62/AG73</f>
        <v>3.8022554770850068</v>
      </c>
      <c r="AH70" s="595">
        <f>AH67+AH62/AH73</f>
        <v>3.4467844154287071</v>
      </c>
      <c r="AI70" s="595">
        <f>AI67+AI62/AI73</f>
        <v>3.3030825797093279</v>
      </c>
      <c r="AK70" s="571">
        <f>RATE(5,,-X70,AC70)*100</f>
        <v>-6.3451765417643236</v>
      </c>
      <c r="AL70" s="305" t="s">
        <v>102</v>
      </c>
      <c r="AM70" s="572">
        <f>RATE(6,,-AC70,AI70)*100</f>
        <v>1.0334622064659345</v>
      </c>
      <c r="AN70" s="335" t="s">
        <v>102</v>
      </c>
      <c r="AQ70" s="320"/>
    </row>
    <row r="71" spans="1:44" x14ac:dyDescent="0.2">
      <c r="A71" s="573" t="s">
        <v>244</v>
      </c>
      <c r="B71" s="575"/>
      <c r="C71" s="575" t="s">
        <v>272</v>
      </c>
      <c r="D71" s="575">
        <f t="shared" ref="D71:P71" si="38">D70/C70-1</f>
        <v>0.92476530229064968</v>
      </c>
      <c r="E71" s="575">
        <f t="shared" si="38"/>
        <v>-8.5266413548758524E-2</v>
      </c>
      <c r="F71" s="575">
        <f t="shared" si="38"/>
        <v>0.59032404318569975</v>
      </c>
      <c r="G71" s="575">
        <f t="shared" si="38"/>
        <v>0.64285714285714279</v>
      </c>
      <c r="H71" s="575">
        <f t="shared" si="38"/>
        <v>7.3203935928021435E-2</v>
      </c>
      <c r="I71" s="575">
        <f t="shared" si="38"/>
        <v>0.37742773770852334</v>
      </c>
      <c r="J71" s="575">
        <f t="shared" si="38"/>
        <v>0.32352941176470584</v>
      </c>
      <c r="K71" s="575">
        <f t="shared" si="38"/>
        <v>0.22222222222222232</v>
      </c>
      <c r="L71" s="575">
        <f t="shared" si="38"/>
        <v>0.41818181818181821</v>
      </c>
      <c r="M71" s="575">
        <f t="shared" si="38"/>
        <v>0.37179487179487181</v>
      </c>
      <c r="N71" s="575">
        <f t="shared" si="38"/>
        <v>0.32710280373831768</v>
      </c>
      <c r="O71" s="575">
        <f t="shared" si="38"/>
        <v>0.29577464788732399</v>
      </c>
      <c r="P71" s="575">
        <f t="shared" si="38"/>
        <v>-8.1521739130434812E-2</v>
      </c>
      <c r="Q71" s="575">
        <f t="shared" ref="Q71:AF71" si="39">Q70/P70-1</f>
        <v>0.2071005917159765</v>
      </c>
      <c r="R71" s="575">
        <f t="shared" si="39"/>
        <v>0.19117647058823528</v>
      </c>
      <c r="S71" s="575">
        <f t="shared" si="39"/>
        <v>0.36213991769547316</v>
      </c>
      <c r="T71" s="575">
        <f t="shared" si="39"/>
        <v>2.4169184290030232E-2</v>
      </c>
      <c r="U71" s="575">
        <f t="shared" si="39"/>
        <v>-0.14749262536873153</v>
      </c>
      <c r="V71" s="575">
        <f t="shared" si="39"/>
        <v>0.10034602076124566</v>
      </c>
      <c r="W71" s="575">
        <f t="shared" si="39"/>
        <v>0.15094339622641506</v>
      </c>
      <c r="X71" s="575">
        <f t="shared" si="39"/>
        <v>0.17759562841530041</v>
      </c>
      <c r="Y71" s="575">
        <f t="shared" si="39"/>
        <v>-3.4806701800812578E-2</v>
      </c>
      <c r="Z71" s="575">
        <f t="shared" si="39"/>
        <v>-2.6410977395468938E-2</v>
      </c>
      <c r="AA71" s="575">
        <f t="shared" si="39"/>
        <v>4.729967707069882E-2</v>
      </c>
      <c r="AB71" s="575">
        <f t="shared" si="39"/>
        <v>-0.18390641705852795</v>
      </c>
      <c r="AC71" s="575">
        <f t="shared" si="39"/>
        <v>-0.10288142502916509</v>
      </c>
      <c r="AD71" s="575">
        <f t="shared" si="39"/>
        <v>0.6483944804805426</v>
      </c>
      <c r="AE71" s="575">
        <f t="shared" si="39"/>
        <v>-5.7612019421155791E-2</v>
      </c>
      <c r="AF71" s="575">
        <f t="shared" si="39"/>
        <v>-0.14039349976589699</v>
      </c>
      <c r="AG71" s="575">
        <f>AG70/AF70-1</f>
        <v>-8.3098474395561173E-2</v>
      </c>
      <c r="AH71" s="575">
        <f>AH70/AG70-1</f>
        <v>-9.3489525835023901E-2</v>
      </c>
      <c r="AI71" s="575">
        <f>AI70/AH70-1</f>
        <v>-4.1691564774440804E-2</v>
      </c>
      <c r="AK71" s="334"/>
      <c r="AL71" s="305"/>
      <c r="AM71" s="305"/>
      <c r="AN71" s="335"/>
    </row>
    <row r="72" spans="1:44" x14ac:dyDescent="0.2">
      <c r="A72" s="310"/>
      <c r="B72" s="591"/>
      <c r="C72" s="591"/>
      <c r="D72" s="591"/>
      <c r="E72" s="598"/>
      <c r="F72" s="591"/>
      <c r="G72" s="591"/>
      <c r="H72" s="591"/>
      <c r="I72" s="591"/>
      <c r="J72" s="591"/>
      <c r="K72" s="591"/>
      <c r="L72" s="591"/>
      <c r="M72" s="591"/>
      <c r="N72" s="591"/>
      <c r="O72" s="591"/>
      <c r="P72" s="591"/>
      <c r="Q72" s="591"/>
      <c r="R72" s="591"/>
      <c r="S72" s="591"/>
      <c r="T72" s="591"/>
      <c r="U72" s="591"/>
      <c r="V72" s="591"/>
      <c r="W72" s="591"/>
      <c r="X72" s="431"/>
      <c r="Y72" s="431"/>
      <c r="AB72" s="886"/>
      <c r="AC72" s="886"/>
      <c r="AD72" s="886"/>
      <c r="AE72" s="886"/>
      <c r="AF72" s="886"/>
      <c r="AG72" s="886"/>
      <c r="AH72" s="886"/>
      <c r="AI72" s="886"/>
      <c r="AK72" s="334"/>
      <c r="AL72" s="305"/>
      <c r="AM72" s="305"/>
      <c r="AN72" s="335"/>
      <c r="AR72" s="320"/>
    </row>
    <row r="73" spans="1:44" outlineLevel="1" x14ac:dyDescent="0.2">
      <c r="A73" s="303" t="s">
        <v>267</v>
      </c>
      <c r="B73" s="599">
        <v>213.376</v>
      </c>
      <c r="C73" s="600">
        <f>INDEX('qtrP&amp;L'!194:194,MATCH(C5,'qtrP&amp;L'!6:6,0))</f>
        <v>213.376</v>
      </c>
      <c r="D73" s="600">
        <f>INDEX('qtrP&amp;L'!194:194,MATCH(D5,'qtrP&amp;L'!6:6,0))</f>
        <v>213.04</v>
      </c>
      <c r="E73" s="600">
        <f>INDEX('qtrP&amp;L'!194:194,MATCH(E5,'qtrP&amp;L'!6:6,0))</f>
        <v>261.261888</v>
      </c>
      <c r="F73" s="600">
        <f>INDEX('qtrP&amp;L'!194:194,MATCH(F5,'qtrP&amp;L'!6:6,0))</f>
        <v>293.048</v>
      </c>
      <c r="G73" s="600">
        <f>INDEX('qtrP&amp;L'!194:194,MATCH(G5,'qtrP&amp;L'!6:6,0))</f>
        <v>294.238</v>
      </c>
      <c r="H73" s="600">
        <v>294.33199999999999</v>
      </c>
      <c r="I73" s="600">
        <f>INDEX('qtrP&amp;L'!194:194,MATCH(I5,'qtrP&amp;L'!6:6,0))</f>
        <v>299.5</v>
      </c>
      <c r="J73" s="600">
        <f>INDEX('qtrP&amp;L'!194:194,MATCH(J5,'qtrP&amp;L'!6:6,0))</f>
        <v>312.15600000000001</v>
      </c>
      <c r="K73" s="600">
        <f>INDEX('qtrP&amp;L'!194:194,MATCH(K5,'qtrP&amp;L'!6:6,0))</f>
        <v>325.26600000000002</v>
      </c>
      <c r="L73" s="600">
        <f>INDEX('qtrP&amp;L'!194:194,MATCH(L5,'qtrP&amp;L'!6:6,0))</f>
        <v>333.85599999999999</v>
      </c>
      <c r="M73" s="600">
        <f>INDEX('qtrP&amp;L'!194:194,MATCH(M5,'qtrP&amp;L'!6:6,0))</f>
        <v>338.82799999999997</v>
      </c>
      <c r="N73" s="600">
        <f>INDEX('qtrP&amp;L'!194:194,MATCH(N5,'qtrP&amp;L'!6:6,0))</f>
        <v>342.91824999999994</v>
      </c>
      <c r="O73" s="600">
        <f>INDEX('qtrP&amp;L'!194:194,MATCH(O5,'qtrP&amp;L'!6:6,0))</f>
        <v>344.81324999999998</v>
      </c>
      <c r="P73" s="600">
        <f>INDEX('qtrP&amp;L'!194:194,MATCH(P5,'qtrP&amp;L'!6:6,0))</f>
        <v>343.74800000000005</v>
      </c>
      <c r="Q73" s="600">
        <f>INDEX('qtrP&amp;L'!194:194,MATCH(Q5,'qtrP&amp;L'!6:6,0))</f>
        <v>344.65674999999999</v>
      </c>
      <c r="R73" s="600">
        <f>INDEX('qtrP&amp;L'!194:194,MATCH(R5,'qtrP&amp;L'!6:6,0))</f>
        <v>346.51800000000003</v>
      </c>
      <c r="S73" s="600">
        <f>INDEX('qtrP&amp;L'!194:194,MATCH(S5,'qtrP&amp;L'!6:6,0))</f>
        <v>334.77100000000002</v>
      </c>
      <c r="T73" s="600">
        <f>INDEX('qtrP&amp;L'!194:194,MATCH(T5,'qtrP&amp;L'!6:6,0))</f>
        <v>320.17825000000005</v>
      </c>
      <c r="U73" s="600">
        <f>INDEX('qtrP&amp;L'!194:194,MATCH(U5,'qtrP&amp;L'!6:6,0))</f>
        <v>306.6225</v>
      </c>
      <c r="V73" s="600">
        <f>INDEX('qtrP&amp;L'!194:194,MATCH(V5,'qtrP&amp;L'!6:6,0))</f>
        <v>306</v>
      </c>
      <c r="W73" s="600">
        <f>INDEX('qtrP&amp;L'!194:194,MATCH(W5,'qtrP&amp;L'!6:6,0))</f>
        <v>306</v>
      </c>
      <c r="X73" s="600">
        <f>INDEX('qtrP&amp;L'!194:194,MATCH(X5,'qtrP&amp;L'!6:6,0))</f>
        <v>271</v>
      </c>
      <c r="Y73" s="600">
        <f>INDEX('qtrP&amp;L'!194:194,MATCH(Y5,'qtrP&amp;L'!6:6,0))</f>
        <v>236.9</v>
      </c>
      <c r="Z73" s="600">
        <f>INDEX('qtrP&amp;L'!194:194,MATCH(Z5,'qtrP&amp;L'!6:6,0))</f>
        <v>219.5</v>
      </c>
      <c r="AA73" s="600">
        <f>INDEX('qtrP&amp;L'!194:194,MATCH(AA5,'qtrP&amp;L'!6:6,0))</f>
        <v>204.4</v>
      </c>
      <c r="AB73" s="600">
        <f>INDEX('qtrP&amp;L'!194:194,MATCH(AB5,'qtrP&amp;L'!6:6,0))</f>
        <v>195</v>
      </c>
      <c r="AC73" s="600">
        <f>INDEX('qtrP&amp;L'!194:194,MATCH(AC5,'qtrP&amp;L'!6:6,0))</f>
        <v>179</v>
      </c>
      <c r="AD73" s="600">
        <f>INDEX('qtrP&amp;L'!194:194,MATCH(AD5,'qtrP&amp;L'!6:6,0))</f>
        <v>168</v>
      </c>
      <c r="AE73" s="600">
        <f>INDEX('qtrP&amp;L'!194:194,MATCH(AE5,'qtrP&amp;L'!6:6,0))</f>
        <v>165.39583333333337</v>
      </c>
      <c r="AF73" s="991">
        <f>sumry!FU36</f>
        <v>162.76136363636365</v>
      </c>
      <c r="AG73" s="991">
        <f>sumry!FV36</f>
        <v>158.20075757575759</v>
      </c>
      <c r="AH73" s="991">
        <f>sumry!FW36</f>
        <v>152.14015151515153</v>
      </c>
      <c r="AI73" s="991">
        <f>sumry!FX36</f>
        <v>146.07954545454547</v>
      </c>
      <c r="AK73" s="601">
        <f>RATE(5,,-X73,AC73)*100</f>
        <v>-7.9599707484742153</v>
      </c>
      <c r="AL73" s="313" t="s">
        <v>102</v>
      </c>
      <c r="AM73" s="602">
        <f>RATE(6,,-AC73,AI73)*100</f>
        <v>-3.3305169178188909</v>
      </c>
      <c r="AN73" s="603" t="s">
        <v>102</v>
      </c>
    </row>
    <row r="74" spans="1:44" outlineLevel="2" x14ac:dyDescent="0.2">
      <c r="S74" s="426"/>
      <c r="T74" s="426"/>
      <c r="U74" s="426"/>
      <c r="V74" s="426"/>
      <c r="W74" s="426"/>
      <c r="X74" s="426"/>
      <c r="Z74" s="417"/>
      <c r="AA74" s="417"/>
      <c r="AB74" s="417"/>
      <c r="AC74" s="892"/>
      <c r="AD74" s="892"/>
      <c r="AE74" s="417"/>
      <c r="AF74" s="417"/>
      <c r="AG74" s="417"/>
      <c r="AH74" s="417"/>
      <c r="AI74" s="417"/>
      <c r="AK74" s="305"/>
      <c r="AL74" s="305"/>
      <c r="AM74" s="305"/>
      <c r="AN74" s="305"/>
    </row>
    <row r="75" spans="1:44" x14ac:dyDescent="0.2">
      <c r="S75" s="426"/>
      <c r="T75" s="426"/>
      <c r="U75" s="426"/>
      <c r="V75" s="320"/>
      <c r="W75" s="320"/>
      <c r="X75" s="320"/>
      <c r="Y75" s="320"/>
      <c r="Z75" s="320"/>
      <c r="AA75" s="320"/>
      <c r="AB75" s="320"/>
      <c r="AK75" s="305"/>
      <c r="AL75" s="305"/>
      <c r="AM75" s="305"/>
      <c r="AN75" s="305"/>
    </row>
    <row r="76" spans="1:44" x14ac:dyDescent="0.2">
      <c r="A76" s="412" t="s">
        <v>88</v>
      </c>
      <c r="B76" s="412"/>
      <c r="C76" s="412"/>
      <c r="D76" s="412"/>
      <c r="E76" s="412"/>
      <c r="F76" s="412"/>
      <c r="G76" s="412"/>
      <c r="H76" s="412"/>
      <c r="I76" s="412"/>
      <c r="J76" s="412"/>
      <c r="K76" s="412"/>
      <c r="L76" s="412"/>
      <c r="M76" s="412"/>
      <c r="N76" s="412"/>
      <c r="O76" s="412"/>
      <c r="P76" s="412"/>
      <c r="Q76" s="412"/>
      <c r="Z76" s="604"/>
      <c r="AA76" s="604"/>
      <c r="AB76" s="604"/>
      <c r="AC76" s="311"/>
      <c r="AD76" s="604"/>
      <c r="AE76" s="604"/>
      <c r="AF76" s="604"/>
      <c r="AG76" s="604"/>
      <c r="AH76" s="604"/>
      <c r="AI76" s="604"/>
      <c r="AK76" s="305"/>
      <c r="AL76" s="305"/>
      <c r="AM76" s="305"/>
      <c r="AN76" s="305"/>
    </row>
    <row r="77" spans="1:44" x14ac:dyDescent="0.2">
      <c r="X77" s="952"/>
    </row>
    <row r="79" spans="1:44" x14ac:dyDescent="0.2">
      <c r="X79" s="320"/>
      <c r="AC79" s="430"/>
    </row>
  </sheetData>
  <phoneticPr fontId="11" type="noConversion"/>
  <conditionalFormatting sqref="X22:Y22 Y21 X15:Y15 B15:W22 Z15:Z22 Y17 Y19 B13:Z13 B26:V32 W26:Z26 AC13:AD13 AC15:AD22 AC26:AD32 Z28:Z32 W27">
    <cfRule type="cellIs" dxfId="25" priority="29" stopIfTrue="1" operator="greaterThan">
      <formula>0</formula>
    </cfRule>
    <cfRule type="cellIs" dxfId="24" priority="30" stopIfTrue="1" operator="lessThan">
      <formula>0</formula>
    </cfRule>
  </conditionalFormatting>
  <conditionalFormatting sqref="AA15:AB22 AA13:AB13 AA26:AB26 AA28:AB32">
    <cfRule type="cellIs" dxfId="23" priority="25" stopIfTrue="1" operator="greaterThan">
      <formula>0</formula>
    </cfRule>
    <cfRule type="cellIs" dxfId="22" priority="26" stopIfTrue="1" operator="lessThan">
      <formula>0</formula>
    </cfRule>
  </conditionalFormatting>
  <conditionalFormatting sqref="AE26 AE13 AE15:AE22 AE28:AE32">
    <cfRule type="cellIs" dxfId="21" priority="21" stopIfTrue="1" operator="greaterThan">
      <formula>0</formula>
    </cfRule>
    <cfRule type="cellIs" dxfId="20" priority="22" stopIfTrue="1" operator="lessThan">
      <formula>0</formula>
    </cfRule>
  </conditionalFormatting>
  <conditionalFormatting sqref="AF26 AF13 AF15:AF22 AF28:AF32">
    <cfRule type="cellIs" dxfId="19" priority="19" stopIfTrue="1" operator="greaterThan">
      <formula>0</formula>
    </cfRule>
    <cfRule type="cellIs" dxfId="18" priority="20" stopIfTrue="1" operator="lessThan">
      <formula>0</formula>
    </cfRule>
  </conditionalFormatting>
  <conditionalFormatting sqref="AB27">
    <cfRule type="cellIs" dxfId="17" priority="17" stopIfTrue="1" operator="greaterThan">
      <formula>0</formula>
    </cfRule>
    <cfRule type="cellIs" dxfId="16" priority="18" stopIfTrue="1" operator="lessThan">
      <formula>0</formula>
    </cfRule>
  </conditionalFormatting>
  <conditionalFormatting sqref="AE27">
    <cfRule type="cellIs" dxfId="15" priority="15" stopIfTrue="1" operator="greaterThan">
      <formula>0</formula>
    </cfRule>
    <cfRule type="cellIs" dxfId="14" priority="16" stopIfTrue="1" operator="lessThan">
      <formula>0</formula>
    </cfRule>
  </conditionalFormatting>
  <conditionalFormatting sqref="AF27">
    <cfRule type="cellIs" dxfId="13" priority="13" stopIfTrue="1" operator="greaterThan">
      <formula>0</formula>
    </cfRule>
    <cfRule type="cellIs" dxfId="12" priority="14" stopIfTrue="1" operator="lessThan">
      <formula>0</formula>
    </cfRule>
  </conditionalFormatting>
  <conditionalFormatting sqref="AA27">
    <cfRule type="cellIs" dxfId="11" priority="11" stopIfTrue="1" operator="greaterThan">
      <formula>0</formula>
    </cfRule>
    <cfRule type="cellIs" dxfId="10" priority="12" stopIfTrue="1" operator="lessThan">
      <formula>0</formula>
    </cfRule>
  </conditionalFormatting>
  <conditionalFormatting sqref="Z27">
    <cfRule type="cellIs" dxfId="9" priority="9" stopIfTrue="1" operator="greaterThan">
      <formula>0</formula>
    </cfRule>
    <cfRule type="cellIs" dxfId="8" priority="10" stopIfTrue="1" operator="lessThan">
      <formula>0</formula>
    </cfRule>
  </conditionalFormatting>
  <conditionalFormatting sqref="Y27">
    <cfRule type="cellIs" dxfId="7" priority="7" stopIfTrue="1" operator="greaterThan">
      <formula>0</formula>
    </cfRule>
    <cfRule type="cellIs" dxfId="6" priority="8" stopIfTrue="1" operator="lessThan">
      <formula>0</formula>
    </cfRule>
  </conditionalFormatting>
  <conditionalFormatting sqref="X27">
    <cfRule type="cellIs" dxfId="5" priority="5" stopIfTrue="1" operator="greaterThan">
      <formula>0</formula>
    </cfRule>
    <cfRule type="cellIs" dxfId="4" priority="6" stopIfTrue="1" operator="lessThan">
      <formula>0</formula>
    </cfRule>
  </conditionalFormatting>
  <conditionalFormatting sqref="AG26:AI26 AG13:AI13 AG15:AI22 AG28:AI32">
    <cfRule type="cellIs" dxfId="3" priority="3" stopIfTrue="1" operator="greaterThan">
      <formula>0</formula>
    </cfRule>
    <cfRule type="cellIs" dxfId="2" priority="4" stopIfTrue="1" operator="lessThan">
      <formula>0</formula>
    </cfRule>
  </conditionalFormatting>
  <conditionalFormatting sqref="AG27:AI27">
    <cfRule type="cellIs" dxfId="1" priority="1" stopIfTrue="1" operator="greaterThan">
      <formula>0</formula>
    </cfRule>
    <cfRule type="cellIs" dxfId="0" priority="2" stopIfTrue="1" operator="lessThan">
      <formula>0</formula>
    </cfRule>
  </conditionalFormatting>
  <pageMargins left="0.75" right="0.75" top="1" bottom="1" header="0.5" footer="0.5"/>
  <pageSetup scale="57" orientation="landscape" horizontalDpi="300" verticalDpi="300" r:id="rId1"/>
  <headerFooter alignWithMargins="0"/>
  <rowBreaks count="1" manualBreakCount="1">
    <brk id="73" max="40" man="1"/>
  </rowBreaks>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N643"/>
  <sheetViews>
    <sheetView showGridLines="0" workbookViewId="0">
      <selection activeCell="M300" sqref="M300"/>
    </sheetView>
  </sheetViews>
  <sheetFormatPr defaultColWidth="11.140625" defaultRowHeight="10.5" customHeight="1" outlineLevelRow="1" outlineLevelCol="1" x14ac:dyDescent="0.2"/>
  <cols>
    <col min="1" max="1" width="5" style="304" bestFit="1" customWidth="1"/>
    <col min="2" max="2" width="8.28515625" style="304" customWidth="1"/>
    <col min="3" max="3" width="8.28515625" style="304" customWidth="1" outlineLevel="1"/>
    <col min="4" max="4" width="8.85546875" style="304" customWidth="1" outlineLevel="1"/>
    <col min="5" max="5" width="9.140625" style="304" customWidth="1" outlineLevel="1"/>
    <col min="6" max="6" width="8.140625" style="304" customWidth="1" outlineLevel="1"/>
    <col min="7" max="7" width="6.28515625" style="304" customWidth="1" outlineLevel="1"/>
    <col min="8" max="8" width="1.42578125" style="304" customWidth="1" outlineLevel="1"/>
    <col min="9" max="10" width="11.140625" style="304"/>
    <col min="11" max="11" width="16" style="304" bestFit="1" customWidth="1"/>
    <col min="12" max="16384" width="11.140625" style="304"/>
  </cols>
  <sheetData>
    <row r="1" spans="1:12" ht="10.5" customHeight="1" x14ac:dyDescent="0.2">
      <c r="A1" s="605" t="s">
        <v>453</v>
      </c>
      <c r="B1" s="305"/>
      <c r="C1" s="305"/>
      <c r="D1" s="605"/>
      <c r="E1" s="605"/>
      <c r="F1" s="605"/>
      <c r="G1" s="605"/>
      <c r="H1" s="605"/>
      <c r="I1" s="605" t="s">
        <v>453</v>
      </c>
      <c r="J1" s="606"/>
      <c r="K1" s="605"/>
    </row>
    <row r="2" spans="1:12" ht="12" customHeight="1" x14ac:dyDescent="0.2">
      <c r="A2" s="607" t="s">
        <v>462</v>
      </c>
      <c r="B2" s="608"/>
      <c r="C2" s="608"/>
      <c r="D2" s="608"/>
      <c r="E2" s="608"/>
      <c r="F2" s="608"/>
      <c r="G2" s="608"/>
      <c r="H2" s="608"/>
      <c r="I2" s="609" t="s">
        <v>465</v>
      </c>
      <c r="J2" s="609"/>
      <c r="K2" s="609"/>
    </row>
    <row r="3" spans="1:12" ht="12" customHeight="1" x14ac:dyDescent="0.2">
      <c r="A3" s="610"/>
      <c r="B3" s="611"/>
      <c r="C3" s="611"/>
      <c r="D3" s="612"/>
      <c r="E3" s="612"/>
      <c r="F3" s="612"/>
      <c r="G3" s="612"/>
      <c r="H3" s="612"/>
      <c r="I3" s="613"/>
      <c r="J3" s="606"/>
      <c r="K3" s="606"/>
    </row>
    <row r="4" spans="1:12" ht="10.5" customHeight="1" x14ac:dyDescent="0.2">
      <c r="A4" s="610"/>
      <c r="B4" s="614"/>
      <c r="C4" s="614"/>
      <c r="D4" s="615" t="s">
        <v>101</v>
      </c>
      <c r="E4" s="616"/>
      <c r="F4" s="617"/>
      <c r="G4" s="617"/>
      <c r="H4" s="612"/>
      <c r="I4" s="618"/>
      <c r="J4" s="618"/>
      <c r="K4" s="619"/>
    </row>
    <row r="5" spans="1:12" ht="10.5" customHeight="1" x14ac:dyDescent="0.2">
      <c r="A5" s="610" t="s">
        <v>461</v>
      </c>
      <c r="B5" s="610" t="s">
        <v>217</v>
      </c>
      <c r="C5" s="610"/>
      <c r="D5" s="610" t="s">
        <v>230</v>
      </c>
      <c r="E5" s="620" t="s">
        <v>464</v>
      </c>
      <c r="F5" s="621" t="s">
        <v>232</v>
      </c>
      <c r="G5" s="621"/>
      <c r="H5" s="621"/>
      <c r="I5" s="622" t="s">
        <v>461</v>
      </c>
      <c r="J5" s="622" t="s">
        <v>217</v>
      </c>
      <c r="K5" s="615" t="s">
        <v>463</v>
      </c>
      <c r="L5" s="621" t="s">
        <v>232</v>
      </c>
    </row>
    <row r="6" spans="1:12" ht="10.5" hidden="1" customHeight="1" outlineLevel="1" x14ac:dyDescent="0.2">
      <c r="A6" s="610">
        <v>1991</v>
      </c>
      <c r="B6" s="612"/>
      <c r="C6" s="612"/>
      <c r="D6" s="623"/>
      <c r="E6" s="624"/>
      <c r="F6" s="625"/>
      <c r="G6" s="625"/>
      <c r="H6" s="612"/>
      <c r="I6" s="610">
        <v>1991</v>
      </c>
      <c r="J6" s="612"/>
      <c r="K6" s="626"/>
      <c r="L6" s="626"/>
    </row>
    <row r="7" spans="1:12" ht="10.5" hidden="1" customHeight="1" outlineLevel="1" x14ac:dyDescent="0.2">
      <c r="A7" s="610" t="s">
        <v>104</v>
      </c>
      <c r="B7" s="627" t="s">
        <v>218</v>
      </c>
      <c r="C7" s="612"/>
      <c r="D7" s="628">
        <v>66</v>
      </c>
      <c r="E7" s="629"/>
      <c r="F7" s="626"/>
      <c r="G7" s="626"/>
      <c r="H7" s="612"/>
      <c r="I7" s="610" t="s">
        <v>104</v>
      </c>
      <c r="J7" s="627" t="s">
        <v>218</v>
      </c>
      <c r="K7" s="626"/>
      <c r="L7" s="626"/>
    </row>
    <row r="8" spans="1:12" ht="10.5" hidden="1" customHeight="1" outlineLevel="1" x14ac:dyDescent="0.2">
      <c r="A8" s="610"/>
      <c r="B8" s="627" t="s">
        <v>219</v>
      </c>
      <c r="C8" s="612"/>
      <c r="D8" s="628">
        <v>68</v>
      </c>
      <c r="E8" s="630"/>
      <c r="F8" s="626"/>
      <c r="G8" s="626"/>
      <c r="H8" s="612"/>
      <c r="I8" s="610"/>
      <c r="J8" s="627" t="s">
        <v>219</v>
      </c>
      <c r="K8" s="631">
        <f>D8-D7</f>
        <v>2</v>
      </c>
      <c r="L8" s="626"/>
    </row>
    <row r="9" spans="1:12" ht="10.5" hidden="1" customHeight="1" outlineLevel="1" x14ac:dyDescent="0.2">
      <c r="A9" s="610"/>
      <c r="B9" s="627" t="s">
        <v>220</v>
      </c>
      <c r="C9" s="627">
        <v>1</v>
      </c>
      <c r="D9" s="628">
        <v>68</v>
      </c>
      <c r="E9" s="630"/>
      <c r="F9" s="626"/>
      <c r="G9" s="626"/>
      <c r="H9" s="612"/>
      <c r="I9" s="610"/>
      <c r="J9" s="627" t="s">
        <v>220</v>
      </c>
      <c r="K9" s="631">
        <f t="shared" ref="K9:K31" si="0">D9-D8</f>
        <v>0</v>
      </c>
      <c r="L9" s="626"/>
    </row>
    <row r="10" spans="1:12" ht="10.5" hidden="1" customHeight="1" outlineLevel="1" x14ac:dyDescent="0.2">
      <c r="A10" s="610" t="s">
        <v>105</v>
      </c>
      <c r="B10" s="627" t="s">
        <v>221</v>
      </c>
      <c r="C10" s="627"/>
      <c r="D10" s="628">
        <v>68</v>
      </c>
      <c r="E10" s="632"/>
      <c r="F10" s="626"/>
      <c r="G10" s="626"/>
      <c r="H10" s="612"/>
      <c r="I10" s="610" t="s">
        <v>105</v>
      </c>
      <c r="J10" s="627" t="s">
        <v>221</v>
      </c>
      <c r="K10" s="631">
        <f t="shared" si="0"/>
        <v>0</v>
      </c>
      <c r="L10" s="626"/>
    </row>
    <row r="11" spans="1:12" ht="10.5" hidden="1" customHeight="1" outlineLevel="1" x14ac:dyDescent="0.2">
      <c r="A11" s="610"/>
      <c r="B11" s="627" t="s">
        <v>222</v>
      </c>
      <c r="C11" s="627"/>
      <c r="D11" s="628">
        <v>68</v>
      </c>
      <c r="E11" s="623"/>
      <c r="F11" s="626"/>
      <c r="G11" s="626"/>
      <c r="H11" s="612"/>
      <c r="I11" s="610"/>
      <c r="J11" s="627" t="s">
        <v>222</v>
      </c>
      <c r="K11" s="631">
        <f t="shared" si="0"/>
        <v>0</v>
      </c>
      <c r="L11" s="626"/>
    </row>
    <row r="12" spans="1:12" ht="10.5" hidden="1" customHeight="1" outlineLevel="1" x14ac:dyDescent="0.2">
      <c r="A12" s="610"/>
      <c r="B12" s="627" t="s">
        <v>223</v>
      </c>
      <c r="C12" s="627">
        <f>C9+1</f>
        <v>2</v>
      </c>
      <c r="D12" s="628">
        <v>68</v>
      </c>
      <c r="E12" s="623"/>
      <c r="F12" s="626"/>
      <c r="G12" s="626"/>
      <c r="H12" s="612"/>
      <c r="I12" s="610"/>
      <c r="J12" s="627" t="s">
        <v>223</v>
      </c>
      <c r="K12" s="631">
        <f t="shared" si="0"/>
        <v>0</v>
      </c>
      <c r="L12" s="626"/>
    </row>
    <row r="13" spans="1:12" ht="10.5" hidden="1" customHeight="1" outlineLevel="1" x14ac:dyDescent="0.2">
      <c r="A13" s="610" t="s">
        <v>106</v>
      </c>
      <c r="B13" s="627" t="s">
        <v>224</v>
      </c>
      <c r="C13" s="627"/>
      <c r="D13" s="628">
        <v>70</v>
      </c>
      <c r="E13" s="632"/>
      <c r="F13" s="626"/>
      <c r="G13" s="626"/>
      <c r="H13" s="612"/>
      <c r="I13" s="610" t="s">
        <v>106</v>
      </c>
      <c r="J13" s="627" t="s">
        <v>224</v>
      </c>
      <c r="K13" s="631">
        <f t="shared" si="0"/>
        <v>2</v>
      </c>
      <c r="L13" s="626"/>
    </row>
    <row r="14" spans="1:12" ht="10.5" hidden="1" customHeight="1" outlineLevel="1" x14ac:dyDescent="0.2">
      <c r="A14" s="610"/>
      <c r="B14" s="627" t="s">
        <v>225</v>
      </c>
      <c r="C14" s="627"/>
      <c r="D14" s="628">
        <v>70</v>
      </c>
      <c r="E14" s="623"/>
      <c r="F14" s="626"/>
      <c r="G14" s="626"/>
      <c r="H14" s="612"/>
      <c r="I14" s="610"/>
      <c r="J14" s="627" t="s">
        <v>225</v>
      </c>
      <c r="K14" s="631">
        <f t="shared" si="0"/>
        <v>0</v>
      </c>
      <c r="L14" s="626"/>
    </row>
    <row r="15" spans="1:12" ht="10.5" hidden="1" customHeight="1" outlineLevel="1" x14ac:dyDescent="0.2">
      <c r="A15" s="610"/>
      <c r="B15" s="627" t="s">
        <v>226</v>
      </c>
      <c r="C15" s="627">
        <f>C12+1</f>
        <v>3</v>
      </c>
      <c r="D15" s="628">
        <v>75</v>
      </c>
      <c r="E15" s="623"/>
      <c r="F15" s="626"/>
      <c r="G15" s="626"/>
      <c r="H15" s="612"/>
      <c r="I15" s="610"/>
      <c r="J15" s="627" t="s">
        <v>226</v>
      </c>
      <c r="K15" s="631">
        <f t="shared" si="0"/>
        <v>5</v>
      </c>
      <c r="L15" s="626"/>
    </row>
    <row r="16" spans="1:12" ht="10.5" hidden="1" customHeight="1" outlineLevel="1" x14ac:dyDescent="0.2">
      <c r="A16" s="610" t="s">
        <v>107</v>
      </c>
      <c r="B16" s="627" t="s">
        <v>227</v>
      </c>
      <c r="C16" s="627"/>
      <c r="D16" s="628">
        <v>75</v>
      </c>
      <c r="E16" s="632"/>
      <c r="F16" s="626"/>
      <c r="G16" s="626"/>
      <c r="H16" s="612"/>
      <c r="I16" s="610" t="s">
        <v>107</v>
      </c>
      <c r="J16" s="627" t="s">
        <v>227</v>
      </c>
      <c r="K16" s="631">
        <f t="shared" si="0"/>
        <v>0</v>
      </c>
      <c r="L16" s="626"/>
    </row>
    <row r="17" spans="1:12" ht="10.5" hidden="1" customHeight="1" outlineLevel="1" x14ac:dyDescent="0.2">
      <c r="A17" s="610"/>
      <c r="B17" s="627" t="s">
        <v>228</v>
      </c>
      <c r="C17" s="627"/>
      <c r="D17" s="628">
        <v>75</v>
      </c>
      <c r="E17" s="633"/>
      <c r="F17" s="626"/>
      <c r="G17" s="626"/>
      <c r="H17" s="612"/>
      <c r="I17" s="610"/>
      <c r="J17" s="627" t="s">
        <v>228</v>
      </c>
      <c r="K17" s="631">
        <f t="shared" si="0"/>
        <v>0</v>
      </c>
      <c r="L17" s="626"/>
    </row>
    <row r="18" spans="1:12" ht="10.5" hidden="1" customHeight="1" outlineLevel="1" x14ac:dyDescent="0.2">
      <c r="A18" s="610"/>
      <c r="B18" s="627" t="s">
        <v>229</v>
      </c>
      <c r="C18" s="627">
        <f>C15+1</f>
        <v>4</v>
      </c>
      <c r="D18" s="628">
        <v>75</v>
      </c>
      <c r="E18" s="623"/>
      <c r="F18" s="626"/>
      <c r="G18" s="626"/>
      <c r="H18" s="612"/>
      <c r="I18" s="610"/>
      <c r="J18" s="627" t="s">
        <v>229</v>
      </c>
      <c r="K18" s="631">
        <f t="shared" si="0"/>
        <v>0</v>
      </c>
      <c r="L18" s="626"/>
    </row>
    <row r="19" spans="1:12" ht="10.5" hidden="1" customHeight="1" outlineLevel="1" x14ac:dyDescent="0.2">
      <c r="A19" s="610">
        <f>A6+1</f>
        <v>1992</v>
      </c>
      <c r="B19" s="627"/>
      <c r="C19" s="627"/>
      <c r="D19" s="634"/>
      <c r="E19" s="635"/>
      <c r="F19" s="626"/>
      <c r="G19" s="626"/>
      <c r="H19" s="612"/>
      <c r="I19" s="610">
        <f>I6+1</f>
        <v>1992</v>
      </c>
      <c r="J19" s="627"/>
      <c r="K19" s="626"/>
      <c r="L19" s="626"/>
    </row>
    <row r="20" spans="1:12" ht="10.5" hidden="1" customHeight="1" outlineLevel="1" x14ac:dyDescent="0.2">
      <c r="A20" s="610" t="s">
        <v>104</v>
      </c>
      <c r="B20" s="627" t="s">
        <v>218</v>
      </c>
      <c r="C20" s="627"/>
      <c r="D20" s="628">
        <v>75</v>
      </c>
      <c r="E20" s="629">
        <f t="shared" ref="E20:E31" si="1">(D20/D7-1)*100</f>
        <v>13.636363636363647</v>
      </c>
      <c r="F20" s="626"/>
      <c r="G20" s="626"/>
      <c r="H20" s="612"/>
      <c r="I20" s="610" t="s">
        <v>104</v>
      </c>
      <c r="J20" s="627" t="s">
        <v>218</v>
      </c>
      <c r="K20" s="631">
        <f>D20-D18</f>
        <v>0</v>
      </c>
      <c r="L20" s="626"/>
    </row>
    <row r="21" spans="1:12" ht="10.5" hidden="1" customHeight="1" outlineLevel="1" x14ac:dyDescent="0.2">
      <c r="A21" s="610"/>
      <c r="B21" s="627" t="s">
        <v>219</v>
      </c>
      <c r="C21" s="627"/>
      <c r="D21" s="628">
        <v>76</v>
      </c>
      <c r="E21" s="629">
        <f t="shared" si="1"/>
        <v>11.764705882352944</v>
      </c>
      <c r="F21" s="626"/>
      <c r="G21" s="626"/>
      <c r="H21" s="612"/>
      <c r="I21" s="610"/>
      <c r="J21" s="627" t="s">
        <v>219</v>
      </c>
      <c r="K21" s="631">
        <f t="shared" si="0"/>
        <v>1</v>
      </c>
      <c r="L21" s="626"/>
    </row>
    <row r="22" spans="1:12" ht="10.5" hidden="1" customHeight="1" outlineLevel="1" x14ac:dyDescent="0.2">
      <c r="A22" s="610"/>
      <c r="B22" s="627" t="s">
        <v>220</v>
      </c>
      <c r="C22" s="627">
        <f>C18+1</f>
        <v>5</v>
      </c>
      <c r="D22" s="628">
        <v>76</v>
      </c>
      <c r="E22" s="629">
        <f t="shared" si="1"/>
        <v>11.764705882352944</v>
      </c>
      <c r="F22" s="626"/>
      <c r="G22" s="626"/>
      <c r="H22" s="612"/>
      <c r="I22" s="610"/>
      <c r="J22" s="627" t="s">
        <v>220</v>
      </c>
      <c r="K22" s="631">
        <f t="shared" si="0"/>
        <v>0</v>
      </c>
      <c r="L22" s="626"/>
    </row>
    <row r="23" spans="1:12" ht="10.5" hidden="1" customHeight="1" outlineLevel="1" x14ac:dyDescent="0.2">
      <c r="A23" s="610" t="s">
        <v>105</v>
      </c>
      <c r="B23" s="627" t="s">
        <v>221</v>
      </c>
      <c r="C23" s="627"/>
      <c r="D23" s="628">
        <v>76</v>
      </c>
      <c r="E23" s="629">
        <f t="shared" si="1"/>
        <v>11.764705882352944</v>
      </c>
      <c r="F23" s="626"/>
      <c r="G23" s="626"/>
      <c r="H23" s="612"/>
      <c r="I23" s="610" t="s">
        <v>105</v>
      </c>
      <c r="J23" s="627" t="s">
        <v>221</v>
      </c>
      <c r="K23" s="631">
        <f t="shared" si="0"/>
        <v>0</v>
      </c>
      <c r="L23" s="626"/>
    </row>
    <row r="24" spans="1:12" ht="10.5" hidden="1" customHeight="1" outlineLevel="1" x14ac:dyDescent="0.2">
      <c r="A24" s="610"/>
      <c r="B24" s="627" t="s">
        <v>222</v>
      </c>
      <c r="C24" s="627"/>
      <c r="D24" s="628">
        <v>76</v>
      </c>
      <c r="E24" s="629">
        <f t="shared" si="1"/>
        <v>11.764705882352944</v>
      </c>
      <c r="F24" s="626"/>
      <c r="G24" s="626"/>
      <c r="H24" s="612"/>
      <c r="I24" s="610"/>
      <c r="J24" s="627" t="s">
        <v>222</v>
      </c>
      <c r="K24" s="631">
        <f t="shared" si="0"/>
        <v>0</v>
      </c>
      <c r="L24" s="626"/>
    </row>
    <row r="25" spans="1:12" ht="10.5" hidden="1" customHeight="1" outlineLevel="1" x14ac:dyDescent="0.2">
      <c r="A25" s="610"/>
      <c r="B25" s="627" t="s">
        <v>223</v>
      </c>
      <c r="C25" s="627">
        <f>C22+1</f>
        <v>6</v>
      </c>
      <c r="D25" s="628">
        <v>78</v>
      </c>
      <c r="E25" s="629">
        <f t="shared" si="1"/>
        <v>14.705882352941169</v>
      </c>
      <c r="F25" s="626"/>
      <c r="G25" s="626"/>
      <c r="H25" s="612"/>
      <c r="I25" s="610"/>
      <c r="J25" s="627" t="s">
        <v>223</v>
      </c>
      <c r="K25" s="631">
        <f t="shared" si="0"/>
        <v>2</v>
      </c>
      <c r="L25" s="626"/>
    </row>
    <row r="26" spans="1:12" ht="10.5" hidden="1" customHeight="1" outlineLevel="1" x14ac:dyDescent="0.2">
      <c r="A26" s="610" t="s">
        <v>106</v>
      </c>
      <c r="B26" s="627" t="s">
        <v>224</v>
      </c>
      <c r="C26" s="627"/>
      <c r="D26" s="628">
        <v>78</v>
      </c>
      <c r="E26" s="629">
        <f t="shared" si="1"/>
        <v>11.428571428571432</v>
      </c>
      <c r="F26" s="626"/>
      <c r="G26" s="626"/>
      <c r="H26" s="612"/>
      <c r="I26" s="610" t="s">
        <v>106</v>
      </c>
      <c r="J26" s="627" t="s">
        <v>224</v>
      </c>
      <c r="K26" s="631">
        <f t="shared" si="0"/>
        <v>0</v>
      </c>
      <c r="L26" s="626"/>
    </row>
    <row r="27" spans="1:12" ht="10.5" hidden="1" customHeight="1" outlineLevel="1" x14ac:dyDescent="0.2">
      <c r="A27" s="610"/>
      <c r="B27" s="627" t="s">
        <v>225</v>
      </c>
      <c r="C27" s="627"/>
      <c r="D27" s="628">
        <v>78</v>
      </c>
      <c r="E27" s="629">
        <f t="shared" si="1"/>
        <v>11.428571428571432</v>
      </c>
      <c r="F27" s="626"/>
      <c r="G27" s="626"/>
      <c r="H27" s="612"/>
      <c r="I27" s="610"/>
      <c r="J27" s="627" t="s">
        <v>225</v>
      </c>
      <c r="K27" s="631">
        <f t="shared" si="0"/>
        <v>0</v>
      </c>
      <c r="L27" s="626"/>
    </row>
    <row r="28" spans="1:12" ht="10.5" hidden="1" customHeight="1" outlineLevel="1" x14ac:dyDescent="0.2">
      <c r="A28" s="610"/>
      <c r="B28" s="627" t="s">
        <v>226</v>
      </c>
      <c r="C28" s="627">
        <f>C25+1</f>
        <v>7</v>
      </c>
      <c r="D28" s="628">
        <v>81</v>
      </c>
      <c r="E28" s="629">
        <f t="shared" si="1"/>
        <v>8.0000000000000071</v>
      </c>
      <c r="F28" s="626"/>
      <c r="G28" s="626"/>
      <c r="H28" s="612"/>
      <c r="I28" s="610"/>
      <c r="J28" s="627" t="s">
        <v>226</v>
      </c>
      <c r="K28" s="631">
        <f t="shared" si="0"/>
        <v>3</v>
      </c>
      <c r="L28" s="626"/>
    </row>
    <row r="29" spans="1:12" ht="10.5" hidden="1" customHeight="1" outlineLevel="1" x14ac:dyDescent="0.2">
      <c r="A29" s="610" t="s">
        <v>107</v>
      </c>
      <c r="B29" s="627" t="s">
        <v>227</v>
      </c>
      <c r="C29" s="627"/>
      <c r="D29" s="628">
        <v>81</v>
      </c>
      <c r="E29" s="629">
        <f t="shared" si="1"/>
        <v>8.0000000000000071</v>
      </c>
      <c r="F29" s="626"/>
      <c r="G29" s="626"/>
      <c r="H29" s="612"/>
      <c r="I29" s="610" t="s">
        <v>107</v>
      </c>
      <c r="J29" s="627" t="s">
        <v>227</v>
      </c>
      <c r="K29" s="631">
        <f t="shared" si="0"/>
        <v>0</v>
      </c>
      <c r="L29" s="626"/>
    </row>
    <row r="30" spans="1:12" ht="10.5" hidden="1" customHeight="1" outlineLevel="1" x14ac:dyDescent="0.2">
      <c r="A30" s="610"/>
      <c r="B30" s="627" t="s">
        <v>228</v>
      </c>
      <c r="C30" s="627"/>
      <c r="D30" s="628">
        <v>81</v>
      </c>
      <c r="E30" s="629">
        <f t="shared" si="1"/>
        <v>8.0000000000000071</v>
      </c>
      <c r="F30" s="626"/>
      <c r="G30" s="626"/>
      <c r="H30" s="612"/>
      <c r="I30" s="610"/>
      <c r="J30" s="627" t="s">
        <v>228</v>
      </c>
      <c r="K30" s="631">
        <f t="shared" si="0"/>
        <v>0</v>
      </c>
      <c r="L30" s="626"/>
    </row>
    <row r="31" spans="1:12" ht="10.5" hidden="1" customHeight="1" outlineLevel="1" x14ac:dyDescent="0.2">
      <c r="A31" s="610"/>
      <c r="B31" s="627" t="s">
        <v>229</v>
      </c>
      <c r="C31" s="627">
        <f>C28+1</f>
        <v>8</v>
      </c>
      <c r="D31" s="628">
        <v>79</v>
      </c>
      <c r="E31" s="629">
        <f t="shared" si="1"/>
        <v>5.3333333333333233</v>
      </c>
      <c r="F31" s="626"/>
      <c r="G31" s="626"/>
      <c r="H31" s="612"/>
      <c r="I31" s="610"/>
      <c r="J31" s="627" t="s">
        <v>229</v>
      </c>
      <c r="K31" s="631">
        <f t="shared" si="0"/>
        <v>-2</v>
      </c>
      <c r="L31" s="626"/>
    </row>
    <row r="32" spans="1:12" ht="10.5" hidden="1" customHeight="1" outlineLevel="1" x14ac:dyDescent="0.2">
      <c r="A32" s="610">
        <f>A19+1</f>
        <v>1993</v>
      </c>
      <c r="B32" s="627"/>
      <c r="C32" s="627"/>
      <c r="D32" s="628"/>
      <c r="E32" s="629"/>
      <c r="F32" s="626"/>
      <c r="G32" s="626"/>
      <c r="H32" s="612"/>
      <c r="I32" s="610">
        <f>I19+1</f>
        <v>1993</v>
      </c>
      <c r="J32" s="627"/>
      <c r="K32" s="626"/>
      <c r="L32" s="626"/>
    </row>
    <row r="33" spans="1:12" ht="10.5" hidden="1" customHeight="1" outlineLevel="1" x14ac:dyDescent="0.2">
      <c r="A33" s="610" t="s">
        <v>104</v>
      </c>
      <c r="B33" s="627" t="s">
        <v>218</v>
      </c>
      <c r="C33" s="627"/>
      <c r="D33" s="628">
        <v>79</v>
      </c>
      <c r="E33" s="629">
        <f t="shared" ref="E33:E44" si="2">(D33/D20-1)*100</f>
        <v>5.3333333333333233</v>
      </c>
      <c r="F33" s="626"/>
      <c r="G33" s="626"/>
      <c r="H33" s="612"/>
      <c r="I33" s="610" t="s">
        <v>104</v>
      </c>
      <c r="J33" s="627" t="s">
        <v>218</v>
      </c>
      <c r="K33" s="631">
        <f>D33-D31</f>
        <v>0</v>
      </c>
      <c r="L33" s="626"/>
    </row>
    <row r="34" spans="1:12" ht="10.5" hidden="1" customHeight="1" outlineLevel="1" x14ac:dyDescent="0.2">
      <c r="A34" s="610"/>
      <c r="B34" s="627" t="s">
        <v>219</v>
      </c>
      <c r="C34" s="627"/>
      <c r="D34" s="628">
        <v>80</v>
      </c>
      <c r="E34" s="629">
        <f t="shared" si="2"/>
        <v>5.2631578947368363</v>
      </c>
      <c r="F34" s="626"/>
      <c r="G34" s="626"/>
      <c r="H34" s="612"/>
      <c r="I34" s="610"/>
      <c r="J34" s="627" t="s">
        <v>219</v>
      </c>
      <c r="K34" s="631">
        <f t="shared" ref="K34:K44" si="3">D34-D33</f>
        <v>1</v>
      </c>
      <c r="L34" s="626"/>
    </row>
    <row r="35" spans="1:12" ht="10.5" hidden="1" customHeight="1" outlineLevel="1" x14ac:dyDescent="0.2">
      <c r="A35" s="610"/>
      <c r="B35" s="627" t="s">
        <v>220</v>
      </c>
      <c r="C35" s="627">
        <f>C31+1</f>
        <v>9</v>
      </c>
      <c r="D35" s="628">
        <v>82</v>
      </c>
      <c r="E35" s="629">
        <f t="shared" si="2"/>
        <v>7.8947368421052655</v>
      </c>
      <c r="F35" s="626"/>
      <c r="G35" s="626"/>
      <c r="H35" s="612"/>
      <c r="I35" s="610"/>
      <c r="J35" s="627" t="s">
        <v>220</v>
      </c>
      <c r="K35" s="631">
        <f t="shared" si="3"/>
        <v>2</v>
      </c>
      <c r="L35" s="626"/>
    </row>
    <row r="36" spans="1:12" ht="10.5" hidden="1" customHeight="1" outlineLevel="1" x14ac:dyDescent="0.2">
      <c r="A36" s="610" t="s">
        <v>105</v>
      </c>
      <c r="B36" s="627" t="s">
        <v>221</v>
      </c>
      <c r="C36" s="627"/>
      <c r="D36" s="628">
        <v>82</v>
      </c>
      <c r="E36" s="629">
        <f t="shared" si="2"/>
        <v>7.8947368421052655</v>
      </c>
      <c r="F36" s="626"/>
      <c r="G36" s="626"/>
      <c r="H36" s="612"/>
      <c r="I36" s="610" t="s">
        <v>105</v>
      </c>
      <c r="J36" s="627" t="s">
        <v>221</v>
      </c>
      <c r="K36" s="631">
        <f t="shared" si="3"/>
        <v>0</v>
      </c>
      <c r="L36" s="626"/>
    </row>
    <row r="37" spans="1:12" ht="10.5" hidden="1" customHeight="1" outlineLevel="1" x14ac:dyDescent="0.2">
      <c r="A37" s="610"/>
      <c r="B37" s="627" t="s">
        <v>222</v>
      </c>
      <c r="C37" s="627"/>
      <c r="D37" s="628">
        <v>82</v>
      </c>
      <c r="E37" s="629">
        <f t="shared" si="2"/>
        <v>7.8947368421052655</v>
      </c>
      <c r="F37" s="626"/>
      <c r="G37" s="626"/>
      <c r="H37" s="612"/>
      <c r="I37" s="610"/>
      <c r="J37" s="627" t="s">
        <v>222</v>
      </c>
      <c r="K37" s="631">
        <f t="shared" si="3"/>
        <v>0</v>
      </c>
      <c r="L37" s="626"/>
    </row>
    <row r="38" spans="1:12" ht="10.5" hidden="1" customHeight="1" outlineLevel="1" x14ac:dyDescent="0.2">
      <c r="A38" s="610"/>
      <c r="B38" s="627" t="s">
        <v>223</v>
      </c>
      <c r="C38" s="627">
        <f>C35+1</f>
        <v>10</v>
      </c>
      <c r="D38" s="628">
        <v>85</v>
      </c>
      <c r="E38" s="629">
        <f t="shared" si="2"/>
        <v>8.9743589743589638</v>
      </c>
      <c r="F38" s="626"/>
      <c r="G38" s="626"/>
      <c r="H38" s="612"/>
      <c r="I38" s="610"/>
      <c r="J38" s="627" t="s">
        <v>223</v>
      </c>
      <c r="K38" s="631">
        <f t="shared" si="3"/>
        <v>3</v>
      </c>
      <c r="L38" s="626"/>
    </row>
    <row r="39" spans="1:12" ht="10.5" hidden="1" customHeight="1" outlineLevel="1" x14ac:dyDescent="0.2">
      <c r="A39" s="610" t="s">
        <v>106</v>
      </c>
      <c r="B39" s="627" t="s">
        <v>224</v>
      </c>
      <c r="C39" s="627"/>
      <c r="D39" s="628">
        <v>85</v>
      </c>
      <c r="E39" s="629">
        <f t="shared" si="2"/>
        <v>8.9743589743589638</v>
      </c>
      <c r="F39" s="626"/>
      <c r="G39" s="626"/>
      <c r="H39" s="612"/>
      <c r="I39" s="610" t="s">
        <v>106</v>
      </c>
      <c r="J39" s="627" t="s">
        <v>224</v>
      </c>
      <c r="K39" s="631">
        <f t="shared" si="3"/>
        <v>0</v>
      </c>
      <c r="L39" s="626"/>
    </row>
    <row r="40" spans="1:12" ht="10.5" hidden="1" customHeight="1" outlineLevel="1" x14ac:dyDescent="0.2">
      <c r="A40" s="610"/>
      <c r="B40" s="627" t="s">
        <v>225</v>
      </c>
      <c r="C40" s="627"/>
      <c r="D40" s="628">
        <v>85</v>
      </c>
      <c r="E40" s="629">
        <f t="shared" si="2"/>
        <v>8.9743589743589638</v>
      </c>
      <c r="F40" s="626"/>
      <c r="G40" s="626"/>
      <c r="H40" s="612"/>
      <c r="I40" s="610"/>
      <c r="J40" s="627" t="s">
        <v>225</v>
      </c>
      <c r="K40" s="631">
        <f t="shared" si="3"/>
        <v>0</v>
      </c>
      <c r="L40" s="626"/>
    </row>
    <row r="41" spans="1:12" ht="10.5" hidden="1" customHeight="1" outlineLevel="1" x14ac:dyDescent="0.2">
      <c r="A41" s="610"/>
      <c r="B41" s="627" t="s">
        <v>226</v>
      </c>
      <c r="C41" s="627">
        <f>C38+1</f>
        <v>11</v>
      </c>
      <c r="D41" s="628">
        <v>85</v>
      </c>
      <c r="E41" s="629">
        <f t="shared" si="2"/>
        <v>4.9382716049382713</v>
      </c>
      <c r="F41" s="626"/>
      <c r="G41" s="626"/>
      <c r="H41" s="612"/>
      <c r="I41" s="610"/>
      <c r="J41" s="627" t="s">
        <v>226</v>
      </c>
      <c r="K41" s="631">
        <f t="shared" si="3"/>
        <v>0</v>
      </c>
      <c r="L41" s="626"/>
    </row>
    <row r="42" spans="1:12" ht="10.5" hidden="1" customHeight="1" outlineLevel="1" x14ac:dyDescent="0.2">
      <c r="A42" s="610" t="s">
        <v>107</v>
      </c>
      <c r="B42" s="627" t="s">
        <v>227</v>
      </c>
      <c r="C42" s="627"/>
      <c r="D42" s="628">
        <v>90</v>
      </c>
      <c r="E42" s="629">
        <f t="shared" si="2"/>
        <v>11.111111111111116</v>
      </c>
      <c r="F42" s="626"/>
      <c r="G42" s="626"/>
      <c r="H42" s="612"/>
      <c r="I42" s="610" t="s">
        <v>107</v>
      </c>
      <c r="J42" s="627" t="s">
        <v>227</v>
      </c>
      <c r="K42" s="631">
        <f t="shared" si="3"/>
        <v>5</v>
      </c>
      <c r="L42" s="626"/>
    </row>
    <row r="43" spans="1:12" ht="10.5" hidden="1" customHeight="1" outlineLevel="1" x14ac:dyDescent="0.2">
      <c r="A43" s="610"/>
      <c r="B43" s="627" t="s">
        <v>228</v>
      </c>
      <c r="C43" s="627"/>
      <c r="D43" s="628">
        <v>90</v>
      </c>
      <c r="E43" s="629">
        <f t="shared" si="2"/>
        <v>11.111111111111116</v>
      </c>
      <c r="F43" s="626"/>
      <c r="G43" s="626"/>
      <c r="H43" s="612"/>
      <c r="I43" s="610"/>
      <c r="J43" s="627" t="s">
        <v>228</v>
      </c>
      <c r="K43" s="631">
        <f t="shared" si="3"/>
        <v>0</v>
      </c>
      <c r="L43" s="626"/>
    </row>
    <row r="44" spans="1:12" ht="10.5" hidden="1" customHeight="1" outlineLevel="1" x14ac:dyDescent="0.2">
      <c r="A44" s="610"/>
      <c r="B44" s="627" t="s">
        <v>229</v>
      </c>
      <c r="C44" s="627">
        <f>C41+1</f>
        <v>12</v>
      </c>
      <c r="D44" s="628">
        <v>90</v>
      </c>
      <c r="E44" s="629">
        <f t="shared" si="2"/>
        <v>13.924050632911399</v>
      </c>
      <c r="F44" s="626"/>
      <c r="G44" s="626"/>
      <c r="H44" s="612"/>
      <c r="I44" s="610"/>
      <c r="J44" s="627" t="s">
        <v>229</v>
      </c>
      <c r="K44" s="631">
        <f t="shared" si="3"/>
        <v>0</v>
      </c>
      <c r="L44" s="626"/>
    </row>
    <row r="45" spans="1:12" ht="10.5" hidden="1" customHeight="1" outlineLevel="1" x14ac:dyDescent="0.2">
      <c r="A45" s="610">
        <f>A32+1</f>
        <v>1994</v>
      </c>
      <c r="B45" s="627"/>
      <c r="C45" s="627"/>
      <c r="D45" s="636"/>
      <c r="E45" s="637"/>
      <c r="F45" s="626"/>
      <c r="G45" s="626"/>
      <c r="H45" s="638"/>
      <c r="I45" s="610">
        <f>I32+1</f>
        <v>1994</v>
      </c>
      <c r="J45" s="627"/>
      <c r="K45" s="626"/>
      <c r="L45" s="626"/>
    </row>
    <row r="46" spans="1:12" ht="10.5" hidden="1" customHeight="1" outlineLevel="1" x14ac:dyDescent="0.2">
      <c r="A46" s="610" t="s">
        <v>104</v>
      </c>
      <c r="B46" s="627" t="s">
        <v>218</v>
      </c>
      <c r="C46" s="627"/>
      <c r="D46" s="628">
        <v>90</v>
      </c>
      <c r="E46" s="629">
        <f t="shared" ref="E46:E57" si="4">(D46/D33-1)*100</f>
        <v>13.924050632911399</v>
      </c>
      <c r="F46" s="626"/>
      <c r="G46" s="626"/>
      <c r="H46" s="612"/>
      <c r="I46" s="610" t="s">
        <v>104</v>
      </c>
      <c r="J46" s="627" t="s">
        <v>218</v>
      </c>
      <c r="K46" s="631">
        <f>D46-D44</f>
        <v>0</v>
      </c>
      <c r="L46" s="626"/>
    </row>
    <row r="47" spans="1:12" ht="10.5" hidden="1" customHeight="1" outlineLevel="1" x14ac:dyDescent="0.2">
      <c r="A47" s="610"/>
      <c r="B47" s="627" t="s">
        <v>219</v>
      </c>
      <c r="C47" s="627"/>
      <c r="D47" s="628">
        <v>92</v>
      </c>
      <c r="E47" s="629">
        <f t="shared" si="4"/>
        <v>14.999999999999991</v>
      </c>
      <c r="F47" s="626"/>
      <c r="G47" s="626"/>
      <c r="H47" s="612"/>
      <c r="I47" s="610"/>
      <c r="J47" s="627" t="s">
        <v>219</v>
      </c>
      <c r="K47" s="631">
        <f t="shared" ref="K47:K57" si="5">D47-D46</f>
        <v>2</v>
      </c>
      <c r="L47" s="626"/>
    </row>
    <row r="48" spans="1:12" ht="10.5" hidden="1" customHeight="1" outlineLevel="1" x14ac:dyDescent="0.2">
      <c r="A48" s="610"/>
      <c r="B48" s="627" t="s">
        <v>220</v>
      </c>
      <c r="C48" s="627">
        <f>C44+1</f>
        <v>13</v>
      </c>
      <c r="D48" s="628">
        <v>92</v>
      </c>
      <c r="E48" s="629">
        <f t="shared" si="4"/>
        <v>12.195121951219523</v>
      </c>
      <c r="F48" s="626"/>
      <c r="G48" s="626"/>
      <c r="H48" s="612"/>
      <c r="I48" s="610"/>
      <c r="J48" s="627" t="s">
        <v>220</v>
      </c>
      <c r="K48" s="631">
        <f t="shared" si="5"/>
        <v>0</v>
      </c>
      <c r="L48" s="626"/>
    </row>
    <row r="49" spans="1:12" ht="10.5" hidden="1" customHeight="1" outlineLevel="1" x14ac:dyDescent="0.2">
      <c r="A49" s="610" t="s">
        <v>105</v>
      </c>
      <c r="B49" s="627" t="s">
        <v>221</v>
      </c>
      <c r="C49" s="627"/>
      <c r="D49" s="628">
        <v>92</v>
      </c>
      <c r="E49" s="629">
        <f t="shared" si="4"/>
        <v>12.195121951219523</v>
      </c>
      <c r="F49" s="626"/>
      <c r="G49" s="626"/>
      <c r="H49" s="612"/>
      <c r="I49" s="610" t="s">
        <v>105</v>
      </c>
      <c r="J49" s="627" t="s">
        <v>221</v>
      </c>
      <c r="K49" s="631">
        <f t="shared" si="5"/>
        <v>0</v>
      </c>
      <c r="L49" s="626"/>
    </row>
    <row r="50" spans="1:12" ht="10.5" hidden="1" customHeight="1" outlineLevel="1" x14ac:dyDescent="0.2">
      <c r="A50" s="610"/>
      <c r="B50" s="627" t="s">
        <v>222</v>
      </c>
      <c r="C50" s="627"/>
      <c r="D50" s="628">
        <v>92</v>
      </c>
      <c r="E50" s="629">
        <f t="shared" si="4"/>
        <v>12.195121951219523</v>
      </c>
      <c r="F50" s="626"/>
      <c r="G50" s="626"/>
      <c r="H50" s="612"/>
      <c r="I50" s="610"/>
      <c r="J50" s="627" t="s">
        <v>222</v>
      </c>
      <c r="K50" s="631">
        <f t="shared" si="5"/>
        <v>0</v>
      </c>
      <c r="L50" s="626"/>
    </row>
    <row r="51" spans="1:12" ht="10.5" hidden="1" customHeight="1" outlineLevel="1" x14ac:dyDescent="0.2">
      <c r="A51" s="610"/>
      <c r="B51" s="627" t="s">
        <v>223</v>
      </c>
      <c r="C51" s="627">
        <f>C48+1</f>
        <v>14</v>
      </c>
      <c r="D51" s="628">
        <v>92</v>
      </c>
      <c r="E51" s="629">
        <f t="shared" si="4"/>
        <v>8.2352941176470509</v>
      </c>
      <c r="F51" s="626"/>
      <c r="G51" s="626"/>
      <c r="H51" s="612"/>
      <c r="I51" s="610"/>
      <c r="J51" s="627" t="s">
        <v>223</v>
      </c>
      <c r="K51" s="631">
        <f t="shared" si="5"/>
        <v>0</v>
      </c>
      <c r="L51" s="626"/>
    </row>
    <row r="52" spans="1:12" ht="10.5" hidden="1" customHeight="1" outlineLevel="1" x14ac:dyDescent="0.2">
      <c r="A52" s="610" t="s">
        <v>106</v>
      </c>
      <c r="B52" s="627" t="s">
        <v>224</v>
      </c>
      <c r="C52" s="627"/>
      <c r="D52" s="628">
        <v>96</v>
      </c>
      <c r="E52" s="629">
        <f t="shared" si="4"/>
        <v>12.941176470588234</v>
      </c>
      <c r="F52" s="626"/>
      <c r="G52" s="626"/>
      <c r="H52" s="612"/>
      <c r="I52" s="610" t="s">
        <v>106</v>
      </c>
      <c r="J52" s="627" t="s">
        <v>224</v>
      </c>
      <c r="K52" s="631">
        <f t="shared" si="5"/>
        <v>4</v>
      </c>
      <c r="L52" s="626"/>
    </row>
    <row r="53" spans="1:12" ht="10.5" hidden="1" customHeight="1" outlineLevel="1" x14ac:dyDescent="0.2">
      <c r="A53" s="610"/>
      <c r="B53" s="627" t="s">
        <v>225</v>
      </c>
      <c r="C53" s="627"/>
      <c r="D53" s="628">
        <v>96</v>
      </c>
      <c r="E53" s="629">
        <f t="shared" si="4"/>
        <v>12.941176470588234</v>
      </c>
      <c r="F53" s="626"/>
      <c r="G53" s="626"/>
      <c r="H53" s="612"/>
      <c r="I53" s="610"/>
      <c r="J53" s="627" t="s">
        <v>225</v>
      </c>
      <c r="K53" s="631">
        <f t="shared" si="5"/>
        <v>0</v>
      </c>
      <c r="L53" s="626"/>
    </row>
    <row r="54" spans="1:12" ht="10.5" hidden="1" customHeight="1" outlineLevel="1" x14ac:dyDescent="0.2">
      <c r="A54" s="610"/>
      <c r="B54" s="627" t="s">
        <v>226</v>
      </c>
      <c r="C54" s="627">
        <f>C51+1</f>
        <v>15</v>
      </c>
      <c r="D54" s="628">
        <v>99</v>
      </c>
      <c r="E54" s="629">
        <f t="shared" si="4"/>
        <v>16.470588235294127</v>
      </c>
      <c r="F54" s="626"/>
      <c r="G54" s="626"/>
      <c r="H54" s="612"/>
      <c r="I54" s="610"/>
      <c r="J54" s="627" t="s">
        <v>226</v>
      </c>
      <c r="K54" s="631">
        <f t="shared" si="5"/>
        <v>3</v>
      </c>
      <c r="L54" s="626"/>
    </row>
    <row r="55" spans="1:12" ht="10.5" hidden="1" customHeight="1" outlineLevel="1" x14ac:dyDescent="0.2">
      <c r="A55" s="610" t="s">
        <v>107</v>
      </c>
      <c r="B55" s="627" t="s">
        <v>227</v>
      </c>
      <c r="C55" s="627"/>
      <c r="D55" s="628">
        <v>108</v>
      </c>
      <c r="E55" s="629">
        <f t="shared" si="4"/>
        <v>19.999999999999996</v>
      </c>
      <c r="F55" s="626"/>
      <c r="G55" s="626"/>
      <c r="H55" s="612"/>
      <c r="I55" s="610" t="s">
        <v>107</v>
      </c>
      <c r="J55" s="627" t="s">
        <v>227</v>
      </c>
      <c r="K55" s="631">
        <f t="shared" si="5"/>
        <v>9</v>
      </c>
      <c r="L55" s="626"/>
    </row>
    <row r="56" spans="1:12" ht="10.5" hidden="1" customHeight="1" outlineLevel="1" x14ac:dyDescent="0.2">
      <c r="A56" s="610"/>
      <c r="B56" s="627" t="s">
        <v>228</v>
      </c>
      <c r="C56" s="627"/>
      <c r="D56" s="628">
        <v>108</v>
      </c>
      <c r="E56" s="629">
        <f t="shared" si="4"/>
        <v>19.999999999999996</v>
      </c>
      <c r="F56" s="626"/>
      <c r="G56" s="626"/>
      <c r="H56" s="612"/>
      <c r="I56" s="610"/>
      <c r="J56" s="627" t="s">
        <v>228</v>
      </c>
      <c r="K56" s="631">
        <f t="shared" si="5"/>
        <v>0</v>
      </c>
      <c r="L56" s="626"/>
    </row>
    <row r="57" spans="1:12" ht="10.5" hidden="1" customHeight="1" outlineLevel="1" x14ac:dyDescent="0.2">
      <c r="A57" s="610"/>
      <c r="B57" s="627" t="s">
        <v>229</v>
      </c>
      <c r="C57" s="627">
        <f>C54+1</f>
        <v>16</v>
      </c>
      <c r="D57" s="628">
        <v>108</v>
      </c>
      <c r="E57" s="629">
        <f t="shared" si="4"/>
        <v>19.999999999999996</v>
      </c>
      <c r="F57" s="626"/>
      <c r="G57" s="626"/>
      <c r="H57" s="612"/>
      <c r="I57" s="610"/>
      <c r="J57" s="627" t="s">
        <v>229</v>
      </c>
      <c r="K57" s="631">
        <f t="shared" si="5"/>
        <v>0</v>
      </c>
      <c r="L57" s="626"/>
    </row>
    <row r="58" spans="1:12" ht="10.5" hidden="1" customHeight="1" outlineLevel="1" x14ac:dyDescent="0.2">
      <c r="A58" s="610">
        <f>A45+1</f>
        <v>1995</v>
      </c>
      <c r="B58" s="627"/>
      <c r="C58" s="627"/>
      <c r="D58" s="639"/>
      <c r="E58" s="625"/>
      <c r="F58" s="626"/>
      <c r="G58" s="626"/>
      <c r="H58" s="612"/>
      <c r="I58" s="610">
        <f>I45+1</f>
        <v>1995</v>
      </c>
      <c r="J58" s="627"/>
      <c r="K58" s="626"/>
      <c r="L58" s="626"/>
    </row>
    <row r="59" spans="1:12" ht="10.5" hidden="1" customHeight="1" outlineLevel="1" x14ac:dyDescent="0.2">
      <c r="A59" s="610" t="s">
        <v>104</v>
      </c>
      <c r="B59" s="627" t="s">
        <v>218</v>
      </c>
      <c r="C59" s="627"/>
      <c r="D59" s="628">
        <v>108</v>
      </c>
      <c r="E59" s="629">
        <f t="shared" ref="E59:E70" si="6">(D59/D46-1)*100</f>
        <v>19.999999999999996</v>
      </c>
      <c r="F59" s="626"/>
      <c r="G59" s="626"/>
      <c r="H59" s="612"/>
      <c r="I59" s="610" t="s">
        <v>104</v>
      </c>
      <c r="J59" s="627" t="s">
        <v>218</v>
      </c>
      <c r="K59" s="631">
        <f>D59-D57</f>
        <v>0</v>
      </c>
      <c r="L59" s="626"/>
    </row>
    <row r="60" spans="1:12" ht="10.5" hidden="1" customHeight="1" outlineLevel="1" x14ac:dyDescent="0.2">
      <c r="A60" s="610"/>
      <c r="B60" s="627" t="s">
        <v>219</v>
      </c>
      <c r="C60" s="627"/>
      <c r="D60" s="628">
        <v>109</v>
      </c>
      <c r="E60" s="629">
        <f t="shared" si="6"/>
        <v>18.478260869565212</v>
      </c>
      <c r="F60" s="626"/>
      <c r="G60" s="626"/>
      <c r="H60" s="612"/>
      <c r="I60" s="610"/>
      <c r="J60" s="627" t="s">
        <v>219</v>
      </c>
      <c r="K60" s="631">
        <f t="shared" ref="K60:K70" si="7">D60-D59</f>
        <v>1</v>
      </c>
      <c r="L60" s="626"/>
    </row>
    <row r="61" spans="1:12" ht="10.5" hidden="1" customHeight="1" outlineLevel="1" x14ac:dyDescent="0.2">
      <c r="A61" s="610"/>
      <c r="B61" s="627" t="s">
        <v>220</v>
      </c>
      <c r="C61" s="627">
        <f>C57+1</f>
        <v>17</v>
      </c>
      <c r="D61" s="628">
        <v>109</v>
      </c>
      <c r="E61" s="629">
        <f t="shared" si="6"/>
        <v>18.478260869565212</v>
      </c>
      <c r="F61" s="626"/>
      <c r="G61" s="626"/>
      <c r="H61" s="612"/>
      <c r="I61" s="610"/>
      <c r="J61" s="627" t="s">
        <v>220</v>
      </c>
      <c r="K61" s="631">
        <f t="shared" si="7"/>
        <v>0</v>
      </c>
      <c r="L61" s="626"/>
    </row>
    <row r="62" spans="1:12" ht="10.5" hidden="1" customHeight="1" outlineLevel="1" x14ac:dyDescent="0.2">
      <c r="A62" s="610" t="s">
        <v>105</v>
      </c>
      <c r="B62" s="627" t="s">
        <v>221</v>
      </c>
      <c r="C62" s="627"/>
      <c r="D62" s="628">
        <v>109</v>
      </c>
      <c r="E62" s="629">
        <f t="shared" si="6"/>
        <v>18.478260869565212</v>
      </c>
      <c r="F62" s="626"/>
      <c r="G62" s="626"/>
      <c r="H62" s="612"/>
      <c r="I62" s="610" t="s">
        <v>105</v>
      </c>
      <c r="J62" s="627" t="s">
        <v>221</v>
      </c>
      <c r="K62" s="631">
        <f t="shared" si="7"/>
        <v>0</v>
      </c>
      <c r="L62" s="626"/>
    </row>
    <row r="63" spans="1:12" ht="10.5" hidden="1" customHeight="1" outlineLevel="1" x14ac:dyDescent="0.2">
      <c r="A63" s="610"/>
      <c r="B63" s="627" t="s">
        <v>222</v>
      </c>
      <c r="C63" s="627"/>
      <c r="D63" s="628">
        <v>109</v>
      </c>
      <c r="E63" s="629">
        <f t="shared" si="6"/>
        <v>18.478260869565212</v>
      </c>
      <c r="F63" s="626"/>
      <c r="G63" s="626"/>
      <c r="H63" s="612"/>
      <c r="I63" s="610"/>
      <c r="J63" s="627" t="s">
        <v>222</v>
      </c>
      <c r="K63" s="631">
        <f t="shared" si="7"/>
        <v>0</v>
      </c>
      <c r="L63" s="626"/>
    </row>
    <row r="64" spans="1:12" ht="10.5" hidden="1" customHeight="1" outlineLevel="1" x14ac:dyDescent="0.2">
      <c r="A64" s="610"/>
      <c r="B64" s="627" t="s">
        <v>223</v>
      </c>
      <c r="C64" s="627">
        <f>C61+1</f>
        <v>18</v>
      </c>
      <c r="D64" s="628">
        <v>109</v>
      </c>
      <c r="E64" s="629">
        <f t="shared" si="6"/>
        <v>18.478260869565212</v>
      </c>
      <c r="F64" s="626"/>
      <c r="G64" s="626"/>
      <c r="H64" s="612"/>
      <c r="I64" s="610"/>
      <c r="J64" s="627" t="s">
        <v>223</v>
      </c>
      <c r="K64" s="631">
        <f t="shared" si="7"/>
        <v>0</v>
      </c>
      <c r="L64" s="626"/>
    </row>
    <row r="65" spans="1:12" ht="10.5" hidden="1" customHeight="1" outlineLevel="1" x14ac:dyDescent="0.2">
      <c r="A65" s="610" t="s">
        <v>106</v>
      </c>
      <c r="B65" s="627" t="s">
        <v>224</v>
      </c>
      <c r="C65" s="627"/>
      <c r="D65" s="628">
        <v>117</v>
      </c>
      <c r="E65" s="629">
        <f t="shared" si="6"/>
        <v>21.875</v>
      </c>
      <c r="F65" s="626"/>
      <c r="G65" s="626"/>
      <c r="H65" s="612"/>
      <c r="I65" s="610" t="s">
        <v>106</v>
      </c>
      <c r="J65" s="627" t="s">
        <v>224</v>
      </c>
      <c r="K65" s="631">
        <f t="shared" si="7"/>
        <v>8</v>
      </c>
      <c r="L65" s="626"/>
    </row>
    <row r="66" spans="1:12" ht="10.5" hidden="1" customHeight="1" outlineLevel="1" x14ac:dyDescent="0.2">
      <c r="A66" s="610"/>
      <c r="B66" s="627" t="s">
        <v>225</v>
      </c>
      <c r="C66" s="627"/>
      <c r="D66" s="628">
        <v>121</v>
      </c>
      <c r="E66" s="629">
        <f t="shared" si="6"/>
        <v>26.041666666666675</v>
      </c>
      <c r="F66" s="626"/>
      <c r="G66" s="626"/>
      <c r="H66" s="612"/>
      <c r="I66" s="610"/>
      <c r="J66" s="627" t="s">
        <v>225</v>
      </c>
      <c r="K66" s="631">
        <f t="shared" si="7"/>
        <v>4</v>
      </c>
      <c r="L66" s="626"/>
    </row>
    <row r="67" spans="1:12" ht="10.5" hidden="1" customHeight="1" outlineLevel="1" x14ac:dyDescent="0.2">
      <c r="A67" s="610"/>
      <c r="B67" s="627" t="s">
        <v>226</v>
      </c>
      <c r="C67" s="627">
        <f>C64+1</f>
        <v>19</v>
      </c>
      <c r="D67" s="628">
        <v>128</v>
      </c>
      <c r="E67" s="629">
        <f t="shared" si="6"/>
        <v>29.292929292929305</v>
      </c>
      <c r="F67" s="626"/>
      <c r="G67" s="626"/>
      <c r="H67" s="612"/>
      <c r="I67" s="610"/>
      <c r="J67" s="627" t="s">
        <v>226</v>
      </c>
      <c r="K67" s="631">
        <f t="shared" si="7"/>
        <v>7</v>
      </c>
      <c r="L67" s="626"/>
    </row>
    <row r="68" spans="1:12" ht="10.5" hidden="1" customHeight="1" outlineLevel="1" x14ac:dyDescent="0.2">
      <c r="A68" s="610" t="s">
        <v>107</v>
      </c>
      <c r="B68" s="627" t="s">
        <v>227</v>
      </c>
      <c r="C68" s="627"/>
      <c r="D68" s="628">
        <v>128</v>
      </c>
      <c r="E68" s="629">
        <f t="shared" si="6"/>
        <v>18.518518518518512</v>
      </c>
      <c r="F68" s="626"/>
      <c r="G68" s="626"/>
      <c r="H68" s="612"/>
      <c r="I68" s="610" t="s">
        <v>107</v>
      </c>
      <c r="J68" s="627" t="s">
        <v>227</v>
      </c>
      <c r="K68" s="631">
        <f t="shared" si="7"/>
        <v>0</v>
      </c>
      <c r="L68" s="626"/>
    </row>
    <row r="69" spans="1:12" ht="10.5" hidden="1" customHeight="1" outlineLevel="1" x14ac:dyDescent="0.2">
      <c r="A69" s="610"/>
      <c r="B69" s="627" t="s">
        <v>228</v>
      </c>
      <c r="C69" s="627"/>
      <c r="D69" s="628">
        <v>128</v>
      </c>
      <c r="E69" s="629">
        <f t="shared" si="6"/>
        <v>18.518518518518512</v>
      </c>
      <c r="F69" s="626"/>
      <c r="G69" s="626"/>
      <c r="H69" s="612"/>
      <c r="I69" s="610"/>
      <c r="J69" s="627" t="s">
        <v>228</v>
      </c>
      <c r="K69" s="631">
        <f t="shared" si="7"/>
        <v>0</v>
      </c>
      <c r="L69" s="626"/>
    </row>
    <row r="70" spans="1:12" ht="10.5" hidden="1" customHeight="1" outlineLevel="1" x14ac:dyDescent="0.2">
      <c r="A70" s="610"/>
      <c r="B70" s="627" t="s">
        <v>229</v>
      </c>
      <c r="C70" s="627">
        <f>C67+1</f>
        <v>20</v>
      </c>
      <c r="D70" s="628">
        <v>128</v>
      </c>
      <c r="E70" s="629">
        <f t="shared" si="6"/>
        <v>18.518518518518512</v>
      </c>
      <c r="F70" s="626"/>
      <c r="G70" s="626"/>
      <c r="H70" s="612"/>
      <c r="I70" s="610"/>
      <c r="J70" s="627" t="s">
        <v>229</v>
      </c>
      <c r="K70" s="631">
        <f t="shared" si="7"/>
        <v>0</v>
      </c>
      <c r="L70" s="626"/>
    </row>
    <row r="71" spans="1:12" ht="10.5" hidden="1" customHeight="1" outlineLevel="1" x14ac:dyDescent="0.2">
      <c r="A71" s="610">
        <f>A58+1</f>
        <v>1996</v>
      </c>
      <c r="B71" s="627"/>
      <c r="C71" s="627"/>
      <c r="D71" s="639"/>
      <c r="E71" s="625"/>
      <c r="F71" s="626"/>
      <c r="G71" s="626"/>
      <c r="H71" s="612"/>
      <c r="I71" s="610">
        <f>I58+1</f>
        <v>1996</v>
      </c>
      <c r="J71" s="627"/>
      <c r="K71" s="626"/>
      <c r="L71" s="626"/>
    </row>
    <row r="72" spans="1:12" ht="10.5" hidden="1" customHeight="1" outlineLevel="1" x14ac:dyDescent="0.2">
      <c r="A72" s="610" t="s">
        <v>104</v>
      </c>
      <c r="B72" s="627" t="s">
        <v>218</v>
      </c>
      <c r="C72" s="627"/>
      <c r="D72" s="628">
        <v>128</v>
      </c>
      <c r="E72" s="629">
        <f t="shared" ref="E72:E83" si="8">(D72/D59-1)*100</f>
        <v>18.518518518518512</v>
      </c>
      <c r="F72" s="626"/>
      <c r="G72" s="626"/>
      <c r="H72" s="612"/>
      <c r="I72" s="610" t="s">
        <v>104</v>
      </c>
      <c r="J72" s="627" t="s">
        <v>218</v>
      </c>
      <c r="K72" s="631">
        <f>D72-D70</f>
        <v>0</v>
      </c>
      <c r="L72" s="626"/>
    </row>
    <row r="73" spans="1:12" ht="10.5" hidden="1" customHeight="1" outlineLevel="1" x14ac:dyDescent="0.2">
      <c r="A73" s="610"/>
      <c r="B73" s="627" t="s">
        <v>219</v>
      </c>
      <c r="C73" s="627"/>
      <c r="D73" s="628">
        <v>132</v>
      </c>
      <c r="E73" s="629">
        <f t="shared" si="8"/>
        <v>21.100917431192666</v>
      </c>
      <c r="F73" s="626"/>
      <c r="G73" s="626"/>
      <c r="H73" s="612"/>
      <c r="I73" s="610"/>
      <c r="J73" s="627" t="s">
        <v>219</v>
      </c>
      <c r="K73" s="631">
        <f t="shared" ref="K73:K83" si="9">D73-D72</f>
        <v>4</v>
      </c>
      <c r="L73" s="626"/>
    </row>
    <row r="74" spans="1:12" ht="10.5" hidden="1" customHeight="1" outlineLevel="1" x14ac:dyDescent="0.2">
      <c r="A74" s="610"/>
      <c r="B74" s="627" t="s">
        <v>220</v>
      </c>
      <c r="C74" s="627">
        <f>C70+1</f>
        <v>21</v>
      </c>
      <c r="D74" s="628">
        <v>136</v>
      </c>
      <c r="E74" s="629">
        <f t="shared" si="8"/>
        <v>24.770642201834868</v>
      </c>
      <c r="F74" s="626"/>
      <c r="G74" s="626"/>
      <c r="H74" s="612"/>
      <c r="I74" s="610"/>
      <c r="J74" s="627" t="s">
        <v>220</v>
      </c>
      <c r="K74" s="631">
        <f t="shared" si="9"/>
        <v>4</v>
      </c>
      <c r="L74" s="626"/>
    </row>
    <row r="75" spans="1:12" ht="10.5" hidden="1" customHeight="1" outlineLevel="1" x14ac:dyDescent="0.2">
      <c r="A75" s="610" t="s">
        <v>105</v>
      </c>
      <c r="B75" s="627" t="s">
        <v>221</v>
      </c>
      <c r="C75" s="627"/>
      <c r="D75" s="628">
        <v>136</v>
      </c>
      <c r="E75" s="629">
        <f t="shared" si="8"/>
        <v>24.770642201834868</v>
      </c>
      <c r="F75" s="626"/>
      <c r="G75" s="626"/>
      <c r="H75" s="612"/>
      <c r="I75" s="610" t="s">
        <v>105</v>
      </c>
      <c r="J75" s="627" t="s">
        <v>221</v>
      </c>
      <c r="K75" s="631">
        <f t="shared" si="9"/>
        <v>0</v>
      </c>
      <c r="L75" s="626"/>
    </row>
    <row r="76" spans="1:12" ht="10.5" hidden="1" customHeight="1" outlineLevel="1" x14ac:dyDescent="0.2">
      <c r="A76" s="610"/>
      <c r="B76" s="627" t="s">
        <v>222</v>
      </c>
      <c r="C76" s="627"/>
      <c r="D76" s="628">
        <v>136</v>
      </c>
      <c r="E76" s="629">
        <f t="shared" si="8"/>
        <v>24.770642201834868</v>
      </c>
      <c r="F76" s="626"/>
      <c r="G76" s="626"/>
      <c r="H76" s="612"/>
      <c r="I76" s="610"/>
      <c r="J76" s="627" t="s">
        <v>222</v>
      </c>
      <c r="K76" s="631">
        <f t="shared" si="9"/>
        <v>0</v>
      </c>
      <c r="L76" s="626"/>
    </row>
    <row r="77" spans="1:12" ht="10.5" hidden="1" customHeight="1" outlineLevel="1" x14ac:dyDescent="0.2">
      <c r="A77" s="610"/>
      <c r="B77" s="627" t="s">
        <v>223</v>
      </c>
      <c r="C77" s="627">
        <f>C74+1</f>
        <v>22</v>
      </c>
      <c r="D77" s="628">
        <v>138</v>
      </c>
      <c r="E77" s="629">
        <f t="shared" si="8"/>
        <v>26.605504587155959</v>
      </c>
      <c r="F77" s="626"/>
      <c r="G77" s="626"/>
      <c r="H77" s="612"/>
      <c r="I77" s="610"/>
      <c r="J77" s="627" t="s">
        <v>223</v>
      </c>
      <c r="K77" s="631">
        <f t="shared" si="9"/>
        <v>2</v>
      </c>
      <c r="L77" s="626"/>
    </row>
    <row r="78" spans="1:12" ht="10.5" hidden="1" customHeight="1" outlineLevel="1" x14ac:dyDescent="0.2">
      <c r="A78" s="610" t="s">
        <v>106</v>
      </c>
      <c r="B78" s="627" t="s">
        <v>224</v>
      </c>
      <c r="C78" s="627"/>
      <c r="D78" s="628">
        <v>138</v>
      </c>
      <c r="E78" s="629">
        <f t="shared" si="8"/>
        <v>17.948717948717952</v>
      </c>
      <c r="F78" s="626"/>
      <c r="G78" s="626"/>
      <c r="H78" s="612"/>
      <c r="I78" s="610" t="s">
        <v>106</v>
      </c>
      <c r="J78" s="627" t="s">
        <v>224</v>
      </c>
      <c r="K78" s="631">
        <f t="shared" si="9"/>
        <v>0</v>
      </c>
      <c r="L78" s="626"/>
    </row>
    <row r="79" spans="1:12" ht="10.5" hidden="1" customHeight="1" outlineLevel="1" x14ac:dyDescent="0.2">
      <c r="A79" s="610"/>
      <c r="B79" s="627" t="s">
        <v>225</v>
      </c>
      <c r="C79" s="627"/>
      <c r="D79" s="628">
        <v>145</v>
      </c>
      <c r="E79" s="629">
        <f t="shared" si="8"/>
        <v>19.834710743801654</v>
      </c>
      <c r="F79" s="626"/>
      <c r="G79" s="626"/>
      <c r="H79" s="612"/>
      <c r="I79" s="610"/>
      <c r="J79" s="627" t="s">
        <v>225</v>
      </c>
      <c r="K79" s="631">
        <f t="shared" si="9"/>
        <v>7</v>
      </c>
      <c r="L79" s="626"/>
    </row>
    <row r="80" spans="1:12" ht="10.5" hidden="1" customHeight="1" outlineLevel="1" x14ac:dyDescent="0.2">
      <c r="A80" s="610"/>
      <c r="B80" s="627" t="s">
        <v>226</v>
      </c>
      <c r="C80" s="627">
        <f>C77+1</f>
        <v>23</v>
      </c>
      <c r="D80" s="628">
        <v>150</v>
      </c>
      <c r="E80" s="629">
        <f t="shared" si="8"/>
        <v>17.1875</v>
      </c>
      <c r="F80" s="626"/>
      <c r="G80" s="626"/>
      <c r="H80" s="612"/>
      <c r="I80" s="610"/>
      <c r="J80" s="627" t="s">
        <v>226</v>
      </c>
      <c r="K80" s="631">
        <f t="shared" si="9"/>
        <v>5</v>
      </c>
      <c r="L80" s="626"/>
    </row>
    <row r="81" spans="1:12" ht="10.5" hidden="1" customHeight="1" outlineLevel="1" x14ac:dyDescent="0.2">
      <c r="A81" s="610" t="s">
        <v>107</v>
      </c>
      <c r="B81" s="627" t="s">
        <v>227</v>
      </c>
      <c r="C81" s="627"/>
      <c r="D81" s="628">
        <v>150</v>
      </c>
      <c r="E81" s="629">
        <f t="shared" si="8"/>
        <v>17.1875</v>
      </c>
      <c r="F81" s="626"/>
      <c r="G81" s="626"/>
      <c r="H81" s="612"/>
      <c r="I81" s="610" t="s">
        <v>107</v>
      </c>
      <c r="J81" s="627" t="s">
        <v>227</v>
      </c>
      <c r="K81" s="631">
        <f t="shared" si="9"/>
        <v>0</v>
      </c>
      <c r="L81" s="626"/>
    </row>
    <row r="82" spans="1:12" ht="10.5" hidden="1" customHeight="1" outlineLevel="1" x14ac:dyDescent="0.2">
      <c r="A82" s="610"/>
      <c r="B82" s="627" t="s">
        <v>228</v>
      </c>
      <c r="C82" s="627"/>
      <c r="D82" s="628">
        <v>150</v>
      </c>
      <c r="E82" s="629">
        <f t="shared" si="8"/>
        <v>17.1875</v>
      </c>
      <c r="F82" s="626"/>
      <c r="G82" s="626"/>
      <c r="H82" s="612"/>
      <c r="I82" s="610"/>
      <c r="J82" s="627" t="s">
        <v>228</v>
      </c>
      <c r="K82" s="631">
        <f t="shared" si="9"/>
        <v>0</v>
      </c>
      <c r="L82" s="626"/>
    </row>
    <row r="83" spans="1:12" ht="10.5" hidden="1" customHeight="1" outlineLevel="1" x14ac:dyDescent="0.2">
      <c r="A83" s="610"/>
      <c r="B83" s="627" t="s">
        <v>229</v>
      </c>
      <c r="C83" s="627">
        <f>C80+1</f>
        <v>24</v>
      </c>
      <c r="D83" s="628">
        <v>150</v>
      </c>
      <c r="E83" s="629">
        <f t="shared" si="8"/>
        <v>17.1875</v>
      </c>
      <c r="F83" s="626"/>
      <c r="G83" s="626"/>
      <c r="H83" s="612"/>
      <c r="I83" s="610"/>
      <c r="J83" s="627" t="s">
        <v>229</v>
      </c>
      <c r="K83" s="631">
        <f t="shared" si="9"/>
        <v>0</v>
      </c>
      <c r="L83" s="626"/>
    </row>
    <row r="84" spans="1:12" ht="10.5" hidden="1" customHeight="1" outlineLevel="1" x14ac:dyDescent="0.2">
      <c r="A84" s="610">
        <f>A71+1</f>
        <v>1997</v>
      </c>
      <c r="B84" s="627"/>
      <c r="C84" s="627"/>
      <c r="D84" s="530"/>
      <c r="E84" s="626"/>
      <c r="F84" s="626"/>
      <c r="G84" s="626"/>
      <c r="H84" s="626"/>
      <c r="I84" s="610">
        <f>I71+1</f>
        <v>1997</v>
      </c>
      <c r="J84" s="627"/>
      <c r="K84" s="626"/>
      <c r="L84" s="626"/>
    </row>
    <row r="85" spans="1:12" ht="10.5" hidden="1" customHeight="1" outlineLevel="1" x14ac:dyDescent="0.2">
      <c r="A85" s="610" t="s">
        <v>104</v>
      </c>
      <c r="B85" s="627" t="s">
        <v>218</v>
      </c>
      <c r="C85" s="627"/>
      <c r="D85" s="628">
        <v>150</v>
      </c>
      <c r="E85" s="629">
        <f t="shared" ref="E85:E96" si="10">(D85/D72-1)*100</f>
        <v>17.1875</v>
      </c>
      <c r="F85" s="626"/>
      <c r="G85" s="626"/>
      <c r="H85" s="612"/>
      <c r="I85" s="610" t="s">
        <v>104</v>
      </c>
      <c r="J85" s="627" t="s">
        <v>218</v>
      </c>
      <c r="K85" s="631">
        <f>D85-D83</f>
        <v>0</v>
      </c>
      <c r="L85" s="626"/>
    </row>
    <row r="86" spans="1:12" ht="10.5" hidden="1" customHeight="1" outlineLevel="1" x14ac:dyDescent="0.2">
      <c r="A86" s="610"/>
      <c r="B86" s="627" t="s">
        <v>219</v>
      </c>
      <c r="C86" s="627"/>
      <c r="D86" s="628">
        <v>161</v>
      </c>
      <c r="E86" s="629">
        <f t="shared" si="10"/>
        <v>21.969696969696972</v>
      </c>
      <c r="F86" s="626"/>
      <c r="G86" s="626"/>
      <c r="H86" s="612"/>
      <c r="I86" s="610"/>
      <c r="J86" s="627" t="s">
        <v>219</v>
      </c>
      <c r="K86" s="631">
        <f t="shared" ref="K86:K96" si="11">D86-D85</f>
        <v>11</v>
      </c>
      <c r="L86" s="626"/>
    </row>
    <row r="87" spans="1:12" ht="10.5" hidden="1" customHeight="1" outlineLevel="1" x14ac:dyDescent="0.2">
      <c r="A87" s="610"/>
      <c r="B87" s="627" t="s">
        <v>220</v>
      </c>
      <c r="C87" s="627">
        <f>C83+1</f>
        <v>25</v>
      </c>
      <c r="D87" s="628">
        <v>170</v>
      </c>
      <c r="E87" s="629">
        <f t="shared" si="10"/>
        <v>25</v>
      </c>
      <c r="F87" s="626"/>
      <c r="G87" s="626"/>
      <c r="H87" s="612"/>
      <c r="I87" s="610"/>
      <c r="J87" s="627" t="s">
        <v>220</v>
      </c>
      <c r="K87" s="631">
        <f t="shared" si="11"/>
        <v>9</v>
      </c>
      <c r="L87" s="626"/>
    </row>
    <row r="88" spans="1:12" ht="10.5" hidden="1" customHeight="1" outlineLevel="1" x14ac:dyDescent="0.2">
      <c r="A88" s="610" t="s">
        <v>105</v>
      </c>
      <c r="B88" s="627" t="s">
        <v>221</v>
      </c>
      <c r="C88" s="627"/>
      <c r="D88" s="628">
        <v>170</v>
      </c>
      <c r="E88" s="629">
        <f t="shared" si="10"/>
        <v>25</v>
      </c>
      <c r="F88" s="626"/>
      <c r="G88" s="626"/>
      <c r="H88" s="612"/>
      <c r="I88" s="610" t="s">
        <v>105</v>
      </c>
      <c r="J88" s="627" t="s">
        <v>221</v>
      </c>
      <c r="K88" s="631">
        <f t="shared" si="11"/>
        <v>0</v>
      </c>
      <c r="L88" s="626"/>
    </row>
    <row r="89" spans="1:12" ht="10.5" hidden="1" customHeight="1" outlineLevel="1" x14ac:dyDescent="0.2">
      <c r="A89" s="610"/>
      <c r="B89" s="627" t="s">
        <v>222</v>
      </c>
      <c r="C89" s="627"/>
      <c r="D89" s="628">
        <v>170</v>
      </c>
      <c r="E89" s="629">
        <f t="shared" si="10"/>
        <v>25</v>
      </c>
      <c r="F89" s="626"/>
      <c r="G89" s="626"/>
      <c r="H89" s="612"/>
      <c r="I89" s="610"/>
      <c r="J89" s="627" t="s">
        <v>222</v>
      </c>
      <c r="K89" s="631">
        <f t="shared" si="11"/>
        <v>0</v>
      </c>
      <c r="L89" s="626"/>
    </row>
    <row r="90" spans="1:12" ht="10.5" hidden="1" customHeight="1" outlineLevel="1" x14ac:dyDescent="0.2">
      <c r="A90" s="610"/>
      <c r="B90" s="627" t="s">
        <v>223</v>
      </c>
      <c r="C90" s="627">
        <f>C87+1</f>
        <v>26</v>
      </c>
      <c r="D90" s="628">
        <v>172</v>
      </c>
      <c r="E90" s="629">
        <f t="shared" si="10"/>
        <v>24.637681159420289</v>
      </c>
      <c r="F90" s="626"/>
      <c r="G90" s="626"/>
      <c r="H90" s="612"/>
      <c r="I90" s="610"/>
      <c r="J90" s="627" t="s">
        <v>223</v>
      </c>
      <c r="K90" s="631">
        <f t="shared" si="11"/>
        <v>2</v>
      </c>
      <c r="L90" s="626"/>
    </row>
    <row r="91" spans="1:12" ht="10.5" hidden="1" customHeight="1" outlineLevel="1" x14ac:dyDescent="0.2">
      <c r="A91" s="610" t="s">
        <v>106</v>
      </c>
      <c r="B91" s="627" t="s">
        <v>224</v>
      </c>
      <c r="C91" s="627"/>
      <c r="D91" s="628">
        <v>172</v>
      </c>
      <c r="E91" s="629">
        <f t="shared" si="10"/>
        <v>24.637681159420289</v>
      </c>
      <c r="F91" s="626"/>
      <c r="G91" s="626"/>
      <c r="H91" s="612"/>
      <c r="I91" s="610" t="s">
        <v>106</v>
      </c>
      <c r="J91" s="627" t="s">
        <v>224</v>
      </c>
      <c r="K91" s="631">
        <f t="shared" si="11"/>
        <v>0</v>
      </c>
      <c r="L91" s="626"/>
    </row>
    <row r="92" spans="1:12" ht="10.5" hidden="1" customHeight="1" outlineLevel="1" x14ac:dyDescent="0.2">
      <c r="A92" s="610"/>
      <c r="B92" s="627" t="s">
        <v>225</v>
      </c>
      <c r="C92" s="627"/>
      <c r="D92" s="628">
        <v>172</v>
      </c>
      <c r="E92" s="629">
        <f t="shared" si="10"/>
        <v>18.620689655172406</v>
      </c>
      <c r="F92" s="626"/>
      <c r="G92" s="626"/>
      <c r="H92" s="612"/>
      <c r="I92" s="610"/>
      <c r="J92" s="627" t="s">
        <v>225</v>
      </c>
      <c r="K92" s="631">
        <f t="shared" si="11"/>
        <v>0</v>
      </c>
      <c r="L92" s="626"/>
    </row>
    <row r="93" spans="1:12" ht="10.5" hidden="1" customHeight="1" outlineLevel="1" x14ac:dyDescent="0.2">
      <c r="A93" s="610"/>
      <c r="B93" s="627" t="s">
        <v>226</v>
      </c>
      <c r="C93" s="627">
        <f>C90+1</f>
        <v>27</v>
      </c>
      <c r="D93" s="628">
        <v>182</v>
      </c>
      <c r="E93" s="629">
        <f t="shared" si="10"/>
        <v>21.333333333333336</v>
      </c>
      <c r="F93" s="626"/>
      <c r="G93" s="626"/>
      <c r="H93" s="612"/>
      <c r="I93" s="610"/>
      <c r="J93" s="627" t="s">
        <v>226</v>
      </c>
      <c r="K93" s="631">
        <f t="shared" si="11"/>
        <v>10</v>
      </c>
      <c r="L93" s="626"/>
    </row>
    <row r="94" spans="1:12" ht="10.5" hidden="1" customHeight="1" outlineLevel="1" x14ac:dyDescent="0.2">
      <c r="A94" s="610" t="s">
        <v>107</v>
      </c>
      <c r="B94" s="627" t="s">
        <v>227</v>
      </c>
      <c r="C94" s="627"/>
      <c r="D94" s="628">
        <v>182</v>
      </c>
      <c r="E94" s="629">
        <f t="shared" si="10"/>
        <v>21.333333333333336</v>
      </c>
      <c r="F94" s="626"/>
      <c r="G94" s="626"/>
      <c r="H94" s="612"/>
      <c r="I94" s="610" t="s">
        <v>107</v>
      </c>
      <c r="J94" s="627" t="s">
        <v>227</v>
      </c>
      <c r="K94" s="631">
        <f t="shared" si="11"/>
        <v>0</v>
      </c>
      <c r="L94" s="626"/>
    </row>
    <row r="95" spans="1:12" ht="10.5" hidden="1" customHeight="1" outlineLevel="1" x14ac:dyDescent="0.2">
      <c r="A95" s="610"/>
      <c r="B95" s="627" t="s">
        <v>228</v>
      </c>
      <c r="C95" s="627"/>
      <c r="D95" s="628">
        <v>182</v>
      </c>
      <c r="E95" s="629">
        <f t="shared" si="10"/>
        <v>21.333333333333336</v>
      </c>
      <c r="F95" s="626"/>
      <c r="G95" s="626"/>
      <c r="H95" s="612"/>
      <c r="I95" s="610"/>
      <c r="J95" s="627" t="s">
        <v>228</v>
      </c>
      <c r="K95" s="631">
        <f t="shared" si="11"/>
        <v>0</v>
      </c>
      <c r="L95" s="626"/>
    </row>
    <row r="96" spans="1:12" ht="10.5" hidden="1" customHeight="1" outlineLevel="1" x14ac:dyDescent="0.2">
      <c r="A96" s="610"/>
      <c r="B96" s="627" t="s">
        <v>229</v>
      </c>
      <c r="C96" s="627">
        <f>C93+1</f>
        <v>28</v>
      </c>
      <c r="D96" s="628">
        <v>182</v>
      </c>
      <c r="E96" s="629">
        <f t="shared" si="10"/>
        <v>21.333333333333336</v>
      </c>
      <c r="F96" s="626"/>
      <c r="G96" s="626"/>
      <c r="H96" s="612"/>
      <c r="I96" s="610"/>
      <c r="J96" s="627" t="s">
        <v>229</v>
      </c>
      <c r="K96" s="631">
        <f t="shared" si="11"/>
        <v>0</v>
      </c>
      <c r="L96" s="626"/>
    </row>
    <row r="97" spans="1:12" ht="10.5" hidden="1" customHeight="1" outlineLevel="1" x14ac:dyDescent="0.2">
      <c r="A97" s="610">
        <f>A84+1</f>
        <v>1998</v>
      </c>
      <c r="B97" s="627"/>
      <c r="C97" s="627"/>
      <c r="D97" s="639"/>
      <c r="E97" s="625"/>
      <c r="F97" s="626"/>
      <c r="G97" s="626"/>
      <c r="H97" s="626"/>
      <c r="I97" s="610">
        <f>I84+1</f>
        <v>1998</v>
      </c>
      <c r="J97" s="627"/>
      <c r="K97" s="626"/>
      <c r="L97" s="626"/>
    </row>
    <row r="98" spans="1:12" ht="10.5" hidden="1" customHeight="1" outlineLevel="1" x14ac:dyDescent="0.2">
      <c r="A98" s="610" t="s">
        <v>104</v>
      </c>
      <c r="B98" s="627" t="s">
        <v>218</v>
      </c>
      <c r="C98" s="627"/>
      <c r="D98" s="628">
        <v>182</v>
      </c>
      <c r="E98" s="629">
        <f t="shared" ref="E98:E109" si="12">(D98/D85-1)*100</f>
        <v>21.333333333333336</v>
      </c>
      <c r="F98" s="626"/>
      <c r="G98" s="626"/>
      <c r="H98" s="626"/>
      <c r="I98" s="610" t="s">
        <v>104</v>
      </c>
      <c r="J98" s="627" t="s">
        <v>218</v>
      </c>
      <c r="K98" s="631">
        <f>D98-D96</f>
        <v>0</v>
      </c>
      <c r="L98" s="626"/>
    </row>
    <row r="99" spans="1:12" ht="10.5" hidden="1" customHeight="1" outlineLevel="1" x14ac:dyDescent="0.2">
      <c r="A99" s="610"/>
      <c r="B99" s="627" t="s">
        <v>219</v>
      </c>
      <c r="C99" s="627"/>
      <c r="D99" s="628">
        <v>189</v>
      </c>
      <c r="E99" s="629">
        <f t="shared" si="12"/>
        <v>17.391304347826097</v>
      </c>
      <c r="F99" s="626"/>
      <c r="G99" s="626"/>
      <c r="H99" s="626"/>
      <c r="I99" s="610"/>
      <c r="J99" s="627" t="s">
        <v>219</v>
      </c>
      <c r="K99" s="631">
        <f t="shared" ref="K99:K109" si="13">D99-D98</f>
        <v>7</v>
      </c>
      <c r="L99" s="626"/>
    </row>
    <row r="100" spans="1:12" ht="10.5" hidden="1" customHeight="1" outlineLevel="1" x14ac:dyDescent="0.2">
      <c r="A100" s="610"/>
      <c r="B100" s="627" t="s">
        <v>220</v>
      </c>
      <c r="C100" s="627">
        <f>C96+1</f>
        <v>29</v>
      </c>
      <c r="D100" s="628">
        <v>197</v>
      </c>
      <c r="E100" s="629">
        <f t="shared" si="12"/>
        <v>15.882352941176482</v>
      </c>
      <c r="F100" s="626"/>
      <c r="G100" s="626"/>
      <c r="H100" s="626"/>
      <c r="I100" s="610"/>
      <c r="J100" s="627" t="s">
        <v>220</v>
      </c>
      <c r="K100" s="631">
        <f t="shared" si="13"/>
        <v>8</v>
      </c>
      <c r="L100" s="626"/>
    </row>
    <row r="101" spans="1:12" ht="10.5" hidden="1" customHeight="1" outlineLevel="1" x14ac:dyDescent="0.2">
      <c r="A101" s="610" t="s">
        <v>105</v>
      </c>
      <c r="B101" s="627" t="s">
        <v>221</v>
      </c>
      <c r="C101" s="627"/>
      <c r="D101" s="628">
        <v>197</v>
      </c>
      <c r="E101" s="629">
        <f t="shared" si="12"/>
        <v>15.882352941176482</v>
      </c>
      <c r="F101" s="626"/>
      <c r="G101" s="626"/>
      <c r="H101" s="626"/>
      <c r="I101" s="610" t="s">
        <v>105</v>
      </c>
      <c r="J101" s="627" t="s">
        <v>221</v>
      </c>
      <c r="K101" s="631">
        <f t="shared" si="13"/>
        <v>0</v>
      </c>
      <c r="L101" s="626"/>
    </row>
    <row r="102" spans="1:12" ht="10.5" hidden="1" customHeight="1" outlineLevel="1" x14ac:dyDescent="0.2">
      <c r="A102" s="610"/>
      <c r="B102" s="627" t="s">
        <v>222</v>
      </c>
      <c r="C102" s="627"/>
      <c r="D102" s="628">
        <v>197</v>
      </c>
      <c r="E102" s="629">
        <f t="shared" si="12"/>
        <v>15.882352941176482</v>
      </c>
      <c r="F102" s="626"/>
      <c r="G102" s="626"/>
      <c r="H102" s="626"/>
      <c r="I102" s="610"/>
      <c r="J102" s="627" t="s">
        <v>222</v>
      </c>
      <c r="K102" s="631">
        <f t="shared" si="13"/>
        <v>0</v>
      </c>
      <c r="L102" s="626"/>
    </row>
    <row r="103" spans="1:12" ht="10.5" hidden="1" customHeight="1" outlineLevel="1" x14ac:dyDescent="0.2">
      <c r="A103" s="610"/>
      <c r="B103" s="627" t="s">
        <v>223</v>
      </c>
      <c r="C103" s="627">
        <f>C100+1</f>
        <v>30</v>
      </c>
      <c r="D103" s="628">
        <v>197</v>
      </c>
      <c r="E103" s="629">
        <f t="shared" si="12"/>
        <v>14.534883720930235</v>
      </c>
      <c r="F103" s="626"/>
      <c r="G103" s="626"/>
      <c r="H103" s="626"/>
      <c r="I103" s="610"/>
      <c r="J103" s="627" t="s">
        <v>223</v>
      </c>
      <c r="K103" s="631">
        <f t="shared" si="13"/>
        <v>0</v>
      </c>
      <c r="L103" s="626"/>
    </row>
    <row r="104" spans="1:12" ht="10.5" hidden="1" customHeight="1" outlineLevel="1" x14ac:dyDescent="0.2">
      <c r="A104" s="610" t="s">
        <v>106</v>
      </c>
      <c r="B104" s="627" t="s">
        <v>224</v>
      </c>
      <c r="C104" s="627"/>
      <c r="D104" s="628">
        <v>203</v>
      </c>
      <c r="E104" s="629">
        <f t="shared" si="12"/>
        <v>18.023255813953497</v>
      </c>
      <c r="F104" s="626"/>
      <c r="G104" s="626"/>
      <c r="H104" s="626"/>
      <c r="I104" s="610" t="s">
        <v>106</v>
      </c>
      <c r="J104" s="627" t="s">
        <v>224</v>
      </c>
      <c r="K104" s="631">
        <f t="shared" si="13"/>
        <v>6</v>
      </c>
      <c r="L104" s="626"/>
    </row>
    <row r="105" spans="1:12" ht="10.5" hidden="1" customHeight="1" outlineLevel="1" x14ac:dyDescent="0.2">
      <c r="A105" s="610"/>
      <c r="B105" s="627" t="s">
        <v>225</v>
      </c>
      <c r="C105" s="627"/>
      <c r="D105" s="628">
        <v>203</v>
      </c>
      <c r="E105" s="629">
        <f t="shared" si="12"/>
        <v>18.023255813953497</v>
      </c>
      <c r="F105" s="626"/>
      <c r="G105" s="626"/>
      <c r="H105" s="626"/>
      <c r="I105" s="610"/>
      <c r="J105" s="627" t="s">
        <v>225</v>
      </c>
      <c r="K105" s="631">
        <f t="shared" si="13"/>
        <v>0</v>
      </c>
      <c r="L105" s="626"/>
    </row>
    <row r="106" spans="1:12" ht="10.5" hidden="1" customHeight="1" outlineLevel="1" x14ac:dyDescent="0.2">
      <c r="A106" s="610"/>
      <c r="B106" s="627" t="s">
        <v>226</v>
      </c>
      <c r="C106" s="627">
        <f>C103+1</f>
        <v>31</v>
      </c>
      <c r="D106" s="628">
        <v>214</v>
      </c>
      <c r="E106" s="629">
        <f t="shared" si="12"/>
        <v>17.582417582417587</v>
      </c>
      <c r="F106" s="626"/>
      <c r="G106" s="626"/>
      <c r="H106" s="626"/>
      <c r="I106" s="610"/>
      <c r="J106" s="627" t="s">
        <v>226</v>
      </c>
      <c r="K106" s="631">
        <f t="shared" si="13"/>
        <v>11</v>
      </c>
      <c r="L106" s="626"/>
    </row>
    <row r="107" spans="1:12" ht="10.5" hidden="1" customHeight="1" outlineLevel="1" x14ac:dyDescent="0.2">
      <c r="A107" s="610" t="s">
        <v>107</v>
      </c>
      <c r="B107" s="627" t="s">
        <v>227</v>
      </c>
      <c r="C107" s="627"/>
      <c r="D107" s="628">
        <v>214</v>
      </c>
      <c r="E107" s="629">
        <f t="shared" si="12"/>
        <v>17.582417582417587</v>
      </c>
      <c r="F107" s="626"/>
      <c r="G107" s="626"/>
      <c r="H107" s="626"/>
      <c r="I107" s="610" t="s">
        <v>107</v>
      </c>
      <c r="J107" s="627" t="s">
        <v>227</v>
      </c>
      <c r="K107" s="631">
        <f t="shared" si="13"/>
        <v>0</v>
      </c>
      <c r="L107" s="626"/>
    </row>
    <row r="108" spans="1:12" ht="10.5" hidden="1" customHeight="1" outlineLevel="1" x14ac:dyDescent="0.2">
      <c r="A108" s="610"/>
      <c r="B108" s="627" t="s">
        <v>228</v>
      </c>
      <c r="C108" s="627"/>
      <c r="D108" s="628">
        <v>214</v>
      </c>
      <c r="E108" s="629">
        <f t="shared" si="12"/>
        <v>17.582417582417587</v>
      </c>
      <c r="F108" s="626"/>
      <c r="G108" s="626"/>
      <c r="H108" s="626"/>
      <c r="I108" s="610"/>
      <c r="J108" s="627" t="s">
        <v>228</v>
      </c>
      <c r="K108" s="631">
        <f t="shared" si="13"/>
        <v>0</v>
      </c>
      <c r="L108" s="626"/>
    </row>
    <row r="109" spans="1:12" ht="10.5" hidden="1" customHeight="1" outlineLevel="1" x14ac:dyDescent="0.2">
      <c r="A109" s="610"/>
      <c r="B109" s="627" t="s">
        <v>229</v>
      </c>
      <c r="C109" s="627">
        <f>C106+1</f>
        <v>32</v>
      </c>
      <c r="D109" s="628">
        <v>213</v>
      </c>
      <c r="E109" s="629">
        <f t="shared" si="12"/>
        <v>17.03296703296704</v>
      </c>
      <c r="F109" s="626"/>
      <c r="G109" s="626"/>
      <c r="H109" s="626"/>
      <c r="I109" s="610"/>
      <c r="J109" s="627" t="s">
        <v>229</v>
      </c>
      <c r="K109" s="631">
        <f t="shared" si="13"/>
        <v>-1</v>
      </c>
      <c r="L109" s="626"/>
    </row>
    <row r="110" spans="1:12" ht="10.5" hidden="1" customHeight="1" outlineLevel="1" x14ac:dyDescent="0.2">
      <c r="A110" s="610">
        <f>A97+1</f>
        <v>1999</v>
      </c>
      <c r="B110" s="627"/>
      <c r="C110" s="627"/>
      <c r="D110" s="530"/>
      <c r="E110" s="626"/>
      <c r="F110" s="626"/>
      <c r="G110" s="626"/>
      <c r="H110" s="626"/>
      <c r="I110" s="610">
        <f>I97+1</f>
        <v>1999</v>
      </c>
      <c r="J110" s="627"/>
      <c r="K110" s="626"/>
      <c r="L110" s="626"/>
    </row>
    <row r="111" spans="1:12" ht="10.5" hidden="1" customHeight="1" outlineLevel="1" x14ac:dyDescent="0.2">
      <c r="A111" s="610" t="s">
        <v>104</v>
      </c>
      <c r="B111" s="627" t="s">
        <v>218</v>
      </c>
      <c r="C111" s="627"/>
      <c r="D111" s="628">
        <v>213</v>
      </c>
      <c r="E111" s="629">
        <f t="shared" ref="E111:E122" si="14">(D111/D98-1)*100</f>
        <v>17.03296703296704</v>
      </c>
      <c r="F111" s="626"/>
      <c r="G111" s="626"/>
      <c r="H111" s="612"/>
      <c r="I111" s="610" t="s">
        <v>104</v>
      </c>
      <c r="J111" s="627" t="s">
        <v>218</v>
      </c>
      <c r="K111" s="631">
        <f>D111-D109</f>
        <v>0</v>
      </c>
      <c r="L111" s="626"/>
    </row>
    <row r="112" spans="1:12" ht="10.5" hidden="1" customHeight="1" outlineLevel="1" x14ac:dyDescent="0.2">
      <c r="A112" s="610"/>
      <c r="B112" s="627" t="s">
        <v>219</v>
      </c>
      <c r="C112" s="627"/>
      <c r="D112" s="628">
        <v>219</v>
      </c>
      <c r="E112" s="629">
        <f t="shared" si="14"/>
        <v>15.873015873015884</v>
      </c>
      <c r="F112" s="626"/>
      <c r="G112" s="626"/>
      <c r="H112" s="612"/>
      <c r="I112" s="610"/>
      <c r="J112" s="627" t="s">
        <v>219</v>
      </c>
      <c r="K112" s="631">
        <f t="shared" ref="K112:K122" si="15">D112-D111</f>
        <v>6</v>
      </c>
      <c r="L112" s="626"/>
    </row>
    <row r="113" spans="1:12" ht="10.5" hidden="1" customHeight="1" outlineLevel="1" x14ac:dyDescent="0.2">
      <c r="A113" s="610"/>
      <c r="B113" s="627" t="s">
        <v>220</v>
      </c>
      <c r="C113" s="627">
        <f>C109+1</f>
        <v>33</v>
      </c>
      <c r="D113" s="628">
        <v>226</v>
      </c>
      <c r="E113" s="629">
        <f t="shared" si="14"/>
        <v>14.720812182741128</v>
      </c>
      <c r="F113" s="626"/>
      <c r="G113" s="626"/>
      <c r="H113" s="612"/>
      <c r="I113" s="610"/>
      <c r="J113" s="627" t="s">
        <v>220</v>
      </c>
      <c r="K113" s="631">
        <f t="shared" si="15"/>
        <v>7</v>
      </c>
      <c r="L113" s="626"/>
    </row>
    <row r="114" spans="1:12" ht="10.5" hidden="1" customHeight="1" outlineLevel="1" x14ac:dyDescent="0.2">
      <c r="A114" s="610" t="s">
        <v>105</v>
      </c>
      <c r="B114" s="627" t="s">
        <v>221</v>
      </c>
      <c r="C114" s="627"/>
      <c r="D114" s="628">
        <v>231</v>
      </c>
      <c r="E114" s="629">
        <f t="shared" si="14"/>
        <v>17.258883248730971</v>
      </c>
      <c r="F114" s="626"/>
      <c r="G114" s="626"/>
      <c r="H114" s="612"/>
      <c r="I114" s="610" t="s">
        <v>105</v>
      </c>
      <c r="J114" s="627" t="s">
        <v>221</v>
      </c>
      <c r="K114" s="631">
        <f t="shared" si="15"/>
        <v>5</v>
      </c>
      <c r="L114" s="626"/>
    </row>
    <row r="115" spans="1:12" ht="10.5" hidden="1" customHeight="1" outlineLevel="1" x14ac:dyDescent="0.2">
      <c r="A115" s="610"/>
      <c r="B115" s="627" t="s">
        <v>222</v>
      </c>
      <c r="C115" s="627"/>
      <c r="D115" s="628">
        <v>231</v>
      </c>
      <c r="E115" s="629">
        <f t="shared" si="14"/>
        <v>17.258883248730971</v>
      </c>
      <c r="F115" s="626"/>
      <c r="G115" s="626"/>
      <c r="H115" s="612"/>
      <c r="I115" s="610"/>
      <c r="J115" s="627" t="s">
        <v>222</v>
      </c>
      <c r="K115" s="631">
        <f t="shared" si="15"/>
        <v>0</v>
      </c>
      <c r="L115" s="626"/>
    </row>
    <row r="116" spans="1:12" ht="10.5" hidden="1" customHeight="1" outlineLevel="1" x14ac:dyDescent="0.2">
      <c r="A116" s="610"/>
      <c r="B116" s="627" t="s">
        <v>223</v>
      </c>
      <c r="C116" s="627">
        <f>C113+1</f>
        <v>34</v>
      </c>
      <c r="D116" s="628">
        <v>231</v>
      </c>
      <c r="E116" s="629">
        <f t="shared" si="14"/>
        <v>17.258883248730971</v>
      </c>
      <c r="F116" s="626"/>
      <c r="G116" s="626"/>
      <c r="H116" s="612"/>
      <c r="I116" s="610"/>
      <c r="J116" s="627" t="s">
        <v>223</v>
      </c>
      <c r="K116" s="631">
        <f t="shared" si="15"/>
        <v>0</v>
      </c>
      <c r="L116" s="626"/>
    </row>
    <row r="117" spans="1:12" ht="10.5" hidden="1" customHeight="1" outlineLevel="1" x14ac:dyDescent="0.2">
      <c r="A117" s="610" t="s">
        <v>106</v>
      </c>
      <c r="B117" s="627" t="s">
        <v>224</v>
      </c>
      <c r="C117" s="627"/>
      <c r="D117" s="628">
        <v>240</v>
      </c>
      <c r="E117" s="629">
        <f t="shared" si="14"/>
        <v>18.226600985221687</v>
      </c>
      <c r="F117" s="626"/>
      <c r="G117" s="626"/>
      <c r="H117" s="612"/>
      <c r="I117" s="610" t="s">
        <v>106</v>
      </c>
      <c r="J117" s="627" t="s">
        <v>224</v>
      </c>
      <c r="K117" s="631">
        <f t="shared" si="15"/>
        <v>9</v>
      </c>
      <c r="L117" s="626"/>
    </row>
    <row r="118" spans="1:12" ht="10.5" hidden="1" customHeight="1" outlineLevel="1" x14ac:dyDescent="0.2">
      <c r="A118" s="610"/>
      <c r="B118" s="627" t="s">
        <v>225</v>
      </c>
      <c r="C118" s="627"/>
      <c r="D118" s="628">
        <v>240</v>
      </c>
      <c r="E118" s="629">
        <f t="shared" si="14"/>
        <v>18.226600985221687</v>
      </c>
      <c r="F118" s="626"/>
      <c r="G118" s="626"/>
      <c r="H118" s="612"/>
      <c r="I118" s="610"/>
      <c r="J118" s="627" t="s">
        <v>225</v>
      </c>
      <c r="K118" s="631">
        <f t="shared" si="15"/>
        <v>0</v>
      </c>
      <c r="L118" s="626"/>
    </row>
    <row r="119" spans="1:12" ht="10.5" hidden="1" customHeight="1" outlineLevel="1" x14ac:dyDescent="0.2">
      <c r="A119" s="610"/>
      <c r="B119" s="627" t="s">
        <v>226</v>
      </c>
      <c r="C119" s="627">
        <f>C116+1</f>
        <v>35</v>
      </c>
      <c r="D119" s="628">
        <v>257</v>
      </c>
      <c r="E119" s="629">
        <f t="shared" si="14"/>
        <v>20.09345794392523</v>
      </c>
      <c r="F119" s="626"/>
      <c r="G119" s="626"/>
      <c r="H119" s="612"/>
      <c r="I119" s="610"/>
      <c r="J119" s="627" t="s">
        <v>226</v>
      </c>
      <c r="K119" s="631">
        <f t="shared" si="15"/>
        <v>17</v>
      </c>
      <c r="L119" s="626"/>
    </row>
    <row r="120" spans="1:12" ht="10.5" hidden="1" customHeight="1" outlineLevel="1" x14ac:dyDescent="0.2">
      <c r="A120" s="610" t="s">
        <v>107</v>
      </c>
      <c r="B120" s="627" t="s">
        <v>227</v>
      </c>
      <c r="C120" s="627"/>
      <c r="D120" s="628">
        <v>259</v>
      </c>
      <c r="E120" s="629">
        <f t="shared" si="14"/>
        <v>21.028037383177576</v>
      </c>
      <c r="F120" s="626"/>
      <c r="G120" s="626"/>
      <c r="H120" s="612"/>
      <c r="I120" s="610" t="s">
        <v>107</v>
      </c>
      <c r="J120" s="627" t="s">
        <v>227</v>
      </c>
      <c r="K120" s="631">
        <f t="shared" si="15"/>
        <v>2</v>
      </c>
      <c r="L120" s="626"/>
    </row>
    <row r="121" spans="1:12" ht="10.5" hidden="1" customHeight="1" outlineLevel="1" x14ac:dyDescent="0.2">
      <c r="A121" s="610"/>
      <c r="B121" s="627" t="s">
        <v>228</v>
      </c>
      <c r="C121" s="627"/>
      <c r="D121" s="628">
        <v>259</v>
      </c>
      <c r="E121" s="629">
        <f t="shared" si="14"/>
        <v>21.028037383177576</v>
      </c>
      <c r="F121" s="626"/>
      <c r="G121" s="626"/>
      <c r="H121" s="612"/>
      <c r="I121" s="610"/>
      <c r="J121" s="627" t="s">
        <v>228</v>
      </c>
      <c r="K121" s="631">
        <f t="shared" si="15"/>
        <v>0</v>
      </c>
      <c r="L121" s="626"/>
    </row>
    <row r="122" spans="1:12" ht="10.5" hidden="1" customHeight="1" outlineLevel="1" x14ac:dyDescent="0.2">
      <c r="A122" s="610"/>
      <c r="B122" s="627" t="s">
        <v>229</v>
      </c>
      <c r="C122" s="627">
        <f>C119+1</f>
        <v>36</v>
      </c>
      <c r="D122" s="628">
        <v>259</v>
      </c>
      <c r="E122" s="629">
        <f t="shared" si="14"/>
        <v>21.5962441314554</v>
      </c>
      <c r="F122" s="626"/>
      <c r="G122" s="626"/>
      <c r="H122" s="612"/>
      <c r="I122" s="610"/>
      <c r="J122" s="627" t="s">
        <v>229</v>
      </c>
      <c r="K122" s="631">
        <f t="shared" si="15"/>
        <v>0</v>
      </c>
      <c r="L122" s="626"/>
    </row>
    <row r="123" spans="1:12" ht="10.5" hidden="1" customHeight="1" outlineLevel="1" x14ac:dyDescent="0.2">
      <c r="A123" s="610">
        <f>A110+1</f>
        <v>2000</v>
      </c>
      <c r="B123" s="627"/>
      <c r="C123" s="627"/>
      <c r="D123" s="639"/>
      <c r="E123" s="625"/>
      <c r="F123" s="626"/>
      <c r="G123" s="626"/>
      <c r="H123" s="612"/>
      <c r="I123" s="610">
        <f>I110+1</f>
        <v>2000</v>
      </c>
      <c r="J123" s="627"/>
      <c r="K123" s="626"/>
      <c r="L123" s="626"/>
    </row>
    <row r="124" spans="1:12" ht="10.5" hidden="1" customHeight="1" outlineLevel="1" x14ac:dyDescent="0.2">
      <c r="A124" s="610" t="s">
        <v>104</v>
      </c>
      <c r="B124" s="627" t="s">
        <v>218</v>
      </c>
      <c r="C124" s="627"/>
      <c r="D124" s="628">
        <v>259</v>
      </c>
      <c r="E124" s="629">
        <f t="shared" ref="E124:E135" si="16">(D124/D111-1)*100</f>
        <v>21.5962441314554</v>
      </c>
      <c r="F124" s="626"/>
      <c r="G124" s="626"/>
      <c r="H124" s="612"/>
      <c r="I124" s="610" t="s">
        <v>104</v>
      </c>
      <c r="J124" s="627" t="s">
        <v>218</v>
      </c>
      <c r="K124" s="631">
        <f>D124-D122</f>
        <v>0</v>
      </c>
      <c r="L124" s="626"/>
    </row>
    <row r="125" spans="1:12" ht="10.5" hidden="1" customHeight="1" outlineLevel="1" x14ac:dyDescent="0.2">
      <c r="A125" s="610"/>
      <c r="B125" s="627" t="s">
        <v>219</v>
      </c>
      <c r="C125" s="627"/>
      <c r="D125" s="628">
        <v>279</v>
      </c>
      <c r="E125" s="629">
        <f t="shared" si="16"/>
        <v>27.397260273972602</v>
      </c>
      <c r="F125" s="626"/>
      <c r="G125" s="626"/>
      <c r="H125" s="612"/>
      <c r="I125" s="610"/>
      <c r="J125" s="627" t="s">
        <v>219</v>
      </c>
      <c r="K125" s="631">
        <f t="shared" ref="K125:K135" si="17">D125-D124</f>
        <v>20</v>
      </c>
      <c r="L125" s="626"/>
    </row>
    <row r="126" spans="1:12" ht="10.5" hidden="1" customHeight="1" outlineLevel="1" x14ac:dyDescent="0.2">
      <c r="A126" s="610"/>
      <c r="B126" s="627" t="s">
        <v>220</v>
      </c>
      <c r="C126" s="627">
        <f>C122+1</f>
        <v>37</v>
      </c>
      <c r="D126" s="628">
        <v>298</v>
      </c>
      <c r="E126" s="629">
        <f t="shared" si="16"/>
        <v>31.858407079646021</v>
      </c>
      <c r="F126" s="626"/>
      <c r="G126" s="626"/>
      <c r="H126" s="612"/>
      <c r="I126" s="610"/>
      <c r="J126" s="627" t="s">
        <v>220</v>
      </c>
      <c r="K126" s="631">
        <f t="shared" si="17"/>
        <v>19</v>
      </c>
      <c r="L126" s="626"/>
    </row>
    <row r="127" spans="1:12" ht="10.5" hidden="1" customHeight="1" outlineLevel="1" x14ac:dyDescent="0.2">
      <c r="A127" s="610" t="s">
        <v>105</v>
      </c>
      <c r="B127" s="627" t="s">
        <v>221</v>
      </c>
      <c r="C127" s="627"/>
      <c r="D127" s="628">
        <v>298</v>
      </c>
      <c r="E127" s="629">
        <f t="shared" si="16"/>
        <v>29.004329004329009</v>
      </c>
      <c r="F127" s="626"/>
      <c r="G127" s="626"/>
      <c r="H127" s="612"/>
      <c r="I127" s="610" t="s">
        <v>105</v>
      </c>
      <c r="J127" s="627" t="s">
        <v>221</v>
      </c>
      <c r="K127" s="631">
        <f t="shared" si="17"/>
        <v>0</v>
      </c>
      <c r="L127" s="626"/>
    </row>
    <row r="128" spans="1:12" ht="10.5" hidden="1" customHeight="1" outlineLevel="1" x14ac:dyDescent="0.2">
      <c r="A128" s="610"/>
      <c r="B128" s="627" t="s">
        <v>222</v>
      </c>
      <c r="C128" s="627"/>
      <c r="D128" s="628">
        <v>298</v>
      </c>
      <c r="E128" s="629">
        <f t="shared" si="16"/>
        <v>29.004329004329009</v>
      </c>
      <c r="F128" s="626"/>
      <c r="G128" s="626"/>
      <c r="H128" s="612"/>
      <c r="I128" s="610"/>
      <c r="J128" s="627" t="s">
        <v>222</v>
      </c>
      <c r="K128" s="631">
        <f t="shared" si="17"/>
        <v>0</v>
      </c>
      <c r="L128" s="626"/>
    </row>
    <row r="129" spans="1:12" ht="10.5" hidden="1" customHeight="1" outlineLevel="1" x14ac:dyDescent="0.2">
      <c r="A129" s="610"/>
      <c r="B129" s="627" t="s">
        <v>223</v>
      </c>
      <c r="C129" s="627">
        <f>C126+1</f>
        <v>38</v>
      </c>
      <c r="D129" s="628">
        <v>298</v>
      </c>
      <c r="E129" s="629">
        <f t="shared" si="16"/>
        <v>29.004329004329009</v>
      </c>
      <c r="F129" s="626"/>
      <c r="G129" s="626"/>
      <c r="H129" s="612"/>
      <c r="I129" s="610"/>
      <c r="J129" s="627" t="s">
        <v>223</v>
      </c>
      <c r="K129" s="631">
        <f t="shared" si="17"/>
        <v>0</v>
      </c>
      <c r="L129" s="626"/>
    </row>
    <row r="130" spans="1:12" ht="10.5" hidden="1" customHeight="1" outlineLevel="1" x14ac:dyDescent="0.2">
      <c r="A130" s="610" t="s">
        <v>106</v>
      </c>
      <c r="B130" s="627" t="s">
        <v>224</v>
      </c>
      <c r="C130" s="627"/>
      <c r="D130" s="628">
        <v>306</v>
      </c>
      <c r="E130" s="629">
        <f t="shared" si="16"/>
        <v>27.499999999999993</v>
      </c>
      <c r="F130" s="626"/>
      <c r="G130" s="626"/>
      <c r="H130" s="612"/>
      <c r="I130" s="610" t="s">
        <v>106</v>
      </c>
      <c r="J130" s="627" t="s">
        <v>224</v>
      </c>
      <c r="K130" s="631">
        <f t="shared" si="17"/>
        <v>8</v>
      </c>
      <c r="L130" s="626"/>
    </row>
    <row r="131" spans="1:12" ht="10.5" hidden="1" customHeight="1" outlineLevel="1" x14ac:dyDescent="0.2">
      <c r="A131" s="610"/>
      <c r="B131" s="627" t="s">
        <v>225</v>
      </c>
      <c r="C131" s="627"/>
      <c r="D131" s="628">
        <v>306</v>
      </c>
      <c r="E131" s="629">
        <f t="shared" si="16"/>
        <v>27.499999999999993</v>
      </c>
      <c r="F131" s="626"/>
      <c r="G131" s="626"/>
      <c r="H131" s="612"/>
      <c r="I131" s="610"/>
      <c r="J131" s="627" t="s">
        <v>225</v>
      </c>
      <c r="K131" s="631">
        <f t="shared" si="17"/>
        <v>0</v>
      </c>
      <c r="L131" s="626"/>
    </row>
    <row r="132" spans="1:12" ht="10.5" hidden="1" customHeight="1" outlineLevel="1" x14ac:dyDescent="0.2">
      <c r="A132" s="610"/>
      <c r="B132" s="627" t="s">
        <v>226</v>
      </c>
      <c r="C132" s="627">
        <f>C129+1</f>
        <v>39</v>
      </c>
      <c r="D132" s="628">
        <v>320</v>
      </c>
      <c r="E132" s="629">
        <f t="shared" si="16"/>
        <v>24.513618677042803</v>
      </c>
      <c r="F132" s="626"/>
      <c r="G132" s="626"/>
      <c r="H132" s="612"/>
      <c r="I132" s="610"/>
      <c r="J132" s="627" t="s">
        <v>226</v>
      </c>
      <c r="K132" s="631">
        <f t="shared" si="17"/>
        <v>14</v>
      </c>
      <c r="L132" s="626"/>
    </row>
    <row r="133" spans="1:12" ht="10.5" hidden="1" customHeight="1" outlineLevel="1" x14ac:dyDescent="0.2">
      <c r="A133" s="610" t="s">
        <v>107</v>
      </c>
      <c r="B133" s="627" t="s">
        <v>227</v>
      </c>
      <c r="C133" s="627"/>
      <c r="D133" s="628">
        <v>320</v>
      </c>
      <c r="E133" s="629">
        <f t="shared" si="16"/>
        <v>23.55212355212355</v>
      </c>
      <c r="F133" s="626"/>
      <c r="G133" s="626"/>
      <c r="H133" s="612"/>
      <c r="I133" s="610" t="s">
        <v>107</v>
      </c>
      <c r="J133" s="627" t="s">
        <v>227</v>
      </c>
      <c r="K133" s="631">
        <f t="shared" si="17"/>
        <v>0</v>
      </c>
      <c r="L133" s="626"/>
    </row>
    <row r="134" spans="1:12" ht="10.5" hidden="1" customHeight="1" outlineLevel="1" x14ac:dyDescent="0.2">
      <c r="A134" s="610"/>
      <c r="B134" s="627" t="s">
        <v>228</v>
      </c>
      <c r="C134" s="627"/>
      <c r="D134" s="628">
        <v>320</v>
      </c>
      <c r="E134" s="629">
        <f t="shared" si="16"/>
        <v>23.55212355212355</v>
      </c>
      <c r="F134" s="626"/>
      <c r="G134" s="626"/>
      <c r="H134" s="612"/>
      <c r="I134" s="610"/>
      <c r="J134" s="627" t="s">
        <v>228</v>
      </c>
      <c r="K134" s="631">
        <f t="shared" si="17"/>
        <v>0</v>
      </c>
      <c r="L134" s="626"/>
    </row>
    <row r="135" spans="1:12" ht="10.5" hidden="1" customHeight="1" outlineLevel="1" x14ac:dyDescent="0.2">
      <c r="A135" s="610"/>
      <c r="B135" s="627" t="s">
        <v>229</v>
      </c>
      <c r="C135" s="627">
        <f>C132+1</f>
        <v>40</v>
      </c>
      <c r="D135" s="628">
        <v>320</v>
      </c>
      <c r="E135" s="629">
        <f t="shared" si="16"/>
        <v>23.55212355212355</v>
      </c>
      <c r="F135" s="626"/>
      <c r="G135" s="626"/>
      <c r="H135" s="612"/>
      <c r="I135" s="610"/>
      <c r="J135" s="627" t="s">
        <v>229</v>
      </c>
      <c r="K135" s="631">
        <f t="shared" si="17"/>
        <v>0</v>
      </c>
      <c r="L135" s="626"/>
    </row>
    <row r="136" spans="1:12" ht="10.5" hidden="1" customHeight="1" outlineLevel="1" x14ac:dyDescent="0.2">
      <c r="A136" s="610">
        <f>A123+1</f>
        <v>2001</v>
      </c>
      <c r="B136" s="627"/>
      <c r="C136" s="627"/>
      <c r="D136" s="639"/>
      <c r="E136" s="625"/>
      <c r="F136" s="626"/>
      <c r="G136" s="626"/>
      <c r="H136" s="626"/>
      <c r="I136" s="610">
        <f>I123+1</f>
        <v>2001</v>
      </c>
      <c r="J136" s="627"/>
      <c r="K136" s="626"/>
      <c r="L136" s="626"/>
    </row>
    <row r="137" spans="1:12" ht="10.5" hidden="1" customHeight="1" outlineLevel="1" x14ac:dyDescent="0.2">
      <c r="A137" s="610" t="s">
        <v>104</v>
      </c>
      <c r="B137" s="627" t="s">
        <v>218</v>
      </c>
      <c r="C137" s="627"/>
      <c r="D137" s="628">
        <v>320</v>
      </c>
      <c r="E137" s="629">
        <f t="shared" ref="E137:E148" si="18">(D137/D124-1)*100</f>
        <v>23.55212355212355</v>
      </c>
      <c r="F137" s="626"/>
      <c r="G137" s="626"/>
      <c r="H137" s="626"/>
      <c r="I137" s="610" t="s">
        <v>104</v>
      </c>
      <c r="J137" s="627" t="s">
        <v>218</v>
      </c>
      <c r="K137" s="631">
        <f>D137-D135</f>
        <v>0</v>
      </c>
      <c r="L137" s="626"/>
    </row>
    <row r="138" spans="1:12" ht="10.5" hidden="1" customHeight="1" outlineLevel="1" x14ac:dyDescent="0.2">
      <c r="A138" s="610"/>
      <c r="B138" s="627" t="s">
        <v>219</v>
      </c>
      <c r="C138" s="627"/>
      <c r="D138" s="628">
        <v>338</v>
      </c>
      <c r="E138" s="629">
        <f t="shared" si="18"/>
        <v>21.146953405017932</v>
      </c>
      <c r="F138" s="626"/>
      <c r="G138" s="626"/>
      <c r="H138" s="626"/>
      <c r="I138" s="610"/>
      <c r="J138" s="627" t="s">
        <v>219</v>
      </c>
      <c r="K138" s="631">
        <f t="shared" ref="K138:K148" si="19">D138-D137</f>
        <v>18</v>
      </c>
      <c r="L138" s="626"/>
    </row>
    <row r="139" spans="1:12" ht="10.5" hidden="1" customHeight="1" outlineLevel="1" x14ac:dyDescent="0.2">
      <c r="A139" s="610"/>
      <c r="B139" s="627" t="s">
        <v>220</v>
      </c>
      <c r="C139" s="627">
        <f>C135+1</f>
        <v>41</v>
      </c>
      <c r="D139" s="628">
        <v>354</v>
      </c>
      <c r="E139" s="629">
        <f t="shared" si="18"/>
        <v>18.791946308724828</v>
      </c>
      <c r="F139" s="626"/>
      <c r="G139" s="626"/>
      <c r="H139" s="626"/>
      <c r="I139" s="610"/>
      <c r="J139" s="627" t="s">
        <v>220</v>
      </c>
      <c r="K139" s="631">
        <f t="shared" si="19"/>
        <v>16</v>
      </c>
      <c r="L139" s="626"/>
    </row>
    <row r="140" spans="1:12" ht="10.5" hidden="1" customHeight="1" outlineLevel="1" x14ac:dyDescent="0.2">
      <c r="A140" s="610" t="s">
        <v>105</v>
      </c>
      <c r="B140" s="627" t="s">
        <v>221</v>
      </c>
      <c r="C140" s="627"/>
      <c r="D140" s="628">
        <v>354</v>
      </c>
      <c r="E140" s="629">
        <f t="shared" si="18"/>
        <v>18.791946308724828</v>
      </c>
      <c r="F140" s="626"/>
      <c r="G140" s="626"/>
      <c r="H140" s="626"/>
      <c r="I140" s="610" t="s">
        <v>105</v>
      </c>
      <c r="J140" s="627" t="s">
        <v>221</v>
      </c>
      <c r="K140" s="631">
        <f t="shared" si="19"/>
        <v>0</v>
      </c>
      <c r="L140" s="626"/>
    </row>
    <row r="141" spans="1:12" ht="10.5" hidden="1" customHeight="1" outlineLevel="1" x14ac:dyDescent="0.2">
      <c r="A141" s="610"/>
      <c r="B141" s="627" t="s">
        <v>222</v>
      </c>
      <c r="C141" s="627"/>
      <c r="D141" s="628">
        <v>354</v>
      </c>
      <c r="E141" s="629">
        <f t="shared" si="18"/>
        <v>18.791946308724828</v>
      </c>
      <c r="F141" s="626"/>
      <c r="G141" s="626"/>
      <c r="H141" s="626"/>
      <c r="I141" s="610"/>
      <c r="J141" s="627" t="s">
        <v>222</v>
      </c>
      <c r="K141" s="631">
        <f t="shared" si="19"/>
        <v>0</v>
      </c>
      <c r="L141" s="626"/>
    </row>
    <row r="142" spans="1:12" ht="10.5" hidden="1" customHeight="1" outlineLevel="1" x14ac:dyDescent="0.2">
      <c r="A142" s="610"/>
      <c r="B142" s="627" t="s">
        <v>223</v>
      </c>
      <c r="C142" s="627">
        <f>C139+1</f>
        <v>42</v>
      </c>
      <c r="D142" s="628">
        <v>354</v>
      </c>
      <c r="E142" s="629">
        <f t="shared" si="18"/>
        <v>18.791946308724828</v>
      </c>
      <c r="F142" s="626"/>
      <c r="G142" s="626"/>
      <c r="H142" s="626"/>
      <c r="I142" s="610"/>
      <c r="J142" s="627" t="s">
        <v>223</v>
      </c>
      <c r="K142" s="631">
        <f t="shared" si="19"/>
        <v>0</v>
      </c>
      <c r="L142" s="626"/>
    </row>
    <row r="143" spans="1:12" ht="10.5" hidden="1" customHeight="1" outlineLevel="1" x14ac:dyDescent="0.2">
      <c r="A143" s="610" t="s">
        <v>106</v>
      </c>
      <c r="B143" s="627" t="s">
        <v>224</v>
      </c>
      <c r="C143" s="627"/>
      <c r="D143" s="628">
        <v>358</v>
      </c>
      <c r="E143" s="629">
        <f t="shared" si="18"/>
        <v>16.993464052287589</v>
      </c>
      <c r="F143" s="626"/>
      <c r="G143" s="626"/>
      <c r="H143" s="626"/>
      <c r="I143" s="610" t="s">
        <v>106</v>
      </c>
      <c r="J143" s="627" t="s">
        <v>224</v>
      </c>
      <c r="K143" s="631">
        <f t="shared" si="19"/>
        <v>4</v>
      </c>
      <c r="L143" s="626"/>
    </row>
    <row r="144" spans="1:12" ht="10.5" hidden="1" customHeight="1" outlineLevel="1" x14ac:dyDescent="0.2">
      <c r="A144" s="610"/>
      <c r="B144" s="627" t="s">
        <v>225</v>
      </c>
      <c r="C144" s="627"/>
      <c r="D144" s="628">
        <v>358</v>
      </c>
      <c r="E144" s="629">
        <f t="shared" si="18"/>
        <v>16.993464052287589</v>
      </c>
      <c r="F144" s="626"/>
      <c r="G144" s="626"/>
      <c r="H144" s="626"/>
      <c r="I144" s="610"/>
      <c r="J144" s="627" t="s">
        <v>225</v>
      </c>
      <c r="K144" s="631">
        <f t="shared" si="19"/>
        <v>0</v>
      </c>
      <c r="L144" s="626"/>
    </row>
    <row r="145" spans="1:12" ht="10.5" hidden="1" customHeight="1" outlineLevel="1" x14ac:dyDescent="0.2">
      <c r="A145" s="610"/>
      <c r="B145" s="627" t="s">
        <v>226</v>
      </c>
      <c r="C145" s="627">
        <f>C142+1</f>
        <v>43</v>
      </c>
      <c r="D145" s="628">
        <v>382</v>
      </c>
      <c r="E145" s="629">
        <f t="shared" si="18"/>
        <v>19.375000000000007</v>
      </c>
      <c r="F145" s="626"/>
      <c r="G145" s="626"/>
      <c r="H145" s="626"/>
      <c r="I145" s="610"/>
      <c r="J145" s="627" t="s">
        <v>226</v>
      </c>
      <c r="K145" s="631">
        <f t="shared" si="19"/>
        <v>24</v>
      </c>
      <c r="L145" s="626"/>
    </row>
    <row r="146" spans="1:12" ht="10.5" hidden="1" customHeight="1" outlineLevel="1" x14ac:dyDescent="0.2">
      <c r="A146" s="610" t="s">
        <v>107</v>
      </c>
      <c r="B146" s="627" t="s">
        <v>227</v>
      </c>
      <c r="C146" s="627"/>
      <c r="D146" s="628">
        <v>382</v>
      </c>
      <c r="E146" s="629">
        <f t="shared" si="18"/>
        <v>19.375000000000007</v>
      </c>
      <c r="F146" s="626"/>
      <c r="G146" s="626"/>
      <c r="H146" s="626"/>
      <c r="I146" s="610" t="s">
        <v>107</v>
      </c>
      <c r="J146" s="627" t="s">
        <v>227</v>
      </c>
      <c r="K146" s="631">
        <f t="shared" si="19"/>
        <v>0</v>
      </c>
      <c r="L146" s="626"/>
    </row>
    <row r="147" spans="1:12" ht="10.5" hidden="1" customHeight="1" outlineLevel="1" x14ac:dyDescent="0.2">
      <c r="A147" s="610"/>
      <c r="B147" s="627" t="s">
        <v>228</v>
      </c>
      <c r="C147" s="627"/>
      <c r="D147" s="628">
        <v>382</v>
      </c>
      <c r="E147" s="629">
        <f t="shared" si="18"/>
        <v>19.375000000000007</v>
      </c>
      <c r="F147" s="626"/>
      <c r="G147" s="626"/>
      <c r="H147" s="626"/>
      <c r="I147" s="610"/>
      <c r="J147" s="627" t="s">
        <v>228</v>
      </c>
      <c r="K147" s="631">
        <f t="shared" si="19"/>
        <v>0</v>
      </c>
      <c r="L147" s="626"/>
    </row>
    <row r="148" spans="1:12" ht="10.5" hidden="1" customHeight="1" outlineLevel="1" x14ac:dyDescent="0.2">
      <c r="A148" s="610"/>
      <c r="B148" s="627" t="s">
        <v>229</v>
      </c>
      <c r="C148" s="627">
        <f>C145+1</f>
        <v>44</v>
      </c>
      <c r="D148" s="628">
        <v>382</v>
      </c>
      <c r="E148" s="629">
        <f t="shared" si="18"/>
        <v>19.375000000000007</v>
      </c>
      <c r="F148" s="626"/>
      <c r="G148" s="626"/>
      <c r="H148" s="626"/>
      <c r="I148" s="610"/>
      <c r="J148" s="627" t="s">
        <v>229</v>
      </c>
      <c r="K148" s="631">
        <f t="shared" si="19"/>
        <v>0</v>
      </c>
      <c r="L148" s="626"/>
    </row>
    <row r="149" spans="1:12" ht="10.5" hidden="1" customHeight="1" outlineLevel="1" x14ac:dyDescent="0.2">
      <c r="A149" s="610">
        <f>A136+1</f>
        <v>2002</v>
      </c>
      <c r="B149" s="627"/>
      <c r="C149" s="627"/>
      <c r="D149" s="530"/>
      <c r="E149" s="626"/>
      <c r="F149" s="626"/>
      <c r="G149" s="626"/>
      <c r="H149" s="626"/>
      <c r="I149" s="610">
        <f>I136+1</f>
        <v>2002</v>
      </c>
      <c r="J149" s="627"/>
      <c r="K149" s="626"/>
      <c r="L149" s="626"/>
    </row>
    <row r="150" spans="1:12" ht="10.5" hidden="1" customHeight="1" outlineLevel="1" x14ac:dyDescent="0.2">
      <c r="A150" s="610" t="s">
        <v>104</v>
      </c>
      <c r="B150" s="627" t="s">
        <v>218</v>
      </c>
      <c r="C150" s="627"/>
      <c r="D150" s="628">
        <v>382</v>
      </c>
      <c r="E150" s="629">
        <f t="shared" ref="E150:E161" si="20">(D150/D137-1)*100</f>
        <v>19.375000000000007</v>
      </c>
      <c r="F150" s="626"/>
      <c r="G150" s="626"/>
      <c r="H150" s="612"/>
      <c r="I150" s="610" t="s">
        <v>104</v>
      </c>
      <c r="J150" s="627" t="s">
        <v>218</v>
      </c>
      <c r="K150" s="631">
        <f>D150-D148</f>
        <v>0</v>
      </c>
      <c r="L150" s="626"/>
    </row>
    <row r="151" spans="1:12" ht="10.5" hidden="1" customHeight="1" outlineLevel="1" x14ac:dyDescent="0.2">
      <c r="A151" s="610"/>
      <c r="B151" s="627" t="s">
        <v>219</v>
      </c>
      <c r="C151" s="627"/>
      <c r="D151" s="628">
        <v>394</v>
      </c>
      <c r="E151" s="629">
        <f t="shared" si="20"/>
        <v>16.568047337278102</v>
      </c>
      <c r="F151" s="626"/>
      <c r="G151" s="626"/>
      <c r="H151" s="612"/>
      <c r="I151" s="610"/>
      <c r="J151" s="627" t="s">
        <v>219</v>
      </c>
      <c r="K151" s="631">
        <f t="shared" ref="K151:K161" si="21">D151-D150</f>
        <v>12</v>
      </c>
      <c r="L151" s="626"/>
    </row>
    <row r="152" spans="1:12" ht="10.5" hidden="1" customHeight="1" outlineLevel="1" x14ac:dyDescent="0.2">
      <c r="A152" s="610"/>
      <c r="B152" s="627" t="s">
        <v>220</v>
      </c>
      <c r="C152" s="627">
        <f>C148+1</f>
        <v>45</v>
      </c>
      <c r="D152" s="628">
        <v>420</v>
      </c>
      <c r="E152" s="629">
        <f t="shared" si="20"/>
        <v>18.644067796610166</v>
      </c>
      <c r="F152" s="626"/>
      <c r="G152" s="626"/>
      <c r="H152" s="612"/>
      <c r="I152" s="610"/>
      <c r="J152" s="627" t="s">
        <v>220</v>
      </c>
      <c r="K152" s="631">
        <f t="shared" si="21"/>
        <v>26</v>
      </c>
      <c r="L152" s="626"/>
    </row>
    <row r="153" spans="1:12" ht="10.5" hidden="1" customHeight="1" outlineLevel="1" x14ac:dyDescent="0.2">
      <c r="A153" s="610" t="s">
        <v>105</v>
      </c>
      <c r="B153" s="627" t="s">
        <v>221</v>
      </c>
      <c r="C153" s="627"/>
      <c r="D153" s="628">
        <v>420</v>
      </c>
      <c r="E153" s="629">
        <f t="shared" si="20"/>
        <v>18.644067796610166</v>
      </c>
      <c r="F153" s="626"/>
      <c r="G153" s="626"/>
      <c r="H153" s="612"/>
      <c r="I153" s="610" t="s">
        <v>105</v>
      </c>
      <c r="J153" s="627" t="s">
        <v>221</v>
      </c>
      <c r="K153" s="631">
        <f t="shared" si="21"/>
        <v>0</v>
      </c>
      <c r="L153" s="626"/>
    </row>
    <row r="154" spans="1:12" ht="10.5" hidden="1" customHeight="1" outlineLevel="1" x14ac:dyDescent="0.2">
      <c r="A154" s="610"/>
      <c r="B154" s="627" t="s">
        <v>222</v>
      </c>
      <c r="C154" s="627"/>
      <c r="D154" s="628">
        <v>420</v>
      </c>
      <c r="E154" s="629">
        <f t="shared" si="20"/>
        <v>18.644067796610166</v>
      </c>
      <c r="F154" s="626"/>
      <c r="G154" s="626"/>
      <c r="H154" s="612"/>
      <c r="I154" s="610"/>
      <c r="J154" s="627" t="s">
        <v>222</v>
      </c>
      <c r="K154" s="631">
        <f t="shared" si="21"/>
        <v>0</v>
      </c>
      <c r="L154" s="626"/>
    </row>
    <row r="155" spans="1:12" ht="10.5" hidden="1" customHeight="1" outlineLevel="1" x14ac:dyDescent="0.2">
      <c r="A155" s="610"/>
      <c r="B155" s="627" t="s">
        <v>223</v>
      </c>
      <c r="C155" s="627">
        <f>C152+1</f>
        <v>46</v>
      </c>
      <c r="D155" s="628">
        <v>420</v>
      </c>
      <c r="E155" s="629">
        <f t="shared" si="20"/>
        <v>18.644067796610166</v>
      </c>
      <c r="F155" s="626"/>
      <c r="G155" s="626"/>
      <c r="H155" s="612"/>
      <c r="I155" s="610"/>
      <c r="J155" s="627" t="s">
        <v>223</v>
      </c>
      <c r="K155" s="631">
        <f t="shared" si="21"/>
        <v>0</v>
      </c>
      <c r="L155" s="626"/>
    </row>
    <row r="156" spans="1:12" ht="10.5" hidden="1" customHeight="1" outlineLevel="1" x14ac:dyDescent="0.2">
      <c r="A156" s="610" t="s">
        <v>106</v>
      </c>
      <c r="B156" s="627" t="s">
        <v>224</v>
      </c>
      <c r="C156" s="627"/>
      <c r="D156" s="628">
        <v>428</v>
      </c>
      <c r="E156" s="629">
        <f t="shared" si="20"/>
        <v>19.55307262569832</v>
      </c>
      <c r="F156" s="626"/>
      <c r="G156" s="626"/>
      <c r="H156" s="612"/>
      <c r="I156" s="610" t="s">
        <v>106</v>
      </c>
      <c r="J156" s="627" t="s">
        <v>224</v>
      </c>
      <c r="K156" s="631">
        <f t="shared" si="21"/>
        <v>8</v>
      </c>
      <c r="L156" s="626"/>
    </row>
    <row r="157" spans="1:12" ht="10.5" hidden="1" customHeight="1" outlineLevel="1" x14ac:dyDescent="0.2">
      <c r="A157" s="610"/>
      <c r="B157" s="627" t="s">
        <v>225</v>
      </c>
      <c r="C157" s="627"/>
      <c r="D157" s="628">
        <v>428</v>
      </c>
      <c r="E157" s="629">
        <f t="shared" si="20"/>
        <v>19.55307262569832</v>
      </c>
      <c r="F157" s="626"/>
      <c r="G157" s="626"/>
      <c r="H157" s="612"/>
      <c r="I157" s="610"/>
      <c r="J157" s="627" t="s">
        <v>225</v>
      </c>
      <c r="K157" s="631">
        <f t="shared" si="21"/>
        <v>0</v>
      </c>
      <c r="L157" s="626"/>
    </row>
    <row r="158" spans="1:12" ht="10.5" hidden="1" customHeight="1" outlineLevel="1" x14ac:dyDescent="0.2">
      <c r="A158" s="610"/>
      <c r="B158" s="627" t="s">
        <v>226</v>
      </c>
      <c r="C158" s="627">
        <f>C155+1</f>
        <v>47</v>
      </c>
      <c r="D158" s="628">
        <v>457</v>
      </c>
      <c r="E158" s="629">
        <f t="shared" si="20"/>
        <v>19.633507853403142</v>
      </c>
      <c r="F158" s="626"/>
      <c r="G158" s="626"/>
      <c r="H158" s="612"/>
      <c r="I158" s="610"/>
      <c r="J158" s="627" t="s">
        <v>226</v>
      </c>
      <c r="K158" s="631">
        <f t="shared" si="21"/>
        <v>29</v>
      </c>
      <c r="L158" s="626"/>
    </row>
    <row r="159" spans="1:12" ht="10.5" hidden="1" customHeight="1" outlineLevel="1" x14ac:dyDescent="0.2">
      <c r="A159" s="610" t="s">
        <v>107</v>
      </c>
      <c r="B159" s="627" t="s">
        <v>227</v>
      </c>
      <c r="C159" s="627"/>
      <c r="D159" s="628">
        <v>457</v>
      </c>
      <c r="E159" s="629">
        <f t="shared" si="20"/>
        <v>19.633507853403142</v>
      </c>
      <c r="F159" s="626"/>
      <c r="G159" s="626"/>
      <c r="H159" s="612"/>
      <c r="I159" s="610" t="s">
        <v>107</v>
      </c>
      <c r="J159" s="627" t="s">
        <v>227</v>
      </c>
      <c r="K159" s="631">
        <f t="shared" si="21"/>
        <v>0</v>
      </c>
      <c r="L159" s="626"/>
    </row>
    <row r="160" spans="1:12" ht="10.5" hidden="1" customHeight="1" outlineLevel="1" x14ac:dyDescent="0.2">
      <c r="A160" s="610"/>
      <c r="B160" s="627" t="s">
        <v>228</v>
      </c>
      <c r="C160" s="627"/>
      <c r="D160" s="628">
        <v>457</v>
      </c>
      <c r="E160" s="629">
        <f t="shared" si="20"/>
        <v>19.633507853403142</v>
      </c>
      <c r="F160" s="626"/>
      <c r="G160" s="626"/>
      <c r="H160" s="612"/>
      <c r="I160" s="610"/>
      <c r="J160" s="627" t="s">
        <v>228</v>
      </c>
      <c r="K160" s="631">
        <f t="shared" si="21"/>
        <v>0</v>
      </c>
      <c r="L160" s="626"/>
    </row>
    <row r="161" spans="1:12" ht="10.5" hidden="1" customHeight="1" outlineLevel="1" x14ac:dyDescent="0.2">
      <c r="A161" s="610"/>
      <c r="B161" s="627" t="s">
        <v>229</v>
      </c>
      <c r="C161" s="627">
        <f>C158+1</f>
        <v>48</v>
      </c>
      <c r="D161" s="628">
        <v>457</v>
      </c>
      <c r="E161" s="629">
        <f t="shared" si="20"/>
        <v>19.633507853403142</v>
      </c>
      <c r="F161" s="626"/>
      <c r="G161" s="626"/>
      <c r="H161" s="612"/>
      <c r="I161" s="610"/>
      <c r="J161" s="627" t="s">
        <v>229</v>
      </c>
      <c r="K161" s="631">
        <f t="shared" si="21"/>
        <v>0</v>
      </c>
      <c r="L161" s="626"/>
    </row>
    <row r="162" spans="1:12" ht="10.5" hidden="1" customHeight="1" outlineLevel="1" x14ac:dyDescent="0.2">
      <c r="A162" s="610">
        <f>A149+1</f>
        <v>2003</v>
      </c>
      <c r="B162" s="627"/>
      <c r="C162" s="627"/>
      <c r="D162" s="639"/>
      <c r="E162" s="625"/>
      <c r="F162" s="626"/>
      <c r="G162" s="626"/>
      <c r="H162" s="626"/>
      <c r="I162" s="610">
        <f>I149+1</f>
        <v>2003</v>
      </c>
      <c r="J162" s="627"/>
      <c r="K162" s="626"/>
      <c r="L162" s="626"/>
    </row>
    <row r="163" spans="1:12" ht="10.5" hidden="1" customHeight="1" outlineLevel="1" x14ac:dyDescent="0.2">
      <c r="A163" s="610" t="s">
        <v>104</v>
      </c>
      <c r="B163" s="627" t="s">
        <v>218</v>
      </c>
      <c r="C163" s="627"/>
      <c r="D163" s="628">
        <v>457</v>
      </c>
      <c r="E163" s="629">
        <f t="shared" ref="E163:E174" si="22">(D163/D150-1)*100</f>
        <v>19.633507853403142</v>
      </c>
      <c r="F163" s="626"/>
      <c r="G163" s="626"/>
      <c r="H163" s="626"/>
      <c r="I163" s="610" t="s">
        <v>104</v>
      </c>
      <c r="J163" s="627" t="s">
        <v>218</v>
      </c>
      <c r="K163" s="631">
        <f>D163-D161</f>
        <v>0</v>
      </c>
      <c r="L163" s="626"/>
    </row>
    <row r="164" spans="1:12" ht="10.5" hidden="1" customHeight="1" outlineLevel="1" x14ac:dyDescent="0.2">
      <c r="A164" s="610"/>
      <c r="B164" s="627" t="s">
        <v>219</v>
      </c>
      <c r="C164" s="627"/>
      <c r="D164" s="628">
        <v>485</v>
      </c>
      <c r="E164" s="629">
        <f t="shared" si="22"/>
        <v>23.096446700507613</v>
      </c>
      <c r="F164" s="626"/>
      <c r="G164" s="626"/>
      <c r="H164" s="626"/>
      <c r="I164" s="610"/>
      <c r="J164" s="627" t="s">
        <v>219</v>
      </c>
      <c r="K164" s="631">
        <f t="shared" ref="K164:K174" si="23">D164-D163</f>
        <v>28</v>
      </c>
      <c r="L164" s="626"/>
    </row>
    <row r="165" spans="1:12" ht="10.5" hidden="1" customHeight="1" outlineLevel="1" x14ac:dyDescent="0.2">
      <c r="A165" s="610"/>
      <c r="B165" s="627" t="s">
        <v>220</v>
      </c>
      <c r="C165" s="627">
        <f>C161+1</f>
        <v>49</v>
      </c>
      <c r="D165" s="628">
        <v>492</v>
      </c>
      <c r="E165" s="629">
        <f t="shared" si="22"/>
        <v>17.142857142857149</v>
      </c>
      <c r="F165" s="626"/>
      <c r="G165" s="626"/>
      <c r="H165" s="626"/>
      <c r="I165" s="610"/>
      <c r="J165" s="627" t="s">
        <v>220</v>
      </c>
      <c r="K165" s="631">
        <f t="shared" si="23"/>
        <v>7</v>
      </c>
      <c r="L165" s="626"/>
    </row>
    <row r="166" spans="1:12" ht="10.5" hidden="1" customHeight="1" outlineLevel="1" x14ac:dyDescent="0.2">
      <c r="A166" s="610" t="s">
        <v>105</v>
      </c>
      <c r="B166" s="627" t="s">
        <v>221</v>
      </c>
      <c r="C166" s="627"/>
      <c r="D166" s="628">
        <v>492</v>
      </c>
      <c r="E166" s="629">
        <f t="shared" si="22"/>
        <v>17.142857142857149</v>
      </c>
      <c r="F166" s="626"/>
      <c r="G166" s="626"/>
      <c r="H166" s="626"/>
      <c r="I166" s="610" t="s">
        <v>105</v>
      </c>
      <c r="J166" s="627" t="s">
        <v>221</v>
      </c>
      <c r="K166" s="631">
        <f t="shared" si="23"/>
        <v>0</v>
      </c>
      <c r="L166" s="626"/>
    </row>
    <row r="167" spans="1:12" ht="10.5" hidden="1" customHeight="1" outlineLevel="1" x14ac:dyDescent="0.2">
      <c r="A167" s="610"/>
      <c r="B167" s="627" t="s">
        <v>222</v>
      </c>
      <c r="C167" s="627"/>
      <c r="D167" s="628">
        <v>492</v>
      </c>
      <c r="E167" s="629">
        <f t="shared" si="22"/>
        <v>17.142857142857149</v>
      </c>
      <c r="F167" s="626"/>
      <c r="G167" s="626"/>
      <c r="H167" s="626"/>
      <c r="I167" s="610"/>
      <c r="J167" s="627" t="s">
        <v>222</v>
      </c>
      <c r="K167" s="631">
        <f t="shared" si="23"/>
        <v>0</v>
      </c>
      <c r="L167" s="626"/>
    </row>
    <row r="168" spans="1:12" ht="10.5" hidden="1" customHeight="1" outlineLevel="1" x14ac:dyDescent="0.2">
      <c r="A168" s="610"/>
      <c r="B168" s="627" t="s">
        <v>223</v>
      </c>
      <c r="C168" s="627">
        <f>C165+1</f>
        <v>50</v>
      </c>
      <c r="D168" s="628">
        <v>492</v>
      </c>
      <c r="E168" s="629">
        <f t="shared" si="22"/>
        <v>17.142857142857149</v>
      </c>
      <c r="F168" s="626"/>
      <c r="G168" s="626"/>
      <c r="H168" s="626"/>
      <c r="I168" s="610"/>
      <c r="J168" s="627" t="s">
        <v>223</v>
      </c>
      <c r="K168" s="631">
        <f t="shared" si="23"/>
        <v>0</v>
      </c>
      <c r="L168" s="626"/>
    </row>
    <row r="169" spans="1:12" ht="10.5" hidden="1" customHeight="1" outlineLevel="1" x14ac:dyDescent="0.2">
      <c r="A169" s="610" t="s">
        <v>106</v>
      </c>
      <c r="B169" s="627" t="s">
        <v>224</v>
      </c>
      <c r="C169" s="627"/>
      <c r="D169" s="628">
        <v>494</v>
      </c>
      <c r="E169" s="629">
        <f t="shared" si="22"/>
        <v>15.420560747663558</v>
      </c>
      <c r="F169" s="626"/>
      <c r="G169" s="626"/>
      <c r="H169" s="626"/>
      <c r="I169" s="610" t="s">
        <v>106</v>
      </c>
      <c r="J169" s="627" t="s">
        <v>224</v>
      </c>
      <c r="K169" s="631">
        <f t="shared" si="23"/>
        <v>2</v>
      </c>
      <c r="L169" s="626"/>
    </row>
    <row r="170" spans="1:12" ht="10.5" hidden="1" customHeight="1" outlineLevel="1" x14ac:dyDescent="0.2">
      <c r="A170" s="610"/>
      <c r="B170" s="627" t="s">
        <v>225</v>
      </c>
      <c r="C170" s="627"/>
      <c r="D170" s="628">
        <v>494</v>
      </c>
      <c r="E170" s="629">
        <f t="shared" si="22"/>
        <v>15.420560747663558</v>
      </c>
      <c r="F170" s="626"/>
      <c r="G170" s="626"/>
      <c r="H170" s="626"/>
      <c r="I170" s="610"/>
      <c r="J170" s="627" t="s">
        <v>225</v>
      </c>
      <c r="K170" s="631">
        <f t="shared" si="23"/>
        <v>0</v>
      </c>
      <c r="L170" s="626"/>
    </row>
    <row r="171" spans="1:12" ht="10.5" hidden="1" customHeight="1" outlineLevel="1" x14ac:dyDescent="0.2">
      <c r="A171" s="610"/>
      <c r="B171" s="627" t="s">
        <v>226</v>
      </c>
      <c r="C171" s="627">
        <f>C168+1</f>
        <v>51</v>
      </c>
      <c r="D171" s="628">
        <v>542</v>
      </c>
      <c r="E171" s="629">
        <f t="shared" si="22"/>
        <v>18.599562363238519</v>
      </c>
      <c r="F171" s="626"/>
      <c r="G171" s="626"/>
      <c r="H171" s="626"/>
      <c r="I171" s="610"/>
      <c r="J171" s="627" t="s">
        <v>226</v>
      </c>
      <c r="K171" s="631">
        <f t="shared" si="23"/>
        <v>48</v>
      </c>
      <c r="L171" s="626"/>
    </row>
    <row r="172" spans="1:12" ht="10.5" hidden="1" customHeight="1" outlineLevel="1" x14ac:dyDescent="0.2">
      <c r="A172" s="610" t="s">
        <v>107</v>
      </c>
      <c r="B172" s="627" t="s">
        <v>227</v>
      </c>
      <c r="C172" s="627"/>
      <c r="D172" s="628">
        <v>542</v>
      </c>
      <c r="E172" s="629">
        <f t="shared" si="22"/>
        <v>18.599562363238519</v>
      </c>
      <c r="F172" s="626"/>
      <c r="G172" s="626"/>
      <c r="H172" s="626"/>
      <c r="I172" s="610" t="s">
        <v>107</v>
      </c>
      <c r="J172" s="627" t="s">
        <v>227</v>
      </c>
      <c r="K172" s="631">
        <f t="shared" si="23"/>
        <v>0</v>
      </c>
      <c r="L172" s="626"/>
    </row>
    <row r="173" spans="1:12" ht="10.5" hidden="1" customHeight="1" outlineLevel="1" x14ac:dyDescent="0.2">
      <c r="A173" s="610"/>
      <c r="B173" s="627" t="s">
        <v>228</v>
      </c>
      <c r="C173" s="627"/>
      <c r="D173" s="628">
        <v>542</v>
      </c>
      <c r="E173" s="629">
        <f t="shared" si="22"/>
        <v>18.599562363238519</v>
      </c>
      <c r="F173" s="626"/>
      <c r="G173" s="626"/>
      <c r="H173" s="626"/>
      <c r="I173" s="610"/>
      <c r="J173" s="627" t="s">
        <v>228</v>
      </c>
      <c r="K173" s="631">
        <f t="shared" si="23"/>
        <v>0</v>
      </c>
      <c r="L173" s="626"/>
    </row>
    <row r="174" spans="1:12" ht="10.5" hidden="1" customHeight="1" outlineLevel="1" x14ac:dyDescent="0.2">
      <c r="A174" s="610"/>
      <c r="B174" s="627" t="s">
        <v>229</v>
      </c>
      <c r="C174" s="627">
        <f>C171+1</f>
        <v>52</v>
      </c>
      <c r="D174" s="628">
        <v>542</v>
      </c>
      <c r="E174" s="629">
        <f t="shared" si="22"/>
        <v>18.599562363238519</v>
      </c>
      <c r="F174" s="626"/>
      <c r="G174" s="626"/>
      <c r="H174" s="626"/>
      <c r="I174" s="610"/>
      <c r="J174" s="627" t="s">
        <v>229</v>
      </c>
      <c r="K174" s="631">
        <f t="shared" si="23"/>
        <v>0</v>
      </c>
      <c r="L174" s="626"/>
    </row>
    <row r="175" spans="1:12" ht="10.5" hidden="1" customHeight="1" outlineLevel="1" x14ac:dyDescent="0.2">
      <c r="A175" s="610">
        <f>A162+1</f>
        <v>2004</v>
      </c>
      <c r="B175" s="627"/>
      <c r="C175" s="627"/>
      <c r="D175" s="639"/>
      <c r="E175" s="625"/>
      <c r="F175" s="626"/>
      <c r="G175" s="626"/>
      <c r="H175" s="626"/>
      <c r="I175" s="610">
        <f>I162+1</f>
        <v>2004</v>
      </c>
      <c r="J175" s="627"/>
      <c r="K175" s="626"/>
      <c r="L175" s="626"/>
    </row>
    <row r="176" spans="1:12" ht="10.5" hidden="1" customHeight="1" outlineLevel="1" x14ac:dyDescent="0.2">
      <c r="A176" s="610" t="s">
        <v>104</v>
      </c>
      <c r="B176" s="627" t="s">
        <v>218</v>
      </c>
      <c r="C176" s="627"/>
      <c r="D176" s="628">
        <v>542</v>
      </c>
      <c r="E176" s="629">
        <f t="shared" ref="E176:E187" si="24">(D176/D163-1)*100</f>
        <v>18.599562363238519</v>
      </c>
      <c r="F176" s="626"/>
      <c r="G176" s="626"/>
      <c r="H176" s="626"/>
      <c r="I176" s="610" t="s">
        <v>104</v>
      </c>
      <c r="J176" s="627" t="s">
        <v>218</v>
      </c>
      <c r="K176" s="631">
        <f>D176-D174</f>
        <v>0</v>
      </c>
      <c r="L176" s="626"/>
    </row>
    <row r="177" spans="1:12" ht="10.5" hidden="1" customHeight="1" outlineLevel="1" x14ac:dyDescent="0.2">
      <c r="A177" s="610"/>
      <c r="B177" s="627" t="s">
        <v>219</v>
      </c>
      <c r="C177" s="627"/>
      <c r="D177" s="628">
        <v>563</v>
      </c>
      <c r="E177" s="629">
        <f t="shared" si="24"/>
        <v>16.082474226804134</v>
      </c>
      <c r="F177" s="626"/>
      <c r="G177" s="626"/>
      <c r="H177" s="626"/>
      <c r="I177" s="610"/>
      <c r="J177" s="627" t="s">
        <v>219</v>
      </c>
      <c r="K177" s="631">
        <f t="shared" ref="K177:K187" si="25">D177-D176</f>
        <v>21</v>
      </c>
      <c r="L177" s="626"/>
    </row>
    <row r="178" spans="1:12" ht="10.5" hidden="1" customHeight="1" outlineLevel="1" x14ac:dyDescent="0.2">
      <c r="A178" s="610"/>
      <c r="B178" s="627" t="s">
        <v>220</v>
      </c>
      <c r="C178" s="627">
        <f>C174+1</f>
        <v>53</v>
      </c>
      <c r="D178" s="628">
        <v>589</v>
      </c>
      <c r="E178" s="629">
        <f t="shared" si="24"/>
        <v>19.715447154471555</v>
      </c>
      <c r="F178" s="626"/>
      <c r="G178" s="626"/>
      <c r="H178" s="626"/>
      <c r="I178" s="610"/>
      <c r="J178" s="627" t="s">
        <v>220</v>
      </c>
      <c r="K178" s="631">
        <f t="shared" si="25"/>
        <v>26</v>
      </c>
      <c r="L178" s="626"/>
    </row>
    <row r="179" spans="1:12" ht="10.5" hidden="1" customHeight="1" outlineLevel="1" x14ac:dyDescent="0.2">
      <c r="A179" s="610" t="s">
        <v>105</v>
      </c>
      <c r="B179" s="627" t="s">
        <v>221</v>
      </c>
      <c r="C179" s="627"/>
      <c r="D179" s="628">
        <v>589</v>
      </c>
      <c r="E179" s="629">
        <f t="shared" si="24"/>
        <v>19.715447154471555</v>
      </c>
      <c r="F179" s="626"/>
      <c r="G179" s="626"/>
      <c r="H179" s="626"/>
      <c r="I179" s="610" t="s">
        <v>105</v>
      </c>
      <c r="J179" s="627" t="s">
        <v>221</v>
      </c>
      <c r="K179" s="631">
        <f t="shared" si="25"/>
        <v>0</v>
      </c>
      <c r="L179" s="626"/>
    </row>
    <row r="180" spans="1:12" ht="10.5" hidden="1" customHeight="1" outlineLevel="1" x14ac:dyDescent="0.2">
      <c r="A180" s="610"/>
      <c r="B180" s="627" t="s">
        <v>222</v>
      </c>
      <c r="C180" s="627"/>
      <c r="D180" s="628">
        <v>589</v>
      </c>
      <c r="E180" s="629">
        <f t="shared" si="24"/>
        <v>19.715447154471555</v>
      </c>
      <c r="F180" s="626"/>
      <c r="G180" s="626"/>
      <c r="H180" s="626"/>
      <c r="I180" s="610"/>
      <c r="J180" s="627" t="s">
        <v>222</v>
      </c>
      <c r="K180" s="631">
        <f t="shared" si="25"/>
        <v>0</v>
      </c>
      <c r="L180" s="626"/>
    </row>
    <row r="181" spans="1:12" ht="10.5" hidden="1" customHeight="1" outlineLevel="1" x14ac:dyDescent="0.2">
      <c r="A181" s="610"/>
      <c r="B181" s="627" t="s">
        <v>223</v>
      </c>
      <c r="C181" s="627">
        <f>C178+1</f>
        <v>54</v>
      </c>
      <c r="D181" s="628">
        <v>589</v>
      </c>
      <c r="E181" s="629">
        <f t="shared" si="24"/>
        <v>19.715447154471555</v>
      </c>
      <c r="F181" s="626"/>
      <c r="G181" s="626"/>
      <c r="H181" s="626"/>
      <c r="I181" s="610"/>
      <c r="J181" s="627" t="s">
        <v>223</v>
      </c>
      <c r="K181" s="631">
        <f t="shared" si="25"/>
        <v>0</v>
      </c>
      <c r="L181" s="626"/>
    </row>
    <row r="182" spans="1:12" ht="10.5" hidden="1" customHeight="1" outlineLevel="1" x14ac:dyDescent="0.2">
      <c r="A182" s="610" t="s">
        <v>106</v>
      </c>
      <c r="B182" s="627" t="s">
        <v>224</v>
      </c>
      <c r="C182" s="627"/>
      <c r="D182" s="628">
        <v>596</v>
      </c>
      <c r="E182" s="629">
        <f t="shared" si="24"/>
        <v>20.647773279352233</v>
      </c>
      <c r="F182" s="626"/>
      <c r="G182" s="626"/>
      <c r="H182" s="626"/>
      <c r="I182" s="610" t="s">
        <v>106</v>
      </c>
      <c r="J182" s="627" t="s">
        <v>224</v>
      </c>
      <c r="K182" s="631">
        <f t="shared" si="25"/>
        <v>7</v>
      </c>
      <c r="L182" s="626"/>
    </row>
    <row r="183" spans="1:12" ht="10.5" hidden="1" customHeight="1" outlineLevel="1" x14ac:dyDescent="0.2">
      <c r="A183" s="610"/>
      <c r="B183" s="627" t="s">
        <v>225</v>
      </c>
      <c r="C183" s="627"/>
      <c r="D183" s="628">
        <v>596</v>
      </c>
      <c r="E183" s="629">
        <f t="shared" si="24"/>
        <v>20.647773279352233</v>
      </c>
      <c r="F183" s="626"/>
      <c r="G183" s="626"/>
      <c r="H183" s="626"/>
      <c r="I183" s="610"/>
      <c r="J183" s="627" t="s">
        <v>225</v>
      </c>
      <c r="K183" s="631">
        <f t="shared" si="25"/>
        <v>0</v>
      </c>
      <c r="L183" s="626"/>
    </row>
    <row r="184" spans="1:12" ht="10.5" hidden="1" customHeight="1" outlineLevel="1" x14ac:dyDescent="0.2">
      <c r="A184" s="610"/>
      <c r="B184" s="627" t="s">
        <v>226</v>
      </c>
      <c r="C184" s="627">
        <f>C181+1</f>
        <v>55</v>
      </c>
      <c r="D184" s="628">
        <v>637</v>
      </c>
      <c r="E184" s="629">
        <f t="shared" si="24"/>
        <v>17.527675276752763</v>
      </c>
      <c r="F184" s="626"/>
      <c r="G184" s="626"/>
      <c r="H184" s="626"/>
      <c r="I184" s="610"/>
      <c r="J184" s="627" t="s">
        <v>226</v>
      </c>
      <c r="K184" s="631">
        <f t="shared" si="25"/>
        <v>41</v>
      </c>
      <c r="L184" s="626"/>
    </row>
    <row r="185" spans="1:12" ht="10.5" hidden="1" customHeight="1" outlineLevel="1" x14ac:dyDescent="0.2">
      <c r="A185" s="610" t="s">
        <v>107</v>
      </c>
      <c r="B185" s="627" t="s">
        <v>227</v>
      </c>
      <c r="C185" s="627"/>
      <c r="D185" s="628">
        <v>637</v>
      </c>
      <c r="E185" s="629">
        <f t="shared" si="24"/>
        <v>17.527675276752763</v>
      </c>
      <c r="F185" s="626"/>
      <c r="G185" s="626"/>
      <c r="H185" s="626"/>
      <c r="I185" s="610" t="s">
        <v>107</v>
      </c>
      <c r="J185" s="627" t="s">
        <v>227</v>
      </c>
      <c r="K185" s="631">
        <f t="shared" si="25"/>
        <v>0</v>
      </c>
      <c r="L185" s="626"/>
    </row>
    <row r="186" spans="1:12" ht="10.5" hidden="1" customHeight="1" outlineLevel="1" x14ac:dyDescent="0.2">
      <c r="A186" s="610"/>
      <c r="B186" s="627" t="s">
        <v>228</v>
      </c>
      <c r="C186" s="627"/>
      <c r="D186" s="628">
        <v>637</v>
      </c>
      <c r="E186" s="629">
        <f t="shared" si="24"/>
        <v>17.527675276752763</v>
      </c>
      <c r="F186" s="626"/>
      <c r="G186" s="626"/>
      <c r="H186" s="626"/>
      <c r="I186" s="610"/>
      <c r="J186" s="627" t="s">
        <v>228</v>
      </c>
      <c r="K186" s="631">
        <f t="shared" si="25"/>
        <v>0</v>
      </c>
      <c r="L186" s="626"/>
    </row>
    <row r="187" spans="1:12" ht="10.5" hidden="1" customHeight="1" outlineLevel="1" x14ac:dyDescent="0.2">
      <c r="A187" s="610"/>
      <c r="B187" s="627" t="s">
        <v>229</v>
      </c>
      <c r="C187" s="627">
        <f>C184+1</f>
        <v>56</v>
      </c>
      <c r="D187" s="628">
        <v>637</v>
      </c>
      <c r="E187" s="629">
        <f t="shared" si="24"/>
        <v>17.527675276752763</v>
      </c>
      <c r="F187" s="626"/>
      <c r="G187" s="626"/>
      <c r="H187" s="626"/>
      <c r="I187" s="610"/>
      <c r="J187" s="627" t="s">
        <v>229</v>
      </c>
      <c r="K187" s="631">
        <f t="shared" si="25"/>
        <v>0</v>
      </c>
      <c r="L187" s="626"/>
    </row>
    <row r="188" spans="1:12" ht="10.5" hidden="1" customHeight="1" outlineLevel="1" x14ac:dyDescent="0.2">
      <c r="A188" s="610">
        <f>A175+1</f>
        <v>2005</v>
      </c>
      <c r="B188" s="627"/>
      <c r="C188" s="627"/>
      <c r="D188" s="639"/>
      <c r="E188" s="625"/>
      <c r="F188" s="626"/>
      <c r="G188" s="626"/>
      <c r="H188" s="626"/>
      <c r="I188" s="610">
        <f>I175+1</f>
        <v>2005</v>
      </c>
      <c r="J188" s="627"/>
      <c r="K188" s="626"/>
      <c r="L188" s="626"/>
    </row>
    <row r="189" spans="1:12" ht="10.5" hidden="1" customHeight="1" outlineLevel="1" x14ac:dyDescent="0.2">
      <c r="A189" s="610" t="s">
        <v>104</v>
      </c>
      <c r="B189" s="627" t="s">
        <v>218</v>
      </c>
      <c r="C189" s="627"/>
      <c r="D189" s="628">
        <v>637</v>
      </c>
      <c r="E189" s="629">
        <f t="shared" ref="E189:E200" si="26">(D189/D176-1)*100</f>
        <v>17.527675276752763</v>
      </c>
      <c r="F189" s="626"/>
      <c r="G189" s="626"/>
      <c r="H189" s="626"/>
      <c r="I189" s="610" t="s">
        <v>104</v>
      </c>
      <c r="J189" s="627" t="s">
        <v>218</v>
      </c>
      <c r="K189" s="631">
        <f>D189-D187</f>
        <v>0</v>
      </c>
      <c r="L189" s="626"/>
    </row>
    <row r="190" spans="1:12" ht="10.5" hidden="1" customHeight="1" outlineLevel="1" x14ac:dyDescent="0.2">
      <c r="A190" s="610"/>
      <c r="B190" s="627" t="s">
        <v>219</v>
      </c>
      <c r="C190" s="627"/>
      <c r="D190" s="628">
        <v>652</v>
      </c>
      <c r="E190" s="629">
        <f t="shared" si="26"/>
        <v>15.808170515097686</v>
      </c>
      <c r="F190" s="626"/>
      <c r="G190" s="626"/>
      <c r="H190" s="626"/>
      <c r="I190" s="610"/>
      <c r="J190" s="627" t="s">
        <v>219</v>
      </c>
      <c r="K190" s="631">
        <f t="shared" ref="K190:K200" si="27">D190-D189</f>
        <v>15</v>
      </c>
      <c r="L190" s="626"/>
    </row>
    <row r="191" spans="1:12" ht="10.5" hidden="1" customHeight="1" outlineLevel="1" x14ac:dyDescent="0.2">
      <c r="A191" s="610"/>
      <c r="B191" s="627" t="s">
        <v>220</v>
      </c>
      <c r="C191" s="627">
        <f>C187+1</f>
        <v>57</v>
      </c>
      <c r="D191" s="628">
        <v>669</v>
      </c>
      <c r="E191" s="629">
        <f t="shared" si="26"/>
        <v>13.582342954159587</v>
      </c>
      <c r="F191" s="626"/>
      <c r="G191" s="626"/>
      <c r="H191" s="626"/>
      <c r="I191" s="610"/>
      <c r="J191" s="627" t="s">
        <v>220</v>
      </c>
      <c r="K191" s="631">
        <f t="shared" si="27"/>
        <v>17</v>
      </c>
      <c r="L191" s="626"/>
    </row>
    <row r="192" spans="1:12" ht="10.5" hidden="1" customHeight="1" outlineLevel="1" x14ac:dyDescent="0.2">
      <c r="A192" s="610" t="s">
        <v>105</v>
      </c>
      <c r="B192" s="627" t="s">
        <v>221</v>
      </c>
      <c r="C192" s="627"/>
      <c r="D192" s="628">
        <v>670</v>
      </c>
      <c r="E192" s="629">
        <f t="shared" si="26"/>
        <v>13.752122241086596</v>
      </c>
      <c r="F192" s="626"/>
      <c r="G192" s="626"/>
      <c r="H192" s="626"/>
      <c r="I192" s="610" t="s">
        <v>105</v>
      </c>
      <c r="J192" s="627" t="s">
        <v>221</v>
      </c>
      <c r="K192" s="631">
        <f t="shared" si="27"/>
        <v>1</v>
      </c>
      <c r="L192" s="626"/>
    </row>
    <row r="193" spans="1:12" ht="10.5" hidden="1" customHeight="1" outlineLevel="1" x14ac:dyDescent="0.2">
      <c r="A193" s="610"/>
      <c r="B193" s="627" t="s">
        <v>222</v>
      </c>
      <c r="C193" s="627"/>
      <c r="D193" s="628">
        <v>670</v>
      </c>
      <c r="E193" s="629">
        <f t="shared" si="26"/>
        <v>13.752122241086596</v>
      </c>
      <c r="F193" s="626"/>
      <c r="G193" s="626"/>
      <c r="H193" s="626"/>
      <c r="I193" s="610"/>
      <c r="J193" s="627" t="s">
        <v>222</v>
      </c>
      <c r="K193" s="631">
        <f t="shared" si="27"/>
        <v>0</v>
      </c>
      <c r="L193" s="626"/>
    </row>
    <row r="194" spans="1:12" ht="10.5" hidden="1" customHeight="1" outlineLevel="1" x14ac:dyDescent="0.2">
      <c r="A194" s="610"/>
      <c r="B194" s="627" t="s">
        <v>223</v>
      </c>
      <c r="C194" s="627">
        <f>C191+1</f>
        <v>58</v>
      </c>
      <c r="D194" s="628">
        <v>670</v>
      </c>
      <c r="E194" s="629">
        <f t="shared" si="26"/>
        <v>13.752122241086596</v>
      </c>
      <c r="F194" s="626"/>
      <c r="G194" s="626"/>
      <c r="H194" s="626"/>
      <c r="I194" s="610"/>
      <c r="J194" s="627" t="s">
        <v>223</v>
      </c>
      <c r="K194" s="631">
        <f t="shared" si="27"/>
        <v>0</v>
      </c>
      <c r="L194" s="626"/>
    </row>
    <row r="195" spans="1:12" ht="10.5" hidden="1" customHeight="1" outlineLevel="1" x14ac:dyDescent="0.2">
      <c r="A195" s="610" t="s">
        <v>106</v>
      </c>
      <c r="B195" s="627" t="s">
        <v>224</v>
      </c>
      <c r="C195" s="627"/>
      <c r="D195" s="628">
        <v>674</v>
      </c>
      <c r="E195" s="629">
        <f t="shared" si="26"/>
        <v>13.087248322147648</v>
      </c>
      <c r="F195" s="626"/>
      <c r="G195" s="626"/>
      <c r="H195" s="626"/>
      <c r="I195" s="610" t="s">
        <v>106</v>
      </c>
      <c r="J195" s="627" t="s">
        <v>224</v>
      </c>
      <c r="K195" s="631">
        <f t="shared" si="27"/>
        <v>4</v>
      </c>
      <c r="L195" s="626"/>
    </row>
    <row r="196" spans="1:12" ht="10.5" hidden="1" customHeight="1" outlineLevel="1" x14ac:dyDescent="0.2">
      <c r="A196" s="610"/>
      <c r="B196" s="627" t="s">
        <v>225</v>
      </c>
      <c r="C196" s="627"/>
      <c r="D196" s="628">
        <v>674</v>
      </c>
      <c r="E196" s="629">
        <f t="shared" si="26"/>
        <v>13.087248322147648</v>
      </c>
      <c r="F196" s="626"/>
      <c r="G196" s="626"/>
      <c r="H196" s="626"/>
      <c r="I196" s="610"/>
      <c r="J196" s="627" t="s">
        <v>225</v>
      </c>
      <c r="K196" s="631">
        <f t="shared" si="27"/>
        <v>0</v>
      </c>
      <c r="L196" s="626"/>
    </row>
    <row r="197" spans="1:12" ht="10.5" hidden="1" customHeight="1" outlineLevel="1" x14ac:dyDescent="0.2">
      <c r="A197" s="610"/>
      <c r="B197" s="627" t="s">
        <v>226</v>
      </c>
      <c r="C197" s="627">
        <f>C194+1</f>
        <v>59</v>
      </c>
      <c r="D197" s="628">
        <v>732</v>
      </c>
      <c r="E197" s="629">
        <f t="shared" si="26"/>
        <v>14.913657770800626</v>
      </c>
      <c r="F197" s="626"/>
      <c r="G197" s="626"/>
      <c r="H197" s="626"/>
      <c r="I197" s="610"/>
      <c r="J197" s="627" t="s">
        <v>226</v>
      </c>
      <c r="K197" s="631">
        <f t="shared" si="27"/>
        <v>58</v>
      </c>
      <c r="L197" s="626"/>
    </row>
    <row r="198" spans="1:12" ht="10.5" hidden="1" customHeight="1" outlineLevel="1" x14ac:dyDescent="0.2">
      <c r="A198" s="610" t="s">
        <v>107</v>
      </c>
      <c r="B198" s="627" t="s">
        <v>227</v>
      </c>
      <c r="C198" s="627"/>
      <c r="D198" s="628">
        <v>732</v>
      </c>
      <c r="E198" s="629">
        <f t="shared" si="26"/>
        <v>14.913657770800626</v>
      </c>
      <c r="F198" s="626"/>
      <c r="G198" s="626"/>
      <c r="H198" s="626"/>
      <c r="I198" s="610" t="s">
        <v>107</v>
      </c>
      <c r="J198" s="627" t="s">
        <v>227</v>
      </c>
      <c r="K198" s="631">
        <f t="shared" si="27"/>
        <v>0</v>
      </c>
      <c r="L198" s="626"/>
    </row>
    <row r="199" spans="1:12" ht="10.5" hidden="1" customHeight="1" outlineLevel="1" x14ac:dyDescent="0.2">
      <c r="A199" s="610"/>
      <c r="B199" s="627" t="s">
        <v>228</v>
      </c>
      <c r="C199" s="627"/>
      <c r="D199" s="628">
        <v>732</v>
      </c>
      <c r="E199" s="629">
        <f t="shared" si="26"/>
        <v>14.913657770800626</v>
      </c>
      <c r="F199" s="626"/>
      <c r="G199" s="626"/>
      <c r="H199" s="626"/>
      <c r="I199" s="610"/>
      <c r="J199" s="627" t="s">
        <v>228</v>
      </c>
      <c r="K199" s="631">
        <f t="shared" si="27"/>
        <v>0</v>
      </c>
      <c r="L199" s="626"/>
    </row>
    <row r="200" spans="1:12" ht="10.5" hidden="1" customHeight="1" outlineLevel="1" x14ac:dyDescent="0.2">
      <c r="A200" s="610"/>
      <c r="B200" s="627" t="s">
        <v>229</v>
      </c>
      <c r="C200" s="627">
        <f>C197+1</f>
        <v>60</v>
      </c>
      <c r="D200" s="628">
        <v>732</v>
      </c>
      <c r="E200" s="629">
        <f t="shared" si="26"/>
        <v>14.913657770800626</v>
      </c>
      <c r="F200" s="626"/>
      <c r="G200" s="626"/>
      <c r="H200" s="626"/>
      <c r="I200" s="610"/>
      <c r="J200" s="627" t="s">
        <v>229</v>
      </c>
      <c r="K200" s="631">
        <f t="shared" si="27"/>
        <v>0</v>
      </c>
      <c r="L200" s="626"/>
    </row>
    <row r="201" spans="1:12" ht="10.5" hidden="1" customHeight="1" outlineLevel="1" x14ac:dyDescent="0.2">
      <c r="A201" s="610">
        <f>A188+1</f>
        <v>2006</v>
      </c>
      <c r="B201" s="627"/>
      <c r="C201" s="627"/>
      <c r="D201" s="530"/>
      <c r="E201" s="626"/>
      <c r="F201" s="626"/>
      <c r="G201" s="626"/>
      <c r="H201" s="626"/>
      <c r="I201" s="610">
        <f>I188+1</f>
        <v>2006</v>
      </c>
      <c r="J201" s="627"/>
      <c r="K201" s="626"/>
      <c r="L201" s="626"/>
    </row>
    <row r="202" spans="1:12" ht="10.5" hidden="1" customHeight="1" outlineLevel="1" x14ac:dyDescent="0.2">
      <c r="A202" s="610" t="s">
        <v>104</v>
      </c>
      <c r="B202" s="627" t="s">
        <v>218</v>
      </c>
      <c r="C202" s="627"/>
      <c r="D202" s="628">
        <v>732</v>
      </c>
      <c r="E202" s="629">
        <f t="shared" ref="E202:E213" si="28">(D202/D189-1)*100</f>
        <v>14.913657770800626</v>
      </c>
      <c r="F202" s="626"/>
      <c r="G202" s="626"/>
      <c r="H202" s="626"/>
      <c r="I202" s="610" t="s">
        <v>104</v>
      </c>
      <c r="J202" s="627" t="s">
        <v>218</v>
      </c>
      <c r="K202" s="631">
        <f>D202-D200</f>
        <v>0</v>
      </c>
      <c r="L202" s="626"/>
    </row>
    <row r="203" spans="1:12" ht="10.5" hidden="1" customHeight="1" outlineLevel="1" x14ac:dyDescent="0.2">
      <c r="A203" s="610"/>
      <c r="B203" s="627" t="s">
        <v>219</v>
      </c>
      <c r="C203" s="627"/>
      <c r="D203" s="628">
        <v>741</v>
      </c>
      <c r="E203" s="629">
        <f t="shared" si="28"/>
        <v>13.650306748466257</v>
      </c>
      <c r="F203" s="626"/>
      <c r="G203" s="626"/>
      <c r="H203" s="626"/>
      <c r="I203" s="610"/>
      <c r="J203" s="627" t="s">
        <v>219</v>
      </c>
      <c r="K203" s="631">
        <f t="shared" ref="K203:K213" si="29">D203-D202</f>
        <v>9</v>
      </c>
      <c r="L203" s="626"/>
    </row>
    <row r="204" spans="1:12" ht="10.5" hidden="1" customHeight="1" outlineLevel="1" x14ac:dyDescent="0.2">
      <c r="A204" s="610"/>
      <c r="B204" s="627" t="s">
        <v>220</v>
      </c>
      <c r="C204" s="627">
        <f>C200+1</f>
        <v>61</v>
      </c>
      <c r="D204" s="628">
        <v>749</v>
      </c>
      <c r="E204" s="629">
        <f t="shared" si="28"/>
        <v>11.958146487294474</v>
      </c>
      <c r="F204" s="626"/>
      <c r="G204" s="626"/>
      <c r="H204" s="626"/>
      <c r="I204" s="610"/>
      <c r="J204" s="627" t="s">
        <v>220</v>
      </c>
      <c r="K204" s="631">
        <f t="shared" si="29"/>
        <v>8</v>
      </c>
      <c r="L204" s="626"/>
    </row>
    <row r="205" spans="1:12" ht="10.5" hidden="1" customHeight="1" outlineLevel="1" x14ac:dyDescent="0.2">
      <c r="A205" s="610" t="s">
        <v>105</v>
      </c>
      <c r="B205" s="627" t="s">
        <v>221</v>
      </c>
      <c r="C205" s="627"/>
      <c r="D205" s="628">
        <v>749</v>
      </c>
      <c r="E205" s="629">
        <f t="shared" si="28"/>
        <v>11.791044776119408</v>
      </c>
      <c r="F205" s="626"/>
      <c r="G205" s="626"/>
      <c r="H205" s="626"/>
      <c r="I205" s="610" t="s">
        <v>105</v>
      </c>
      <c r="J205" s="627" t="s">
        <v>221</v>
      </c>
      <c r="K205" s="631">
        <f t="shared" si="29"/>
        <v>0</v>
      </c>
      <c r="L205" s="626"/>
    </row>
    <row r="206" spans="1:12" ht="10.5" hidden="1" customHeight="1" outlineLevel="1" x14ac:dyDescent="0.2">
      <c r="A206" s="610"/>
      <c r="B206" s="627" t="s">
        <v>222</v>
      </c>
      <c r="C206" s="627"/>
      <c r="D206" s="628">
        <v>749</v>
      </c>
      <c r="E206" s="629">
        <f t="shared" si="28"/>
        <v>11.791044776119408</v>
      </c>
      <c r="F206" s="626"/>
      <c r="G206" s="626"/>
      <c r="H206" s="626"/>
      <c r="I206" s="610"/>
      <c r="J206" s="627" t="s">
        <v>222</v>
      </c>
      <c r="K206" s="631">
        <f t="shared" si="29"/>
        <v>0</v>
      </c>
      <c r="L206" s="626"/>
    </row>
    <row r="207" spans="1:12" ht="10.5" hidden="1" customHeight="1" outlineLevel="1" x14ac:dyDescent="0.2">
      <c r="A207" s="610"/>
      <c r="B207" s="627" t="s">
        <v>223</v>
      </c>
      <c r="C207" s="627">
        <f>C204+1</f>
        <v>62</v>
      </c>
      <c r="D207" s="628">
        <v>749</v>
      </c>
      <c r="E207" s="629">
        <f t="shared" si="28"/>
        <v>11.791044776119408</v>
      </c>
      <c r="F207" s="626"/>
      <c r="G207" s="626"/>
      <c r="H207" s="626"/>
      <c r="I207" s="610"/>
      <c r="J207" s="627" t="s">
        <v>223</v>
      </c>
      <c r="K207" s="631">
        <f t="shared" si="29"/>
        <v>0</v>
      </c>
      <c r="L207" s="626"/>
    </row>
    <row r="208" spans="1:12" ht="10.5" hidden="1" customHeight="1" outlineLevel="1" x14ac:dyDescent="0.2">
      <c r="A208" s="610" t="s">
        <v>106</v>
      </c>
      <c r="B208" s="627" t="s">
        <v>224</v>
      </c>
      <c r="C208" s="627"/>
      <c r="D208" s="628">
        <v>749</v>
      </c>
      <c r="E208" s="629">
        <f t="shared" si="28"/>
        <v>11.127596439169141</v>
      </c>
      <c r="F208" s="626"/>
      <c r="G208" s="626"/>
      <c r="H208" s="626"/>
      <c r="I208" s="610" t="s">
        <v>106</v>
      </c>
      <c r="J208" s="627" t="s">
        <v>224</v>
      </c>
      <c r="K208" s="631">
        <f t="shared" si="29"/>
        <v>0</v>
      </c>
      <c r="L208" s="626"/>
    </row>
    <row r="209" spans="1:12" ht="10.5" hidden="1" customHeight="1" outlineLevel="1" x14ac:dyDescent="0.2">
      <c r="A209" s="610"/>
      <c r="B209" s="627" t="s">
        <v>225</v>
      </c>
      <c r="C209" s="627"/>
      <c r="D209" s="628">
        <v>749</v>
      </c>
      <c r="E209" s="629">
        <f t="shared" si="28"/>
        <v>11.127596439169141</v>
      </c>
      <c r="F209" s="626"/>
      <c r="G209" s="626"/>
      <c r="H209" s="626"/>
      <c r="I209" s="610"/>
      <c r="J209" s="627" t="s">
        <v>225</v>
      </c>
      <c r="K209" s="631">
        <f t="shared" si="29"/>
        <v>0</v>
      </c>
      <c r="L209" s="626"/>
    </row>
    <row r="210" spans="1:12" ht="10.5" hidden="1" customHeight="1" outlineLevel="1" x14ac:dyDescent="0.2">
      <c r="A210" s="610"/>
      <c r="B210" s="627" t="s">
        <v>226</v>
      </c>
      <c r="C210" s="627">
        <f>C207+1</f>
        <v>63</v>
      </c>
      <c r="D210" s="628">
        <v>814</v>
      </c>
      <c r="E210" s="629">
        <f t="shared" si="28"/>
        <v>11.202185792349727</v>
      </c>
      <c r="F210" s="626"/>
      <c r="G210" s="626"/>
      <c r="H210" s="626"/>
      <c r="I210" s="610"/>
      <c r="J210" s="627" t="s">
        <v>226</v>
      </c>
      <c r="K210" s="631">
        <f t="shared" si="29"/>
        <v>65</v>
      </c>
      <c r="L210" s="626"/>
    </row>
    <row r="211" spans="1:12" ht="10.5" hidden="1" customHeight="1" outlineLevel="1" x14ac:dyDescent="0.2">
      <c r="A211" s="610" t="s">
        <v>107</v>
      </c>
      <c r="B211" s="627" t="s">
        <v>227</v>
      </c>
      <c r="C211" s="627"/>
      <c r="D211" s="628">
        <v>817</v>
      </c>
      <c r="E211" s="629">
        <f t="shared" si="28"/>
        <v>11.612021857923494</v>
      </c>
      <c r="F211" s="626"/>
      <c r="G211" s="626"/>
      <c r="H211" s="626"/>
      <c r="I211" s="610" t="s">
        <v>107</v>
      </c>
      <c r="J211" s="627" t="s">
        <v>227</v>
      </c>
      <c r="K211" s="631">
        <f t="shared" si="29"/>
        <v>3</v>
      </c>
      <c r="L211" s="626"/>
    </row>
    <row r="212" spans="1:12" ht="10.5" hidden="1" customHeight="1" outlineLevel="1" x14ac:dyDescent="0.2">
      <c r="A212" s="610"/>
      <c r="B212" s="627" t="s">
        <v>228</v>
      </c>
      <c r="C212" s="627"/>
      <c r="D212" s="628">
        <v>817</v>
      </c>
      <c r="E212" s="629">
        <f t="shared" si="28"/>
        <v>11.612021857923494</v>
      </c>
      <c r="F212" s="626"/>
      <c r="G212" s="626"/>
      <c r="H212" s="626"/>
      <c r="I212" s="610"/>
      <c r="J212" s="627" t="s">
        <v>228</v>
      </c>
      <c r="K212" s="631">
        <f t="shared" si="29"/>
        <v>0</v>
      </c>
      <c r="L212" s="626"/>
    </row>
    <row r="213" spans="1:12" ht="10.5" hidden="1" customHeight="1" outlineLevel="1" x14ac:dyDescent="0.2">
      <c r="A213" s="610"/>
      <c r="B213" s="627" t="s">
        <v>229</v>
      </c>
      <c r="C213" s="627">
        <f>C210+1</f>
        <v>64</v>
      </c>
      <c r="D213" s="628">
        <v>817</v>
      </c>
      <c r="E213" s="629">
        <f t="shared" si="28"/>
        <v>11.612021857923494</v>
      </c>
      <c r="F213" s="626"/>
      <c r="G213" s="626"/>
      <c r="H213" s="626"/>
      <c r="I213" s="610"/>
      <c r="J213" s="627" t="s">
        <v>229</v>
      </c>
      <c r="K213" s="631">
        <f t="shared" si="29"/>
        <v>0</v>
      </c>
      <c r="L213" s="626"/>
    </row>
    <row r="214" spans="1:12" ht="10.5" hidden="1" customHeight="1" outlineLevel="1" x14ac:dyDescent="0.2">
      <c r="A214" s="610">
        <f>A201+1</f>
        <v>2007</v>
      </c>
      <c r="B214" s="627"/>
      <c r="C214" s="627"/>
      <c r="D214" s="530"/>
      <c r="E214" s="626"/>
      <c r="F214" s="626"/>
      <c r="G214" s="626"/>
      <c r="H214" s="626"/>
      <c r="I214" s="610">
        <f>I201+1</f>
        <v>2007</v>
      </c>
      <c r="J214" s="627"/>
      <c r="K214" s="626"/>
      <c r="L214" s="626"/>
    </row>
    <row r="215" spans="1:12" ht="10.5" hidden="1" customHeight="1" outlineLevel="1" x14ac:dyDescent="0.2">
      <c r="A215" s="610" t="s">
        <v>104</v>
      </c>
      <c r="B215" s="627" t="s">
        <v>218</v>
      </c>
      <c r="C215" s="627"/>
      <c r="D215" s="628">
        <v>817</v>
      </c>
      <c r="E215" s="629">
        <f t="shared" ref="E215:E226" si="30">(D215/D202-1)*100</f>
        <v>11.612021857923494</v>
      </c>
      <c r="F215" s="626"/>
      <c r="G215" s="626"/>
      <c r="H215" s="612"/>
      <c r="I215" s="610" t="s">
        <v>104</v>
      </c>
      <c r="J215" s="627" t="s">
        <v>218</v>
      </c>
      <c r="K215" s="631">
        <f>D215-D213</f>
        <v>0</v>
      </c>
      <c r="L215" s="626"/>
    </row>
    <row r="216" spans="1:12" ht="10.5" hidden="1" customHeight="1" outlineLevel="1" x14ac:dyDescent="0.2">
      <c r="A216" s="610"/>
      <c r="B216" s="627" t="s">
        <v>219</v>
      </c>
      <c r="C216" s="627"/>
      <c r="D216" s="628">
        <v>824</v>
      </c>
      <c r="E216" s="629">
        <f t="shared" si="30"/>
        <v>11.201079622132259</v>
      </c>
      <c r="F216" s="626"/>
      <c r="G216" s="626"/>
      <c r="H216" s="612"/>
      <c r="I216" s="610"/>
      <c r="J216" s="627" t="s">
        <v>219</v>
      </c>
      <c r="K216" s="631">
        <f t="shared" ref="K216:K226" si="31">D216-D215</f>
        <v>7</v>
      </c>
      <c r="L216" s="626"/>
    </row>
    <row r="217" spans="1:12" ht="10.5" hidden="1" customHeight="1" outlineLevel="1" x14ac:dyDescent="0.2">
      <c r="A217" s="610"/>
      <c r="B217" s="627" t="s">
        <v>220</v>
      </c>
      <c r="C217" s="627">
        <f>C213+1</f>
        <v>65</v>
      </c>
      <c r="D217" s="628">
        <v>834</v>
      </c>
      <c r="E217" s="629">
        <f t="shared" si="30"/>
        <v>11.34846461949266</v>
      </c>
      <c r="F217" s="626"/>
      <c r="G217" s="626"/>
      <c r="H217" s="612"/>
      <c r="I217" s="610"/>
      <c r="J217" s="627" t="s">
        <v>220</v>
      </c>
      <c r="K217" s="631">
        <f t="shared" si="31"/>
        <v>10</v>
      </c>
      <c r="L217" s="626"/>
    </row>
    <row r="218" spans="1:12" ht="10.5" hidden="1" customHeight="1" outlineLevel="1" x14ac:dyDescent="0.2">
      <c r="A218" s="610" t="s">
        <v>105</v>
      </c>
      <c r="B218" s="627" t="s">
        <v>221</v>
      </c>
      <c r="C218" s="627"/>
      <c r="D218" s="628">
        <v>834</v>
      </c>
      <c r="E218" s="629">
        <f t="shared" si="30"/>
        <v>11.34846461949266</v>
      </c>
      <c r="F218" s="626"/>
      <c r="G218" s="626"/>
      <c r="H218" s="612"/>
      <c r="I218" s="610" t="s">
        <v>105</v>
      </c>
      <c r="J218" s="627" t="s">
        <v>221</v>
      </c>
      <c r="K218" s="631">
        <f t="shared" si="31"/>
        <v>0</v>
      </c>
      <c r="L218" s="626"/>
    </row>
    <row r="219" spans="1:12" ht="10.5" hidden="1" customHeight="1" outlineLevel="1" x14ac:dyDescent="0.2">
      <c r="A219" s="610"/>
      <c r="B219" s="627" t="s">
        <v>222</v>
      </c>
      <c r="C219" s="627"/>
      <c r="D219" s="628">
        <v>834</v>
      </c>
      <c r="E219" s="629">
        <f t="shared" si="30"/>
        <v>11.34846461949266</v>
      </c>
      <c r="F219" s="626"/>
      <c r="G219" s="626"/>
      <c r="H219" s="612"/>
      <c r="I219" s="610"/>
      <c r="J219" s="627" t="s">
        <v>222</v>
      </c>
      <c r="K219" s="631">
        <f t="shared" si="31"/>
        <v>0</v>
      </c>
      <c r="L219" s="626"/>
    </row>
    <row r="220" spans="1:12" ht="10.5" hidden="1" customHeight="1" outlineLevel="1" x14ac:dyDescent="0.2">
      <c r="A220" s="610"/>
      <c r="B220" s="627" t="s">
        <v>223</v>
      </c>
      <c r="C220" s="627">
        <f>C217+1</f>
        <v>66</v>
      </c>
      <c r="D220" s="628">
        <v>834</v>
      </c>
      <c r="E220" s="629">
        <f t="shared" si="30"/>
        <v>11.34846461949266</v>
      </c>
      <c r="F220" s="626"/>
      <c r="G220" s="626"/>
      <c r="H220" s="612"/>
      <c r="I220" s="610"/>
      <c r="J220" s="627" t="s">
        <v>223</v>
      </c>
      <c r="K220" s="631">
        <f t="shared" si="31"/>
        <v>0</v>
      </c>
      <c r="L220" s="626"/>
    </row>
    <row r="221" spans="1:12" ht="10.5" hidden="1" customHeight="1" outlineLevel="1" x14ac:dyDescent="0.2">
      <c r="A221" s="610" t="s">
        <v>106</v>
      </c>
      <c r="B221" s="627" t="s">
        <v>224</v>
      </c>
      <c r="C221" s="627"/>
      <c r="D221" s="628">
        <v>834</v>
      </c>
      <c r="E221" s="629">
        <f t="shared" si="30"/>
        <v>11.34846461949266</v>
      </c>
      <c r="F221" s="626"/>
      <c r="G221" s="626"/>
      <c r="H221" s="612"/>
      <c r="I221" s="610" t="s">
        <v>106</v>
      </c>
      <c r="J221" s="627" t="s">
        <v>224</v>
      </c>
      <c r="K221" s="631">
        <f t="shared" si="31"/>
        <v>0</v>
      </c>
      <c r="L221" s="626"/>
    </row>
    <row r="222" spans="1:12" ht="10.5" hidden="1" customHeight="1" outlineLevel="1" x14ac:dyDescent="0.2">
      <c r="A222" s="610"/>
      <c r="B222" s="627" t="s">
        <v>225</v>
      </c>
      <c r="C222" s="627"/>
      <c r="D222" s="628">
        <v>834</v>
      </c>
      <c r="E222" s="629">
        <f t="shared" si="30"/>
        <v>11.34846461949266</v>
      </c>
      <c r="F222" s="626"/>
      <c r="G222" s="626"/>
      <c r="H222" s="612"/>
      <c r="I222" s="610"/>
      <c r="J222" s="627" t="s">
        <v>225</v>
      </c>
      <c r="K222" s="631">
        <f t="shared" si="31"/>
        <v>0</v>
      </c>
      <c r="L222" s="626"/>
    </row>
    <row r="223" spans="1:12" ht="10.5" hidden="1" customHeight="1" outlineLevel="1" x14ac:dyDescent="0.2">
      <c r="A223" s="610"/>
      <c r="B223" s="627" t="s">
        <v>226</v>
      </c>
      <c r="C223" s="627">
        <f>C220+1</f>
        <v>67</v>
      </c>
      <c r="D223" s="628">
        <v>914</v>
      </c>
      <c r="E223" s="629">
        <f t="shared" si="30"/>
        <v>12.285012285012286</v>
      </c>
      <c r="F223" s="626"/>
      <c r="G223" s="626"/>
      <c r="H223" s="612"/>
      <c r="I223" s="610"/>
      <c r="J223" s="627" t="s">
        <v>226</v>
      </c>
      <c r="K223" s="631">
        <f t="shared" si="31"/>
        <v>80</v>
      </c>
      <c r="L223" s="626"/>
    </row>
    <row r="224" spans="1:12" ht="10.5" hidden="1" customHeight="1" outlineLevel="1" x14ac:dyDescent="0.2">
      <c r="A224" s="610" t="s">
        <v>107</v>
      </c>
      <c r="B224" s="627" t="s">
        <v>227</v>
      </c>
      <c r="C224" s="627"/>
      <c r="D224" s="628">
        <v>929</v>
      </c>
      <c r="E224" s="629">
        <f t="shared" si="30"/>
        <v>13.708690330477346</v>
      </c>
      <c r="F224" s="626"/>
      <c r="G224" s="626"/>
      <c r="H224" s="612"/>
      <c r="I224" s="610" t="s">
        <v>107</v>
      </c>
      <c r="J224" s="627" t="s">
        <v>227</v>
      </c>
      <c r="K224" s="631">
        <f t="shared" si="31"/>
        <v>15</v>
      </c>
      <c r="L224" s="626"/>
    </row>
    <row r="225" spans="1:12" ht="10.5" hidden="1" customHeight="1" outlineLevel="1" x14ac:dyDescent="0.2">
      <c r="A225" s="610"/>
      <c r="B225" s="627" t="s">
        <v>228</v>
      </c>
      <c r="C225" s="627"/>
      <c r="D225" s="628">
        <v>929</v>
      </c>
      <c r="E225" s="629">
        <f t="shared" si="30"/>
        <v>13.708690330477346</v>
      </c>
      <c r="F225" s="626"/>
      <c r="G225" s="626"/>
      <c r="H225" s="612"/>
      <c r="I225" s="610"/>
      <c r="J225" s="627" t="s">
        <v>228</v>
      </c>
      <c r="K225" s="631">
        <f t="shared" si="31"/>
        <v>0</v>
      </c>
      <c r="L225" s="626"/>
    </row>
    <row r="226" spans="1:12" ht="10.5" hidden="1" customHeight="1" outlineLevel="1" x14ac:dyDescent="0.2">
      <c r="A226" s="610"/>
      <c r="B226" s="627" t="s">
        <v>229</v>
      </c>
      <c r="C226" s="627">
        <f>C223+1</f>
        <v>68</v>
      </c>
      <c r="D226" s="628">
        <v>929</v>
      </c>
      <c r="E226" s="629">
        <f t="shared" si="30"/>
        <v>13.708690330477346</v>
      </c>
      <c r="F226" s="626"/>
      <c r="G226" s="626"/>
      <c r="H226" s="612"/>
      <c r="I226" s="610"/>
      <c r="J226" s="627" t="s">
        <v>229</v>
      </c>
      <c r="K226" s="631">
        <f t="shared" si="31"/>
        <v>0</v>
      </c>
      <c r="L226" s="626"/>
    </row>
    <row r="227" spans="1:12" ht="10.5" hidden="1" customHeight="1" outlineLevel="1" x14ac:dyDescent="0.2">
      <c r="A227" s="610">
        <f>A214+1</f>
        <v>2008</v>
      </c>
      <c r="B227" s="627"/>
      <c r="C227" s="627"/>
      <c r="D227" s="530"/>
      <c r="E227" s="626"/>
      <c r="F227" s="626"/>
      <c r="G227" s="626"/>
      <c r="H227" s="626"/>
      <c r="I227" s="610">
        <f>I214+1</f>
        <v>2008</v>
      </c>
      <c r="J227" s="627"/>
      <c r="K227" s="626"/>
      <c r="L227" s="626"/>
    </row>
    <row r="228" spans="1:12" ht="10.5" hidden="1" customHeight="1" outlineLevel="1" x14ac:dyDescent="0.2">
      <c r="A228" s="610" t="s">
        <v>104</v>
      </c>
      <c r="B228" s="627" t="s">
        <v>218</v>
      </c>
      <c r="C228" s="627"/>
      <c r="D228" s="628">
        <v>929</v>
      </c>
      <c r="E228" s="629">
        <f t="shared" ref="E228:E239" si="32">(D228/D215-1)*100</f>
        <v>13.708690330477346</v>
      </c>
      <c r="F228" s="626"/>
      <c r="G228" s="626"/>
      <c r="H228" s="612"/>
      <c r="I228" s="610" t="s">
        <v>104</v>
      </c>
      <c r="J228" s="627" t="s">
        <v>218</v>
      </c>
      <c r="K228" s="631">
        <f>D228-D226</f>
        <v>0</v>
      </c>
      <c r="L228" s="626"/>
    </row>
    <row r="229" spans="1:12" ht="10.5" hidden="1" customHeight="1" outlineLevel="1" x14ac:dyDescent="0.2">
      <c r="A229" s="610"/>
      <c r="B229" s="627" t="s">
        <v>219</v>
      </c>
      <c r="C229" s="627"/>
      <c r="D229" s="628">
        <v>943</v>
      </c>
      <c r="E229" s="629">
        <f t="shared" si="32"/>
        <v>14.441747572815533</v>
      </c>
      <c r="F229" s="626"/>
      <c r="G229" s="626"/>
      <c r="H229" s="612"/>
      <c r="I229" s="610"/>
      <c r="J229" s="627" t="s">
        <v>219</v>
      </c>
      <c r="K229" s="631">
        <f t="shared" ref="K229:K239" si="33">D229-D228</f>
        <v>14</v>
      </c>
      <c r="L229" s="626"/>
    </row>
    <row r="230" spans="1:12" ht="10.5" hidden="1" customHeight="1" outlineLevel="1" x14ac:dyDescent="0.2">
      <c r="A230" s="610"/>
      <c r="B230" s="627" t="s">
        <v>220</v>
      </c>
      <c r="C230" s="627">
        <f>C226+1</f>
        <v>69</v>
      </c>
      <c r="D230" s="628">
        <v>957</v>
      </c>
      <c r="E230" s="629">
        <f t="shared" si="32"/>
        <v>14.748201438848918</v>
      </c>
      <c r="F230" s="626"/>
      <c r="G230" s="626"/>
      <c r="H230" s="612"/>
      <c r="I230" s="610"/>
      <c r="J230" s="627" t="s">
        <v>220</v>
      </c>
      <c r="K230" s="631">
        <f t="shared" si="33"/>
        <v>14</v>
      </c>
      <c r="L230" s="626"/>
    </row>
    <row r="231" spans="1:12" ht="10.5" hidden="1" customHeight="1" outlineLevel="1" x14ac:dyDescent="0.2">
      <c r="A231" s="610" t="s">
        <v>105</v>
      </c>
      <c r="B231" s="627" t="s">
        <v>221</v>
      </c>
      <c r="C231" s="627"/>
      <c r="D231" s="628">
        <v>957</v>
      </c>
      <c r="E231" s="629">
        <f t="shared" si="32"/>
        <v>14.748201438848918</v>
      </c>
      <c r="F231" s="626"/>
      <c r="G231" s="626"/>
      <c r="H231" s="612"/>
      <c r="I231" s="610" t="s">
        <v>105</v>
      </c>
      <c r="J231" s="627" t="s">
        <v>221</v>
      </c>
      <c r="K231" s="631">
        <f t="shared" si="33"/>
        <v>0</v>
      </c>
      <c r="L231" s="626"/>
    </row>
    <row r="232" spans="1:12" ht="10.5" hidden="1" customHeight="1" outlineLevel="1" x14ac:dyDescent="0.2">
      <c r="A232" s="610"/>
      <c r="B232" s="627" t="s">
        <v>222</v>
      </c>
      <c r="C232" s="627"/>
      <c r="D232" s="628">
        <v>957</v>
      </c>
      <c r="E232" s="629">
        <f t="shared" si="32"/>
        <v>14.748201438848918</v>
      </c>
      <c r="F232" s="626"/>
      <c r="G232" s="626"/>
      <c r="H232" s="612"/>
      <c r="I232" s="610"/>
      <c r="J232" s="627" t="s">
        <v>222</v>
      </c>
      <c r="K232" s="631">
        <f t="shared" si="33"/>
        <v>0</v>
      </c>
      <c r="L232" s="626"/>
    </row>
    <row r="233" spans="1:12" ht="10.5" hidden="1" customHeight="1" outlineLevel="1" x14ac:dyDescent="0.2">
      <c r="A233" s="610"/>
      <c r="B233" s="627" t="s">
        <v>223</v>
      </c>
      <c r="C233" s="627">
        <f>C230+1</f>
        <v>70</v>
      </c>
      <c r="D233" s="628">
        <v>957</v>
      </c>
      <c r="E233" s="629">
        <f t="shared" si="32"/>
        <v>14.748201438848918</v>
      </c>
      <c r="F233" s="626"/>
      <c r="G233" s="626"/>
      <c r="H233" s="612"/>
      <c r="I233" s="610"/>
      <c r="J233" s="627" t="s">
        <v>223</v>
      </c>
      <c r="K233" s="631">
        <f t="shared" si="33"/>
        <v>0</v>
      </c>
      <c r="L233" s="626"/>
    </row>
    <row r="234" spans="1:12" ht="10.5" hidden="1" customHeight="1" outlineLevel="1" x14ac:dyDescent="0.2">
      <c r="A234" s="610" t="s">
        <v>106</v>
      </c>
      <c r="B234" s="627" t="s">
        <v>224</v>
      </c>
      <c r="C234" s="627"/>
      <c r="D234" s="628">
        <v>957</v>
      </c>
      <c r="E234" s="629">
        <f t="shared" si="32"/>
        <v>14.748201438848918</v>
      </c>
      <c r="F234" s="626"/>
      <c r="G234" s="626"/>
      <c r="H234" s="612"/>
      <c r="I234" s="610" t="s">
        <v>106</v>
      </c>
      <c r="J234" s="627" t="s">
        <v>224</v>
      </c>
      <c r="K234" s="631">
        <f t="shared" si="33"/>
        <v>0</v>
      </c>
      <c r="L234" s="626"/>
    </row>
    <row r="235" spans="1:12" ht="10.5" hidden="1" customHeight="1" outlineLevel="1" x14ac:dyDescent="0.2">
      <c r="A235" s="610"/>
      <c r="B235" s="627" t="s">
        <v>225</v>
      </c>
      <c r="C235" s="627"/>
      <c r="D235" s="628">
        <v>957</v>
      </c>
      <c r="E235" s="629">
        <f t="shared" si="32"/>
        <v>14.748201438848918</v>
      </c>
      <c r="F235" s="626"/>
      <c r="G235" s="626"/>
      <c r="H235" s="612"/>
      <c r="I235" s="610"/>
      <c r="J235" s="627" t="s">
        <v>225</v>
      </c>
      <c r="K235" s="631">
        <f t="shared" si="33"/>
        <v>0</v>
      </c>
      <c r="L235" s="626"/>
    </row>
    <row r="236" spans="1:12" ht="10.5" hidden="1" customHeight="1" outlineLevel="1" x14ac:dyDescent="0.2">
      <c r="A236" s="610"/>
      <c r="B236" s="627" t="s">
        <v>226</v>
      </c>
      <c r="C236" s="627">
        <f>C233+1</f>
        <v>71</v>
      </c>
      <c r="D236" s="628">
        <v>1004</v>
      </c>
      <c r="E236" s="629">
        <f t="shared" si="32"/>
        <v>9.8468271334792199</v>
      </c>
      <c r="F236" s="626"/>
      <c r="G236" s="626"/>
      <c r="H236" s="612"/>
      <c r="I236" s="610"/>
      <c r="J236" s="627" t="s">
        <v>226</v>
      </c>
      <c r="K236" s="631">
        <f t="shared" si="33"/>
        <v>47</v>
      </c>
      <c r="L236" s="626"/>
    </row>
    <row r="237" spans="1:12" ht="10.5" hidden="1" customHeight="1" outlineLevel="1" x14ac:dyDescent="0.2">
      <c r="A237" s="610" t="s">
        <v>107</v>
      </c>
      <c r="B237" s="627" t="s">
        <v>227</v>
      </c>
      <c r="C237" s="627"/>
      <c r="D237" s="628">
        <v>1004</v>
      </c>
      <c r="E237" s="629">
        <f t="shared" si="32"/>
        <v>8.0731969860064581</v>
      </c>
      <c r="F237" s="626"/>
      <c r="G237" s="626"/>
      <c r="H237" s="612"/>
      <c r="I237" s="610" t="s">
        <v>107</v>
      </c>
      <c r="J237" s="627" t="s">
        <v>227</v>
      </c>
      <c r="K237" s="631">
        <f t="shared" si="33"/>
        <v>0</v>
      </c>
      <c r="L237" s="626"/>
    </row>
    <row r="238" spans="1:12" ht="10.5" hidden="1" customHeight="1" outlineLevel="1" x14ac:dyDescent="0.2">
      <c r="A238" s="610"/>
      <c r="B238" s="627" t="s">
        <v>228</v>
      </c>
      <c r="C238" s="627"/>
      <c r="D238" s="628">
        <v>1004</v>
      </c>
      <c r="E238" s="629">
        <f t="shared" si="32"/>
        <v>8.0731969860064581</v>
      </c>
      <c r="F238" s="626"/>
      <c r="G238" s="626"/>
      <c r="H238" s="612"/>
      <c r="I238" s="610"/>
      <c r="J238" s="627" t="s">
        <v>228</v>
      </c>
      <c r="K238" s="631">
        <f t="shared" si="33"/>
        <v>0</v>
      </c>
      <c r="L238" s="626"/>
    </row>
    <row r="239" spans="1:12" ht="10.5" hidden="1" customHeight="1" outlineLevel="1" x14ac:dyDescent="0.2">
      <c r="A239" s="610"/>
      <c r="B239" s="627" t="s">
        <v>229</v>
      </c>
      <c r="C239" s="627">
        <f>C236+1</f>
        <v>72</v>
      </c>
      <c r="D239" s="628">
        <v>1004</v>
      </c>
      <c r="E239" s="629">
        <f t="shared" si="32"/>
        <v>8.0731969860064581</v>
      </c>
      <c r="F239" s="626"/>
      <c r="G239" s="626"/>
      <c r="H239" s="612"/>
      <c r="I239" s="610"/>
      <c r="J239" s="627" t="s">
        <v>229</v>
      </c>
      <c r="K239" s="631">
        <f t="shared" si="33"/>
        <v>0</v>
      </c>
      <c r="L239" s="626"/>
    </row>
    <row r="240" spans="1:12" ht="10.5" hidden="1" customHeight="1" outlineLevel="1" x14ac:dyDescent="0.2">
      <c r="A240" s="610">
        <f>A227+1</f>
        <v>2009</v>
      </c>
      <c r="B240" s="627"/>
      <c r="C240" s="627"/>
      <c r="D240" s="639"/>
      <c r="E240" s="625"/>
      <c r="F240" s="626"/>
      <c r="G240" s="626"/>
      <c r="H240" s="612"/>
      <c r="I240" s="610">
        <f>I227+1</f>
        <v>2009</v>
      </c>
      <c r="J240" s="627"/>
      <c r="K240" s="626"/>
      <c r="L240" s="626"/>
    </row>
    <row r="241" spans="1:12" ht="10.5" hidden="1" customHeight="1" outlineLevel="1" x14ac:dyDescent="0.2">
      <c r="A241" s="610" t="s">
        <v>104</v>
      </c>
      <c r="B241" s="627" t="s">
        <v>218</v>
      </c>
      <c r="C241" s="627"/>
      <c r="D241" s="628">
        <v>1004</v>
      </c>
      <c r="E241" s="629">
        <f t="shared" ref="E241:E252" si="34">(D241/D228-1)*100</f>
        <v>8.0731969860064581</v>
      </c>
      <c r="F241" s="626"/>
      <c r="G241" s="626"/>
      <c r="H241" s="612"/>
      <c r="I241" s="610" t="s">
        <v>104</v>
      </c>
      <c r="J241" s="627" t="s">
        <v>218</v>
      </c>
      <c r="K241" s="631">
        <f>D241-D239</f>
        <v>0</v>
      </c>
      <c r="L241" s="626"/>
    </row>
    <row r="242" spans="1:12" ht="10.5" hidden="1" customHeight="1" outlineLevel="1" x14ac:dyDescent="0.2">
      <c r="A242" s="610"/>
      <c r="B242" s="627" t="s">
        <v>219</v>
      </c>
      <c r="C242" s="627"/>
      <c r="D242" s="628">
        <v>1022</v>
      </c>
      <c r="E242" s="629">
        <f t="shared" si="34"/>
        <v>8.3775185577942715</v>
      </c>
      <c r="F242" s="626"/>
      <c r="G242" s="626"/>
      <c r="H242" s="612"/>
      <c r="I242" s="610"/>
      <c r="J242" s="627" t="s">
        <v>219</v>
      </c>
      <c r="K242" s="631">
        <f t="shared" ref="K242:K252" si="35">D242-D241</f>
        <v>18</v>
      </c>
      <c r="L242" s="626"/>
    </row>
    <row r="243" spans="1:12" ht="10.5" hidden="1" customHeight="1" outlineLevel="1" x14ac:dyDescent="0.2">
      <c r="A243" s="610"/>
      <c r="B243" s="627" t="s">
        <v>220</v>
      </c>
      <c r="C243" s="627">
        <f>C239+1</f>
        <v>73</v>
      </c>
      <c r="D243" s="628">
        <v>1022</v>
      </c>
      <c r="E243" s="629">
        <f t="shared" si="34"/>
        <v>6.792058516196442</v>
      </c>
      <c r="F243" s="626"/>
      <c r="G243" s="626"/>
      <c r="H243" s="612"/>
      <c r="I243" s="610"/>
      <c r="J243" s="627" t="s">
        <v>220</v>
      </c>
      <c r="K243" s="631">
        <f t="shared" si="35"/>
        <v>0</v>
      </c>
      <c r="L243" s="626"/>
    </row>
    <row r="244" spans="1:12" ht="10.5" hidden="1" customHeight="1" outlineLevel="1" x14ac:dyDescent="0.2">
      <c r="A244" s="610" t="s">
        <v>105</v>
      </c>
      <c r="B244" s="627" t="s">
        <v>221</v>
      </c>
      <c r="C244" s="627"/>
      <c r="D244" s="628">
        <v>1022</v>
      </c>
      <c r="E244" s="629">
        <f t="shared" si="34"/>
        <v>6.792058516196442</v>
      </c>
      <c r="F244" s="626"/>
      <c r="G244" s="626"/>
      <c r="H244" s="612"/>
      <c r="I244" s="610" t="s">
        <v>105</v>
      </c>
      <c r="J244" s="627" t="s">
        <v>221</v>
      </c>
      <c r="K244" s="631">
        <f t="shared" si="35"/>
        <v>0</v>
      </c>
      <c r="L244" s="626"/>
    </row>
    <row r="245" spans="1:12" ht="10.5" hidden="1" customHeight="1" outlineLevel="1" x14ac:dyDescent="0.2">
      <c r="A245" s="610"/>
      <c r="B245" s="627" t="s">
        <v>222</v>
      </c>
      <c r="C245" s="627"/>
      <c r="D245" s="628">
        <v>1022</v>
      </c>
      <c r="E245" s="629">
        <f t="shared" si="34"/>
        <v>6.792058516196442</v>
      </c>
      <c r="F245" s="626"/>
      <c r="G245" s="626"/>
      <c r="H245" s="612"/>
      <c r="I245" s="610"/>
      <c r="J245" s="627" t="s">
        <v>222</v>
      </c>
      <c r="K245" s="631">
        <f t="shared" si="35"/>
        <v>0</v>
      </c>
      <c r="L245" s="626"/>
    </row>
    <row r="246" spans="1:12" ht="10.5" hidden="1" customHeight="1" outlineLevel="1" x14ac:dyDescent="0.2">
      <c r="A246" s="610"/>
      <c r="B246" s="627" t="s">
        <v>223</v>
      </c>
      <c r="C246" s="627">
        <f>C243+1</f>
        <v>74</v>
      </c>
      <c r="D246" s="628">
        <v>1022</v>
      </c>
      <c r="E246" s="629">
        <f t="shared" si="34"/>
        <v>6.792058516196442</v>
      </c>
      <c r="F246" s="626"/>
      <c r="G246" s="626"/>
      <c r="H246" s="612"/>
      <c r="I246" s="610"/>
      <c r="J246" s="627" t="s">
        <v>223</v>
      </c>
      <c r="K246" s="631">
        <f t="shared" si="35"/>
        <v>0</v>
      </c>
      <c r="L246" s="626"/>
    </row>
    <row r="247" spans="1:12" ht="10.5" hidden="1" customHeight="1" outlineLevel="1" x14ac:dyDescent="0.2">
      <c r="A247" s="610" t="s">
        <v>106</v>
      </c>
      <c r="B247" s="627" t="s">
        <v>224</v>
      </c>
      <c r="C247" s="627"/>
      <c r="D247" s="628">
        <v>1022</v>
      </c>
      <c r="E247" s="629">
        <f t="shared" si="34"/>
        <v>6.792058516196442</v>
      </c>
      <c r="F247" s="626"/>
      <c r="G247" s="626"/>
      <c r="H247" s="612"/>
      <c r="I247" s="610" t="s">
        <v>106</v>
      </c>
      <c r="J247" s="627" t="s">
        <v>224</v>
      </c>
      <c r="K247" s="631">
        <f t="shared" si="35"/>
        <v>0</v>
      </c>
      <c r="L247" s="626"/>
    </row>
    <row r="248" spans="1:12" ht="10.5" hidden="1" customHeight="1" outlineLevel="1" x14ac:dyDescent="0.2">
      <c r="A248" s="610"/>
      <c r="B248" s="627" t="s">
        <v>225</v>
      </c>
      <c r="C248" s="627"/>
      <c r="D248" s="628">
        <v>1059</v>
      </c>
      <c r="E248" s="629">
        <f t="shared" si="34"/>
        <v>10.658307210031337</v>
      </c>
      <c r="F248" s="626"/>
      <c r="G248" s="626"/>
      <c r="H248" s="612"/>
      <c r="I248" s="610"/>
      <c r="J248" s="627" t="s">
        <v>225</v>
      </c>
      <c r="K248" s="631">
        <f t="shared" si="35"/>
        <v>37</v>
      </c>
      <c r="L248" s="626"/>
    </row>
    <row r="249" spans="1:12" ht="10.5" hidden="1" customHeight="1" outlineLevel="1" x14ac:dyDescent="0.2">
      <c r="A249" s="610"/>
      <c r="B249" s="627" t="s">
        <v>226</v>
      </c>
      <c r="C249" s="627">
        <f>C246+1</f>
        <v>75</v>
      </c>
      <c r="D249" s="628">
        <v>1059</v>
      </c>
      <c r="E249" s="629">
        <f t="shared" si="34"/>
        <v>5.4780876494023856</v>
      </c>
      <c r="F249" s="626"/>
      <c r="G249" s="626"/>
      <c r="H249" s="612"/>
      <c r="I249" s="610"/>
      <c r="J249" s="627" t="s">
        <v>226</v>
      </c>
      <c r="K249" s="631">
        <f t="shared" si="35"/>
        <v>0</v>
      </c>
      <c r="L249" s="626"/>
    </row>
    <row r="250" spans="1:12" ht="10.5" hidden="1" customHeight="1" outlineLevel="1" x14ac:dyDescent="0.2">
      <c r="A250" s="610" t="s">
        <v>107</v>
      </c>
      <c r="B250" s="627" t="s">
        <v>227</v>
      </c>
      <c r="C250" s="627"/>
      <c r="D250" s="628">
        <v>1059</v>
      </c>
      <c r="E250" s="629">
        <f t="shared" si="34"/>
        <v>5.4780876494023856</v>
      </c>
      <c r="F250" s="626"/>
      <c r="G250" s="626"/>
      <c r="H250" s="612"/>
      <c r="I250" s="610" t="s">
        <v>107</v>
      </c>
      <c r="J250" s="627" t="s">
        <v>227</v>
      </c>
      <c r="K250" s="631">
        <f t="shared" si="35"/>
        <v>0</v>
      </c>
      <c r="L250" s="626"/>
    </row>
    <row r="251" spans="1:12" ht="10.5" hidden="1" customHeight="1" outlineLevel="1" x14ac:dyDescent="0.2">
      <c r="A251" s="610"/>
      <c r="B251" s="627" t="s">
        <v>228</v>
      </c>
      <c r="C251" s="627"/>
      <c r="D251" s="628">
        <v>1059</v>
      </c>
      <c r="E251" s="629">
        <f t="shared" si="34"/>
        <v>5.4780876494023856</v>
      </c>
      <c r="F251" s="626"/>
      <c r="G251" s="626"/>
      <c r="H251" s="612"/>
      <c r="I251" s="610"/>
      <c r="J251" s="627" t="s">
        <v>228</v>
      </c>
      <c r="K251" s="631">
        <f t="shared" si="35"/>
        <v>0</v>
      </c>
      <c r="L251" s="626"/>
    </row>
    <row r="252" spans="1:12" ht="10.5" hidden="1" customHeight="1" outlineLevel="1" x14ac:dyDescent="0.2">
      <c r="A252" s="610"/>
      <c r="B252" s="627" t="s">
        <v>229</v>
      </c>
      <c r="C252" s="627">
        <f>C249+1</f>
        <v>76</v>
      </c>
      <c r="D252" s="628">
        <v>1058</v>
      </c>
      <c r="E252" s="629">
        <f t="shared" si="34"/>
        <v>5.3784860557768877</v>
      </c>
      <c r="F252" s="626"/>
      <c r="G252" s="626"/>
      <c r="H252" s="612"/>
      <c r="I252" s="610"/>
      <c r="J252" s="627" t="s">
        <v>229</v>
      </c>
      <c r="K252" s="631">
        <f t="shared" si="35"/>
        <v>-1</v>
      </c>
      <c r="L252" s="626"/>
    </row>
    <row r="253" spans="1:12" ht="10.5" hidden="1" customHeight="1" outlineLevel="1" x14ac:dyDescent="0.2">
      <c r="A253" s="610">
        <f>A240+1</f>
        <v>2010</v>
      </c>
      <c r="B253" s="627"/>
      <c r="C253" s="627"/>
      <c r="D253" s="639"/>
      <c r="E253" s="625"/>
      <c r="F253" s="626"/>
      <c r="G253" s="626"/>
      <c r="H253" s="612"/>
      <c r="I253" s="610">
        <f>I240+1</f>
        <v>2010</v>
      </c>
      <c r="J253" s="627"/>
      <c r="K253" s="626"/>
      <c r="L253" s="626"/>
    </row>
    <row r="254" spans="1:12" ht="10.5" hidden="1" customHeight="1" outlineLevel="1" x14ac:dyDescent="0.2">
      <c r="A254" s="610" t="s">
        <v>104</v>
      </c>
      <c r="B254" s="627" t="s">
        <v>218</v>
      </c>
      <c r="C254" s="627"/>
      <c r="D254" s="628">
        <v>1058</v>
      </c>
      <c r="E254" s="629">
        <f t="shared" ref="E254:E265" si="36">(D254/D241-1)*100</f>
        <v>5.3784860557768877</v>
      </c>
      <c r="F254" s="626"/>
      <c r="G254" s="626"/>
      <c r="H254" s="612"/>
      <c r="I254" s="610" t="s">
        <v>104</v>
      </c>
      <c r="J254" s="627" t="s">
        <v>218</v>
      </c>
      <c r="K254" s="631">
        <f>D254-D252</f>
        <v>0</v>
      </c>
      <c r="L254" s="626"/>
    </row>
    <row r="255" spans="1:12" ht="10.5" hidden="1" customHeight="1" outlineLevel="1" x14ac:dyDescent="0.2">
      <c r="A255" s="610"/>
      <c r="B255" s="627" t="s">
        <v>219</v>
      </c>
      <c r="C255" s="627"/>
      <c r="D255" s="628">
        <v>1067</v>
      </c>
      <c r="E255" s="629">
        <f t="shared" si="36"/>
        <v>4.4031311154598907</v>
      </c>
      <c r="F255" s="626"/>
      <c r="G255" s="626"/>
      <c r="H255" s="612"/>
      <c r="I255" s="610"/>
      <c r="J255" s="627" t="s">
        <v>219</v>
      </c>
      <c r="K255" s="631">
        <f t="shared" ref="K255:K265" si="37">D255-D254</f>
        <v>9</v>
      </c>
      <c r="L255" s="626"/>
    </row>
    <row r="256" spans="1:12" ht="10.5" hidden="1" customHeight="1" outlineLevel="1" x14ac:dyDescent="0.2">
      <c r="A256" s="610"/>
      <c r="B256" s="627" t="s">
        <v>220</v>
      </c>
      <c r="C256" s="627">
        <f>C252+1</f>
        <v>77</v>
      </c>
      <c r="D256" s="628">
        <v>1067</v>
      </c>
      <c r="E256" s="629">
        <f t="shared" si="36"/>
        <v>4.4031311154598907</v>
      </c>
      <c r="F256" s="626"/>
      <c r="G256" s="626"/>
      <c r="H256" s="612"/>
      <c r="I256" s="610"/>
      <c r="J256" s="627" t="s">
        <v>220</v>
      </c>
      <c r="K256" s="631">
        <f t="shared" si="37"/>
        <v>0</v>
      </c>
      <c r="L256" s="626"/>
    </row>
    <row r="257" spans="1:12" ht="10.5" hidden="1" customHeight="1" outlineLevel="1" x14ac:dyDescent="0.2">
      <c r="A257" s="610" t="s">
        <v>105</v>
      </c>
      <c r="B257" s="627" t="s">
        <v>221</v>
      </c>
      <c r="C257" s="627"/>
      <c r="D257" s="628">
        <v>1067</v>
      </c>
      <c r="E257" s="629">
        <f t="shared" si="36"/>
        <v>4.4031311154598907</v>
      </c>
      <c r="F257" s="626"/>
      <c r="G257" s="626"/>
      <c r="H257" s="612"/>
      <c r="I257" s="610" t="s">
        <v>105</v>
      </c>
      <c r="J257" s="627" t="s">
        <v>221</v>
      </c>
      <c r="K257" s="631">
        <f t="shared" si="37"/>
        <v>0</v>
      </c>
      <c r="L257" s="626"/>
    </row>
    <row r="258" spans="1:12" ht="10.5" hidden="1" customHeight="1" outlineLevel="1" x14ac:dyDescent="0.2">
      <c r="A258" s="610"/>
      <c r="B258" s="627" t="s">
        <v>222</v>
      </c>
      <c r="C258" s="627"/>
      <c r="D258" s="628">
        <v>1067</v>
      </c>
      <c r="E258" s="629">
        <f t="shared" si="36"/>
        <v>4.4031311154598907</v>
      </c>
      <c r="F258" s="626"/>
      <c r="G258" s="626"/>
      <c r="H258" s="612"/>
      <c r="I258" s="610"/>
      <c r="J258" s="627" t="s">
        <v>222</v>
      </c>
      <c r="K258" s="631">
        <f t="shared" si="37"/>
        <v>0</v>
      </c>
      <c r="L258" s="626"/>
    </row>
    <row r="259" spans="1:12" ht="10.5" hidden="1" customHeight="1" outlineLevel="1" x14ac:dyDescent="0.2">
      <c r="A259" s="610"/>
      <c r="B259" s="627" t="s">
        <v>223</v>
      </c>
      <c r="C259" s="627">
        <f>C256+1</f>
        <v>78</v>
      </c>
      <c r="D259" s="628">
        <v>1067</v>
      </c>
      <c r="E259" s="629">
        <f t="shared" si="36"/>
        <v>4.4031311154598907</v>
      </c>
      <c r="F259" s="626"/>
      <c r="G259" s="626"/>
      <c r="H259" s="612"/>
      <c r="I259" s="610"/>
      <c r="J259" s="627" t="s">
        <v>223</v>
      </c>
      <c r="K259" s="631">
        <f t="shared" si="37"/>
        <v>0</v>
      </c>
      <c r="L259" s="626"/>
    </row>
    <row r="260" spans="1:12" ht="10.5" hidden="1" customHeight="1" outlineLevel="1" x14ac:dyDescent="0.2">
      <c r="A260" s="610" t="s">
        <v>106</v>
      </c>
      <c r="B260" s="627" t="s">
        <v>224</v>
      </c>
      <c r="C260" s="627"/>
      <c r="D260" s="628">
        <v>1067</v>
      </c>
      <c r="E260" s="629">
        <f t="shared" si="36"/>
        <v>4.4031311154598907</v>
      </c>
      <c r="F260" s="626"/>
      <c r="G260" s="626"/>
      <c r="H260" s="612"/>
      <c r="I260" s="610" t="s">
        <v>106</v>
      </c>
      <c r="J260" s="627" t="s">
        <v>224</v>
      </c>
      <c r="K260" s="631">
        <f t="shared" si="37"/>
        <v>0</v>
      </c>
      <c r="L260" s="626"/>
    </row>
    <row r="261" spans="1:12" ht="10.5" hidden="1" customHeight="1" outlineLevel="1" x14ac:dyDescent="0.2">
      <c r="A261" s="610"/>
      <c r="B261" s="627" t="s">
        <v>225</v>
      </c>
      <c r="C261" s="627"/>
      <c r="D261" s="628">
        <v>1089</v>
      </c>
      <c r="E261" s="629">
        <f t="shared" si="36"/>
        <v>2.8328611898017053</v>
      </c>
      <c r="F261" s="626"/>
      <c r="G261" s="626"/>
      <c r="H261" s="612"/>
      <c r="I261" s="610"/>
      <c r="J261" s="627" t="s">
        <v>225</v>
      </c>
      <c r="K261" s="631">
        <f t="shared" si="37"/>
        <v>22</v>
      </c>
      <c r="L261" s="626"/>
    </row>
    <row r="262" spans="1:12" ht="10.5" hidden="1" customHeight="1" outlineLevel="1" x14ac:dyDescent="0.2">
      <c r="A262" s="610"/>
      <c r="B262" s="627" t="s">
        <v>226</v>
      </c>
      <c r="C262" s="627">
        <f>C259+1</f>
        <v>79</v>
      </c>
      <c r="D262" s="628">
        <v>1089</v>
      </c>
      <c r="E262" s="629">
        <f t="shared" si="36"/>
        <v>2.8328611898017053</v>
      </c>
      <c r="F262" s="626"/>
      <c r="G262" s="626"/>
      <c r="H262" s="612"/>
      <c r="I262" s="610"/>
      <c r="J262" s="627" t="s">
        <v>226</v>
      </c>
      <c r="K262" s="631">
        <f t="shared" si="37"/>
        <v>0</v>
      </c>
      <c r="L262" s="626"/>
    </row>
    <row r="263" spans="1:12" ht="10.5" hidden="1" customHeight="1" outlineLevel="1" x14ac:dyDescent="0.2">
      <c r="A263" s="610" t="s">
        <v>107</v>
      </c>
      <c r="B263" s="627" t="s">
        <v>227</v>
      </c>
      <c r="C263" s="627"/>
      <c r="D263" s="628">
        <v>1089</v>
      </c>
      <c r="E263" s="629">
        <f t="shared" si="36"/>
        <v>2.8328611898017053</v>
      </c>
      <c r="F263" s="626"/>
      <c r="G263" s="626"/>
      <c r="H263" s="612"/>
      <c r="I263" s="610" t="s">
        <v>107</v>
      </c>
      <c r="J263" s="627" t="s">
        <v>227</v>
      </c>
      <c r="K263" s="631">
        <f t="shared" si="37"/>
        <v>0</v>
      </c>
      <c r="L263" s="626"/>
    </row>
    <row r="264" spans="1:12" ht="10.5" hidden="1" customHeight="1" outlineLevel="1" x14ac:dyDescent="0.2">
      <c r="A264" s="610"/>
      <c r="B264" s="627" t="s">
        <v>228</v>
      </c>
      <c r="C264" s="627"/>
      <c r="D264" s="628">
        <v>1089</v>
      </c>
      <c r="E264" s="629">
        <f t="shared" si="36"/>
        <v>2.8328611898017053</v>
      </c>
      <c r="F264" s="626"/>
      <c r="G264" s="626"/>
      <c r="H264" s="612"/>
      <c r="I264" s="610"/>
      <c r="J264" s="627" t="s">
        <v>228</v>
      </c>
      <c r="K264" s="631">
        <f t="shared" si="37"/>
        <v>0</v>
      </c>
      <c r="L264" s="626"/>
    </row>
    <row r="265" spans="1:12" ht="10.5" hidden="1" customHeight="1" outlineLevel="1" x14ac:dyDescent="0.2">
      <c r="A265" s="610"/>
      <c r="B265" s="627" t="s">
        <v>229</v>
      </c>
      <c r="C265" s="627">
        <f>C262+1</f>
        <v>80</v>
      </c>
      <c r="D265" s="628">
        <v>1089</v>
      </c>
      <c r="E265" s="629">
        <f t="shared" si="36"/>
        <v>2.9300567107750419</v>
      </c>
      <c r="F265" s="626"/>
      <c r="G265" s="626"/>
      <c r="H265" s="612"/>
      <c r="I265" s="610"/>
      <c r="J265" s="627" t="s">
        <v>229</v>
      </c>
      <c r="K265" s="631">
        <f t="shared" si="37"/>
        <v>0</v>
      </c>
      <c r="L265" s="626"/>
    </row>
    <row r="266" spans="1:12" ht="10.5" hidden="1" customHeight="1" outlineLevel="1" x14ac:dyDescent="0.2">
      <c r="A266" s="610">
        <f>A253+1</f>
        <v>2011</v>
      </c>
      <c r="B266" s="627"/>
      <c r="C266" s="627"/>
      <c r="D266" s="639"/>
      <c r="E266" s="625"/>
      <c r="F266" s="626"/>
      <c r="G266" s="626"/>
      <c r="H266" s="612"/>
      <c r="I266" s="610">
        <f>I253+1</f>
        <v>2011</v>
      </c>
      <c r="J266" s="627"/>
      <c r="K266" s="626"/>
      <c r="L266" s="626"/>
    </row>
    <row r="267" spans="1:12" ht="10.5" hidden="1" customHeight="1" outlineLevel="1" x14ac:dyDescent="0.2">
      <c r="A267" s="610" t="s">
        <v>104</v>
      </c>
      <c r="B267" s="627" t="s">
        <v>218</v>
      </c>
      <c r="C267" s="627"/>
      <c r="D267" s="628">
        <v>1089</v>
      </c>
      <c r="E267" s="629">
        <f t="shared" ref="E267:E278" si="38">(D267/D254-1)*100</f>
        <v>2.9300567107750419</v>
      </c>
      <c r="F267" s="626"/>
      <c r="G267" s="626"/>
      <c r="H267" s="612"/>
      <c r="I267" s="610" t="s">
        <v>104</v>
      </c>
      <c r="J267" s="627" t="s">
        <v>218</v>
      </c>
      <c r="K267" s="631">
        <f>D267-D265</f>
        <v>0</v>
      </c>
      <c r="L267" s="626"/>
    </row>
    <row r="268" spans="1:12" ht="10.5" hidden="1" customHeight="1" outlineLevel="1" x14ac:dyDescent="0.2">
      <c r="A268" s="610"/>
      <c r="B268" s="627" t="s">
        <v>219</v>
      </c>
      <c r="C268" s="627"/>
      <c r="D268" s="628">
        <v>1097</v>
      </c>
      <c r="E268" s="629">
        <f t="shared" si="38"/>
        <v>2.8116213683224034</v>
      </c>
      <c r="F268" s="626"/>
      <c r="G268" s="626"/>
      <c r="H268" s="612"/>
      <c r="I268" s="610"/>
      <c r="J268" s="627" t="s">
        <v>219</v>
      </c>
      <c r="K268" s="631">
        <f t="shared" ref="K268:K278" si="39">D268-D267</f>
        <v>8</v>
      </c>
      <c r="L268" s="626"/>
    </row>
    <row r="269" spans="1:12" ht="10.5" hidden="1" customHeight="1" outlineLevel="1" x14ac:dyDescent="0.2">
      <c r="A269" s="610"/>
      <c r="B269" s="627" t="s">
        <v>220</v>
      </c>
      <c r="C269" s="627">
        <f>C265+1</f>
        <v>81</v>
      </c>
      <c r="D269" s="628">
        <v>1097</v>
      </c>
      <c r="E269" s="629">
        <f t="shared" si="38"/>
        <v>2.8116213683224034</v>
      </c>
      <c r="F269" s="626"/>
      <c r="G269" s="626"/>
      <c r="H269" s="612"/>
      <c r="I269" s="610"/>
      <c r="J269" s="627" t="s">
        <v>220</v>
      </c>
      <c r="K269" s="631">
        <f t="shared" si="39"/>
        <v>0</v>
      </c>
      <c r="L269" s="626"/>
    </row>
    <row r="270" spans="1:12" ht="10.5" hidden="1" customHeight="1" outlineLevel="1" x14ac:dyDescent="0.2">
      <c r="A270" s="610" t="s">
        <v>105</v>
      </c>
      <c r="B270" s="627" t="s">
        <v>221</v>
      </c>
      <c r="C270" s="627"/>
      <c r="D270" s="628">
        <v>1097</v>
      </c>
      <c r="E270" s="629">
        <f t="shared" si="38"/>
        <v>2.8116213683224034</v>
      </c>
      <c r="F270" s="626"/>
      <c r="G270" s="626"/>
      <c r="H270" s="612"/>
      <c r="I270" s="610" t="s">
        <v>105</v>
      </c>
      <c r="J270" s="627" t="s">
        <v>221</v>
      </c>
      <c r="K270" s="631">
        <f t="shared" si="39"/>
        <v>0</v>
      </c>
      <c r="L270" s="626"/>
    </row>
    <row r="271" spans="1:12" ht="10.5" hidden="1" customHeight="1" outlineLevel="1" x14ac:dyDescent="0.2">
      <c r="A271" s="610"/>
      <c r="B271" s="627" t="s">
        <v>222</v>
      </c>
      <c r="C271" s="627"/>
      <c r="D271" s="628">
        <v>1097</v>
      </c>
      <c r="E271" s="629">
        <f t="shared" si="38"/>
        <v>2.8116213683224034</v>
      </c>
      <c r="F271" s="626"/>
      <c r="G271" s="626"/>
      <c r="H271" s="612"/>
      <c r="I271" s="610"/>
      <c r="J271" s="627" t="s">
        <v>222</v>
      </c>
      <c r="K271" s="631">
        <f t="shared" si="39"/>
        <v>0</v>
      </c>
      <c r="L271" s="626"/>
    </row>
    <row r="272" spans="1:12" ht="10.5" hidden="1" customHeight="1" outlineLevel="1" x14ac:dyDescent="0.2">
      <c r="A272" s="610"/>
      <c r="B272" s="627" t="s">
        <v>223</v>
      </c>
      <c r="C272" s="627">
        <f>C269+1</f>
        <v>82</v>
      </c>
      <c r="D272" s="628">
        <v>1097</v>
      </c>
      <c r="E272" s="629">
        <f t="shared" si="38"/>
        <v>2.8116213683224034</v>
      </c>
      <c r="F272" s="626"/>
      <c r="G272" s="626"/>
      <c r="H272" s="612"/>
      <c r="I272" s="610"/>
      <c r="J272" s="627" t="s">
        <v>223</v>
      </c>
      <c r="K272" s="631">
        <f t="shared" si="39"/>
        <v>0</v>
      </c>
      <c r="L272" s="626"/>
    </row>
    <row r="273" spans="1:12" ht="10.5" hidden="1" customHeight="1" outlineLevel="1" x14ac:dyDescent="0.2">
      <c r="A273" s="610" t="s">
        <v>106</v>
      </c>
      <c r="B273" s="627" t="s">
        <v>224</v>
      </c>
      <c r="C273" s="627"/>
      <c r="D273" s="628">
        <v>1097</v>
      </c>
      <c r="E273" s="629">
        <f t="shared" si="38"/>
        <v>2.8116213683224034</v>
      </c>
      <c r="F273" s="626"/>
      <c r="G273" s="626"/>
      <c r="H273" s="612"/>
      <c r="I273" s="610" t="s">
        <v>106</v>
      </c>
      <c r="J273" s="627" t="s">
        <v>224</v>
      </c>
      <c r="K273" s="631">
        <f t="shared" si="39"/>
        <v>0</v>
      </c>
      <c r="L273" s="626"/>
    </row>
    <row r="274" spans="1:12" ht="10.5" hidden="1" customHeight="1" outlineLevel="1" x14ac:dyDescent="0.2">
      <c r="A274" s="610"/>
      <c r="B274" s="627" t="s">
        <v>225</v>
      </c>
      <c r="C274" s="627"/>
      <c r="D274" s="628">
        <v>1127</v>
      </c>
      <c r="E274" s="629">
        <f t="shared" si="38"/>
        <v>3.489439853076215</v>
      </c>
      <c r="F274" s="626"/>
      <c r="G274" s="626"/>
      <c r="H274" s="612"/>
      <c r="I274" s="610"/>
      <c r="J274" s="627" t="s">
        <v>225</v>
      </c>
      <c r="K274" s="631">
        <f t="shared" si="39"/>
        <v>30</v>
      </c>
      <c r="L274" s="626"/>
    </row>
    <row r="275" spans="1:12" ht="10.5" hidden="1" customHeight="1" outlineLevel="1" x14ac:dyDescent="0.2">
      <c r="A275" s="610"/>
      <c r="B275" s="627" t="s">
        <v>226</v>
      </c>
      <c r="C275" s="627">
        <f>C272+1</f>
        <v>83</v>
      </c>
      <c r="D275" s="628">
        <v>1127</v>
      </c>
      <c r="E275" s="629">
        <f t="shared" si="38"/>
        <v>3.489439853076215</v>
      </c>
      <c r="F275" s="626"/>
      <c r="G275" s="626"/>
      <c r="H275" s="612"/>
      <c r="I275" s="610"/>
      <c r="J275" s="627" t="s">
        <v>226</v>
      </c>
      <c r="K275" s="631">
        <f t="shared" si="39"/>
        <v>0</v>
      </c>
      <c r="L275" s="626"/>
    </row>
    <row r="276" spans="1:12" ht="10.5" hidden="1" customHeight="1" outlineLevel="1" x14ac:dyDescent="0.2">
      <c r="A276" s="610" t="s">
        <v>107</v>
      </c>
      <c r="B276" s="627" t="s">
        <v>227</v>
      </c>
      <c r="C276" s="627"/>
      <c r="D276" s="628">
        <v>1127</v>
      </c>
      <c r="E276" s="629">
        <f t="shared" si="38"/>
        <v>3.489439853076215</v>
      </c>
      <c r="F276" s="626"/>
      <c r="G276" s="626"/>
      <c r="H276" s="612"/>
      <c r="I276" s="610" t="s">
        <v>107</v>
      </c>
      <c r="J276" s="627" t="s">
        <v>227</v>
      </c>
      <c r="K276" s="631">
        <f t="shared" si="39"/>
        <v>0</v>
      </c>
      <c r="L276" s="626"/>
    </row>
    <row r="277" spans="1:12" ht="10.5" hidden="1" customHeight="1" outlineLevel="1" x14ac:dyDescent="0.2">
      <c r="A277" s="610"/>
      <c r="B277" s="627" t="s">
        <v>228</v>
      </c>
      <c r="C277" s="627"/>
      <c r="D277" s="628">
        <v>1127</v>
      </c>
      <c r="E277" s="629">
        <f t="shared" si="38"/>
        <v>3.489439853076215</v>
      </c>
      <c r="F277" s="626"/>
      <c r="G277" s="626"/>
      <c r="H277" s="612"/>
      <c r="I277" s="610"/>
      <c r="J277" s="627" t="s">
        <v>228</v>
      </c>
      <c r="K277" s="631">
        <f t="shared" si="39"/>
        <v>0</v>
      </c>
      <c r="L277" s="626"/>
    </row>
    <row r="278" spans="1:12" ht="10.5" hidden="1" customHeight="1" outlineLevel="1" x14ac:dyDescent="0.2">
      <c r="A278" s="610"/>
      <c r="B278" s="627" t="s">
        <v>229</v>
      </c>
      <c r="C278" s="627">
        <f>C275+1</f>
        <v>84</v>
      </c>
      <c r="D278" s="628">
        <v>1127</v>
      </c>
      <c r="E278" s="629">
        <f t="shared" si="38"/>
        <v>3.489439853076215</v>
      </c>
      <c r="F278" s="626"/>
      <c r="G278" s="626"/>
      <c r="H278" s="612"/>
      <c r="I278" s="610"/>
      <c r="J278" s="627" t="s">
        <v>229</v>
      </c>
      <c r="K278" s="631">
        <f t="shared" si="39"/>
        <v>0</v>
      </c>
      <c r="L278" s="626"/>
    </row>
    <row r="279" spans="1:12" ht="10.5" hidden="1" customHeight="1" outlineLevel="1" x14ac:dyDescent="0.2">
      <c r="A279" s="610">
        <f>A266+1</f>
        <v>2012</v>
      </c>
      <c r="B279" s="627"/>
      <c r="C279" s="627"/>
      <c r="D279" s="639"/>
      <c r="E279" s="625"/>
      <c r="F279" s="626"/>
      <c r="G279" s="626"/>
      <c r="H279" s="626"/>
      <c r="I279" s="610">
        <f>I266+1</f>
        <v>2012</v>
      </c>
      <c r="J279" s="627"/>
      <c r="K279" s="626"/>
      <c r="L279" s="626"/>
    </row>
    <row r="280" spans="1:12" ht="10.5" hidden="1" customHeight="1" outlineLevel="1" x14ac:dyDescent="0.2">
      <c r="A280" s="610" t="s">
        <v>104</v>
      </c>
      <c r="B280" s="627" t="s">
        <v>218</v>
      </c>
      <c r="C280" s="627"/>
      <c r="D280" s="628">
        <v>1127</v>
      </c>
      <c r="E280" s="629">
        <f t="shared" ref="E280:E291" si="40">(D280/D267-1)*100</f>
        <v>3.489439853076215</v>
      </c>
      <c r="F280" s="626"/>
      <c r="G280" s="626"/>
      <c r="H280" s="626"/>
      <c r="I280" s="610" t="s">
        <v>104</v>
      </c>
      <c r="J280" s="627" t="s">
        <v>218</v>
      </c>
      <c r="K280" s="631">
        <f>D280-D278</f>
        <v>0</v>
      </c>
      <c r="L280" s="626"/>
    </row>
    <row r="281" spans="1:12" ht="10.5" hidden="1" customHeight="1" outlineLevel="1" x14ac:dyDescent="0.2">
      <c r="A281" s="610"/>
      <c r="B281" s="627" t="s">
        <v>219</v>
      </c>
      <c r="C281" s="627"/>
      <c r="D281" s="628">
        <v>1134</v>
      </c>
      <c r="E281" s="629">
        <f t="shared" si="40"/>
        <v>3.3728350045578948</v>
      </c>
      <c r="F281" s="626"/>
      <c r="G281" s="626"/>
      <c r="H281" s="626"/>
      <c r="I281" s="610"/>
      <c r="J281" s="627" t="s">
        <v>219</v>
      </c>
      <c r="K281" s="631">
        <f t="shared" ref="K281:K291" si="41">D281-D280</f>
        <v>7</v>
      </c>
      <c r="L281" s="626"/>
    </row>
    <row r="282" spans="1:12" ht="10.5" hidden="1" customHeight="1" outlineLevel="1" x14ac:dyDescent="0.2">
      <c r="A282" s="610"/>
      <c r="B282" s="627" t="s">
        <v>220</v>
      </c>
      <c r="C282" s="627">
        <f>C278+1</f>
        <v>85</v>
      </c>
      <c r="D282" s="628">
        <v>1134</v>
      </c>
      <c r="E282" s="629">
        <f t="shared" si="40"/>
        <v>3.3728350045578948</v>
      </c>
      <c r="F282" s="626"/>
      <c r="G282" s="626"/>
      <c r="H282" s="626"/>
      <c r="I282" s="610"/>
      <c r="J282" s="627" t="s">
        <v>220</v>
      </c>
      <c r="K282" s="631">
        <f t="shared" si="41"/>
        <v>0</v>
      </c>
      <c r="L282" s="626"/>
    </row>
    <row r="283" spans="1:12" ht="10.5" hidden="1" customHeight="1" outlineLevel="1" x14ac:dyDescent="0.2">
      <c r="A283" s="610" t="s">
        <v>105</v>
      </c>
      <c r="B283" s="627" t="s">
        <v>221</v>
      </c>
      <c r="C283" s="627"/>
      <c r="D283" s="628">
        <v>1134</v>
      </c>
      <c r="E283" s="629">
        <f t="shared" si="40"/>
        <v>3.3728350045578948</v>
      </c>
      <c r="F283" s="626"/>
      <c r="G283" s="626"/>
      <c r="H283" s="626"/>
      <c r="I283" s="610" t="s">
        <v>105</v>
      </c>
      <c r="J283" s="627" t="s">
        <v>221</v>
      </c>
      <c r="K283" s="631">
        <f t="shared" si="41"/>
        <v>0</v>
      </c>
      <c r="L283" s="626"/>
    </row>
    <row r="284" spans="1:12" ht="10.5" hidden="1" customHeight="1" outlineLevel="1" x14ac:dyDescent="0.2">
      <c r="A284" s="610"/>
      <c r="B284" s="627" t="s">
        <v>222</v>
      </c>
      <c r="C284" s="627"/>
      <c r="D284" s="628">
        <v>1134</v>
      </c>
      <c r="E284" s="629">
        <f t="shared" si="40"/>
        <v>3.3728350045578948</v>
      </c>
      <c r="F284" s="626"/>
      <c r="G284" s="626"/>
      <c r="H284" s="626"/>
      <c r="I284" s="610"/>
      <c r="J284" s="627" t="s">
        <v>222</v>
      </c>
      <c r="K284" s="631">
        <f t="shared" si="41"/>
        <v>0</v>
      </c>
      <c r="L284" s="626"/>
    </row>
    <row r="285" spans="1:12" ht="10.5" hidden="1" customHeight="1" outlineLevel="1" x14ac:dyDescent="0.2">
      <c r="A285" s="610"/>
      <c r="B285" s="627" t="s">
        <v>223</v>
      </c>
      <c r="C285" s="627">
        <f>C282+1</f>
        <v>86</v>
      </c>
      <c r="D285" s="628">
        <v>1134</v>
      </c>
      <c r="E285" s="629">
        <f t="shared" si="40"/>
        <v>3.3728350045578948</v>
      </c>
      <c r="F285" s="626"/>
      <c r="G285" s="626"/>
      <c r="H285" s="626"/>
      <c r="I285" s="610"/>
      <c r="J285" s="627" t="s">
        <v>223</v>
      </c>
      <c r="K285" s="631">
        <f t="shared" si="41"/>
        <v>0</v>
      </c>
      <c r="L285" s="626"/>
    </row>
    <row r="286" spans="1:12" ht="10.5" hidden="1" customHeight="1" outlineLevel="1" x14ac:dyDescent="0.2">
      <c r="A286" s="610" t="s">
        <v>106</v>
      </c>
      <c r="B286" s="627" t="s">
        <v>224</v>
      </c>
      <c r="C286" s="627"/>
      <c r="D286" s="628">
        <v>1134</v>
      </c>
      <c r="E286" s="629">
        <f t="shared" si="40"/>
        <v>3.3728350045578948</v>
      </c>
      <c r="F286" s="626"/>
      <c r="G286" s="626"/>
      <c r="H286" s="626"/>
      <c r="I286" s="610" t="s">
        <v>106</v>
      </c>
      <c r="J286" s="627" t="s">
        <v>224</v>
      </c>
      <c r="K286" s="640">
        <f t="shared" si="41"/>
        <v>0</v>
      </c>
      <c r="L286" s="626"/>
    </row>
    <row r="287" spans="1:12" ht="10.5" hidden="1" customHeight="1" outlineLevel="1" x14ac:dyDescent="0.2">
      <c r="A287" s="610"/>
      <c r="B287" s="627" t="s">
        <v>225</v>
      </c>
      <c r="C287" s="627"/>
      <c r="D287" s="628">
        <v>1146</v>
      </c>
      <c r="E287" s="629">
        <f t="shared" si="40"/>
        <v>1.685891748003554</v>
      </c>
      <c r="F287" s="626"/>
      <c r="G287" s="626"/>
      <c r="H287" s="626"/>
      <c r="I287" s="610"/>
      <c r="J287" s="627" t="s">
        <v>225</v>
      </c>
      <c r="K287" s="640">
        <f t="shared" si="41"/>
        <v>12</v>
      </c>
      <c r="L287" s="626"/>
    </row>
    <row r="288" spans="1:12" ht="10.5" hidden="1" customHeight="1" outlineLevel="1" x14ac:dyDescent="0.2">
      <c r="A288" s="610"/>
      <c r="B288" s="627" t="s">
        <v>226</v>
      </c>
      <c r="C288" s="627">
        <f>C285+1</f>
        <v>87</v>
      </c>
      <c r="D288" s="628">
        <v>1146</v>
      </c>
      <c r="E288" s="629">
        <f t="shared" si="40"/>
        <v>1.685891748003554</v>
      </c>
      <c r="F288" s="626"/>
      <c r="G288" s="626"/>
      <c r="H288" s="626"/>
      <c r="I288" s="610"/>
      <c r="J288" s="627" t="s">
        <v>226</v>
      </c>
      <c r="K288" s="640">
        <f t="shared" si="41"/>
        <v>0</v>
      </c>
      <c r="L288" s="626"/>
    </row>
    <row r="289" spans="1:12" ht="10.5" hidden="1" customHeight="1" outlineLevel="1" x14ac:dyDescent="0.2">
      <c r="A289" s="610" t="s">
        <v>107</v>
      </c>
      <c r="B289" s="627" t="s">
        <v>227</v>
      </c>
      <c r="C289" s="627"/>
      <c r="D289" s="628">
        <v>1146</v>
      </c>
      <c r="E289" s="629">
        <f t="shared" si="40"/>
        <v>1.685891748003554</v>
      </c>
      <c r="F289" s="626"/>
      <c r="G289" s="626"/>
      <c r="H289" s="626"/>
      <c r="I289" s="610" t="s">
        <v>107</v>
      </c>
      <c r="J289" s="627" t="s">
        <v>227</v>
      </c>
      <c r="K289" s="640">
        <f t="shared" si="41"/>
        <v>0</v>
      </c>
      <c r="L289" s="626"/>
    </row>
    <row r="290" spans="1:12" ht="10.5" hidden="1" customHeight="1" outlineLevel="1" x14ac:dyDescent="0.2">
      <c r="A290" s="610"/>
      <c r="B290" s="627" t="s">
        <v>228</v>
      </c>
      <c r="C290" s="627"/>
      <c r="D290" s="628">
        <v>1146</v>
      </c>
      <c r="E290" s="629">
        <f t="shared" si="40"/>
        <v>1.685891748003554</v>
      </c>
      <c r="F290" s="626"/>
      <c r="G290" s="626"/>
      <c r="H290" s="626"/>
      <c r="I290" s="610"/>
      <c r="J290" s="627" t="s">
        <v>228</v>
      </c>
      <c r="K290" s="640">
        <f t="shared" si="41"/>
        <v>0</v>
      </c>
      <c r="L290" s="626"/>
    </row>
    <row r="291" spans="1:12" ht="10.5" hidden="1" customHeight="1" outlineLevel="1" x14ac:dyDescent="0.2">
      <c r="A291" s="610"/>
      <c r="B291" s="627" t="s">
        <v>229</v>
      </c>
      <c r="C291" s="627">
        <f>C288+1</f>
        <v>88</v>
      </c>
      <c r="D291" s="628">
        <v>1146</v>
      </c>
      <c r="E291" s="629">
        <f t="shared" si="40"/>
        <v>1.685891748003554</v>
      </c>
      <c r="F291" s="626"/>
      <c r="G291" s="626"/>
      <c r="H291" s="626"/>
      <c r="I291" s="610"/>
      <c r="J291" s="627" t="s">
        <v>229</v>
      </c>
      <c r="K291" s="640">
        <f t="shared" si="41"/>
        <v>0</v>
      </c>
      <c r="L291" s="626"/>
    </row>
    <row r="292" spans="1:12" ht="10.5" customHeight="1" collapsed="1" x14ac:dyDescent="0.2">
      <c r="A292" s="610">
        <f>A279+1</f>
        <v>2013</v>
      </c>
      <c r="B292" s="627"/>
      <c r="C292" s="627"/>
      <c r="D292" s="639"/>
      <c r="E292" s="625"/>
      <c r="F292" s="626"/>
      <c r="G292" s="626"/>
      <c r="H292" s="626"/>
      <c r="I292" s="610">
        <f>I279+1</f>
        <v>2013</v>
      </c>
      <c r="J292" s="627"/>
      <c r="K292" s="626"/>
      <c r="L292" s="626"/>
    </row>
    <row r="293" spans="1:12" ht="10.5" customHeight="1" x14ac:dyDescent="0.2">
      <c r="A293" s="610" t="s">
        <v>104</v>
      </c>
      <c r="B293" s="627" t="s">
        <v>89</v>
      </c>
      <c r="C293" s="627">
        <f>C291+1</f>
        <v>89</v>
      </c>
      <c r="D293" s="641">
        <v>1155</v>
      </c>
      <c r="E293" s="629">
        <f>(D293/D282-1)*100</f>
        <v>1.8518518518518601</v>
      </c>
      <c r="F293" s="626"/>
      <c r="G293" s="626"/>
      <c r="H293" s="626"/>
      <c r="I293" s="610" t="s">
        <v>104</v>
      </c>
      <c r="J293" s="627" t="s">
        <v>89</v>
      </c>
      <c r="K293" s="640">
        <f>D293-D291</f>
        <v>9</v>
      </c>
      <c r="L293" s="626"/>
    </row>
    <row r="294" spans="1:12" ht="10.5" customHeight="1" x14ac:dyDescent="0.2">
      <c r="A294" s="610" t="s">
        <v>105</v>
      </c>
      <c r="B294" s="627" t="s">
        <v>90</v>
      </c>
      <c r="C294" s="627">
        <f>C293+1</f>
        <v>90</v>
      </c>
      <c r="D294" s="641">
        <v>1155</v>
      </c>
      <c r="E294" s="629">
        <f>(D294/D285-1)*100</f>
        <v>1.8518518518518601</v>
      </c>
      <c r="F294" s="626"/>
      <c r="G294" s="626"/>
      <c r="H294" s="626"/>
      <c r="I294" s="610" t="s">
        <v>105</v>
      </c>
      <c r="J294" s="627" t="s">
        <v>90</v>
      </c>
      <c r="K294" s="640">
        <f>D294-D293</f>
        <v>0</v>
      </c>
      <c r="L294" s="626"/>
    </row>
    <row r="295" spans="1:12" ht="10.5" customHeight="1" x14ac:dyDescent="0.2">
      <c r="A295" s="610" t="s">
        <v>106</v>
      </c>
      <c r="B295" s="627" t="s">
        <v>91</v>
      </c>
      <c r="C295" s="627">
        <f>C294+1</f>
        <v>91</v>
      </c>
      <c r="D295" s="641">
        <v>1158</v>
      </c>
      <c r="E295" s="629">
        <f>(D295/D288-1)*100</f>
        <v>1.0471204188481575</v>
      </c>
      <c r="F295" s="626"/>
      <c r="G295" s="626"/>
      <c r="H295" s="626"/>
      <c r="I295" s="610" t="s">
        <v>106</v>
      </c>
      <c r="J295" s="627" t="s">
        <v>91</v>
      </c>
      <c r="K295" s="640">
        <f>D295-D294</f>
        <v>3</v>
      </c>
      <c r="L295" s="626"/>
    </row>
    <row r="296" spans="1:12" ht="10.5" customHeight="1" x14ac:dyDescent="0.2">
      <c r="A296" s="610" t="s">
        <v>107</v>
      </c>
      <c r="B296" s="627" t="s">
        <v>92</v>
      </c>
      <c r="C296" s="627">
        <f>C295+1</f>
        <v>92</v>
      </c>
      <c r="D296" s="641">
        <v>1158</v>
      </c>
      <c r="E296" s="629">
        <f>(D296/D291-1)*100</f>
        <v>1.0471204188481575</v>
      </c>
      <c r="F296" s="626"/>
      <c r="G296" s="626"/>
      <c r="H296" s="626"/>
      <c r="I296" s="610" t="s">
        <v>107</v>
      </c>
      <c r="J296" s="627" t="s">
        <v>227</v>
      </c>
      <c r="K296" s="640">
        <f>D296-D295</f>
        <v>0</v>
      </c>
      <c r="L296" s="626"/>
    </row>
    <row r="297" spans="1:12" ht="10.5" customHeight="1" x14ac:dyDescent="0.2">
      <c r="A297" s="610">
        <f>A292+1</f>
        <v>2014</v>
      </c>
      <c r="B297" s="627"/>
      <c r="C297" s="627"/>
      <c r="D297" s="639"/>
      <c r="E297" s="625"/>
      <c r="F297" s="626"/>
      <c r="G297" s="626"/>
      <c r="H297" s="626"/>
      <c r="I297" s="610">
        <f>A297</f>
        <v>2014</v>
      </c>
      <c r="J297" s="627"/>
      <c r="K297" s="626"/>
      <c r="L297" s="626"/>
    </row>
    <row r="298" spans="1:12" ht="10.5" customHeight="1" x14ac:dyDescent="0.2">
      <c r="A298" s="610" t="s">
        <v>104</v>
      </c>
      <c r="B298" s="627" t="s">
        <v>89</v>
      </c>
      <c r="C298" s="627">
        <f>C296+1</f>
        <v>93</v>
      </c>
      <c r="D298" s="641">
        <v>1160</v>
      </c>
      <c r="E298" s="629">
        <f>(D298/D293-1)*100</f>
        <v>0.43290043290042934</v>
      </c>
      <c r="F298" s="626"/>
      <c r="G298" s="626"/>
      <c r="H298" s="626"/>
      <c r="I298" s="610" t="s">
        <v>104</v>
      </c>
      <c r="J298" s="627" t="s">
        <v>89</v>
      </c>
      <c r="K298" s="640">
        <f>D298-D296</f>
        <v>2</v>
      </c>
      <c r="L298" s="626"/>
    </row>
    <row r="299" spans="1:12" ht="10.5" customHeight="1" x14ac:dyDescent="0.2">
      <c r="A299" s="610" t="s">
        <v>105</v>
      </c>
      <c r="B299" s="627" t="s">
        <v>90</v>
      </c>
      <c r="C299" s="627">
        <f>C298+1</f>
        <v>94</v>
      </c>
      <c r="D299" s="641">
        <v>1160</v>
      </c>
      <c r="E299" s="629">
        <f>(D299/D294-1)*100</f>
        <v>0.43290043290042934</v>
      </c>
      <c r="F299" s="626"/>
      <c r="G299" s="626"/>
      <c r="H299" s="626"/>
      <c r="I299" s="610" t="s">
        <v>105</v>
      </c>
      <c r="J299" s="627" t="s">
        <v>90</v>
      </c>
      <c r="K299" s="640">
        <f>D299-D298</f>
        <v>0</v>
      </c>
      <c r="L299" s="626"/>
    </row>
    <row r="300" spans="1:12" ht="10.5" customHeight="1" x14ac:dyDescent="0.2">
      <c r="A300" s="610" t="s">
        <v>106</v>
      </c>
      <c r="B300" s="627" t="s">
        <v>91</v>
      </c>
      <c r="C300" s="627">
        <f>C299+1</f>
        <v>95</v>
      </c>
      <c r="D300" s="641">
        <v>1163</v>
      </c>
      <c r="E300" s="629">
        <f>(D300/D295-1)*100</f>
        <v>0.43177892918826455</v>
      </c>
      <c r="F300" s="626"/>
      <c r="G300" s="626"/>
      <c r="H300" s="626"/>
      <c r="I300" s="610" t="s">
        <v>106</v>
      </c>
      <c r="J300" s="627" t="s">
        <v>91</v>
      </c>
      <c r="K300" s="640">
        <f>D300-D299</f>
        <v>3</v>
      </c>
      <c r="L300" s="626"/>
    </row>
    <row r="301" spans="1:12" ht="10.5" customHeight="1" x14ac:dyDescent="0.2">
      <c r="A301" s="610" t="s">
        <v>107</v>
      </c>
      <c r="B301" s="627" t="s">
        <v>92</v>
      </c>
      <c r="C301" s="627">
        <f>C300+1</f>
        <v>96</v>
      </c>
      <c r="D301" s="641">
        <v>1162</v>
      </c>
      <c r="E301" s="629">
        <f>(D301/D296-1)*100</f>
        <v>0.34542314335059832</v>
      </c>
      <c r="F301" s="626"/>
      <c r="G301" s="626"/>
      <c r="H301" s="626"/>
      <c r="I301" s="610" t="s">
        <v>107</v>
      </c>
      <c r="J301" s="627" t="s">
        <v>227</v>
      </c>
      <c r="K301" s="640">
        <f>D301-D300</f>
        <v>-1</v>
      </c>
      <c r="L301" s="626"/>
    </row>
    <row r="302" spans="1:12" ht="10.5" customHeight="1" x14ac:dyDescent="0.2">
      <c r="A302" s="610">
        <f>A297+1</f>
        <v>2015</v>
      </c>
      <c r="B302" s="627"/>
      <c r="C302" s="627"/>
      <c r="D302" s="639"/>
      <c r="E302" s="625"/>
      <c r="F302" s="626"/>
      <c r="G302" s="626"/>
      <c r="H302" s="626"/>
      <c r="I302" s="610">
        <f>A302</f>
        <v>2015</v>
      </c>
      <c r="J302" s="627"/>
      <c r="K302" s="626"/>
      <c r="L302" s="626"/>
    </row>
    <row r="303" spans="1:12" ht="10.5" customHeight="1" x14ac:dyDescent="0.2">
      <c r="A303" s="610" t="s">
        <v>104</v>
      </c>
      <c r="B303" s="627" t="s">
        <v>89</v>
      </c>
      <c r="C303" s="627">
        <f>C301+1</f>
        <v>97</v>
      </c>
      <c r="D303" s="641">
        <f>D301+K303</f>
        <v>1164</v>
      </c>
      <c r="E303" s="629">
        <f>(D303/D298-1)*100</f>
        <v>0.34482758620688614</v>
      </c>
      <c r="F303" s="626"/>
      <c r="G303" s="626"/>
      <c r="H303" s="626"/>
      <c r="I303" s="610" t="s">
        <v>104</v>
      </c>
      <c r="J303" s="627" t="s">
        <v>89</v>
      </c>
      <c r="K303" s="640">
        <v>2</v>
      </c>
      <c r="L303" s="626"/>
    </row>
    <row r="304" spans="1:12" ht="10.5" customHeight="1" x14ac:dyDescent="0.2">
      <c r="A304" s="610" t="s">
        <v>105</v>
      </c>
      <c r="B304" s="627" t="s">
        <v>90</v>
      </c>
      <c r="C304" s="627">
        <f>C303+1</f>
        <v>98</v>
      </c>
      <c r="D304" s="641">
        <f>D303+K304</f>
        <v>1164</v>
      </c>
      <c r="E304" s="629">
        <f>(D304/D299-1)*100</f>
        <v>0.34482758620688614</v>
      </c>
      <c r="F304" s="626"/>
      <c r="G304" s="626"/>
      <c r="H304" s="626"/>
      <c r="I304" s="610" t="s">
        <v>105</v>
      </c>
      <c r="J304" s="627" t="s">
        <v>90</v>
      </c>
      <c r="K304" s="640">
        <v>0</v>
      </c>
      <c r="L304" s="626"/>
    </row>
    <row r="305" spans="1:14" ht="10.5" customHeight="1" x14ac:dyDescent="0.2">
      <c r="A305" s="610" t="s">
        <v>106</v>
      </c>
      <c r="B305" s="627" t="s">
        <v>91</v>
      </c>
      <c r="C305" s="627">
        <f>C304+1</f>
        <v>99</v>
      </c>
      <c r="D305" s="641">
        <f>D304+K305</f>
        <v>1166</v>
      </c>
      <c r="E305" s="629">
        <f>(D305/D300-1)*100</f>
        <v>0.2579535683576939</v>
      </c>
      <c r="F305" s="626"/>
      <c r="G305" s="626"/>
      <c r="H305" s="626"/>
      <c r="I305" s="610" t="s">
        <v>106</v>
      </c>
      <c r="J305" s="627" t="s">
        <v>91</v>
      </c>
      <c r="K305" s="640">
        <v>2</v>
      </c>
      <c r="L305" s="626"/>
    </row>
    <row r="306" spans="1:14" ht="10.5" customHeight="1" x14ac:dyDescent="0.2">
      <c r="A306" s="610" t="s">
        <v>107</v>
      </c>
      <c r="B306" s="627" t="s">
        <v>92</v>
      </c>
      <c r="C306" s="627">
        <f>C305+1</f>
        <v>100</v>
      </c>
      <c r="D306" s="641">
        <f>D305+K306</f>
        <v>1166</v>
      </c>
      <c r="E306" s="629">
        <f>(D306/D301-1)*100</f>
        <v>0.34423407917383297</v>
      </c>
      <c r="F306" s="626"/>
      <c r="G306" s="626"/>
      <c r="H306" s="626"/>
      <c r="I306" s="610" t="s">
        <v>107</v>
      </c>
      <c r="J306" s="627" t="s">
        <v>227</v>
      </c>
      <c r="K306" s="640">
        <v>0</v>
      </c>
      <c r="L306" s="626"/>
    </row>
    <row r="307" spans="1:14" ht="10.5" customHeight="1" x14ac:dyDescent="0.2">
      <c r="A307" s="610">
        <f>A302+1</f>
        <v>2016</v>
      </c>
      <c r="B307" s="627"/>
      <c r="C307" s="627"/>
      <c r="D307" s="639"/>
      <c r="E307" s="625"/>
      <c r="F307" s="626"/>
      <c r="G307" s="626"/>
      <c r="H307" s="626"/>
      <c r="I307" s="610">
        <f>A307</f>
        <v>2016</v>
      </c>
      <c r="J307" s="627"/>
      <c r="K307" s="626"/>
      <c r="L307" s="626"/>
    </row>
    <row r="308" spans="1:14" ht="10.5" customHeight="1" x14ac:dyDescent="0.2">
      <c r="A308" s="610" t="s">
        <v>104</v>
      </c>
      <c r="B308" s="642" t="s">
        <v>89</v>
      </c>
      <c r="C308" s="627">
        <f>C306+1</f>
        <v>101</v>
      </c>
      <c r="D308" s="641">
        <v>1167</v>
      </c>
      <c r="E308" s="629">
        <f>(D308/D303-1)*100</f>
        <v>0.25773195876288568</v>
      </c>
      <c r="F308" s="626"/>
      <c r="G308" s="626"/>
      <c r="H308" s="626"/>
      <c r="I308" s="610" t="s">
        <v>104</v>
      </c>
      <c r="J308" s="627" t="s">
        <v>89</v>
      </c>
      <c r="K308" s="640">
        <v>0</v>
      </c>
      <c r="L308" s="626"/>
    </row>
    <row r="309" spans="1:14" ht="10.5" customHeight="1" x14ac:dyDescent="0.2">
      <c r="A309" s="610" t="s">
        <v>105</v>
      </c>
      <c r="B309" s="642" t="s">
        <v>90</v>
      </c>
      <c r="C309" s="627">
        <f>C308+1</f>
        <v>102</v>
      </c>
      <c r="D309" s="641">
        <v>1150</v>
      </c>
      <c r="E309" s="629">
        <f>(D309/D304-1)*100</f>
        <v>-1.2027491408934665</v>
      </c>
      <c r="F309" s="626"/>
      <c r="G309" s="626"/>
      <c r="H309" s="626"/>
      <c r="I309" s="610" t="s">
        <v>105</v>
      </c>
      <c r="J309" s="627" t="s">
        <v>90</v>
      </c>
      <c r="K309" s="640">
        <f>D309-D308</f>
        <v>-17</v>
      </c>
      <c r="L309" s="626"/>
      <c r="N309" s="942"/>
    </row>
    <row r="310" spans="1:14" ht="10.5" customHeight="1" x14ac:dyDescent="0.2">
      <c r="A310" s="610" t="s">
        <v>106</v>
      </c>
      <c r="B310" s="627" t="s">
        <v>91</v>
      </c>
      <c r="C310" s="627">
        <f>C309+1</f>
        <v>103</v>
      </c>
      <c r="D310" s="890">
        <v>1155</v>
      </c>
      <c r="E310" s="629">
        <f>(D310/D305-1)*100</f>
        <v>-0.94339622641509413</v>
      </c>
      <c r="F310" s="626"/>
      <c r="G310" s="626"/>
      <c r="H310" s="626"/>
      <c r="I310" s="610" t="s">
        <v>106</v>
      </c>
      <c r="J310" s="627" t="s">
        <v>91</v>
      </c>
      <c r="K310" s="640">
        <f>D310-D309</f>
        <v>5</v>
      </c>
      <c r="L310" s="626"/>
    </row>
    <row r="311" spans="1:14" ht="10.5" customHeight="1" x14ac:dyDescent="0.2">
      <c r="A311" s="610" t="s">
        <v>107</v>
      </c>
      <c r="B311" s="627" t="s">
        <v>92</v>
      </c>
      <c r="C311" s="627">
        <f>C310+1</f>
        <v>104</v>
      </c>
      <c r="D311" s="890">
        <v>1154</v>
      </c>
      <c r="E311" s="629">
        <f>(D311/D306-1)*100</f>
        <v>-1.0291595197255532</v>
      </c>
      <c r="F311" s="626"/>
      <c r="G311" s="626"/>
      <c r="H311" s="626"/>
      <c r="I311" s="610" t="s">
        <v>107</v>
      </c>
      <c r="J311" s="627" t="s">
        <v>227</v>
      </c>
      <c r="K311" s="640">
        <f>D311-D310</f>
        <v>-1</v>
      </c>
      <c r="L311" s="626"/>
    </row>
    <row r="312" spans="1:14" ht="10.5" customHeight="1" x14ac:dyDescent="0.2">
      <c r="A312" s="610">
        <f>A307+1</f>
        <v>2017</v>
      </c>
      <c r="B312" s="627"/>
      <c r="C312" s="627"/>
      <c r="D312" s="639"/>
      <c r="E312" s="625"/>
      <c r="F312" s="626"/>
      <c r="G312" s="626"/>
      <c r="H312" s="626"/>
      <c r="I312" s="610">
        <f>A312</f>
        <v>2017</v>
      </c>
      <c r="J312" s="627"/>
      <c r="K312" s="626"/>
      <c r="L312" s="626"/>
    </row>
    <row r="313" spans="1:14" ht="10.5" customHeight="1" x14ac:dyDescent="0.2">
      <c r="A313" s="610" t="s">
        <v>104</v>
      </c>
      <c r="B313" s="642" t="s">
        <v>89</v>
      </c>
      <c r="C313" s="627">
        <f>C311+1</f>
        <v>105</v>
      </c>
      <c r="D313" s="641">
        <f>D311+K313</f>
        <v>1154</v>
      </c>
      <c r="E313" s="629">
        <f>(D313/D308-1)*100</f>
        <v>-1.1139674378748965</v>
      </c>
      <c r="F313" s="626"/>
      <c r="G313" s="626"/>
      <c r="H313" s="626"/>
      <c r="I313" s="610" t="s">
        <v>104</v>
      </c>
      <c r="J313" s="627" t="s">
        <v>89</v>
      </c>
      <c r="K313" s="1168">
        <v>0</v>
      </c>
      <c r="L313" s="626"/>
    </row>
    <row r="314" spans="1:14" ht="10.5" customHeight="1" x14ac:dyDescent="0.2">
      <c r="A314" s="610" t="s">
        <v>105</v>
      </c>
      <c r="B314" s="642" t="s">
        <v>90</v>
      </c>
      <c r="C314" s="627">
        <f>C313+1</f>
        <v>106</v>
      </c>
      <c r="D314" s="890">
        <f>D313+K314</f>
        <v>1154</v>
      </c>
      <c r="E314" s="629">
        <f>(D314/D309-1)*100</f>
        <v>0.34782608695651529</v>
      </c>
      <c r="F314" s="626"/>
      <c r="G314" s="626"/>
      <c r="H314" s="626"/>
      <c r="I314" s="610" t="s">
        <v>105</v>
      </c>
      <c r="J314" s="627" t="s">
        <v>90</v>
      </c>
      <c r="K314" s="1168">
        <v>0</v>
      </c>
      <c r="L314" s="626"/>
    </row>
    <row r="315" spans="1:14" ht="10.5" customHeight="1" x14ac:dyDescent="0.2">
      <c r="A315" s="610" t="s">
        <v>106</v>
      </c>
      <c r="B315" s="627" t="s">
        <v>91</v>
      </c>
      <c r="C315" s="627">
        <f>C314+1</f>
        <v>107</v>
      </c>
      <c r="D315" s="890">
        <f>D314+K315</f>
        <v>1156</v>
      </c>
      <c r="E315" s="629">
        <f>(D315/D310-1)*100</f>
        <v>8.658008658009031E-2</v>
      </c>
      <c r="F315" s="626"/>
      <c r="G315" s="626"/>
      <c r="H315" s="626"/>
      <c r="I315" s="610" t="s">
        <v>106</v>
      </c>
      <c r="J315" s="627" t="s">
        <v>91</v>
      </c>
      <c r="K315" s="1168">
        <v>2</v>
      </c>
      <c r="L315" s="626"/>
    </row>
    <row r="316" spans="1:14" ht="10.5" customHeight="1" x14ac:dyDescent="0.2">
      <c r="A316" s="610" t="s">
        <v>107</v>
      </c>
      <c r="B316" s="627" t="s">
        <v>92</v>
      </c>
      <c r="C316" s="627">
        <f>C315+1</f>
        <v>108</v>
      </c>
      <c r="D316" s="975">
        <f>D315+K316</f>
        <v>1158</v>
      </c>
      <c r="E316" s="629">
        <f>(D316/D311-1)*100</f>
        <v>0.34662045060658286</v>
      </c>
      <c r="F316" s="626"/>
      <c r="G316" s="626"/>
      <c r="H316" s="626"/>
      <c r="I316" s="610" t="s">
        <v>107</v>
      </c>
      <c r="J316" s="627" t="s">
        <v>227</v>
      </c>
      <c r="K316" s="1299">
        <v>2</v>
      </c>
      <c r="L316" s="626"/>
    </row>
    <row r="317" spans="1:14" s="1" customFormat="1" ht="10.5" customHeight="1" x14ac:dyDescent="0.2">
      <c r="A317" s="1116">
        <f>A312+1</f>
        <v>2018</v>
      </c>
      <c r="B317" s="1117"/>
      <c r="C317" s="1117"/>
      <c r="D317" s="1118"/>
      <c r="E317" s="11"/>
      <c r="F317" s="1119"/>
      <c r="G317" s="1119"/>
      <c r="H317" s="1119"/>
      <c r="I317" s="1116">
        <f>A317</f>
        <v>2018</v>
      </c>
      <c r="J317" s="1117"/>
      <c r="K317" s="1119"/>
      <c r="L317" s="1119"/>
    </row>
    <row r="318" spans="1:14" s="1" customFormat="1" ht="10.5" customHeight="1" x14ac:dyDescent="0.2">
      <c r="A318" s="1116" t="s">
        <v>104</v>
      </c>
      <c r="B318" s="1120" t="s">
        <v>89</v>
      </c>
      <c r="C318" s="1117">
        <f>C316+1</f>
        <v>109</v>
      </c>
      <c r="D318" s="1121">
        <f>D316+K318</f>
        <v>1160</v>
      </c>
      <c r="E318" s="12">
        <f>(D318/D313-1)*100</f>
        <v>0.5199306759098743</v>
      </c>
      <c r="F318" s="1119"/>
      <c r="G318" s="1119"/>
      <c r="H318" s="1119"/>
      <c r="I318" s="1116" t="s">
        <v>104</v>
      </c>
      <c r="J318" s="1117" t="s">
        <v>89</v>
      </c>
      <c r="K318" s="1167">
        <v>2</v>
      </c>
      <c r="L318" s="1119"/>
    </row>
    <row r="319" spans="1:14" s="1" customFormat="1" ht="10.5" customHeight="1" x14ac:dyDescent="0.2">
      <c r="A319" s="1116" t="s">
        <v>105</v>
      </c>
      <c r="B319" s="1120" t="s">
        <v>90</v>
      </c>
      <c r="C319" s="1117">
        <f>C318+1</f>
        <v>110</v>
      </c>
      <c r="D319" s="1122">
        <f>D318+K319</f>
        <v>1162</v>
      </c>
      <c r="E319" s="12">
        <f>(D319/D314-1)*100</f>
        <v>0.69324090121316573</v>
      </c>
      <c r="F319" s="1119"/>
      <c r="G319" s="1119"/>
      <c r="H319" s="1119"/>
      <c r="I319" s="1116" t="s">
        <v>105</v>
      </c>
      <c r="J319" s="1117" t="s">
        <v>90</v>
      </c>
      <c r="K319" s="1167">
        <v>2</v>
      </c>
      <c r="L319" s="1119"/>
    </row>
    <row r="320" spans="1:14" s="1" customFormat="1" ht="10.5" customHeight="1" x14ac:dyDescent="0.2">
      <c r="A320" s="1116" t="s">
        <v>106</v>
      </c>
      <c r="B320" s="1117" t="s">
        <v>91</v>
      </c>
      <c r="C320" s="1117">
        <f>C319+1</f>
        <v>111</v>
      </c>
      <c r="D320" s="1123">
        <f>D319+K320</f>
        <v>1163</v>
      </c>
      <c r="E320" s="12">
        <f>(D320/D315-1)*100</f>
        <v>0.60553633217992342</v>
      </c>
      <c r="F320" s="1119"/>
      <c r="G320" s="1119"/>
      <c r="H320" s="1119"/>
      <c r="I320" s="1116" t="s">
        <v>106</v>
      </c>
      <c r="J320" s="1117" t="s">
        <v>91</v>
      </c>
      <c r="K320" s="1167">
        <v>1</v>
      </c>
      <c r="L320" s="1119"/>
    </row>
    <row r="321" spans="1:12" s="1" customFormat="1" ht="10.5" customHeight="1" x14ac:dyDescent="0.2">
      <c r="A321" s="1116" t="s">
        <v>107</v>
      </c>
      <c r="B321" s="1117" t="s">
        <v>92</v>
      </c>
      <c r="C321" s="1117">
        <f>C320+1</f>
        <v>112</v>
      </c>
      <c r="D321" s="1123">
        <f>D320+K321</f>
        <v>1163</v>
      </c>
      <c r="E321" s="12">
        <f>(D321/D316-1)*100</f>
        <v>0.43177892918826455</v>
      </c>
      <c r="F321" s="1119"/>
      <c r="G321" s="1119"/>
      <c r="H321" s="1119"/>
      <c r="I321" s="1116" t="s">
        <v>107</v>
      </c>
      <c r="J321" s="1117" t="s">
        <v>227</v>
      </c>
      <c r="K321" s="1167">
        <v>0</v>
      </c>
      <c r="L321" s="1119"/>
    </row>
    <row r="322" spans="1:12" s="1" customFormat="1" ht="10.5" customHeight="1" x14ac:dyDescent="0.2">
      <c r="A322" s="1116"/>
      <c r="B322" s="1117"/>
      <c r="C322" s="1117"/>
      <c r="D322" s="1119"/>
      <c r="E322" s="1119"/>
      <c r="F322" s="1119"/>
      <c r="G322" s="1119"/>
      <c r="H322" s="1119"/>
      <c r="I322" s="1119"/>
      <c r="J322" s="1119"/>
      <c r="K322" s="1119">
        <v>0</v>
      </c>
      <c r="L322" s="1119"/>
    </row>
    <row r="323" spans="1:12" ht="10.5" customHeight="1" x14ac:dyDescent="0.2">
      <c r="A323" s="610"/>
      <c r="B323" s="627"/>
      <c r="C323" s="627"/>
      <c r="D323" s="626"/>
      <c r="E323" s="626"/>
      <c r="F323" s="626"/>
      <c r="G323" s="626"/>
      <c r="H323" s="626"/>
      <c r="I323" s="626"/>
      <c r="J323" s="626"/>
      <c r="K323" s="631"/>
      <c r="L323" s="626"/>
    </row>
    <row r="324" spans="1:12" ht="10.5" customHeight="1" x14ac:dyDescent="0.2">
      <c r="A324" s="610"/>
      <c r="B324" s="627"/>
      <c r="C324" s="627"/>
      <c r="D324" s="626"/>
      <c r="E324" s="626"/>
      <c r="F324" s="626"/>
      <c r="G324" s="626"/>
      <c r="H324" s="626"/>
      <c r="I324" s="626"/>
      <c r="J324" s="626"/>
      <c r="K324" s="631"/>
      <c r="L324" s="626"/>
    </row>
    <row r="325" spans="1:12" ht="10.5" customHeight="1" x14ac:dyDescent="0.2">
      <c r="A325" s="610"/>
      <c r="B325" s="627"/>
      <c r="C325" s="627"/>
      <c r="D325" s="626"/>
      <c r="E325" s="626"/>
      <c r="F325" s="626"/>
      <c r="G325" s="626"/>
      <c r="H325" s="626"/>
      <c r="I325" s="626"/>
      <c r="J325" s="626"/>
      <c r="K325" s="631"/>
      <c r="L325" s="626"/>
    </row>
    <row r="326" spans="1:12" ht="10.5" customHeight="1" x14ac:dyDescent="0.2">
      <c r="A326" s="610"/>
      <c r="B326" s="627"/>
      <c r="C326" s="627"/>
      <c r="D326" s="615" t="s">
        <v>466</v>
      </c>
      <c r="E326" s="616"/>
      <c r="F326" s="621" t="s">
        <v>232</v>
      </c>
      <c r="G326" s="626"/>
      <c r="H326" s="626"/>
      <c r="I326" s="626"/>
      <c r="J326" s="626"/>
      <c r="K326" s="631"/>
      <c r="L326" s="626"/>
    </row>
    <row r="327" spans="1:12" ht="10.5" customHeight="1" x14ac:dyDescent="0.2">
      <c r="A327" s="610" t="s">
        <v>461</v>
      </c>
      <c r="B327" s="610" t="s">
        <v>217</v>
      </c>
      <c r="C327" s="627"/>
      <c r="D327" s="610" t="s">
        <v>230</v>
      </c>
      <c r="E327" s="620" t="s">
        <v>464</v>
      </c>
      <c r="F327" s="626"/>
      <c r="G327" s="626"/>
      <c r="H327" s="626"/>
      <c r="I327" s="626"/>
      <c r="J327" s="626"/>
      <c r="K327" s="631"/>
      <c r="L327" s="626"/>
    </row>
    <row r="328" spans="1:12" ht="10.5" hidden="1" customHeight="1" outlineLevel="1" x14ac:dyDescent="0.2">
      <c r="A328" s="610">
        <v>1991</v>
      </c>
      <c r="B328" s="612"/>
      <c r="C328" s="627"/>
      <c r="D328" s="626"/>
      <c r="E328" s="626"/>
      <c r="F328" s="626"/>
      <c r="G328" s="626"/>
      <c r="H328" s="626"/>
      <c r="I328" s="626"/>
      <c r="J328" s="626"/>
      <c r="K328" s="631"/>
      <c r="L328" s="626"/>
    </row>
    <row r="329" spans="1:12" ht="10.5" hidden="1" customHeight="1" outlineLevel="1" x14ac:dyDescent="0.2">
      <c r="A329" s="610" t="s">
        <v>104</v>
      </c>
      <c r="B329" s="627" t="s">
        <v>218</v>
      </c>
      <c r="C329" s="627"/>
      <c r="D329" s="643">
        <v>4345</v>
      </c>
      <c r="E329" s="629"/>
      <c r="F329" s="626"/>
      <c r="G329" s="626"/>
      <c r="H329" s="626"/>
      <c r="I329" s="626"/>
      <c r="J329" s="626"/>
      <c r="K329" s="631"/>
      <c r="L329" s="626"/>
    </row>
    <row r="330" spans="1:12" ht="10.5" hidden="1" customHeight="1" outlineLevel="1" x14ac:dyDescent="0.2">
      <c r="A330" s="610"/>
      <c r="B330" s="627" t="s">
        <v>219</v>
      </c>
      <c r="C330" s="627"/>
      <c r="D330" s="643">
        <v>4493</v>
      </c>
      <c r="E330" s="630"/>
      <c r="F330" s="626"/>
      <c r="G330" s="626"/>
      <c r="H330" s="626"/>
      <c r="I330" s="626"/>
      <c r="J330" s="626"/>
      <c r="K330" s="631"/>
      <c r="L330" s="626"/>
    </row>
    <row r="331" spans="1:12" ht="10.5" hidden="1" customHeight="1" outlineLevel="1" x14ac:dyDescent="0.2">
      <c r="A331" s="610"/>
      <c r="B331" s="627" t="s">
        <v>220</v>
      </c>
      <c r="C331" s="627">
        <v>101</v>
      </c>
      <c r="D331" s="643">
        <v>4493</v>
      </c>
      <c r="E331" s="630"/>
      <c r="F331" s="626"/>
      <c r="G331" s="626"/>
      <c r="H331" s="626"/>
      <c r="I331" s="626"/>
      <c r="J331" s="626"/>
      <c r="K331" s="631"/>
      <c r="L331" s="626"/>
    </row>
    <row r="332" spans="1:12" ht="10.5" hidden="1" customHeight="1" outlineLevel="1" x14ac:dyDescent="0.2">
      <c r="A332" s="610" t="s">
        <v>105</v>
      </c>
      <c r="B332" s="627" t="s">
        <v>221</v>
      </c>
      <c r="C332" s="627"/>
      <c r="D332" s="643">
        <v>4493</v>
      </c>
      <c r="E332" s="632"/>
      <c r="F332" s="626"/>
      <c r="G332" s="626"/>
      <c r="H332" s="626"/>
      <c r="I332" s="626"/>
      <c r="J332" s="626"/>
      <c r="K332" s="631"/>
      <c r="L332" s="626"/>
    </row>
    <row r="333" spans="1:12" ht="10.5" hidden="1" customHeight="1" outlineLevel="1" x14ac:dyDescent="0.2">
      <c r="A333" s="610"/>
      <c r="B333" s="627" t="s">
        <v>222</v>
      </c>
      <c r="C333" s="627"/>
      <c r="D333" s="643">
        <v>4493</v>
      </c>
      <c r="E333" s="623"/>
      <c r="F333" s="626"/>
      <c r="G333" s="626"/>
      <c r="H333" s="626"/>
      <c r="I333" s="626"/>
      <c r="J333" s="626"/>
      <c r="K333" s="631"/>
      <c r="L333" s="626"/>
    </row>
    <row r="334" spans="1:12" ht="10.5" hidden="1" customHeight="1" outlineLevel="1" x14ac:dyDescent="0.2">
      <c r="A334" s="610"/>
      <c r="B334" s="627" t="s">
        <v>223</v>
      </c>
      <c r="C334" s="627">
        <f>C331+1</f>
        <v>102</v>
      </c>
      <c r="D334" s="643">
        <v>4493</v>
      </c>
      <c r="E334" s="623"/>
      <c r="F334" s="626"/>
      <c r="G334" s="626"/>
      <c r="H334" s="626"/>
      <c r="I334" s="626"/>
      <c r="J334" s="626"/>
      <c r="K334" s="631"/>
      <c r="L334" s="626"/>
    </row>
    <row r="335" spans="1:12" ht="10.5" hidden="1" customHeight="1" outlineLevel="1" x14ac:dyDescent="0.2">
      <c r="A335" s="610" t="s">
        <v>106</v>
      </c>
      <c r="B335" s="627" t="s">
        <v>224</v>
      </c>
      <c r="C335" s="627"/>
      <c r="D335" s="643">
        <v>4640</v>
      </c>
      <c r="E335" s="632"/>
      <c r="F335" s="626"/>
      <c r="G335" s="626"/>
      <c r="H335" s="626"/>
      <c r="I335" s="626"/>
      <c r="J335" s="626"/>
      <c r="K335" s="626"/>
      <c r="L335" s="626"/>
    </row>
    <row r="336" spans="1:12" ht="10.5" hidden="1" customHeight="1" outlineLevel="1" x14ac:dyDescent="0.2">
      <c r="A336" s="610"/>
      <c r="B336" s="627" t="s">
        <v>225</v>
      </c>
      <c r="C336" s="627"/>
      <c r="D336" s="643">
        <v>4640</v>
      </c>
      <c r="E336" s="623"/>
      <c r="F336" s="626"/>
      <c r="G336" s="626"/>
      <c r="H336" s="626"/>
      <c r="I336" s="626"/>
      <c r="J336" s="626"/>
      <c r="K336" s="626"/>
      <c r="L336" s="626"/>
    </row>
    <row r="337" spans="1:12" ht="10.5" hidden="1" customHeight="1" outlineLevel="1" x14ac:dyDescent="0.2">
      <c r="A337" s="610"/>
      <c r="B337" s="627" t="s">
        <v>226</v>
      </c>
      <c r="C337" s="627">
        <f>C334+1</f>
        <v>103</v>
      </c>
      <c r="D337" s="643">
        <v>5152</v>
      </c>
      <c r="E337" s="623"/>
      <c r="F337" s="626"/>
      <c r="G337" s="626"/>
      <c r="H337" s="626"/>
      <c r="I337" s="626"/>
      <c r="J337" s="626"/>
      <c r="K337" s="626"/>
      <c r="L337" s="626"/>
    </row>
    <row r="338" spans="1:12" ht="10.5" hidden="1" customHeight="1" outlineLevel="1" x14ac:dyDescent="0.2">
      <c r="A338" s="610" t="s">
        <v>107</v>
      </c>
      <c r="B338" s="627" t="s">
        <v>227</v>
      </c>
      <c r="C338" s="627"/>
      <c r="D338" s="643">
        <v>5152</v>
      </c>
      <c r="E338" s="632"/>
      <c r="F338" s="626"/>
      <c r="G338" s="626"/>
      <c r="H338" s="626"/>
      <c r="I338" s="626"/>
      <c r="J338" s="626"/>
      <c r="K338" s="626"/>
      <c r="L338" s="626"/>
    </row>
    <row r="339" spans="1:12" ht="10.5" hidden="1" customHeight="1" outlineLevel="1" x14ac:dyDescent="0.2">
      <c r="A339" s="610"/>
      <c r="B339" s="627" t="s">
        <v>228</v>
      </c>
      <c r="C339" s="627"/>
      <c r="D339" s="643">
        <v>5152</v>
      </c>
      <c r="E339" s="633"/>
      <c r="F339" s="626"/>
      <c r="G339" s="626"/>
      <c r="H339" s="626"/>
      <c r="I339" s="626"/>
      <c r="J339" s="626"/>
      <c r="K339" s="626"/>
      <c r="L339" s="626"/>
    </row>
    <row r="340" spans="1:12" ht="10.5" hidden="1" customHeight="1" outlineLevel="1" x14ac:dyDescent="0.2">
      <c r="A340" s="610"/>
      <c r="B340" s="627" t="s">
        <v>229</v>
      </c>
      <c r="C340" s="627">
        <f>C337+1</f>
        <v>104</v>
      </c>
      <c r="D340" s="643">
        <v>5139</v>
      </c>
      <c r="E340" s="623"/>
      <c r="F340" s="626"/>
      <c r="G340" s="626"/>
      <c r="H340" s="626"/>
      <c r="I340" s="626"/>
      <c r="J340" s="626"/>
      <c r="K340" s="626"/>
      <c r="L340" s="626"/>
    </row>
    <row r="341" spans="1:12" ht="10.5" hidden="1" customHeight="1" outlineLevel="1" x14ac:dyDescent="0.2">
      <c r="A341" s="610">
        <f>A328+1</f>
        <v>1992</v>
      </c>
      <c r="B341" s="627"/>
      <c r="C341" s="627"/>
      <c r="D341" s="634"/>
      <c r="E341" s="635"/>
      <c r="F341" s="626"/>
      <c r="G341" s="626"/>
      <c r="H341" s="626"/>
      <c r="I341" s="626"/>
      <c r="J341" s="626"/>
      <c r="K341" s="626"/>
      <c r="L341" s="626"/>
    </row>
    <row r="342" spans="1:12" ht="10.5" hidden="1" customHeight="1" outlineLevel="1" x14ac:dyDescent="0.2">
      <c r="A342" s="610" t="s">
        <v>104</v>
      </c>
      <c r="B342" s="627" t="s">
        <v>218</v>
      </c>
      <c r="C342" s="627"/>
      <c r="D342" s="643">
        <v>5139</v>
      </c>
      <c r="E342" s="629">
        <f t="shared" ref="E342:E353" si="42">(D342/D329-1)*100</f>
        <v>18.273878020713475</v>
      </c>
      <c r="F342" s="626"/>
      <c r="G342" s="626"/>
      <c r="H342" s="626"/>
      <c r="I342" s="626"/>
      <c r="J342" s="626"/>
      <c r="K342" s="626"/>
      <c r="L342" s="626"/>
    </row>
    <row r="343" spans="1:12" ht="10.5" hidden="1" customHeight="1" outlineLevel="1" x14ac:dyDescent="0.2">
      <c r="A343" s="610"/>
      <c r="B343" s="627" t="s">
        <v>219</v>
      </c>
      <c r="C343" s="627"/>
      <c r="D343" s="643">
        <v>5214</v>
      </c>
      <c r="E343" s="629">
        <f t="shared" si="42"/>
        <v>16.04718450923659</v>
      </c>
      <c r="F343" s="626"/>
      <c r="G343" s="626"/>
      <c r="H343" s="626"/>
      <c r="I343" s="626"/>
      <c r="J343" s="626"/>
      <c r="K343" s="626"/>
      <c r="L343" s="626"/>
    </row>
    <row r="344" spans="1:12" ht="10.5" hidden="1" customHeight="1" outlineLevel="1" x14ac:dyDescent="0.2">
      <c r="A344" s="610"/>
      <c r="B344" s="627" t="s">
        <v>220</v>
      </c>
      <c r="C344" s="627">
        <f>C340+1</f>
        <v>105</v>
      </c>
      <c r="D344" s="643">
        <v>5214</v>
      </c>
      <c r="E344" s="629">
        <f t="shared" si="42"/>
        <v>16.04718450923659</v>
      </c>
      <c r="F344" s="626"/>
      <c r="G344" s="626"/>
      <c r="H344" s="626"/>
      <c r="I344" s="626"/>
      <c r="J344" s="626"/>
      <c r="K344" s="626"/>
      <c r="L344" s="626"/>
    </row>
    <row r="345" spans="1:12" ht="10.5" hidden="1" customHeight="1" outlineLevel="1" x14ac:dyDescent="0.2">
      <c r="A345" s="610" t="s">
        <v>105</v>
      </c>
      <c r="B345" s="627" t="s">
        <v>221</v>
      </c>
      <c r="C345" s="627"/>
      <c r="D345" s="643">
        <v>5237</v>
      </c>
      <c r="E345" s="629">
        <f t="shared" si="42"/>
        <v>16.559091920765635</v>
      </c>
      <c r="F345" s="626"/>
      <c r="G345" s="626"/>
      <c r="H345" s="626"/>
      <c r="I345" s="626"/>
      <c r="J345" s="626"/>
      <c r="K345" s="626"/>
      <c r="L345" s="626"/>
    </row>
    <row r="346" spans="1:12" ht="10.5" hidden="1" customHeight="1" outlineLevel="1" x14ac:dyDescent="0.2">
      <c r="A346" s="610"/>
      <c r="B346" s="627" t="s">
        <v>222</v>
      </c>
      <c r="C346" s="627"/>
      <c r="D346" s="643">
        <v>5237</v>
      </c>
      <c r="E346" s="629">
        <f t="shared" si="42"/>
        <v>16.559091920765635</v>
      </c>
      <c r="F346" s="626"/>
      <c r="G346" s="626"/>
      <c r="H346" s="626"/>
      <c r="I346" s="626"/>
      <c r="J346" s="626"/>
      <c r="K346" s="626"/>
      <c r="L346" s="626"/>
    </row>
    <row r="347" spans="1:12" ht="10.5" hidden="1" customHeight="1" outlineLevel="1" x14ac:dyDescent="0.2">
      <c r="A347" s="610"/>
      <c r="B347" s="627" t="s">
        <v>223</v>
      </c>
      <c r="C347" s="627">
        <f>C344+1</f>
        <v>106</v>
      </c>
      <c r="D347" s="643">
        <v>5389</v>
      </c>
      <c r="E347" s="629">
        <f t="shared" si="42"/>
        <v>19.942132205653241</v>
      </c>
      <c r="F347" s="626"/>
      <c r="G347" s="626"/>
      <c r="H347" s="626"/>
      <c r="I347" s="626"/>
      <c r="J347" s="626"/>
      <c r="K347" s="626"/>
      <c r="L347" s="626"/>
    </row>
    <row r="348" spans="1:12" ht="10.5" hidden="1" customHeight="1" outlineLevel="1" x14ac:dyDescent="0.2">
      <c r="A348" s="610" t="s">
        <v>106</v>
      </c>
      <c r="B348" s="627" t="s">
        <v>224</v>
      </c>
      <c r="C348" s="627"/>
      <c r="D348" s="643">
        <v>5389</v>
      </c>
      <c r="E348" s="629">
        <f t="shared" si="42"/>
        <v>16.142241379310352</v>
      </c>
      <c r="F348" s="626"/>
      <c r="G348" s="626"/>
      <c r="H348" s="626"/>
      <c r="I348" s="626"/>
      <c r="J348" s="626"/>
      <c r="K348" s="626"/>
      <c r="L348" s="626"/>
    </row>
    <row r="349" spans="1:12" ht="10.5" hidden="1" customHeight="1" outlineLevel="1" x14ac:dyDescent="0.2">
      <c r="A349" s="610"/>
      <c r="B349" s="627" t="s">
        <v>225</v>
      </c>
      <c r="C349" s="627"/>
      <c r="D349" s="643">
        <v>5408</v>
      </c>
      <c r="E349" s="629">
        <f t="shared" si="42"/>
        <v>16.551724137931046</v>
      </c>
      <c r="F349" s="626"/>
      <c r="G349" s="626"/>
      <c r="H349" s="626"/>
      <c r="I349" s="626"/>
      <c r="J349" s="626"/>
      <c r="K349" s="626"/>
      <c r="L349" s="626"/>
    </row>
    <row r="350" spans="1:12" ht="10.5" hidden="1" customHeight="1" outlineLevel="1" x14ac:dyDescent="0.2">
      <c r="A350" s="610"/>
      <c r="B350" s="627" t="s">
        <v>226</v>
      </c>
      <c r="C350" s="627">
        <f>C347+1</f>
        <v>107</v>
      </c>
      <c r="D350" s="643">
        <v>5643</v>
      </c>
      <c r="E350" s="629">
        <f t="shared" si="42"/>
        <v>9.5302795031055876</v>
      </c>
      <c r="F350" s="626"/>
      <c r="G350" s="626"/>
      <c r="H350" s="626"/>
      <c r="I350" s="626"/>
      <c r="J350" s="626"/>
      <c r="K350" s="626"/>
      <c r="L350" s="626"/>
    </row>
    <row r="351" spans="1:12" ht="10.5" hidden="1" customHeight="1" outlineLevel="1" x14ac:dyDescent="0.2">
      <c r="A351" s="610" t="s">
        <v>107</v>
      </c>
      <c r="B351" s="627" t="s">
        <v>227</v>
      </c>
      <c r="C351" s="627"/>
      <c r="D351" s="643">
        <v>5704</v>
      </c>
      <c r="E351" s="629">
        <f t="shared" si="42"/>
        <v>10.714285714285721</v>
      </c>
      <c r="F351" s="626"/>
      <c r="G351" s="626"/>
      <c r="H351" s="626"/>
      <c r="I351" s="626"/>
      <c r="J351" s="626"/>
      <c r="K351" s="626"/>
      <c r="L351" s="626"/>
    </row>
    <row r="352" spans="1:12" ht="10.5" hidden="1" customHeight="1" outlineLevel="1" x14ac:dyDescent="0.2">
      <c r="A352" s="610"/>
      <c r="B352" s="627" t="s">
        <v>228</v>
      </c>
      <c r="C352" s="627"/>
      <c r="D352" s="643">
        <v>5704</v>
      </c>
      <c r="E352" s="629">
        <f t="shared" si="42"/>
        <v>10.714285714285721</v>
      </c>
      <c r="F352" s="626"/>
      <c r="G352" s="626"/>
      <c r="H352" s="626"/>
      <c r="I352" s="626"/>
      <c r="J352" s="626"/>
      <c r="K352" s="626"/>
      <c r="L352" s="626"/>
    </row>
    <row r="353" spans="1:12" ht="10.5" hidden="1" customHeight="1" outlineLevel="1" x14ac:dyDescent="0.2">
      <c r="A353" s="610"/>
      <c r="B353" s="627" t="s">
        <v>229</v>
      </c>
      <c r="C353" s="627">
        <f>C350+1</f>
        <v>108</v>
      </c>
      <c r="D353" s="643">
        <v>5658</v>
      </c>
      <c r="E353" s="629">
        <f t="shared" si="42"/>
        <v>10.099241097489786</v>
      </c>
      <c r="F353" s="626"/>
      <c r="G353" s="626"/>
      <c r="H353" s="626"/>
      <c r="I353" s="626"/>
      <c r="J353" s="626"/>
      <c r="K353" s="626"/>
      <c r="L353" s="626"/>
    </row>
    <row r="354" spans="1:12" ht="10.5" hidden="1" customHeight="1" outlineLevel="1" x14ac:dyDescent="0.2">
      <c r="A354" s="610">
        <f>A341+1</f>
        <v>1993</v>
      </c>
      <c r="B354" s="627"/>
      <c r="C354" s="627"/>
      <c r="D354" s="643"/>
      <c r="E354" s="629"/>
      <c r="F354" s="626"/>
      <c r="G354" s="626"/>
      <c r="H354" s="626"/>
      <c r="I354" s="626"/>
      <c r="J354" s="626"/>
      <c r="K354" s="626"/>
      <c r="L354" s="626"/>
    </row>
    <row r="355" spans="1:12" ht="10.5" hidden="1" customHeight="1" outlineLevel="1" x14ac:dyDescent="0.2">
      <c r="A355" s="610" t="s">
        <v>104</v>
      </c>
      <c r="B355" s="627" t="s">
        <v>218</v>
      </c>
      <c r="C355" s="627"/>
      <c r="D355" s="643">
        <v>5658</v>
      </c>
      <c r="E355" s="629">
        <f t="shared" ref="E355:E366" si="43">(D355/D342-1)*100</f>
        <v>10.099241097489786</v>
      </c>
      <c r="F355" s="626"/>
      <c r="G355" s="626"/>
      <c r="H355" s="626"/>
      <c r="I355" s="626"/>
      <c r="J355" s="626"/>
      <c r="K355" s="626"/>
      <c r="L355" s="626"/>
    </row>
    <row r="356" spans="1:12" ht="10.5" hidden="1" customHeight="1" outlineLevel="1" x14ac:dyDescent="0.2">
      <c r="A356" s="610"/>
      <c r="B356" s="627" t="s">
        <v>219</v>
      </c>
      <c r="C356" s="627"/>
      <c r="D356" s="643">
        <v>5748</v>
      </c>
      <c r="E356" s="629">
        <f t="shared" si="43"/>
        <v>10.241657077100118</v>
      </c>
      <c r="F356" s="626"/>
      <c r="G356" s="626"/>
      <c r="H356" s="626"/>
      <c r="I356" s="626"/>
      <c r="J356" s="626"/>
      <c r="K356" s="626"/>
      <c r="L356" s="626"/>
    </row>
    <row r="357" spans="1:12" ht="10.5" hidden="1" customHeight="1" outlineLevel="1" x14ac:dyDescent="0.2">
      <c r="A357" s="610"/>
      <c r="B357" s="627" t="s">
        <v>220</v>
      </c>
      <c r="C357" s="627">
        <f>C353+1</f>
        <v>109</v>
      </c>
      <c r="D357" s="643">
        <v>5900</v>
      </c>
      <c r="E357" s="629">
        <f t="shared" si="43"/>
        <v>13.15688530878405</v>
      </c>
      <c r="F357" s="626"/>
      <c r="G357" s="626"/>
      <c r="H357" s="626"/>
      <c r="I357" s="626"/>
      <c r="J357" s="626"/>
      <c r="K357" s="626"/>
      <c r="L357" s="626"/>
    </row>
    <row r="358" spans="1:12" ht="10.5" hidden="1" customHeight="1" outlineLevel="1" x14ac:dyDescent="0.2">
      <c r="A358" s="610" t="s">
        <v>105</v>
      </c>
      <c r="B358" s="627" t="s">
        <v>221</v>
      </c>
      <c r="C358" s="627"/>
      <c r="D358" s="643">
        <v>5900</v>
      </c>
      <c r="E358" s="629">
        <f t="shared" si="43"/>
        <v>12.659919801413032</v>
      </c>
      <c r="F358" s="626"/>
      <c r="G358" s="626"/>
      <c r="H358" s="626"/>
      <c r="I358" s="626"/>
      <c r="J358" s="626"/>
      <c r="K358" s="626"/>
      <c r="L358" s="626"/>
    </row>
    <row r="359" spans="1:12" ht="10.5" hidden="1" customHeight="1" outlineLevel="1" x14ac:dyDescent="0.2">
      <c r="A359" s="610"/>
      <c r="B359" s="627" t="s">
        <v>222</v>
      </c>
      <c r="C359" s="627"/>
      <c r="D359" s="643">
        <v>5900</v>
      </c>
      <c r="E359" s="629">
        <f t="shared" si="43"/>
        <v>12.659919801413032</v>
      </c>
      <c r="F359" s="626"/>
      <c r="G359" s="626"/>
      <c r="H359" s="626"/>
      <c r="I359" s="626"/>
      <c r="J359" s="626"/>
      <c r="K359" s="626"/>
      <c r="L359" s="626"/>
    </row>
    <row r="360" spans="1:12" ht="10.5" hidden="1" customHeight="1" outlineLevel="1" x14ac:dyDescent="0.2">
      <c r="A360" s="610"/>
      <c r="B360" s="627" t="s">
        <v>223</v>
      </c>
      <c r="C360" s="627">
        <f>C357+1</f>
        <v>110</v>
      </c>
      <c r="D360" s="643">
        <v>6131</v>
      </c>
      <c r="E360" s="629">
        <f t="shared" si="43"/>
        <v>13.768788272406752</v>
      </c>
      <c r="F360" s="626"/>
      <c r="G360" s="626"/>
      <c r="H360" s="626"/>
      <c r="I360" s="626"/>
      <c r="J360" s="626"/>
      <c r="K360" s="626"/>
      <c r="L360" s="626"/>
    </row>
    <row r="361" spans="1:12" ht="10.5" hidden="1" customHeight="1" outlineLevel="1" x14ac:dyDescent="0.2">
      <c r="A361" s="610" t="s">
        <v>106</v>
      </c>
      <c r="B361" s="627" t="s">
        <v>224</v>
      </c>
      <c r="C361" s="627"/>
      <c r="D361" s="643">
        <f>D360</f>
        <v>6131</v>
      </c>
      <c r="E361" s="629">
        <f t="shared" si="43"/>
        <v>13.768788272406752</v>
      </c>
      <c r="F361" s="626"/>
      <c r="G361" s="626"/>
      <c r="H361" s="626"/>
      <c r="I361" s="626"/>
      <c r="J361" s="626"/>
      <c r="K361" s="626"/>
      <c r="L361" s="626"/>
    </row>
    <row r="362" spans="1:12" ht="10.5" hidden="1" customHeight="1" outlineLevel="1" x14ac:dyDescent="0.2">
      <c r="A362" s="610"/>
      <c r="B362" s="627" t="s">
        <v>225</v>
      </c>
      <c r="C362" s="627"/>
      <c r="D362" s="643">
        <f>D361</f>
        <v>6131</v>
      </c>
      <c r="E362" s="629">
        <f t="shared" si="43"/>
        <v>13.369082840236679</v>
      </c>
      <c r="F362" s="626"/>
      <c r="G362" s="626"/>
      <c r="H362" s="626"/>
      <c r="I362" s="626"/>
      <c r="J362" s="626"/>
      <c r="K362" s="626"/>
      <c r="L362" s="626"/>
    </row>
    <row r="363" spans="1:12" ht="10.5" hidden="1" customHeight="1" outlineLevel="1" x14ac:dyDescent="0.2">
      <c r="A363" s="610"/>
      <c r="B363" s="627" t="s">
        <v>226</v>
      </c>
      <c r="C363" s="627">
        <f>C360+1</f>
        <v>111</v>
      </c>
      <c r="D363" s="643">
        <f>D362</f>
        <v>6131</v>
      </c>
      <c r="E363" s="629">
        <f t="shared" si="43"/>
        <v>8.6478823320928591</v>
      </c>
      <c r="F363" s="626"/>
      <c r="G363" s="626"/>
      <c r="H363" s="626"/>
      <c r="I363" s="626"/>
      <c r="J363" s="626"/>
      <c r="K363" s="626"/>
      <c r="L363" s="626"/>
    </row>
    <row r="364" spans="1:12" ht="10.5" hidden="1" customHeight="1" outlineLevel="1" x14ac:dyDescent="0.2">
      <c r="A364" s="610" t="s">
        <v>107</v>
      </c>
      <c r="B364" s="627" t="s">
        <v>227</v>
      </c>
      <c r="C364" s="627"/>
      <c r="D364" s="643">
        <f>D363+(((D42-D41)*80))</f>
        <v>6531</v>
      </c>
      <c r="E364" s="629">
        <f t="shared" si="43"/>
        <v>14.49859747545581</v>
      </c>
      <c r="F364" s="626"/>
      <c r="G364" s="626"/>
      <c r="H364" s="626"/>
      <c r="I364" s="626"/>
      <c r="J364" s="626"/>
      <c r="K364" s="626"/>
      <c r="L364" s="626"/>
    </row>
    <row r="365" spans="1:12" ht="10.5" hidden="1" customHeight="1" outlineLevel="1" x14ac:dyDescent="0.2">
      <c r="A365" s="610"/>
      <c r="B365" s="627" t="s">
        <v>228</v>
      </c>
      <c r="C365" s="627"/>
      <c r="D365" s="643">
        <f>D364+(((D43-D42)*0.8))</f>
        <v>6531</v>
      </c>
      <c r="E365" s="629">
        <f t="shared" si="43"/>
        <v>14.49859747545581</v>
      </c>
      <c r="F365" s="626"/>
      <c r="G365" s="626"/>
      <c r="H365" s="626"/>
      <c r="I365" s="626"/>
      <c r="J365" s="626"/>
      <c r="K365" s="626"/>
      <c r="L365" s="626"/>
    </row>
    <row r="366" spans="1:12" ht="10.5" hidden="1" customHeight="1" outlineLevel="1" x14ac:dyDescent="0.2">
      <c r="A366" s="610"/>
      <c r="B366" s="627" t="s">
        <v>229</v>
      </c>
      <c r="C366" s="627">
        <f>C363+1</f>
        <v>112</v>
      </c>
      <c r="D366" s="643">
        <f>D365+(((D44-D43)*0.8))</f>
        <v>6531</v>
      </c>
      <c r="E366" s="629">
        <f t="shared" si="43"/>
        <v>15.42948038176033</v>
      </c>
      <c r="F366" s="626"/>
      <c r="G366" s="626"/>
      <c r="H366" s="626"/>
      <c r="I366" s="626"/>
      <c r="J366" s="626"/>
      <c r="K366" s="626"/>
      <c r="L366" s="626"/>
    </row>
    <row r="367" spans="1:12" ht="10.5" hidden="1" customHeight="1" outlineLevel="1" x14ac:dyDescent="0.2">
      <c r="A367" s="610">
        <f>A354+1</f>
        <v>1994</v>
      </c>
      <c r="B367" s="627"/>
      <c r="C367" s="627"/>
      <c r="D367" s="644"/>
      <c r="E367" s="637"/>
      <c r="F367" s="626"/>
      <c r="G367" s="626"/>
      <c r="H367" s="626"/>
      <c r="I367" s="626"/>
      <c r="J367" s="626"/>
      <c r="K367" s="626"/>
      <c r="L367" s="626"/>
    </row>
    <row r="368" spans="1:12" ht="10.5" hidden="1" customHeight="1" outlineLevel="1" x14ac:dyDescent="0.2">
      <c r="A368" s="610" t="s">
        <v>104</v>
      </c>
      <c r="B368" s="627" t="s">
        <v>218</v>
      </c>
      <c r="C368" s="627"/>
      <c r="D368" s="643">
        <f>D366+(((D46-D44)*0.1*83))</f>
        <v>6531</v>
      </c>
      <c r="E368" s="629">
        <f t="shared" ref="E368:E379" si="44">(D368/D355-1)*100</f>
        <v>15.42948038176033</v>
      </c>
      <c r="F368" s="626"/>
      <c r="G368" s="626"/>
      <c r="H368" s="626"/>
      <c r="I368" s="626"/>
      <c r="J368" s="626"/>
      <c r="K368" s="626"/>
      <c r="L368" s="626"/>
    </row>
    <row r="369" spans="1:12" ht="10.5" hidden="1" customHeight="1" outlineLevel="1" x14ac:dyDescent="0.2">
      <c r="A369" s="610"/>
      <c r="B369" s="627" t="s">
        <v>219</v>
      </c>
      <c r="C369" s="627"/>
      <c r="D369" s="643">
        <f>D368+(((D47-D46)*83))</f>
        <v>6697</v>
      </c>
      <c r="E369" s="629">
        <f t="shared" si="44"/>
        <v>16.510090466249139</v>
      </c>
      <c r="F369" s="626"/>
      <c r="G369" s="626"/>
      <c r="H369" s="626"/>
      <c r="I369" s="626"/>
      <c r="J369" s="626"/>
      <c r="K369" s="626"/>
      <c r="L369" s="626"/>
    </row>
    <row r="370" spans="1:12" ht="10.5" hidden="1" customHeight="1" outlineLevel="1" x14ac:dyDescent="0.2">
      <c r="A370" s="610"/>
      <c r="B370" s="627" t="s">
        <v>220</v>
      </c>
      <c r="C370" s="627">
        <f>C366+1</f>
        <v>113</v>
      </c>
      <c r="D370" s="643">
        <f>D369+(((D48-D47)*83))</f>
        <v>6697</v>
      </c>
      <c r="E370" s="629">
        <f t="shared" si="44"/>
        <v>13.50847457627118</v>
      </c>
      <c r="F370" s="626"/>
      <c r="G370" s="626"/>
      <c r="H370" s="626"/>
      <c r="I370" s="626"/>
      <c r="J370" s="626"/>
      <c r="K370" s="626"/>
      <c r="L370" s="626"/>
    </row>
    <row r="371" spans="1:12" ht="10.5" hidden="1" customHeight="1" outlineLevel="1" x14ac:dyDescent="0.2">
      <c r="A371" s="610" t="s">
        <v>105</v>
      </c>
      <c r="B371" s="627" t="s">
        <v>221</v>
      </c>
      <c r="C371" s="627"/>
      <c r="D371" s="643">
        <f t="shared" ref="D371:D377" si="45">D370+(((D49-D48)*1*83))</f>
        <v>6697</v>
      </c>
      <c r="E371" s="629">
        <f t="shared" si="44"/>
        <v>13.50847457627118</v>
      </c>
      <c r="F371" s="626"/>
      <c r="G371" s="626"/>
      <c r="H371" s="626"/>
      <c r="I371" s="626"/>
      <c r="J371" s="626"/>
      <c r="K371" s="626"/>
      <c r="L371" s="626"/>
    </row>
    <row r="372" spans="1:12" ht="10.5" hidden="1" customHeight="1" outlineLevel="1" x14ac:dyDescent="0.2">
      <c r="A372" s="610"/>
      <c r="B372" s="627" t="s">
        <v>222</v>
      </c>
      <c r="C372" s="627"/>
      <c r="D372" s="643">
        <f t="shared" si="45"/>
        <v>6697</v>
      </c>
      <c r="E372" s="629">
        <f t="shared" si="44"/>
        <v>13.50847457627118</v>
      </c>
      <c r="F372" s="626"/>
      <c r="G372" s="626"/>
      <c r="H372" s="626"/>
      <c r="I372" s="626"/>
      <c r="J372" s="626"/>
      <c r="K372" s="626"/>
      <c r="L372" s="626"/>
    </row>
    <row r="373" spans="1:12" ht="10.5" hidden="1" customHeight="1" outlineLevel="1" x14ac:dyDescent="0.2">
      <c r="A373" s="610"/>
      <c r="B373" s="627" t="s">
        <v>223</v>
      </c>
      <c r="C373" s="627">
        <f>C370+1</f>
        <v>114</v>
      </c>
      <c r="D373" s="643">
        <f t="shared" si="45"/>
        <v>6697</v>
      </c>
      <c r="E373" s="629">
        <f t="shared" si="44"/>
        <v>9.2317729571032459</v>
      </c>
      <c r="F373" s="626"/>
      <c r="G373" s="626"/>
      <c r="H373" s="626"/>
      <c r="I373" s="626"/>
      <c r="J373" s="626"/>
      <c r="K373" s="626"/>
      <c r="L373" s="626"/>
    </row>
    <row r="374" spans="1:12" ht="10.5" hidden="1" customHeight="1" outlineLevel="1" x14ac:dyDescent="0.2">
      <c r="A374" s="610" t="s">
        <v>106</v>
      </c>
      <c r="B374" s="627" t="s">
        <v>224</v>
      </c>
      <c r="C374" s="627"/>
      <c r="D374" s="643">
        <f t="shared" si="45"/>
        <v>7029</v>
      </c>
      <c r="E374" s="629">
        <f t="shared" si="44"/>
        <v>14.646876529114339</v>
      </c>
      <c r="F374" s="626"/>
      <c r="G374" s="626"/>
      <c r="H374" s="626"/>
      <c r="I374" s="626"/>
      <c r="J374" s="626"/>
      <c r="K374" s="626"/>
      <c r="L374" s="626"/>
    </row>
    <row r="375" spans="1:12" ht="10.5" hidden="1" customHeight="1" outlineLevel="1" x14ac:dyDescent="0.2">
      <c r="A375" s="610"/>
      <c r="B375" s="627" t="s">
        <v>225</v>
      </c>
      <c r="C375" s="627"/>
      <c r="D375" s="643">
        <f t="shared" si="45"/>
        <v>7029</v>
      </c>
      <c r="E375" s="629">
        <f t="shared" si="44"/>
        <v>14.646876529114339</v>
      </c>
      <c r="F375" s="626"/>
      <c r="G375" s="626"/>
      <c r="H375" s="626"/>
      <c r="I375" s="626"/>
      <c r="J375" s="626"/>
      <c r="K375" s="626"/>
      <c r="L375" s="626"/>
    </row>
    <row r="376" spans="1:12" ht="10.5" hidden="1" customHeight="1" outlineLevel="1" x14ac:dyDescent="0.2">
      <c r="A376" s="610"/>
      <c r="B376" s="627" t="s">
        <v>226</v>
      </c>
      <c r="C376" s="627">
        <f>C373+1</f>
        <v>115</v>
      </c>
      <c r="D376" s="643">
        <f t="shared" si="45"/>
        <v>7278</v>
      </c>
      <c r="E376" s="629">
        <f t="shared" si="44"/>
        <v>18.708204208122648</v>
      </c>
      <c r="F376" s="626"/>
      <c r="G376" s="626"/>
      <c r="H376" s="626"/>
      <c r="I376" s="626"/>
      <c r="J376" s="626"/>
      <c r="K376" s="626"/>
      <c r="L376" s="626"/>
    </row>
    <row r="377" spans="1:12" ht="10.5" hidden="1" customHeight="1" outlineLevel="1" x14ac:dyDescent="0.2">
      <c r="A377" s="610" t="s">
        <v>107</v>
      </c>
      <c r="B377" s="627" t="s">
        <v>227</v>
      </c>
      <c r="C377" s="627"/>
      <c r="D377" s="643">
        <f t="shared" si="45"/>
        <v>8025</v>
      </c>
      <c r="E377" s="629">
        <f t="shared" si="44"/>
        <v>22.875516766192018</v>
      </c>
      <c r="F377" s="626"/>
      <c r="G377" s="626"/>
      <c r="H377" s="626"/>
      <c r="I377" s="626"/>
      <c r="J377" s="626"/>
      <c r="K377" s="626"/>
      <c r="L377" s="626"/>
    </row>
    <row r="378" spans="1:12" ht="10.5" hidden="1" customHeight="1" outlineLevel="1" x14ac:dyDescent="0.2">
      <c r="A378" s="610"/>
      <c r="B378" s="627" t="s">
        <v>228</v>
      </c>
      <c r="C378" s="627"/>
      <c r="D378" s="643">
        <f>D377+(((D56-D55)*1*81))</f>
        <v>8025</v>
      </c>
      <c r="E378" s="629">
        <f t="shared" si="44"/>
        <v>22.875516766192018</v>
      </c>
      <c r="F378" s="626"/>
      <c r="G378" s="626"/>
      <c r="H378" s="626"/>
      <c r="I378" s="626"/>
      <c r="J378" s="626"/>
      <c r="K378" s="626"/>
      <c r="L378" s="626"/>
    </row>
    <row r="379" spans="1:12" ht="10.5" hidden="1" customHeight="1" outlineLevel="1" x14ac:dyDescent="0.2">
      <c r="A379" s="610"/>
      <c r="B379" s="627" t="s">
        <v>229</v>
      </c>
      <c r="C379" s="627">
        <f>C376+1</f>
        <v>116</v>
      </c>
      <c r="D379" s="643">
        <f>D378+(((D57-D56)*1*81))</f>
        <v>8025</v>
      </c>
      <c r="E379" s="629">
        <f t="shared" si="44"/>
        <v>22.875516766192018</v>
      </c>
      <c r="F379" s="626"/>
      <c r="G379" s="626"/>
      <c r="H379" s="626"/>
      <c r="I379" s="626"/>
      <c r="J379" s="626"/>
      <c r="K379" s="626"/>
      <c r="L379" s="626"/>
    </row>
    <row r="380" spans="1:12" ht="10.5" hidden="1" customHeight="1" outlineLevel="1" x14ac:dyDescent="0.2">
      <c r="A380" s="610">
        <f>A367+1</f>
        <v>1995</v>
      </c>
      <c r="B380" s="627"/>
      <c r="C380" s="627"/>
      <c r="D380" s="645"/>
      <c r="E380" s="625"/>
      <c r="F380" s="626"/>
      <c r="G380" s="626"/>
      <c r="H380" s="626"/>
      <c r="I380" s="626"/>
      <c r="J380" s="626"/>
      <c r="K380" s="626"/>
      <c r="L380" s="626"/>
    </row>
    <row r="381" spans="1:12" ht="10.5" hidden="1" customHeight="1" outlineLevel="1" x14ac:dyDescent="0.2">
      <c r="A381" s="610" t="s">
        <v>104</v>
      </c>
      <c r="B381" s="627" t="s">
        <v>218</v>
      </c>
      <c r="C381" s="627"/>
      <c r="D381" s="643">
        <f>D379+(((D59-D57)*0.1*83))</f>
        <v>8025</v>
      </c>
      <c r="E381" s="629">
        <f t="shared" ref="E381:E392" si="46">(D381/D368-1)*100</f>
        <v>22.875516766192018</v>
      </c>
      <c r="F381" s="626"/>
      <c r="G381" s="626"/>
      <c r="H381" s="626"/>
      <c r="I381" s="626"/>
      <c r="J381" s="626"/>
      <c r="K381" s="626"/>
      <c r="L381" s="626"/>
    </row>
    <row r="382" spans="1:12" ht="10.5" hidden="1" customHeight="1" outlineLevel="1" x14ac:dyDescent="0.2">
      <c r="A382" s="610"/>
      <c r="B382" s="627" t="s">
        <v>219</v>
      </c>
      <c r="C382" s="627"/>
      <c r="D382" s="643">
        <f>D381+(((D60-D59)*83))</f>
        <v>8108</v>
      </c>
      <c r="E382" s="629">
        <f t="shared" si="46"/>
        <v>21.06913543377631</v>
      </c>
      <c r="F382" s="626"/>
      <c r="G382" s="626"/>
      <c r="H382" s="626"/>
      <c r="I382" s="626"/>
      <c r="J382" s="626"/>
      <c r="K382" s="626"/>
      <c r="L382" s="626"/>
    </row>
    <row r="383" spans="1:12" ht="10.5" hidden="1" customHeight="1" outlineLevel="1" x14ac:dyDescent="0.2">
      <c r="A383" s="610"/>
      <c r="B383" s="627" t="s">
        <v>220</v>
      </c>
      <c r="C383" s="627">
        <f>C379+1</f>
        <v>117</v>
      </c>
      <c r="D383" s="643">
        <f>D382+(((D61-D60)*83))</f>
        <v>8108</v>
      </c>
      <c r="E383" s="629">
        <f t="shared" si="46"/>
        <v>21.06913543377631</v>
      </c>
      <c r="F383" s="626"/>
      <c r="G383" s="626"/>
      <c r="H383" s="626"/>
      <c r="I383" s="626"/>
      <c r="J383" s="626"/>
      <c r="K383" s="626"/>
      <c r="L383" s="626"/>
    </row>
    <row r="384" spans="1:12" ht="10.5" hidden="1" customHeight="1" outlineLevel="1" x14ac:dyDescent="0.2">
      <c r="A384" s="610" t="s">
        <v>105</v>
      </c>
      <c r="B384" s="627" t="s">
        <v>221</v>
      </c>
      <c r="C384" s="627"/>
      <c r="D384" s="643">
        <f t="shared" ref="D384:D392" si="47">D383+(((D62-D61)*1*83))</f>
        <v>8108</v>
      </c>
      <c r="E384" s="629">
        <f t="shared" si="46"/>
        <v>21.06913543377631</v>
      </c>
      <c r="F384" s="626"/>
      <c r="G384" s="626"/>
      <c r="H384" s="626"/>
      <c r="I384" s="626"/>
      <c r="J384" s="626"/>
      <c r="K384" s="626"/>
      <c r="L384" s="626"/>
    </row>
    <row r="385" spans="1:12" ht="10.5" hidden="1" customHeight="1" outlineLevel="1" x14ac:dyDescent="0.2">
      <c r="A385" s="610"/>
      <c r="B385" s="627" t="s">
        <v>222</v>
      </c>
      <c r="C385" s="627"/>
      <c r="D385" s="643">
        <f t="shared" si="47"/>
        <v>8108</v>
      </c>
      <c r="E385" s="629">
        <f t="shared" si="46"/>
        <v>21.06913543377631</v>
      </c>
      <c r="F385" s="626"/>
      <c r="G385" s="626"/>
      <c r="H385" s="626"/>
      <c r="I385" s="626"/>
      <c r="J385" s="626"/>
      <c r="K385" s="626"/>
      <c r="L385" s="626"/>
    </row>
    <row r="386" spans="1:12" ht="10.5" hidden="1" customHeight="1" outlineLevel="1" x14ac:dyDescent="0.2">
      <c r="A386" s="610"/>
      <c r="B386" s="627" t="s">
        <v>223</v>
      </c>
      <c r="C386" s="627">
        <f>C383+1</f>
        <v>118</v>
      </c>
      <c r="D386" s="643">
        <f t="shared" si="47"/>
        <v>8108</v>
      </c>
      <c r="E386" s="629">
        <f t="shared" si="46"/>
        <v>21.06913543377631</v>
      </c>
      <c r="F386" s="626"/>
      <c r="G386" s="626"/>
      <c r="H386" s="626"/>
      <c r="I386" s="626"/>
      <c r="J386" s="626"/>
      <c r="K386" s="626"/>
      <c r="L386" s="626"/>
    </row>
    <row r="387" spans="1:12" ht="10.5" hidden="1" customHeight="1" outlineLevel="1" x14ac:dyDescent="0.2">
      <c r="A387" s="610" t="s">
        <v>106</v>
      </c>
      <c r="B387" s="627" t="s">
        <v>224</v>
      </c>
      <c r="C387" s="627"/>
      <c r="D387" s="643">
        <f t="shared" si="47"/>
        <v>8772</v>
      </c>
      <c r="E387" s="629">
        <f t="shared" si="46"/>
        <v>24.797268459240286</v>
      </c>
      <c r="F387" s="626"/>
      <c r="G387" s="626"/>
      <c r="H387" s="626"/>
      <c r="I387" s="626"/>
      <c r="J387" s="626"/>
      <c r="K387" s="626"/>
      <c r="L387" s="626"/>
    </row>
    <row r="388" spans="1:12" ht="10.5" hidden="1" customHeight="1" outlineLevel="1" x14ac:dyDescent="0.2">
      <c r="A388" s="610"/>
      <c r="B388" s="627" t="s">
        <v>225</v>
      </c>
      <c r="C388" s="627"/>
      <c r="D388" s="643">
        <f t="shared" si="47"/>
        <v>9104</v>
      </c>
      <c r="E388" s="629">
        <f t="shared" si="46"/>
        <v>29.520557689571781</v>
      </c>
      <c r="F388" s="626"/>
      <c r="G388" s="626"/>
      <c r="H388" s="626"/>
      <c r="I388" s="626"/>
      <c r="J388" s="626"/>
      <c r="K388" s="626"/>
      <c r="L388" s="626"/>
    </row>
    <row r="389" spans="1:12" ht="10.5" hidden="1" customHeight="1" outlineLevel="1" x14ac:dyDescent="0.2">
      <c r="A389" s="610"/>
      <c r="B389" s="627" t="s">
        <v>226</v>
      </c>
      <c r="C389" s="627">
        <f>C386+1</f>
        <v>119</v>
      </c>
      <c r="D389" s="643">
        <f t="shared" si="47"/>
        <v>9685</v>
      </c>
      <c r="E389" s="629">
        <f t="shared" si="46"/>
        <v>33.072272602363299</v>
      </c>
      <c r="F389" s="626"/>
      <c r="G389" s="626"/>
      <c r="H389" s="626"/>
      <c r="I389" s="626"/>
      <c r="J389" s="626"/>
      <c r="K389" s="626"/>
      <c r="L389" s="626"/>
    </row>
    <row r="390" spans="1:12" ht="10.5" hidden="1" customHeight="1" outlineLevel="1" x14ac:dyDescent="0.2">
      <c r="A390" s="610" t="s">
        <v>107</v>
      </c>
      <c r="B390" s="627" t="s">
        <v>227</v>
      </c>
      <c r="C390" s="627"/>
      <c r="D390" s="643">
        <f t="shared" si="47"/>
        <v>9685</v>
      </c>
      <c r="E390" s="629">
        <f t="shared" si="46"/>
        <v>20.685358255451703</v>
      </c>
      <c r="F390" s="626"/>
      <c r="G390" s="626"/>
      <c r="H390" s="626"/>
      <c r="I390" s="626"/>
      <c r="J390" s="626"/>
      <c r="K390" s="626"/>
      <c r="L390" s="626"/>
    </row>
    <row r="391" spans="1:12" ht="10.5" hidden="1" customHeight="1" outlineLevel="1" x14ac:dyDescent="0.2">
      <c r="A391" s="610"/>
      <c r="B391" s="627" t="s">
        <v>228</v>
      </c>
      <c r="C391" s="627"/>
      <c r="D391" s="643">
        <f t="shared" si="47"/>
        <v>9685</v>
      </c>
      <c r="E391" s="629">
        <f t="shared" si="46"/>
        <v>20.685358255451703</v>
      </c>
      <c r="F391" s="626"/>
      <c r="G391" s="626"/>
      <c r="H391" s="626"/>
      <c r="I391" s="626"/>
      <c r="J391" s="626"/>
      <c r="K391" s="626"/>
      <c r="L391" s="626"/>
    </row>
    <row r="392" spans="1:12" ht="10.5" hidden="1" customHeight="1" outlineLevel="1" x14ac:dyDescent="0.2">
      <c r="A392" s="610"/>
      <c r="B392" s="627" t="s">
        <v>229</v>
      </c>
      <c r="C392" s="627">
        <f>C389+1</f>
        <v>120</v>
      </c>
      <c r="D392" s="643">
        <f t="shared" si="47"/>
        <v>9685</v>
      </c>
      <c r="E392" s="629">
        <f t="shared" si="46"/>
        <v>20.685358255451703</v>
      </c>
      <c r="F392" s="626"/>
      <c r="G392" s="626"/>
      <c r="H392" s="626"/>
      <c r="I392" s="626"/>
      <c r="J392" s="626"/>
      <c r="K392" s="626"/>
      <c r="L392" s="626"/>
    </row>
    <row r="393" spans="1:12" ht="10.5" hidden="1" customHeight="1" outlineLevel="1" x14ac:dyDescent="0.2">
      <c r="A393" s="610">
        <f>A380+1</f>
        <v>1996</v>
      </c>
      <c r="B393" s="627"/>
      <c r="C393" s="627"/>
      <c r="D393" s="645"/>
      <c r="E393" s="625"/>
      <c r="F393" s="626"/>
      <c r="G393" s="626"/>
      <c r="H393" s="626"/>
      <c r="I393" s="626"/>
      <c r="J393" s="626"/>
      <c r="K393" s="626"/>
      <c r="L393" s="626"/>
    </row>
    <row r="394" spans="1:12" ht="10.5" hidden="1" customHeight="1" outlineLevel="1" x14ac:dyDescent="0.2">
      <c r="A394" s="610" t="s">
        <v>104</v>
      </c>
      <c r="B394" s="627" t="s">
        <v>218</v>
      </c>
      <c r="C394" s="627"/>
      <c r="D394" s="643">
        <f>D392+(((D72-D70)*0.1*86))</f>
        <v>9685</v>
      </c>
      <c r="E394" s="629">
        <f t="shared" ref="E394:E405" si="48">(D394/D381-1)*100</f>
        <v>20.685358255451703</v>
      </c>
      <c r="F394" s="626"/>
      <c r="G394" s="626"/>
      <c r="H394" s="626"/>
      <c r="I394" s="626"/>
      <c r="J394" s="626"/>
      <c r="K394" s="626"/>
      <c r="L394" s="626"/>
    </row>
    <row r="395" spans="1:12" ht="10.5" hidden="1" customHeight="1" outlineLevel="1" x14ac:dyDescent="0.2">
      <c r="A395" s="610"/>
      <c r="B395" s="627" t="s">
        <v>219</v>
      </c>
      <c r="C395" s="627"/>
      <c r="D395" s="643">
        <f>D394+(((D73-D72)*86))</f>
        <v>10029</v>
      </c>
      <c r="E395" s="629">
        <f t="shared" si="48"/>
        <v>23.692649235323127</v>
      </c>
      <c r="F395" s="626"/>
      <c r="G395" s="626"/>
      <c r="H395" s="626"/>
      <c r="I395" s="626"/>
      <c r="J395" s="626"/>
      <c r="K395" s="626"/>
      <c r="L395" s="626"/>
    </row>
    <row r="396" spans="1:12" ht="10.5" hidden="1" customHeight="1" outlineLevel="1" x14ac:dyDescent="0.2">
      <c r="A396" s="610"/>
      <c r="B396" s="627" t="s">
        <v>220</v>
      </c>
      <c r="C396" s="627">
        <f>C392+1</f>
        <v>121</v>
      </c>
      <c r="D396" s="643">
        <f>D395+(((D74-D73)*86))</f>
        <v>10373</v>
      </c>
      <c r="E396" s="629">
        <f t="shared" si="48"/>
        <v>27.935372471632959</v>
      </c>
      <c r="F396" s="626"/>
      <c r="G396" s="626"/>
      <c r="H396" s="626"/>
      <c r="I396" s="626"/>
      <c r="J396" s="626"/>
      <c r="K396" s="626"/>
      <c r="L396" s="626"/>
    </row>
    <row r="397" spans="1:12" ht="10.5" hidden="1" customHeight="1" outlineLevel="1" x14ac:dyDescent="0.2">
      <c r="A397" s="610" t="s">
        <v>105</v>
      </c>
      <c r="B397" s="627" t="s">
        <v>221</v>
      </c>
      <c r="C397" s="627"/>
      <c r="D397" s="643">
        <f t="shared" ref="D397:D405" si="49">D396+(((D75-D74)*1*86))</f>
        <v>10373</v>
      </c>
      <c r="E397" s="629">
        <f t="shared" si="48"/>
        <v>27.935372471632959</v>
      </c>
      <c r="F397" s="626"/>
      <c r="G397" s="626"/>
      <c r="H397" s="626"/>
      <c r="I397" s="626"/>
      <c r="J397" s="626"/>
      <c r="K397" s="626"/>
      <c r="L397" s="626"/>
    </row>
    <row r="398" spans="1:12" ht="10.5" hidden="1" customHeight="1" outlineLevel="1" x14ac:dyDescent="0.2">
      <c r="A398" s="610"/>
      <c r="B398" s="627" t="s">
        <v>222</v>
      </c>
      <c r="C398" s="627"/>
      <c r="D398" s="643">
        <f t="shared" si="49"/>
        <v>10373</v>
      </c>
      <c r="E398" s="629">
        <f t="shared" si="48"/>
        <v>27.935372471632959</v>
      </c>
      <c r="F398" s="626"/>
      <c r="G398" s="626"/>
      <c r="H398" s="626"/>
      <c r="I398" s="626"/>
      <c r="J398" s="626"/>
      <c r="K398" s="626"/>
      <c r="L398" s="626"/>
    </row>
    <row r="399" spans="1:12" ht="10.5" hidden="1" customHeight="1" outlineLevel="1" x14ac:dyDescent="0.2">
      <c r="A399" s="610"/>
      <c r="B399" s="627" t="s">
        <v>223</v>
      </c>
      <c r="C399" s="627">
        <f>C396+1</f>
        <v>122</v>
      </c>
      <c r="D399" s="643">
        <f t="shared" si="49"/>
        <v>10545</v>
      </c>
      <c r="E399" s="629">
        <f t="shared" si="48"/>
        <v>30.056734089787863</v>
      </c>
      <c r="F399" s="626"/>
      <c r="G399" s="626"/>
      <c r="H399" s="626"/>
      <c r="I399" s="626"/>
      <c r="J399" s="626"/>
      <c r="K399" s="626"/>
      <c r="L399" s="626"/>
    </row>
    <row r="400" spans="1:12" ht="10.5" hidden="1" customHeight="1" outlineLevel="1" x14ac:dyDescent="0.2">
      <c r="A400" s="610" t="s">
        <v>106</v>
      </c>
      <c r="B400" s="627" t="s">
        <v>224</v>
      </c>
      <c r="C400" s="627"/>
      <c r="D400" s="643">
        <f t="shared" si="49"/>
        <v>10545</v>
      </c>
      <c r="E400" s="629">
        <f t="shared" si="48"/>
        <v>20.212038303693582</v>
      </c>
      <c r="F400" s="626"/>
      <c r="G400" s="626"/>
      <c r="H400" s="626"/>
      <c r="I400" s="626"/>
      <c r="J400" s="626"/>
      <c r="K400" s="626"/>
      <c r="L400" s="626"/>
    </row>
    <row r="401" spans="1:12" ht="10.5" hidden="1" customHeight="1" outlineLevel="1" x14ac:dyDescent="0.2">
      <c r="A401" s="610"/>
      <c r="B401" s="627" t="s">
        <v>225</v>
      </c>
      <c r="C401" s="627"/>
      <c r="D401" s="643">
        <f t="shared" si="49"/>
        <v>11147</v>
      </c>
      <c r="E401" s="629">
        <f t="shared" si="48"/>
        <v>22.44068541300528</v>
      </c>
      <c r="F401" s="626"/>
      <c r="G401" s="626"/>
      <c r="H401" s="626"/>
      <c r="I401" s="626"/>
      <c r="J401" s="626"/>
      <c r="K401" s="626"/>
      <c r="L401" s="626"/>
    </row>
    <row r="402" spans="1:12" ht="10.5" hidden="1" customHeight="1" outlineLevel="1" x14ac:dyDescent="0.2">
      <c r="A402" s="610"/>
      <c r="B402" s="627" t="s">
        <v>226</v>
      </c>
      <c r="C402" s="627">
        <f>C399+1</f>
        <v>123</v>
      </c>
      <c r="D402" s="643">
        <f t="shared" si="49"/>
        <v>11577</v>
      </c>
      <c r="E402" s="629">
        <f t="shared" si="48"/>
        <v>19.53536396489417</v>
      </c>
      <c r="F402" s="626"/>
      <c r="G402" s="626"/>
      <c r="H402" s="626"/>
      <c r="I402" s="626"/>
      <c r="J402" s="626"/>
      <c r="K402" s="626"/>
      <c r="L402" s="626"/>
    </row>
    <row r="403" spans="1:12" ht="10.5" hidden="1" customHeight="1" outlineLevel="1" x14ac:dyDescent="0.2">
      <c r="A403" s="610" t="s">
        <v>107</v>
      </c>
      <c r="B403" s="627" t="s">
        <v>227</v>
      </c>
      <c r="C403" s="627"/>
      <c r="D403" s="643">
        <f t="shared" si="49"/>
        <v>11577</v>
      </c>
      <c r="E403" s="629">
        <f t="shared" si="48"/>
        <v>19.53536396489417</v>
      </c>
      <c r="F403" s="626"/>
      <c r="G403" s="626"/>
      <c r="H403" s="626"/>
      <c r="I403" s="626"/>
      <c r="J403" s="626"/>
      <c r="K403" s="626"/>
      <c r="L403" s="626"/>
    </row>
    <row r="404" spans="1:12" ht="10.5" hidden="1" customHeight="1" outlineLevel="1" x14ac:dyDescent="0.2">
      <c r="A404" s="610"/>
      <c r="B404" s="627" t="s">
        <v>228</v>
      </c>
      <c r="C404" s="627"/>
      <c r="D404" s="643">
        <f t="shared" si="49"/>
        <v>11577</v>
      </c>
      <c r="E404" s="629">
        <f t="shared" si="48"/>
        <v>19.53536396489417</v>
      </c>
      <c r="F404" s="626"/>
      <c r="G404" s="626"/>
      <c r="H404" s="626"/>
      <c r="I404" s="626"/>
      <c r="J404" s="626"/>
      <c r="K404" s="626"/>
      <c r="L404" s="626"/>
    </row>
    <row r="405" spans="1:12" ht="10.5" hidden="1" customHeight="1" outlineLevel="1" x14ac:dyDescent="0.2">
      <c r="A405" s="610"/>
      <c r="B405" s="627" t="s">
        <v>229</v>
      </c>
      <c r="C405" s="627">
        <f>C402+1</f>
        <v>124</v>
      </c>
      <c r="D405" s="643">
        <f t="shared" si="49"/>
        <v>11577</v>
      </c>
      <c r="E405" s="629">
        <f t="shared" si="48"/>
        <v>19.53536396489417</v>
      </c>
      <c r="F405" s="626"/>
      <c r="G405" s="626"/>
      <c r="H405" s="626"/>
      <c r="I405" s="626"/>
      <c r="J405" s="626"/>
      <c r="K405" s="626"/>
      <c r="L405" s="626"/>
    </row>
    <row r="406" spans="1:12" ht="10.5" hidden="1" customHeight="1" outlineLevel="1" x14ac:dyDescent="0.2">
      <c r="A406" s="610">
        <f>A393+1</f>
        <v>1997</v>
      </c>
      <c r="B406" s="627"/>
      <c r="C406" s="627"/>
      <c r="D406" s="530"/>
      <c r="E406" s="626"/>
      <c r="F406" s="626"/>
      <c r="G406" s="626"/>
      <c r="H406" s="626"/>
      <c r="I406" s="626"/>
      <c r="J406" s="626"/>
      <c r="K406" s="626"/>
      <c r="L406" s="626"/>
    </row>
    <row r="407" spans="1:12" ht="10.5" hidden="1" customHeight="1" outlineLevel="1" x14ac:dyDescent="0.2">
      <c r="A407" s="610" t="s">
        <v>104</v>
      </c>
      <c r="B407" s="627" t="s">
        <v>218</v>
      </c>
      <c r="C407" s="627"/>
      <c r="D407" s="643">
        <f>D405+(((D85-D83)*0.1*100))</f>
        <v>11577</v>
      </c>
      <c r="E407" s="629">
        <f t="shared" ref="E407:E418" si="50">(D407/D394-1)*100</f>
        <v>19.53536396489417</v>
      </c>
      <c r="F407" s="626"/>
      <c r="G407" s="626"/>
      <c r="H407" s="626"/>
      <c r="I407" s="626"/>
      <c r="J407" s="626"/>
      <c r="K407" s="626"/>
      <c r="L407" s="626"/>
    </row>
    <row r="408" spans="1:12" ht="10.5" hidden="1" customHeight="1" outlineLevel="1" x14ac:dyDescent="0.2">
      <c r="A408" s="610"/>
      <c r="B408" s="627" t="s">
        <v>219</v>
      </c>
      <c r="C408" s="627"/>
      <c r="D408" s="643">
        <f>D407+(((D86-D85)*100))</f>
        <v>12677</v>
      </c>
      <c r="E408" s="629">
        <f t="shared" si="50"/>
        <v>26.403430052846755</v>
      </c>
      <c r="F408" s="626"/>
      <c r="G408" s="626"/>
      <c r="H408" s="626"/>
      <c r="I408" s="626"/>
      <c r="J408" s="626"/>
      <c r="K408" s="626"/>
      <c r="L408" s="626"/>
    </row>
    <row r="409" spans="1:12" ht="10.5" hidden="1" customHeight="1" outlineLevel="1" x14ac:dyDescent="0.2">
      <c r="A409" s="610"/>
      <c r="B409" s="627" t="s">
        <v>220</v>
      </c>
      <c r="C409" s="627">
        <f>C405+1</f>
        <v>125</v>
      </c>
      <c r="D409" s="643">
        <f>D408+(((D87-D86)*100))</f>
        <v>13577</v>
      </c>
      <c r="E409" s="629">
        <f t="shared" si="50"/>
        <v>30.887882001349666</v>
      </c>
      <c r="F409" s="626"/>
      <c r="G409" s="626"/>
      <c r="H409" s="626"/>
      <c r="I409" s="626"/>
      <c r="J409" s="626"/>
      <c r="K409" s="626"/>
      <c r="L409" s="626"/>
    </row>
    <row r="410" spans="1:12" ht="10.5" hidden="1" customHeight="1" outlineLevel="1" x14ac:dyDescent="0.2">
      <c r="A410" s="610" t="s">
        <v>105</v>
      </c>
      <c r="B410" s="627" t="s">
        <v>221</v>
      </c>
      <c r="C410" s="627"/>
      <c r="D410" s="643">
        <f>D409+(((D88-D87)*1*100))</f>
        <v>13577</v>
      </c>
      <c r="E410" s="629">
        <f t="shared" si="50"/>
        <v>30.887882001349666</v>
      </c>
      <c r="F410" s="626"/>
      <c r="G410" s="626"/>
      <c r="H410" s="626"/>
      <c r="I410" s="626"/>
      <c r="J410" s="626"/>
      <c r="K410" s="626"/>
      <c r="L410" s="626"/>
    </row>
    <row r="411" spans="1:12" ht="10.5" hidden="1" customHeight="1" outlineLevel="1" x14ac:dyDescent="0.2">
      <c r="A411" s="610"/>
      <c r="B411" s="627" t="s">
        <v>222</v>
      </c>
      <c r="C411" s="627"/>
      <c r="D411" s="643">
        <f>D410+(((D89-D88)*1*100))</f>
        <v>13577</v>
      </c>
      <c r="E411" s="629">
        <f t="shared" si="50"/>
        <v>30.887882001349666</v>
      </c>
      <c r="F411" s="626"/>
      <c r="G411" s="626"/>
      <c r="H411" s="626"/>
      <c r="I411" s="626"/>
      <c r="J411" s="626"/>
      <c r="K411" s="626"/>
      <c r="L411" s="626"/>
    </row>
    <row r="412" spans="1:12" ht="10.5" hidden="1" customHeight="1" outlineLevel="1" x14ac:dyDescent="0.2">
      <c r="A412" s="610"/>
      <c r="B412" s="627" t="s">
        <v>223</v>
      </c>
      <c r="C412" s="627">
        <f>C409+1</f>
        <v>126</v>
      </c>
      <c r="D412" s="643">
        <f>D411+(((D90-D89)*1*100))</f>
        <v>13777</v>
      </c>
      <c r="E412" s="629">
        <f t="shared" si="50"/>
        <v>30.649596965386451</v>
      </c>
      <c r="F412" s="626"/>
      <c r="G412" s="626"/>
      <c r="H412" s="626"/>
      <c r="I412" s="626"/>
      <c r="J412" s="626"/>
      <c r="K412" s="626"/>
      <c r="L412" s="626"/>
    </row>
    <row r="413" spans="1:12" ht="10.5" hidden="1" customHeight="1" outlineLevel="1" x14ac:dyDescent="0.2">
      <c r="A413" s="610" t="s">
        <v>106</v>
      </c>
      <c r="B413" s="627" t="s">
        <v>224</v>
      </c>
      <c r="C413" s="627"/>
      <c r="D413" s="643">
        <f>D412+(((D91-D90)*1*100))</f>
        <v>13777</v>
      </c>
      <c r="E413" s="629">
        <f t="shared" si="50"/>
        <v>30.649596965386451</v>
      </c>
      <c r="F413" s="626"/>
      <c r="G413" s="626"/>
      <c r="H413" s="626"/>
      <c r="I413" s="626"/>
      <c r="J413" s="626"/>
      <c r="K413" s="626"/>
      <c r="L413" s="626"/>
    </row>
    <row r="414" spans="1:12" ht="10.5" hidden="1" customHeight="1" outlineLevel="1" x14ac:dyDescent="0.2">
      <c r="A414" s="610"/>
      <c r="B414" s="627" t="s">
        <v>225</v>
      </c>
      <c r="C414" s="627"/>
      <c r="D414" s="643">
        <f>D413+(((D92-D91)*1*100))</f>
        <v>13777</v>
      </c>
      <c r="E414" s="629">
        <f t="shared" si="50"/>
        <v>23.593792051673091</v>
      </c>
      <c r="F414" s="626"/>
      <c r="G414" s="626"/>
      <c r="H414" s="626"/>
      <c r="I414" s="626"/>
      <c r="J414" s="626"/>
      <c r="K414" s="626"/>
      <c r="L414" s="626"/>
    </row>
    <row r="415" spans="1:12" ht="10.5" hidden="1" customHeight="1" outlineLevel="1" x14ac:dyDescent="0.2">
      <c r="A415" s="610"/>
      <c r="B415" s="627" t="s">
        <v>226</v>
      </c>
      <c r="C415" s="627">
        <f>C412+1</f>
        <v>127</v>
      </c>
      <c r="D415" s="643">
        <f>D414+(((D93-D92)*1*101.8))</f>
        <v>14795</v>
      </c>
      <c r="E415" s="629">
        <f t="shared" si="50"/>
        <v>27.796493046557824</v>
      </c>
      <c r="F415" s="626"/>
      <c r="G415" s="626"/>
      <c r="H415" s="626"/>
      <c r="I415" s="626"/>
      <c r="J415" s="626"/>
      <c r="K415" s="626"/>
      <c r="L415" s="626"/>
    </row>
    <row r="416" spans="1:12" ht="10.5" hidden="1" customHeight="1" outlineLevel="1" x14ac:dyDescent="0.2">
      <c r="A416" s="610" t="s">
        <v>107</v>
      </c>
      <c r="B416" s="627" t="s">
        <v>227</v>
      </c>
      <c r="C416" s="627"/>
      <c r="D416" s="643">
        <f>D415+(((D94-D93)*1*100))</f>
        <v>14795</v>
      </c>
      <c r="E416" s="629">
        <f t="shared" si="50"/>
        <v>27.796493046557824</v>
      </c>
      <c r="F416" s="626"/>
      <c r="G416" s="626"/>
      <c r="H416" s="626"/>
      <c r="I416" s="626"/>
      <c r="J416" s="626"/>
      <c r="K416" s="626"/>
      <c r="L416" s="626"/>
    </row>
    <row r="417" spans="1:12" ht="10.5" hidden="1" customHeight="1" outlineLevel="1" x14ac:dyDescent="0.2">
      <c r="A417" s="610"/>
      <c r="B417" s="627" t="s">
        <v>228</v>
      </c>
      <c r="C417" s="627"/>
      <c r="D417" s="643">
        <f>D416+(((D95-D94)*1*100))</f>
        <v>14795</v>
      </c>
      <c r="E417" s="629">
        <f t="shared" si="50"/>
        <v>27.796493046557824</v>
      </c>
      <c r="F417" s="626"/>
      <c r="G417" s="626"/>
      <c r="H417" s="626"/>
      <c r="I417" s="626"/>
      <c r="J417" s="626"/>
      <c r="K417" s="626"/>
      <c r="L417" s="626"/>
    </row>
    <row r="418" spans="1:12" ht="10.5" hidden="1" customHeight="1" outlineLevel="1" x14ac:dyDescent="0.2">
      <c r="A418" s="610"/>
      <c r="B418" s="627" t="s">
        <v>229</v>
      </c>
      <c r="C418" s="627">
        <f>C415+1</f>
        <v>128</v>
      </c>
      <c r="D418" s="643">
        <f>D417+(((D96-D95)*1*100))</f>
        <v>14795</v>
      </c>
      <c r="E418" s="629">
        <f t="shared" si="50"/>
        <v>27.796493046557824</v>
      </c>
      <c r="F418" s="626"/>
      <c r="G418" s="626"/>
      <c r="H418" s="626"/>
      <c r="I418" s="626"/>
      <c r="J418" s="626"/>
      <c r="K418" s="626"/>
      <c r="L418" s="626"/>
    </row>
    <row r="419" spans="1:12" ht="10.5" hidden="1" customHeight="1" outlineLevel="1" x14ac:dyDescent="0.2">
      <c r="A419" s="610">
        <f>A406+1</f>
        <v>1998</v>
      </c>
      <c r="B419" s="627"/>
      <c r="C419" s="627"/>
      <c r="D419" s="645"/>
      <c r="E419" s="625"/>
      <c r="F419" s="626"/>
      <c r="G419" s="626"/>
      <c r="H419" s="626"/>
      <c r="I419" s="626"/>
      <c r="J419" s="626"/>
      <c r="K419" s="626"/>
      <c r="L419" s="626"/>
    </row>
    <row r="420" spans="1:12" ht="10.5" hidden="1" customHeight="1" outlineLevel="1" x14ac:dyDescent="0.2">
      <c r="A420" s="610" t="s">
        <v>104</v>
      </c>
      <c r="B420" s="627" t="s">
        <v>218</v>
      </c>
      <c r="C420" s="627"/>
      <c r="D420" s="643">
        <f>D418+(((D98-D96)*0.1*90.3))</f>
        <v>14795</v>
      </c>
      <c r="E420" s="629">
        <f t="shared" ref="E420:E431" si="51">(D420/D407-1)*100</f>
        <v>27.796493046557824</v>
      </c>
      <c r="F420" s="626"/>
      <c r="G420" s="626"/>
      <c r="H420" s="626"/>
      <c r="I420" s="626"/>
      <c r="J420" s="626"/>
      <c r="K420" s="626"/>
      <c r="L420" s="626"/>
    </row>
    <row r="421" spans="1:12" ht="10.5" hidden="1" customHeight="1" outlineLevel="1" x14ac:dyDescent="0.2">
      <c r="A421" s="610"/>
      <c r="B421" s="627" t="s">
        <v>219</v>
      </c>
      <c r="C421" s="627"/>
      <c r="D421" s="643">
        <f>D420+(((D99-D98)*90.3))</f>
        <v>15427.1</v>
      </c>
      <c r="E421" s="629">
        <f t="shared" si="51"/>
        <v>21.693618363966237</v>
      </c>
      <c r="F421" s="626"/>
      <c r="G421" s="626"/>
      <c r="H421" s="626"/>
      <c r="I421" s="626"/>
      <c r="J421" s="626"/>
      <c r="K421" s="626"/>
      <c r="L421" s="626"/>
    </row>
    <row r="422" spans="1:12" ht="10.5" hidden="1" customHeight="1" outlineLevel="1" x14ac:dyDescent="0.2">
      <c r="A422" s="610"/>
      <c r="B422" s="627" t="s">
        <v>220</v>
      </c>
      <c r="C422" s="627">
        <f>C418+1</f>
        <v>129</v>
      </c>
      <c r="D422" s="643">
        <f>D421+(((D100-D99)*90))</f>
        <v>16147.1</v>
      </c>
      <c r="E422" s="629">
        <f t="shared" si="51"/>
        <v>18.929807763128824</v>
      </c>
      <c r="F422" s="626"/>
      <c r="G422" s="626"/>
      <c r="H422" s="626"/>
      <c r="I422" s="626"/>
      <c r="J422" s="626"/>
      <c r="K422" s="626"/>
      <c r="L422" s="626"/>
    </row>
    <row r="423" spans="1:12" ht="10.5" hidden="1" customHeight="1" outlineLevel="1" x14ac:dyDescent="0.2">
      <c r="A423" s="610" t="s">
        <v>105</v>
      </c>
      <c r="B423" s="627" t="s">
        <v>221</v>
      </c>
      <c r="C423" s="627"/>
      <c r="D423" s="643">
        <f>D422+(((D101-D100)*1*94))</f>
        <v>16147.1</v>
      </c>
      <c r="E423" s="629">
        <f t="shared" si="51"/>
        <v>18.929807763128824</v>
      </c>
      <c r="F423" s="626"/>
      <c r="G423" s="626"/>
      <c r="H423" s="626"/>
      <c r="I423" s="626"/>
      <c r="J423" s="626"/>
      <c r="K423" s="626"/>
      <c r="L423" s="626"/>
    </row>
    <row r="424" spans="1:12" ht="10.5" hidden="1" customHeight="1" outlineLevel="1" x14ac:dyDescent="0.2">
      <c r="A424" s="610"/>
      <c r="B424" s="627" t="s">
        <v>222</v>
      </c>
      <c r="C424" s="627"/>
      <c r="D424" s="643">
        <f>D423+(((D102-D101)*1*94))</f>
        <v>16147.1</v>
      </c>
      <c r="E424" s="629">
        <f t="shared" si="51"/>
        <v>18.929807763128824</v>
      </c>
      <c r="F424" s="626"/>
      <c r="G424" s="626"/>
      <c r="H424" s="626"/>
      <c r="I424" s="626"/>
      <c r="J424" s="626"/>
      <c r="K424" s="626"/>
      <c r="L424" s="626"/>
    </row>
    <row r="425" spans="1:12" ht="10.5" hidden="1" customHeight="1" outlineLevel="1" x14ac:dyDescent="0.2">
      <c r="A425" s="610"/>
      <c r="B425" s="627" t="s">
        <v>223</v>
      </c>
      <c r="C425" s="627">
        <f>C422+1</f>
        <v>130</v>
      </c>
      <c r="D425" s="643">
        <f>D424+(((D103-D102)*1*93/5))</f>
        <v>16147.1</v>
      </c>
      <c r="E425" s="629">
        <f t="shared" si="51"/>
        <v>17.203309864266526</v>
      </c>
      <c r="F425" s="626"/>
      <c r="G425" s="626"/>
      <c r="H425" s="626"/>
      <c r="I425" s="626"/>
      <c r="J425" s="626"/>
      <c r="K425" s="626"/>
      <c r="L425" s="626"/>
    </row>
    <row r="426" spans="1:12" ht="10.5" hidden="1" customHeight="1" outlineLevel="1" x14ac:dyDescent="0.2">
      <c r="A426" s="610" t="s">
        <v>106</v>
      </c>
      <c r="B426" s="627" t="s">
        <v>224</v>
      </c>
      <c r="C426" s="627"/>
      <c r="D426" s="643">
        <f>D425+(((D104-D103)*1*100))</f>
        <v>16747.099999999999</v>
      </c>
      <c r="E426" s="629">
        <f t="shared" si="51"/>
        <v>21.558394425491745</v>
      </c>
      <c r="F426" s="626"/>
      <c r="G426" s="626"/>
      <c r="H426" s="626"/>
      <c r="I426" s="626"/>
      <c r="J426" s="626"/>
      <c r="K426" s="626"/>
      <c r="L426" s="626"/>
    </row>
    <row r="427" spans="1:12" ht="10.5" hidden="1" customHeight="1" outlineLevel="1" x14ac:dyDescent="0.2">
      <c r="A427" s="610"/>
      <c r="B427" s="627" t="s">
        <v>225</v>
      </c>
      <c r="C427" s="627"/>
      <c r="D427" s="643">
        <f>D426+(((D105-D104)*1*100))</f>
        <v>16747.099999999999</v>
      </c>
      <c r="E427" s="629">
        <f t="shared" si="51"/>
        <v>21.558394425491745</v>
      </c>
      <c r="F427" s="626"/>
      <c r="G427" s="626"/>
      <c r="H427" s="626"/>
      <c r="I427" s="626"/>
      <c r="J427" s="626"/>
      <c r="K427" s="626"/>
      <c r="L427" s="626"/>
    </row>
    <row r="428" spans="1:12" ht="10.5" hidden="1" customHeight="1" outlineLevel="1" x14ac:dyDescent="0.2">
      <c r="A428" s="610"/>
      <c r="B428" s="627" t="s">
        <v>226</v>
      </c>
      <c r="C428" s="627">
        <f>C425+1</f>
        <v>131</v>
      </c>
      <c r="D428" s="643">
        <f>D427+(((D106-D105)*1*101.8))</f>
        <v>17866.899999999998</v>
      </c>
      <c r="E428" s="629">
        <f t="shared" si="51"/>
        <v>20.763095640419049</v>
      </c>
      <c r="F428" s="626"/>
      <c r="G428" s="626"/>
      <c r="H428" s="626"/>
      <c r="I428" s="626"/>
      <c r="J428" s="626"/>
      <c r="K428" s="626"/>
      <c r="L428" s="626"/>
    </row>
    <row r="429" spans="1:12" ht="10.5" hidden="1" customHeight="1" outlineLevel="1" x14ac:dyDescent="0.2">
      <c r="A429" s="610" t="s">
        <v>107</v>
      </c>
      <c r="B429" s="627" t="s">
        <v>227</v>
      </c>
      <c r="C429" s="627"/>
      <c r="D429" s="643">
        <f>D428+(((D107-D106)*1*99))</f>
        <v>17866.899999999998</v>
      </c>
      <c r="E429" s="629">
        <f t="shared" si="51"/>
        <v>20.763095640419049</v>
      </c>
      <c r="F429" s="626"/>
      <c r="G429" s="626"/>
      <c r="H429" s="626"/>
      <c r="I429" s="626"/>
      <c r="J429" s="626"/>
      <c r="K429" s="626"/>
      <c r="L429" s="626"/>
    </row>
    <row r="430" spans="1:12" ht="10.5" hidden="1" customHeight="1" outlineLevel="1" x14ac:dyDescent="0.2">
      <c r="A430" s="610"/>
      <c r="B430" s="627" t="s">
        <v>228</v>
      </c>
      <c r="C430" s="627"/>
      <c r="D430" s="643">
        <f>D429+(((D108-D107)*1*99))</f>
        <v>17866.899999999998</v>
      </c>
      <c r="E430" s="629">
        <f t="shared" si="51"/>
        <v>20.763095640419049</v>
      </c>
      <c r="F430" s="626"/>
      <c r="G430" s="626"/>
      <c r="H430" s="626"/>
      <c r="I430" s="626"/>
      <c r="J430" s="626"/>
      <c r="K430" s="626"/>
      <c r="L430" s="626"/>
    </row>
    <row r="431" spans="1:12" ht="10.5" hidden="1" customHeight="1" outlineLevel="1" x14ac:dyDescent="0.2">
      <c r="A431" s="610"/>
      <c r="B431" s="627" t="s">
        <v>229</v>
      </c>
      <c r="C431" s="627">
        <f>C428+1</f>
        <v>132</v>
      </c>
      <c r="D431" s="643">
        <f>D430+(((D109-D108)*1*72))</f>
        <v>17794.899999999998</v>
      </c>
      <c r="E431" s="629">
        <f t="shared" si="51"/>
        <v>20.276444744846224</v>
      </c>
      <c r="F431" s="626"/>
      <c r="G431" s="626"/>
      <c r="H431" s="626"/>
      <c r="I431" s="626"/>
      <c r="J431" s="626"/>
      <c r="K431" s="626"/>
      <c r="L431" s="626"/>
    </row>
    <row r="432" spans="1:12" ht="10.5" hidden="1" customHeight="1" outlineLevel="1" x14ac:dyDescent="0.2">
      <c r="A432" s="610">
        <f>A419+1</f>
        <v>1999</v>
      </c>
      <c r="B432" s="627"/>
      <c r="C432" s="627"/>
      <c r="D432" s="530"/>
      <c r="E432" s="626"/>
      <c r="F432" s="626"/>
      <c r="G432" s="626"/>
      <c r="H432" s="626"/>
      <c r="I432" s="626"/>
      <c r="J432" s="626"/>
      <c r="K432" s="626"/>
      <c r="L432" s="626"/>
    </row>
    <row r="433" spans="1:12" ht="10.5" hidden="1" customHeight="1" outlineLevel="1" x14ac:dyDescent="0.2">
      <c r="A433" s="610" t="s">
        <v>104</v>
      </c>
      <c r="B433" s="627" t="s">
        <v>218</v>
      </c>
      <c r="C433" s="627"/>
      <c r="D433" s="643">
        <v>17775</v>
      </c>
      <c r="E433" s="629">
        <f t="shared" ref="E433:E444" si="52">(D433/D420-1)*100</f>
        <v>20.141939844542065</v>
      </c>
      <c r="F433" s="626"/>
      <c r="G433" s="626"/>
      <c r="H433" s="626"/>
      <c r="I433" s="626"/>
      <c r="J433" s="626"/>
      <c r="K433" s="626"/>
      <c r="L433" s="626"/>
    </row>
    <row r="434" spans="1:12" ht="10.5" hidden="1" customHeight="1" outlineLevel="1" x14ac:dyDescent="0.2">
      <c r="A434" s="610"/>
      <c r="B434" s="627" t="s">
        <v>219</v>
      </c>
      <c r="C434" s="627"/>
      <c r="D434" s="643">
        <v>18316</v>
      </c>
      <c r="E434" s="629">
        <f t="shared" si="52"/>
        <v>18.726137770546636</v>
      </c>
      <c r="F434" s="626"/>
      <c r="G434" s="626"/>
      <c r="H434" s="626"/>
      <c r="I434" s="626"/>
      <c r="J434" s="626"/>
      <c r="K434" s="626"/>
      <c r="L434" s="626"/>
    </row>
    <row r="435" spans="1:12" ht="10.5" hidden="1" customHeight="1" outlineLevel="1" x14ac:dyDescent="0.2">
      <c r="A435" s="610"/>
      <c r="B435" s="627" t="s">
        <v>220</v>
      </c>
      <c r="C435" s="627">
        <f>C431+1</f>
        <v>133</v>
      </c>
      <c r="D435" s="643">
        <v>18943</v>
      </c>
      <c r="E435" s="629">
        <f t="shared" si="52"/>
        <v>17.315183531408106</v>
      </c>
      <c r="F435" s="626"/>
      <c r="G435" s="626"/>
      <c r="H435" s="626"/>
      <c r="I435" s="626"/>
      <c r="J435" s="626"/>
      <c r="K435" s="626"/>
      <c r="L435" s="626"/>
    </row>
    <row r="436" spans="1:12" ht="10.5" hidden="1" customHeight="1" outlineLevel="1" x14ac:dyDescent="0.2">
      <c r="A436" s="610" t="s">
        <v>105</v>
      </c>
      <c r="B436" s="627" t="s">
        <v>221</v>
      </c>
      <c r="C436" s="627"/>
      <c r="D436" s="643">
        <v>19373</v>
      </c>
      <c r="E436" s="629">
        <f t="shared" si="52"/>
        <v>19.978200419889646</v>
      </c>
      <c r="F436" s="626"/>
      <c r="G436" s="626"/>
      <c r="H436" s="626"/>
      <c r="I436" s="626"/>
      <c r="J436" s="626"/>
      <c r="K436" s="626"/>
      <c r="L436" s="626"/>
    </row>
    <row r="437" spans="1:12" ht="10.5" hidden="1" customHeight="1" outlineLevel="1" x14ac:dyDescent="0.2">
      <c r="A437" s="610"/>
      <c r="B437" s="627" t="s">
        <v>222</v>
      </c>
      <c r="C437" s="627"/>
      <c r="D437" s="643">
        <v>19373</v>
      </c>
      <c r="E437" s="629">
        <f t="shared" si="52"/>
        <v>19.978200419889646</v>
      </c>
      <c r="F437" s="626"/>
      <c r="G437" s="626"/>
      <c r="H437" s="626"/>
      <c r="I437" s="626"/>
      <c r="J437" s="626"/>
      <c r="K437" s="626"/>
      <c r="L437" s="626"/>
    </row>
    <row r="438" spans="1:12" ht="10.5" hidden="1" customHeight="1" outlineLevel="1" x14ac:dyDescent="0.2">
      <c r="A438" s="610"/>
      <c r="B438" s="627" t="s">
        <v>223</v>
      </c>
      <c r="C438" s="627">
        <f>C435+1</f>
        <v>134</v>
      </c>
      <c r="D438" s="643">
        <v>19373</v>
      </c>
      <c r="E438" s="629">
        <f t="shared" si="52"/>
        <v>19.978200419889646</v>
      </c>
      <c r="F438" s="626"/>
      <c r="G438" s="626"/>
      <c r="H438" s="626"/>
      <c r="I438" s="626"/>
      <c r="J438" s="626"/>
      <c r="K438" s="626"/>
      <c r="L438" s="626"/>
    </row>
    <row r="439" spans="1:12" ht="10.5" hidden="1" customHeight="1" outlineLevel="1" x14ac:dyDescent="0.2">
      <c r="A439" s="610" t="s">
        <v>106</v>
      </c>
      <c r="B439" s="627" t="s">
        <v>224</v>
      </c>
      <c r="C439" s="627"/>
      <c r="D439" s="643">
        <v>20201</v>
      </c>
      <c r="E439" s="629">
        <f t="shared" si="52"/>
        <v>20.623869207206024</v>
      </c>
      <c r="F439" s="626"/>
      <c r="G439" s="626"/>
      <c r="H439" s="626"/>
      <c r="I439" s="626"/>
      <c r="J439" s="626"/>
      <c r="K439" s="626"/>
      <c r="L439" s="626"/>
    </row>
    <row r="440" spans="1:12" ht="10.5" hidden="1" customHeight="1" outlineLevel="1" x14ac:dyDescent="0.2">
      <c r="A440" s="610"/>
      <c r="B440" s="627" t="s">
        <v>225</v>
      </c>
      <c r="C440" s="627"/>
      <c r="D440" s="643">
        <v>20201</v>
      </c>
      <c r="E440" s="629">
        <f t="shared" si="52"/>
        <v>20.623869207206024</v>
      </c>
      <c r="F440" s="626"/>
      <c r="G440" s="626"/>
      <c r="H440" s="626"/>
      <c r="I440" s="626"/>
      <c r="J440" s="626"/>
      <c r="K440" s="626"/>
      <c r="L440" s="626"/>
    </row>
    <row r="441" spans="1:12" ht="10.5" hidden="1" customHeight="1" outlineLevel="1" x14ac:dyDescent="0.2">
      <c r="A441" s="610"/>
      <c r="B441" s="627" t="s">
        <v>226</v>
      </c>
      <c r="C441" s="627">
        <f>C438+1</f>
        <v>135</v>
      </c>
      <c r="D441" s="643">
        <v>21880</v>
      </c>
      <c r="E441" s="629">
        <f t="shared" si="52"/>
        <v>22.46108726192011</v>
      </c>
      <c r="F441" s="626"/>
      <c r="G441" s="626"/>
      <c r="H441" s="626"/>
      <c r="I441" s="626"/>
      <c r="J441" s="626"/>
      <c r="K441" s="626"/>
      <c r="L441" s="626"/>
    </row>
    <row r="442" spans="1:12" ht="10.5" hidden="1" customHeight="1" outlineLevel="1" x14ac:dyDescent="0.2">
      <c r="A442" s="610" t="s">
        <v>107</v>
      </c>
      <c r="B442" s="627" t="s">
        <v>227</v>
      </c>
      <c r="C442" s="627"/>
      <c r="D442" s="643">
        <v>21875</v>
      </c>
      <c r="E442" s="629">
        <f t="shared" si="52"/>
        <v>22.433102552765185</v>
      </c>
      <c r="F442" s="626"/>
      <c r="G442" s="626"/>
      <c r="H442" s="626"/>
      <c r="I442" s="626"/>
      <c r="J442" s="626"/>
      <c r="K442" s="626"/>
      <c r="L442" s="626"/>
    </row>
    <row r="443" spans="1:12" ht="10.5" hidden="1" customHeight="1" outlineLevel="1" x14ac:dyDescent="0.2">
      <c r="A443" s="610"/>
      <c r="B443" s="627" t="s">
        <v>228</v>
      </c>
      <c r="C443" s="627"/>
      <c r="D443" s="643">
        <v>21963</v>
      </c>
      <c r="E443" s="629">
        <f t="shared" si="52"/>
        <v>22.925633433891733</v>
      </c>
      <c r="F443" s="626"/>
      <c r="G443" s="626"/>
      <c r="H443" s="626"/>
      <c r="I443" s="626"/>
      <c r="J443" s="626"/>
      <c r="K443" s="626"/>
      <c r="L443" s="626"/>
    </row>
    <row r="444" spans="1:12" ht="10.5" hidden="1" customHeight="1" outlineLevel="1" x14ac:dyDescent="0.2">
      <c r="A444" s="610"/>
      <c r="B444" s="627" t="s">
        <v>229</v>
      </c>
      <c r="C444" s="627">
        <f>C441+1</f>
        <v>136</v>
      </c>
      <c r="D444" s="643">
        <v>21963</v>
      </c>
      <c r="E444" s="629">
        <f t="shared" si="52"/>
        <v>23.42300322002373</v>
      </c>
      <c r="F444" s="626"/>
      <c r="G444" s="626"/>
      <c r="H444" s="626"/>
      <c r="I444" s="626"/>
      <c r="J444" s="626"/>
      <c r="K444" s="626"/>
      <c r="L444" s="626"/>
    </row>
    <row r="445" spans="1:12" ht="10.5" hidden="1" customHeight="1" outlineLevel="1" x14ac:dyDescent="0.2">
      <c r="A445" s="610">
        <f>A432+1</f>
        <v>2000</v>
      </c>
      <c r="B445" s="627"/>
      <c r="C445" s="627"/>
      <c r="D445" s="645"/>
      <c r="E445" s="625"/>
      <c r="F445" s="626"/>
      <c r="G445" s="626"/>
      <c r="H445" s="626"/>
      <c r="I445" s="626"/>
      <c r="J445" s="626"/>
      <c r="K445" s="626"/>
      <c r="L445" s="626"/>
    </row>
    <row r="446" spans="1:12" ht="10.5" hidden="1" customHeight="1" outlineLevel="1" x14ac:dyDescent="0.2">
      <c r="A446" s="610" t="s">
        <v>104</v>
      </c>
      <c r="B446" s="627" t="s">
        <v>218</v>
      </c>
      <c r="C446" s="627"/>
      <c r="D446" s="643">
        <v>21963</v>
      </c>
      <c r="E446" s="629">
        <f t="shared" ref="E446:E457" si="53">(D446/D433-1)*100</f>
        <v>23.561181434599156</v>
      </c>
      <c r="F446" s="626"/>
      <c r="G446" s="626"/>
      <c r="H446" s="626"/>
      <c r="I446" s="626"/>
      <c r="J446" s="626"/>
      <c r="K446" s="626"/>
      <c r="L446" s="626"/>
    </row>
    <row r="447" spans="1:12" ht="10.5" hidden="1" customHeight="1" outlineLevel="1" x14ac:dyDescent="0.2">
      <c r="A447" s="610"/>
      <c r="B447" s="627" t="s">
        <v>219</v>
      </c>
      <c r="C447" s="627"/>
      <c r="D447" s="643">
        <v>23885</v>
      </c>
      <c r="E447" s="629">
        <f t="shared" si="53"/>
        <v>30.405110286088654</v>
      </c>
      <c r="F447" s="626"/>
      <c r="G447" s="626"/>
      <c r="H447" s="626"/>
      <c r="I447" s="626"/>
      <c r="J447" s="626"/>
      <c r="K447" s="626"/>
      <c r="L447" s="626"/>
    </row>
    <row r="448" spans="1:12" ht="10.5" hidden="1" customHeight="1" outlineLevel="1" x14ac:dyDescent="0.2">
      <c r="A448" s="610"/>
      <c r="B448" s="627" t="s">
        <v>220</v>
      </c>
      <c r="C448" s="627">
        <f>C444+1</f>
        <v>137</v>
      </c>
      <c r="D448" s="643">
        <v>25724</v>
      </c>
      <c r="E448" s="629">
        <f t="shared" si="53"/>
        <v>35.796864277041649</v>
      </c>
      <c r="F448" s="626"/>
      <c r="G448" s="626"/>
      <c r="H448" s="626"/>
      <c r="I448" s="626"/>
      <c r="J448" s="626"/>
      <c r="K448" s="626"/>
      <c r="L448" s="626"/>
    </row>
    <row r="449" spans="1:12" ht="10.5" hidden="1" customHeight="1" outlineLevel="1" x14ac:dyDescent="0.2">
      <c r="A449" s="610" t="s">
        <v>105</v>
      </c>
      <c r="B449" s="627" t="s">
        <v>221</v>
      </c>
      <c r="C449" s="627"/>
      <c r="D449" s="643">
        <v>25724</v>
      </c>
      <c r="E449" s="629">
        <f t="shared" si="53"/>
        <v>32.782738863366532</v>
      </c>
      <c r="F449" s="626"/>
      <c r="G449" s="626"/>
      <c r="H449" s="626"/>
      <c r="I449" s="626"/>
      <c r="J449" s="626"/>
      <c r="K449" s="626"/>
      <c r="L449" s="626"/>
    </row>
    <row r="450" spans="1:12" ht="10.5" hidden="1" customHeight="1" outlineLevel="1" x14ac:dyDescent="0.2">
      <c r="A450" s="610"/>
      <c r="B450" s="627" t="s">
        <v>222</v>
      </c>
      <c r="C450" s="627"/>
      <c r="D450" s="643">
        <v>25744</v>
      </c>
      <c r="E450" s="629">
        <f t="shared" si="53"/>
        <v>32.885975326485315</v>
      </c>
      <c r="F450" s="626"/>
      <c r="G450" s="626"/>
      <c r="H450" s="626"/>
      <c r="I450" s="626"/>
      <c r="J450" s="626"/>
      <c r="K450" s="626"/>
      <c r="L450" s="626"/>
    </row>
    <row r="451" spans="1:12" ht="10.5" hidden="1" customHeight="1" outlineLevel="1" x14ac:dyDescent="0.2">
      <c r="A451" s="610"/>
      <c r="B451" s="627" t="s">
        <v>223</v>
      </c>
      <c r="C451" s="627">
        <f>C448+1</f>
        <v>138</v>
      </c>
      <c r="D451" s="643">
        <v>25744</v>
      </c>
      <c r="E451" s="629">
        <f t="shared" si="53"/>
        <v>32.885975326485315</v>
      </c>
      <c r="F451" s="626"/>
      <c r="G451" s="626"/>
      <c r="H451" s="626"/>
      <c r="I451" s="626"/>
      <c r="J451" s="626"/>
      <c r="K451" s="626"/>
      <c r="L451" s="626"/>
    </row>
    <row r="452" spans="1:12" ht="10.5" hidden="1" customHeight="1" outlineLevel="1" x14ac:dyDescent="0.2">
      <c r="A452" s="610" t="s">
        <v>106</v>
      </c>
      <c r="B452" s="627" t="s">
        <v>224</v>
      </c>
      <c r="C452" s="627"/>
      <c r="D452" s="643">
        <v>26436</v>
      </c>
      <c r="E452" s="629">
        <f t="shared" si="53"/>
        <v>30.864808672837984</v>
      </c>
      <c r="F452" s="626"/>
      <c r="G452" s="626"/>
      <c r="H452" s="626"/>
      <c r="I452" s="626"/>
      <c r="J452" s="626"/>
      <c r="K452" s="626"/>
      <c r="L452" s="626"/>
    </row>
    <row r="453" spans="1:12" ht="10.5" hidden="1" customHeight="1" outlineLevel="1" x14ac:dyDescent="0.2">
      <c r="A453" s="610"/>
      <c r="B453" s="627" t="s">
        <v>225</v>
      </c>
      <c r="C453" s="627"/>
      <c r="D453" s="643">
        <v>26436</v>
      </c>
      <c r="E453" s="629">
        <f t="shared" si="53"/>
        <v>30.864808672837984</v>
      </c>
      <c r="F453" s="626"/>
      <c r="G453" s="626"/>
      <c r="H453" s="626"/>
      <c r="I453" s="626"/>
      <c r="J453" s="626"/>
      <c r="K453" s="626"/>
      <c r="L453" s="626"/>
    </row>
    <row r="454" spans="1:12" ht="10.5" hidden="1" customHeight="1" outlineLevel="1" x14ac:dyDescent="0.2">
      <c r="A454" s="610"/>
      <c r="B454" s="627" t="s">
        <v>226</v>
      </c>
      <c r="C454" s="627">
        <f>C451+1</f>
        <v>139</v>
      </c>
      <c r="D454" s="643">
        <v>27746</v>
      </c>
      <c r="E454" s="629">
        <f t="shared" si="53"/>
        <v>26.80987202925045</v>
      </c>
      <c r="F454" s="626"/>
      <c r="G454" s="626"/>
      <c r="H454" s="626"/>
      <c r="I454" s="626"/>
      <c r="J454" s="626"/>
      <c r="K454" s="626"/>
      <c r="L454" s="626"/>
    </row>
    <row r="455" spans="1:12" ht="10.5" hidden="1" customHeight="1" outlineLevel="1" x14ac:dyDescent="0.2">
      <c r="A455" s="610" t="s">
        <v>107</v>
      </c>
      <c r="B455" s="627" t="s">
        <v>227</v>
      </c>
      <c r="C455" s="627"/>
      <c r="D455" s="643">
        <v>27763</v>
      </c>
      <c r="E455" s="629">
        <f t="shared" si="53"/>
        <v>26.916571428571423</v>
      </c>
      <c r="F455" s="626"/>
      <c r="G455" s="626"/>
      <c r="H455" s="626"/>
      <c r="I455" s="626"/>
      <c r="J455" s="626"/>
      <c r="K455" s="626"/>
      <c r="L455" s="626"/>
    </row>
    <row r="456" spans="1:12" ht="10.5" hidden="1" customHeight="1" outlineLevel="1" x14ac:dyDescent="0.2">
      <c r="A456" s="610"/>
      <c r="B456" s="627" t="s">
        <v>228</v>
      </c>
      <c r="C456" s="627"/>
      <c r="D456" s="643">
        <v>27763</v>
      </c>
      <c r="E456" s="629">
        <f t="shared" si="53"/>
        <v>26.4080499021081</v>
      </c>
      <c r="F456" s="626"/>
      <c r="G456" s="626"/>
      <c r="H456" s="626"/>
      <c r="I456" s="626"/>
      <c r="J456" s="626"/>
      <c r="K456" s="626"/>
      <c r="L456" s="626"/>
    </row>
    <row r="457" spans="1:12" ht="10.5" hidden="1" customHeight="1" outlineLevel="1" x14ac:dyDescent="0.2">
      <c r="A457" s="610"/>
      <c r="B457" s="627" t="s">
        <v>229</v>
      </c>
      <c r="C457" s="627">
        <f>C454+1</f>
        <v>140</v>
      </c>
      <c r="D457" s="643">
        <v>27763</v>
      </c>
      <c r="E457" s="629">
        <f t="shared" si="53"/>
        <v>26.4080499021081</v>
      </c>
      <c r="F457" s="626"/>
      <c r="G457" s="626"/>
      <c r="H457" s="626"/>
      <c r="I457" s="626"/>
      <c r="J457" s="626"/>
      <c r="K457" s="626"/>
      <c r="L457" s="626"/>
    </row>
    <row r="458" spans="1:12" ht="10.5" hidden="1" customHeight="1" outlineLevel="1" x14ac:dyDescent="0.2">
      <c r="A458" s="610">
        <f>A445+1</f>
        <v>2001</v>
      </c>
      <c r="B458" s="627"/>
      <c r="C458" s="627"/>
      <c r="D458" s="645"/>
      <c r="E458" s="625"/>
      <c r="F458" s="626"/>
      <c r="G458" s="626"/>
      <c r="H458" s="626"/>
      <c r="I458" s="626"/>
      <c r="J458" s="626"/>
      <c r="K458" s="626"/>
      <c r="L458" s="626"/>
    </row>
    <row r="459" spans="1:12" ht="10.5" hidden="1" customHeight="1" outlineLevel="1" x14ac:dyDescent="0.2">
      <c r="A459" s="610" t="s">
        <v>104</v>
      </c>
      <c r="B459" s="627" t="s">
        <v>218</v>
      </c>
      <c r="C459" s="627"/>
      <c r="D459" s="643">
        <v>27763</v>
      </c>
      <c r="E459" s="629">
        <f t="shared" ref="E459:E470" si="54">(D459/D446-1)*100</f>
        <v>26.4080499021081</v>
      </c>
      <c r="F459" s="626"/>
      <c r="G459" s="626"/>
      <c r="H459" s="626"/>
      <c r="I459" s="626"/>
      <c r="J459" s="626"/>
      <c r="K459" s="626"/>
      <c r="L459" s="626"/>
    </row>
    <row r="460" spans="1:12" ht="10.5" hidden="1" customHeight="1" outlineLevel="1" x14ac:dyDescent="0.2">
      <c r="A460" s="610"/>
      <c r="B460" s="627" t="s">
        <v>219</v>
      </c>
      <c r="C460" s="627"/>
      <c r="D460" s="643">
        <v>29338</v>
      </c>
      <c r="E460" s="629">
        <f t="shared" si="54"/>
        <v>22.830228176679924</v>
      </c>
      <c r="F460" s="626"/>
      <c r="G460" s="626"/>
      <c r="H460" s="626"/>
      <c r="I460" s="626"/>
      <c r="J460" s="626"/>
      <c r="K460" s="626"/>
      <c r="L460" s="626"/>
    </row>
    <row r="461" spans="1:12" ht="10.5" hidden="1" customHeight="1" outlineLevel="1" x14ac:dyDescent="0.2">
      <c r="A461" s="610"/>
      <c r="B461" s="627" t="s">
        <v>220</v>
      </c>
      <c r="C461" s="627">
        <f>C457+1</f>
        <v>141</v>
      </c>
      <c r="D461" s="643">
        <v>30902</v>
      </c>
      <c r="E461" s="629">
        <f t="shared" si="54"/>
        <v>20.129062354221738</v>
      </c>
      <c r="F461" s="626"/>
      <c r="G461" s="626"/>
      <c r="H461" s="626"/>
      <c r="I461" s="626"/>
      <c r="J461" s="626"/>
      <c r="K461" s="626"/>
      <c r="L461" s="626"/>
    </row>
    <row r="462" spans="1:12" ht="10.5" hidden="1" customHeight="1" outlineLevel="1" x14ac:dyDescent="0.2">
      <c r="A462" s="610" t="s">
        <v>105</v>
      </c>
      <c r="B462" s="627" t="s">
        <v>221</v>
      </c>
      <c r="C462" s="627"/>
      <c r="D462" s="643">
        <v>30902</v>
      </c>
      <c r="E462" s="629">
        <f t="shared" si="54"/>
        <v>20.129062354221738</v>
      </c>
      <c r="F462" s="626"/>
      <c r="G462" s="626"/>
      <c r="H462" s="626"/>
      <c r="I462" s="626"/>
      <c r="J462" s="626"/>
      <c r="K462" s="626"/>
      <c r="L462" s="626"/>
    </row>
    <row r="463" spans="1:12" ht="10.5" hidden="1" customHeight="1" outlineLevel="1" x14ac:dyDescent="0.2">
      <c r="A463" s="610"/>
      <c r="B463" s="627" t="s">
        <v>222</v>
      </c>
      <c r="C463" s="627"/>
      <c r="D463" s="643">
        <v>30902</v>
      </c>
      <c r="E463" s="629">
        <f t="shared" si="54"/>
        <v>20.035736482287135</v>
      </c>
      <c r="F463" s="626"/>
      <c r="G463" s="626"/>
      <c r="H463" s="626"/>
      <c r="I463" s="626"/>
      <c r="J463" s="626"/>
      <c r="K463" s="626"/>
      <c r="L463" s="626"/>
    </row>
    <row r="464" spans="1:12" ht="10.5" hidden="1" customHeight="1" outlineLevel="1" x14ac:dyDescent="0.2">
      <c r="A464" s="610"/>
      <c r="B464" s="627" t="s">
        <v>223</v>
      </c>
      <c r="C464" s="627">
        <f>C461+1</f>
        <v>142</v>
      </c>
      <c r="D464" s="643">
        <v>30902</v>
      </c>
      <c r="E464" s="629">
        <f t="shared" si="54"/>
        <v>20.035736482287135</v>
      </c>
      <c r="F464" s="626"/>
      <c r="G464" s="626"/>
      <c r="H464" s="626"/>
      <c r="I464" s="626"/>
      <c r="J464" s="626"/>
      <c r="K464" s="626"/>
      <c r="L464" s="626"/>
    </row>
    <row r="465" spans="1:12" ht="10.5" hidden="1" customHeight="1" outlineLevel="1" x14ac:dyDescent="0.2">
      <c r="A465" s="610" t="s">
        <v>106</v>
      </c>
      <c r="B465" s="627" t="s">
        <v>224</v>
      </c>
      <c r="C465" s="627"/>
      <c r="D465" s="643">
        <v>31326</v>
      </c>
      <c r="E465" s="629">
        <f t="shared" si="54"/>
        <v>18.497503404448491</v>
      </c>
      <c r="F465" s="626"/>
      <c r="G465" s="626"/>
      <c r="H465" s="626"/>
      <c r="I465" s="626"/>
      <c r="J465" s="626"/>
      <c r="K465" s="626"/>
      <c r="L465" s="626"/>
    </row>
    <row r="466" spans="1:12" ht="10.5" hidden="1" customHeight="1" outlineLevel="1" x14ac:dyDescent="0.2">
      <c r="A466" s="610"/>
      <c r="B466" s="627" t="s">
        <v>225</v>
      </c>
      <c r="C466" s="627"/>
      <c r="D466" s="643">
        <v>33367</v>
      </c>
      <c r="E466" s="629">
        <f t="shared" si="54"/>
        <v>26.218036011499478</v>
      </c>
      <c r="F466" s="626"/>
      <c r="G466" s="626"/>
      <c r="H466" s="626"/>
      <c r="I466" s="626"/>
      <c r="J466" s="626"/>
      <c r="K466" s="626"/>
      <c r="L466" s="626"/>
    </row>
    <row r="467" spans="1:12" ht="10.5" hidden="1" customHeight="1" outlineLevel="1" x14ac:dyDescent="0.2">
      <c r="A467" s="610"/>
      <c r="B467" s="627" t="s">
        <v>226</v>
      </c>
      <c r="C467" s="627">
        <f>C464+1</f>
        <v>143</v>
      </c>
      <c r="D467" s="643">
        <v>33458</v>
      </c>
      <c r="E467" s="629">
        <f t="shared" si="54"/>
        <v>20.586751243422484</v>
      </c>
      <c r="F467" s="626"/>
      <c r="G467" s="626"/>
      <c r="H467" s="626"/>
      <c r="I467" s="626"/>
      <c r="J467" s="626"/>
      <c r="K467" s="626"/>
      <c r="L467" s="626"/>
    </row>
    <row r="468" spans="1:12" ht="10.5" hidden="1" customHeight="1" outlineLevel="1" x14ac:dyDescent="0.2">
      <c r="A468" s="610" t="s">
        <v>107</v>
      </c>
      <c r="B468" s="627" t="s">
        <v>227</v>
      </c>
      <c r="C468" s="627"/>
      <c r="D468" s="643">
        <v>33535</v>
      </c>
      <c r="E468" s="629">
        <f t="shared" si="54"/>
        <v>20.790260418542662</v>
      </c>
      <c r="F468" s="626"/>
      <c r="G468" s="626"/>
      <c r="H468" s="626"/>
      <c r="I468" s="626"/>
      <c r="J468" s="626"/>
      <c r="K468" s="626"/>
      <c r="L468" s="626"/>
    </row>
    <row r="469" spans="1:12" ht="10.5" hidden="1" customHeight="1" outlineLevel="1" x14ac:dyDescent="0.2">
      <c r="A469" s="610"/>
      <c r="B469" s="627" t="s">
        <v>228</v>
      </c>
      <c r="C469" s="627"/>
      <c r="D469" s="643">
        <v>33535</v>
      </c>
      <c r="E469" s="629">
        <f t="shared" si="54"/>
        <v>20.790260418542662</v>
      </c>
      <c r="F469" s="626"/>
      <c r="G469" s="626"/>
      <c r="H469" s="626"/>
      <c r="I469" s="626"/>
      <c r="J469" s="626"/>
      <c r="K469" s="626"/>
      <c r="L469" s="626"/>
    </row>
    <row r="470" spans="1:12" ht="10.5" hidden="1" customHeight="1" outlineLevel="1" x14ac:dyDescent="0.2">
      <c r="A470" s="610"/>
      <c r="B470" s="627" t="s">
        <v>229</v>
      </c>
      <c r="C470" s="627">
        <f>C467+1</f>
        <v>144</v>
      </c>
      <c r="D470" s="643">
        <v>33548</v>
      </c>
      <c r="E470" s="629">
        <f t="shared" si="54"/>
        <v>20.837085329395233</v>
      </c>
      <c r="F470" s="626"/>
      <c r="G470" s="626"/>
      <c r="H470" s="626"/>
      <c r="I470" s="626"/>
      <c r="J470" s="626"/>
      <c r="K470" s="626"/>
      <c r="L470" s="626"/>
    </row>
    <row r="471" spans="1:12" ht="10.5" hidden="1" customHeight="1" outlineLevel="1" x14ac:dyDescent="0.2">
      <c r="A471" s="610">
        <f>A458+1</f>
        <v>2002</v>
      </c>
      <c r="B471" s="627"/>
      <c r="C471" s="627"/>
      <c r="D471" s="530"/>
      <c r="E471" s="626"/>
      <c r="F471" s="626"/>
      <c r="G471" s="626"/>
      <c r="H471" s="626"/>
      <c r="I471" s="626"/>
      <c r="J471" s="626"/>
      <c r="K471" s="626"/>
      <c r="L471" s="626"/>
    </row>
    <row r="472" spans="1:12" ht="10.5" hidden="1" customHeight="1" outlineLevel="1" x14ac:dyDescent="0.2">
      <c r="A472" s="610" t="s">
        <v>104</v>
      </c>
      <c r="B472" s="627" t="s">
        <v>218</v>
      </c>
      <c r="C472" s="627"/>
      <c r="D472" s="643">
        <v>33548</v>
      </c>
      <c r="E472" s="629">
        <f t="shared" ref="E472:E483" si="55">(D472/D459-1)*100</f>
        <v>20.837085329395233</v>
      </c>
      <c r="F472" s="626"/>
      <c r="G472" s="626"/>
      <c r="H472" s="626"/>
      <c r="I472" s="626"/>
      <c r="J472" s="626"/>
      <c r="K472" s="626"/>
      <c r="L472" s="626"/>
    </row>
    <row r="473" spans="1:12" ht="10.5" hidden="1" customHeight="1" outlineLevel="1" x14ac:dyDescent="0.2">
      <c r="A473" s="610"/>
      <c r="B473" s="627" t="s">
        <v>219</v>
      </c>
      <c r="C473" s="627"/>
      <c r="D473" s="643">
        <v>34596</v>
      </c>
      <c r="E473" s="629">
        <f t="shared" si="55"/>
        <v>17.922148749062639</v>
      </c>
      <c r="F473" s="626"/>
      <c r="G473" s="626"/>
      <c r="H473" s="626"/>
      <c r="I473" s="626"/>
      <c r="J473" s="626"/>
      <c r="K473" s="626"/>
      <c r="L473" s="626"/>
    </row>
    <row r="474" spans="1:12" ht="10.5" hidden="1" customHeight="1" outlineLevel="1" x14ac:dyDescent="0.2">
      <c r="A474" s="610"/>
      <c r="B474" s="627" t="s">
        <v>220</v>
      </c>
      <c r="C474" s="627">
        <f>C470+1</f>
        <v>145</v>
      </c>
      <c r="D474" s="643">
        <v>37042</v>
      </c>
      <c r="E474" s="629">
        <f t="shared" si="55"/>
        <v>19.869264125299324</v>
      </c>
      <c r="F474" s="626"/>
      <c r="G474" s="626"/>
      <c r="H474" s="626"/>
      <c r="I474" s="626"/>
      <c r="J474" s="626"/>
      <c r="K474" s="626"/>
      <c r="L474" s="626"/>
    </row>
    <row r="475" spans="1:12" ht="10.5" hidden="1" customHeight="1" outlineLevel="1" x14ac:dyDescent="0.2">
      <c r="A475" s="610" t="s">
        <v>105</v>
      </c>
      <c r="B475" s="627" t="s">
        <v>221</v>
      </c>
      <c r="C475" s="627"/>
      <c r="D475" s="643">
        <v>37030</v>
      </c>
      <c r="E475" s="629">
        <f t="shared" si="55"/>
        <v>19.830431687269435</v>
      </c>
      <c r="F475" s="626"/>
      <c r="G475" s="626"/>
      <c r="H475" s="626"/>
      <c r="I475" s="626"/>
      <c r="J475" s="626"/>
      <c r="K475" s="626"/>
      <c r="L475" s="626"/>
    </row>
    <row r="476" spans="1:12" ht="10.5" hidden="1" customHeight="1" outlineLevel="1" x14ac:dyDescent="0.2">
      <c r="A476" s="610"/>
      <c r="B476" s="627" t="s">
        <v>222</v>
      </c>
      <c r="C476" s="627"/>
      <c r="D476" s="643">
        <v>37030</v>
      </c>
      <c r="E476" s="629">
        <f t="shared" si="55"/>
        <v>19.830431687269435</v>
      </c>
      <c r="F476" s="626"/>
      <c r="G476" s="626"/>
      <c r="H476" s="626"/>
      <c r="I476" s="626"/>
      <c r="J476" s="626"/>
      <c r="K476" s="626"/>
      <c r="L476" s="626"/>
    </row>
    <row r="477" spans="1:12" ht="10.5" hidden="1" customHeight="1" outlineLevel="1" x14ac:dyDescent="0.2">
      <c r="A477" s="610"/>
      <c r="B477" s="627" t="s">
        <v>223</v>
      </c>
      <c r="C477" s="627">
        <f>C474+1</f>
        <v>146</v>
      </c>
      <c r="D477" s="643">
        <v>37054</v>
      </c>
      <c r="E477" s="629">
        <f t="shared" si="55"/>
        <v>19.908096563329238</v>
      </c>
      <c r="F477" s="626"/>
      <c r="G477" s="626"/>
      <c r="H477" s="626"/>
      <c r="I477" s="626"/>
      <c r="J477" s="626"/>
      <c r="K477" s="626"/>
      <c r="L477" s="626"/>
    </row>
    <row r="478" spans="1:12" ht="10.5" hidden="1" customHeight="1" outlineLevel="1" x14ac:dyDescent="0.2">
      <c r="A478" s="610" t="s">
        <v>106</v>
      </c>
      <c r="B478" s="627" t="s">
        <v>224</v>
      </c>
      <c r="C478" s="627"/>
      <c r="D478" s="643">
        <v>37676</v>
      </c>
      <c r="E478" s="629">
        <f t="shared" si="55"/>
        <v>20.270701653578492</v>
      </c>
      <c r="F478" s="626"/>
      <c r="G478" s="626"/>
      <c r="H478" s="626"/>
      <c r="I478" s="626"/>
      <c r="J478" s="626"/>
      <c r="K478" s="626"/>
      <c r="L478" s="626"/>
    </row>
    <row r="479" spans="1:12" ht="10.5" hidden="1" customHeight="1" outlineLevel="1" x14ac:dyDescent="0.2">
      <c r="A479" s="610"/>
      <c r="B479" s="627" t="s">
        <v>225</v>
      </c>
      <c r="C479" s="627"/>
      <c r="D479" s="643">
        <v>37782</v>
      </c>
      <c r="E479" s="629">
        <f t="shared" si="55"/>
        <v>13.231636047591921</v>
      </c>
      <c r="F479" s="626"/>
      <c r="G479" s="626"/>
      <c r="H479" s="626"/>
      <c r="I479" s="626"/>
      <c r="J479" s="626"/>
      <c r="K479" s="626"/>
      <c r="L479" s="626"/>
    </row>
    <row r="480" spans="1:12" ht="10.5" hidden="1" customHeight="1" outlineLevel="1" x14ac:dyDescent="0.2">
      <c r="A480" s="610"/>
      <c r="B480" s="627" t="s">
        <v>226</v>
      </c>
      <c r="C480" s="627">
        <f>C477+1</f>
        <v>147</v>
      </c>
      <c r="D480" s="643">
        <v>40557</v>
      </c>
      <c r="E480" s="629">
        <f t="shared" si="55"/>
        <v>21.217646003945244</v>
      </c>
      <c r="F480" s="626"/>
      <c r="G480" s="626"/>
      <c r="H480" s="626"/>
      <c r="I480" s="626"/>
      <c r="J480" s="626"/>
      <c r="K480" s="626"/>
      <c r="L480" s="626"/>
    </row>
    <row r="481" spans="1:12" ht="10.5" hidden="1" customHeight="1" outlineLevel="1" x14ac:dyDescent="0.2">
      <c r="A481" s="610" t="s">
        <v>107</v>
      </c>
      <c r="B481" s="627" t="s">
        <v>227</v>
      </c>
      <c r="C481" s="627"/>
      <c r="D481" s="643">
        <v>40557</v>
      </c>
      <c r="E481" s="629">
        <f t="shared" si="55"/>
        <v>20.939317131355306</v>
      </c>
      <c r="F481" s="626"/>
      <c r="G481" s="626"/>
      <c r="H481" s="626"/>
      <c r="I481" s="626"/>
      <c r="J481" s="626"/>
      <c r="K481" s="626"/>
      <c r="L481" s="626"/>
    </row>
    <row r="482" spans="1:12" ht="10.5" hidden="1" customHeight="1" outlineLevel="1" x14ac:dyDescent="0.2">
      <c r="A482" s="610"/>
      <c r="B482" s="627" t="s">
        <v>228</v>
      </c>
      <c r="C482" s="627"/>
      <c r="D482" s="643">
        <v>40579</v>
      </c>
      <c r="E482" s="629">
        <f t="shared" si="55"/>
        <v>21.004920232592816</v>
      </c>
      <c r="F482" s="626"/>
      <c r="G482" s="626"/>
      <c r="H482" s="626"/>
      <c r="I482" s="626"/>
      <c r="J482" s="626"/>
      <c r="K482" s="626"/>
      <c r="L482" s="626"/>
    </row>
    <row r="483" spans="1:12" ht="10.5" hidden="1" customHeight="1" outlineLevel="1" x14ac:dyDescent="0.2">
      <c r="A483" s="610"/>
      <c r="B483" s="627" t="s">
        <v>229</v>
      </c>
      <c r="C483" s="627">
        <f>C480+1</f>
        <v>148</v>
      </c>
      <c r="D483" s="643">
        <v>40579</v>
      </c>
      <c r="E483" s="629">
        <f t="shared" si="55"/>
        <v>20.958030284964835</v>
      </c>
      <c r="F483" s="626"/>
      <c r="G483" s="626"/>
      <c r="H483" s="626"/>
      <c r="I483" s="626"/>
      <c r="J483" s="626"/>
      <c r="K483" s="626"/>
      <c r="L483" s="626"/>
    </row>
    <row r="484" spans="1:12" ht="10.5" hidden="1" customHeight="1" outlineLevel="1" x14ac:dyDescent="0.2">
      <c r="A484" s="610">
        <f>A471+1</f>
        <v>2003</v>
      </c>
      <c r="B484" s="627"/>
      <c r="C484" s="627"/>
      <c r="D484" s="645"/>
      <c r="E484" s="625"/>
      <c r="F484" s="626"/>
      <c r="G484" s="626"/>
      <c r="H484" s="626"/>
      <c r="I484" s="626"/>
      <c r="J484" s="626"/>
      <c r="K484" s="626"/>
      <c r="L484" s="626"/>
    </row>
    <row r="485" spans="1:12" ht="10.5" hidden="1" customHeight="1" outlineLevel="1" x14ac:dyDescent="0.2">
      <c r="A485" s="610" t="s">
        <v>104</v>
      </c>
      <c r="B485" s="627" t="s">
        <v>218</v>
      </c>
      <c r="C485" s="627"/>
      <c r="D485" s="643">
        <v>40579</v>
      </c>
      <c r="E485" s="629">
        <f t="shared" ref="E485:E496" si="56">(D485/D472-1)*100</f>
        <v>20.958030284964835</v>
      </c>
      <c r="F485" s="626"/>
      <c r="G485" s="626"/>
      <c r="H485" s="626"/>
      <c r="I485" s="626"/>
      <c r="J485" s="626"/>
      <c r="K485" s="626"/>
      <c r="L485" s="626"/>
    </row>
    <row r="486" spans="1:12" ht="10.5" hidden="1" customHeight="1" outlineLevel="1" x14ac:dyDescent="0.2">
      <c r="A486" s="610"/>
      <c r="B486" s="627" t="s">
        <v>219</v>
      </c>
      <c r="C486" s="627"/>
      <c r="D486" s="643">
        <f>D485+(((D164-D163)*1*88))</f>
        <v>43043</v>
      </c>
      <c r="E486" s="629">
        <f t="shared" si="56"/>
        <v>24.416117470227782</v>
      </c>
      <c r="F486" s="626"/>
      <c r="G486" s="626"/>
      <c r="H486" s="626"/>
      <c r="I486" s="626"/>
      <c r="J486" s="626"/>
      <c r="K486" s="626"/>
      <c r="L486" s="626"/>
    </row>
    <row r="487" spans="1:12" ht="10.5" hidden="1" customHeight="1" outlineLevel="1" x14ac:dyDescent="0.2">
      <c r="A487" s="610"/>
      <c r="B487" s="627" t="s">
        <v>220</v>
      </c>
      <c r="C487" s="627">
        <f>C483+1</f>
        <v>149</v>
      </c>
      <c r="D487" s="643">
        <v>43604</v>
      </c>
      <c r="E487" s="629">
        <f t="shared" si="56"/>
        <v>17.715026186491013</v>
      </c>
      <c r="F487" s="626"/>
      <c r="G487" s="626"/>
      <c r="H487" s="626"/>
      <c r="I487" s="626"/>
      <c r="J487" s="626"/>
      <c r="K487" s="626"/>
      <c r="L487" s="626"/>
    </row>
    <row r="488" spans="1:12" ht="10.5" hidden="1" customHeight="1" outlineLevel="1" x14ac:dyDescent="0.2">
      <c r="A488" s="610" t="s">
        <v>105</v>
      </c>
      <c r="B488" s="627" t="s">
        <v>221</v>
      </c>
      <c r="C488" s="627"/>
      <c r="D488" s="643">
        <v>43691</v>
      </c>
      <c r="E488" s="629">
        <f t="shared" si="56"/>
        <v>17.988117742371056</v>
      </c>
      <c r="F488" s="626"/>
      <c r="G488" s="626"/>
      <c r="H488" s="626"/>
      <c r="I488" s="626"/>
      <c r="J488" s="626"/>
      <c r="K488" s="626"/>
      <c r="L488" s="626"/>
    </row>
    <row r="489" spans="1:12" ht="10.5" hidden="1" customHeight="1" outlineLevel="1" x14ac:dyDescent="0.2">
      <c r="A489" s="610"/>
      <c r="B489" s="627" t="s">
        <v>222</v>
      </c>
      <c r="C489" s="627"/>
      <c r="D489" s="643">
        <f>D488</f>
        <v>43691</v>
      </c>
      <c r="E489" s="629">
        <f t="shared" si="56"/>
        <v>17.988117742371056</v>
      </c>
      <c r="F489" s="626"/>
      <c r="G489" s="626"/>
      <c r="H489" s="626"/>
      <c r="I489" s="626"/>
      <c r="J489" s="626"/>
      <c r="K489" s="626"/>
      <c r="L489" s="626"/>
    </row>
    <row r="490" spans="1:12" ht="10.5" hidden="1" customHeight="1" outlineLevel="1" x14ac:dyDescent="0.2">
      <c r="A490" s="610"/>
      <c r="B490" s="627" t="s">
        <v>223</v>
      </c>
      <c r="C490" s="627">
        <f>C487+1</f>
        <v>150</v>
      </c>
      <c r="D490" s="643">
        <f>D489</f>
        <v>43691</v>
      </c>
      <c r="E490" s="629">
        <f t="shared" si="56"/>
        <v>17.911696443029101</v>
      </c>
      <c r="F490" s="626"/>
      <c r="G490" s="626"/>
      <c r="H490" s="626"/>
      <c r="I490" s="626"/>
      <c r="J490" s="626"/>
      <c r="K490" s="626"/>
      <c r="L490" s="626"/>
    </row>
    <row r="491" spans="1:12" ht="10.5" hidden="1" customHeight="1" outlineLevel="1" x14ac:dyDescent="0.2">
      <c r="A491" s="610" t="s">
        <v>106</v>
      </c>
      <c r="B491" s="627" t="s">
        <v>224</v>
      </c>
      <c r="C491" s="627"/>
      <c r="D491" s="643">
        <f>D490+(((D169-D168)*1*88))</f>
        <v>43867</v>
      </c>
      <c r="E491" s="629">
        <f t="shared" si="56"/>
        <v>16.432211487419046</v>
      </c>
      <c r="F491" s="626"/>
      <c r="G491" s="626"/>
      <c r="H491" s="626"/>
      <c r="I491" s="626"/>
      <c r="J491" s="626"/>
      <c r="K491" s="626"/>
      <c r="L491" s="626"/>
    </row>
    <row r="492" spans="1:12" ht="10.5" hidden="1" customHeight="1" outlineLevel="1" x14ac:dyDescent="0.2">
      <c r="A492" s="610"/>
      <c r="B492" s="627" t="s">
        <v>225</v>
      </c>
      <c r="C492" s="627"/>
      <c r="D492" s="643">
        <f>D491</f>
        <v>43867</v>
      </c>
      <c r="E492" s="629">
        <f t="shared" si="56"/>
        <v>16.105552908792543</v>
      </c>
      <c r="F492" s="626"/>
      <c r="G492" s="626"/>
      <c r="H492" s="626"/>
      <c r="I492" s="626"/>
      <c r="J492" s="626"/>
      <c r="K492" s="626"/>
      <c r="L492" s="626"/>
    </row>
    <row r="493" spans="1:12" ht="10.5" hidden="1" customHeight="1" outlineLevel="1" x14ac:dyDescent="0.2">
      <c r="A493" s="610"/>
      <c r="B493" s="627" t="s">
        <v>226</v>
      </c>
      <c r="C493" s="627">
        <f>C490+1</f>
        <v>151</v>
      </c>
      <c r="D493" s="643">
        <v>48427</v>
      </c>
      <c r="E493" s="629">
        <f t="shared" si="56"/>
        <v>19.404788322607679</v>
      </c>
      <c r="F493" s="626"/>
      <c r="G493" s="626"/>
      <c r="H493" s="626"/>
      <c r="I493" s="626"/>
      <c r="J493" s="626"/>
      <c r="K493" s="626"/>
      <c r="L493" s="626"/>
    </row>
    <row r="494" spans="1:12" ht="10.5" hidden="1" customHeight="1" outlineLevel="1" x14ac:dyDescent="0.2">
      <c r="A494" s="610" t="s">
        <v>107</v>
      </c>
      <c r="B494" s="627" t="s">
        <v>227</v>
      </c>
      <c r="C494" s="627"/>
      <c r="D494" s="643">
        <f>D493+(((D172-D171)*1*88))</f>
        <v>48427</v>
      </c>
      <c r="E494" s="629">
        <f t="shared" si="56"/>
        <v>19.404788322607679</v>
      </c>
      <c r="F494" s="626"/>
      <c r="G494" s="626"/>
      <c r="H494" s="626"/>
      <c r="I494" s="626"/>
      <c r="J494" s="626"/>
      <c r="K494" s="626"/>
      <c r="L494" s="626"/>
    </row>
    <row r="495" spans="1:12" ht="10.5" hidden="1" customHeight="1" outlineLevel="1" x14ac:dyDescent="0.2">
      <c r="A495" s="610"/>
      <c r="B495" s="627" t="s">
        <v>228</v>
      </c>
      <c r="C495" s="627"/>
      <c r="D495" s="643">
        <f>D494</f>
        <v>48427</v>
      </c>
      <c r="E495" s="629">
        <f t="shared" si="56"/>
        <v>19.340052736637169</v>
      </c>
      <c r="F495" s="626"/>
      <c r="G495" s="626"/>
      <c r="H495" s="626"/>
      <c r="I495" s="626"/>
      <c r="J495" s="626"/>
      <c r="K495" s="626"/>
      <c r="L495" s="626"/>
    </row>
    <row r="496" spans="1:12" ht="10.5" hidden="1" customHeight="1" outlineLevel="1" x14ac:dyDescent="0.2">
      <c r="A496" s="610"/>
      <c r="B496" s="627" t="s">
        <v>229</v>
      </c>
      <c r="C496" s="627">
        <f>C493+1</f>
        <v>152</v>
      </c>
      <c r="D496" s="643">
        <f>D495</f>
        <v>48427</v>
      </c>
      <c r="E496" s="629">
        <f t="shared" si="56"/>
        <v>19.340052736637169</v>
      </c>
      <c r="F496" s="626"/>
      <c r="G496" s="626"/>
      <c r="H496" s="626"/>
      <c r="I496" s="626"/>
      <c r="J496" s="626"/>
      <c r="K496" s="626"/>
      <c r="L496" s="626"/>
    </row>
    <row r="497" spans="1:12" ht="10.5" hidden="1" customHeight="1" outlineLevel="1" x14ac:dyDescent="0.2">
      <c r="A497" s="610">
        <f>A484+1</f>
        <v>2004</v>
      </c>
      <c r="B497" s="627"/>
      <c r="C497" s="627"/>
      <c r="D497" s="645"/>
      <c r="E497" s="625"/>
      <c r="F497" s="626"/>
      <c r="G497" s="626"/>
      <c r="H497" s="626"/>
      <c r="I497" s="626"/>
      <c r="J497" s="626"/>
      <c r="K497" s="626"/>
      <c r="L497" s="626"/>
    </row>
    <row r="498" spans="1:12" ht="10.5" hidden="1" customHeight="1" outlineLevel="1" x14ac:dyDescent="0.2">
      <c r="A498" s="610" t="s">
        <v>104</v>
      </c>
      <c r="B498" s="627" t="s">
        <v>218</v>
      </c>
      <c r="C498" s="627"/>
      <c r="D498" s="643">
        <f>D496+(((D176-D174)*1*88))</f>
        <v>48427</v>
      </c>
      <c r="E498" s="629">
        <f t="shared" ref="E498:E509" si="57">(D498/D485-1)*100</f>
        <v>19.340052736637169</v>
      </c>
      <c r="F498" s="626"/>
      <c r="G498" s="626"/>
      <c r="H498" s="626"/>
      <c r="I498" s="626"/>
      <c r="J498" s="626"/>
      <c r="K498" s="626"/>
      <c r="L498" s="626"/>
    </row>
    <row r="499" spans="1:12" ht="10.5" hidden="1" customHeight="1" outlineLevel="1" x14ac:dyDescent="0.2">
      <c r="A499" s="610"/>
      <c r="B499" s="627" t="s">
        <v>219</v>
      </c>
      <c r="C499" s="627"/>
      <c r="D499" s="643">
        <f>D498+(((D177-D176)*1*88))</f>
        <v>50275</v>
      </c>
      <c r="E499" s="629">
        <f t="shared" si="57"/>
        <v>16.801802848314473</v>
      </c>
      <c r="F499" s="626"/>
      <c r="G499" s="626"/>
      <c r="H499" s="626"/>
      <c r="I499" s="626"/>
      <c r="J499" s="626"/>
      <c r="K499" s="626"/>
      <c r="L499" s="626"/>
    </row>
    <row r="500" spans="1:12" ht="10.5" hidden="1" customHeight="1" outlineLevel="1" x14ac:dyDescent="0.2">
      <c r="A500" s="610"/>
      <c r="B500" s="627" t="s">
        <v>220</v>
      </c>
      <c r="C500" s="627">
        <f>C496+1</f>
        <v>153</v>
      </c>
      <c r="D500" s="643">
        <v>52617</v>
      </c>
      <c r="E500" s="629">
        <f t="shared" si="57"/>
        <v>20.6701220071553</v>
      </c>
      <c r="F500" s="626"/>
      <c r="G500" s="626"/>
      <c r="H500" s="626"/>
      <c r="I500" s="626"/>
      <c r="J500" s="626"/>
      <c r="K500" s="626"/>
      <c r="L500" s="626"/>
    </row>
    <row r="501" spans="1:12" ht="10.5" hidden="1" customHeight="1" outlineLevel="1" x14ac:dyDescent="0.2">
      <c r="A501" s="610" t="s">
        <v>105</v>
      </c>
      <c r="B501" s="627" t="s">
        <v>221</v>
      </c>
      <c r="C501" s="627"/>
      <c r="D501" s="643">
        <f>D500+(((D179-D178)*1*88))</f>
        <v>52617</v>
      </c>
      <c r="E501" s="629">
        <f t="shared" si="57"/>
        <v>20.429836808496038</v>
      </c>
      <c r="F501" s="626"/>
      <c r="G501" s="626"/>
      <c r="H501" s="626"/>
      <c r="I501" s="626"/>
      <c r="J501" s="626"/>
      <c r="K501" s="626"/>
      <c r="L501" s="626"/>
    </row>
    <row r="502" spans="1:12" ht="10.5" hidden="1" customHeight="1" outlineLevel="1" x14ac:dyDescent="0.2">
      <c r="A502" s="610"/>
      <c r="B502" s="627" t="s">
        <v>222</v>
      </c>
      <c r="C502" s="627"/>
      <c r="D502" s="643">
        <f>D501+(((D180-D179)*1*88))</f>
        <v>52617</v>
      </c>
      <c r="E502" s="629">
        <f t="shared" si="57"/>
        <v>20.429836808496038</v>
      </c>
      <c r="F502" s="626"/>
      <c r="G502" s="626"/>
      <c r="H502" s="626"/>
      <c r="I502" s="626"/>
      <c r="J502" s="626"/>
      <c r="K502" s="626"/>
      <c r="L502" s="626"/>
    </row>
    <row r="503" spans="1:12" ht="10.5" hidden="1" customHeight="1" outlineLevel="1" x14ac:dyDescent="0.2">
      <c r="A503" s="610"/>
      <c r="B503" s="627" t="s">
        <v>223</v>
      </c>
      <c r="C503" s="627">
        <f>C500+1</f>
        <v>154</v>
      </c>
      <c r="D503" s="643">
        <v>52702</v>
      </c>
      <c r="E503" s="629">
        <f t="shared" si="57"/>
        <v>20.624384884758882</v>
      </c>
      <c r="F503" s="626"/>
      <c r="G503" s="626"/>
      <c r="H503" s="626"/>
      <c r="I503" s="626"/>
      <c r="J503" s="626"/>
      <c r="K503" s="626"/>
      <c r="L503" s="626"/>
    </row>
    <row r="504" spans="1:12" ht="10.5" hidden="1" customHeight="1" outlineLevel="1" x14ac:dyDescent="0.2">
      <c r="A504" s="610" t="s">
        <v>106</v>
      </c>
      <c r="B504" s="627" t="s">
        <v>224</v>
      </c>
      <c r="C504" s="627"/>
      <c r="D504" s="643">
        <f>D503+(((D182-D181)*1*88))</f>
        <v>53318</v>
      </c>
      <c r="E504" s="629">
        <f t="shared" si="57"/>
        <v>21.544669113456582</v>
      </c>
      <c r="F504" s="626"/>
      <c r="G504" s="626"/>
      <c r="H504" s="626"/>
      <c r="I504" s="626"/>
      <c r="J504" s="626"/>
      <c r="K504" s="626"/>
      <c r="L504" s="626"/>
    </row>
    <row r="505" spans="1:12" ht="10.5" hidden="1" customHeight="1" outlineLevel="1" x14ac:dyDescent="0.2">
      <c r="A505" s="610"/>
      <c r="B505" s="627" t="s">
        <v>225</v>
      </c>
      <c r="C505" s="627"/>
      <c r="D505" s="643">
        <f>D504+(((D183-D182)*1*88))</f>
        <v>53318</v>
      </c>
      <c r="E505" s="629">
        <f t="shared" si="57"/>
        <v>21.544669113456582</v>
      </c>
      <c r="F505" s="626"/>
      <c r="G505" s="626"/>
      <c r="H505" s="626"/>
      <c r="I505" s="626"/>
      <c r="J505" s="626"/>
      <c r="K505" s="626"/>
      <c r="L505" s="626"/>
    </row>
    <row r="506" spans="1:12" ht="10.5" hidden="1" customHeight="1" outlineLevel="1" x14ac:dyDescent="0.2">
      <c r="A506" s="610"/>
      <c r="B506" s="627" t="s">
        <v>226</v>
      </c>
      <c r="C506" s="627">
        <f>C503+1</f>
        <v>155</v>
      </c>
      <c r="D506" s="643">
        <v>57386</v>
      </c>
      <c r="E506" s="629">
        <f t="shared" si="57"/>
        <v>18.500010324818806</v>
      </c>
      <c r="F506" s="626"/>
      <c r="G506" s="626"/>
      <c r="H506" s="626"/>
      <c r="I506" s="626"/>
      <c r="J506" s="626"/>
      <c r="K506" s="626"/>
      <c r="L506" s="626"/>
    </row>
    <row r="507" spans="1:12" ht="10.5" hidden="1" customHeight="1" outlineLevel="1" x14ac:dyDescent="0.2">
      <c r="A507" s="610" t="s">
        <v>107</v>
      </c>
      <c r="B507" s="627" t="s">
        <v>227</v>
      </c>
      <c r="C507" s="627"/>
      <c r="D507" s="643">
        <f>D506+(((D185-D184)*1*88))</f>
        <v>57386</v>
      </c>
      <c r="E507" s="629">
        <f t="shared" si="57"/>
        <v>18.500010324818806</v>
      </c>
      <c r="F507" s="626"/>
      <c r="G507" s="626"/>
      <c r="H507" s="626"/>
      <c r="I507" s="626"/>
      <c r="J507" s="626"/>
      <c r="K507" s="626"/>
      <c r="L507" s="626"/>
    </row>
    <row r="508" spans="1:12" ht="10.5" hidden="1" customHeight="1" outlineLevel="1" x14ac:dyDescent="0.2">
      <c r="A508" s="610"/>
      <c r="B508" s="627" t="s">
        <v>228</v>
      </c>
      <c r="C508" s="627"/>
      <c r="D508" s="643">
        <f>D507+(((D186-D185)*1*88))</f>
        <v>57386</v>
      </c>
      <c r="E508" s="629">
        <f t="shared" si="57"/>
        <v>18.500010324818806</v>
      </c>
      <c r="F508" s="626"/>
      <c r="G508" s="626"/>
      <c r="H508" s="626"/>
      <c r="I508" s="626"/>
      <c r="J508" s="626"/>
      <c r="K508" s="626"/>
      <c r="L508" s="626"/>
    </row>
    <row r="509" spans="1:12" ht="10.5" hidden="1" customHeight="1" outlineLevel="1" x14ac:dyDescent="0.2">
      <c r="A509" s="610"/>
      <c r="B509" s="627" t="s">
        <v>229</v>
      </c>
      <c r="C509" s="627">
        <f>C506+1</f>
        <v>156</v>
      </c>
      <c r="D509" s="643">
        <v>57386</v>
      </c>
      <c r="E509" s="629">
        <f t="shared" si="57"/>
        <v>18.500010324818806</v>
      </c>
      <c r="F509" s="626"/>
      <c r="G509" s="626"/>
      <c r="H509" s="626"/>
      <c r="I509" s="626"/>
      <c r="J509" s="626"/>
      <c r="K509" s="626"/>
      <c r="L509" s="626"/>
    </row>
    <row r="510" spans="1:12" ht="10.5" hidden="1" customHeight="1" outlineLevel="1" x14ac:dyDescent="0.2">
      <c r="A510" s="610">
        <f>A497+1</f>
        <v>2005</v>
      </c>
      <c r="B510" s="627"/>
      <c r="C510" s="627"/>
      <c r="D510" s="645"/>
      <c r="E510" s="625"/>
      <c r="F510" s="626"/>
      <c r="G510" s="626"/>
      <c r="H510" s="626"/>
      <c r="I510" s="626"/>
      <c r="J510" s="626"/>
      <c r="K510" s="626"/>
      <c r="L510" s="626"/>
    </row>
    <row r="511" spans="1:12" ht="10.5" hidden="1" customHeight="1" outlineLevel="1" x14ac:dyDescent="0.2">
      <c r="A511" s="610" t="s">
        <v>104</v>
      </c>
      <c r="B511" s="627" t="s">
        <v>218</v>
      </c>
      <c r="C511" s="627"/>
      <c r="D511" s="643">
        <f>D509+(((D189-D187)*1*88))</f>
        <v>57386</v>
      </c>
      <c r="E511" s="629">
        <f t="shared" ref="E511:E522" si="58">(D511/D498-1)*100</f>
        <v>18.500010324818806</v>
      </c>
      <c r="F511" s="626"/>
      <c r="G511" s="626"/>
      <c r="H511" s="626"/>
      <c r="I511" s="626"/>
      <c r="J511" s="626"/>
      <c r="K511" s="626"/>
      <c r="L511" s="626"/>
    </row>
    <row r="512" spans="1:12" ht="10.5" hidden="1" customHeight="1" outlineLevel="1" x14ac:dyDescent="0.2">
      <c r="A512" s="610"/>
      <c r="B512" s="627" t="s">
        <v>219</v>
      </c>
      <c r="C512" s="627"/>
      <c r="D512" s="643">
        <f>D511+(((D190-D189)*1*88))</f>
        <v>58706</v>
      </c>
      <c r="E512" s="629">
        <f t="shared" si="58"/>
        <v>16.769766285430144</v>
      </c>
      <c r="F512" s="626"/>
      <c r="G512" s="626"/>
      <c r="H512" s="626"/>
      <c r="I512" s="626"/>
      <c r="J512" s="626"/>
      <c r="K512" s="626"/>
      <c r="L512" s="626"/>
    </row>
    <row r="513" spans="1:12" ht="10.5" hidden="1" customHeight="1" outlineLevel="1" x14ac:dyDescent="0.2">
      <c r="A513" s="610"/>
      <c r="B513" s="627" t="s">
        <v>220</v>
      </c>
      <c r="C513" s="627">
        <f>C509+1</f>
        <v>157</v>
      </c>
      <c r="D513" s="643">
        <v>60264</v>
      </c>
      <c r="E513" s="629">
        <f t="shared" si="58"/>
        <v>14.533325731227542</v>
      </c>
      <c r="F513" s="626"/>
      <c r="G513" s="626"/>
      <c r="H513" s="626"/>
      <c r="I513" s="626"/>
      <c r="J513" s="626"/>
      <c r="K513" s="626"/>
      <c r="L513" s="626"/>
    </row>
    <row r="514" spans="1:12" ht="10.5" hidden="1" customHeight="1" outlineLevel="1" x14ac:dyDescent="0.2">
      <c r="A514" s="610" t="s">
        <v>105</v>
      </c>
      <c r="B514" s="627" t="s">
        <v>221</v>
      </c>
      <c r="C514" s="627"/>
      <c r="D514" s="643">
        <f>D513+(((D192-D191)*1*88))</f>
        <v>60352</v>
      </c>
      <c r="E514" s="629">
        <f t="shared" si="58"/>
        <v>14.700572058460203</v>
      </c>
      <c r="F514" s="626"/>
      <c r="G514" s="626"/>
      <c r="H514" s="626"/>
      <c r="I514" s="626"/>
      <c r="J514" s="626"/>
      <c r="K514" s="626"/>
      <c r="L514" s="626"/>
    </row>
    <row r="515" spans="1:12" ht="10.5" hidden="1" customHeight="1" outlineLevel="1" x14ac:dyDescent="0.2">
      <c r="A515" s="610"/>
      <c r="B515" s="627" t="s">
        <v>222</v>
      </c>
      <c r="C515" s="627"/>
      <c r="D515" s="643">
        <f>D514+(((D193-D192)*1*88))</f>
        <v>60352</v>
      </c>
      <c r="E515" s="629">
        <f t="shared" si="58"/>
        <v>14.700572058460203</v>
      </c>
      <c r="F515" s="626"/>
      <c r="G515" s="626"/>
      <c r="H515" s="626"/>
      <c r="I515" s="626"/>
      <c r="J515" s="626"/>
      <c r="K515" s="626"/>
      <c r="L515" s="626"/>
    </row>
    <row r="516" spans="1:12" ht="10.5" hidden="1" customHeight="1" outlineLevel="1" x14ac:dyDescent="0.2">
      <c r="A516" s="610"/>
      <c r="B516" s="627" t="s">
        <v>223</v>
      </c>
      <c r="C516" s="627">
        <f>C513+1</f>
        <v>158</v>
      </c>
      <c r="D516" s="643">
        <v>60395</v>
      </c>
      <c r="E516" s="629">
        <f t="shared" si="58"/>
        <v>14.597168987894204</v>
      </c>
      <c r="F516" s="626"/>
      <c r="G516" s="626"/>
      <c r="H516" s="626"/>
      <c r="I516" s="626"/>
      <c r="J516" s="626"/>
      <c r="K516" s="626"/>
      <c r="L516" s="626"/>
    </row>
    <row r="517" spans="1:12" ht="10.5" hidden="1" customHeight="1" outlineLevel="1" x14ac:dyDescent="0.2">
      <c r="A517" s="610" t="s">
        <v>106</v>
      </c>
      <c r="B517" s="627" t="s">
        <v>224</v>
      </c>
      <c r="C517" s="627"/>
      <c r="D517" s="643">
        <f>D516+(((D195-D194)*1*86))</f>
        <v>60739</v>
      </c>
      <c r="E517" s="629">
        <f t="shared" si="58"/>
        <v>13.918376533253319</v>
      </c>
      <c r="F517" s="626"/>
      <c r="G517" s="626"/>
      <c r="H517" s="626"/>
      <c r="I517" s="626"/>
      <c r="J517" s="626"/>
      <c r="K517" s="626"/>
      <c r="L517" s="626"/>
    </row>
    <row r="518" spans="1:12" ht="10.5" hidden="1" customHeight="1" outlineLevel="1" x14ac:dyDescent="0.2">
      <c r="A518" s="610"/>
      <c r="B518" s="627" t="s">
        <v>225</v>
      </c>
      <c r="C518" s="627"/>
      <c r="D518" s="643">
        <f>D517+(((D196-D195)*1*86))</f>
        <v>60739</v>
      </c>
      <c r="E518" s="629">
        <f t="shared" si="58"/>
        <v>13.918376533253319</v>
      </c>
      <c r="F518" s="626"/>
      <c r="G518" s="626"/>
      <c r="H518" s="626"/>
      <c r="I518" s="626"/>
      <c r="J518" s="626"/>
      <c r="K518" s="626"/>
      <c r="L518" s="626"/>
    </row>
    <row r="519" spans="1:12" ht="10.5" hidden="1" customHeight="1" outlineLevel="1" x14ac:dyDescent="0.2">
      <c r="A519" s="610"/>
      <c r="B519" s="627" t="s">
        <v>226</v>
      </c>
      <c r="C519" s="627">
        <f>C516+1</f>
        <v>159</v>
      </c>
      <c r="D519" s="643">
        <v>65766</v>
      </c>
      <c r="E519" s="629">
        <f t="shared" si="58"/>
        <v>14.602864810232452</v>
      </c>
      <c r="F519" s="626"/>
      <c r="G519" s="626"/>
      <c r="H519" s="626"/>
      <c r="I519" s="626"/>
      <c r="J519" s="626"/>
      <c r="K519" s="626"/>
      <c r="L519" s="626"/>
    </row>
    <row r="520" spans="1:12" ht="10.5" hidden="1" customHeight="1" outlineLevel="1" x14ac:dyDescent="0.2">
      <c r="A520" s="610" t="s">
        <v>107</v>
      </c>
      <c r="B520" s="627" t="s">
        <v>227</v>
      </c>
      <c r="C520" s="627"/>
      <c r="D520" s="643">
        <f>D519+(((D198-D197)*1*86))</f>
        <v>65766</v>
      </c>
      <c r="E520" s="629">
        <f t="shared" si="58"/>
        <v>14.602864810232452</v>
      </c>
      <c r="F520" s="626"/>
      <c r="G520" s="626"/>
      <c r="H520" s="626"/>
      <c r="I520" s="626"/>
      <c r="J520" s="626"/>
      <c r="K520" s="626"/>
      <c r="L520" s="626"/>
    </row>
    <row r="521" spans="1:12" ht="10.5" hidden="1" customHeight="1" outlineLevel="1" x14ac:dyDescent="0.2">
      <c r="A521" s="610"/>
      <c r="B521" s="627" t="s">
        <v>228</v>
      </c>
      <c r="C521" s="627"/>
      <c r="D521" s="643">
        <f>D520+(((D199-D198)*1*86))</f>
        <v>65766</v>
      </c>
      <c r="E521" s="629">
        <f t="shared" si="58"/>
        <v>14.602864810232452</v>
      </c>
      <c r="F521" s="626"/>
      <c r="G521" s="626"/>
      <c r="H521" s="626"/>
      <c r="I521" s="626"/>
      <c r="J521" s="626"/>
      <c r="K521" s="626"/>
      <c r="L521" s="626"/>
    </row>
    <row r="522" spans="1:12" ht="10.5" hidden="1" customHeight="1" outlineLevel="1" x14ac:dyDescent="0.2">
      <c r="A522" s="610"/>
      <c r="B522" s="627" t="s">
        <v>229</v>
      </c>
      <c r="C522" s="627">
        <f>C519+1</f>
        <v>160</v>
      </c>
      <c r="D522" s="643">
        <v>65855</v>
      </c>
      <c r="E522" s="629">
        <f t="shared" si="58"/>
        <v>14.757954901892445</v>
      </c>
      <c r="F522" s="626"/>
      <c r="G522" s="626"/>
      <c r="H522" s="626"/>
      <c r="I522" s="626"/>
      <c r="J522" s="626"/>
      <c r="K522" s="626"/>
      <c r="L522" s="626"/>
    </row>
    <row r="523" spans="1:12" ht="10.5" hidden="1" customHeight="1" outlineLevel="1" x14ac:dyDescent="0.2">
      <c r="A523" s="610">
        <f>A510+1</f>
        <v>2006</v>
      </c>
      <c r="B523" s="627"/>
      <c r="C523" s="627"/>
      <c r="D523" s="530"/>
      <c r="E523" s="626"/>
      <c r="F523" s="626"/>
      <c r="G523" s="626"/>
      <c r="H523" s="626"/>
      <c r="I523" s="626"/>
      <c r="J523" s="626"/>
      <c r="K523" s="626"/>
      <c r="L523" s="626"/>
    </row>
    <row r="524" spans="1:12" ht="10.5" hidden="1" customHeight="1" outlineLevel="1" x14ac:dyDescent="0.2">
      <c r="A524" s="610" t="s">
        <v>104</v>
      </c>
      <c r="B524" s="627" t="s">
        <v>218</v>
      </c>
      <c r="C524" s="627"/>
      <c r="D524" s="643">
        <v>65855</v>
      </c>
      <c r="E524" s="629">
        <f t="shared" ref="E524:E535" si="59">(D524/D511-1)*100</f>
        <v>14.757954901892445</v>
      </c>
      <c r="F524" s="626"/>
      <c r="G524" s="626"/>
      <c r="H524" s="626"/>
      <c r="I524" s="626"/>
      <c r="J524" s="626"/>
      <c r="K524" s="626"/>
      <c r="L524" s="626"/>
    </row>
    <row r="525" spans="1:12" ht="10.5" hidden="1" customHeight="1" outlineLevel="1" x14ac:dyDescent="0.2">
      <c r="A525" s="610"/>
      <c r="B525" s="627" t="s">
        <v>219</v>
      </c>
      <c r="C525" s="627"/>
      <c r="D525" s="643">
        <f>D524+(((D203-D202)*1*88))</f>
        <v>66647</v>
      </c>
      <c r="E525" s="629">
        <f t="shared" si="59"/>
        <v>13.52672639934589</v>
      </c>
      <c r="F525" s="626"/>
      <c r="G525" s="626"/>
      <c r="H525" s="626"/>
      <c r="I525" s="626"/>
      <c r="J525" s="626"/>
      <c r="K525" s="626"/>
      <c r="L525" s="626"/>
    </row>
    <row r="526" spans="1:12" ht="10.5" hidden="1" customHeight="1" outlineLevel="1" x14ac:dyDescent="0.2">
      <c r="A526" s="610"/>
      <c r="B526" s="627" t="s">
        <v>220</v>
      </c>
      <c r="C526" s="627">
        <f>C522+1</f>
        <v>161</v>
      </c>
      <c r="D526" s="643">
        <v>67318</v>
      </c>
      <c r="E526" s="629">
        <f t="shared" si="59"/>
        <v>11.705163945307318</v>
      </c>
      <c r="F526" s="626"/>
      <c r="G526" s="626"/>
      <c r="H526" s="626"/>
      <c r="I526" s="626"/>
      <c r="J526" s="626"/>
      <c r="K526" s="626"/>
      <c r="L526" s="626"/>
    </row>
    <row r="527" spans="1:12" ht="10.5" hidden="1" customHeight="1" outlineLevel="1" x14ac:dyDescent="0.2">
      <c r="A527" s="610" t="s">
        <v>105</v>
      </c>
      <c r="B527" s="627" t="s">
        <v>221</v>
      </c>
      <c r="C527" s="627"/>
      <c r="D527" s="643">
        <v>67318</v>
      </c>
      <c r="E527" s="629">
        <f t="shared" si="59"/>
        <v>11.542285259809116</v>
      </c>
      <c r="F527" s="626"/>
      <c r="G527" s="626"/>
      <c r="H527" s="626"/>
      <c r="I527" s="626"/>
      <c r="J527" s="626"/>
      <c r="K527" s="626"/>
      <c r="L527" s="626"/>
    </row>
    <row r="528" spans="1:12" ht="10.5" hidden="1" customHeight="1" outlineLevel="1" x14ac:dyDescent="0.2">
      <c r="A528" s="610"/>
      <c r="B528" s="627" t="s">
        <v>222</v>
      </c>
      <c r="C528" s="627"/>
      <c r="D528" s="643">
        <v>67318</v>
      </c>
      <c r="E528" s="629">
        <f t="shared" si="59"/>
        <v>11.542285259809116</v>
      </c>
      <c r="F528" s="626"/>
      <c r="G528" s="626"/>
      <c r="H528" s="626"/>
      <c r="I528" s="626"/>
      <c r="J528" s="626"/>
      <c r="K528" s="626"/>
      <c r="L528" s="626"/>
    </row>
    <row r="529" spans="1:12" ht="10.5" hidden="1" customHeight="1" outlineLevel="1" x14ac:dyDescent="0.2">
      <c r="A529" s="610"/>
      <c r="B529" s="627" t="s">
        <v>223</v>
      </c>
      <c r="C529" s="627">
        <f>C526+1</f>
        <v>162</v>
      </c>
      <c r="D529" s="643">
        <v>67318</v>
      </c>
      <c r="E529" s="629">
        <f t="shared" si="59"/>
        <v>11.462869442834677</v>
      </c>
      <c r="F529" s="626"/>
      <c r="G529" s="626"/>
      <c r="H529" s="626"/>
      <c r="I529" s="626"/>
      <c r="J529" s="626"/>
      <c r="K529" s="626"/>
      <c r="L529" s="626"/>
    </row>
    <row r="530" spans="1:12" ht="10.5" hidden="1" customHeight="1" outlineLevel="1" x14ac:dyDescent="0.2">
      <c r="A530" s="610" t="s">
        <v>106</v>
      </c>
      <c r="B530" s="627" t="s">
        <v>224</v>
      </c>
      <c r="C530" s="627"/>
      <c r="D530" s="643">
        <v>67318</v>
      </c>
      <c r="E530" s="629">
        <f t="shared" si="59"/>
        <v>10.83159090534911</v>
      </c>
      <c r="F530" s="626"/>
      <c r="G530" s="626"/>
      <c r="H530" s="626"/>
      <c r="I530" s="626"/>
      <c r="J530" s="626"/>
      <c r="K530" s="626"/>
      <c r="L530" s="626"/>
    </row>
    <row r="531" spans="1:12" ht="10.5" hidden="1" customHeight="1" outlineLevel="1" x14ac:dyDescent="0.2">
      <c r="A531" s="610"/>
      <c r="B531" s="627" t="s">
        <v>225</v>
      </c>
      <c r="C531" s="627"/>
      <c r="D531" s="643">
        <v>67318</v>
      </c>
      <c r="E531" s="629">
        <f t="shared" si="59"/>
        <v>10.83159090534911</v>
      </c>
      <c r="F531" s="626"/>
      <c r="G531" s="626"/>
      <c r="H531" s="626"/>
      <c r="I531" s="626"/>
      <c r="J531" s="626"/>
      <c r="K531" s="626"/>
      <c r="L531" s="626"/>
    </row>
    <row r="532" spans="1:12" ht="10.5" hidden="1" customHeight="1" outlineLevel="1" x14ac:dyDescent="0.2">
      <c r="A532" s="610"/>
      <c r="B532" s="627" t="s">
        <v>226</v>
      </c>
      <c r="C532" s="627">
        <f>C529+1</f>
        <v>163</v>
      </c>
      <c r="D532" s="643">
        <v>72752</v>
      </c>
      <c r="E532" s="629">
        <f t="shared" si="59"/>
        <v>10.62251011160782</v>
      </c>
      <c r="F532" s="626"/>
      <c r="G532" s="626"/>
      <c r="H532" s="626"/>
      <c r="I532" s="626"/>
      <c r="J532" s="626"/>
      <c r="K532" s="626"/>
      <c r="L532" s="626"/>
    </row>
    <row r="533" spans="1:12" ht="10.5" hidden="1" customHeight="1" outlineLevel="1" x14ac:dyDescent="0.2">
      <c r="A533" s="610" t="s">
        <v>107</v>
      </c>
      <c r="B533" s="627" t="s">
        <v>227</v>
      </c>
      <c r="C533" s="627"/>
      <c r="D533" s="643">
        <v>73027</v>
      </c>
      <c r="E533" s="629">
        <f t="shared" si="59"/>
        <v>11.04065930724083</v>
      </c>
      <c r="F533" s="626"/>
      <c r="G533" s="626"/>
      <c r="H533" s="626"/>
      <c r="I533" s="626"/>
      <c r="J533" s="626"/>
      <c r="K533" s="626"/>
      <c r="L533" s="626"/>
    </row>
    <row r="534" spans="1:12" ht="10.5" hidden="1" customHeight="1" outlineLevel="1" x14ac:dyDescent="0.2">
      <c r="A534" s="610"/>
      <c r="B534" s="627" t="s">
        <v>228</v>
      </c>
      <c r="C534" s="627"/>
      <c r="D534" s="643">
        <v>73027</v>
      </c>
      <c r="E534" s="629">
        <f t="shared" si="59"/>
        <v>11.04065930724083</v>
      </c>
      <c r="F534" s="626"/>
      <c r="G534" s="626"/>
      <c r="H534" s="626"/>
      <c r="I534" s="626"/>
      <c r="J534" s="626"/>
      <c r="K534" s="626"/>
      <c r="L534" s="626"/>
    </row>
    <row r="535" spans="1:12" ht="10.5" hidden="1" customHeight="1" outlineLevel="1" x14ac:dyDescent="0.2">
      <c r="A535" s="610"/>
      <c r="B535" s="627" t="s">
        <v>229</v>
      </c>
      <c r="C535" s="627">
        <f>C532+1</f>
        <v>164</v>
      </c>
      <c r="D535" s="643">
        <v>73027</v>
      </c>
      <c r="E535" s="629">
        <f t="shared" si="59"/>
        <v>10.890592969402469</v>
      </c>
      <c r="F535" s="626"/>
      <c r="G535" s="626"/>
      <c r="H535" s="626"/>
      <c r="I535" s="626"/>
      <c r="J535" s="626"/>
      <c r="K535" s="626"/>
      <c r="L535" s="626"/>
    </row>
    <row r="536" spans="1:12" ht="10.5" hidden="1" customHeight="1" outlineLevel="1" x14ac:dyDescent="0.2">
      <c r="A536" s="610">
        <f>A523+1</f>
        <v>2007</v>
      </c>
      <c r="B536" s="627"/>
      <c r="C536" s="627"/>
      <c r="D536" s="530"/>
      <c r="E536" s="626"/>
      <c r="F536" s="626"/>
      <c r="G536" s="626"/>
      <c r="H536" s="626"/>
      <c r="I536" s="626"/>
      <c r="J536" s="626"/>
      <c r="K536" s="626"/>
      <c r="L536" s="626"/>
    </row>
    <row r="537" spans="1:12" ht="10.5" hidden="1" customHeight="1" outlineLevel="1" x14ac:dyDescent="0.2">
      <c r="A537" s="610" t="s">
        <v>104</v>
      </c>
      <c r="B537" s="627" t="s">
        <v>218</v>
      </c>
      <c r="C537" s="627"/>
      <c r="D537" s="643">
        <v>73027</v>
      </c>
      <c r="E537" s="629">
        <f t="shared" ref="E537:E548" si="60">(D537/D524-1)*100</f>
        <v>10.890592969402469</v>
      </c>
      <c r="F537" s="626"/>
      <c r="G537" s="626"/>
      <c r="H537" s="626"/>
      <c r="I537" s="626"/>
      <c r="J537" s="626"/>
      <c r="K537" s="626"/>
      <c r="L537" s="626"/>
    </row>
    <row r="538" spans="1:12" ht="10.5" hidden="1" customHeight="1" outlineLevel="1" x14ac:dyDescent="0.2">
      <c r="A538" s="610"/>
      <c r="B538" s="627" t="s">
        <v>219</v>
      </c>
      <c r="C538" s="627"/>
      <c r="D538" s="643">
        <f>D537++((12*88)+(0*68))*117.016331960316%</f>
        <v>74262.692465500935</v>
      </c>
      <c r="E538" s="629">
        <f t="shared" si="60"/>
        <v>11.426909636594207</v>
      </c>
      <c r="F538" s="626"/>
      <c r="G538" s="626"/>
      <c r="H538" s="626"/>
      <c r="I538" s="626"/>
      <c r="J538" s="626"/>
      <c r="K538" s="626"/>
      <c r="L538" s="626"/>
    </row>
    <row r="539" spans="1:12" ht="10.5" hidden="1" customHeight="1" outlineLevel="1" x14ac:dyDescent="0.2">
      <c r="A539" s="610"/>
      <c r="B539" s="627" t="s">
        <v>220</v>
      </c>
      <c r="C539" s="627">
        <f>C535+1</f>
        <v>165</v>
      </c>
      <c r="D539" s="643">
        <v>74449</v>
      </c>
      <c r="E539" s="629">
        <f t="shared" si="60"/>
        <v>10.593006328173749</v>
      </c>
      <c r="F539" s="626"/>
      <c r="G539" s="626"/>
      <c r="H539" s="626"/>
      <c r="I539" s="626"/>
      <c r="J539" s="626"/>
      <c r="K539" s="626"/>
      <c r="L539" s="626"/>
    </row>
    <row r="540" spans="1:12" ht="10.5" hidden="1" customHeight="1" outlineLevel="1" x14ac:dyDescent="0.2">
      <c r="A540" s="610" t="s">
        <v>105</v>
      </c>
      <c r="B540" s="627" t="s">
        <v>221</v>
      </c>
      <c r="C540" s="627"/>
      <c r="D540" s="643">
        <v>74449</v>
      </c>
      <c r="E540" s="629">
        <f t="shared" si="60"/>
        <v>10.593006328173749</v>
      </c>
      <c r="F540" s="626"/>
      <c r="G540" s="626"/>
      <c r="H540" s="626"/>
      <c r="I540" s="626"/>
      <c r="J540" s="626"/>
      <c r="K540" s="626"/>
      <c r="L540" s="626"/>
    </row>
    <row r="541" spans="1:12" ht="10.5" hidden="1" customHeight="1" outlineLevel="1" x14ac:dyDescent="0.2">
      <c r="A541" s="610"/>
      <c r="B541" s="627" t="s">
        <v>222</v>
      </c>
      <c r="C541" s="627"/>
      <c r="D541" s="643">
        <v>74449</v>
      </c>
      <c r="E541" s="629">
        <f t="shared" si="60"/>
        <v>10.593006328173749</v>
      </c>
      <c r="F541" s="626"/>
      <c r="G541" s="626"/>
      <c r="H541" s="626"/>
      <c r="I541" s="626"/>
      <c r="J541" s="626"/>
      <c r="K541" s="626"/>
      <c r="L541" s="626"/>
    </row>
    <row r="542" spans="1:12" ht="10.5" hidden="1" customHeight="1" outlineLevel="1" x14ac:dyDescent="0.2">
      <c r="A542" s="610"/>
      <c r="B542" s="627" t="s">
        <v>223</v>
      </c>
      <c r="C542" s="627">
        <f>C539+1</f>
        <v>166</v>
      </c>
      <c r="D542" s="643">
        <v>74449</v>
      </c>
      <c r="E542" s="629">
        <f t="shared" si="60"/>
        <v>10.593006328173749</v>
      </c>
      <c r="F542" s="626"/>
      <c r="G542" s="626"/>
      <c r="H542" s="626"/>
      <c r="I542" s="626"/>
      <c r="J542" s="626"/>
      <c r="K542" s="626"/>
      <c r="L542" s="626"/>
    </row>
    <row r="543" spans="1:12" ht="10.5" hidden="1" customHeight="1" outlineLevel="1" x14ac:dyDescent="0.2">
      <c r="A543" s="610" t="s">
        <v>106</v>
      </c>
      <c r="B543" s="627" t="s">
        <v>224</v>
      </c>
      <c r="C543" s="627"/>
      <c r="D543" s="643">
        <v>74449</v>
      </c>
      <c r="E543" s="629">
        <f t="shared" si="60"/>
        <v>10.593006328173749</v>
      </c>
      <c r="F543" s="626"/>
      <c r="G543" s="626"/>
      <c r="H543" s="626"/>
      <c r="I543" s="626"/>
      <c r="J543" s="626"/>
      <c r="K543" s="626"/>
      <c r="L543" s="626"/>
    </row>
    <row r="544" spans="1:12" ht="10.5" hidden="1" customHeight="1" outlineLevel="1" x14ac:dyDescent="0.2">
      <c r="A544" s="610"/>
      <c r="B544" s="627" t="s">
        <v>225</v>
      </c>
      <c r="C544" s="627"/>
      <c r="D544" s="643">
        <v>74449</v>
      </c>
      <c r="E544" s="629">
        <f t="shared" si="60"/>
        <v>10.593006328173749</v>
      </c>
      <c r="F544" s="626"/>
      <c r="G544" s="626"/>
      <c r="H544" s="626"/>
      <c r="I544" s="626"/>
      <c r="J544" s="626"/>
      <c r="K544" s="626"/>
      <c r="L544" s="626"/>
    </row>
    <row r="545" spans="1:12" ht="10.5" hidden="1" customHeight="1" outlineLevel="1" x14ac:dyDescent="0.2">
      <c r="A545" s="610"/>
      <c r="B545" s="627" t="s">
        <v>226</v>
      </c>
      <c r="C545" s="627">
        <f>C542+1</f>
        <v>167</v>
      </c>
      <c r="D545" s="643">
        <v>81224</v>
      </c>
      <c r="E545" s="629">
        <f t="shared" si="60"/>
        <v>11.645040686166697</v>
      </c>
      <c r="F545" s="626"/>
      <c r="G545" s="626"/>
      <c r="H545" s="626"/>
      <c r="I545" s="626"/>
      <c r="J545" s="626"/>
      <c r="K545" s="626"/>
      <c r="L545" s="626"/>
    </row>
    <row r="546" spans="1:12" ht="10.5" hidden="1" customHeight="1" outlineLevel="1" x14ac:dyDescent="0.2">
      <c r="A546" s="610" t="s">
        <v>107</v>
      </c>
      <c r="B546" s="627" t="s">
        <v>227</v>
      </c>
      <c r="C546" s="627"/>
      <c r="D546" s="643">
        <v>82538</v>
      </c>
      <c r="E546" s="629">
        <f t="shared" si="60"/>
        <v>13.023950045873445</v>
      </c>
      <c r="F546" s="626"/>
      <c r="G546" s="626"/>
      <c r="H546" s="626"/>
      <c r="I546" s="626"/>
      <c r="J546" s="626"/>
      <c r="K546" s="626"/>
      <c r="L546" s="626"/>
    </row>
    <row r="547" spans="1:12" ht="10.5" hidden="1" customHeight="1" outlineLevel="1" x14ac:dyDescent="0.2">
      <c r="A547" s="610"/>
      <c r="B547" s="627" t="s">
        <v>228</v>
      </c>
      <c r="C547" s="627"/>
      <c r="D547" s="643">
        <v>82538</v>
      </c>
      <c r="E547" s="629">
        <f t="shared" si="60"/>
        <v>13.023950045873445</v>
      </c>
      <c r="F547" s="626"/>
      <c r="G547" s="626"/>
      <c r="H547" s="626"/>
      <c r="I547" s="626"/>
      <c r="J547" s="626"/>
      <c r="K547" s="626"/>
      <c r="L547" s="626"/>
    </row>
    <row r="548" spans="1:12" ht="10.5" hidden="1" customHeight="1" outlineLevel="1" x14ac:dyDescent="0.2">
      <c r="A548" s="610"/>
      <c r="B548" s="627" t="s">
        <v>229</v>
      </c>
      <c r="C548" s="627">
        <f>C545+1</f>
        <v>168</v>
      </c>
      <c r="D548" s="643">
        <v>82538</v>
      </c>
      <c r="E548" s="629">
        <f t="shared" si="60"/>
        <v>13.023950045873445</v>
      </c>
      <c r="F548" s="626"/>
      <c r="G548" s="626"/>
      <c r="H548" s="626"/>
      <c r="I548" s="626"/>
      <c r="J548" s="626"/>
      <c r="K548" s="626"/>
      <c r="L548" s="626"/>
    </row>
    <row r="549" spans="1:12" ht="10.5" hidden="1" customHeight="1" outlineLevel="1" x14ac:dyDescent="0.2">
      <c r="A549" s="610">
        <f>A536+1</f>
        <v>2008</v>
      </c>
      <c r="B549" s="627"/>
      <c r="C549" s="627"/>
      <c r="D549" s="530"/>
      <c r="E549" s="626"/>
      <c r="F549" s="626"/>
      <c r="G549" s="626"/>
      <c r="H549" s="626"/>
      <c r="I549" s="626"/>
      <c r="J549" s="626"/>
      <c r="K549" s="626"/>
      <c r="L549" s="626"/>
    </row>
    <row r="550" spans="1:12" ht="10.5" hidden="1" customHeight="1" outlineLevel="1" x14ac:dyDescent="0.2">
      <c r="A550" s="610" t="s">
        <v>104</v>
      </c>
      <c r="B550" s="627" t="s">
        <v>218</v>
      </c>
      <c r="C550" s="627"/>
      <c r="D550" s="643">
        <v>82538</v>
      </c>
      <c r="E550" s="629">
        <f t="shared" ref="E550:E561" si="61">(D550/D537-1)*100</f>
        <v>13.023950045873445</v>
      </c>
      <c r="F550" s="626"/>
      <c r="G550" s="626"/>
      <c r="H550" s="626"/>
      <c r="I550" s="626"/>
      <c r="J550" s="626"/>
      <c r="K550" s="626"/>
      <c r="L550" s="626"/>
    </row>
    <row r="551" spans="1:12" ht="10.5" hidden="1" customHeight="1" outlineLevel="1" x14ac:dyDescent="0.2">
      <c r="A551" s="610"/>
      <c r="B551" s="627" t="s">
        <v>219</v>
      </c>
      <c r="C551" s="627"/>
      <c r="D551" s="643">
        <f>AVERAGE(D550/D228,D552/D230)*D229</f>
        <v>83730.758442972467</v>
      </c>
      <c r="E551" s="629">
        <f t="shared" si="61"/>
        <v>12.749424594145919</v>
      </c>
      <c r="F551" s="626"/>
      <c r="G551" s="626"/>
      <c r="H551" s="626"/>
      <c r="I551" s="626"/>
      <c r="J551" s="626"/>
      <c r="K551" s="626"/>
      <c r="L551" s="626"/>
    </row>
    <row r="552" spans="1:12" ht="10.5" hidden="1" customHeight="1" outlineLevel="1" x14ac:dyDescent="0.2">
      <c r="A552" s="610"/>
      <c r="B552" s="627" t="s">
        <v>220</v>
      </c>
      <c r="C552" s="627">
        <f>C548+1</f>
        <v>169</v>
      </c>
      <c r="D552" s="643">
        <v>84922</v>
      </c>
      <c r="E552" s="629">
        <f t="shared" si="61"/>
        <v>14.067348117503254</v>
      </c>
      <c r="F552" s="626"/>
      <c r="G552" s="626"/>
      <c r="H552" s="626"/>
      <c r="I552" s="626"/>
      <c r="J552" s="626"/>
      <c r="K552" s="626"/>
      <c r="L552" s="626"/>
    </row>
    <row r="553" spans="1:12" ht="10.5" hidden="1" customHeight="1" outlineLevel="1" x14ac:dyDescent="0.2">
      <c r="A553" s="610" t="s">
        <v>105</v>
      </c>
      <c r="B553" s="627" t="s">
        <v>221</v>
      </c>
      <c r="C553" s="627"/>
      <c r="D553" s="643">
        <v>84922</v>
      </c>
      <c r="E553" s="629">
        <f t="shared" si="61"/>
        <v>14.067348117503254</v>
      </c>
      <c r="F553" s="626"/>
      <c r="G553" s="626"/>
      <c r="H553" s="626"/>
      <c r="I553" s="626"/>
      <c r="J553" s="626"/>
      <c r="K553" s="626"/>
      <c r="L553" s="626"/>
    </row>
    <row r="554" spans="1:12" ht="10.5" hidden="1" customHeight="1" outlineLevel="1" x14ac:dyDescent="0.2">
      <c r="A554" s="610"/>
      <c r="B554" s="627" t="s">
        <v>222</v>
      </c>
      <c r="C554" s="627"/>
      <c r="D554" s="643">
        <v>84922</v>
      </c>
      <c r="E554" s="629">
        <f t="shared" si="61"/>
        <v>14.067348117503254</v>
      </c>
      <c r="F554" s="626"/>
      <c r="G554" s="626"/>
      <c r="H554" s="626"/>
      <c r="I554" s="626"/>
      <c r="J554" s="626"/>
      <c r="K554" s="626"/>
      <c r="L554" s="626"/>
    </row>
    <row r="555" spans="1:12" ht="10.5" hidden="1" customHeight="1" outlineLevel="1" x14ac:dyDescent="0.2">
      <c r="A555" s="610"/>
      <c r="B555" s="627" t="s">
        <v>223</v>
      </c>
      <c r="C555" s="627">
        <f>C552+1</f>
        <v>170</v>
      </c>
      <c r="D555" s="643">
        <v>84942</v>
      </c>
      <c r="E555" s="629">
        <f t="shared" si="61"/>
        <v>14.094212145226926</v>
      </c>
      <c r="F555" s="626"/>
      <c r="G555" s="626"/>
      <c r="H555" s="626"/>
      <c r="I555" s="626"/>
      <c r="J555" s="626"/>
      <c r="K555" s="626"/>
      <c r="L555" s="626"/>
    </row>
    <row r="556" spans="1:12" ht="10.5" hidden="1" customHeight="1" outlineLevel="1" x14ac:dyDescent="0.2">
      <c r="A556" s="610" t="s">
        <v>106</v>
      </c>
      <c r="B556" s="627" t="s">
        <v>224</v>
      </c>
      <c r="C556" s="627"/>
      <c r="D556" s="643">
        <v>84942</v>
      </c>
      <c r="E556" s="629">
        <f t="shared" si="61"/>
        <v>14.094212145226926</v>
      </c>
      <c r="F556" s="626"/>
      <c r="G556" s="626"/>
      <c r="H556" s="626"/>
      <c r="I556" s="626"/>
      <c r="J556" s="626"/>
      <c r="K556" s="626"/>
      <c r="L556" s="626"/>
    </row>
    <row r="557" spans="1:12" ht="10.5" hidden="1" customHeight="1" outlineLevel="1" x14ac:dyDescent="0.2">
      <c r="A557" s="610"/>
      <c r="B557" s="627" t="s">
        <v>225</v>
      </c>
      <c r="C557" s="627"/>
      <c r="D557" s="643">
        <v>84942</v>
      </c>
      <c r="E557" s="629">
        <f t="shared" si="61"/>
        <v>14.094212145226926</v>
      </c>
      <c r="F557" s="626"/>
      <c r="G557" s="626"/>
      <c r="H557" s="626"/>
      <c r="I557" s="626"/>
      <c r="J557" s="626"/>
      <c r="K557" s="626"/>
      <c r="L557" s="626"/>
    </row>
    <row r="558" spans="1:12" ht="10.5" hidden="1" customHeight="1" outlineLevel="1" x14ac:dyDescent="0.2">
      <c r="A558" s="610"/>
      <c r="B558" s="627" t="s">
        <v>226</v>
      </c>
      <c r="C558" s="627">
        <f>C555+1</f>
        <v>171</v>
      </c>
      <c r="D558" s="643">
        <v>88979</v>
      </c>
      <c r="E558" s="629">
        <f t="shared" si="61"/>
        <v>9.5476706392199304</v>
      </c>
      <c r="F558" s="626"/>
      <c r="G558" s="626"/>
      <c r="H558" s="626"/>
      <c r="I558" s="626"/>
      <c r="J558" s="626"/>
      <c r="K558" s="626"/>
      <c r="L558" s="626"/>
    </row>
    <row r="559" spans="1:12" ht="10.5" hidden="1" customHeight="1" outlineLevel="1" x14ac:dyDescent="0.2">
      <c r="A559" s="610" t="s">
        <v>107</v>
      </c>
      <c r="B559" s="627" t="s">
        <v>227</v>
      </c>
      <c r="C559" s="627"/>
      <c r="D559" s="643">
        <f>D558</f>
        <v>88979</v>
      </c>
      <c r="E559" s="629">
        <f t="shared" si="61"/>
        <v>7.8036783057500836</v>
      </c>
      <c r="F559" s="626"/>
      <c r="G559" s="626"/>
      <c r="H559" s="626"/>
      <c r="I559" s="626"/>
      <c r="J559" s="626"/>
      <c r="K559" s="626"/>
      <c r="L559" s="626"/>
    </row>
    <row r="560" spans="1:12" ht="10.5" hidden="1" customHeight="1" outlineLevel="1" x14ac:dyDescent="0.2">
      <c r="A560" s="610"/>
      <c r="B560" s="627" t="s">
        <v>228</v>
      </c>
      <c r="C560" s="627"/>
      <c r="D560" s="643">
        <v>88979</v>
      </c>
      <c r="E560" s="629">
        <f t="shared" si="61"/>
        <v>7.8036783057500836</v>
      </c>
      <c r="F560" s="626"/>
      <c r="G560" s="626"/>
      <c r="H560" s="626"/>
      <c r="I560" s="626"/>
      <c r="J560" s="626"/>
      <c r="K560" s="626"/>
      <c r="L560" s="626"/>
    </row>
    <row r="561" spans="1:12" ht="10.5" hidden="1" customHeight="1" outlineLevel="1" x14ac:dyDescent="0.2">
      <c r="A561" s="610"/>
      <c r="B561" s="627" t="s">
        <v>229</v>
      </c>
      <c r="C561" s="627">
        <f>C558+1</f>
        <v>172</v>
      </c>
      <c r="D561" s="643">
        <v>88979</v>
      </c>
      <c r="E561" s="629">
        <f t="shared" si="61"/>
        <v>7.8036783057500836</v>
      </c>
      <c r="F561" s="626"/>
      <c r="G561" s="626"/>
      <c r="H561" s="626"/>
      <c r="I561" s="626"/>
      <c r="J561" s="626"/>
      <c r="K561" s="626"/>
      <c r="L561" s="626"/>
    </row>
    <row r="562" spans="1:12" ht="10.5" hidden="1" customHeight="1" outlineLevel="1" x14ac:dyDescent="0.2">
      <c r="A562" s="610">
        <f>A549+1</f>
        <v>2009</v>
      </c>
      <c r="B562" s="627"/>
      <c r="C562" s="627"/>
      <c r="D562" s="645"/>
      <c r="E562" s="625"/>
      <c r="F562" s="626"/>
      <c r="G562" s="626"/>
      <c r="H562" s="626"/>
      <c r="I562" s="626"/>
      <c r="J562" s="626"/>
      <c r="K562" s="626"/>
      <c r="L562" s="626"/>
    </row>
    <row r="563" spans="1:12" ht="10.5" hidden="1" customHeight="1" outlineLevel="1" x14ac:dyDescent="0.2">
      <c r="A563" s="610" t="s">
        <v>104</v>
      </c>
      <c r="B563" s="627" t="s">
        <v>218</v>
      </c>
      <c r="C563" s="627"/>
      <c r="D563" s="643">
        <v>88979</v>
      </c>
      <c r="E563" s="629">
        <f t="shared" ref="E563:E574" si="62">(D563/D550-1)*100</f>
        <v>7.8036783057500836</v>
      </c>
      <c r="F563" s="626"/>
      <c r="G563" s="626"/>
      <c r="H563" s="626"/>
      <c r="I563" s="626"/>
      <c r="J563" s="626"/>
      <c r="K563" s="626"/>
      <c r="L563" s="626"/>
    </row>
    <row r="564" spans="1:12" ht="10.5" hidden="1" customHeight="1" outlineLevel="1" x14ac:dyDescent="0.2">
      <c r="A564" s="610"/>
      <c r="B564" s="627" t="s">
        <v>219</v>
      </c>
      <c r="C564" s="627"/>
      <c r="D564" s="643">
        <f>D563+((18*88)+(0*68))</f>
        <v>90563</v>
      </c>
      <c r="E564" s="629">
        <f t="shared" si="62"/>
        <v>8.1597750743902075</v>
      </c>
      <c r="F564" s="626"/>
      <c r="G564" s="626"/>
      <c r="H564" s="626"/>
      <c r="I564" s="626"/>
      <c r="J564" s="626"/>
      <c r="K564" s="626"/>
      <c r="L564" s="626"/>
    </row>
    <row r="565" spans="1:12" ht="10.5" hidden="1" customHeight="1" outlineLevel="1" x14ac:dyDescent="0.2">
      <c r="A565" s="610"/>
      <c r="B565" s="627" t="s">
        <v>220</v>
      </c>
      <c r="C565" s="627">
        <f>C561+1</f>
        <v>173</v>
      </c>
      <c r="D565" s="643">
        <v>90554</v>
      </c>
      <c r="E565" s="629">
        <f t="shared" si="62"/>
        <v>6.6319681590164992</v>
      </c>
      <c r="F565" s="626"/>
      <c r="G565" s="626"/>
      <c r="H565" s="626"/>
      <c r="I565" s="626"/>
      <c r="J565" s="626"/>
      <c r="K565" s="626"/>
      <c r="L565" s="626"/>
    </row>
    <row r="566" spans="1:12" ht="10.5" hidden="1" customHeight="1" outlineLevel="1" x14ac:dyDescent="0.2">
      <c r="A566" s="610" t="s">
        <v>105</v>
      </c>
      <c r="B566" s="627" t="s">
        <v>221</v>
      </c>
      <c r="C566" s="627"/>
      <c r="D566" s="643">
        <v>90554</v>
      </c>
      <c r="E566" s="629">
        <f t="shared" si="62"/>
        <v>6.6319681590164992</v>
      </c>
      <c r="F566" s="626"/>
      <c r="G566" s="626"/>
      <c r="H566" s="626"/>
      <c r="I566" s="626"/>
      <c r="J566" s="626"/>
      <c r="K566" s="626"/>
      <c r="L566" s="626"/>
    </row>
    <row r="567" spans="1:12" ht="10.5" hidden="1" customHeight="1" outlineLevel="1" x14ac:dyDescent="0.2">
      <c r="A567" s="610"/>
      <c r="B567" s="627" t="s">
        <v>222</v>
      </c>
      <c r="C567" s="627"/>
      <c r="D567" s="643">
        <v>90554</v>
      </c>
      <c r="E567" s="629">
        <f t="shared" si="62"/>
        <v>6.6319681590164992</v>
      </c>
      <c r="F567" s="626"/>
      <c r="G567" s="626"/>
      <c r="H567" s="626"/>
      <c r="I567" s="626"/>
      <c r="J567" s="626"/>
      <c r="K567" s="626"/>
      <c r="L567" s="626"/>
    </row>
    <row r="568" spans="1:12" ht="10.5" hidden="1" customHeight="1" outlineLevel="1" x14ac:dyDescent="0.2">
      <c r="A568" s="610"/>
      <c r="B568" s="627" t="s">
        <v>223</v>
      </c>
      <c r="C568" s="627">
        <f>C565+1</f>
        <v>174</v>
      </c>
      <c r="D568" s="643">
        <v>90554</v>
      </c>
      <c r="E568" s="629">
        <f t="shared" si="62"/>
        <v>6.6068611523157017</v>
      </c>
      <c r="F568" s="626"/>
      <c r="G568" s="626"/>
      <c r="H568" s="626"/>
      <c r="I568" s="626"/>
      <c r="J568" s="626"/>
      <c r="K568" s="626"/>
      <c r="L568" s="626"/>
    </row>
    <row r="569" spans="1:12" ht="10.5" hidden="1" customHeight="1" outlineLevel="1" x14ac:dyDescent="0.2">
      <c r="A569" s="610" t="s">
        <v>106</v>
      </c>
      <c r="B569" s="627" t="s">
        <v>224</v>
      </c>
      <c r="C569" s="627"/>
      <c r="D569" s="643">
        <v>90554</v>
      </c>
      <c r="E569" s="629">
        <f t="shared" si="62"/>
        <v>6.6068611523157017</v>
      </c>
      <c r="F569" s="626"/>
      <c r="G569" s="626"/>
      <c r="H569" s="626"/>
      <c r="I569" s="626"/>
      <c r="J569" s="626"/>
      <c r="K569" s="626"/>
      <c r="L569" s="626"/>
    </row>
    <row r="570" spans="1:12" ht="10.5" hidden="1" customHeight="1" outlineLevel="1" x14ac:dyDescent="0.2">
      <c r="A570" s="610"/>
      <c r="B570" s="627" t="s">
        <v>225</v>
      </c>
      <c r="C570" s="627"/>
      <c r="D570" s="643">
        <f>D569++((37*76)+(0*68))</f>
        <v>93366</v>
      </c>
      <c r="E570" s="629">
        <f t="shared" si="62"/>
        <v>9.9173553719008147</v>
      </c>
      <c r="F570" s="626"/>
      <c r="G570" s="626"/>
      <c r="H570" s="626"/>
      <c r="I570" s="626"/>
      <c r="J570" s="626"/>
      <c r="K570" s="626"/>
      <c r="L570" s="626"/>
    </row>
    <row r="571" spans="1:12" ht="10.5" hidden="1" customHeight="1" outlineLevel="1" x14ac:dyDescent="0.2">
      <c r="A571" s="610"/>
      <c r="B571" s="627" t="s">
        <v>226</v>
      </c>
      <c r="C571" s="627">
        <f>C568+1</f>
        <v>175</v>
      </c>
      <c r="D571" s="643">
        <v>93370</v>
      </c>
      <c r="E571" s="629">
        <f t="shared" si="62"/>
        <v>4.9348722732330152</v>
      </c>
      <c r="F571" s="626"/>
      <c r="G571" s="626"/>
      <c r="H571" s="626"/>
      <c r="I571" s="626"/>
      <c r="J571" s="626"/>
      <c r="K571" s="626"/>
      <c r="L571" s="626"/>
    </row>
    <row r="572" spans="1:12" ht="10.5" hidden="1" customHeight="1" outlineLevel="1" x14ac:dyDescent="0.2">
      <c r="A572" s="610" t="s">
        <v>107</v>
      </c>
      <c r="B572" s="627" t="s">
        <v>227</v>
      </c>
      <c r="C572" s="627"/>
      <c r="D572" s="643">
        <v>93370</v>
      </c>
      <c r="E572" s="629">
        <f t="shared" si="62"/>
        <v>4.9348722732330152</v>
      </c>
      <c r="F572" s="626"/>
      <c r="G572" s="626"/>
      <c r="H572" s="626"/>
      <c r="I572" s="626"/>
      <c r="J572" s="626"/>
      <c r="K572" s="626"/>
      <c r="L572" s="626"/>
    </row>
    <row r="573" spans="1:12" ht="10.5" hidden="1" customHeight="1" outlineLevel="1" x14ac:dyDescent="0.2">
      <c r="A573" s="610"/>
      <c r="B573" s="627" t="s">
        <v>228</v>
      </c>
      <c r="C573" s="627"/>
      <c r="D573" s="643">
        <v>93370</v>
      </c>
      <c r="E573" s="629">
        <f t="shared" si="62"/>
        <v>4.9348722732330152</v>
      </c>
      <c r="F573" s="626"/>
      <c r="G573" s="626"/>
      <c r="H573" s="626"/>
      <c r="I573" s="626"/>
      <c r="J573" s="626"/>
      <c r="K573" s="626"/>
      <c r="L573" s="626"/>
    </row>
    <row r="574" spans="1:12" ht="10.5" hidden="1" customHeight="1" outlineLevel="1" x14ac:dyDescent="0.2">
      <c r="A574" s="610"/>
      <c r="B574" s="627" t="s">
        <v>229</v>
      </c>
      <c r="C574" s="627">
        <f>C571+1</f>
        <v>176</v>
      </c>
      <c r="D574" s="643">
        <v>93289</v>
      </c>
      <c r="E574" s="629">
        <f t="shared" si="62"/>
        <v>4.8438395576484439</v>
      </c>
      <c r="F574" s="626"/>
      <c r="G574" s="626"/>
      <c r="H574" s="626"/>
      <c r="I574" s="626"/>
      <c r="J574" s="626"/>
      <c r="K574" s="626"/>
      <c r="L574" s="626"/>
    </row>
    <row r="575" spans="1:12" ht="10.5" hidden="1" customHeight="1" outlineLevel="1" x14ac:dyDescent="0.2">
      <c r="A575" s="610">
        <f>A562+1</f>
        <v>2010</v>
      </c>
      <c r="B575" s="627"/>
      <c r="C575" s="627"/>
      <c r="D575" s="645"/>
      <c r="E575" s="625"/>
      <c r="F575" s="626"/>
      <c r="G575" s="626"/>
      <c r="H575" s="626"/>
      <c r="I575" s="626"/>
      <c r="J575" s="626"/>
      <c r="K575" s="626"/>
      <c r="L575" s="626"/>
    </row>
    <row r="576" spans="1:12" ht="10.5" hidden="1" customHeight="1" outlineLevel="1" x14ac:dyDescent="0.2">
      <c r="A576" s="610" t="s">
        <v>104</v>
      </c>
      <c r="B576" s="627" t="s">
        <v>218</v>
      </c>
      <c r="C576" s="627"/>
      <c r="D576" s="643">
        <v>93289</v>
      </c>
      <c r="E576" s="629">
        <f t="shared" ref="E576:E587" si="63">(D576/D563-1)*100</f>
        <v>4.8438395576484439</v>
      </c>
      <c r="F576" s="626"/>
      <c r="G576" s="626"/>
      <c r="H576" s="626"/>
      <c r="I576" s="626"/>
      <c r="J576" s="626"/>
      <c r="K576" s="626"/>
      <c r="L576" s="626"/>
    </row>
    <row r="577" spans="1:12" ht="10.5" hidden="1" customHeight="1" outlineLevel="1" x14ac:dyDescent="0.2">
      <c r="A577" s="610"/>
      <c r="B577" s="627" t="s">
        <v>219</v>
      </c>
      <c r="C577" s="627"/>
      <c r="D577" s="643">
        <f>D576++((5*100.4)+(4*68))</f>
        <v>94063</v>
      </c>
      <c r="E577" s="629">
        <f t="shared" si="63"/>
        <v>3.8647129622472853</v>
      </c>
      <c r="F577" s="626"/>
      <c r="G577" s="626"/>
      <c r="H577" s="626"/>
      <c r="I577" s="626"/>
      <c r="J577" s="626"/>
      <c r="K577" s="626"/>
      <c r="L577" s="626"/>
    </row>
    <row r="578" spans="1:12" ht="10.5" hidden="1" customHeight="1" outlineLevel="1" x14ac:dyDescent="0.2">
      <c r="A578" s="610"/>
      <c r="B578" s="627" t="s">
        <v>220</v>
      </c>
      <c r="C578" s="627">
        <f>C574+1</f>
        <v>177</v>
      </c>
      <c r="D578" s="643">
        <v>94063</v>
      </c>
      <c r="E578" s="629">
        <f t="shared" si="63"/>
        <v>3.875035890187073</v>
      </c>
      <c r="F578" s="626"/>
      <c r="G578" s="626"/>
      <c r="H578" s="626"/>
      <c r="I578" s="626"/>
      <c r="J578" s="626"/>
      <c r="K578" s="626"/>
      <c r="L578" s="626"/>
    </row>
    <row r="579" spans="1:12" ht="10.5" hidden="1" customHeight="1" outlineLevel="1" x14ac:dyDescent="0.2">
      <c r="A579" s="610" t="s">
        <v>105</v>
      </c>
      <c r="B579" s="627" t="s">
        <v>221</v>
      </c>
      <c r="C579" s="627"/>
      <c r="D579" s="643">
        <v>94063</v>
      </c>
      <c r="E579" s="629">
        <f t="shared" si="63"/>
        <v>3.875035890187073</v>
      </c>
      <c r="F579" s="626"/>
      <c r="G579" s="626"/>
      <c r="H579" s="626"/>
      <c r="I579" s="626"/>
      <c r="J579" s="626"/>
      <c r="K579" s="626"/>
      <c r="L579" s="626"/>
    </row>
    <row r="580" spans="1:12" ht="10.5" hidden="1" customHeight="1" outlineLevel="1" x14ac:dyDescent="0.2">
      <c r="A580" s="610"/>
      <c r="B580" s="627" t="s">
        <v>222</v>
      </c>
      <c r="C580" s="627"/>
      <c r="D580" s="643">
        <v>94063</v>
      </c>
      <c r="E580" s="629">
        <f t="shared" si="63"/>
        <v>3.875035890187073</v>
      </c>
      <c r="F580" s="626"/>
      <c r="G580" s="626"/>
      <c r="H580" s="626"/>
      <c r="I580" s="626"/>
      <c r="J580" s="626"/>
      <c r="K580" s="626"/>
      <c r="L580" s="626"/>
    </row>
    <row r="581" spans="1:12" ht="10.5" hidden="1" customHeight="1" outlineLevel="1" x14ac:dyDescent="0.2">
      <c r="A581" s="610"/>
      <c r="B581" s="627" t="s">
        <v>223</v>
      </c>
      <c r="C581" s="627">
        <f>C578+1</f>
        <v>178</v>
      </c>
      <c r="D581" s="643">
        <v>94063</v>
      </c>
      <c r="E581" s="629">
        <f t="shared" si="63"/>
        <v>3.875035890187073</v>
      </c>
      <c r="F581" s="626"/>
      <c r="G581" s="626"/>
      <c r="H581" s="626"/>
      <c r="I581" s="626"/>
      <c r="J581" s="626"/>
      <c r="K581" s="626"/>
      <c r="L581" s="626"/>
    </row>
    <row r="582" spans="1:12" ht="10.5" hidden="1" customHeight="1" outlineLevel="1" x14ac:dyDescent="0.2">
      <c r="A582" s="610" t="s">
        <v>106</v>
      </c>
      <c r="B582" s="627" t="s">
        <v>224</v>
      </c>
      <c r="C582" s="627"/>
      <c r="D582" s="643">
        <v>94063</v>
      </c>
      <c r="E582" s="629">
        <f t="shared" si="63"/>
        <v>3.875035890187073</v>
      </c>
      <c r="F582" s="626"/>
      <c r="G582" s="626"/>
      <c r="H582" s="626"/>
      <c r="I582" s="626"/>
      <c r="J582" s="626"/>
      <c r="K582" s="626"/>
      <c r="L582" s="626"/>
    </row>
    <row r="583" spans="1:12" ht="10.5" hidden="1" customHeight="1" outlineLevel="1" x14ac:dyDescent="0.2">
      <c r="A583" s="610"/>
      <c r="B583" s="627" t="s">
        <v>225</v>
      </c>
      <c r="C583" s="627"/>
      <c r="D583" s="643">
        <f>95819.4+((12*89.7)+(10*68))</f>
        <v>97575.799999999988</v>
      </c>
      <c r="E583" s="629">
        <f t="shared" si="63"/>
        <v>4.5089218773429085</v>
      </c>
      <c r="F583" s="626"/>
      <c r="G583" s="626"/>
      <c r="H583" s="626"/>
      <c r="I583" s="626"/>
      <c r="J583" s="626"/>
      <c r="K583" s="626"/>
      <c r="L583" s="626"/>
    </row>
    <row r="584" spans="1:12" ht="10.5" hidden="1" customHeight="1" outlineLevel="1" x14ac:dyDescent="0.2">
      <c r="A584" s="610"/>
      <c r="B584" s="627" t="s">
        <v>226</v>
      </c>
      <c r="C584" s="627">
        <f>C581+1</f>
        <v>179</v>
      </c>
      <c r="D584" s="643">
        <v>95819</v>
      </c>
      <c r="E584" s="629">
        <f t="shared" si="63"/>
        <v>2.6228981471564827</v>
      </c>
      <c r="F584" s="626"/>
      <c r="G584" s="626"/>
      <c r="H584" s="626"/>
      <c r="I584" s="626"/>
      <c r="J584" s="626"/>
      <c r="K584" s="626"/>
      <c r="L584" s="626"/>
    </row>
    <row r="585" spans="1:12" ht="10.5" hidden="1" customHeight="1" outlineLevel="1" x14ac:dyDescent="0.2">
      <c r="A585" s="610" t="s">
        <v>107</v>
      </c>
      <c r="B585" s="627" t="s">
        <v>227</v>
      </c>
      <c r="C585" s="627"/>
      <c r="D585" s="643">
        <v>95819</v>
      </c>
      <c r="E585" s="629">
        <f t="shared" si="63"/>
        <v>2.6228981471564827</v>
      </c>
      <c r="F585" s="626"/>
      <c r="G585" s="626"/>
      <c r="H585" s="626"/>
      <c r="I585" s="626"/>
      <c r="J585" s="626"/>
      <c r="K585" s="626"/>
      <c r="L585" s="626"/>
    </row>
    <row r="586" spans="1:12" ht="10.5" hidden="1" customHeight="1" outlineLevel="1" x14ac:dyDescent="0.2">
      <c r="A586" s="610"/>
      <c r="B586" s="627" t="s">
        <v>228</v>
      </c>
      <c r="C586" s="627"/>
      <c r="D586" s="643">
        <v>95819</v>
      </c>
      <c r="E586" s="629">
        <f t="shared" si="63"/>
        <v>2.6228981471564827</v>
      </c>
      <c r="F586" s="626"/>
      <c r="G586" s="626"/>
      <c r="H586" s="626"/>
      <c r="I586" s="626"/>
      <c r="J586" s="626"/>
      <c r="K586" s="626"/>
      <c r="L586" s="626"/>
    </row>
    <row r="587" spans="1:12" ht="10.5" hidden="1" customHeight="1" outlineLevel="1" x14ac:dyDescent="0.2">
      <c r="A587" s="610"/>
      <c r="B587" s="627" t="s">
        <v>229</v>
      </c>
      <c r="C587" s="627">
        <f>C584+1</f>
        <v>180</v>
      </c>
      <c r="D587" s="643">
        <v>95819</v>
      </c>
      <c r="E587" s="629">
        <f t="shared" si="63"/>
        <v>2.7120024868955594</v>
      </c>
      <c r="F587" s="626"/>
      <c r="G587" s="626"/>
      <c r="H587" s="626"/>
      <c r="I587" s="626"/>
      <c r="J587" s="626"/>
      <c r="K587" s="626"/>
      <c r="L587" s="626"/>
    </row>
    <row r="588" spans="1:12" ht="10.5" hidden="1" customHeight="1" outlineLevel="1" x14ac:dyDescent="0.2">
      <c r="A588" s="610">
        <f>A575+1</f>
        <v>2011</v>
      </c>
      <c r="B588" s="627"/>
      <c r="C588" s="627"/>
      <c r="D588" s="645"/>
      <c r="E588" s="625"/>
      <c r="F588" s="626"/>
      <c r="G588" s="626"/>
      <c r="H588" s="626"/>
      <c r="I588" s="626"/>
      <c r="J588" s="626"/>
      <c r="K588" s="626"/>
      <c r="L588" s="626"/>
    </row>
    <row r="589" spans="1:12" ht="10.5" hidden="1" customHeight="1" outlineLevel="1" x14ac:dyDescent="0.2">
      <c r="A589" s="610" t="s">
        <v>104</v>
      </c>
      <c r="B589" s="627" t="s">
        <v>218</v>
      </c>
      <c r="C589" s="627"/>
      <c r="D589" s="643">
        <v>95819</v>
      </c>
      <c r="E589" s="629">
        <f t="shared" ref="E589:E600" si="64">(D589/D576-1)*100</f>
        <v>2.7120024868955594</v>
      </c>
      <c r="F589" s="626"/>
      <c r="G589" s="626"/>
      <c r="H589" s="626"/>
      <c r="I589" s="626"/>
      <c r="J589" s="626"/>
      <c r="K589" s="626"/>
      <c r="L589" s="626"/>
    </row>
    <row r="590" spans="1:12" ht="10.5" hidden="1" customHeight="1" outlineLevel="1" x14ac:dyDescent="0.2">
      <c r="A590" s="610"/>
      <c r="B590" s="627" t="s">
        <v>219</v>
      </c>
      <c r="C590" s="627"/>
      <c r="D590" s="643">
        <f>D589+(((D268-D267)*1/3*82.5)+(D268-D267)*2/3*64)</f>
        <v>96380.333333333328</v>
      </c>
      <c r="E590" s="629">
        <f t="shared" si="64"/>
        <v>2.463597092728631</v>
      </c>
      <c r="F590" s="626"/>
      <c r="G590" s="626"/>
      <c r="H590" s="626"/>
      <c r="I590" s="626"/>
      <c r="J590" s="626"/>
      <c r="K590" s="626"/>
      <c r="L590" s="626"/>
    </row>
    <row r="591" spans="1:12" ht="10.5" hidden="1" customHeight="1" outlineLevel="1" x14ac:dyDescent="0.2">
      <c r="A591" s="610"/>
      <c r="B591" s="627" t="s">
        <v>220</v>
      </c>
      <c r="C591" s="627">
        <f>C587+1</f>
        <v>181</v>
      </c>
      <c r="D591" s="643">
        <v>96380</v>
      </c>
      <c r="E591" s="629">
        <f t="shared" si="64"/>
        <v>2.4632427203044704</v>
      </c>
      <c r="F591" s="626"/>
      <c r="G591" s="626"/>
      <c r="H591" s="626"/>
      <c r="I591" s="626"/>
      <c r="J591" s="626"/>
      <c r="K591" s="626"/>
      <c r="L591" s="626"/>
    </row>
    <row r="592" spans="1:12" ht="10.5" hidden="1" customHeight="1" outlineLevel="1" x14ac:dyDescent="0.2">
      <c r="A592" s="610" t="s">
        <v>105</v>
      </c>
      <c r="B592" s="627" t="s">
        <v>221</v>
      </c>
      <c r="C592" s="627"/>
      <c r="D592" s="643">
        <v>96380</v>
      </c>
      <c r="E592" s="629">
        <f t="shared" si="64"/>
        <v>2.4632427203044704</v>
      </c>
      <c r="F592" s="626"/>
      <c r="G592" s="626"/>
      <c r="H592" s="626"/>
      <c r="I592" s="626"/>
      <c r="J592" s="626"/>
      <c r="K592" s="626"/>
      <c r="L592" s="626"/>
    </row>
    <row r="593" spans="1:12" ht="10.5" hidden="1" customHeight="1" outlineLevel="1" x14ac:dyDescent="0.2">
      <c r="A593" s="610"/>
      <c r="B593" s="627" t="s">
        <v>222</v>
      </c>
      <c r="C593" s="627"/>
      <c r="D593" s="643">
        <v>96380</v>
      </c>
      <c r="E593" s="629">
        <f t="shared" si="64"/>
        <v>2.4632427203044704</v>
      </c>
      <c r="F593" s="626"/>
      <c r="G593" s="626"/>
      <c r="H593" s="626"/>
      <c r="I593" s="626"/>
      <c r="J593" s="626"/>
      <c r="K593" s="626"/>
      <c r="L593" s="626"/>
    </row>
    <row r="594" spans="1:12" ht="10.5" hidden="1" customHeight="1" outlineLevel="1" x14ac:dyDescent="0.2">
      <c r="A594" s="610"/>
      <c r="B594" s="627" t="s">
        <v>223</v>
      </c>
      <c r="C594" s="627">
        <f>C591+1</f>
        <v>182</v>
      </c>
      <c r="D594" s="643">
        <v>96380</v>
      </c>
      <c r="E594" s="629">
        <f t="shared" si="64"/>
        <v>2.4632427203044704</v>
      </c>
      <c r="F594" s="626"/>
      <c r="G594" s="626"/>
      <c r="H594" s="626"/>
      <c r="I594" s="626"/>
      <c r="J594" s="626"/>
      <c r="K594" s="626"/>
      <c r="L594" s="626"/>
    </row>
    <row r="595" spans="1:12" ht="10.5" hidden="1" customHeight="1" outlineLevel="1" x14ac:dyDescent="0.2">
      <c r="A595" s="610" t="s">
        <v>106</v>
      </c>
      <c r="B595" s="627" t="s">
        <v>224</v>
      </c>
      <c r="C595" s="627"/>
      <c r="D595" s="643">
        <v>96380</v>
      </c>
      <c r="E595" s="629">
        <f t="shared" si="64"/>
        <v>2.4632427203044704</v>
      </c>
      <c r="F595" s="626"/>
      <c r="G595" s="626"/>
      <c r="H595" s="626"/>
      <c r="I595" s="626"/>
      <c r="J595" s="626"/>
      <c r="K595" s="626"/>
      <c r="L595" s="626"/>
    </row>
    <row r="596" spans="1:12" ht="10.5" hidden="1" customHeight="1" outlineLevel="1" x14ac:dyDescent="0.2">
      <c r="A596" s="610"/>
      <c r="B596" s="627" t="s">
        <v>225</v>
      </c>
      <c r="C596" s="627"/>
      <c r="D596" s="643">
        <f>D595+(((D274-D273)*1/4*85.7)+(D274-D273)*3/4*64)</f>
        <v>98462.75</v>
      </c>
      <c r="E596" s="629">
        <f t="shared" si="64"/>
        <v>0.9089856296335963</v>
      </c>
      <c r="F596" s="626"/>
      <c r="G596" s="626"/>
      <c r="H596" s="626"/>
      <c r="I596" s="626"/>
      <c r="J596" s="626"/>
      <c r="K596" s="626"/>
      <c r="L596" s="626"/>
    </row>
    <row r="597" spans="1:12" ht="10.5" hidden="1" customHeight="1" outlineLevel="1" x14ac:dyDescent="0.2">
      <c r="A597" s="610"/>
      <c r="B597" s="627" t="s">
        <v>226</v>
      </c>
      <c r="C597" s="627">
        <f>C594+1</f>
        <v>183</v>
      </c>
      <c r="D597" s="643">
        <v>98463</v>
      </c>
      <c r="E597" s="629">
        <f t="shared" si="64"/>
        <v>2.759369227397479</v>
      </c>
      <c r="F597" s="626"/>
      <c r="G597" s="626"/>
      <c r="H597" s="626"/>
      <c r="I597" s="626"/>
      <c r="J597" s="626"/>
      <c r="K597" s="626"/>
      <c r="L597" s="626"/>
    </row>
    <row r="598" spans="1:12" ht="10.5" hidden="1" customHeight="1" outlineLevel="1" x14ac:dyDescent="0.2">
      <c r="A598" s="610" t="s">
        <v>107</v>
      </c>
      <c r="B598" s="627" t="s">
        <v>227</v>
      </c>
      <c r="C598" s="627"/>
      <c r="D598" s="643">
        <f>D597+(((D276-D275)*0.1*88)+(D276-D275)*0.9*68)</f>
        <v>98463</v>
      </c>
      <c r="E598" s="629">
        <f t="shared" si="64"/>
        <v>2.759369227397479</v>
      </c>
      <c r="F598" s="626"/>
      <c r="G598" s="626"/>
      <c r="H598" s="626"/>
      <c r="I598" s="626"/>
      <c r="J598" s="626"/>
      <c r="K598" s="626"/>
      <c r="L598" s="626"/>
    </row>
    <row r="599" spans="1:12" ht="10.5" hidden="1" customHeight="1" outlineLevel="1" x14ac:dyDescent="0.2">
      <c r="A599" s="610"/>
      <c r="B599" s="627" t="s">
        <v>228</v>
      </c>
      <c r="C599" s="627"/>
      <c r="D599" s="643">
        <f>D598+(((D277-D276)*0.1*88)+(D277-D276)*0.9*68)</f>
        <v>98463</v>
      </c>
      <c r="E599" s="629">
        <f t="shared" si="64"/>
        <v>2.759369227397479</v>
      </c>
      <c r="F599" s="626"/>
      <c r="G599" s="626"/>
      <c r="H599" s="626"/>
      <c r="I599" s="626"/>
      <c r="J599" s="626"/>
      <c r="K599" s="626"/>
      <c r="L599" s="626"/>
    </row>
    <row r="600" spans="1:12" ht="10.5" hidden="1" customHeight="1" outlineLevel="1" x14ac:dyDescent="0.2">
      <c r="A600" s="610"/>
      <c r="B600" s="627" t="s">
        <v>229</v>
      </c>
      <c r="C600" s="627">
        <f>C597+1</f>
        <v>184</v>
      </c>
      <c r="D600" s="643">
        <f>D599+(((D278-D277)*0.1*88)+(D278-D277)*0.9*68)</f>
        <v>98463</v>
      </c>
      <c r="E600" s="629">
        <f t="shared" si="64"/>
        <v>2.759369227397479</v>
      </c>
      <c r="F600" s="626"/>
      <c r="G600" s="626"/>
      <c r="H600" s="626"/>
      <c r="I600" s="626"/>
      <c r="J600" s="626"/>
      <c r="K600" s="626"/>
      <c r="L600" s="626"/>
    </row>
    <row r="601" spans="1:12" ht="10.5" hidden="1" customHeight="1" outlineLevel="1" x14ac:dyDescent="0.2">
      <c r="A601" s="610">
        <f>A588+1</f>
        <v>2012</v>
      </c>
      <c r="B601" s="627"/>
      <c r="C601" s="627"/>
      <c r="D601" s="645"/>
      <c r="E601" s="625"/>
      <c r="F601" s="626"/>
      <c r="G601" s="626"/>
      <c r="H601" s="626"/>
      <c r="I601" s="626"/>
      <c r="J601" s="626"/>
      <c r="K601" s="626"/>
      <c r="L601" s="626"/>
    </row>
    <row r="602" spans="1:12" ht="10.5" hidden="1" customHeight="1" outlineLevel="1" x14ac:dyDescent="0.2">
      <c r="A602" s="610" t="s">
        <v>104</v>
      </c>
      <c r="B602" s="627" t="s">
        <v>218</v>
      </c>
      <c r="C602" s="627"/>
      <c r="D602" s="643">
        <f>D600+(((D280-D278)*0.1*88)+(D280-D278)*0.9*68)</f>
        <v>98463</v>
      </c>
      <c r="E602" s="629">
        <f t="shared" ref="E602:E613" si="65">(D602/D589-1)*100</f>
        <v>2.759369227397479</v>
      </c>
      <c r="F602" s="626"/>
      <c r="G602" s="626"/>
      <c r="H602" s="626"/>
      <c r="I602" s="626"/>
      <c r="J602" s="626"/>
      <c r="K602" s="626"/>
      <c r="L602" s="626"/>
    </row>
    <row r="603" spans="1:12" ht="10.5" hidden="1" customHeight="1" outlineLevel="1" x14ac:dyDescent="0.2">
      <c r="A603" s="610"/>
      <c r="B603" s="627" t="s">
        <v>219</v>
      </c>
      <c r="C603" s="627"/>
      <c r="D603" s="643">
        <f>D602+(((D281-D280)*0.1*88)+(D281-D280)*0.9*68)</f>
        <v>98953</v>
      </c>
      <c r="E603" s="629">
        <f t="shared" si="65"/>
        <v>2.6692859193265583</v>
      </c>
      <c r="F603" s="626"/>
      <c r="G603" s="626"/>
      <c r="H603" s="626"/>
      <c r="I603" s="626"/>
      <c r="J603" s="626"/>
      <c r="K603" s="626"/>
      <c r="L603" s="626"/>
    </row>
    <row r="604" spans="1:12" ht="10.5" hidden="1" customHeight="1" outlineLevel="1" x14ac:dyDescent="0.2">
      <c r="A604" s="610"/>
      <c r="B604" s="627" t="s">
        <v>220</v>
      </c>
      <c r="C604" s="627">
        <f>C600+1</f>
        <v>185</v>
      </c>
      <c r="D604" s="643">
        <f>D603+(((D282-D281)*0.1*88)+(D282-D281)*0.9*68)</f>
        <v>98953</v>
      </c>
      <c r="E604" s="629">
        <f t="shared" si="65"/>
        <v>2.669641004357759</v>
      </c>
      <c r="F604" s="626"/>
      <c r="G604" s="626"/>
      <c r="H604" s="626"/>
      <c r="I604" s="626"/>
      <c r="J604" s="626"/>
      <c r="K604" s="626"/>
      <c r="L604" s="626"/>
    </row>
    <row r="605" spans="1:12" ht="10.5" hidden="1" customHeight="1" outlineLevel="1" x14ac:dyDescent="0.2">
      <c r="A605" s="610" t="s">
        <v>105</v>
      </c>
      <c r="B605" s="627" t="s">
        <v>221</v>
      </c>
      <c r="C605" s="627"/>
      <c r="D605" s="643">
        <f>D604+(((D283-D282)*0.1*88)+(D283-D282)*0.9*68)</f>
        <v>98953</v>
      </c>
      <c r="E605" s="629">
        <f t="shared" si="65"/>
        <v>2.669641004357759</v>
      </c>
      <c r="F605" s="626"/>
      <c r="G605" s="626"/>
      <c r="H605" s="626"/>
      <c r="I605" s="626"/>
      <c r="J605" s="626"/>
      <c r="K605" s="626"/>
      <c r="L605" s="626"/>
    </row>
    <row r="606" spans="1:12" ht="10.5" hidden="1" customHeight="1" outlineLevel="1" x14ac:dyDescent="0.2">
      <c r="A606" s="610"/>
      <c r="B606" s="627" t="s">
        <v>222</v>
      </c>
      <c r="C606" s="627"/>
      <c r="D606" s="643">
        <f>D605+(((D284-D283)*0.1*88)+(D284-D283)*0.9*68)</f>
        <v>98953</v>
      </c>
      <c r="E606" s="629">
        <f t="shared" si="65"/>
        <v>2.669641004357759</v>
      </c>
      <c r="F606" s="626"/>
      <c r="G606" s="626"/>
      <c r="H606" s="626"/>
      <c r="I606" s="626"/>
      <c r="J606" s="626"/>
      <c r="K606" s="626"/>
      <c r="L606" s="626"/>
    </row>
    <row r="607" spans="1:12" ht="10.5" hidden="1" customHeight="1" outlineLevel="1" x14ac:dyDescent="0.2">
      <c r="A607" s="610"/>
      <c r="B607" s="627" t="s">
        <v>223</v>
      </c>
      <c r="C607" s="627">
        <f>C604+1</f>
        <v>186</v>
      </c>
      <c r="D607" s="643">
        <v>98848</v>
      </c>
      <c r="E607" s="629">
        <f t="shared" si="65"/>
        <v>2.5606972400913142</v>
      </c>
      <c r="F607" s="626"/>
      <c r="G607" s="626"/>
      <c r="H607" s="626"/>
      <c r="I607" s="626"/>
      <c r="J607" s="626"/>
      <c r="K607" s="626"/>
      <c r="L607" s="626"/>
    </row>
    <row r="608" spans="1:12" ht="10.5" hidden="1" customHeight="1" outlineLevel="1" x14ac:dyDescent="0.2">
      <c r="A608" s="610" t="s">
        <v>106</v>
      </c>
      <c r="B608" s="627" t="s">
        <v>224</v>
      </c>
      <c r="C608" s="627"/>
      <c r="D608" s="643">
        <f>D607+(((D286-D285)*0.1*88)+(D286-D285)*0.9*68)</f>
        <v>98848</v>
      </c>
      <c r="E608" s="629">
        <f t="shared" si="65"/>
        <v>2.5606972400913142</v>
      </c>
      <c r="F608" s="626"/>
      <c r="G608" s="626"/>
      <c r="H608" s="626"/>
      <c r="I608" s="626"/>
      <c r="J608" s="626"/>
      <c r="K608" s="626"/>
      <c r="L608" s="626"/>
    </row>
    <row r="609" spans="1:12" ht="10.5" hidden="1" customHeight="1" outlineLevel="1" x14ac:dyDescent="0.2">
      <c r="A609" s="610"/>
      <c r="B609" s="627" t="s">
        <v>225</v>
      </c>
      <c r="C609" s="627"/>
      <c r="D609" s="643">
        <f>D608+(((D287-D286)*0.1*87)+(D287-D286)*0.9*66)-100</f>
        <v>99565.2</v>
      </c>
      <c r="E609" s="629">
        <f t="shared" si="65"/>
        <v>1.1196620041589389</v>
      </c>
      <c r="F609" s="626"/>
      <c r="G609" s="626"/>
      <c r="H609" s="626"/>
      <c r="I609" s="626"/>
      <c r="J609" s="626"/>
      <c r="K609" s="626"/>
      <c r="L609" s="626"/>
    </row>
    <row r="610" spans="1:12" ht="10.5" hidden="1" customHeight="1" outlineLevel="1" x14ac:dyDescent="0.2">
      <c r="A610" s="610"/>
      <c r="B610" s="627" t="s">
        <v>226</v>
      </c>
      <c r="C610" s="627">
        <f>C607+1</f>
        <v>187</v>
      </c>
      <c r="D610" s="643">
        <f>D609+(((D287-D287)*0.1*87)+(D287-D287)*0.9*68)</f>
        <v>99565.2</v>
      </c>
      <c r="E610" s="629">
        <f t="shared" si="65"/>
        <v>1.1194052588281878</v>
      </c>
      <c r="F610" s="626"/>
      <c r="G610" s="626"/>
      <c r="H610" s="626"/>
      <c r="I610" s="626"/>
      <c r="J610" s="626"/>
      <c r="K610" s="626"/>
      <c r="L610" s="626"/>
    </row>
    <row r="611" spans="1:12" ht="10.5" hidden="1" customHeight="1" outlineLevel="1" x14ac:dyDescent="0.2">
      <c r="A611" s="610" t="s">
        <v>107</v>
      </c>
      <c r="B611" s="627" t="s">
        <v>227</v>
      </c>
      <c r="C611" s="627"/>
      <c r="D611" s="643">
        <f>D610+(((D289-D287)*0.1*87)+(D289-D287)*0.9*68)</f>
        <v>99565.2</v>
      </c>
      <c r="E611" s="629">
        <f t="shared" si="65"/>
        <v>1.1194052588281878</v>
      </c>
      <c r="F611" s="626"/>
      <c r="G611" s="626"/>
      <c r="H611" s="626"/>
      <c r="I611" s="626"/>
      <c r="J611" s="626"/>
      <c r="K611" s="626"/>
      <c r="L611" s="626"/>
    </row>
    <row r="612" spans="1:12" ht="10.5" hidden="1" customHeight="1" outlineLevel="1" x14ac:dyDescent="0.2">
      <c r="A612" s="610"/>
      <c r="B612" s="627" t="s">
        <v>228</v>
      </c>
      <c r="C612" s="627"/>
      <c r="D612" s="643">
        <f>D611+(((D290-D289)*0.1*87)+(D290-D289)*0.9*68)</f>
        <v>99565.2</v>
      </c>
      <c r="E612" s="629">
        <f t="shared" si="65"/>
        <v>1.1194052588281878</v>
      </c>
      <c r="F612" s="626"/>
      <c r="G612" s="626"/>
      <c r="H612" s="626"/>
      <c r="I612" s="626"/>
      <c r="J612" s="626"/>
      <c r="K612" s="626"/>
      <c r="L612" s="626"/>
    </row>
    <row r="613" spans="1:12" ht="10.5" hidden="1" customHeight="1" outlineLevel="1" x14ac:dyDescent="0.2">
      <c r="A613" s="610"/>
      <c r="B613" s="627" t="s">
        <v>229</v>
      </c>
      <c r="C613" s="627">
        <f>C610+1</f>
        <v>188</v>
      </c>
      <c r="D613" s="643">
        <f>D612+(((D291-D290)*0.1*87)+(D291-D290)*0.9*68)</f>
        <v>99565.2</v>
      </c>
      <c r="E613" s="629">
        <f t="shared" si="65"/>
        <v>1.1194052588281878</v>
      </c>
      <c r="F613" s="626"/>
      <c r="G613" s="626"/>
      <c r="H613" s="626"/>
      <c r="I613" s="626"/>
      <c r="J613" s="626"/>
      <c r="K613" s="626"/>
      <c r="L613" s="626"/>
    </row>
    <row r="614" spans="1:12" ht="10.5" customHeight="1" collapsed="1" x14ac:dyDescent="0.2">
      <c r="A614" s="610">
        <f>A601+1</f>
        <v>2013</v>
      </c>
      <c r="B614" s="627"/>
      <c r="C614" s="627"/>
      <c r="D614" s="645"/>
      <c r="E614" s="625"/>
      <c r="F614" s="626"/>
      <c r="G614" s="626"/>
      <c r="H614" s="626"/>
      <c r="I614" s="626"/>
      <c r="J614" s="626"/>
      <c r="K614" s="626"/>
      <c r="L614" s="626"/>
    </row>
    <row r="615" spans="1:12" ht="10.5" customHeight="1" x14ac:dyDescent="0.2">
      <c r="A615" s="610" t="s">
        <v>104</v>
      </c>
      <c r="B615" s="627" t="s">
        <v>89</v>
      </c>
      <c r="C615" s="627">
        <f>C613+1</f>
        <v>189</v>
      </c>
      <c r="D615" s="976">
        <v>100070</v>
      </c>
      <c r="E615" s="629">
        <f>(D615/D604-1)*100</f>
        <v>1.1288187321253584</v>
      </c>
      <c r="F615" s="626"/>
      <c r="G615" s="626"/>
      <c r="H615" s="626"/>
      <c r="I615" s="626"/>
      <c r="J615" s="626"/>
      <c r="K615" s="626"/>
      <c r="L615" s="626"/>
    </row>
    <row r="616" spans="1:12" ht="10.5" customHeight="1" x14ac:dyDescent="0.2">
      <c r="A616" s="610" t="s">
        <v>105</v>
      </c>
      <c r="B616" s="627" t="s">
        <v>90</v>
      </c>
      <c r="C616" s="627">
        <f>C615+1</f>
        <v>190</v>
      </c>
      <c r="D616" s="976">
        <v>100107</v>
      </c>
      <c r="E616" s="629">
        <f>(D616/D607-1)*100</f>
        <v>1.2736727096147593</v>
      </c>
      <c r="F616" s="626"/>
      <c r="G616" s="626"/>
      <c r="H616" s="626"/>
      <c r="I616" s="626"/>
      <c r="J616" s="626"/>
      <c r="K616" s="626"/>
      <c r="L616" s="626"/>
    </row>
    <row r="617" spans="1:12" ht="10.5" customHeight="1" x14ac:dyDescent="0.2">
      <c r="A617" s="610" t="s">
        <v>106</v>
      </c>
      <c r="B617" s="627" t="s">
        <v>91</v>
      </c>
      <c r="C617" s="627">
        <f>C616+1</f>
        <v>191</v>
      </c>
      <c r="D617" s="976">
        <v>100275</v>
      </c>
      <c r="E617" s="629">
        <f>(D617/D610-1)*100</f>
        <v>0.71289968784273849</v>
      </c>
      <c r="F617" s="626"/>
      <c r="G617" s="626"/>
      <c r="H617" s="626"/>
      <c r="I617" s="626"/>
      <c r="J617" s="626"/>
      <c r="K617" s="626"/>
      <c r="L617" s="626"/>
    </row>
    <row r="618" spans="1:12" ht="10.5" customHeight="1" x14ac:dyDescent="0.2">
      <c r="A618" s="610" t="s">
        <v>107</v>
      </c>
      <c r="B618" s="627" t="s">
        <v>92</v>
      </c>
      <c r="C618" s="627">
        <f>C617+1</f>
        <v>192</v>
      </c>
      <c r="D618" s="976">
        <v>100300</v>
      </c>
      <c r="E618" s="629">
        <f>(D618/D613-1)*100</f>
        <v>0.73800886253430065</v>
      </c>
      <c r="F618" s="626"/>
      <c r="G618" s="626"/>
      <c r="H618" s="626"/>
      <c r="I618" s="626"/>
      <c r="J618" s="626"/>
      <c r="K618" s="626"/>
      <c r="L618" s="626"/>
    </row>
    <row r="619" spans="1:12" ht="10.5" customHeight="1" x14ac:dyDescent="0.2">
      <c r="A619" s="610">
        <f>A614+1</f>
        <v>2014</v>
      </c>
      <c r="B619" s="627"/>
      <c r="C619" s="627"/>
      <c r="D619" s="977"/>
      <c r="E619" s="625"/>
      <c r="F619" s="626"/>
      <c r="G619" s="626"/>
      <c r="H619" s="626"/>
      <c r="I619" s="626"/>
      <c r="J619" s="626"/>
      <c r="K619" s="626"/>
      <c r="L619" s="626"/>
    </row>
    <row r="620" spans="1:12" ht="10.5" customHeight="1" x14ac:dyDescent="0.2">
      <c r="A620" s="610" t="s">
        <v>104</v>
      </c>
      <c r="B620" s="627" t="s">
        <v>89</v>
      </c>
      <c r="C620" s="627">
        <f>C618+1</f>
        <v>193</v>
      </c>
      <c r="D620" s="976">
        <v>100340</v>
      </c>
      <c r="E620" s="629">
        <f>(D620/D615-1)*100</f>
        <v>0.26981113220745367</v>
      </c>
      <c r="F620" s="626"/>
      <c r="G620" s="626"/>
      <c r="H620" s="626"/>
      <c r="I620" s="626"/>
      <c r="J620" s="626"/>
      <c r="K620" s="626"/>
      <c r="L620" s="626"/>
    </row>
    <row r="621" spans="1:12" ht="10.5" customHeight="1" x14ac:dyDescent="0.2">
      <c r="A621" s="610" t="s">
        <v>105</v>
      </c>
      <c r="B621" s="627" t="s">
        <v>90</v>
      </c>
      <c r="C621" s="627">
        <f>C620+1</f>
        <v>194</v>
      </c>
      <c r="D621" s="976">
        <v>100340</v>
      </c>
      <c r="E621" s="629">
        <f>(D621/D616-1)*100</f>
        <v>0.2327509564765684</v>
      </c>
      <c r="F621" s="626"/>
      <c r="G621" s="626"/>
      <c r="H621" s="626"/>
      <c r="I621" s="626"/>
      <c r="J621" s="626"/>
      <c r="K621" s="626"/>
      <c r="L621" s="626"/>
    </row>
    <row r="622" spans="1:12" ht="10.5" customHeight="1" x14ac:dyDescent="0.2">
      <c r="A622" s="610" t="s">
        <v>106</v>
      </c>
      <c r="B622" s="627" t="s">
        <v>91</v>
      </c>
      <c r="C622" s="627">
        <f>C621+1</f>
        <v>195</v>
      </c>
      <c r="D622" s="976">
        <v>100494</v>
      </c>
      <c r="E622" s="629">
        <f>(D622/D617-1)*100</f>
        <v>0.21839940164547489</v>
      </c>
      <c r="F622" s="626"/>
      <c r="G622" s="626"/>
      <c r="H622" s="626"/>
      <c r="I622" s="626"/>
      <c r="J622" s="626"/>
      <c r="K622" s="626"/>
      <c r="L622" s="626"/>
    </row>
    <row r="623" spans="1:12" ht="10.5" customHeight="1" x14ac:dyDescent="0.2">
      <c r="A623" s="610" t="s">
        <v>107</v>
      </c>
      <c r="B623" s="627" t="s">
        <v>92</v>
      </c>
      <c r="C623" s="627">
        <f>C622+1</f>
        <v>196</v>
      </c>
      <c r="D623" s="976">
        <v>100394</v>
      </c>
      <c r="E623" s="629">
        <f>(D623/D618-1)*100</f>
        <v>9.3718843469581259E-2</v>
      </c>
      <c r="F623" s="626"/>
      <c r="G623" s="626"/>
      <c r="H623" s="626"/>
      <c r="I623" s="626"/>
      <c r="J623" s="626"/>
      <c r="K623" s="626"/>
      <c r="L623" s="626"/>
    </row>
    <row r="624" spans="1:12" ht="10.5" customHeight="1" x14ac:dyDescent="0.2">
      <c r="A624" s="610">
        <f>A619+1</f>
        <v>2015</v>
      </c>
      <c r="B624" s="627"/>
      <c r="C624" s="627"/>
      <c r="D624" s="977"/>
      <c r="E624" s="625"/>
      <c r="F624" s="626"/>
      <c r="G624" s="626"/>
      <c r="H624" s="626"/>
      <c r="I624" s="626"/>
      <c r="J624" s="626"/>
      <c r="K624" s="626"/>
      <c r="L624" s="626"/>
    </row>
    <row r="625" spans="1:12" ht="10.5" customHeight="1" x14ac:dyDescent="0.2">
      <c r="A625" s="610" t="s">
        <v>104</v>
      </c>
      <c r="B625" s="627" t="s">
        <v>89</v>
      </c>
      <c r="C625" s="627">
        <f>C623+1</f>
        <v>197</v>
      </c>
      <c r="D625" s="976">
        <v>100507</v>
      </c>
      <c r="E625" s="629">
        <f>(D625/D620-1)*100</f>
        <v>0.16643412397847612</v>
      </c>
      <c r="F625" s="626"/>
      <c r="G625" s="626"/>
      <c r="H625" s="626"/>
      <c r="I625" s="626"/>
      <c r="J625" s="626"/>
      <c r="K625" s="626"/>
      <c r="L625" s="626"/>
    </row>
    <row r="626" spans="1:12" ht="10.5" customHeight="1" x14ac:dyDescent="0.2">
      <c r="A626" s="610" t="s">
        <v>105</v>
      </c>
      <c r="B626" s="627" t="s">
        <v>90</v>
      </c>
      <c r="C626" s="627">
        <f>C625+1</f>
        <v>198</v>
      </c>
      <c r="D626" s="976">
        <v>100507</v>
      </c>
      <c r="E626" s="629">
        <f>(D626/D621-1)*100</f>
        <v>0.16643412397847612</v>
      </c>
      <c r="F626" s="626"/>
      <c r="G626" s="626"/>
      <c r="H626" s="626"/>
      <c r="I626" s="626"/>
      <c r="J626" s="626"/>
      <c r="K626" s="626"/>
      <c r="L626" s="626"/>
    </row>
    <row r="627" spans="1:12" ht="10.5" customHeight="1" x14ac:dyDescent="0.2">
      <c r="A627" s="610" t="s">
        <v>106</v>
      </c>
      <c r="B627" s="627" t="s">
        <v>91</v>
      </c>
      <c r="C627" s="627">
        <f>C626+1</f>
        <v>199</v>
      </c>
      <c r="D627" s="976">
        <v>100641.5</v>
      </c>
      <c r="E627" s="629">
        <f>(D627/D622-1)*100</f>
        <v>0.14677493183672397</v>
      </c>
      <c r="F627" s="626"/>
      <c r="G627" s="626"/>
      <c r="H627" s="626"/>
      <c r="I627" s="626"/>
      <c r="J627" s="626"/>
      <c r="K627" s="626"/>
      <c r="L627" s="626"/>
    </row>
    <row r="628" spans="1:12" ht="10.5" customHeight="1" x14ac:dyDescent="0.2">
      <c r="A628" s="610" t="s">
        <v>107</v>
      </c>
      <c r="B628" s="627" t="s">
        <v>92</v>
      </c>
      <c r="C628" s="627">
        <f>C627+1</f>
        <v>200</v>
      </c>
      <c r="D628" s="976">
        <v>100400</v>
      </c>
      <c r="E628" s="629">
        <f>(D628/D623-1)*100</f>
        <v>5.9764527760686192E-3</v>
      </c>
      <c r="F628" s="626"/>
      <c r="G628" s="626"/>
      <c r="H628" s="626"/>
      <c r="I628" s="626"/>
      <c r="J628" s="626"/>
      <c r="K628" s="626"/>
      <c r="L628" s="626"/>
    </row>
    <row r="629" spans="1:12" ht="10.5" customHeight="1" x14ac:dyDescent="0.2">
      <c r="A629" s="610">
        <f>A624+1</f>
        <v>2016</v>
      </c>
      <c r="B629" s="627"/>
      <c r="C629" s="627"/>
      <c r="D629" s="977"/>
      <c r="E629" s="625"/>
    </row>
    <row r="630" spans="1:12" ht="10.5" customHeight="1" x14ac:dyDescent="0.2">
      <c r="A630" s="610" t="s">
        <v>104</v>
      </c>
      <c r="B630" s="627" t="s">
        <v>89</v>
      </c>
      <c r="C630" s="627">
        <f>C628+1</f>
        <v>201</v>
      </c>
      <c r="D630" s="976">
        <v>100600</v>
      </c>
      <c r="E630" s="629">
        <f>(D630/D625-1)*100</f>
        <v>9.2530868496720764E-2</v>
      </c>
    </row>
    <row r="631" spans="1:12" ht="10.5" customHeight="1" x14ac:dyDescent="0.2">
      <c r="A631" s="610" t="s">
        <v>105</v>
      </c>
      <c r="B631" s="627" t="s">
        <v>90</v>
      </c>
      <c r="C631" s="627">
        <f>C630+1</f>
        <v>202</v>
      </c>
      <c r="D631" s="976">
        <v>99100</v>
      </c>
      <c r="E631" s="629">
        <f>(D631/D626-1)*100</f>
        <v>-1.399902494353622</v>
      </c>
    </row>
    <row r="632" spans="1:12" ht="10.5" customHeight="1" x14ac:dyDescent="0.2">
      <c r="A632" s="610" t="s">
        <v>106</v>
      </c>
      <c r="B632" s="627" t="s">
        <v>91</v>
      </c>
      <c r="C632" s="627">
        <f>C631+1</f>
        <v>203</v>
      </c>
      <c r="D632" s="976">
        <v>99200</v>
      </c>
      <c r="E632" s="629">
        <f>(D632/D627-1)*100</f>
        <v>-1.4323117203141833</v>
      </c>
    </row>
    <row r="633" spans="1:12" ht="10.5" customHeight="1" x14ac:dyDescent="0.2">
      <c r="A633" s="610" t="s">
        <v>107</v>
      </c>
      <c r="B633" s="627" t="s">
        <v>92</v>
      </c>
      <c r="C633" s="627">
        <f>C632+1</f>
        <v>204</v>
      </c>
      <c r="D633" s="976">
        <v>99100</v>
      </c>
      <c r="E633" s="629">
        <f>(D633/D628-1)*100</f>
        <v>-1.294820717131473</v>
      </c>
    </row>
    <row r="634" spans="1:12" ht="10.5" customHeight="1" x14ac:dyDescent="0.2">
      <c r="A634" s="610">
        <f>A629+1</f>
        <v>2017</v>
      </c>
      <c r="B634" s="627"/>
      <c r="C634" s="627"/>
      <c r="D634" s="645"/>
      <c r="E634" s="625"/>
    </row>
    <row r="635" spans="1:12" ht="10.5" customHeight="1" x14ac:dyDescent="0.2">
      <c r="A635" s="610" t="s">
        <v>104</v>
      </c>
      <c r="B635" s="627" t="s">
        <v>89</v>
      </c>
      <c r="C635" s="627">
        <f>C633+1</f>
        <v>205</v>
      </c>
      <c r="D635" s="976">
        <f>D633+(((D313-D311)*1/12*125)+(D313-D311)*11/12*62)</f>
        <v>99100</v>
      </c>
      <c r="E635" s="629">
        <f>(D635/D630-1)*100</f>
        <v>-1.491053677932408</v>
      </c>
    </row>
    <row r="636" spans="1:12" ht="10.5" customHeight="1" x14ac:dyDescent="0.2">
      <c r="A636" s="610" t="s">
        <v>105</v>
      </c>
      <c r="B636" s="627" t="s">
        <v>90</v>
      </c>
      <c r="C636" s="627">
        <f>C635+1</f>
        <v>206</v>
      </c>
      <c r="D636" s="976">
        <f>D635+(((D314-D313)*1/12*125)+(D314-D313)*11/12*62)</f>
        <v>99100</v>
      </c>
      <c r="E636" s="629">
        <f>(D636/D631-1)*100</f>
        <v>0</v>
      </c>
    </row>
    <row r="637" spans="1:12" ht="10.5" customHeight="1" x14ac:dyDescent="0.2">
      <c r="A637" s="610" t="s">
        <v>106</v>
      </c>
      <c r="B637" s="627" t="s">
        <v>91</v>
      </c>
      <c r="C637" s="627">
        <f>C636+1</f>
        <v>207</v>
      </c>
      <c r="D637" s="976">
        <v>99100</v>
      </c>
      <c r="E637" s="629">
        <f>(D637/D632-1)*100</f>
        <v>-0.10080645161290036</v>
      </c>
    </row>
    <row r="638" spans="1:12" ht="10.5" customHeight="1" x14ac:dyDescent="0.2">
      <c r="A638" s="610" t="s">
        <v>107</v>
      </c>
      <c r="B638" s="627" t="s">
        <v>92</v>
      </c>
      <c r="C638" s="627">
        <f>C637+1</f>
        <v>208</v>
      </c>
      <c r="D638" s="976">
        <v>99200</v>
      </c>
      <c r="E638" s="629">
        <f>(D638/D633-1)*100</f>
        <v>0.10090817356205317</v>
      </c>
    </row>
    <row r="639" spans="1:12" s="1" customFormat="1" ht="10.5" customHeight="1" x14ac:dyDescent="0.2">
      <c r="A639" s="1116">
        <f>A634+1</f>
        <v>2018</v>
      </c>
      <c r="B639" s="1117"/>
      <c r="C639" s="1117"/>
      <c r="D639" s="180"/>
      <c r="E639" s="11"/>
    </row>
    <row r="640" spans="1:12" s="1" customFormat="1" ht="10.5" customHeight="1" x14ac:dyDescent="0.2">
      <c r="A640" s="1116" t="s">
        <v>104</v>
      </c>
      <c r="B640" s="1117" t="s">
        <v>89</v>
      </c>
      <c r="C640" s="1117">
        <f>C638+1</f>
        <v>209</v>
      </c>
      <c r="D640" s="978">
        <f>D638+(((D318-D316)*1/12*125)+(D318-D316)*11/12*62)</f>
        <v>99334.5</v>
      </c>
      <c r="E640" s="12">
        <f>(D640/D635-1)*100</f>
        <v>0.2366296670030188</v>
      </c>
    </row>
    <row r="641" spans="1:6" s="1" customFormat="1" ht="10.5" customHeight="1" x14ac:dyDescent="0.2">
      <c r="A641" s="1116" t="s">
        <v>105</v>
      </c>
      <c r="B641" s="1117" t="s">
        <v>90</v>
      </c>
      <c r="C641" s="1117">
        <f>C640+1</f>
        <v>210</v>
      </c>
      <c r="D641" s="978">
        <f>D640+(((D319-D318)*1/12*125)+(D319-D318)*11/12*62)</f>
        <v>99469</v>
      </c>
      <c r="E641" s="12">
        <f>(D641/D636-1)*100</f>
        <v>0.37235116044400662</v>
      </c>
    </row>
    <row r="642" spans="1:6" s="1" customFormat="1" ht="10.5" customHeight="1" x14ac:dyDescent="0.2">
      <c r="A642" s="1116" t="s">
        <v>106</v>
      </c>
      <c r="B642" s="1117" t="s">
        <v>91</v>
      </c>
      <c r="C642" s="1117">
        <f>C641+1</f>
        <v>211</v>
      </c>
      <c r="D642" s="1124">
        <f>D641+(((D320-D319)*1/12*125)+(D320-D319)*11/12*62)</f>
        <v>99536.25</v>
      </c>
      <c r="E642" s="12">
        <f>(D642/D637-1)*100</f>
        <v>0.44021190716447833</v>
      </c>
      <c r="F642" s="1125"/>
    </row>
    <row r="643" spans="1:6" s="1" customFormat="1" ht="10.5" customHeight="1" x14ac:dyDescent="0.2">
      <c r="A643" s="1116" t="s">
        <v>107</v>
      </c>
      <c r="B643" s="1117" t="s">
        <v>92</v>
      </c>
      <c r="C643" s="1117">
        <f>C642+1</f>
        <v>212</v>
      </c>
      <c r="D643" s="1124">
        <f>D642+(((D321-D320)*1/12*125)+(D321-D320)*11/12*62)</f>
        <v>99536.25</v>
      </c>
      <c r="E643" s="12">
        <f>(D643/D638-1)*100</f>
        <v>0.33896169354838968</v>
      </c>
    </row>
  </sheetData>
  <phoneticPr fontId="11" type="noConversion"/>
  <dataValidations count="1">
    <dataValidation type="custom" allowBlank="1" showInputMessage="1" showErrorMessage="1" sqref="D367:E367 B329:B643 H111:H148 J5 I4:J4 H150:H213 H85:H109 D45:E45 A2:H2 B3:C5 H6:H83 D3:E3 F3:H4 J7:J321 B7:B327 C9:C643 H215:H65541">
      <formula1>-1</formula1>
    </dataValidation>
  </dataValidations>
  <pageMargins left="0.75" right="0.75" top="1" bottom="1" header="0.5" footer="0.5"/>
  <pageSetup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A1:AT82"/>
  <sheetViews>
    <sheetView workbookViewId="0"/>
  </sheetViews>
  <sheetFormatPr defaultRowHeight="12.75" outlineLevelRow="1" outlineLevelCol="1" x14ac:dyDescent="0.2"/>
  <cols>
    <col min="1" max="1" width="1.85546875" style="303" customWidth="1"/>
    <col min="2" max="2" width="4" style="303" customWidth="1"/>
    <col min="3" max="3" width="29.140625" style="303" customWidth="1"/>
    <col min="4" max="4" width="2.140625" style="303" customWidth="1"/>
    <col min="5" max="9" width="9.140625" style="303" hidden="1" customWidth="1" outlineLevel="1"/>
    <col min="10" max="13" width="9.42578125" style="303" hidden="1" customWidth="1" outlineLevel="1"/>
    <col min="14" max="14" width="9.28515625" style="303" hidden="1" customWidth="1" outlineLevel="1"/>
    <col min="15" max="16" width="9.42578125" style="303" hidden="1" customWidth="1" outlineLevel="1"/>
    <col min="17" max="17" width="9.28515625" style="303" hidden="1" customWidth="1" outlineLevel="1" collapsed="1"/>
    <col min="18" max="23" width="9.28515625" style="303" hidden="1" customWidth="1" outlineLevel="1"/>
    <col min="24" max="24" width="9.28515625" style="303" bestFit="1" customWidth="1" collapsed="1"/>
    <col min="25" max="25" width="12.7109375" style="303" customWidth="1"/>
    <col min="26" max="27" width="9.140625" style="303"/>
    <col min="28" max="28" width="9.7109375" style="303" bestFit="1" customWidth="1"/>
    <col min="29" max="29" width="9.140625" style="303"/>
    <col min="30" max="30" width="10.7109375" style="303" customWidth="1"/>
    <col min="31" max="34" width="9.140625" style="303"/>
    <col min="35" max="36" width="9.140625" style="303" hidden="1" customWidth="1" outlineLevel="1"/>
    <col min="37" max="37" width="9.140625" style="303" collapsed="1"/>
    <col min="38" max="40" width="9.140625" style="303"/>
    <col min="41" max="41" width="35.140625" hidden="1" customWidth="1" outlineLevel="1"/>
    <col min="42" max="45" width="9.140625" hidden="1" customWidth="1" outlineLevel="1"/>
    <col min="46" max="46" width="9.140625" collapsed="1"/>
    <col min="47" max="16384" width="9.140625" style="303"/>
  </cols>
  <sheetData>
    <row r="1" spans="1:40" x14ac:dyDescent="0.2">
      <c r="A1" s="310" t="s">
        <v>453</v>
      </c>
      <c r="AJ1" s="549"/>
      <c r="AK1" s="549"/>
      <c r="AL1" s="549"/>
      <c r="AM1" s="549"/>
      <c r="AN1" s="549"/>
    </row>
    <row r="2" spans="1:40" x14ac:dyDescent="0.2">
      <c r="A2" s="427" t="s">
        <v>621</v>
      </c>
      <c r="B2" s="313"/>
      <c r="C2" s="313"/>
      <c r="D2" s="313"/>
      <c r="E2" s="313"/>
      <c r="F2" s="313"/>
      <c r="G2" s="313"/>
      <c r="H2" s="313"/>
      <c r="I2" s="313"/>
      <c r="J2" s="313"/>
      <c r="K2" s="313"/>
      <c r="L2" s="313"/>
      <c r="M2" s="313"/>
      <c r="N2" s="313"/>
      <c r="O2" s="313"/>
      <c r="P2" s="313"/>
      <c r="Q2" s="313"/>
      <c r="R2" s="313"/>
      <c r="S2" s="313"/>
      <c r="T2" s="313"/>
      <c r="U2" s="313"/>
      <c r="V2" s="313"/>
      <c r="W2" s="313"/>
      <c r="X2" s="313"/>
      <c r="Y2" s="313"/>
      <c r="Z2" s="313"/>
      <c r="AA2" s="313"/>
      <c r="AB2" s="313"/>
      <c r="AC2" s="313"/>
      <c r="AD2" s="313"/>
      <c r="AE2" s="313"/>
      <c r="AF2" s="313"/>
      <c r="AG2" s="313"/>
      <c r="AH2" s="313"/>
      <c r="AI2" s="313"/>
      <c r="AJ2" s="549"/>
      <c r="AK2" s="549"/>
      <c r="AL2" s="549"/>
      <c r="AM2" s="549"/>
      <c r="AN2" s="549"/>
    </row>
    <row r="3" spans="1:40" x14ac:dyDescent="0.2">
      <c r="A3" s="314" t="s">
        <v>95</v>
      </c>
      <c r="AJ3" s="549"/>
      <c r="AK3" s="549"/>
      <c r="AL3" s="549"/>
      <c r="AM3" s="549"/>
      <c r="AN3" s="549"/>
    </row>
    <row r="4" spans="1:40" x14ac:dyDescent="0.2">
      <c r="A4" s="314" t="s">
        <v>96</v>
      </c>
      <c r="X4" s="419"/>
      <c r="Y4" s="419"/>
      <c r="Z4" s="419"/>
      <c r="AA4" s="419"/>
      <c r="AB4" s="646"/>
      <c r="AC4" s="419"/>
      <c r="AD4" s="419"/>
      <c r="AE4" s="419"/>
      <c r="AF4" s="419"/>
      <c r="AG4" s="419"/>
      <c r="AH4" s="419"/>
      <c r="AI4" s="419"/>
      <c r="AJ4" s="549"/>
      <c r="AK4" s="549"/>
      <c r="AL4" s="549"/>
      <c r="AM4" s="549"/>
      <c r="AN4" s="549"/>
    </row>
    <row r="5" spans="1:40" x14ac:dyDescent="0.2">
      <c r="X5" s="319"/>
      <c r="Y5" s="319"/>
      <c r="Z5" s="319"/>
      <c r="AA5" s="458"/>
      <c r="AB5" s="311"/>
      <c r="AC5" s="458"/>
      <c r="AD5" s="458"/>
      <c r="AE5" s="458"/>
      <c r="AF5" s="458"/>
      <c r="AG5" s="458"/>
      <c r="AH5" s="458"/>
      <c r="AI5" s="458"/>
      <c r="AJ5" s="549"/>
      <c r="AK5" s="549"/>
      <c r="AL5" s="549"/>
      <c r="AM5" s="549"/>
      <c r="AN5" s="549"/>
    </row>
    <row r="6" spans="1:40" x14ac:dyDescent="0.2">
      <c r="E6" s="647">
        <v>1991</v>
      </c>
      <c r="F6" s="647">
        <f>E6+1</f>
        <v>1992</v>
      </c>
      <c r="G6" s="647">
        <f t="shared" ref="G6:AB6" si="0">F6+1</f>
        <v>1993</v>
      </c>
      <c r="H6" s="647">
        <f t="shared" si="0"/>
        <v>1994</v>
      </c>
      <c r="I6" s="647">
        <f t="shared" si="0"/>
        <v>1995</v>
      </c>
      <c r="J6" s="647">
        <f t="shared" si="0"/>
        <v>1996</v>
      </c>
      <c r="K6" s="647">
        <f t="shared" si="0"/>
        <v>1997</v>
      </c>
      <c r="L6" s="647">
        <f t="shared" si="0"/>
        <v>1998</v>
      </c>
      <c r="M6" s="647">
        <f t="shared" si="0"/>
        <v>1999</v>
      </c>
      <c r="N6" s="647">
        <f t="shared" si="0"/>
        <v>2000</v>
      </c>
      <c r="O6" s="647">
        <f t="shared" si="0"/>
        <v>2001</v>
      </c>
      <c r="P6" s="647">
        <f t="shared" si="0"/>
        <v>2002</v>
      </c>
      <c r="Q6" s="647">
        <f t="shared" si="0"/>
        <v>2003</v>
      </c>
      <c r="R6" s="647">
        <f t="shared" si="0"/>
        <v>2004</v>
      </c>
      <c r="S6" s="647">
        <f t="shared" si="0"/>
        <v>2005</v>
      </c>
      <c r="T6" s="647">
        <f t="shared" si="0"/>
        <v>2006</v>
      </c>
      <c r="U6" s="647">
        <f t="shared" si="0"/>
        <v>2007</v>
      </c>
      <c r="V6" s="647">
        <f t="shared" si="0"/>
        <v>2008</v>
      </c>
      <c r="W6" s="647">
        <f t="shared" si="0"/>
        <v>2009</v>
      </c>
      <c r="X6" s="647">
        <f t="shared" si="0"/>
        <v>2010</v>
      </c>
      <c r="Y6" s="647">
        <f t="shared" si="0"/>
        <v>2011</v>
      </c>
      <c r="Z6" s="647">
        <f t="shared" si="0"/>
        <v>2012</v>
      </c>
      <c r="AA6" s="647">
        <f t="shared" si="0"/>
        <v>2013</v>
      </c>
      <c r="AB6" s="647">
        <f t="shared" si="0"/>
        <v>2014</v>
      </c>
      <c r="AC6" s="647">
        <f t="shared" ref="AC6:AJ6" si="1">AB6+1</f>
        <v>2015</v>
      </c>
      <c r="AD6" s="647">
        <f t="shared" si="1"/>
        <v>2016</v>
      </c>
      <c r="AE6" s="647">
        <f t="shared" si="1"/>
        <v>2017</v>
      </c>
      <c r="AF6" s="648">
        <f t="shared" si="1"/>
        <v>2018</v>
      </c>
      <c r="AG6" s="648">
        <f t="shared" si="1"/>
        <v>2019</v>
      </c>
      <c r="AH6" s="648">
        <f t="shared" si="1"/>
        <v>2020</v>
      </c>
      <c r="AI6" s="648">
        <f t="shared" si="1"/>
        <v>2021</v>
      </c>
      <c r="AJ6" s="648">
        <f t="shared" si="1"/>
        <v>2022</v>
      </c>
      <c r="AK6" s="549"/>
      <c r="AL6" s="549"/>
      <c r="AM6" s="549"/>
      <c r="AN6" s="549"/>
    </row>
    <row r="7" spans="1:40" hidden="1" x14ac:dyDescent="0.2">
      <c r="E7" s="431"/>
      <c r="F7" s="431"/>
      <c r="G7" s="431"/>
      <c r="H7" s="431"/>
      <c r="I7" s="431"/>
      <c r="J7" s="431"/>
      <c r="K7" s="431"/>
      <c r="L7" s="431"/>
      <c r="M7" s="431"/>
      <c r="N7" s="431"/>
      <c r="O7" s="431"/>
      <c r="P7" s="431"/>
      <c r="Q7" s="431"/>
      <c r="R7" s="431"/>
      <c r="S7" s="431"/>
      <c r="T7" s="431"/>
      <c r="U7" s="431"/>
      <c r="V7" s="431"/>
      <c r="W7" s="431"/>
      <c r="X7" s="431"/>
      <c r="Y7" s="431"/>
      <c r="Z7" s="431"/>
      <c r="AJ7" s="549"/>
      <c r="AK7" s="549"/>
      <c r="AL7" s="549"/>
      <c r="AM7" s="549"/>
      <c r="AN7" s="549"/>
    </row>
    <row r="8" spans="1:40" x14ac:dyDescent="0.2">
      <c r="A8" s="649" t="s">
        <v>133</v>
      </c>
      <c r="E8" s="570"/>
      <c r="F8" s="570"/>
      <c r="G8" s="570"/>
      <c r="H8" s="570"/>
      <c r="I8" s="570"/>
      <c r="J8" s="570"/>
      <c r="K8" s="570"/>
      <c r="L8" s="570"/>
      <c r="M8" s="570"/>
      <c r="N8" s="570"/>
      <c r="O8" s="570"/>
      <c r="P8" s="570"/>
      <c r="Q8" s="570"/>
      <c r="R8" s="570"/>
      <c r="S8" s="570"/>
      <c r="T8" s="570"/>
      <c r="U8" s="570"/>
      <c r="V8" s="570"/>
      <c r="W8" s="570"/>
      <c r="X8" s="570"/>
      <c r="Y8" s="570"/>
      <c r="Z8" s="431"/>
      <c r="AJ8" s="549"/>
      <c r="AK8" s="549"/>
      <c r="AL8" s="549"/>
      <c r="AM8" s="549"/>
      <c r="AN8" s="549"/>
    </row>
    <row r="9" spans="1:40" x14ac:dyDescent="0.2">
      <c r="B9" s="303" t="s">
        <v>12</v>
      </c>
      <c r="E9" s="570">
        <f>flow!F54</f>
        <v>-0.57700000000002438</v>
      </c>
      <c r="F9" s="570">
        <f>flow!G54</f>
        <v>4.8989999999999032</v>
      </c>
      <c r="G9" s="570">
        <f>flow!H54</f>
        <v>10.81099999999981</v>
      </c>
      <c r="H9" s="570">
        <f>flow!I54</f>
        <v>32.645999999999646</v>
      </c>
      <c r="I9" s="570">
        <f>flow!J54</f>
        <v>13.358999999999924</v>
      </c>
      <c r="J9" s="570">
        <f>flow!K54</f>
        <v>19.763999999999726</v>
      </c>
      <c r="K9" s="570">
        <f>flow!L54</f>
        <v>55.002333999999621</v>
      </c>
      <c r="L9" s="570">
        <f>flow!M54</f>
        <v>9.9459199999991483</v>
      </c>
      <c r="M9" s="570">
        <f>flow!N54</f>
        <v>20.363919999998473</v>
      </c>
      <c r="N9" s="570">
        <f>flow!O54</f>
        <v>152.38091999999955</v>
      </c>
      <c r="O9" s="570">
        <f>flow!P54</f>
        <v>126.48191999999921</v>
      </c>
      <c r="P9" s="570">
        <f>flow!Q54</f>
        <v>109.80892000000102</v>
      </c>
      <c r="Q9" s="570">
        <f>flow!R54</f>
        <v>121.33792000000125</v>
      </c>
      <c r="R9" s="570">
        <f>flow!S54</f>
        <v>125.42880800000256</v>
      </c>
      <c r="S9" s="570">
        <f>flow!T54</f>
        <v>135.55858760399059</v>
      </c>
      <c r="T9" s="570">
        <f>flow!U54</f>
        <v>197.80636314399743</v>
      </c>
      <c r="U9" s="570">
        <f>flow!V54</f>
        <v>189.10936314399709</v>
      </c>
      <c r="V9" s="570">
        <f>flow!W54</f>
        <v>175.23636314399681</v>
      </c>
      <c r="W9" s="570">
        <f>flow!X54</f>
        <v>2249</v>
      </c>
      <c r="X9" s="570">
        <f>flow!Y54</f>
        <v>2277</v>
      </c>
      <c r="Y9" s="570">
        <f>flow!Z54</f>
        <v>1205</v>
      </c>
      <c r="Z9" s="570">
        <f>flow!AA54</f>
        <v>536.5</v>
      </c>
      <c r="AA9" s="570">
        <f>flow!AB54</f>
        <v>970.5</v>
      </c>
      <c r="AB9" s="570">
        <f>flow!AC54</f>
        <v>1406.5</v>
      </c>
      <c r="AC9" s="570">
        <f>flow!AD54</f>
        <v>706.5</v>
      </c>
      <c r="AD9" s="570">
        <f>flow!AE54</f>
        <v>1073.7380000000001</v>
      </c>
      <c r="AE9" s="570">
        <f>flow!AF54</f>
        <v>1307.7380000000001</v>
      </c>
      <c r="AF9" s="570">
        <f>flow!AG54</f>
        <v>1640.9853120772477</v>
      </c>
      <c r="AG9" s="570">
        <f>flow!AH54</f>
        <v>2320.3693523780294</v>
      </c>
      <c r="AH9" s="570">
        <f>flow!AI54</f>
        <v>2454.9491796579632</v>
      </c>
      <c r="AI9" s="570">
        <f>flow!AJ54</f>
        <v>2488.5676601564355</v>
      </c>
      <c r="AJ9" s="570">
        <f>flow!AK54</f>
        <v>2460.5250963168924</v>
      </c>
      <c r="AK9" s="549"/>
      <c r="AL9" s="549"/>
      <c r="AM9" s="549"/>
      <c r="AN9" s="549"/>
    </row>
    <row r="10" spans="1:40" x14ac:dyDescent="0.2">
      <c r="B10" s="303" t="s">
        <v>299</v>
      </c>
      <c r="E10" s="650">
        <v>0</v>
      </c>
      <c r="F10" s="650">
        <v>0</v>
      </c>
      <c r="G10" s="650">
        <v>0</v>
      </c>
      <c r="H10" s="650">
        <v>0</v>
      </c>
      <c r="I10" s="650">
        <v>0</v>
      </c>
      <c r="J10" s="650">
        <v>0</v>
      </c>
      <c r="K10" s="650">
        <v>0</v>
      </c>
      <c r="L10" s="650">
        <v>0</v>
      </c>
      <c r="M10" s="650">
        <v>0</v>
      </c>
      <c r="N10" s="650">
        <v>0</v>
      </c>
      <c r="O10" s="650">
        <v>229.37700000000001</v>
      </c>
      <c r="P10" s="650">
        <v>475.99099999999999</v>
      </c>
      <c r="Q10" s="650">
        <v>34.284999999999997</v>
      </c>
      <c r="R10" s="650">
        <v>88.766999999999996</v>
      </c>
      <c r="S10" s="650">
        <v>160.077</v>
      </c>
      <c r="T10" s="650">
        <v>431.23</v>
      </c>
      <c r="U10" s="650">
        <v>483.12799999999999</v>
      </c>
      <c r="V10" s="650">
        <v>509</v>
      </c>
      <c r="W10" s="650">
        <v>0</v>
      </c>
      <c r="X10" s="964">
        <v>0</v>
      </c>
      <c r="Y10" s="964">
        <v>0</v>
      </c>
      <c r="Z10" s="964">
        <v>0</v>
      </c>
      <c r="AA10" s="964">
        <v>0</v>
      </c>
      <c r="AB10" s="964">
        <v>0</v>
      </c>
      <c r="AC10" s="964">
        <v>0</v>
      </c>
      <c r="AD10" s="964">
        <v>0</v>
      </c>
      <c r="AE10" s="969">
        <v>0</v>
      </c>
      <c r="AF10" s="969">
        <v>0</v>
      </c>
      <c r="AG10" s="969">
        <v>0</v>
      </c>
      <c r="AH10" s="969">
        <v>0</v>
      </c>
      <c r="AI10" s="969">
        <v>0</v>
      </c>
      <c r="AJ10" s="969">
        <v>0</v>
      </c>
      <c r="AK10" s="549"/>
      <c r="AL10" s="549"/>
      <c r="AM10" s="549"/>
      <c r="AN10" s="549"/>
    </row>
    <row r="11" spans="1:40" hidden="1" x14ac:dyDescent="0.2">
      <c r="B11" s="303" t="s">
        <v>300</v>
      </c>
      <c r="E11" s="650">
        <v>0</v>
      </c>
      <c r="F11" s="650">
        <v>45.96</v>
      </c>
      <c r="G11" s="650">
        <v>0</v>
      </c>
      <c r="H11" s="650">
        <v>0</v>
      </c>
      <c r="I11" s="650">
        <v>0</v>
      </c>
      <c r="J11" s="650">
        <v>0</v>
      </c>
      <c r="K11" s="650">
        <v>0</v>
      </c>
      <c r="L11" s="650">
        <v>0</v>
      </c>
      <c r="M11" s="650">
        <v>0</v>
      </c>
      <c r="N11" s="650">
        <v>0</v>
      </c>
      <c r="O11" s="650">
        <v>0</v>
      </c>
      <c r="P11" s="650">
        <v>0</v>
      </c>
      <c r="Q11" s="650">
        <v>0</v>
      </c>
      <c r="R11" s="650">
        <v>0</v>
      </c>
      <c r="S11" s="650">
        <v>0</v>
      </c>
      <c r="T11" s="650">
        <v>0</v>
      </c>
      <c r="U11" s="650">
        <v>0</v>
      </c>
      <c r="V11" s="650">
        <v>0</v>
      </c>
      <c r="W11" s="650">
        <v>0</v>
      </c>
      <c r="X11" s="964">
        <v>0</v>
      </c>
      <c r="Y11" s="964">
        <v>0</v>
      </c>
      <c r="Z11" s="964">
        <v>0</v>
      </c>
      <c r="AA11" s="964">
        <v>0</v>
      </c>
      <c r="AB11" s="964">
        <v>0</v>
      </c>
      <c r="AC11" s="964">
        <v>0</v>
      </c>
      <c r="AD11" s="964">
        <v>0</v>
      </c>
      <c r="AE11" s="651">
        <v>0</v>
      </c>
      <c r="AF11" s="651">
        <v>0</v>
      </c>
      <c r="AG11" s="651">
        <v>0</v>
      </c>
      <c r="AH11" s="651">
        <v>0</v>
      </c>
      <c r="AI11" s="651">
        <v>0</v>
      </c>
      <c r="AJ11" s="651">
        <v>0</v>
      </c>
      <c r="AK11" s="549"/>
      <c r="AL11" s="549"/>
      <c r="AM11" s="549"/>
      <c r="AN11" s="549"/>
    </row>
    <row r="12" spans="1:40" x14ac:dyDescent="0.2">
      <c r="B12" s="303" t="s">
        <v>21</v>
      </c>
      <c r="E12" s="650">
        <v>0</v>
      </c>
      <c r="F12" s="650">
        <v>0</v>
      </c>
      <c r="G12" s="650">
        <v>0</v>
      </c>
      <c r="H12" s="650">
        <v>0</v>
      </c>
      <c r="I12" s="650">
        <v>0</v>
      </c>
      <c r="J12" s="650">
        <v>0</v>
      </c>
      <c r="K12" s="650">
        <v>0</v>
      </c>
      <c r="L12" s="650">
        <v>0</v>
      </c>
      <c r="M12" s="650">
        <v>0</v>
      </c>
      <c r="N12" s="650">
        <v>0</v>
      </c>
      <c r="O12" s="650">
        <v>835.94600000000003</v>
      </c>
      <c r="P12" s="650">
        <v>990.81</v>
      </c>
      <c r="Q12" s="650">
        <v>1150.1569999999999</v>
      </c>
      <c r="R12" s="650">
        <v>1389.6320000000001</v>
      </c>
      <c r="S12" s="650">
        <v>1652.0650000000001</v>
      </c>
      <c r="T12" s="650">
        <v>0</v>
      </c>
      <c r="U12" s="650">
        <v>0</v>
      </c>
      <c r="V12" s="650">
        <v>0</v>
      </c>
      <c r="W12" s="650">
        <v>0</v>
      </c>
      <c r="X12" s="964">
        <v>0</v>
      </c>
      <c r="Y12" s="964">
        <v>0</v>
      </c>
      <c r="Z12" s="964">
        <v>0</v>
      </c>
      <c r="AA12" s="964">
        <v>0</v>
      </c>
      <c r="AB12" s="964">
        <v>0</v>
      </c>
      <c r="AC12" s="964">
        <v>0</v>
      </c>
      <c r="AD12" s="964">
        <v>0</v>
      </c>
      <c r="AE12" s="969">
        <v>0</v>
      </c>
      <c r="AF12" s="969">
        <v>0</v>
      </c>
      <c r="AG12" s="969">
        <v>0</v>
      </c>
      <c r="AH12" s="969">
        <v>0</v>
      </c>
      <c r="AI12" s="969">
        <v>0</v>
      </c>
      <c r="AJ12" s="969">
        <v>0</v>
      </c>
      <c r="AK12" s="549"/>
      <c r="AL12" s="549"/>
      <c r="AM12" s="549"/>
      <c r="AN12" s="549"/>
    </row>
    <row r="13" spans="1:40" x14ac:dyDescent="0.2">
      <c r="B13" s="303" t="s">
        <v>13</v>
      </c>
      <c r="E13" s="576">
        <v>135.023</v>
      </c>
      <c r="F13" s="576">
        <v>159.39699999999999</v>
      </c>
      <c r="G13" s="576">
        <v>190.46899999999999</v>
      </c>
      <c r="H13" s="576">
        <v>247.96600000000001</v>
      </c>
      <c r="I13" s="576">
        <v>320.32499999999999</v>
      </c>
      <c r="J13" s="576">
        <v>423.20699999999999</v>
      </c>
      <c r="K13" s="576">
        <v>515.79</v>
      </c>
      <c r="L13" s="576">
        <v>617.36199999999997</v>
      </c>
      <c r="M13" s="576">
        <v>794.43899999999996</v>
      </c>
      <c r="N13" s="576">
        <v>1003.29</v>
      </c>
      <c r="O13" s="576">
        <v>1198.307</v>
      </c>
      <c r="P13" s="576">
        <v>1626.9960000000001</v>
      </c>
      <c r="Q13" s="576">
        <v>1606.99</v>
      </c>
      <c r="R13" s="576">
        <v>1946.9770000000001</v>
      </c>
      <c r="S13" s="576">
        <v>2237.5680000000002</v>
      </c>
      <c r="T13" s="576">
        <v>2578.3780000000002</v>
      </c>
      <c r="U13" s="576">
        <v>2855.7330000000002</v>
      </c>
      <c r="V13" s="576">
        <v>2799</v>
      </c>
      <c r="W13" s="576">
        <v>2923</v>
      </c>
      <c r="X13" s="965">
        <v>3036</v>
      </c>
      <c r="Y13" s="965">
        <v>3216</v>
      </c>
      <c r="Z13" s="965">
        <v>3748</v>
      </c>
      <c r="AA13" s="965">
        <v>3874</v>
      </c>
      <c r="AB13" s="965">
        <v>3814</v>
      </c>
      <c r="AC13" s="965">
        <v>4038</v>
      </c>
      <c r="AD13" s="965">
        <v>3795</v>
      </c>
      <c r="AE13" s="964">
        <v>3542</v>
      </c>
      <c r="AF13" s="968">
        <f t="shared" ref="AF13:AJ13" si="2">AF77/365*AF68</f>
        <v>3804.9763407838595</v>
      </c>
      <c r="AG13" s="968">
        <f t="shared" si="2"/>
        <v>3765.3888128303479</v>
      </c>
      <c r="AH13" s="968">
        <f t="shared" si="2"/>
        <v>3717.5973398593833</v>
      </c>
      <c r="AI13" s="968">
        <f t="shared" si="2"/>
        <v>3671.5336011057502</v>
      </c>
      <c r="AJ13" s="968">
        <f t="shared" si="2"/>
        <v>3619.2708082727204</v>
      </c>
      <c r="AK13" s="549"/>
      <c r="AL13" s="549"/>
      <c r="AM13" s="549"/>
      <c r="AN13" s="549"/>
    </row>
    <row r="14" spans="1:40" x14ac:dyDescent="0.2">
      <c r="B14" s="303" t="s">
        <v>301</v>
      </c>
      <c r="E14" s="652">
        <v>0.52100000000000002</v>
      </c>
      <c r="F14" s="652">
        <v>1.5469999999999999</v>
      </c>
      <c r="G14" s="652">
        <v>3.19</v>
      </c>
      <c r="H14" s="652">
        <v>7.851</v>
      </c>
      <c r="I14" s="652">
        <v>7.02</v>
      </c>
      <c r="J14" s="652">
        <v>33.045000000000002</v>
      </c>
      <c r="K14" s="652">
        <v>251.49100000000001</v>
      </c>
      <c r="L14" s="652">
        <v>287.48199999999997</v>
      </c>
      <c r="M14" s="652">
        <v>533.976</v>
      </c>
      <c r="N14" s="652">
        <v>746.38599999999997</v>
      </c>
      <c r="O14" s="652">
        <v>93.692000000000007</v>
      </c>
      <c r="P14" s="652">
        <v>100.21199999999999</v>
      </c>
      <c r="Q14" s="652">
        <v>120.71600000000001</v>
      </c>
      <c r="R14" s="652">
        <v>101.244</v>
      </c>
      <c r="S14" s="652">
        <v>89.502999999999986</v>
      </c>
      <c r="T14" s="652">
        <v>195.10900000000001</v>
      </c>
      <c r="U14" s="652">
        <v>204.48500000000001</v>
      </c>
      <c r="V14" s="652">
        <v>225</v>
      </c>
      <c r="W14" s="652">
        <v>295</v>
      </c>
      <c r="X14" s="966">
        <v>329</v>
      </c>
      <c r="Y14" s="966">
        <f>109+299</f>
        <v>408</v>
      </c>
      <c r="Z14" s="966">
        <f>122+312</f>
        <v>434</v>
      </c>
      <c r="AA14" s="966">
        <f>142+305</f>
        <v>447</v>
      </c>
      <c r="AB14" s="966">
        <f>116+361</f>
        <v>477</v>
      </c>
      <c r="AC14" s="966">
        <v>331</v>
      </c>
      <c r="AD14" s="966">
        <v>378</v>
      </c>
      <c r="AE14" s="964">
        <v>481</v>
      </c>
      <c r="AF14" s="969">
        <f t="shared" ref="AF14:AJ14" si="3">AE14/AE$67*AF$67-10</f>
        <v>463.19213695731861</v>
      </c>
      <c r="AG14" s="969">
        <f t="shared" si="3"/>
        <v>446.4400123261716</v>
      </c>
      <c r="AH14" s="969">
        <f t="shared" si="3"/>
        <v>429.74341214127907</v>
      </c>
      <c r="AI14" s="969">
        <f t="shared" si="3"/>
        <v>413.29726095915987</v>
      </c>
      <c r="AJ14" s="969">
        <f t="shared" si="3"/>
        <v>397.09780204477249</v>
      </c>
      <c r="AK14" s="549"/>
      <c r="AL14" s="549"/>
      <c r="AM14" s="549"/>
      <c r="AN14" s="549"/>
    </row>
    <row r="15" spans="1:40" x14ac:dyDescent="0.2">
      <c r="C15" s="303" t="s">
        <v>22</v>
      </c>
      <c r="E15" s="570">
        <f>SUM(E9:E14)</f>
        <v>134.96699999999996</v>
      </c>
      <c r="F15" s="570">
        <f t="shared" ref="F15:Z15" si="4">SUM(F9:F14)</f>
        <v>211.80299999999988</v>
      </c>
      <c r="G15" s="570">
        <f t="shared" si="4"/>
        <v>204.4699999999998</v>
      </c>
      <c r="H15" s="570">
        <f t="shared" si="4"/>
        <v>288.46299999999962</v>
      </c>
      <c r="I15" s="570">
        <f t="shared" si="4"/>
        <v>340.70399999999989</v>
      </c>
      <c r="J15" s="570">
        <f t="shared" si="4"/>
        <v>476.01599999999974</v>
      </c>
      <c r="K15" s="570">
        <f t="shared" si="4"/>
        <v>822.28333399999951</v>
      </c>
      <c r="L15" s="570">
        <f t="shared" si="4"/>
        <v>914.78991999999903</v>
      </c>
      <c r="M15" s="570">
        <f t="shared" si="4"/>
        <v>1348.7789199999984</v>
      </c>
      <c r="N15" s="570">
        <f t="shared" si="4"/>
        <v>1902.0569199999995</v>
      </c>
      <c r="O15" s="570">
        <f t="shared" si="4"/>
        <v>2483.8039199999994</v>
      </c>
      <c r="P15" s="570">
        <f t="shared" si="4"/>
        <v>3303.8179200000009</v>
      </c>
      <c r="Q15" s="570">
        <f t="shared" si="4"/>
        <v>3033.485920000001</v>
      </c>
      <c r="R15" s="570">
        <f t="shared" si="4"/>
        <v>3652.0488080000027</v>
      </c>
      <c r="S15" s="570">
        <f t="shared" si="4"/>
        <v>4274.7715876039902</v>
      </c>
      <c r="T15" s="570">
        <f t="shared" si="4"/>
        <v>3402.5233631439974</v>
      </c>
      <c r="U15" s="570">
        <f t="shared" si="4"/>
        <v>3732.4553631439971</v>
      </c>
      <c r="V15" s="570">
        <f t="shared" si="4"/>
        <v>3708.2363631439966</v>
      </c>
      <c r="W15" s="570">
        <f t="shared" si="4"/>
        <v>5467</v>
      </c>
      <c r="X15" s="570">
        <f t="shared" si="4"/>
        <v>5642</v>
      </c>
      <c r="Y15" s="570">
        <f>SUM(Y9:Y14)</f>
        <v>4829</v>
      </c>
      <c r="Z15" s="570">
        <f t="shared" si="4"/>
        <v>4718.5</v>
      </c>
      <c r="AA15" s="570">
        <f t="shared" ref="AA15:AF15" si="5">SUM(AA9:AA14)</f>
        <v>5291.5</v>
      </c>
      <c r="AB15" s="570">
        <f t="shared" si="5"/>
        <v>5697.5</v>
      </c>
      <c r="AC15" s="570">
        <f t="shared" si="5"/>
        <v>5075.5</v>
      </c>
      <c r="AD15" s="570">
        <f t="shared" si="5"/>
        <v>5246.7380000000003</v>
      </c>
      <c r="AE15" s="970">
        <f t="shared" si="5"/>
        <v>5330.7380000000003</v>
      </c>
      <c r="AF15" s="970">
        <f t="shared" si="5"/>
        <v>5909.153789818426</v>
      </c>
      <c r="AG15" s="970">
        <f>SUM(AG9:AG14)</f>
        <v>6532.1981775345484</v>
      </c>
      <c r="AH15" s="970">
        <f>SUM(AH9:AH14)</f>
        <v>6602.2899316586254</v>
      </c>
      <c r="AI15" s="970">
        <f>SUM(AI9:AI14)</f>
        <v>6573.398522221345</v>
      </c>
      <c r="AJ15" s="970">
        <f>SUM(AJ9:AJ14)</f>
        <v>6476.893706634386</v>
      </c>
      <c r="AK15" s="549"/>
      <c r="AL15" s="549"/>
      <c r="AM15" s="549"/>
      <c r="AN15" s="549"/>
    </row>
    <row r="16" spans="1:40" x14ac:dyDescent="0.2">
      <c r="E16" s="417"/>
      <c r="F16" s="417"/>
      <c r="G16" s="417"/>
      <c r="H16" s="417"/>
      <c r="I16" s="417"/>
      <c r="J16" s="417"/>
      <c r="K16" s="417"/>
      <c r="L16" s="417"/>
      <c r="M16" s="417"/>
      <c r="N16" s="417"/>
      <c r="O16" s="417"/>
      <c r="P16" s="417"/>
      <c r="Q16" s="417"/>
      <c r="R16" s="417"/>
      <c r="S16" s="417"/>
      <c r="T16" s="417"/>
      <c r="U16" s="417"/>
      <c r="V16" s="417"/>
      <c r="W16" s="417"/>
      <c r="X16" s="417"/>
      <c r="Y16" s="417"/>
      <c r="Z16" s="417"/>
      <c r="AA16" s="417"/>
      <c r="AB16" s="417"/>
      <c r="AC16" s="417"/>
      <c r="AD16" s="417"/>
      <c r="AE16" s="417"/>
      <c r="AF16" s="417"/>
      <c r="AG16" s="417"/>
      <c r="AH16" s="417"/>
      <c r="AI16" s="417"/>
      <c r="AJ16" s="549"/>
      <c r="AK16" s="549"/>
      <c r="AL16" s="549"/>
      <c r="AM16" s="549"/>
      <c r="AN16" s="549"/>
    </row>
    <row r="17" spans="1:40" x14ac:dyDescent="0.2">
      <c r="B17" s="303" t="s">
        <v>14</v>
      </c>
      <c r="E17" s="569">
        <v>107.276</v>
      </c>
      <c r="F17" s="569">
        <v>141.196</v>
      </c>
      <c r="G17" s="569">
        <v>186.626</v>
      </c>
      <c r="H17" s="569">
        <v>298.73700000000002</v>
      </c>
      <c r="I17" s="569">
        <v>409.16800000000001</v>
      </c>
      <c r="J17" s="569">
        <v>596.22699999999998</v>
      </c>
      <c r="K17" s="569">
        <v>749.649</v>
      </c>
      <c r="L17" s="569">
        <v>933.01099999999997</v>
      </c>
      <c r="M17" s="569">
        <v>1352.9559999999999</v>
      </c>
      <c r="N17" s="569">
        <v>1726.45</v>
      </c>
      <c r="O17" s="569">
        <v>2199.4940000000001</v>
      </c>
      <c r="P17" s="569">
        <v>2739.29</v>
      </c>
      <c r="Q17" s="569">
        <v>3316.4859999999999</v>
      </c>
      <c r="R17" s="569">
        <v>3987.9450000000002</v>
      </c>
      <c r="S17" s="569">
        <v>4616.3029999999999</v>
      </c>
      <c r="T17" s="569">
        <v>5352.9740000000002</v>
      </c>
      <c r="U17" s="569">
        <v>6509.8190000000004</v>
      </c>
      <c r="V17" s="569">
        <v>6984</v>
      </c>
      <c r="W17" s="569">
        <v>8506</v>
      </c>
      <c r="X17" s="967">
        <v>8692</v>
      </c>
      <c r="Y17" s="967">
        <v>8905</v>
      </c>
      <c r="Z17" s="967">
        <v>8872</v>
      </c>
      <c r="AA17" s="967">
        <v>8745</v>
      </c>
      <c r="AB17" s="967">
        <v>8515</v>
      </c>
      <c r="AC17" s="967">
        <v>8308</v>
      </c>
      <c r="AD17" s="967">
        <v>8103</v>
      </c>
      <c r="AE17" s="967">
        <v>7773</v>
      </c>
      <c r="AF17" s="971">
        <f>AE17-flow!AG10-flow!AG20-flow!AG17</f>
        <v>7513</v>
      </c>
      <c r="AG17" s="971">
        <f>AF17-flow!AH10-flow!AH20-flow!AH17</f>
        <v>7198</v>
      </c>
      <c r="AH17" s="971">
        <f>AG17-flow!AI10-flow!AI20-flow!AI17</f>
        <v>6878</v>
      </c>
      <c r="AI17" s="971">
        <f>AH17-flow!AJ10-flow!AJ20-flow!AJ17</f>
        <v>6553</v>
      </c>
      <c r="AJ17" s="971">
        <f>AI17-flow!AK10-flow!AK20-flow!AK17</f>
        <v>6223</v>
      </c>
      <c r="AK17" s="549"/>
      <c r="AL17" s="549"/>
      <c r="AM17" s="549"/>
      <c r="AN17" s="549"/>
    </row>
    <row r="18" spans="1:40" x14ac:dyDescent="0.2">
      <c r="B18" s="303" t="s">
        <v>302</v>
      </c>
      <c r="E18" s="650">
        <v>31.004000000000001</v>
      </c>
      <c r="F18" s="650">
        <v>27.532</v>
      </c>
      <c r="G18" s="650">
        <v>25.533000000000001</v>
      </c>
      <c r="H18" s="650">
        <v>23.577999999999999</v>
      </c>
      <c r="I18" s="650">
        <v>20.491</v>
      </c>
      <c r="J18" s="650">
        <v>18.076000000000001</v>
      </c>
      <c r="K18" s="650">
        <v>15.849</v>
      </c>
      <c r="L18" s="650">
        <v>13.680999999999999</v>
      </c>
      <c r="M18" s="650">
        <v>133.023</v>
      </c>
      <c r="N18" s="650">
        <v>126.63500000000001</v>
      </c>
      <c r="O18" s="650">
        <v>174.86</v>
      </c>
      <c r="P18" s="650">
        <v>180.42</v>
      </c>
      <c r="Q18" s="650">
        <v>235.49100000000001</v>
      </c>
      <c r="R18" s="650">
        <v>224.90299999999999</v>
      </c>
      <c r="S18" s="650">
        <v>212.38</v>
      </c>
      <c r="T18" s="650">
        <v>219.286</v>
      </c>
      <c r="U18" s="650">
        <v>209.958</v>
      </c>
      <c r="V18" s="650">
        <v>201</v>
      </c>
      <c r="W18" s="650">
        <v>0</v>
      </c>
      <c r="X18" s="964">
        <v>0</v>
      </c>
      <c r="Y18" s="964">
        <v>0</v>
      </c>
      <c r="Z18" s="964">
        <v>0</v>
      </c>
      <c r="AA18" s="964">
        <v>0</v>
      </c>
      <c r="AB18" s="964">
        <v>0</v>
      </c>
      <c r="AC18" s="964">
        <v>0</v>
      </c>
      <c r="AD18" s="964">
        <v>0</v>
      </c>
      <c r="AE18" s="969">
        <v>0</v>
      </c>
      <c r="AF18" s="969">
        <v>0</v>
      </c>
      <c r="AG18" s="969">
        <v>0</v>
      </c>
      <c r="AH18" s="969">
        <v>0</v>
      </c>
      <c r="AI18" s="969">
        <v>0</v>
      </c>
      <c r="AJ18" s="969">
        <v>0</v>
      </c>
      <c r="AK18" s="549"/>
      <c r="AL18" s="549"/>
      <c r="AM18" s="549"/>
      <c r="AN18" s="549"/>
    </row>
    <row r="19" spans="1:40" hidden="1" x14ac:dyDescent="0.2">
      <c r="B19" s="303" t="s">
        <v>303</v>
      </c>
      <c r="E19" s="650">
        <v>9.5370000000000008</v>
      </c>
      <c r="F19" s="650">
        <v>5.05</v>
      </c>
      <c r="G19" s="650">
        <v>1.1870000000000001</v>
      </c>
      <c r="H19" s="650">
        <v>0</v>
      </c>
      <c r="I19" s="650">
        <v>0</v>
      </c>
      <c r="J19" s="650">
        <v>0</v>
      </c>
      <c r="K19" s="650">
        <v>12.643000000000001</v>
      </c>
      <c r="L19" s="650">
        <v>25.027000000000001</v>
      </c>
      <c r="M19" s="650">
        <v>42.421999999999997</v>
      </c>
      <c r="N19" s="650">
        <v>65.634</v>
      </c>
      <c r="O19" s="650">
        <v>0</v>
      </c>
      <c r="P19" s="650">
        <v>0</v>
      </c>
      <c r="Q19" s="650">
        <v>0</v>
      </c>
      <c r="R19" s="650">
        <v>0</v>
      </c>
      <c r="S19" s="650">
        <v>0</v>
      </c>
      <c r="T19" s="650">
        <v>0</v>
      </c>
      <c r="U19" s="650">
        <v>0</v>
      </c>
      <c r="V19" s="650">
        <v>0</v>
      </c>
      <c r="W19" s="650">
        <v>0</v>
      </c>
      <c r="X19" s="964">
        <v>0</v>
      </c>
      <c r="Y19" s="964">
        <v>0</v>
      </c>
      <c r="Z19" s="964">
        <v>0</v>
      </c>
      <c r="AA19" s="964">
        <v>0</v>
      </c>
      <c r="AB19" s="964">
        <v>0</v>
      </c>
      <c r="AC19" s="964">
        <v>0</v>
      </c>
      <c r="AD19" s="964">
        <v>0</v>
      </c>
      <c r="AE19" s="969">
        <v>0</v>
      </c>
      <c r="AF19" s="969">
        <v>0</v>
      </c>
      <c r="AG19" s="969">
        <v>0</v>
      </c>
      <c r="AH19" s="969">
        <v>0</v>
      </c>
      <c r="AI19" s="969">
        <v>0</v>
      </c>
      <c r="AJ19" s="969">
        <v>0</v>
      </c>
      <c r="AK19" s="549"/>
      <c r="AL19" s="549"/>
      <c r="AM19" s="549"/>
      <c r="AN19" s="549"/>
    </row>
    <row r="20" spans="1:40" hidden="1" x14ac:dyDescent="0.2">
      <c r="B20" s="303" t="s">
        <v>304</v>
      </c>
      <c r="E20" s="650">
        <v>0</v>
      </c>
      <c r="F20" s="650">
        <v>3.75</v>
      </c>
      <c r="G20" s="650">
        <v>2.835</v>
      </c>
      <c r="H20" s="650">
        <v>0</v>
      </c>
      <c r="I20" s="650">
        <v>0</v>
      </c>
      <c r="J20" s="650">
        <v>0</v>
      </c>
      <c r="K20" s="650">
        <v>0</v>
      </c>
      <c r="L20" s="650">
        <v>0</v>
      </c>
      <c r="M20" s="650">
        <v>0</v>
      </c>
      <c r="N20" s="650">
        <v>0</v>
      </c>
      <c r="O20" s="650">
        <v>0</v>
      </c>
      <c r="P20" s="650">
        <v>0</v>
      </c>
      <c r="Q20" s="650">
        <v>0</v>
      </c>
      <c r="R20" s="650">
        <v>0</v>
      </c>
      <c r="S20" s="650">
        <v>0</v>
      </c>
      <c r="T20" s="650">
        <v>0</v>
      </c>
      <c r="U20" s="650">
        <v>0</v>
      </c>
      <c r="V20" s="650">
        <v>0</v>
      </c>
      <c r="W20" s="650">
        <v>0</v>
      </c>
      <c r="X20" s="964">
        <v>0</v>
      </c>
      <c r="Y20" s="964">
        <v>0</v>
      </c>
      <c r="Z20" s="964">
        <v>0</v>
      </c>
      <c r="AA20" s="964">
        <v>0</v>
      </c>
      <c r="AB20" s="964">
        <v>0</v>
      </c>
      <c r="AC20" s="964">
        <v>0</v>
      </c>
      <c r="AD20" s="964">
        <v>0</v>
      </c>
      <c r="AE20" s="969">
        <v>0</v>
      </c>
      <c r="AF20" s="969">
        <v>0</v>
      </c>
      <c r="AG20" s="969">
        <v>0</v>
      </c>
      <c r="AH20" s="969">
        <v>0</v>
      </c>
      <c r="AI20" s="969">
        <v>0</v>
      </c>
      <c r="AJ20" s="969">
        <v>0</v>
      </c>
      <c r="AK20" s="549"/>
      <c r="AL20" s="549"/>
      <c r="AM20" s="549"/>
      <c r="AN20" s="549"/>
    </row>
    <row r="21" spans="1:40" x14ac:dyDescent="0.2">
      <c r="B21" s="303" t="s">
        <v>0</v>
      </c>
      <c r="E21" s="650">
        <v>61.293999999999997</v>
      </c>
      <c r="F21" s="650">
        <v>56.137999999999998</v>
      </c>
      <c r="G21" s="650">
        <v>50.938000000000002</v>
      </c>
      <c r="H21" s="650">
        <v>45.738</v>
      </c>
      <c r="I21" s="650">
        <v>40.537999999999997</v>
      </c>
      <c r="J21" s="650">
        <v>35.338000000000001</v>
      </c>
      <c r="K21" s="650">
        <v>30.138000000000002</v>
      </c>
      <c r="L21" s="650">
        <v>24.937999999999999</v>
      </c>
      <c r="M21" s="650">
        <v>19.738</v>
      </c>
      <c r="N21" s="650">
        <v>14.538</v>
      </c>
      <c r="O21" s="650">
        <v>9.3379999999999992</v>
      </c>
      <c r="P21" s="650">
        <v>9.3379999999999992</v>
      </c>
      <c r="Q21" s="650">
        <v>9.3379999999999992</v>
      </c>
      <c r="R21" s="650">
        <v>9.3379999999999992</v>
      </c>
      <c r="S21" s="650">
        <v>9.3379999999999992</v>
      </c>
      <c r="T21" s="650">
        <v>9.3379999999999992</v>
      </c>
      <c r="U21" s="650">
        <v>9.3379999999999992</v>
      </c>
      <c r="V21" s="650">
        <v>9</v>
      </c>
      <c r="W21" s="650">
        <v>0</v>
      </c>
      <c r="X21" s="964">
        <v>0</v>
      </c>
      <c r="Y21" s="964">
        <v>0</v>
      </c>
      <c r="Z21" s="964">
        <v>0</v>
      </c>
      <c r="AA21" s="964">
        <v>0</v>
      </c>
      <c r="AB21" s="964">
        <v>0</v>
      </c>
      <c r="AC21" s="964">
        <v>0</v>
      </c>
      <c r="AD21" s="964">
        <v>0</v>
      </c>
      <c r="AE21" s="969">
        <v>0</v>
      </c>
      <c r="AF21" s="969">
        <v>0</v>
      </c>
      <c r="AG21" s="969">
        <v>0</v>
      </c>
      <c r="AH21" s="969">
        <v>0</v>
      </c>
      <c r="AI21" s="969">
        <v>0</v>
      </c>
      <c r="AJ21" s="969">
        <v>0</v>
      </c>
      <c r="AK21" s="549"/>
      <c r="AL21" s="549"/>
      <c r="AM21" s="549"/>
      <c r="AN21" s="549"/>
    </row>
    <row r="22" spans="1:40" x14ac:dyDescent="0.2">
      <c r="B22" s="303" t="s">
        <v>237</v>
      </c>
      <c r="E22" s="650">
        <v>3.5569999999999999</v>
      </c>
      <c r="F22" s="650">
        <v>0</v>
      </c>
      <c r="G22" s="650">
        <v>0</v>
      </c>
      <c r="H22" s="650">
        <v>4.4409999999999998</v>
      </c>
      <c r="I22" s="650">
        <v>4.5640000000000001</v>
      </c>
      <c r="J22" s="650">
        <v>7.6150000000000002</v>
      </c>
      <c r="K22" s="650">
        <v>0</v>
      </c>
      <c r="L22" s="650">
        <v>33</v>
      </c>
      <c r="M22" s="650">
        <v>26.8</v>
      </c>
      <c r="N22" s="650">
        <v>28</v>
      </c>
      <c r="O22" s="650">
        <v>70.849999999999994</v>
      </c>
      <c r="P22" s="650">
        <v>93.361000000000004</v>
      </c>
      <c r="Q22" s="650">
        <v>104.539</v>
      </c>
      <c r="R22" s="650">
        <v>113.676</v>
      </c>
      <c r="S22" s="650">
        <v>48.92</v>
      </c>
      <c r="T22" s="650">
        <v>58.539000000000001</v>
      </c>
      <c r="U22" s="650">
        <v>107.078</v>
      </c>
      <c r="V22" s="650">
        <v>440</v>
      </c>
      <c r="W22" s="650">
        <v>474</v>
      </c>
      <c r="X22" s="964">
        <v>515</v>
      </c>
      <c r="Y22" s="964">
        <f>153+261</f>
        <v>414</v>
      </c>
      <c r="Z22" s="964">
        <f>53+261</f>
        <v>314</v>
      </c>
      <c r="AA22" s="964">
        <f>64+277</f>
        <v>341</v>
      </c>
      <c r="AB22" s="964">
        <v>218</v>
      </c>
      <c r="AC22" s="964">
        <v>222</v>
      </c>
      <c r="AD22" s="964">
        <v>224</v>
      </c>
      <c r="AE22" s="964">
        <v>236</v>
      </c>
      <c r="AF22" s="969">
        <f t="shared" ref="AF22:AJ22" si="6">AE22/AE$67*AF$67</f>
        <v>232.16911501440165</v>
      </c>
      <c r="AG22" s="969">
        <f t="shared" si="6"/>
        <v>228.78469918563127</v>
      </c>
      <c r="AH22" s="969">
        <f t="shared" si="6"/>
        <v>225.35292869784681</v>
      </c>
      <c r="AI22" s="969">
        <f t="shared" si="6"/>
        <v>221.97263476737911</v>
      </c>
      <c r="AJ22" s="969">
        <f t="shared" si="6"/>
        <v>218.64304524586842</v>
      </c>
      <c r="AK22" s="549"/>
      <c r="AL22" s="549"/>
      <c r="AM22" s="549"/>
      <c r="AN22" s="549"/>
    </row>
    <row r="23" spans="1:40" x14ac:dyDescent="0.2">
      <c r="A23" s="303" t="s">
        <v>124</v>
      </c>
      <c r="E23" s="653">
        <f>SUM(E17:E22)+E15</f>
        <v>347.63499999999993</v>
      </c>
      <c r="F23" s="653">
        <f t="shared" ref="F23:Z23" si="7">SUM(F17:F22)+F15</f>
        <v>445.46899999999994</v>
      </c>
      <c r="G23" s="653">
        <f t="shared" si="7"/>
        <v>471.58899999999983</v>
      </c>
      <c r="H23" s="653">
        <f t="shared" si="7"/>
        <v>660.95699999999965</v>
      </c>
      <c r="I23" s="653">
        <f t="shared" si="7"/>
        <v>815.46499999999992</v>
      </c>
      <c r="J23" s="653">
        <f t="shared" si="7"/>
        <v>1133.2719999999997</v>
      </c>
      <c r="K23" s="653">
        <f t="shared" si="7"/>
        <v>1630.5623339999997</v>
      </c>
      <c r="L23" s="653">
        <f t="shared" si="7"/>
        <v>1944.4469199999992</v>
      </c>
      <c r="M23" s="653">
        <f t="shared" si="7"/>
        <v>2923.7179199999982</v>
      </c>
      <c r="N23" s="653">
        <f t="shared" si="7"/>
        <v>3863.3139199999996</v>
      </c>
      <c r="O23" s="653">
        <f t="shared" si="7"/>
        <v>4938.3459199999998</v>
      </c>
      <c r="P23" s="653">
        <f t="shared" si="7"/>
        <v>6326.226920000001</v>
      </c>
      <c r="Q23" s="653">
        <f t="shared" si="7"/>
        <v>6699.3399200000013</v>
      </c>
      <c r="R23" s="653">
        <f t="shared" si="7"/>
        <v>7987.9108080000024</v>
      </c>
      <c r="S23" s="653">
        <f t="shared" si="7"/>
        <v>9161.71258760399</v>
      </c>
      <c r="T23" s="653">
        <f t="shared" si="7"/>
        <v>9042.6603631439975</v>
      </c>
      <c r="U23" s="653">
        <f t="shared" si="7"/>
        <v>10568.648363143997</v>
      </c>
      <c r="V23" s="653">
        <f t="shared" si="7"/>
        <v>11342.236363143997</v>
      </c>
      <c r="W23" s="653">
        <f t="shared" si="7"/>
        <v>14447</v>
      </c>
      <c r="X23" s="653">
        <f t="shared" si="7"/>
        <v>14849</v>
      </c>
      <c r="Y23" s="653">
        <f t="shared" si="7"/>
        <v>14148</v>
      </c>
      <c r="Z23" s="653">
        <f t="shared" si="7"/>
        <v>13904.5</v>
      </c>
      <c r="AA23" s="653">
        <f t="shared" ref="AA23:AF23" si="8">SUM(AA17:AA22)+AA15</f>
        <v>14377.5</v>
      </c>
      <c r="AB23" s="653">
        <f t="shared" si="8"/>
        <v>14430.5</v>
      </c>
      <c r="AC23" s="653">
        <f t="shared" si="8"/>
        <v>13605.5</v>
      </c>
      <c r="AD23" s="653">
        <f t="shared" si="8"/>
        <v>13573.738000000001</v>
      </c>
      <c r="AE23" s="653">
        <f t="shared" si="8"/>
        <v>13339.738000000001</v>
      </c>
      <c r="AF23" s="653">
        <f t="shared" si="8"/>
        <v>13654.322904832828</v>
      </c>
      <c r="AG23" s="653">
        <f>SUM(AG17:AG22)+AG15</f>
        <v>13958.98287672018</v>
      </c>
      <c r="AH23" s="653">
        <f>SUM(AH17:AH22)+AH15</f>
        <v>13705.642860356471</v>
      </c>
      <c r="AI23" s="653">
        <f>SUM(AI17:AI22)+AI15</f>
        <v>13348.371156988724</v>
      </c>
      <c r="AJ23" s="653">
        <f>SUM(AJ17:AJ22)+AJ15</f>
        <v>12918.536751880254</v>
      </c>
      <c r="AK23" s="549"/>
      <c r="AL23" s="549"/>
      <c r="AM23" s="549"/>
      <c r="AN23" s="549"/>
    </row>
    <row r="24" spans="1:40" ht="4.5" customHeight="1" x14ac:dyDescent="0.2">
      <c r="E24" s="417"/>
      <c r="F24" s="417"/>
      <c r="G24" s="417"/>
      <c r="H24" s="417"/>
      <c r="I24" s="417"/>
      <c r="J24" s="417"/>
      <c r="K24" s="417"/>
      <c r="L24" s="417"/>
      <c r="M24" s="417"/>
      <c r="N24" s="417"/>
      <c r="O24" s="417"/>
      <c r="P24" s="417"/>
      <c r="Q24" s="417"/>
      <c r="R24" s="417"/>
      <c r="S24" s="417"/>
      <c r="T24" s="417"/>
      <c r="U24" s="417"/>
      <c r="V24" s="417"/>
      <c r="W24" s="417"/>
      <c r="X24" s="417"/>
      <c r="Y24" s="417"/>
      <c r="Z24" s="417"/>
      <c r="AA24" s="417"/>
      <c r="AB24" s="417"/>
      <c r="AC24" s="417"/>
      <c r="AD24" s="417"/>
      <c r="AE24" s="417"/>
      <c r="AF24" s="417"/>
      <c r="AG24" s="417"/>
      <c r="AH24" s="417"/>
      <c r="AI24" s="417"/>
      <c r="AJ24" s="549"/>
      <c r="AK24" s="549"/>
      <c r="AL24" s="549"/>
      <c r="AM24" s="549"/>
      <c r="AN24" s="549"/>
    </row>
    <row r="25" spans="1:40" x14ac:dyDescent="0.2">
      <c r="A25" s="649" t="s">
        <v>23</v>
      </c>
      <c r="E25" s="417"/>
      <c r="F25" s="417"/>
      <c r="G25" s="417"/>
      <c r="H25" s="417"/>
      <c r="I25" s="417"/>
      <c r="J25" s="417"/>
      <c r="K25" s="417"/>
      <c r="L25" s="417"/>
      <c r="M25" s="417"/>
      <c r="N25" s="417"/>
      <c r="O25" s="417"/>
      <c r="P25" s="417"/>
      <c r="Q25" s="417"/>
      <c r="R25" s="417"/>
      <c r="S25" s="417"/>
      <c r="T25" s="417"/>
      <c r="U25" s="417"/>
      <c r="V25" s="417"/>
      <c r="W25" s="417"/>
      <c r="X25" s="417"/>
      <c r="Y25" s="417"/>
      <c r="Z25" s="498"/>
      <c r="AA25" s="498"/>
      <c r="AB25" s="417"/>
      <c r="AC25" s="417"/>
      <c r="AD25" s="417"/>
      <c r="AE25" s="417"/>
      <c r="AF25" s="417"/>
      <c r="AG25" s="417"/>
      <c r="AH25" s="417"/>
      <c r="AI25" s="417"/>
      <c r="AJ25" s="549"/>
      <c r="AK25" s="549"/>
      <c r="AL25" s="549"/>
      <c r="AM25" s="549"/>
      <c r="AN25" s="549"/>
    </row>
    <row r="26" spans="1:40" x14ac:dyDescent="0.2">
      <c r="B26" s="303" t="s">
        <v>307</v>
      </c>
      <c r="E26" s="569">
        <v>44.499000000000002</v>
      </c>
      <c r="F26" s="569">
        <v>54.131</v>
      </c>
      <c r="G26" s="569">
        <v>56.191000000000003</v>
      </c>
      <c r="H26" s="569">
        <v>98.344999999999999</v>
      </c>
      <c r="I26" s="569">
        <v>68.81</v>
      </c>
      <c r="J26" s="569">
        <v>126.548</v>
      </c>
      <c r="K26" s="569">
        <v>150.679</v>
      </c>
      <c r="L26" s="569">
        <v>212.92599999999999</v>
      </c>
      <c r="M26" s="569">
        <v>330.084</v>
      </c>
      <c r="N26" s="569">
        <v>399.93900000000002</v>
      </c>
      <c r="O26" s="569">
        <v>478.87</v>
      </c>
      <c r="P26" s="569">
        <v>694.74800000000005</v>
      </c>
      <c r="Q26" s="569">
        <v>532.59900000000005</v>
      </c>
      <c r="R26" s="569">
        <v>704.65499999999997</v>
      </c>
      <c r="S26" s="569">
        <v>829.971</v>
      </c>
      <c r="T26" s="569">
        <v>934.37599999999998</v>
      </c>
      <c r="U26" s="569">
        <v>835.98500000000001</v>
      </c>
      <c r="V26" s="569">
        <v>881</v>
      </c>
      <c r="W26" s="569">
        <v>1188</v>
      </c>
      <c r="X26" s="967">
        <v>1138</v>
      </c>
      <c r="Y26" s="967">
        <v>1233</v>
      </c>
      <c r="Z26" s="967">
        <v>1307</v>
      </c>
      <c r="AA26" s="967">
        <v>1365</v>
      </c>
      <c r="AB26" s="967">
        <v>1511</v>
      </c>
      <c r="AC26" s="967">
        <v>1251</v>
      </c>
      <c r="AD26" s="967">
        <v>1507</v>
      </c>
      <c r="AE26" s="967">
        <v>1271</v>
      </c>
      <c r="AF26" s="971">
        <f t="shared" ref="AF26:AJ26" si="9">AF78/365*AF68</f>
        <v>1510.9616193837353</v>
      </c>
      <c r="AG26" s="971">
        <f t="shared" si="9"/>
        <v>1495.2413546601667</v>
      </c>
      <c r="AH26" s="971">
        <f t="shared" si="9"/>
        <v>1476.2632914803926</v>
      </c>
      <c r="AI26" s="971">
        <f t="shared" si="9"/>
        <v>1457.9713140622832</v>
      </c>
      <c r="AJ26" s="971">
        <f t="shared" si="9"/>
        <v>1437.2176832851089</v>
      </c>
      <c r="AK26" s="549"/>
      <c r="AL26" s="549"/>
      <c r="AM26" s="549"/>
      <c r="AN26" s="549"/>
    </row>
    <row r="27" spans="1:40" x14ac:dyDescent="0.2">
      <c r="B27" s="303" t="s">
        <v>305</v>
      </c>
      <c r="E27" s="654">
        <v>35.578000000000003</v>
      </c>
      <c r="F27" s="654">
        <v>40.93</v>
      </c>
      <c r="G27" s="654">
        <v>41.875999999999998</v>
      </c>
      <c r="H27" s="654">
        <v>52.363</v>
      </c>
      <c r="I27" s="654">
        <v>57.259</v>
      </c>
      <c r="J27" s="654">
        <v>79.593999999999994</v>
      </c>
      <c r="K27" s="654">
        <v>95.185000000000002</v>
      </c>
      <c r="L27" s="654">
        <v>117.2</v>
      </c>
      <c r="M27" s="654">
        <v>143.78399999999999</v>
      </c>
      <c r="N27" s="654">
        <v>188.863</v>
      </c>
      <c r="O27" s="654">
        <v>259.59800000000001</v>
      </c>
      <c r="P27" s="654">
        <v>315.63</v>
      </c>
      <c r="Q27" s="654">
        <v>441.96100000000001</v>
      </c>
      <c r="R27" s="654">
        <v>570.75699999999995</v>
      </c>
      <c r="S27" s="654">
        <v>641.63499999999999</v>
      </c>
      <c r="T27" s="654">
        <v>725.02499999999998</v>
      </c>
      <c r="U27" s="654">
        <v>798.50800000000004</v>
      </c>
      <c r="V27" s="654">
        <v>812</v>
      </c>
      <c r="W27" s="654">
        <v>1005</v>
      </c>
      <c r="X27" s="964">
        <v>1030</v>
      </c>
      <c r="Y27" s="964">
        <v>1147</v>
      </c>
      <c r="Z27" s="964">
        <v>986</v>
      </c>
      <c r="AA27" s="964">
        <v>1138</v>
      </c>
      <c r="AB27" s="964">
        <v>1160</v>
      </c>
      <c r="AC27" s="964">
        <v>1206</v>
      </c>
      <c r="AD27" s="964">
        <v>1224</v>
      </c>
      <c r="AE27" s="964">
        <v>1155</v>
      </c>
      <c r="AF27" s="969">
        <f t="shared" ref="AF27:AJ28" si="10">AE27/AE$67*AF$67</f>
        <v>1136.2513891594658</v>
      </c>
      <c r="AG27" s="969">
        <f t="shared" si="10"/>
        <v>1119.6878286415429</v>
      </c>
      <c r="AH27" s="969">
        <f t="shared" si="10"/>
        <v>1102.8925112119198</v>
      </c>
      <c r="AI27" s="969">
        <f t="shared" si="10"/>
        <v>1086.3491235437409</v>
      </c>
      <c r="AJ27" s="969">
        <f t="shared" si="10"/>
        <v>1070.0538866905847</v>
      </c>
      <c r="AK27" s="655"/>
      <c r="AL27" s="655"/>
      <c r="AM27" s="655"/>
      <c r="AN27" s="655"/>
    </row>
    <row r="28" spans="1:40" x14ac:dyDescent="0.2">
      <c r="B28" s="303" t="s">
        <v>306</v>
      </c>
      <c r="E28" s="654">
        <v>8.31</v>
      </c>
      <c r="F28" s="654">
        <v>8.1890000000000001</v>
      </c>
      <c r="G28" s="654">
        <v>13.965</v>
      </c>
      <c r="H28" s="654">
        <v>14.178000000000001</v>
      </c>
      <c r="I28" s="654">
        <v>21.628</v>
      </c>
      <c r="J28" s="654">
        <v>25.47</v>
      </c>
      <c r="K28" s="654">
        <v>38.481999999999999</v>
      </c>
      <c r="L28" s="654">
        <v>48.572000000000003</v>
      </c>
      <c r="M28" s="654">
        <v>63.954999999999998</v>
      </c>
      <c r="N28" s="654">
        <v>112.92700000000001</v>
      </c>
      <c r="O28" s="654">
        <v>125.08499999999999</v>
      </c>
      <c r="P28" s="654">
        <v>142.15</v>
      </c>
      <c r="Q28" s="654">
        <v>135.52699999999999</v>
      </c>
      <c r="R28" s="654">
        <v>177.18199999999999</v>
      </c>
      <c r="S28" s="654">
        <v>166.90799999999999</v>
      </c>
      <c r="T28" s="654">
        <v>233.26300000000001</v>
      </c>
      <c r="U28" s="654">
        <v>124.254</v>
      </c>
      <c r="V28" s="654">
        <v>105</v>
      </c>
      <c r="W28" s="654">
        <v>184</v>
      </c>
      <c r="X28" s="964">
        <v>127</v>
      </c>
      <c r="Y28" s="964">
        <v>133</v>
      </c>
      <c r="Z28" s="964">
        <v>137</v>
      </c>
      <c r="AA28" s="964">
        <v>94</v>
      </c>
      <c r="AB28" s="964">
        <v>78</v>
      </c>
      <c r="AC28" s="964">
        <v>130</v>
      </c>
      <c r="AD28" s="964">
        <v>112</v>
      </c>
      <c r="AE28" s="964">
        <v>99</v>
      </c>
      <c r="AF28" s="969">
        <f t="shared" si="10"/>
        <v>97.39297621366849</v>
      </c>
      <c r="AG28" s="969">
        <f t="shared" si="10"/>
        <v>95.973242454989375</v>
      </c>
      <c r="AH28" s="969">
        <f t="shared" si="10"/>
        <v>94.533643818164549</v>
      </c>
      <c r="AI28" s="969">
        <f t="shared" si="10"/>
        <v>93.115639160892073</v>
      </c>
      <c r="AJ28" s="969">
        <f t="shared" si="10"/>
        <v>91.718904573478696</v>
      </c>
      <c r="AK28" s="549"/>
      <c r="AL28" s="549"/>
      <c r="AM28" s="549"/>
      <c r="AN28" s="549"/>
    </row>
    <row r="29" spans="1:40" hidden="1" outlineLevel="1" x14ac:dyDescent="0.2">
      <c r="B29" s="303" t="s">
        <v>308</v>
      </c>
      <c r="E29" s="654">
        <v>3.4350000000000001</v>
      </c>
      <c r="F29" s="654">
        <v>1.2450000000000001</v>
      </c>
      <c r="G29" s="654">
        <v>2.3809999999999998</v>
      </c>
      <c r="H29" s="654">
        <v>5.4379999999999997</v>
      </c>
      <c r="I29" s="654">
        <v>5.6740000000000004</v>
      </c>
      <c r="J29" s="654">
        <v>2.544</v>
      </c>
      <c r="K29" s="654">
        <v>0</v>
      </c>
      <c r="L29" s="654">
        <v>0</v>
      </c>
      <c r="M29" s="654">
        <v>0</v>
      </c>
      <c r="N29" s="654">
        <v>0</v>
      </c>
      <c r="O29" s="654">
        <v>0</v>
      </c>
      <c r="P29" s="654">
        <v>0</v>
      </c>
      <c r="Q29" s="654">
        <v>0</v>
      </c>
      <c r="R29" s="654">
        <v>0</v>
      </c>
      <c r="S29" s="654">
        <v>0</v>
      </c>
      <c r="T29" s="654">
        <v>0</v>
      </c>
      <c r="U29" s="654">
        <v>0</v>
      </c>
      <c r="V29" s="654">
        <v>0</v>
      </c>
      <c r="W29" s="654">
        <v>0</v>
      </c>
      <c r="X29" s="964">
        <v>0</v>
      </c>
      <c r="Y29" s="964">
        <v>0</v>
      </c>
      <c r="Z29" s="964">
        <v>0</v>
      </c>
      <c r="AA29" s="964">
        <v>0</v>
      </c>
      <c r="AB29" s="964">
        <v>0</v>
      </c>
      <c r="AC29" s="964">
        <v>0</v>
      </c>
      <c r="AD29" s="964">
        <v>0</v>
      </c>
      <c r="AE29" s="964">
        <v>0</v>
      </c>
      <c r="AF29" s="969">
        <v>0</v>
      </c>
      <c r="AG29" s="969">
        <v>0</v>
      </c>
      <c r="AH29" s="969">
        <v>0</v>
      </c>
      <c r="AI29" s="969">
        <v>0</v>
      </c>
      <c r="AJ29" s="969">
        <v>0</v>
      </c>
      <c r="AK29" s="549"/>
      <c r="AL29" s="549"/>
      <c r="AM29" s="549"/>
      <c r="AN29" s="549"/>
    </row>
    <row r="30" spans="1:40" hidden="1" outlineLevel="1" x14ac:dyDescent="0.2">
      <c r="B30" s="303" t="s">
        <v>309</v>
      </c>
      <c r="E30" s="654">
        <v>0</v>
      </c>
      <c r="F30" s="654">
        <v>0</v>
      </c>
      <c r="G30" s="654">
        <v>0</v>
      </c>
      <c r="H30" s="654">
        <v>0</v>
      </c>
      <c r="I30" s="654">
        <v>0</v>
      </c>
      <c r="J30" s="654">
        <v>0</v>
      </c>
      <c r="K30" s="654">
        <v>0</v>
      </c>
      <c r="L30" s="654">
        <v>0</v>
      </c>
      <c r="M30" s="654">
        <v>85</v>
      </c>
      <c r="N30" s="654">
        <v>5</v>
      </c>
      <c r="O30" s="654">
        <v>0</v>
      </c>
      <c r="P30" s="654">
        <v>0</v>
      </c>
      <c r="Q30" s="654">
        <v>0</v>
      </c>
      <c r="R30" s="654">
        <v>0</v>
      </c>
      <c r="S30" s="654">
        <v>0</v>
      </c>
      <c r="T30" s="654">
        <v>0</v>
      </c>
      <c r="U30" s="654">
        <v>0</v>
      </c>
      <c r="V30" s="654">
        <v>0</v>
      </c>
      <c r="W30" s="654">
        <v>0</v>
      </c>
      <c r="X30" s="964">
        <v>0</v>
      </c>
      <c r="Y30" s="964">
        <v>0</v>
      </c>
      <c r="Z30" s="964">
        <v>0</v>
      </c>
      <c r="AA30" s="964">
        <v>0</v>
      </c>
      <c r="AB30" s="964">
        <v>0</v>
      </c>
      <c r="AC30" s="964">
        <v>0</v>
      </c>
      <c r="AD30" s="964">
        <v>0</v>
      </c>
      <c r="AE30" s="964">
        <v>0</v>
      </c>
      <c r="AF30" s="969">
        <v>0</v>
      </c>
      <c r="AG30" s="969">
        <v>0</v>
      </c>
      <c r="AH30" s="969">
        <v>0</v>
      </c>
      <c r="AI30" s="969">
        <v>0</v>
      </c>
      <c r="AJ30" s="969">
        <v>0</v>
      </c>
      <c r="AK30" s="549"/>
      <c r="AL30" s="549"/>
      <c r="AM30" s="549"/>
      <c r="AN30" s="549"/>
    </row>
    <row r="31" spans="1:40" collapsed="1" x14ac:dyDescent="0.2">
      <c r="B31" s="303" t="s">
        <v>310</v>
      </c>
      <c r="E31" s="656">
        <v>1.0009999999999999</v>
      </c>
      <c r="F31" s="656">
        <v>1.0669999999999999</v>
      </c>
      <c r="G31" s="656">
        <v>0.90100000000000002</v>
      </c>
      <c r="H31" s="656">
        <v>1.262</v>
      </c>
      <c r="I31" s="656">
        <v>1.425</v>
      </c>
      <c r="J31" s="656">
        <v>1.663</v>
      </c>
      <c r="K31" s="656">
        <v>1.845</v>
      </c>
      <c r="L31" s="656">
        <v>1.5329999999999999</v>
      </c>
      <c r="M31" s="656">
        <v>11.589</v>
      </c>
      <c r="N31" s="656">
        <v>16.568000000000001</v>
      </c>
      <c r="O31" s="656">
        <v>16.417999999999999</v>
      </c>
      <c r="P31" s="656">
        <v>355.464</v>
      </c>
      <c r="Q31" s="656">
        <v>12.529</v>
      </c>
      <c r="R31" s="656">
        <v>3.464</v>
      </c>
      <c r="S31" s="656">
        <v>107.941</v>
      </c>
      <c r="T31" s="656">
        <v>18.841000000000001</v>
      </c>
      <c r="U31" s="656">
        <v>12.701000000000001</v>
      </c>
      <c r="V31" s="656">
        <v>17</v>
      </c>
      <c r="W31" s="656">
        <v>78</v>
      </c>
      <c r="X31" s="964">
        <v>486</v>
      </c>
      <c r="Y31" s="964">
        <v>94</v>
      </c>
      <c r="Z31" s="964">
        <v>105</v>
      </c>
      <c r="AA31" s="964">
        <v>139</v>
      </c>
      <c r="AB31" s="964">
        <v>110</v>
      </c>
      <c r="AC31" s="964">
        <v>127</v>
      </c>
      <c r="AD31" s="964">
        <v>131</v>
      </c>
      <c r="AE31" s="964">
        <v>126</v>
      </c>
      <c r="AF31" s="969">
        <f t="shared" ref="AF31:AJ31" si="11">AE31</f>
        <v>126</v>
      </c>
      <c r="AG31" s="969">
        <f t="shared" si="11"/>
        <v>126</v>
      </c>
      <c r="AH31" s="969">
        <f t="shared" si="11"/>
        <v>126</v>
      </c>
      <c r="AI31" s="969">
        <f t="shared" si="11"/>
        <v>126</v>
      </c>
      <c r="AJ31" s="969">
        <f t="shared" si="11"/>
        <v>126</v>
      </c>
      <c r="AK31" s="549"/>
      <c r="AL31" s="549"/>
      <c r="AM31" s="549"/>
      <c r="AN31" s="549"/>
    </row>
    <row r="32" spans="1:40" x14ac:dyDescent="0.2">
      <c r="C32" s="303" t="s">
        <v>17</v>
      </c>
      <c r="E32" s="570">
        <f>SUM(E26:E31)</f>
        <v>92.823000000000008</v>
      </c>
      <c r="F32" s="570">
        <f t="shared" ref="F32:Z32" si="12">SUM(F26:F31)</f>
        <v>105.562</v>
      </c>
      <c r="G32" s="570">
        <f t="shared" si="12"/>
        <v>115.31400000000001</v>
      </c>
      <c r="H32" s="570">
        <f t="shared" si="12"/>
        <v>171.58599999999998</v>
      </c>
      <c r="I32" s="570">
        <f t="shared" si="12"/>
        <v>154.79600000000002</v>
      </c>
      <c r="J32" s="570">
        <f t="shared" si="12"/>
        <v>235.81900000000002</v>
      </c>
      <c r="K32" s="570">
        <f t="shared" si="12"/>
        <v>286.19100000000003</v>
      </c>
      <c r="L32" s="570">
        <f t="shared" si="12"/>
        <v>380.23099999999999</v>
      </c>
      <c r="M32" s="570">
        <f t="shared" si="12"/>
        <v>634.41200000000003</v>
      </c>
      <c r="N32" s="570">
        <f t="shared" si="12"/>
        <v>723.29700000000003</v>
      </c>
      <c r="O32" s="570">
        <f t="shared" si="12"/>
        <v>879.97100000000012</v>
      </c>
      <c r="P32" s="570">
        <f t="shared" si="12"/>
        <v>1507.992</v>
      </c>
      <c r="Q32" s="570">
        <f t="shared" si="12"/>
        <v>1122.616</v>
      </c>
      <c r="R32" s="570">
        <f t="shared" si="12"/>
        <v>1456.0579999999998</v>
      </c>
      <c r="S32" s="570">
        <f t="shared" si="12"/>
        <v>1746.4549999999999</v>
      </c>
      <c r="T32" s="570">
        <f t="shared" si="12"/>
        <v>1911.5049999999997</v>
      </c>
      <c r="U32" s="570">
        <f t="shared" si="12"/>
        <v>1771.4479999999999</v>
      </c>
      <c r="V32" s="570">
        <f t="shared" si="12"/>
        <v>1815</v>
      </c>
      <c r="W32" s="570">
        <f t="shared" si="12"/>
        <v>2455</v>
      </c>
      <c r="X32" s="570">
        <f t="shared" si="12"/>
        <v>2781</v>
      </c>
      <c r="Y32" s="570">
        <f t="shared" si="12"/>
        <v>2607</v>
      </c>
      <c r="Z32" s="570">
        <f t="shared" si="12"/>
        <v>2535</v>
      </c>
      <c r="AA32" s="570">
        <f t="shared" ref="AA32:AF32" si="13">SUM(AA26:AA31)</f>
        <v>2736</v>
      </c>
      <c r="AB32" s="570">
        <f t="shared" si="13"/>
        <v>2859</v>
      </c>
      <c r="AC32" s="570">
        <f t="shared" si="13"/>
        <v>2714</v>
      </c>
      <c r="AD32" s="570">
        <f t="shared" si="13"/>
        <v>2974</v>
      </c>
      <c r="AE32" s="570">
        <f t="shared" si="13"/>
        <v>2651</v>
      </c>
      <c r="AF32" s="570">
        <f t="shared" si="13"/>
        <v>2870.6059847568695</v>
      </c>
      <c r="AG32" s="570">
        <f>SUM(AG26:AG31)</f>
        <v>2836.9024257566989</v>
      </c>
      <c r="AH32" s="570">
        <f>SUM(AH26:AH31)</f>
        <v>2799.6894465104765</v>
      </c>
      <c r="AI32" s="570">
        <f>SUM(AI26:AI31)</f>
        <v>2763.4360767669159</v>
      </c>
      <c r="AJ32" s="570">
        <f>SUM(AJ26:AJ31)</f>
        <v>2724.9904745491722</v>
      </c>
      <c r="AK32" s="549"/>
      <c r="AL32" s="549"/>
      <c r="AM32" s="549"/>
      <c r="AN32" s="549"/>
    </row>
    <row r="33" spans="1:40" x14ac:dyDescent="0.2">
      <c r="E33" s="417"/>
      <c r="F33" s="417"/>
      <c r="G33" s="417"/>
      <c r="H33" s="417"/>
      <c r="I33" s="417"/>
      <c r="J33" s="417"/>
      <c r="K33" s="417"/>
      <c r="L33" s="417"/>
      <c r="M33" s="417"/>
      <c r="N33" s="417"/>
      <c r="O33" s="417"/>
      <c r="P33" s="417"/>
      <c r="Q33" s="417"/>
      <c r="R33" s="417"/>
      <c r="S33" s="417"/>
      <c r="T33" s="417"/>
      <c r="U33" s="417"/>
      <c r="V33" s="417"/>
      <c r="W33" s="417"/>
      <c r="X33" s="417"/>
      <c r="Y33" s="417"/>
      <c r="Z33" s="569"/>
      <c r="AA33" s="417"/>
      <c r="AB33" s="417"/>
      <c r="AC33" s="417"/>
      <c r="AD33" s="417"/>
      <c r="AE33" s="417"/>
      <c r="AF33" s="417"/>
      <c r="AG33" s="417"/>
      <c r="AH33" s="417"/>
      <c r="AI33" s="417"/>
      <c r="AJ33" s="549"/>
      <c r="AK33" s="549"/>
      <c r="AL33" s="549"/>
      <c r="AM33" s="549"/>
      <c r="AN33" s="549"/>
    </row>
    <row r="34" spans="1:40" x14ac:dyDescent="0.2">
      <c r="B34" s="303" t="s">
        <v>115</v>
      </c>
      <c r="E34" s="569">
        <v>211.125</v>
      </c>
      <c r="F34" s="569">
        <v>95.096000000000004</v>
      </c>
      <c r="G34" s="569">
        <v>51.851999999999997</v>
      </c>
      <c r="H34" s="569">
        <v>108.777</v>
      </c>
      <c r="I34" s="569">
        <v>187.69900000000001</v>
      </c>
      <c r="J34" s="569">
        <v>312.03100000000001</v>
      </c>
      <c r="K34" s="569">
        <v>310.36599999999999</v>
      </c>
      <c r="L34" s="569">
        <v>310.91199999999998</v>
      </c>
      <c r="M34" s="569">
        <v>494.99299999999999</v>
      </c>
      <c r="N34" s="569">
        <v>803.08100000000002</v>
      </c>
      <c r="O34" s="569">
        <v>1095.42</v>
      </c>
      <c r="P34" s="569">
        <v>1058.7840000000001</v>
      </c>
      <c r="Q34" s="569">
        <v>1075.973</v>
      </c>
      <c r="R34" s="569">
        <v>1103.441</v>
      </c>
      <c r="S34" s="569">
        <v>1046.104</v>
      </c>
      <c r="T34" s="569">
        <v>1040.057</v>
      </c>
      <c r="U34" s="569">
        <v>2051.875</v>
      </c>
      <c r="V34" s="569">
        <v>2053</v>
      </c>
      <c r="W34" s="569">
        <v>3862</v>
      </c>
      <c r="X34" s="967">
        <v>3512</v>
      </c>
      <c r="Y34" s="967">
        <f>2141+2009</f>
        <v>4150</v>
      </c>
      <c r="Z34" s="967">
        <f>2492+1956</f>
        <v>4448</v>
      </c>
      <c r="AA34" s="967">
        <f>2792+1930</f>
        <v>4722</v>
      </c>
      <c r="AB34" s="967">
        <f>2793+1858</f>
        <v>4651</v>
      </c>
      <c r="AC34" s="967">
        <f>2792+1789</f>
        <v>4581</v>
      </c>
      <c r="AD34" s="967">
        <f>2795+1685</f>
        <v>4480</v>
      </c>
      <c r="AE34" s="967">
        <f>2797+1591</f>
        <v>4388</v>
      </c>
      <c r="AF34" s="971">
        <f>AE34+flow!AG37+flow!AG40+flow!AG44+flow!AG46+flow!AG38</f>
        <v>4388</v>
      </c>
      <c r="AG34" s="971">
        <f>AF34+flow!AH37+flow!AH40+flow!AH44+flow!AH46+flow!AH38</f>
        <v>4838</v>
      </c>
      <c r="AH34" s="971">
        <f>AG34+flow!AI37+flow!AI40+flow!AI44+flow!AI46+flow!AI38</f>
        <v>4838</v>
      </c>
      <c r="AI34" s="971">
        <f>AH34+flow!AJ37+flow!AJ40+flow!AJ44+flow!AJ46+flow!AJ38</f>
        <v>4838</v>
      </c>
      <c r="AJ34" s="971">
        <f>AI34+flow!AK37+flow!AK40+flow!AK44+flow!AK46+flow!AK38</f>
        <v>4838</v>
      </c>
      <c r="AK34" s="549"/>
      <c r="AL34" s="549"/>
      <c r="AM34" s="549"/>
      <c r="AN34" s="549"/>
    </row>
    <row r="35" spans="1:40" x14ac:dyDescent="0.2">
      <c r="B35" s="303" t="s">
        <v>159</v>
      </c>
      <c r="E35" s="576">
        <v>13.407</v>
      </c>
      <c r="F35" s="576">
        <v>11.791</v>
      </c>
      <c r="G35" s="576">
        <v>15.134</v>
      </c>
      <c r="H35" s="576">
        <v>20.317</v>
      </c>
      <c r="I35" s="576">
        <v>30.731000000000002</v>
      </c>
      <c r="J35" s="576">
        <v>38.731000000000002</v>
      </c>
      <c r="K35" s="576">
        <v>45.103999999999999</v>
      </c>
      <c r="L35" s="576">
        <v>53.786999999999999</v>
      </c>
      <c r="M35" s="576">
        <v>66.481999999999999</v>
      </c>
      <c r="N35" s="576">
        <v>84.256</v>
      </c>
      <c r="O35" s="576">
        <v>114.22799999999999</v>
      </c>
      <c r="P35" s="576">
        <v>171.95099999999999</v>
      </c>
      <c r="Q35" s="576">
        <v>209.893</v>
      </c>
      <c r="R35" s="576">
        <v>229.381</v>
      </c>
      <c r="S35" s="576">
        <v>217.80099999999999</v>
      </c>
      <c r="T35" s="576">
        <v>243.53</v>
      </c>
      <c r="U35" s="576">
        <v>262.45100000000002</v>
      </c>
      <c r="V35" s="576">
        <v>320</v>
      </c>
      <c r="W35" s="576">
        <v>214</v>
      </c>
      <c r="X35" s="964">
        <v>256</v>
      </c>
      <c r="Y35" s="964">
        <v>423</v>
      </c>
      <c r="Z35" s="964">
        <v>362</v>
      </c>
      <c r="AA35" s="964">
        <v>382</v>
      </c>
      <c r="AB35" s="964">
        <v>368</v>
      </c>
      <c r="AC35" s="964">
        <v>257</v>
      </c>
      <c r="AD35" s="964">
        <v>272</v>
      </c>
      <c r="AE35" s="964">
        <v>212.738</v>
      </c>
      <c r="AF35" s="969">
        <f t="shared" ref="AF35:AJ35" si="14">AE35/AE$67*AF$67</f>
        <v>209.28471690649906</v>
      </c>
      <c r="AG35" s="969">
        <f t="shared" si="14"/>
        <v>206.23389548878316</v>
      </c>
      <c r="AH35" s="969">
        <f t="shared" si="14"/>
        <v>203.1403870564514</v>
      </c>
      <c r="AI35" s="969">
        <f t="shared" si="14"/>
        <v>200.09328125060463</v>
      </c>
      <c r="AJ35" s="969">
        <f t="shared" si="14"/>
        <v>197.09188203184556</v>
      </c>
      <c r="AK35" s="549"/>
      <c r="AL35" s="549"/>
      <c r="AM35" s="549"/>
      <c r="AN35" s="549"/>
    </row>
    <row r="36" spans="1:40" x14ac:dyDescent="0.2">
      <c r="B36" s="303" t="s">
        <v>18</v>
      </c>
      <c r="E36" s="656">
        <v>7.4489999999999998</v>
      </c>
      <c r="F36" s="656">
        <v>24.948</v>
      </c>
      <c r="G36" s="656">
        <v>24.486999999999998</v>
      </c>
      <c r="H36" s="656">
        <v>23.788</v>
      </c>
      <c r="I36" s="656">
        <v>21.061</v>
      </c>
      <c r="J36" s="656">
        <v>18.361999999999998</v>
      </c>
      <c r="K36" s="656">
        <v>25.277999999999999</v>
      </c>
      <c r="L36" s="656">
        <v>28.385999999999999</v>
      </c>
      <c r="M36" s="656">
        <v>33.271999999999998</v>
      </c>
      <c r="N36" s="656">
        <v>41.881</v>
      </c>
      <c r="O36" s="656">
        <v>48.561</v>
      </c>
      <c r="P36" s="656">
        <v>64.858999999999995</v>
      </c>
      <c r="Q36" s="656">
        <v>133.75899999999999</v>
      </c>
      <c r="R36" s="656">
        <v>156.52099999999999</v>
      </c>
      <c r="S36" s="656">
        <v>185.34</v>
      </c>
      <c r="T36" s="656">
        <v>235.53700000000001</v>
      </c>
      <c r="U36" s="656">
        <v>372.70499999999998</v>
      </c>
      <c r="V36" s="656">
        <v>407</v>
      </c>
      <c r="W36" s="656">
        <v>339</v>
      </c>
      <c r="X36" s="1114">
        <v>450</v>
      </c>
      <c r="Y36" s="1114">
        <v>460</v>
      </c>
      <c r="Z36" s="1114">
        <v>512</v>
      </c>
      <c r="AA36" s="1114">
        <v>560</v>
      </c>
      <c r="AB36" s="1114">
        <v>562</v>
      </c>
      <c r="AC36" s="1114">
        <v>563</v>
      </c>
      <c r="AD36" s="1114">
        <v>671</v>
      </c>
      <c r="AE36" s="964">
        <v>662</v>
      </c>
      <c r="AF36" s="969">
        <f>AE36+flow!AG48</f>
        <v>662</v>
      </c>
      <c r="AG36" s="969">
        <f>AF36+flow!AH48</f>
        <v>662</v>
      </c>
      <c r="AH36" s="969">
        <f>AG36+flow!AI48</f>
        <v>662</v>
      </c>
      <c r="AI36" s="969">
        <f>AH36+flow!AJ48</f>
        <v>662</v>
      </c>
      <c r="AJ36" s="969">
        <f>AI36+flow!AK48</f>
        <v>662</v>
      </c>
      <c r="AK36" s="549"/>
      <c r="AL36" s="549"/>
      <c r="AM36" s="549"/>
      <c r="AN36" s="549"/>
    </row>
    <row r="37" spans="1:40" x14ac:dyDescent="0.2">
      <c r="C37" s="303" t="s">
        <v>19</v>
      </c>
      <c r="E37" s="570">
        <f t="shared" ref="E37:Z37" si="15">SUM(E34:E36)</f>
        <v>231.98100000000002</v>
      </c>
      <c r="F37" s="570">
        <f t="shared" si="15"/>
        <v>131.83500000000001</v>
      </c>
      <c r="G37" s="570">
        <f t="shared" si="15"/>
        <v>91.472999999999985</v>
      </c>
      <c r="H37" s="570">
        <f t="shared" si="15"/>
        <v>152.88200000000001</v>
      </c>
      <c r="I37" s="570">
        <f t="shared" si="15"/>
        <v>239.49100000000001</v>
      </c>
      <c r="J37" s="570">
        <f t="shared" si="15"/>
        <v>369.12400000000002</v>
      </c>
      <c r="K37" s="570">
        <f t="shared" si="15"/>
        <v>380.74799999999999</v>
      </c>
      <c r="L37" s="570">
        <f t="shared" si="15"/>
        <v>393.08499999999998</v>
      </c>
      <c r="M37" s="570">
        <f t="shared" si="15"/>
        <v>594.74700000000007</v>
      </c>
      <c r="N37" s="570">
        <f t="shared" si="15"/>
        <v>929.21799999999996</v>
      </c>
      <c r="O37" s="570">
        <f t="shared" si="15"/>
        <v>1258.2090000000001</v>
      </c>
      <c r="P37" s="570">
        <f t="shared" si="15"/>
        <v>1295.5940000000001</v>
      </c>
      <c r="Q37" s="570">
        <f t="shared" si="15"/>
        <v>1419.625</v>
      </c>
      <c r="R37" s="570">
        <f t="shared" si="15"/>
        <v>1489.3430000000001</v>
      </c>
      <c r="S37" s="570">
        <f t="shared" si="15"/>
        <v>1449.2449999999999</v>
      </c>
      <c r="T37" s="570">
        <f t="shared" si="15"/>
        <v>1519.124</v>
      </c>
      <c r="U37" s="570">
        <f t="shared" si="15"/>
        <v>2687.0309999999999</v>
      </c>
      <c r="V37" s="570">
        <f t="shared" si="15"/>
        <v>2780</v>
      </c>
      <c r="W37" s="570">
        <f t="shared" si="15"/>
        <v>4415</v>
      </c>
      <c r="X37" s="570">
        <f t="shared" si="15"/>
        <v>4218</v>
      </c>
      <c r="Y37" s="570">
        <f>SUM(Y34:Y36)</f>
        <v>5033</v>
      </c>
      <c r="Z37" s="570">
        <f t="shared" si="15"/>
        <v>5322</v>
      </c>
      <c r="AA37" s="570">
        <f t="shared" ref="AA37:AF37" si="16">SUM(AA34:AA36)</f>
        <v>5664</v>
      </c>
      <c r="AB37" s="570">
        <f t="shared" si="16"/>
        <v>5581</v>
      </c>
      <c r="AC37" s="570">
        <f t="shared" si="16"/>
        <v>5401</v>
      </c>
      <c r="AD37" s="570">
        <f t="shared" si="16"/>
        <v>5423</v>
      </c>
      <c r="AE37" s="970">
        <f t="shared" si="16"/>
        <v>5262.7380000000003</v>
      </c>
      <c r="AF37" s="970">
        <f t="shared" si="16"/>
        <v>5259.2847169064989</v>
      </c>
      <c r="AG37" s="970">
        <f>SUM(AG34:AG36)</f>
        <v>5706.2338954887828</v>
      </c>
      <c r="AH37" s="970">
        <f>SUM(AH34:AH36)</f>
        <v>5703.1403870564518</v>
      </c>
      <c r="AI37" s="970">
        <f>SUM(AI34:AI36)</f>
        <v>5700.0932812506044</v>
      </c>
      <c r="AJ37" s="970">
        <f>SUM(AJ34:AJ36)</f>
        <v>5697.0918820318457</v>
      </c>
      <c r="AK37" s="549"/>
      <c r="AL37" s="549"/>
      <c r="AM37" s="549"/>
      <c r="AN37" s="549"/>
    </row>
    <row r="38" spans="1:40" ht="4.5" customHeight="1" x14ac:dyDescent="0.2">
      <c r="E38" s="657"/>
      <c r="F38" s="657"/>
      <c r="G38" s="657"/>
      <c r="H38" s="657"/>
      <c r="I38" s="657"/>
      <c r="J38" s="657"/>
      <c r="K38" s="657"/>
      <c r="L38" s="657"/>
      <c r="M38" s="657"/>
      <c r="N38" s="657"/>
      <c r="O38" s="657"/>
      <c r="P38" s="657"/>
      <c r="Q38" s="657"/>
      <c r="R38" s="657"/>
      <c r="S38" s="657"/>
      <c r="T38" s="657"/>
      <c r="U38" s="657"/>
      <c r="V38" s="657"/>
      <c r="W38" s="657"/>
      <c r="X38" s="657"/>
      <c r="Y38" s="657"/>
      <c r="Z38" s="657"/>
      <c r="AA38" s="657"/>
      <c r="AB38" s="657"/>
      <c r="AC38" s="657"/>
      <c r="AD38" s="657"/>
      <c r="AE38" s="657"/>
      <c r="AF38" s="657"/>
      <c r="AG38" s="657"/>
      <c r="AH38" s="657"/>
      <c r="AI38" s="657"/>
      <c r="AJ38" s="657"/>
      <c r="AK38" s="549"/>
      <c r="AL38" s="549"/>
      <c r="AM38" s="549"/>
      <c r="AN38" s="549"/>
    </row>
    <row r="39" spans="1:40" x14ac:dyDescent="0.2">
      <c r="A39" s="303" t="s">
        <v>24</v>
      </c>
      <c r="E39" s="653">
        <f>E37+E32</f>
        <v>324.80400000000003</v>
      </c>
      <c r="F39" s="653">
        <f t="shared" ref="F39:Y39" si="17">F37+F32</f>
        <v>237.39699999999999</v>
      </c>
      <c r="G39" s="653">
        <f t="shared" si="17"/>
        <v>206.78699999999998</v>
      </c>
      <c r="H39" s="653">
        <f t="shared" si="17"/>
        <v>324.46799999999996</v>
      </c>
      <c r="I39" s="653">
        <f t="shared" si="17"/>
        <v>394.28700000000003</v>
      </c>
      <c r="J39" s="653">
        <f t="shared" si="17"/>
        <v>604.94299999999998</v>
      </c>
      <c r="K39" s="653">
        <f t="shared" si="17"/>
        <v>666.93900000000008</v>
      </c>
      <c r="L39" s="653">
        <f t="shared" si="17"/>
        <v>773.31600000000003</v>
      </c>
      <c r="M39" s="653">
        <f t="shared" si="17"/>
        <v>1229.1590000000001</v>
      </c>
      <c r="N39" s="653">
        <f t="shared" si="17"/>
        <v>1652.5149999999999</v>
      </c>
      <c r="O39" s="653">
        <f t="shared" si="17"/>
        <v>2138.1800000000003</v>
      </c>
      <c r="P39" s="653">
        <f t="shared" si="17"/>
        <v>2803.5860000000002</v>
      </c>
      <c r="Q39" s="653">
        <f t="shared" si="17"/>
        <v>2542.241</v>
      </c>
      <c r="R39" s="653">
        <f t="shared" si="17"/>
        <v>2945.4009999999998</v>
      </c>
      <c r="S39" s="653">
        <f t="shared" si="17"/>
        <v>3195.7</v>
      </c>
      <c r="T39" s="653">
        <f t="shared" si="17"/>
        <v>3430.6289999999999</v>
      </c>
      <c r="U39" s="653">
        <f t="shared" si="17"/>
        <v>4458.4789999999994</v>
      </c>
      <c r="V39" s="653">
        <f t="shared" si="17"/>
        <v>4595</v>
      </c>
      <c r="W39" s="653">
        <f t="shared" si="17"/>
        <v>6870</v>
      </c>
      <c r="X39" s="653">
        <f t="shared" si="17"/>
        <v>6999</v>
      </c>
      <c r="Y39" s="653">
        <f t="shared" si="17"/>
        <v>7640</v>
      </c>
      <c r="Z39" s="653">
        <f t="shared" ref="Z39:AE39" si="18">Z37+Z32</f>
        <v>7857</v>
      </c>
      <c r="AA39" s="653">
        <f t="shared" si="18"/>
        <v>8400</v>
      </c>
      <c r="AB39" s="653">
        <f t="shared" si="18"/>
        <v>8440</v>
      </c>
      <c r="AC39" s="653">
        <f t="shared" si="18"/>
        <v>8115</v>
      </c>
      <c r="AD39" s="653">
        <f t="shared" si="18"/>
        <v>8397</v>
      </c>
      <c r="AE39" s="653">
        <f t="shared" si="18"/>
        <v>7913.7380000000003</v>
      </c>
      <c r="AF39" s="653">
        <f>AF37+AF32</f>
        <v>8129.8907016633684</v>
      </c>
      <c r="AG39" s="653">
        <f>AG37+AG32</f>
        <v>8543.1363212454817</v>
      </c>
      <c r="AH39" s="653">
        <f>AH37+AH32</f>
        <v>8502.8298335669278</v>
      </c>
      <c r="AI39" s="653">
        <f>AI37+AI32</f>
        <v>8463.5293580175203</v>
      </c>
      <c r="AJ39" s="653">
        <f>AJ37+AJ32</f>
        <v>8422.0823565810169</v>
      </c>
      <c r="AK39" s="549"/>
      <c r="AL39" s="549"/>
      <c r="AM39" s="549"/>
      <c r="AN39" s="549"/>
    </row>
    <row r="40" spans="1:40" ht="4.5" customHeight="1" x14ac:dyDescent="0.2">
      <c r="E40" s="417"/>
      <c r="F40" s="417"/>
      <c r="G40" s="417"/>
      <c r="H40" s="417"/>
      <c r="I40" s="417"/>
      <c r="J40" s="417"/>
      <c r="K40" s="417"/>
      <c r="L40" s="417"/>
      <c r="M40" s="417"/>
      <c r="N40" s="417"/>
      <c r="O40" s="417"/>
      <c r="P40" s="417"/>
      <c r="Q40" s="417"/>
      <c r="R40" s="417"/>
      <c r="S40" s="417"/>
      <c r="T40" s="417"/>
      <c r="U40" s="417"/>
      <c r="V40" s="417"/>
      <c r="W40" s="417"/>
      <c r="X40" s="417"/>
      <c r="Y40" s="417"/>
      <c r="Z40" s="417"/>
      <c r="AA40" s="417"/>
      <c r="AB40" s="417"/>
      <c r="AC40" s="417"/>
      <c r="AD40" s="417"/>
      <c r="AE40" s="417"/>
      <c r="AF40" s="417"/>
      <c r="AG40" s="417"/>
      <c r="AH40" s="417"/>
      <c r="AI40" s="417"/>
      <c r="AJ40" s="417"/>
      <c r="AK40" s="417"/>
      <c r="AL40" s="417"/>
      <c r="AM40" s="417"/>
      <c r="AN40" s="417"/>
    </row>
    <row r="41" spans="1:40" x14ac:dyDescent="0.2">
      <c r="A41" s="649" t="s">
        <v>118</v>
      </c>
      <c r="E41" s="658"/>
      <c r="F41" s="658"/>
      <c r="G41" s="658"/>
      <c r="H41" s="658"/>
      <c r="I41" s="658"/>
      <c r="J41" s="658"/>
      <c r="K41" s="658"/>
      <c r="L41" s="658"/>
      <c r="M41" s="658"/>
      <c r="N41" s="658"/>
      <c r="O41" s="658"/>
      <c r="P41" s="658"/>
      <c r="Q41" s="658"/>
      <c r="R41" s="658"/>
      <c r="S41" s="658"/>
      <c r="T41" s="658"/>
      <c r="U41" s="658"/>
      <c r="V41" s="658"/>
      <c r="W41" s="658"/>
      <c r="X41" s="658"/>
      <c r="Y41" s="658"/>
      <c r="Z41" s="417"/>
      <c r="AA41" s="417"/>
      <c r="AB41" s="417"/>
      <c r="AC41" s="417"/>
      <c r="AD41" s="417"/>
      <c r="AE41" s="417"/>
      <c r="AF41" s="417"/>
      <c r="AG41" s="417"/>
      <c r="AH41" s="417"/>
      <c r="AI41" s="417"/>
      <c r="AJ41" s="417"/>
      <c r="AK41" s="417"/>
      <c r="AL41" s="417"/>
      <c r="AM41" s="417"/>
      <c r="AN41" s="417"/>
    </row>
    <row r="42" spans="1:40" ht="12.75" customHeight="1" outlineLevel="1" x14ac:dyDescent="0.2">
      <c r="B42" s="303" t="s">
        <v>154</v>
      </c>
      <c r="E42" s="569">
        <v>0</v>
      </c>
      <c r="F42" s="569">
        <v>0</v>
      </c>
      <c r="G42" s="569">
        <v>0</v>
      </c>
      <c r="H42" s="569">
        <v>0</v>
      </c>
      <c r="I42" s="569">
        <v>0</v>
      </c>
      <c r="J42" s="569">
        <v>0</v>
      </c>
      <c r="K42" s="569">
        <v>0</v>
      </c>
      <c r="L42" s="569">
        <v>0</v>
      </c>
      <c r="M42" s="569">
        <v>0</v>
      </c>
      <c r="N42" s="569">
        <v>0</v>
      </c>
      <c r="O42" s="569">
        <v>0</v>
      </c>
      <c r="P42" s="569">
        <v>0</v>
      </c>
      <c r="Q42" s="569">
        <v>0</v>
      </c>
      <c r="R42" s="569">
        <v>0</v>
      </c>
      <c r="S42" s="569">
        <v>0</v>
      </c>
      <c r="T42" s="569">
        <v>0</v>
      </c>
      <c r="U42" s="569">
        <v>0</v>
      </c>
      <c r="V42" s="569">
        <v>0</v>
      </c>
      <c r="W42" s="569">
        <v>0</v>
      </c>
      <c r="X42" s="967">
        <v>0</v>
      </c>
      <c r="Y42" s="967">
        <v>0</v>
      </c>
      <c r="Z42" s="967">
        <v>0</v>
      </c>
      <c r="AA42" s="967">
        <v>0</v>
      </c>
      <c r="AB42" s="967">
        <v>0</v>
      </c>
      <c r="AC42" s="967">
        <v>0</v>
      </c>
      <c r="AD42" s="967">
        <v>0</v>
      </c>
      <c r="AE42" s="967">
        <v>0</v>
      </c>
      <c r="AF42" s="971">
        <v>0</v>
      </c>
      <c r="AG42" s="971">
        <v>0</v>
      </c>
      <c r="AH42" s="971">
        <v>0</v>
      </c>
      <c r="AI42" s="971">
        <v>0</v>
      </c>
      <c r="AJ42" s="971">
        <v>0</v>
      </c>
      <c r="AK42" s="659"/>
      <c r="AL42" s="659"/>
      <c r="AM42" s="659"/>
      <c r="AN42" s="659"/>
    </row>
    <row r="43" spans="1:40" ht="12.75" customHeight="1" outlineLevel="1" x14ac:dyDescent="0.2">
      <c r="B43" s="303" t="s">
        <v>312</v>
      </c>
      <c r="E43" s="576">
        <v>1.0880000000000001</v>
      </c>
      <c r="F43" s="576">
        <v>1.472</v>
      </c>
      <c r="G43" s="576">
        <v>1.468</v>
      </c>
      <c r="H43" s="576">
        <v>1.47</v>
      </c>
      <c r="I43" s="576">
        <v>1.474</v>
      </c>
      <c r="J43" s="576">
        <v>1.478</v>
      </c>
      <c r="K43" s="576">
        <v>1.5780000000000001</v>
      </c>
      <c r="L43" s="576">
        <v>1.5840000000000001</v>
      </c>
      <c r="M43" s="576">
        <v>3.262</v>
      </c>
      <c r="N43" s="576">
        <v>0</v>
      </c>
      <c r="O43" s="576">
        <v>3.351</v>
      </c>
      <c r="P43" s="576">
        <v>3.3730000000000002</v>
      </c>
      <c r="Q43" s="576">
        <v>3.4009999999999998</v>
      </c>
      <c r="R43" s="576">
        <v>3.4329999999999998</v>
      </c>
      <c r="S43" s="576">
        <v>3.45</v>
      </c>
      <c r="T43" s="576">
        <v>3.4849999999999999</v>
      </c>
      <c r="U43" s="576">
        <v>3.508</v>
      </c>
      <c r="V43" s="576">
        <v>4</v>
      </c>
      <c r="W43" s="576">
        <v>4</v>
      </c>
      <c r="X43" s="964">
        <v>4</v>
      </c>
      <c r="Y43" s="964">
        <v>4</v>
      </c>
      <c r="Z43" s="964">
        <v>4</v>
      </c>
      <c r="AA43" s="964">
        <v>4</v>
      </c>
      <c r="AB43" s="964">
        <v>4</v>
      </c>
      <c r="AC43" s="964">
        <v>4</v>
      </c>
      <c r="AD43" s="964">
        <v>4</v>
      </c>
      <c r="AE43" s="964">
        <f t="shared" ref="AE43:AJ43" si="19">AD43</f>
        <v>4</v>
      </c>
      <c r="AF43" s="969">
        <f t="shared" si="19"/>
        <v>4</v>
      </c>
      <c r="AG43" s="969">
        <f t="shared" si="19"/>
        <v>4</v>
      </c>
      <c r="AH43" s="969">
        <f t="shared" si="19"/>
        <v>4</v>
      </c>
      <c r="AI43" s="969">
        <f t="shared" si="19"/>
        <v>4</v>
      </c>
      <c r="AJ43" s="969">
        <f t="shared" si="19"/>
        <v>4</v>
      </c>
      <c r="AK43" s="659"/>
      <c r="AL43" s="659"/>
      <c r="AM43" s="659"/>
      <c r="AN43" s="659"/>
    </row>
    <row r="44" spans="1:40" ht="12.75" customHeight="1" outlineLevel="1" x14ac:dyDescent="0.2">
      <c r="B44" s="303" t="s">
        <v>311</v>
      </c>
      <c r="E44" s="576">
        <v>-0.72499999999999998</v>
      </c>
      <c r="F44" s="576">
        <v>25.846</v>
      </c>
      <c r="G44" s="576">
        <v>79.739000000000004</v>
      </c>
      <c r="H44" s="576">
        <v>148.251</v>
      </c>
      <c r="I44" s="576">
        <v>220.90299999999999</v>
      </c>
      <c r="J44" s="576">
        <v>323.38099999999997</v>
      </c>
      <c r="K44" s="576">
        <v>464.654</v>
      </c>
      <c r="L44" s="576">
        <v>656.92</v>
      </c>
      <c r="M44" s="576">
        <v>915.06200000000001</v>
      </c>
      <c r="N44" s="576">
        <v>1278.4140000000011</v>
      </c>
      <c r="O44" s="576">
        <v>1782.886</v>
      </c>
      <c r="P44" s="576">
        <v>2426.2669999999998</v>
      </c>
      <c r="Q44" s="576">
        <v>2974.5889999999999</v>
      </c>
      <c r="R44" s="576">
        <v>3528.893</v>
      </c>
      <c r="S44" s="576">
        <v>4370.8530000000001</v>
      </c>
      <c r="T44" s="576">
        <v>5479.5339999999997</v>
      </c>
      <c r="U44" s="576">
        <v>6563.3850000000002</v>
      </c>
      <c r="V44" s="576">
        <v>7448</v>
      </c>
      <c r="W44" s="576">
        <v>8181</v>
      </c>
      <c r="X44" s="964">
        <v>9301</v>
      </c>
      <c r="Y44" s="964">
        <v>10195</v>
      </c>
      <c r="Z44" s="964">
        <v>10878</v>
      </c>
      <c r="AA44" s="964">
        <v>11462</v>
      </c>
      <c r="AB44" s="964">
        <v>12008</v>
      </c>
      <c r="AC44" s="964">
        <v>12329</v>
      </c>
      <c r="AD44" s="964">
        <v>12522</v>
      </c>
      <c r="AE44" s="964">
        <v>13006</v>
      </c>
      <c r="AF44" s="969">
        <f>AE44+flow!AG8+flow!AG47</f>
        <v>13400.324994161865</v>
      </c>
      <c r="AG44" s="969">
        <f>AF44+flow!AH8+flow!AH47</f>
        <v>13638.420878436555</v>
      </c>
      <c r="AH44" s="969">
        <f>AG44+flow!AI8+flow!AI47</f>
        <v>13772.86865874131</v>
      </c>
      <c r="AI44" s="969">
        <f>AH44+flow!AJ8+flow!AJ47</f>
        <v>13803.16652027803</v>
      </c>
      <c r="AJ44" s="969">
        <f>AI44+flow!AK8+flow!AK47</f>
        <v>13763.824169620795</v>
      </c>
      <c r="AK44" s="659"/>
      <c r="AL44" s="659"/>
      <c r="AM44" s="659"/>
      <c r="AN44" s="659"/>
    </row>
    <row r="45" spans="1:40" ht="12.75" customHeight="1" outlineLevel="1" x14ac:dyDescent="0.2">
      <c r="B45" s="303" t="s">
        <v>313</v>
      </c>
      <c r="E45" s="576">
        <v>23.928000000000001</v>
      </c>
      <c r="F45" s="576">
        <v>180.08600000000001</v>
      </c>
      <c r="G45" s="576">
        <v>181.29599999999999</v>
      </c>
      <c r="H45" s="576">
        <v>184.53</v>
      </c>
      <c r="I45" s="576">
        <v>188.19799999999998</v>
      </c>
      <c r="J45" s="576">
        <v>192.61199999999999</v>
      </c>
      <c r="K45" s="576">
        <v>488.55</v>
      </c>
      <c r="L45" s="576">
        <v>504.27499999999998</v>
      </c>
      <c r="M45" s="576">
        <v>767.17899999999997</v>
      </c>
      <c r="N45" s="576">
        <v>924.224999999999</v>
      </c>
      <c r="O45" s="576">
        <v>1005.169</v>
      </c>
      <c r="P45" s="576">
        <v>1082.277</v>
      </c>
      <c r="Q45" s="576">
        <v>1170.519</v>
      </c>
      <c r="R45" s="576">
        <v>1501.5719999999999</v>
      </c>
      <c r="S45" s="576">
        <v>1583.0350000000001</v>
      </c>
      <c r="T45" s="576">
        <v>1748.7919999999999</v>
      </c>
      <c r="U45" s="576">
        <v>1911.0409999999999</v>
      </c>
      <c r="V45" s="576">
        <v>1971</v>
      </c>
      <c r="W45" s="576">
        <v>2085</v>
      </c>
      <c r="X45" s="964">
        <v>2225</v>
      </c>
      <c r="Y45" s="964">
        <v>2339</v>
      </c>
      <c r="Z45" s="964">
        <v>2454</v>
      </c>
      <c r="AA45" s="964">
        <v>2598</v>
      </c>
      <c r="AB45" s="964">
        <v>2743</v>
      </c>
      <c r="AC45" s="964">
        <v>2944</v>
      </c>
      <c r="AD45" s="964">
        <v>3003</v>
      </c>
      <c r="AE45" s="964">
        <v>3078</v>
      </c>
      <c r="AF45" s="969">
        <f t="shared" ref="AF45:AJ45" si="20">AE45</f>
        <v>3078</v>
      </c>
      <c r="AG45" s="969">
        <f t="shared" si="20"/>
        <v>3078</v>
      </c>
      <c r="AH45" s="969">
        <f t="shared" si="20"/>
        <v>3078</v>
      </c>
      <c r="AI45" s="969">
        <f t="shared" si="20"/>
        <v>3078</v>
      </c>
      <c r="AJ45" s="969">
        <f t="shared" si="20"/>
        <v>3078</v>
      </c>
      <c r="AK45" s="659"/>
      <c r="AL45" s="659"/>
      <c r="AM45" s="659"/>
      <c r="AN45" s="659"/>
    </row>
    <row r="46" spans="1:40" ht="12.75" customHeight="1" outlineLevel="1" x14ac:dyDescent="0.2">
      <c r="B46" s="303" t="s">
        <v>314</v>
      </c>
      <c r="E46" s="654">
        <v>0</v>
      </c>
      <c r="F46" s="654">
        <v>0</v>
      </c>
      <c r="G46" s="654">
        <v>0</v>
      </c>
      <c r="H46" s="654">
        <v>0</v>
      </c>
      <c r="I46" s="654">
        <v>0</v>
      </c>
      <c r="J46" s="654">
        <v>0</v>
      </c>
      <c r="K46" s="654">
        <v>0</v>
      </c>
      <c r="L46" s="654">
        <v>0</v>
      </c>
      <c r="M46" s="654">
        <v>0</v>
      </c>
      <c r="N46" s="654">
        <v>0</v>
      </c>
      <c r="O46" s="654">
        <v>0</v>
      </c>
      <c r="P46" s="654">
        <v>0</v>
      </c>
      <c r="Q46" s="654">
        <v>0</v>
      </c>
      <c r="R46" s="654">
        <v>0</v>
      </c>
      <c r="S46" s="654">
        <v>0</v>
      </c>
      <c r="T46" s="654">
        <v>-1628.4159999999999</v>
      </c>
      <c r="U46" s="654">
        <v>-2376.3310000000001</v>
      </c>
      <c r="V46" s="654">
        <v>-2638</v>
      </c>
      <c r="W46" s="654">
        <f>-2639-17.1</f>
        <v>-2656.1</v>
      </c>
      <c r="X46" s="964">
        <v>-3642.1</v>
      </c>
      <c r="Y46" s="964">
        <v>-5976.1</v>
      </c>
      <c r="Z46" s="964">
        <v>-7243</v>
      </c>
      <c r="AA46" s="964">
        <v>-8052</v>
      </c>
      <c r="AB46" s="964">
        <v>-8744</v>
      </c>
      <c r="AC46" s="964">
        <v>-9769</v>
      </c>
      <c r="AD46" s="964">
        <v>-10338</v>
      </c>
      <c r="AE46" s="964">
        <v>-10651</v>
      </c>
      <c r="AF46" s="969">
        <f>AE46+flow!AG41+flow!AG12</f>
        <v>-10946.892790992406</v>
      </c>
      <c r="AG46" s="969">
        <f>AF46+flow!AH41+flow!AH12</f>
        <v>-11293.574322961857</v>
      </c>
      <c r="AH46" s="969">
        <f>AG46+flow!AI41+flow!AI12</f>
        <v>-11641.055631951765</v>
      </c>
      <c r="AI46" s="969">
        <f>AH46+flow!AJ41+flow!AJ12</f>
        <v>-11989.324721306826</v>
      </c>
      <c r="AJ46" s="969">
        <f>AI46+flow!AK41+flow!AK12</f>
        <v>-12338.36977432156</v>
      </c>
      <c r="AK46" s="659"/>
      <c r="AL46" s="659"/>
      <c r="AM46" s="659"/>
      <c r="AN46" s="659"/>
    </row>
    <row r="47" spans="1:40" ht="12.75" customHeight="1" outlineLevel="1" x14ac:dyDescent="0.2">
      <c r="B47" s="303" t="s">
        <v>315</v>
      </c>
      <c r="E47" s="656">
        <v>-1.4600000000000932</v>
      </c>
      <c r="F47" s="656">
        <v>0.66799999999989268</v>
      </c>
      <c r="G47" s="656">
        <v>2.2989999999998645</v>
      </c>
      <c r="H47" s="656">
        <v>2.2379999999997153</v>
      </c>
      <c r="I47" s="656">
        <v>10.602999999999952</v>
      </c>
      <c r="J47" s="656">
        <v>10.85799999999972</v>
      </c>
      <c r="K47" s="656">
        <v>8.8413339999997334</v>
      </c>
      <c r="L47" s="656">
        <v>8.3519199999991542</v>
      </c>
      <c r="M47" s="656">
        <v>9.0559199999979683</v>
      </c>
      <c r="N47" s="656">
        <v>8.1599199999996017</v>
      </c>
      <c r="O47" s="656">
        <v>8.7599199999995108</v>
      </c>
      <c r="P47" s="656">
        <v>10.723920000000362</v>
      </c>
      <c r="Q47" s="656">
        <v>8.589920000001257</v>
      </c>
      <c r="R47" s="656">
        <v>8.6118080000023838</v>
      </c>
      <c r="S47" s="656">
        <v>8.6745876039894938</v>
      </c>
      <c r="T47" s="656">
        <v>8.6363631439980963</v>
      </c>
      <c r="U47" s="656">
        <v>8.5663631439983874</v>
      </c>
      <c r="V47" s="656">
        <v>-37.763636856003359</v>
      </c>
      <c r="W47" s="656">
        <v>-36.899999999999636</v>
      </c>
      <c r="X47" s="1322">
        <v>-37.899999999999636</v>
      </c>
      <c r="Y47" s="1322">
        <v>-53.899999999999636</v>
      </c>
      <c r="Z47" s="1322">
        <v>-45.5</v>
      </c>
      <c r="AA47" s="1322">
        <v>-34</v>
      </c>
      <c r="AB47" s="1322">
        <v>-20</v>
      </c>
      <c r="AC47" s="1322">
        <v>-17.5</v>
      </c>
      <c r="AD47" s="1322">
        <v>-14.262</v>
      </c>
      <c r="AE47" s="964">
        <v>-11</v>
      </c>
      <c r="AF47" s="969">
        <f t="shared" ref="AF47:AJ47" si="21">AE47</f>
        <v>-11</v>
      </c>
      <c r="AG47" s="969">
        <f t="shared" si="21"/>
        <v>-11</v>
      </c>
      <c r="AH47" s="969">
        <f t="shared" si="21"/>
        <v>-11</v>
      </c>
      <c r="AI47" s="969">
        <f t="shared" si="21"/>
        <v>-11</v>
      </c>
      <c r="AJ47" s="969">
        <f t="shared" si="21"/>
        <v>-11</v>
      </c>
      <c r="AK47" s="659"/>
      <c r="AL47" s="659"/>
      <c r="AM47" s="659"/>
      <c r="AN47" s="659"/>
    </row>
    <row r="48" spans="1:40" x14ac:dyDescent="0.2">
      <c r="C48" s="303" t="s">
        <v>20</v>
      </c>
      <c r="E48" s="570">
        <f>SUM(E42:E47)</f>
        <v>22.830999999999907</v>
      </c>
      <c r="F48" s="570">
        <f t="shared" ref="F48:Z48" si="22">SUM(F42:F47)</f>
        <v>208.07199999999992</v>
      </c>
      <c r="G48" s="570">
        <f t="shared" si="22"/>
        <v>264.80199999999985</v>
      </c>
      <c r="H48" s="570">
        <f t="shared" si="22"/>
        <v>336.48899999999969</v>
      </c>
      <c r="I48" s="570">
        <f t="shared" si="22"/>
        <v>421.17799999999988</v>
      </c>
      <c r="J48" s="570">
        <f t="shared" si="22"/>
        <v>528.32899999999972</v>
      </c>
      <c r="K48" s="570">
        <f t="shared" si="22"/>
        <v>963.62333399999966</v>
      </c>
      <c r="L48" s="570">
        <f t="shared" si="22"/>
        <v>1171.1309199999992</v>
      </c>
      <c r="M48" s="570">
        <f t="shared" si="22"/>
        <v>1694.5589199999979</v>
      </c>
      <c r="N48" s="570">
        <f t="shared" si="22"/>
        <v>2210.7989199999997</v>
      </c>
      <c r="O48" s="570">
        <f t="shared" si="22"/>
        <v>2800.1659199999995</v>
      </c>
      <c r="P48" s="570">
        <f t="shared" si="22"/>
        <v>3522.6409200000003</v>
      </c>
      <c r="Q48" s="570">
        <f t="shared" si="22"/>
        <v>4157.0989200000013</v>
      </c>
      <c r="R48" s="570">
        <f t="shared" si="22"/>
        <v>5042.5098080000025</v>
      </c>
      <c r="S48" s="570">
        <f t="shared" si="22"/>
        <v>5966.0125876039892</v>
      </c>
      <c r="T48" s="570">
        <f t="shared" si="22"/>
        <v>5612.0313631439976</v>
      </c>
      <c r="U48" s="570">
        <f t="shared" si="22"/>
        <v>6110.1693631439975</v>
      </c>
      <c r="V48" s="570">
        <f t="shared" si="22"/>
        <v>6747.2363631439966</v>
      </c>
      <c r="W48" s="570">
        <f t="shared" si="22"/>
        <v>7577</v>
      </c>
      <c r="X48" s="970">
        <f t="shared" si="22"/>
        <v>7850</v>
      </c>
      <c r="Y48" s="970">
        <f t="shared" si="22"/>
        <v>6508</v>
      </c>
      <c r="Z48" s="970">
        <f t="shared" si="22"/>
        <v>6047.5</v>
      </c>
      <c r="AA48" s="970">
        <v>5977.5</v>
      </c>
      <c r="AB48" s="970">
        <f t="shared" ref="AB48:AG48" si="23">SUM(AB42:AB47)</f>
        <v>5991</v>
      </c>
      <c r="AC48" s="970">
        <f t="shared" si="23"/>
        <v>5490.5</v>
      </c>
      <c r="AD48" s="970">
        <f t="shared" si="23"/>
        <v>5176.7380000000003</v>
      </c>
      <c r="AE48" s="970">
        <f>SUM(AE42:AE47)</f>
        <v>5426</v>
      </c>
      <c r="AF48" s="970">
        <f t="shared" si="23"/>
        <v>5524.4322031694574</v>
      </c>
      <c r="AG48" s="970">
        <f t="shared" si="23"/>
        <v>5415.8465554746981</v>
      </c>
      <c r="AH48" s="970">
        <f>SUM(AH42:AH47)</f>
        <v>5202.8130267895449</v>
      </c>
      <c r="AI48" s="970">
        <f>SUM(AI42:AI47)</f>
        <v>4884.8417989712016</v>
      </c>
      <c r="AJ48" s="970">
        <f>SUM(AJ42:AJ47)</f>
        <v>4496.4543952992353</v>
      </c>
      <c r="AK48" s="570"/>
      <c r="AL48" s="570"/>
      <c r="AM48" s="570"/>
      <c r="AN48" s="570"/>
    </row>
    <row r="49" spans="1:40" ht="4.5" customHeight="1" x14ac:dyDescent="0.2">
      <c r="E49" s="417"/>
      <c r="F49" s="417"/>
      <c r="G49" s="417"/>
      <c r="H49" s="417"/>
      <c r="I49" s="417"/>
      <c r="J49" s="417"/>
      <c r="K49" s="417"/>
      <c r="L49" s="417"/>
      <c r="M49" s="417"/>
      <c r="N49" s="417"/>
      <c r="O49" s="417"/>
      <c r="P49" s="417"/>
      <c r="Q49" s="417"/>
      <c r="R49" s="417"/>
      <c r="S49" s="417"/>
      <c r="T49" s="417"/>
      <c r="U49" s="417"/>
      <c r="V49" s="417"/>
      <c r="W49" s="417"/>
      <c r="X49" s="417"/>
      <c r="Y49" s="417"/>
      <c r="Z49" s="417"/>
      <c r="AA49" s="417"/>
      <c r="AB49" s="417"/>
      <c r="AC49" s="417"/>
      <c r="AD49" s="417"/>
      <c r="AE49" s="417"/>
      <c r="AF49" s="417"/>
      <c r="AG49" s="417"/>
      <c r="AH49" s="417"/>
      <c r="AI49" s="417"/>
      <c r="AJ49" s="549"/>
      <c r="AK49" s="549"/>
      <c r="AL49" s="549"/>
      <c r="AM49" s="549"/>
      <c r="AN49" s="549"/>
    </row>
    <row r="50" spans="1:40" x14ac:dyDescent="0.2">
      <c r="A50" s="303" t="s">
        <v>135</v>
      </c>
      <c r="E50" s="653">
        <f t="shared" ref="E50:Y50" si="24">E48+E39</f>
        <v>347.63499999999993</v>
      </c>
      <c r="F50" s="653">
        <f t="shared" si="24"/>
        <v>445.46899999999994</v>
      </c>
      <c r="G50" s="653">
        <f t="shared" si="24"/>
        <v>471.58899999999983</v>
      </c>
      <c r="H50" s="653">
        <f t="shared" si="24"/>
        <v>660.95699999999965</v>
      </c>
      <c r="I50" s="653">
        <f t="shared" si="24"/>
        <v>815.46499999999992</v>
      </c>
      <c r="J50" s="653">
        <f t="shared" si="24"/>
        <v>1133.2719999999997</v>
      </c>
      <c r="K50" s="653">
        <f t="shared" si="24"/>
        <v>1630.5623339999997</v>
      </c>
      <c r="L50" s="653">
        <f t="shared" si="24"/>
        <v>1944.4469199999992</v>
      </c>
      <c r="M50" s="653">
        <f t="shared" si="24"/>
        <v>2923.7179199999982</v>
      </c>
      <c r="N50" s="653">
        <f t="shared" si="24"/>
        <v>3863.3139199999996</v>
      </c>
      <c r="O50" s="653">
        <f t="shared" si="24"/>
        <v>4938.3459199999998</v>
      </c>
      <c r="P50" s="653">
        <f t="shared" si="24"/>
        <v>6326.226920000001</v>
      </c>
      <c r="Q50" s="653">
        <f t="shared" si="24"/>
        <v>6699.3399200000013</v>
      </c>
      <c r="R50" s="653">
        <f t="shared" si="24"/>
        <v>7987.9108080000024</v>
      </c>
      <c r="S50" s="653">
        <f t="shared" si="24"/>
        <v>9161.71258760399</v>
      </c>
      <c r="T50" s="653">
        <f t="shared" si="24"/>
        <v>9042.6603631439975</v>
      </c>
      <c r="U50" s="653">
        <f t="shared" si="24"/>
        <v>10568.648363143997</v>
      </c>
      <c r="V50" s="653">
        <f t="shared" si="24"/>
        <v>11342.236363143997</v>
      </c>
      <c r="W50" s="653">
        <f t="shared" si="24"/>
        <v>14447</v>
      </c>
      <c r="X50" s="653">
        <f t="shared" si="24"/>
        <v>14849</v>
      </c>
      <c r="Y50" s="653">
        <f t="shared" si="24"/>
        <v>14148</v>
      </c>
      <c r="Z50" s="653">
        <f t="shared" ref="Z50:AE50" si="25">Z48+Z39</f>
        <v>13904.5</v>
      </c>
      <c r="AA50" s="653">
        <f t="shared" si="25"/>
        <v>14377.5</v>
      </c>
      <c r="AB50" s="653">
        <f t="shared" si="25"/>
        <v>14431</v>
      </c>
      <c r="AC50" s="653">
        <f t="shared" si="25"/>
        <v>13605.5</v>
      </c>
      <c r="AD50" s="653">
        <f t="shared" si="25"/>
        <v>13573.738000000001</v>
      </c>
      <c r="AE50" s="653">
        <f t="shared" si="25"/>
        <v>13339.738000000001</v>
      </c>
      <c r="AF50" s="653">
        <f>AF48+AF39</f>
        <v>13654.322904832825</v>
      </c>
      <c r="AG50" s="653">
        <f>AG48+AG39</f>
        <v>13958.98287672018</v>
      </c>
      <c r="AH50" s="653">
        <f>AH48+AH39</f>
        <v>13705.642860356473</v>
      </c>
      <c r="AI50" s="653">
        <f>AI48+AI39</f>
        <v>13348.371156988722</v>
      </c>
      <c r="AJ50" s="653">
        <f>AJ48+AJ39</f>
        <v>12918.536751880252</v>
      </c>
      <c r="AK50" s="549"/>
      <c r="AL50" s="549"/>
      <c r="AM50" s="549"/>
      <c r="AN50" s="549"/>
    </row>
    <row r="51" spans="1:40" x14ac:dyDescent="0.2">
      <c r="E51" s="660"/>
      <c r="F51" s="660"/>
      <c r="G51" s="660"/>
      <c r="H51" s="660"/>
      <c r="I51" s="660"/>
      <c r="J51" s="660"/>
      <c r="K51" s="660"/>
      <c r="L51" s="660"/>
      <c r="M51" s="660"/>
      <c r="N51" s="660"/>
      <c r="O51" s="660"/>
      <c r="P51" s="660"/>
      <c r="Q51" s="660"/>
      <c r="R51" s="660"/>
      <c r="S51" s="660"/>
      <c r="T51" s="660"/>
      <c r="U51" s="660"/>
      <c r="V51" s="660"/>
      <c r="W51" s="660"/>
      <c r="X51" s="660"/>
      <c r="Y51" s="660"/>
      <c r="Z51" s="660"/>
      <c r="AA51" s="660"/>
      <c r="AB51" s="336"/>
      <c r="AC51" s="660"/>
      <c r="AD51" s="660"/>
      <c r="AE51" s="660"/>
      <c r="AF51" s="660"/>
      <c r="AG51" s="660"/>
      <c r="AH51" s="660"/>
      <c r="AI51" s="660"/>
      <c r="AJ51" s="549"/>
      <c r="AK51" s="549"/>
      <c r="AL51" s="549"/>
      <c r="AM51" s="549"/>
      <c r="AN51" s="549"/>
    </row>
    <row r="52" spans="1:40" outlineLevel="1" x14ac:dyDescent="0.2">
      <c r="A52" s="515" t="s">
        <v>11</v>
      </c>
      <c r="B52" s="515"/>
      <c r="C52" s="515"/>
      <c r="D52" s="515"/>
      <c r="E52" s="341">
        <f t="shared" ref="E52:AA52" si="26">E50-E23</f>
        <v>0</v>
      </c>
      <c r="F52" s="341">
        <f t="shared" si="26"/>
        <v>0</v>
      </c>
      <c r="G52" s="341">
        <f t="shared" si="26"/>
        <v>0</v>
      </c>
      <c r="H52" s="341">
        <f t="shared" si="26"/>
        <v>0</v>
      </c>
      <c r="I52" s="341">
        <f t="shared" si="26"/>
        <v>0</v>
      </c>
      <c r="J52" s="341">
        <f t="shared" si="26"/>
        <v>0</v>
      </c>
      <c r="K52" s="341">
        <f t="shared" si="26"/>
        <v>0</v>
      </c>
      <c r="L52" s="341">
        <f t="shared" si="26"/>
        <v>0</v>
      </c>
      <c r="M52" s="341">
        <f t="shared" si="26"/>
        <v>0</v>
      </c>
      <c r="N52" s="341">
        <f t="shared" si="26"/>
        <v>0</v>
      </c>
      <c r="O52" s="341">
        <f t="shared" si="26"/>
        <v>0</v>
      </c>
      <c r="P52" s="341">
        <f t="shared" si="26"/>
        <v>0</v>
      </c>
      <c r="Q52" s="341">
        <f t="shared" si="26"/>
        <v>0</v>
      </c>
      <c r="R52" s="341">
        <f t="shared" si="26"/>
        <v>0</v>
      </c>
      <c r="S52" s="341">
        <f t="shared" si="26"/>
        <v>0</v>
      </c>
      <c r="T52" s="341">
        <f t="shared" si="26"/>
        <v>0</v>
      </c>
      <c r="U52" s="341">
        <f t="shared" si="26"/>
        <v>0</v>
      </c>
      <c r="V52" s="341">
        <f t="shared" si="26"/>
        <v>0</v>
      </c>
      <c r="W52" s="341">
        <f t="shared" si="26"/>
        <v>0</v>
      </c>
      <c r="X52" s="341">
        <f t="shared" si="26"/>
        <v>0</v>
      </c>
      <c r="Y52" s="341">
        <f t="shared" si="26"/>
        <v>0</v>
      </c>
      <c r="Z52" s="341">
        <f>Z50-Z23</f>
        <v>0</v>
      </c>
      <c r="AA52" s="341">
        <f t="shared" si="26"/>
        <v>0</v>
      </c>
      <c r="AB52" s="661"/>
      <c r="AC52" s="341">
        <f t="shared" ref="AC52:AI52" si="27">AC50-AC23</f>
        <v>0</v>
      </c>
      <c r="AD52" s="754">
        <f t="shared" si="27"/>
        <v>0</v>
      </c>
      <c r="AE52" s="754">
        <f t="shared" si="27"/>
        <v>0</v>
      </c>
      <c r="AF52" s="754">
        <f t="shared" si="27"/>
        <v>0</v>
      </c>
      <c r="AG52" s="754">
        <f t="shared" si="27"/>
        <v>0</v>
      </c>
      <c r="AH52" s="754">
        <f t="shared" si="27"/>
        <v>0</v>
      </c>
      <c r="AI52" s="341">
        <f t="shared" si="27"/>
        <v>0</v>
      </c>
      <c r="AJ52" s="341">
        <f>AJ50-AJ23</f>
        <v>0</v>
      </c>
      <c r="AK52" s="549"/>
      <c r="AL52" s="549"/>
      <c r="AM52" s="549"/>
      <c r="AN52" s="549"/>
    </row>
    <row r="53" spans="1:40" outlineLevel="1" x14ac:dyDescent="0.2">
      <c r="D53" s="303">
        <v>0</v>
      </c>
      <c r="E53" s="303">
        <v>0</v>
      </c>
      <c r="F53" s="303">
        <v>0</v>
      </c>
      <c r="G53" s="303">
        <v>0</v>
      </c>
      <c r="H53" s="303">
        <v>0</v>
      </c>
      <c r="I53" s="303">
        <v>0</v>
      </c>
      <c r="J53" s="303">
        <v>0</v>
      </c>
      <c r="K53" s="303">
        <v>0</v>
      </c>
      <c r="L53" s="303">
        <v>0</v>
      </c>
      <c r="M53" s="303">
        <v>0</v>
      </c>
      <c r="N53" s="303">
        <v>0</v>
      </c>
      <c r="O53" s="303">
        <v>0</v>
      </c>
      <c r="P53" s="303">
        <v>0</v>
      </c>
      <c r="Q53" s="303">
        <v>0</v>
      </c>
      <c r="R53" s="303">
        <v>0</v>
      </c>
      <c r="S53" s="303">
        <v>0</v>
      </c>
      <c r="T53" s="303">
        <v>0</v>
      </c>
      <c r="U53" s="303">
        <v>0</v>
      </c>
      <c r="V53" s="303">
        <v>0</v>
      </c>
      <c r="W53" s="303">
        <v>0</v>
      </c>
      <c r="X53" s="303">
        <v>0</v>
      </c>
      <c r="Y53" s="303">
        <v>0</v>
      </c>
      <c r="Z53" s="303">
        <v>0</v>
      </c>
      <c r="AA53" s="303">
        <v>0</v>
      </c>
      <c r="AB53" s="303">
        <v>0</v>
      </c>
      <c r="AC53" s="303">
        <v>0</v>
      </c>
      <c r="AD53" s="303">
        <v>0</v>
      </c>
      <c r="AE53" s="303">
        <v>0</v>
      </c>
      <c r="AF53" s="303">
        <v>0</v>
      </c>
      <c r="AG53" s="303">
        <v>0</v>
      </c>
      <c r="AH53" s="303">
        <v>0</v>
      </c>
      <c r="AI53" s="303">
        <v>0</v>
      </c>
      <c r="AJ53" s="303">
        <v>0</v>
      </c>
      <c r="AK53" s="549"/>
      <c r="AL53" s="549"/>
      <c r="AM53" s="549"/>
      <c r="AN53" s="549"/>
    </row>
    <row r="54" spans="1:40" x14ac:dyDescent="0.2">
      <c r="A54" s="303" t="s">
        <v>88</v>
      </c>
      <c r="E54" s="417"/>
      <c r="F54" s="417"/>
      <c r="G54" s="417"/>
      <c r="H54" s="417"/>
      <c r="I54" s="417"/>
      <c r="J54" s="417"/>
      <c r="K54" s="417"/>
      <c r="L54" s="417"/>
      <c r="M54" s="417"/>
      <c r="N54" s="417"/>
      <c r="O54" s="417"/>
      <c r="P54" s="417"/>
      <c r="Q54" s="417"/>
      <c r="R54" s="417"/>
      <c r="S54" s="417"/>
      <c r="T54" s="417"/>
      <c r="U54" s="417"/>
      <c r="V54" s="417"/>
      <c r="W54" s="417"/>
      <c r="X54" s="417"/>
      <c r="Y54" s="417"/>
      <c r="Z54" s="417"/>
      <c r="AA54" s="417"/>
      <c r="AB54" s="417"/>
      <c r="AC54" s="417"/>
      <c r="AD54" s="417"/>
      <c r="AE54" s="417"/>
      <c r="AF54" s="417"/>
      <c r="AG54" s="417"/>
      <c r="AH54" s="417"/>
      <c r="AI54" s="417"/>
      <c r="AJ54" s="549"/>
      <c r="AK54" s="549"/>
      <c r="AL54" s="549"/>
      <c r="AM54" s="549"/>
      <c r="AN54" s="549"/>
    </row>
    <row r="55" spans="1:40" x14ac:dyDescent="0.2">
      <c r="E55" s="417"/>
      <c r="F55" s="417"/>
      <c r="G55" s="417"/>
      <c r="H55" s="417"/>
      <c r="I55" s="417"/>
      <c r="J55" s="417"/>
      <c r="K55" s="417"/>
      <c r="L55" s="417"/>
      <c r="M55" s="417"/>
      <c r="N55" s="417"/>
      <c r="O55" s="417"/>
      <c r="P55" s="417"/>
      <c r="Q55" s="417"/>
      <c r="R55" s="417"/>
      <c r="S55" s="417"/>
      <c r="T55" s="417"/>
      <c r="U55" s="417"/>
      <c r="V55" s="417"/>
      <c r="W55" s="417"/>
      <c r="X55" s="417"/>
      <c r="Y55" s="417"/>
      <c r="Z55" s="417"/>
      <c r="AA55" s="417"/>
      <c r="AB55" s="417"/>
      <c r="AC55" s="417"/>
      <c r="AD55" s="417"/>
      <c r="AE55" s="417"/>
      <c r="AF55" s="417"/>
      <c r="AG55" s="417"/>
      <c r="AH55" s="417"/>
      <c r="AI55" s="417"/>
      <c r="AJ55" s="549"/>
      <c r="AK55" s="549"/>
      <c r="AL55" s="549"/>
      <c r="AM55" s="549"/>
      <c r="AN55" s="549"/>
    </row>
    <row r="56" spans="1:40" x14ac:dyDescent="0.2">
      <c r="A56" s="303" t="s">
        <v>155</v>
      </c>
      <c r="E56" s="417"/>
      <c r="F56" s="417"/>
      <c r="G56" s="417"/>
      <c r="H56" s="417"/>
      <c r="I56" s="417"/>
      <c r="J56" s="417"/>
      <c r="K56" s="417"/>
      <c r="L56" s="417"/>
      <c r="M56" s="417"/>
      <c r="N56" s="417"/>
      <c r="O56" s="417"/>
      <c r="P56" s="417"/>
      <c r="Q56" s="417"/>
      <c r="R56" s="417"/>
      <c r="S56" s="417"/>
      <c r="T56" s="417"/>
      <c r="U56" s="417"/>
      <c r="V56" s="417"/>
      <c r="W56" s="417"/>
      <c r="X56" s="417"/>
      <c r="Y56" s="417"/>
      <c r="Z56" s="417"/>
      <c r="AA56" s="417"/>
      <c r="AB56" s="417"/>
      <c r="AC56" s="417"/>
      <c r="AD56" s="417"/>
      <c r="AE56" s="417"/>
      <c r="AF56" s="417"/>
      <c r="AG56" s="417"/>
      <c r="AH56" s="417"/>
      <c r="AI56" s="417"/>
      <c r="AJ56" s="549"/>
      <c r="AK56" s="549"/>
      <c r="AL56" s="549"/>
      <c r="AM56" s="549"/>
      <c r="AN56" s="549"/>
    </row>
    <row r="57" spans="1:40" x14ac:dyDescent="0.2">
      <c r="A57" s="674" t="s">
        <v>259</v>
      </c>
      <c r="B57" s="673"/>
      <c r="C57" s="673"/>
      <c r="D57" s="673"/>
      <c r="E57" s="673"/>
      <c r="F57" s="673"/>
      <c r="G57" s="673"/>
      <c r="H57" s="673"/>
      <c r="I57" s="673"/>
      <c r="J57" s="673"/>
      <c r="K57" s="673"/>
      <c r="L57" s="673"/>
      <c r="M57" s="673"/>
      <c r="N57" s="673"/>
      <c r="O57" s="673"/>
      <c r="P57" s="673"/>
      <c r="Q57" s="673"/>
      <c r="R57" s="673"/>
      <c r="S57" s="673"/>
      <c r="T57" s="673"/>
      <c r="U57" s="673"/>
      <c r="V57" s="673"/>
      <c r="W57" s="673"/>
      <c r="X57" s="673"/>
      <c r="Y57" s="673"/>
      <c r="Z57" s="673"/>
      <c r="AA57" s="673"/>
      <c r="AB57" s="673"/>
      <c r="AC57" s="673"/>
      <c r="AD57" s="673"/>
      <c r="AE57" s="673"/>
      <c r="AF57" s="673"/>
      <c r="AG57" s="673"/>
      <c r="AH57" s="673"/>
      <c r="AI57" s="673"/>
      <c r="AJ57" s="673"/>
      <c r="AK57" s="549"/>
      <c r="AL57" s="549"/>
      <c r="AM57" s="549"/>
      <c r="AN57" s="549"/>
    </row>
    <row r="58" spans="1:40" x14ac:dyDescent="0.2">
      <c r="B58" s="662" t="s">
        <v>116</v>
      </c>
      <c r="E58" s="319">
        <f>E34+E31+E30</f>
        <v>212.126</v>
      </c>
      <c r="F58" s="319">
        <f t="shared" ref="F58:AA58" si="28">F34+F31+F30</f>
        <v>96.162999999999997</v>
      </c>
      <c r="G58" s="319">
        <f t="shared" si="28"/>
        <v>52.753</v>
      </c>
      <c r="H58" s="319">
        <f t="shared" si="28"/>
        <v>110.039</v>
      </c>
      <c r="I58" s="319">
        <f t="shared" si="28"/>
        <v>189.12400000000002</v>
      </c>
      <c r="J58" s="319">
        <f t="shared" si="28"/>
        <v>313.69400000000002</v>
      </c>
      <c r="K58" s="319">
        <f t="shared" si="28"/>
        <v>312.21100000000001</v>
      </c>
      <c r="L58" s="319">
        <f t="shared" si="28"/>
        <v>312.44499999999999</v>
      </c>
      <c r="M58" s="319">
        <f t="shared" si="28"/>
        <v>591.58199999999999</v>
      </c>
      <c r="N58" s="319">
        <f t="shared" si="28"/>
        <v>824.649</v>
      </c>
      <c r="O58" s="319">
        <f t="shared" si="28"/>
        <v>1111.838</v>
      </c>
      <c r="P58" s="319">
        <f t="shared" si="28"/>
        <v>1414.248</v>
      </c>
      <c r="Q58" s="319">
        <f t="shared" si="28"/>
        <v>1088.502</v>
      </c>
      <c r="R58" s="319">
        <f t="shared" si="28"/>
        <v>1106.905</v>
      </c>
      <c r="S58" s="319">
        <f t="shared" si="28"/>
        <v>1154.0450000000001</v>
      </c>
      <c r="T58" s="319">
        <f t="shared" si="28"/>
        <v>1058.8979999999999</v>
      </c>
      <c r="U58" s="319">
        <f t="shared" si="28"/>
        <v>2064.576</v>
      </c>
      <c r="V58" s="319">
        <f t="shared" si="28"/>
        <v>2070</v>
      </c>
      <c r="W58" s="319">
        <f t="shared" si="28"/>
        <v>3940</v>
      </c>
      <c r="X58" s="319">
        <f t="shared" si="28"/>
        <v>3998</v>
      </c>
      <c r="Y58" s="319">
        <f t="shared" si="28"/>
        <v>4244</v>
      </c>
      <c r="Z58" s="319">
        <f t="shared" si="28"/>
        <v>4553</v>
      </c>
      <c r="AA58" s="319">
        <f t="shared" si="28"/>
        <v>4861</v>
      </c>
      <c r="AB58" s="319">
        <f t="shared" ref="AB58:AG58" si="29">AB34+AB31+AB30</f>
        <v>4761</v>
      </c>
      <c r="AC58" s="319">
        <f t="shared" si="29"/>
        <v>4708</v>
      </c>
      <c r="AD58" s="319">
        <f t="shared" si="29"/>
        <v>4611</v>
      </c>
      <c r="AE58" s="319">
        <f t="shared" si="29"/>
        <v>4514</v>
      </c>
      <c r="AF58" s="319">
        <f t="shared" si="29"/>
        <v>4514</v>
      </c>
      <c r="AG58" s="319">
        <f t="shared" si="29"/>
        <v>4964</v>
      </c>
      <c r="AH58" s="319">
        <f>AH34+AH31+AH30</f>
        <v>4964</v>
      </c>
      <c r="AI58" s="319">
        <f>AI34+AI31+AI30</f>
        <v>4964</v>
      </c>
      <c r="AJ58" s="319">
        <f>AJ34+AJ31+AJ30</f>
        <v>4964</v>
      </c>
      <c r="AK58" s="549"/>
      <c r="AL58" s="549"/>
      <c r="AM58" s="549"/>
      <c r="AN58" s="549"/>
    </row>
    <row r="59" spans="1:40" x14ac:dyDescent="0.2">
      <c r="A59" s="305"/>
      <c r="B59" s="662" t="s">
        <v>253</v>
      </c>
      <c r="C59" s="305"/>
      <c r="D59" s="305"/>
      <c r="E59" s="319">
        <f t="shared" ref="E59:AC59" si="30">E58-E9</f>
        <v>212.70300000000003</v>
      </c>
      <c r="F59" s="319">
        <f t="shared" si="30"/>
        <v>91.264000000000095</v>
      </c>
      <c r="G59" s="319">
        <f t="shared" si="30"/>
        <v>41.942000000000192</v>
      </c>
      <c r="H59" s="319">
        <f t="shared" si="30"/>
        <v>77.393000000000356</v>
      </c>
      <c r="I59" s="319">
        <f t="shared" si="30"/>
        <v>175.7650000000001</v>
      </c>
      <c r="J59" s="319">
        <f t="shared" si="30"/>
        <v>293.93000000000029</v>
      </c>
      <c r="K59" s="319">
        <f t="shared" si="30"/>
        <v>257.20866600000039</v>
      </c>
      <c r="L59" s="319">
        <f t="shared" si="30"/>
        <v>302.49908000000084</v>
      </c>
      <c r="M59" s="319">
        <f t="shared" si="30"/>
        <v>571.21808000000146</v>
      </c>
      <c r="N59" s="319">
        <f t="shared" si="30"/>
        <v>672.26808000000051</v>
      </c>
      <c r="O59" s="319">
        <f t="shared" si="30"/>
        <v>985.3560800000007</v>
      </c>
      <c r="P59" s="319">
        <f t="shared" si="30"/>
        <v>1304.439079999999</v>
      </c>
      <c r="Q59" s="319">
        <f t="shared" si="30"/>
        <v>967.16407999999865</v>
      </c>
      <c r="R59" s="319">
        <f t="shared" si="30"/>
        <v>981.47619199999735</v>
      </c>
      <c r="S59" s="319">
        <f t="shared" si="30"/>
        <v>1018.4864123960094</v>
      </c>
      <c r="T59" s="319">
        <f t="shared" si="30"/>
        <v>861.09163685600242</v>
      </c>
      <c r="U59" s="319">
        <f t="shared" si="30"/>
        <v>1875.4666368560029</v>
      </c>
      <c r="V59" s="319">
        <f t="shared" si="30"/>
        <v>1894.7636368560031</v>
      </c>
      <c r="W59" s="319">
        <f t="shared" si="30"/>
        <v>1691</v>
      </c>
      <c r="X59" s="319">
        <f t="shared" si="30"/>
        <v>1721</v>
      </c>
      <c r="Y59" s="319">
        <f t="shared" si="30"/>
        <v>3039</v>
      </c>
      <c r="Z59" s="319">
        <f t="shared" si="30"/>
        <v>4016.5</v>
      </c>
      <c r="AA59" s="319">
        <f t="shared" si="30"/>
        <v>3890.5</v>
      </c>
      <c r="AB59" s="319">
        <f t="shared" si="30"/>
        <v>3354.5</v>
      </c>
      <c r="AC59" s="319">
        <f t="shared" si="30"/>
        <v>4001.5</v>
      </c>
      <c r="AD59" s="319">
        <f t="shared" ref="AD59:AI59" si="31">AD58-AD9</f>
        <v>3537.2619999999997</v>
      </c>
      <c r="AE59" s="319">
        <f t="shared" si="31"/>
        <v>3206.2619999999997</v>
      </c>
      <c r="AF59" s="319">
        <f t="shared" si="31"/>
        <v>2873.0146879227523</v>
      </c>
      <c r="AG59" s="319">
        <f t="shared" si="31"/>
        <v>2643.6306476219706</v>
      </c>
      <c r="AH59" s="319">
        <f t="shared" si="31"/>
        <v>2509.0508203420368</v>
      </c>
      <c r="AI59" s="319">
        <f t="shared" si="31"/>
        <v>2475.4323398435645</v>
      </c>
      <c r="AJ59" s="319">
        <f>AJ58-AJ9</f>
        <v>2503.4749036831076</v>
      </c>
      <c r="AK59" s="549"/>
      <c r="AL59" s="549"/>
      <c r="AM59" s="549"/>
      <c r="AN59" s="549"/>
    </row>
    <row r="60" spans="1:40" x14ac:dyDescent="0.2">
      <c r="B60" s="663" t="s">
        <v>254</v>
      </c>
      <c r="E60" s="319">
        <f t="shared" ref="E60:AC60" si="32">E58+E48</f>
        <v>234.95699999999991</v>
      </c>
      <c r="F60" s="319">
        <f t="shared" si="32"/>
        <v>304.2349999999999</v>
      </c>
      <c r="G60" s="319">
        <f t="shared" si="32"/>
        <v>317.55499999999984</v>
      </c>
      <c r="H60" s="319">
        <f t="shared" si="32"/>
        <v>446.52799999999968</v>
      </c>
      <c r="I60" s="319">
        <f t="shared" si="32"/>
        <v>610.30199999999991</v>
      </c>
      <c r="J60" s="319">
        <f t="shared" si="32"/>
        <v>842.02299999999968</v>
      </c>
      <c r="K60" s="319">
        <f t="shared" si="32"/>
        <v>1275.8343339999997</v>
      </c>
      <c r="L60" s="319">
        <f t="shared" si="32"/>
        <v>1483.5759199999991</v>
      </c>
      <c r="M60" s="319">
        <f t="shared" si="32"/>
        <v>2286.140919999998</v>
      </c>
      <c r="N60" s="319">
        <f t="shared" si="32"/>
        <v>3035.4479199999996</v>
      </c>
      <c r="O60" s="319">
        <f t="shared" si="32"/>
        <v>3912.0039199999992</v>
      </c>
      <c r="P60" s="319">
        <f t="shared" si="32"/>
        <v>4936.8889200000003</v>
      </c>
      <c r="Q60" s="319">
        <f t="shared" si="32"/>
        <v>5245.6009200000008</v>
      </c>
      <c r="R60" s="319">
        <f t="shared" si="32"/>
        <v>6149.4148080000023</v>
      </c>
      <c r="S60" s="319">
        <f t="shared" si="32"/>
        <v>7120.0575876039893</v>
      </c>
      <c r="T60" s="319">
        <f t="shared" si="32"/>
        <v>6670.9293631439978</v>
      </c>
      <c r="U60" s="319">
        <f t="shared" si="32"/>
        <v>8174.7453631439976</v>
      </c>
      <c r="V60" s="319">
        <f t="shared" si="32"/>
        <v>8817.2363631439966</v>
      </c>
      <c r="W60" s="319">
        <f t="shared" si="32"/>
        <v>11517</v>
      </c>
      <c r="X60" s="319">
        <f t="shared" si="32"/>
        <v>11848</v>
      </c>
      <c r="Y60" s="319">
        <f t="shared" si="32"/>
        <v>10752</v>
      </c>
      <c r="Z60" s="319">
        <f t="shared" si="32"/>
        <v>10600.5</v>
      </c>
      <c r="AA60" s="319">
        <f t="shared" si="32"/>
        <v>10838.5</v>
      </c>
      <c r="AB60" s="319">
        <f t="shared" si="32"/>
        <v>10752</v>
      </c>
      <c r="AC60" s="319">
        <f t="shared" si="32"/>
        <v>10198.5</v>
      </c>
      <c r="AD60" s="319">
        <f t="shared" ref="AD60:AI60" si="33">AD58+AD48</f>
        <v>9787.7380000000012</v>
      </c>
      <c r="AE60" s="319">
        <f t="shared" si="33"/>
        <v>9940</v>
      </c>
      <c r="AF60" s="319">
        <f t="shared" si="33"/>
        <v>10038.432203169457</v>
      </c>
      <c r="AG60" s="319">
        <f t="shared" si="33"/>
        <v>10379.846555474698</v>
      </c>
      <c r="AH60" s="319">
        <f t="shared" si="33"/>
        <v>10166.813026789545</v>
      </c>
      <c r="AI60" s="319">
        <f t="shared" si="33"/>
        <v>9848.8417989712016</v>
      </c>
      <c r="AJ60" s="319">
        <f>AJ58+AJ48</f>
        <v>9460.4543952992353</v>
      </c>
      <c r="AK60" s="549"/>
      <c r="AL60" s="549"/>
      <c r="AM60" s="549"/>
      <c r="AN60" s="549"/>
    </row>
    <row r="61" spans="1:40" x14ac:dyDescent="0.2">
      <c r="B61" s="663" t="s">
        <v>255</v>
      </c>
      <c r="E61" s="319">
        <f>SUM(E12:E14)+E17+E18+E19+E21+E22-(E26+E27+E28+E29+E35+E36)</f>
        <v>235.53399999999999</v>
      </c>
      <c r="F61" s="319">
        <f t="shared" ref="F61:AA61" si="34">SUM(F12:F14)+F17+F18+F19+F21+F22-(F26+F27+F28+F29+F35+F36)</f>
        <v>249.62599999999995</v>
      </c>
      <c r="G61" s="319">
        <f t="shared" si="34"/>
        <v>303.90899999999999</v>
      </c>
      <c r="H61" s="319">
        <f t="shared" si="34"/>
        <v>413.88200000000018</v>
      </c>
      <c r="I61" s="319">
        <f t="shared" si="34"/>
        <v>596.94299999999987</v>
      </c>
      <c r="J61" s="319">
        <f t="shared" si="34"/>
        <v>822.25900000000001</v>
      </c>
      <c r="K61" s="319">
        <f t="shared" si="34"/>
        <v>1220.8319999999997</v>
      </c>
      <c r="L61" s="319">
        <f t="shared" si="34"/>
        <v>1473.63</v>
      </c>
      <c r="M61" s="319">
        <f t="shared" si="34"/>
        <v>2265.777</v>
      </c>
      <c r="N61" s="319">
        <f t="shared" si="34"/>
        <v>2883.0670000000005</v>
      </c>
      <c r="O61" s="319">
        <f t="shared" si="34"/>
        <v>3556.145</v>
      </c>
      <c r="P61" s="319">
        <f t="shared" si="34"/>
        <v>4351.0889999999999</v>
      </c>
      <c r="Q61" s="319">
        <f t="shared" si="34"/>
        <v>5089.9779999999992</v>
      </c>
      <c r="R61" s="319">
        <f t="shared" si="34"/>
        <v>5935.219000000001</v>
      </c>
      <c r="S61" s="319">
        <f t="shared" si="34"/>
        <v>6824.4219999999996</v>
      </c>
      <c r="T61" s="319">
        <f t="shared" si="34"/>
        <v>6041.893</v>
      </c>
      <c r="U61" s="319">
        <f t="shared" si="34"/>
        <v>7502.5079999999998</v>
      </c>
      <c r="V61" s="319">
        <f t="shared" si="34"/>
        <v>8133</v>
      </c>
      <c r="W61" s="319">
        <f t="shared" si="34"/>
        <v>9268</v>
      </c>
      <c r="X61" s="319">
        <f t="shared" si="34"/>
        <v>9571</v>
      </c>
      <c r="Y61" s="319">
        <f t="shared" si="34"/>
        <v>9547</v>
      </c>
      <c r="Z61" s="319">
        <f t="shared" si="34"/>
        <v>10064</v>
      </c>
      <c r="AA61" s="319">
        <f t="shared" si="34"/>
        <v>9868</v>
      </c>
      <c r="AB61" s="319">
        <f t="shared" ref="AB61:AG61" si="35">SUM(AB12:AB14)+AB17+AB18+AB19+AB21+AB22-(AB26+AB27+AB28+AB29+AB35+AB36)</f>
        <v>9345</v>
      </c>
      <c r="AC61" s="319">
        <f t="shared" si="35"/>
        <v>9492</v>
      </c>
      <c r="AD61" s="319">
        <f t="shared" si="35"/>
        <v>8714</v>
      </c>
      <c r="AE61" s="319">
        <f t="shared" si="35"/>
        <v>8632.2620000000006</v>
      </c>
      <c r="AF61" s="319">
        <f t="shared" si="35"/>
        <v>8397.4468910922114</v>
      </c>
      <c r="AG61" s="319">
        <f t="shared" si="35"/>
        <v>8059.4772030966687</v>
      </c>
      <c r="AH61" s="319">
        <f>SUM(AH12:AH14)+AH17+AH18+AH19+AH21+AH22-(AH26+AH27+AH28+AH29+AH35+AH36)</f>
        <v>7711.8638471315808</v>
      </c>
      <c r="AI61" s="319">
        <f>SUM(AI12:AI14)+AI17+AI18+AI19+AI21+AI22-(AI26+AI27+AI28+AI29+AI35+AI36)</f>
        <v>7360.2741388147679</v>
      </c>
      <c r="AJ61" s="319">
        <f>SUM(AJ12:AJ14)+AJ17+AJ18+AJ19+AJ21+AJ22-(AJ26+AJ27+AJ28+AJ29+AJ35+AJ36)</f>
        <v>6999.9292989823434</v>
      </c>
      <c r="AK61" s="549"/>
      <c r="AL61" s="549"/>
      <c r="AM61" s="549"/>
      <c r="AN61" s="549"/>
    </row>
    <row r="62" spans="1:40" x14ac:dyDescent="0.2">
      <c r="B62" s="664" t="s">
        <v>256</v>
      </c>
      <c r="E62" s="665">
        <f t="shared" ref="E62:AC62" si="36">E58/E39</f>
        <v>0.6530892476693636</v>
      </c>
      <c r="F62" s="665">
        <f t="shared" si="36"/>
        <v>0.40507251565942282</v>
      </c>
      <c r="G62" s="665">
        <f t="shared" si="36"/>
        <v>0.25510791297325269</v>
      </c>
      <c r="H62" s="665">
        <f t="shared" si="36"/>
        <v>0.33913667911781753</v>
      </c>
      <c r="I62" s="665">
        <f t="shared" si="36"/>
        <v>0.47966075472942299</v>
      </c>
      <c r="J62" s="665">
        <f t="shared" si="36"/>
        <v>0.51855133458854807</v>
      </c>
      <c r="K62" s="665">
        <f t="shared" si="36"/>
        <v>0.46812527082686717</v>
      </c>
      <c r="L62" s="665">
        <f t="shared" si="36"/>
        <v>0.40403276280330419</v>
      </c>
      <c r="M62" s="665">
        <f t="shared" si="36"/>
        <v>0.48129005279219367</v>
      </c>
      <c r="N62" s="665">
        <f t="shared" si="36"/>
        <v>0.49902663515913626</v>
      </c>
      <c r="O62" s="665">
        <f t="shared" si="36"/>
        <v>0.51999270407542852</v>
      </c>
      <c r="P62" s="665">
        <f t="shared" si="36"/>
        <v>0.50444252468089079</v>
      </c>
      <c r="Q62" s="665">
        <f t="shared" si="36"/>
        <v>0.42816633041477969</v>
      </c>
      <c r="R62" s="665">
        <f t="shared" si="36"/>
        <v>0.3758079120635866</v>
      </c>
      <c r="S62" s="665">
        <f t="shared" si="36"/>
        <v>0.3611243233094471</v>
      </c>
      <c r="T62" s="665">
        <f t="shared" si="36"/>
        <v>0.30866001540825311</v>
      </c>
      <c r="U62" s="665">
        <f t="shared" si="36"/>
        <v>0.46306733753820539</v>
      </c>
      <c r="V62" s="665">
        <f t="shared" si="36"/>
        <v>0.45048966267682261</v>
      </c>
      <c r="W62" s="665">
        <f t="shared" si="36"/>
        <v>0.57350800582241634</v>
      </c>
      <c r="X62" s="665">
        <f t="shared" si="36"/>
        <v>0.57122446063723387</v>
      </c>
      <c r="Y62" s="665">
        <f t="shared" si="36"/>
        <v>0.55549738219895284</v>
      </c>
      <c r="Z62" s="665">
        <f t="shared" si="36"/>
        <v>0.57948326333206057</v>
      </c>
      <c r="AA62" s="665">
        <f t="shared" si="36"/>
        <v>0.5786904761904762</v>
      </c>
      <c r="AB62" s="665">
        <f t="shared" si="36"/>
        <v>0.56409952606635072</v>
      </c>
      <c r="AC62" s="665">
        <f t="shared" si="36"/>
        <v>0.58016019716574241</v>
      </c>
      <c r="AD62" s="665">
        <f t="shared" ref="AD62:AI62" si="37">AD58/AD39</f>
        <v>0.54912468738835296</v>
      </c>
      <c r="AE62" s="665">
        <f t="shared" si="37"/>
        <v>0.57040048583867697</v>
      </c>
      <c r="AF62" s="665">
        <f t="shared" si="37"/>
        <v>0.55523501676061149</v>
      </c>
      <c r="AG62" s="665">
        <f t="shared" si="37"/>
        <v>0.58105124550749432</v>
      </c>
      <c r="AH62" s="665">
        <f t="shared" si="37"/>
        <v>0.58380563849501477</v>
      </c>
      <c r="AI62" s="665">
        <f t="shared" si="37"/>
        <v>0.58651654528705466</v>
      </c>
      <c r="AJ62" s="665">
        <f>AJ58/AJ39</f>
        <v>0.5894029279019255</v>
      </c>
      <c r="AK62" s="549"/>
      <c r="AL62" s="549"/>
      <c r="AM62" s="549"/>
      <c r="AN62" s="549"/>
    </row>
    <row r="63" spans="1:40" x14ac:dyDescent="0.2">
      <c r="B63" s="664" t="s">
        <v>257</v>
      </c>
      <c r="E63" s="665">
        <f t="shared" ref="E63:AA63" si="38">E58/E60</f>
        <v>0.90282902829028322</v>
      </c>
      <c r="F63" s="665">
        <f t="shared" si="38"/>
        <v>0.31608131871743894</v>
      </c>
      <c r="G63" s="665">
        <f t="shared" si="38"/>
        <v>0.16612240399300918</v>
      </c>
      <c r="H63" s="665">
        <f t="shared" si="38"/>
        <v>0.24643247455926634</v>
      </c>
      <c r="I63" s="665">
        <f t="shared" si="38"/>
        <v>0.30988592532877174</v>
      </c>
      <c r="J63" s="665">
        <f t="shared" si="38"/>
        <v>0.37254801828453632</v>
      </c>
      <c r="K63" s="665">
        <f t="shared" si="38"/>
        <v>0.24471123850473214</v>
      </c>
      <c r="L63" s="665">
        <f t="shared" si="38"/>
        <v>0.21060263636524931</v>
      </c>
      <c r="M63" s="665">
        <f t="shared" si="38"/>
        <v>0.25876882515186356</v>
      </c>
      <c r="N63" s="665">
        <f t="shared" si="38"/>
        <v>0.27167292002163557</v>
      </c>
      <c r="O63" s="665">
        <f t="shared" si="38"/>
        <v>0.2842118828960683</v>
      </c>
      <c r="P63" s="665">
        <f t="shared" si="38"/>
        <v>0.28646542851525209</v>
      </c>
      <c r="Q63" s="665">
        <f t="shared" si="38"/>
        <v>0.2075075890447266</v>
      </c>
      <c r="R63" s="665">
        <f t="shared" si="38"/>
        <v>0.18000168057617225</v>
      </c>
      <c r="S63" s="665">
        <f t="shared" si="38"/>
        <v>0.16208366095369661</v>
      </c>
      <c r="T63" s="665">
        <f t="shared" si="38"/>
        <v>0.1587332052787534</v>
      </c>
      <c r="U63" s="665">
        <f t="shared" si="38"/>
        <v>0.25255538959148283</v>
      </c>
      <c r="V63" s="665">
        <f t="shared" si="38"/>
        <v>0.23476743899625846</v>
      </c>
      <c r="W63" s="665">
        <f t="shared" si="38"/>
        <v>0.34210297820613006</v>
      </c>
      <c r="X63" s="665">
        <f t="shared" si="38"/>
        <v>0.33744091829844697</v>
      </c>
      <c r="Y63" s="665">
        <f t="shared" si="38"/>
        <v>0.39471726190476192</v>
      </c>
      <c r="Z63" s="665">
        <f t="shared" si="38"/>
        <v>0.42950804207348708</v>
      </c>
      <c r="AA63" s="665">
        <f t="shared" si="38"/>
        <v>0.44849379526687272</v>
      </c>
      <c r="AB63" s="665">
        <f t="shared" ref="AB63:AG63" si="39">AB58/AB60</f>
        <v>0.4428013392857143</v>
      </c>
      <c r="AC63" s="665">
        <f t="shared" si="39"/>
        <v>0.46163651517380005</v>
      </c>
      <c r="AD63" s="665">
        <f t="shared" si="39"/>
        <v>0.4710996555077383</v>
      </c>
      <c r="AE63" s="665">
        <f t="shared" si="39"/>
        <v>0.4541247484909457</v>
      </c>
      <c r="AF63" s="665">
        <f t="shared" si="39"/>
        <v>0.4496718121555659</v>
      </c>
      <c r="AG63" s="665">
        <f t="shared" si="39"/>
        <v>0.47823442990896731</v>
      </c>
      <c r="AH63" s="665">
        <f>AH58/AH60</f>
        <v>0.48825526612123815</v>
      </c>
      <c r="AI63" s="665">
        <f>AI58/AI60</f>
        <v>0.50401865532234802</v>
      </c>
      <c r="AJ63" s="665">
        <f>AJ58/AJ60</f>
        <v>0.52471052579319455</v>
      </c>
      <c r="AK63" s="549"/>
      <c r="AL63" s="549"/>
      <c r="AM63" s="549"/>
      <c r="AN63" s="549"/>
    </row>
    <row r="64" spans="1:40" x14ac:dyDescent="0.2">
      <c r="B64" s="664" t="s">
        <v>258</v>
      </c>
      <c r="E64" s="665">
        <f t="shared" ref="E64:AA64" si="40">E59/E60</f>
        <v>0.9052847967926051</v>
      </c>
      <c r="F64" s="665">
        <f t="shared" si="40"/>
        <v>0.29997863493680915</v>
      </c>
      <c r="G64" s="665">
        <f t="shared" si="40"/>
        <v>0.13207790776401004</v>
      </c>
      <c r="H64" s="665">
        <f t="shared" si="40"/>
        <v>0.17332171778701541</v>
      </c>
      <c r="I64" s="665">
        <f t="shared" si="40"/>
        <v>0.28799676225868526</v>
      </c>
      <c r="J64" s="665">
        <f t="shared" si="40"/>
        <v>0.34907597535934337</v>
      </c>
      <c r="K64" s="665">
        <f t="shared" si="40"/>
        <v>0.20160036389175937</v>
      </c>
      <c r="L64" s="665">
        <f t="shared" si="40"/>
        <v>0.20389861814419383</v>
      </c>
      <c r="M64" s="665">
        <f t="shared" si="40"/>
        <v>0.24986127276878539</v>
      </c>
      <c r="N64" s="665">
        <f t="shared" si="40"/>
        <v>0.221472447466666</v>
      </c>
      <c r="O64" s="665">
        <f t="shared" si="40"/>
        <v>0.25188013615282906</v>
      </c>
      <c r="P64" s="665">
        <f t="shared" si="40"/>
        <v>0.26422289444584035</v>
      </c>
      <c r="Q64" s="665">
        <f t="shared" si="40"/>
        <v>0.18437622204778753</v>
      </c>
      <c r="R64" s="665">
        <f t="shared" si="40"/>
        <v>0.15960481161933629</v>
      </c>
      <c r="S64" s="665">
        <f t="shared" si="40"/>
        <v>0.14304468747123519</v>
      </c>
      <c r="T64" s="665">
        <f t="shared" si="40"/>
        <v>0.12908121042525497</v>
      </c>
      <c r="U64" s="665">
        <f t="shared" si="40"/>
        <v>0.22942202521825103</v>
      </c>
      <c r="V64" s="665">
        <f t="shared" si="40"/>
        <v>0.21489314325020314</v>
      </c>
      <c r="W64" s="665">
        <f t="shared" si="40"/>
        <v>0.14682643049405228</v>
      </c>
      <c r="X64" s="665">
        <f t="shared" si="40"/>
        <v>0.14525658338960162</v>
      </c>
      <c r="Y64" s="665">
        <f t="shared" si="40"/>
        <v>0.2826450892857143</v>
      </c>
      <c r="Z64" s="665">
        <f t="shared" si="40"/>
        <v>0.37889722182915903</v>
      </c>
      <c r="AA64" s="665">
        <f t="shared" si="40"/>
        <v>0.35895188448586057</v>
      </c>
      <c r="AB64" s="665">
        <f t="shared" ref="AB64:AG64" si="41">AB59/AB60</f>
        <v>0.31198846726190477</v>
      </c>
      <c r="AC64" s="665">
        <f t="shared" si="41"/>
        <v>0.39236162180712852</v>
      </c>
      <c r="AD64" s="665">
        <f t="shared" si="41"/>
        <v>0.36139729118208919</v>
      </c>
      <c r="AE64" s="665">
        <f t="shared" si="41"/>
        <v>0.32256156941649894</v>
      </c>
      <c r="AF64" s="665">
        <f t="shared" si="41"/>
        <v>0.28620153324496717</v>
      </c>
      <c r="AG64" s="665">
        <f t="shared" si="41"/>
        <v>0.25468879848013037</v>
      </c>
      <c r="AH64" s="665">
        <f>AH59/AH60</f>
        <v>0.24678833118408786</v>
      </c>
      <c r="AI64" s="665">
        <f>AI59/AI60</f>
        <v>0.25134248172228185</v>
      </c>
      <c r="AJ64" s="665">
        <f>AJ59/AJ60</f>
        <v>0.26462522824770962</v>
      </c>
      <c r="AK64" s="549"/>
      <c r="AL64" s="549"/>
      <c r="AM64" s="549"/>
      <c r="AN64" s="549"/>
    </row>
    <row r="65" spans="1:40" x14ac:dyDescent="0.2">
      <c r="B65" s="664"/>
      <c r="E65" s="486"/>
      <c r="F65" s="486"/>
      <c r="G65" s="486"/>
      <c r="H65" s="486"/>
      <c r="I65" s="486"/>
      <c r="J65" s="486"/>
      <c r="K65" s="486"/>
      <c r="L65" s="486"/>
      <c r="M65" s="486"/>
      <c r="N65" s="486"/>
      <c r="O65" s="486"/>
      <c r="P65" s="486"/>
      <c r="Q65" s="486"/>
      <c r="R65" s="486"/>
      <c r="S65" s="486"/>
      <c r="T65" s="486"/>
      <c r="U65" s="486"/>
      <c r="V65" s="486"/>
      <c r="W65" s="486"/>
      <c r="X65" s="486"/>
      <c r="Y65" s="486"/>
      <c r="Z65" s="486"/>
      <c r="AA65" s="486"/>
      <c r="AB65" s="417"/>
      <c r="AC65" s="417"/>
      <c r="AD65" s="417"/>
      <c r="AE65" s="417"/>
      <c r="AF65" s="417"/>
      <c r="AG65" s="417"/>
      <c r="AH65" s="417"/>
      <c r="AI65" s="417"/>
      <c r="AJ65" s="417"/>
      <c r="AK65" s="549"/>
      <c r="AL65" s="549"/>
      <c r="AM65" s="549"/>
      <c r="AN65" s="549"/>
    </row>
    <row r="66" spans="1:40" x14ac:dyDescent="0.2">
      <c r="A66" s="674" t="s">
        <v>260</v>
      </c>
      <c r="B66" s="673"/>
      <c r="C66" s="673"/>
      <c r="D66" s="673"/>
      <c r="E66" s="673"/>
      <c r="F66" s="673"/>
      <c r="G66" s="673"/>
      <c r="H66" s="673"/>
      <c r="I66" s="673"/>
      <c r="J66" s="673"/>
      <c r="K66" s="673"/>
      <c r="L66" s="673"/>
      <c r="M66" s="673"/>
      <c r="N66" s="673"/>
      <c r="O66" s="673"/>
      <c r="P66" s="673"/>
      <c r="Q66" s="673"/>
      <c r="R66" s="673"/>
      <c r="S66" s="673"/>
      <c r="T66" s="673"/>
      <c r="U66" s="673"/>
      <c r="V66" s="673"/>
      <c r="W66" s="673"/>
      <c r="X66" s="673"/>
      <c r="Y66" s="673"/>
      <c r="Z66" s="673"/>
      <c r="AA66" s="673"/>
      <c r="AB66" s="673"/>
      <c r="AC66" s="673"/>
      <c r="AD66" s="673"/>
      <c r="AE66" s="673"/>
      <c r="AF66" s="673"/>
      <c r="AG66" s="673"/>
      <c r="AH66" s="673"/>
      <c r="AI66" s="673"/>
      <c r="AJ66" s="673"/>
      <c r="AK66" s="549"/>
      <c r="AL66" s="549"/>
      <c r="AM66" s="549"/>
      <c r="AN66" s="549"/>
    </row>
    <row r="67" spans="1:40" outlineLevel="1" x14ac:dyDescent="0.2">
      <c r="B67" s="303" t="s">
        <v>98</v>
      </c>
      <c r="E67" s="570">
        <f>'yrP&amp;L'!D7</f>
        <v>930.42600000000004</v>
      </c>
      <c r="F67" s="570">
        <f>'yrP&amp;L'!E7</f>
        <v>1096.856</v>
      </c>
      <c r="G67" s="570">
        <f>'yrP&amp;L'!F7</f>
        <v>1305.5999999999999</v>
      </c>
      <c r="H67" s="570">
        <f>'yrP&amp;L'!G7</f>
        <v>1554.04</v>
      </c>
      <c r="I67" s="570">
        <f>'yrP&amp;L'!H7</f>
        <v>1925.6690000000001</v>
      </c>
      <c r="J67" s="570">
        <f>'yrP&amp;L'!I7</f>
        <v>2388.5</v>
      </c>
      <c r="K67" s="570">
        <f>'yrP&amp;L'!J7</f>
        <v>3060.0839999999998</v>
      </c>
      <c r="L67" s="570">
        <f>'yrP&amp;L'!K7</f>
        <v>3681.7</v>
      </c>
      <c r="M67" s="570">
        <f>'yrP&amp;L'!L7</f>
        <v>4556.9799999999996</v>
      </c>
      <c r="N67" s="570">
        <f>'yrP&amp;L'!M7</f>
        <v>6152.2000000000007</v>
      </c>
      <c r="O67" s="570">
        <f>'yrP&amp;L'!N7</f>
        <v>7488.6459999999997</v>
      </c>
      <c r="P67" s="570">
        <f>'yrP&amp;L'!O7</f>
        <v>9120.2000000000007</v>
      </c>
      <c r="Q67" s="570">
        <f>'yrP&amp;L'!P7</f>
        <v>10282</v>
      </c>
      <c r="R67" s="570">
        <f>'yrP&amp;L'!Q7</f>
        <v>11700.7</v>
      </c>
      <c r="S67" s="570">
        <f>'yrP&amp;L'!R7</f>
        <v>13402.199999999999</v>
      </c>
      <c r="T67" s="570">
        <f>'yrP&amp;L'!S7</f>
        <v>15585.301000000001</v>
      </c>
      <c r="U67" s="570">
        <f>'yrP&amp;L'!T7</f>
        <v>16473.7</v>
      </c>
      <c r="V67" s="570">
        <f>'yrP&amp;L'!U7</f>
        <v>16388.398000000001</v>
      </c>
      <c r="W67" s="570">
        <f>'yrP&amp;L'!V7</f>
        <v>17178</v>
      </c>
      <c r="X67" s="570">
        <f>'yrP&amp;L'!W7</f>
        <v>18391</v>
      </c>
      <c r="Y67" s="570">
        <f>'yrP&amp;L'!X7</f>
        <v>18804</v>
      </c>
      <c r="Z67" s="570">
        <f>'yrP&amp;L'!Y7</f>
        <v>19280</v>
      </c>
      <c r="AA67" s="570">
        <f>'yrP&amp;L'!Z7</f>
        <v>19031</v>
      </c>
      <c r="AB67" s="570">
        <f>'yrP&amp;L'!AA7</f>
        <v>19023</v>
      </c>
      <c r="AC67" s="570">
        <f>'yrP&amp;L'!AB7</f>
        <v>19204</v>
      </c>
      <c r="AD67" s="570">
        <f>'yrP&amp;L'!AC7</f>
        <v>18686</v>
      </c>
      <c r="AE67" s="570">
        <f>'yrP&amp;L'!AD7</f>
        <v>19095</v>
      </c>
      <c r="AF67" s="570">
        <f>'yrP&amp;L'!AE7</f>
        <v>18785.039199999999</v>
      </c>
      <c r="AG67" s="570">
        <f>'yrP&amp;L'!AF7</f>
        <v>18511.202673515378</v>
      </c>
      <c r="AH67" s="570">
        <f>'yrP&amp;L'!AG7</f>
        <v>18233.534633412648</v>
      </c>
      <c r="AI67" s="570">
        <f>'yrP&amp;L'!AH7</f>
        <v>17960.031613911458</v>
      </c>
      <c r="AJ67" s="570">
        <f>'yrP&amp;L'!AI7</f>
        <v>17690.631139702786</v>
      </c>
      <c r="AK67" s="549"/>
      <c r="AL67" s="549"/>
      <c r="AM67" s="549"/>
      <c r="AN67" s="549"/>
    </row>
    <row r="68" spans="1:40" outlineLevel="1" x14ac:dyDescent="0.2">
      <c r="B68" s="303" t="s">
        <v>156</v>
      </c>
      <c r="E68" s="577">
        <f>'yrP&amp;L'!D11</f>
        <v>620.37300000000005</v>
      </c>
      <c r="F68" s="577">
        <f>'yrP&amp;L'!E11</f>
        <v>724.37</v>
      </c>
      <c r="G68" s="577">
        <f>'yrP&amp;L'!F11</f>
        <v>868.87599999999998</v>
      </c>
      <c r="H68" s="577">
        <f>'yrP&amp;L'!G11</f>
        <v>1038.5520000000001</v>
      </c>
      <c r="I68" s="577">
        <f>'yrP&amp;L'!H11</f>
        <v>1296.0509999999999</v>
      </c>
      <c r="J68" s="577">
        <f>'yrP&amp;L'!I11</f>
        <v>1603.4380000000001</v>
      </c>
      <c r="K68" s="577">
        <f>'yrP&amp;L'!J11</f>
        <v>2046.5609999999999</v>
      </c>
      <c r="L68" s="577">
        <f>'yrP&amp;L'!K11</f>
        <v>2452.0231250000002</v>
      </c>
      <c r="M68" s="577">
        <f>'yrP&amp;L'!L11</f>
        <v>3014.373</v>
      </c>
      <c r="N68" s="577">
        <f>'yrP&amp;L'!M11</f>
        <v>4054.2709999999997</v>
      </c>
      <c r="O68" s="577">
        <f>'yrP&amp;L'!N11</f>
        <v>4921.268</v>
      </c>
      <c r="P68" s="577">
        <f>'yrP&amp;L'!O11</f>
        <v>5983.2549999999992</v>
      </c>
      <c r="Q68" s="577">
        <f>'yrP&amp;L'!P11</f>
        <v>6892.0789999999997</v>
      </c>
      <c r="R68" s="577">
        <f>'yrP&amp;L'!Q11</f>
        <v>7587.0249999999996</v>
      </c>
      <c r="S68" s="577">
        <f>'yrP&amp;L'!R11</f>
        <v>8641.6</v>
      </c>
      <c r="T68" s="577">
        <f>'yrP&amp;L'!S11</f>
        <v>9917.7179999999989</v>
      </c>
      <c r="U68" s="577">
        <f>'yrP&amp;L'!T11</f>
        <v>10459.6</v>
      </c>
      <c r="V68" s="577">
        <f>'yrP&amp;L'!U11</f>
        <v>10333.613000000001</v>
      </c>
      <c r="W68" s="577">
        <f>'yrP&amp;L'!V11</f>
        <v>10680</v>
      </c>
      <c r="X68" s="577">
        <f>'yrP&amp;L'!W11</f>
        <v>11358</v>
      </c>
      <c r="Y68" s="577">
        <f>'yrP&amp;L'!X11</f>
        <v>11625</v>
      </c>
      <c r="Z68" s="577">
        <f>'yrP&amp;L'!Y11</f>
        <v>12290</v>
      </c>
      <c r="AA68" s="577">
        <f>'yrP&amp;L'!Z11</f>
        <v>12086</v>
      </c>
      <c r="AB68" s="577">
        <f>'yrP&amp;L'!AA11</f>
        <v>12098</v>
      </c>
      <c r="AC68" s="577">
        <f>'yrP&amp;L'!AB11</f>
        <v>12264</v>
      </c>
      <c r="AD68" s="577">
        <f>'yrP&amp;L'!AC11</f>
        <v>11945</v>
      </c>
      <c r="AE68" s="577">
        <f>'yrP&amp;L'!AD11</f>
        <v>12176</v>
      </c>
      <c r="AF68" s="577">
        <f>'yrP&amp;L'!AE11</f>
        <v>11976.401156960001</v>
      </c>
      <c r="AG68" s="577">
        <f>'yrP&amp;L'!AF11</f>
        <v>11851.796935245982</v>
      </c>
      <c r="AH68" s="577">
        <f>'yrP&amp;L'!AG11</f>
        <v>11701.370283167413</v>
      </c>
      <c r="AI68" s="577">
        <f>'yrP&amp;L'!AH11</f>
        <v>11556.381782663553</v>
      </c>
      <c r="AJ68" s="577">
        <f>'yrP&amp;L'!AI11</f>
        <v>11391.881371493449</v>
      </c>
      <c r="AK68" s="549"/>
      <c r="AL68" s="549"/>
      <c r="AM68" s="549"/>
      <c r="AN68" s="549"/>
    </row>
    <row r="69" spans="1:40" outlineLevel="1" x14ac:dyDescent="0.2">
      <c r="B69" s="303" t="s">
        <v>157</v>
      </c>
      <c r="E69" s="577">
        <f>'yrP&amp;L'!D24</f>
        <v>229.56700000000001</v>
      </c>
      <c r="F69" s="577">
        <f>'yrP&amp;L'!E24</f>
        <v>269.15800000000002</v>
      </c>
      <c r="G69" s="577">
        <f>'yrP&amp;L'!F24</f>
        <v>305.54699999999997</v>
      </c>
      <c r="H69" s="577">
        <f>'yrP&amp;L'!G24</f>
        <v>356.89300000000003</v>
      </c>
      <c r="I69" s="577">
        <f>'yrP&amp;L'!H24</f>
        <v>436.44200000000001</v>
      </c>
      <c r="J69" s="577">
        <f>'yrP&amp;L'!I24</f>
        <v>536.226</v>
      </c>
      <c r="K69" s="577">
        <f>'yrP&amp;L'!J24</f>
        <v>678.79300000000001</v>
      </c>
      <c r="L69" s="577">
        <f>'yrP&amp;L'!K24</f>
        <v>816.30100000000016</v>
      </c>
      <c r="M69" s="577">
        <f>'yrP&amp;L'!L24</f>
        <v>975.26900000000001</v>
      </c>
      <c r="N69" s="577">
        <f>'yrP&amp;L'!M24</f>
        <v>1295.953</v>
      </c>
      <c r="O69" s="577">
        <f>'yrP&amp;L'!N24</f>
        <v>1532.4750000000001</v>
      </c>
      <c r="P69" s="577">
        <f>'yrP&amp;L'!O24</f>
        <v>1826.7070000000001</v>
      </c>
      <c r="Q69" s="577">
        <f>'yrP&amp;L'!P24</f>
        <v>2148.701</v>
      </c>
      <c r="R69" s="577">
        <f>'yrP&amp;L'!Q24</f>
        <v>2632.0819999999999</v>
      </c>
      <c r="S69" s="577">
        <f>'yrP&amp;L'!R24</f>
        <v>3008</v>
      </c>
      <c r="T69" s="577">
        <f>'yrP&amp;L'!S24</f>
        <v>3465.1119999999996</v>
      </c>
      <c r="U69" s="577">
        <f>'yrP&amp;L'!T24</f>
        <v>3757.4</v>
      </c>
      <c r="V69" s="577">
        <f>'yrP&amp;L'!U24</f>
        <v>3977.3209999999999</v>
      </c>
      <c r="W69" s="577">
        <f>'yrP&amp;L'!V24</f>
        <v>3951</v>
      </c>
      <c r="X69" s="577">
        <f>'yrP&amp;L'!W24</f>
        <v>4188</v>
      </c>
      <c r="Y69" s="577">
        <f>'yrP&amp;L'!X24</f>
        <v>4243</v>
      </c>
      <c r="Z69" s="577">
        <f>'yrP&amp;L'!Y24</f>
        <v>4266</v>
      </c>
      <c r="AA69" s="577">
        <f>'yrP&amp;L'!Z24</f>
        <v>4312</v>
      </c>
      <c r="AB69" s="577">
        <f>'yrP&amp;L'!AA24</f>
        <v>4350</v>
      </c>
      <c r="AC69" s="577">
        <f>'yrP&amp;L'!AB24</f>
        <v>4452</v>
      </c>
      <c r="AD69" s="577">
        <f>'yrP&amp;L'!AC24</f>
        <v>4434</v>
      </c>
      <c r="AE69" s="577">
        <f>'yrP&amp;L'!AD24</f>
        <v>4512</v>
      </c>
      <c r="AF69" s="577">
        <f>'yrP&amp;L'!AE24</f>
        <v>4511.8289999999997</v>
      </c>
      <c r="AG69" s="577">
        <f>'yrP&amp;L'!AF24</f>
        <v>4520.4356928724555</v>
      </c>
      <c r="AH69" s="577">
        <f>'yrP&amp;L'!AG24</f>
        <v>4485.4495198195109</v>
      </c>
      <c r="AI69" s="577">
        <f>'yrP&amp;L'!AH24</f>
        <v>4454.0878402500421</v>
      </c>
      <c r="AJ69" s="577">
        <f>'yrP&amp;L'!AI24</f>
        <v>4399.659964444083</v>
      </c>
      <c r="AK69" s="549"/>
      <c r="AL69" s="549"/>
      <c r="AM69" s="549"/>
      <c r="AN69" s="549"/>
    </row>
    <row r="70" spans="1:40" outlineLevel="1" x14ac:dyDescent="0.2">
      <c r="B70" s="303" t="s">
        <v>158</v>
      </c>
      <c r="E70" s="577">
        <f>'yrP&amp;L'!D64</f>
        <v>20.093999999999976</v>
      </c>
      <c r="F70" s="577">
        <f>'yrP&amp;L'!E64</f>
        <v>26.570999999999945</v>
      </c>
      <c r="G70" s="577">
        <f>'yrP&amp;L'!F64</f>
        <v>53.746999999999922</v>
      </c>
      <c r="H70" s="577">
        <f>'yrP&amp;L'!G64</f>
        <v>68.451999999999828</v>
      </c>
      <c r="I70" s="577">
        <f>'yrP&amp;L'!H64</f>
        <v>72.652000000000271</v>
      </c>
      <c r="J70" s="577">
        <f>'yrP&amp;L'!I64</f>
        <v>102.75599999999979</v>
      </c>
      <c r="K70" s="577">
        <f>'yrP&amp;L'!J64</f>
        <v>141.25633399999995</v>
      </c>
      <c r="L70" s="577">
        <f>'yrP&amp;L'!K64</f>
        <v>178.08458599999952</v>
      </c>
      <c r="M70" s="577">
        <f>'yrP&amp;L'!L64</f>
        <v>258.80999999999926</v>
      </c>
      <c r="N70" s="577">
        <f>'yrP&amp;L'!M64</f>
        <v>363.35200000000106</v>
      </c>
      <c r="O70" s="577">
        <f>'yrP&amp;L'!N64</f>
        <v>486.66899999999964</v>
      </c>
      <c r="P70" s="577">
        <f>'yrP&amp;L'!O64</f>
        <v>635.43500000000188</v>
      </c>
      <c r="Q70" s="577">
        <f>'yrP&amp;L'!P64</f>
        <v>580.72200000000021</v>
      </c>
      <c r="R70" s="577">
        <f>'yrP&amp;L'!Q64</f>
        <v>703.51288800000111</v>
      </c>
      <c r="S70" s="577">
        <f>'yrP&amp;L'!R64</f>
        <v>841.89977960398824</v>
      </c>
      <c r="T70" s="577">
        <f>'yrP&amp;L'!S64</f>
        <v>1108.5977755400072</v>
      </c>
      <c r="U70" s="577">
        <f>'yrP&amp;L'!T64</f>
        <v>1083.8209999999999</v>
      </c>
      <c r="V70" s="577">
        <f>'yrP&amp;L'!U64</f>
        <v>885.12699999999973</v>
      </c>
      <c r="W70" s="577">
        <f>'yrP&amp;L'!V64</f>
        <v>973</v>
      </c>
      <c r="X70" s="577">
        <f>'yrP&amp;L'!W64</f>
        <v>1120</v>
      </c>
      <c r="Y70" s="577">
        <f>'yrP&amp;L'!X64</f>
        <v>1167</v>
      </c>
      <c r="Z70" s="577">
        <f>'yrP&amp;L'!Y64</f>
        <v>985.5</v>
      </c>
      <c r="AA70" s="577">
        <f>'yrP&amp;L'!Z64</f>
        <v>889</v>
      </c>
      <c r="AB70" s="577">
        <f>'yrP&amp;L'!AA64</f>
        <v>867</v>
      </c>
      <c r="AC70" s="577">
        <f>'yrP&amp;L'!AB64</f>
        <v>675.01400000000001</v>
      </c>
      <c r="AD70" s="577">
        <f>'yrP&amp;L'!AC64</f>
        <v>555.88</v>
      </c>
      <c r="AE70" s="577">
        <f>'yrP&amp;L'!AD64</f>
        <v>860</v>
      </c>
      <c r="AF70" s="577">
        <f>'yrP&amp;L'!AE64</f>
        <v>797.89082749519889</v>
      </c>
      <c r="AG70" s="577">
        <f>'yrP&amp;L'!AF64</f>
        <v>674.9473842746894</v>
      </c>
      <c r="AH70" s="577">
        <f>'yrP&amp;L'!AG64</f>
        <v>601.51969697142169</v>
      </c>
      <c r="AI70" s="577">
        <f>'yrP&amp;L'!AH64</f>
        <v>524.39430320338647</v>
      </c>
      <c r="AJ70" s="577">
        <f>'yrP&amp;L'!AI64</f>
        <v>482.51280184276607</v>
      </c>
      <c r="AK70" s="549"/>
      <c r="AL70" s="549"/>
      <c r="AM70" s="549"/>
      <c r="AN70" s="549"/>
    </row>
    <row r="71" spans="1:40" x14ac:dyDescent="0.2">
      <c r="AK71" s="549"/>
      <c r="AL71" s="549"/>
      <c r="AM71" s="549"/>
      <c r="AN71" s="549"/>
    </row>
    <row r="72" spans="1:40" x14ac:dyDescent="0.2">
      <c r="B72" s="303" t="s">
        <v>251</v>
      </c>
      <c r="E72" s="666" t="str">
        <f t="shared" ref="E72:S72" si="42">IF(ISERROR(E67/E12),"NA ",E67/E12)</f>
        <v xml:space="preserve">NA </v>
      </c>
      <c r="F72" s="666" t="str">
        <f t="shared" si="42"/>
        <v xml:space="preserve">NA </v>
      </c>
      <c r="G72" s="666" t="str">
        <f t="shared" si="42"/>
        <v xml:space="preserve">NA </v>
      </c>
      <c r="H72" s="666" t="str">
        <f t="shared" si="42"/>
        <v xml:space="preserve">NA </v>
      </c>
      <c r="I72" s="666" t="str">
        <f t="shared" si="42"/>
        <v xml:space="preserve">NA </v>
      </c>
      <c r="J72" s="666" t="str">
        <f t="shared" si="42"/>
        <v xml:space="preserve">NA </v>
      </c>
      <c r="K72" s="666" t="str">
        <f t="shared" si="42"/>
        <v xml:space="preserve">NA </v>
      </c>
      <c r="L72" s="666" t="str">
        <f t="shared" si="42"/>
        <v xml:space="preserve">NA </v>
      </c>
      <c r="M72" s="666" t="str">
        <f t="shared" si="42"/>
        <v xml:space="preserve">NA </v>
      </c>
      <c r="N72" s="666" t="str">
        <f t="shared" si="42"/>
        <v xml:space="preserve">NA </v>
      </c>
      <c r="O72" s="666">
        <f t="shared" si="42"/>
        <v>8.9582891717886071</v>
      </c>
      <c r="P72" s="666">
        <f t="shared" si="42"/>
        <v>9.2047920388369118</v>
      </c>
      <c r="Q72" s="666">
        <f t="shared" si="42"/>
        <v>8.9396491087738461</v>
      </c>
      <c r="R72" s="666">
        <f t="shared" si="42"/>
        <v>8.4199989637544324</v>
      </c>
      <c r="S72" s="666">
        <f t="shared" si="42"/>
        <v>8.1123926722011532</v>
      </c>
      <c r="T72" s="666" t="str">
        <f t="shared" ref="T72:AC72" si="43">IF(ISERROR(T67/T12),"NM ",T67/T12)</f>
        <v xml:space="preserve">NM </v>
      </c>
      <c r="U72" s="666" t="str">
        <f t="shared" si="43"/>
        <v xml:space="preserve">NM </v>
      </c>
      <c r="V72" s="666" t="str">
        <f t="shared" si="43"/>
        <v xml:space="preserve">NM </v>
      </c>
      <c r="W72" s="666" t="str">
        <f t="shared" si="43"/>
        <v xml:space="preserve">NM </v>
      </c>
      <c r="X72" s="666" t="str">
        <f t="shared" si="43"/>
        <v xml:space="preserve">NM </v>
      </c>
      <c r="Y72" s="666" t="str">
        <f t="shared" si="43"/>
        <v xml:space="preserve">NM </v>
      </c>
      <c r="Z72" s="666" t="str">
        <f t="shared" si="43"/>
        <v xml:space="preserve">NM </v>
      </c>
      <c r="AA72" s="666" t="str">
        <f t="shared" si="43"/>
        <v xml:space="preserve">NM </v>
      </c>
      <c r="AB72" s="666" t="str">
        <f t="shared" si="43"/>
        <v xml:space="preserve">NM </v>
      </c>
      <c r="AC72" s="666" t="str">
        <f t="shared" si="43"/>
        <v xml:space="preserve">NM </v>
      </c>
      <c r="AD72" s="666" t="str">
        <f t="shared" ref="AD72:AI72" si="44">IF(ISERROR(AD67/AD12),"NM ",AD67/AD12)</f>
        <v xml:space="preserve">NM </v>
      </c>
      <c r="AE72" s="666" t="str">
        <f t="shared" si="44"/>
        <v xml:space="preserve">NM </v>
      </c>
      <c r="AF72" s="666" t="str">
        <f t="shared" si="44"/>
        <v xml:space="preserve">NM </v>
      </c>
      <c r="AG72" s="666" t="str">
        <f t="shared" si="44"/>
        <v xml:space="preserve">NM </v>
      </c>
      <c r="AH72" s="666" t="str">
        <f t="shared" si="44"/>
        <v xml:space="preserve">NM </v>
      </c>
      <c r="AI72" s="666" t="str">
        <f t="shared" si="44"/>
        <v xml:space="preserve">NM </v>
      </c>
      <c r="AJ72" s="666" t="str">
        <f>IF(ISERROR(AJ67/AJ12),"NM ",AJ67/AJ12)</f>
        <v xml:space="preserve">NM </v>
      </c>
      <c r="AK72" s="549"/>
      <c r="AL72" s="549"/>
      <c r="AM72" s="549"/>
      <c r="AN72" s="549"/>
    </row>
    <row r="73" spans="1:40" x14ac:dyDescent="0.2">
      <c r="B73" s="303" t="s">
        <v>212</v>
      </c>
      <c r="D73" s="667"/>
      <c r="E73" s="667">
        <f t="shared" ref="E73:AC73" si="45">E68/E13</f>
        <v>4.5945727764899322</v>
      </c>
      <c r="F73" s="667">
        <f t="shared" si="45"/>
        <v>4.5444393558222558</v>
      </c>
      <c r="G73" s="667">
        <f t="shared" si="45"/>
        <v>4.5617712068630594</v>
      </c>
      <c r="H73" s="667">
        <f t="shared" si="45"/>
        <v>4.1882838776283853</v>
      </c>
      <c r="I73" s="667">
        <f t="shared" si="45"/>
        <v>4.0460501053617417</v>
      </c>
      <c r="J73" s="667">
        <f t="shared" si="45"/>
        <v>3.7887794861616184</v>
      </c>
      <c r="K73" s="667">
        <f t="shared" si="45"/>
        <v>3.9678182981445937</v>
      </c>
      <c r="L73" s="667">
        <f t="shared" si="45"/>
        <v>3.9717752712347054</v>
      </c>
      <c r="M73" s="667">
        <f t="shared" si="45"/>
        <v>3.7943416675163228</v>
      </c>
      <c r="N73" s="667">
        <f t="shared" si="45"/>
        <v>4.0409761883403599</v>
      </c>
      <c r="O73" s="667">
        <f t="shared" si="45"/>
        <v>4.1068507485978136</v>
      </c>
      <c r="P73" s="667">
        <f t="shared" si="45"/>
        <v>3.6774859925900243</v>
      </c>
      <c r="Q73" s="667">
        <f t="shared" si="45"/>
        <v>4.2888126248452076</v>
      </c>
      <c r="R73" s="667">
        <f t="shared" si="45"/>
        <v>3.8968231263132536</v>
      </c>
      <c r="S73" s="667">
        <f t="shared" si="45"/>
        <v>3.8620502259596132</v>
      </c>
      <c r="T73" s="667">
        <f t="shared" si="45"/>
        <v>3.8464949669908752</v>
      </c>
      <c r="U73" s="667">
        <f t="shared" si="45"/>
        <v>3.6626673432005021</v>
      </c>
      <c r="V73" s="667">
        <f t="shared" si="45"/>
        <v>3.6918946052161492</v>
      </c>
      <c r="W73" s="667">
        <f t="shared" si="45"/>
        <v>3.6537803626411223</v>
      </c>
      <c r="X73" s="667">
        <f t="shared" si="45"/>
        <v>3.7411067193675889</v>
      </c>
      <c r="Y73" s="667">
        <f t="shared" si="45"/>
        <v>3.6147388059701493</v>
      </c>
      <c r="Z73" s="667">
        <f t="shared" si="45"/>
        <v>3.2790821771611527</v>
      </c>
      <c r="AA73" s="667">
        <f t="shared" si="45"/>
        <v>3.1197728446050594</v>
      </c>
      <c r="AB73" s="667">
        <f>AB68/AB13</f>
        <v>3.1719979024646041</v>
      </c>
      <c r="AC73" s="667">
        <f t="shared" si="45"/>
        <v>3.0371471025260028</v>
      </c>
      <c r="AD73" s="667">
        <f t="shared" ref="AD73:AI73" si="46">AD68/AD13</f>
        <v>3.1475625823451909</v>
      </c>
      <c r="AE73" s="667">
        <f t="shared" si="46"/>
        <v>3.437605872388481</v>
      </c>
      <c r="AF73" s="667">
        <f t="shared" si="46"/>
        <v>3.1475625823451909</v>
      </c>
      <c r="AG73" s="667">
        <f t="shared" si="46"/>
        <v>3.1475625823451909</v>
      </c>
      <c r="AH73" s="667">
        <f t="shared" si="46"/>
        <v>3.1475625823451909</v>
      </c>
      <c r="AI73" s="667">
        <f t="shared" si="46"/>
        <v>3.1475625823451909</v>
      </c>
      <c r="AJ73" s="667">
        <f>AJ68/AJ13</f>
        <v>3.1475625823451909</v>
      </c>
      <c r="AK73" s="549"/>
      <c r="AL73" s="549"/>
      <c r="AM73" s="549"/>
      <c r="AN73" s="549"/>
    </row>
    <row r="74" spans="1:40" x14ac:dyDescent="0.2">
      <c r="B74" s="303" t="s">
        <v>252</v>
      </c>
      <c r="E74" s="667">
        <f t="shared" ref="E74:AC74" si="47">E68/E26</f>
        <v>13.94127957931639</v>
      </c>
      <c r="F74" s="667">
        <f t="shared" si="47"/>
        <v>13.381796013374961</v>
      </c>
      <c r="G74" s="667">
        <f t="shared" si="47"/>
        <v>15.462903311918277</v>
      </c>
      <c r="H74" s="667">
        <f t="shared" si="47"/>
        <v>10.56029284661142</v>
      </c>
      <c r="I74" s="667">
        <f t="shared" si="47"/>
        <v>18.835212905101002</v>
      </c>
      <c r="J74" s="667">
        <f t="shared" si="47"/>
        <v>12.670591396150078</v>
      </c>
      <c r="K74" s="667">
        <f t="shared" si="47"/>
        <v>13.582257647051016</v>
      </c>
      <c r="L74" s="667">
        <f t="shared" si="47"/>
        <v>11.515846467786933</v>
      </c>
      <c r="M74" s="667">
        <f t="shared" si="47"/>
        <v>9.1321390918675238</v>
      </c>
      <c r="N74" s="667">
        <f t="shared" si="47"/>
        <v>10.13722342657255</v>
      </c>
      <c r="O74" s="667">
        <f t="shared" si="47"/>
        <v>10.276835049178274</v>
      </c>
      <c r="P74" s="667">
        <f t="shared" si="47"/>
        <v>8.6121226689389516</v>
      </c>
      <c r="Q74" s="667">
        <f t="shared" si="47"/>
        <v>12.940465528474517</v>
      </c>
      <c r="R74" s="667">
        <f t="shared" si="47"/>
        <v>10.76700654930427</v>
      </c>
      <c r="S74" s="667">
        <f t="shared" si="47"/>
        <v>10.411930055387478</v>
      </c>
      <c r="T74" s="667">
        <f t="shared" si="47"/>
        <v>10.61426877402673</v>
      </c>
      <c r="U74" s="667">
        <f t="shared" si="47"/>
        <v>12.51170774595238</v>
      </c>
      <c r="V74" s="667">
        <f t="shared" si="47"/>
        <v>11.729413166855847</v>
      </c>
      <c r="W74" s="667">
        <f t="shared" si="47"/>
        <v>8.9898989898989896</v>
      </c>
      <c r="X74" s="667">
        <f t="shared" si="47"/>
        <v>9.9806678383128293</v>
      </c>
      <c r="Y74" s="667">
        <f t="shared" si="47"/>
        <v>9.4282238442822379</v>
      </c>
      <c r="Z74" s="667">
        <f t="shared" si="47"/>
        <v>9.4032134659525628</v>
      </c>
      <c r="AA74" s="667">
        <f t="shared" si="47"/>
        <v>8.8542124542124547</v>
      </c>
      <c r="AB74" s="667">
        <f t="shared" si="47"/>
        <v>8.0066181336863007</v>
      </c>
      <c r="AC74" s="667">
        <f t="shared" si="47"/>
        <v>9.8033573141486805</v>
      </c>
      <c r="AD74" s="667">
        <f t="shared" ref="AD74:AI74" si="48">AD68/AD26</f>
        <v>7.9263437292634373</v>
      </c>
      <c r="AE74" s="667">
        <f t="shared" si="48"/>
        <v>9.5798583792289538</v>
      </c>
      <c r="AF74" s="667">
        <f t="shared" si="48"/>
        <v>7.9263437292634382</v>
      </c>
      <c r="AG74" s="667">
        <f t="shared" si="48"/>
        <v>7.9263437292634391</v>
      </c>
      <c r="AH74" s="667">
        <f t="shared" si="48"/>
        <v>7.9263437292634382</v>
      </c>
      <c r="AI74" s="667">
        <f t="shared" si="48"/>
        <v>7.9263437292634382</v>
      </c>
      <c r="AJ74" s="667">
        <f>AJ68/AJ26</f>
        <v>7.9263437292634382</v>
      </c>
      <c r="AK74" s="549"/>
      <c r="AL74" s="549"/>
      <c r="AM74" s="549"/>
      <c r="AN74" s="549"/>
    </row>
    <row r="75" spans="1:40" x14ac:dyDescent="0.2">
      <c r="AB75" s="458"/>
      <c r="AC75" s="458"/>
      <c r="AD75" s="458"/>
      <c r="AE75" s="458"/>
      <c r="AF75" s="458"/>
      <c r="AG75" s="458"/>
      <c r="AH75" s="458"/>
      <c r="AI75" s="458"/>
      <c r="AJ75" s="458"/>
      <c r="AK75" s="549"/>
      <c r="AL75" s="549"/>
      <c r="AM75" s="549"/>
      <c r="AN75" s="549"/>
    </row>
    <row r="76" spans="1:40" x14ac:dyDescent="0.2">
      <c r="B76" s="668" t="s">
        <v>263</v>
      </c>
      <c r="E76" s="669" t="str">
        <f>IF(ISERROR(365/E72),"NA ",365/E72)</f>
        <v xml:space="preserve">NA </v>
      </c>
      <c r="F76" s="669" t="str">
        <f t="shared" ref="F76:AB76" si="49">IF(ISERROR(365/F72),"NA ",365/F72)</f>
        <v xml:space="preserve">NA </v>
      </c>
      <c r="G76" s="669" t="str">
        <f t="shared" si="49"/>
        <v xml:space="preserve">NA </v>
      </c>
      <c r="H76" s="669" t="str">
        <f t="shared" si="49"/>
        <v xml:space="preserve">NA </v>
      </c>
      <c r="I76" s="669" t="str">
        <f t="shared" si="49"/>
        <v xml:space="preserve">NA </v>
      </c>
      <c r="J76" s="669" t="str">
        <f t="shared" si="49"/>
        <v xml:space="preserve">NA </v>
      </c>
      <c r="K76" s="669" t="str">
        <f t="shared" si="49"/>
        <v xml:space="preserve">NA </v>
      </c>
      <c r="L76" s="669" t="str">
        <f t="shared" si="49"/>
        <v xml:space="preserve">NA </v>
      </c>
      <c r="M76" s="669" t="str">
        <f t="shared" si="49"/>
        <v xml:space="preserve">NA </v>
      </c>
      <c r="N76" s="669" t="str">
        <f t="shared" si="49"/>
        <v xml:space="preserve">NA </v>
      </c>
      <c r="O76" s="669">
        <f t="shared" si="49"/>
        <v>40.744386902518833</v>
      </c>
      <c r="P76" s="669">
        <f t="shared" si="49"/>
        <v>39.653258700467092</v>
      </c>
      <c r="Q76" s="669">
        <f t="shared" si="49"/>
        <v>40.829343026648509</v>
      </c>
      <c r="R76" s="669">
        <f t="shared" si="49"/>
        <v>43.349173981043869</v>
      </c>
      <c r="S76" s="669">
        <f t="shared" si="49"/>
        <v>44.992891092507207</v>
      </c>
      <c r="T76" s="669" t="str">
        <f t="shared" si="49"/>
        <v xml:space="preserve">NA </v>
      </c>
      <c r="U76" s="669" t="str">
        <f t="shared" si="49"/>
        <v xml:space="preserve">NA </v>
      </c>
      <c r="V76" s="669" t="str">
        <f t="shared" si="49"/>
        <v xml:space="preserve">NA </v>
      </c>
      <c r="W76" s="669" t="str">
        <f t="shared" si="49"/>
        <v xml:space="preserve">NA </v>
      </c>
      <c r="X76" s="669" t="str">
        <f t="shared" si="49"/>
        <v xml:space="preserve">NA </v>
      </c>
      <c r="Y76" s="669" t="str">
        <f t="shared" si="49"/>
        <v xml:space="preserve">NA </v>
      </c>
      <c r="Z76" s="669" t="str">
        <f t="shared" si="49"/>
        <v xml:space="preserve">NA </v>
      </c>
      <c r="AA76" s="669" t="str">
        <f>IF(ISERROR(365/AA72),"NA ",365/AA72)</f>
        <v xml:space="preserve">NA </v>
      </c>
      <c r="AB76" s="669" t="str">
        <f t="shared" si="49"/>
        <v xml:space="preserve">NA </v>
      </c>
      <c r="AC76" s="669" t="str">
        <f>IF(ISERROR(365/AC72),"NA ",365/AC72)</f>
        <v xml:space="preserve">NA </v>
      </c>
      <c r="AD76" s="669" t="str">
        <f>IF(ISERROR(365/AD72),"NA ",365/AD72)</f>
        <v xml:space="preserve">NA </v>
      </c>
      <c r="AE76" s="972" t="s">
        <v>236</v>
      </c>
      <c r="AF76" s="972" t="s">
        <v>236</v>
      </c>
      <c r="AG76" s="972" t="s">
        <v>236</v>
      </c>
      <c r="AH76" s="972" t="s">
        <v>236</v>
      </c>
      <c r="AI76" s="972" t="s">
        <v>236</v>
      </c>
      <c r="AJ76" s="972" t="s">
        <v>236</v>
      </c>
      <c r="AK76" s="549"/>
      <c r="AL76" s="549"/>
      <c r="AM76" s="549"/>
      <c r="AN76" s="549"/>
    </row>
    <row r="77" spans="1:40" x14ac:dyDescent="0.2">
      <c r="B77" s="668" t="s">
        <v>261</v>
      </c>
      <c r="E77" s="600">
        <f t="shared" ref="E77:R77" si="50">365/E73</f>
        <v>79.441553710429034</v>
      </c>
      <c r="F77" s="600">
        <f t="shared" si="50"/>
        <v>80.317938346425152</v>
      </c>
      <c r="G77" s="600">
        <f t="shared" si="50"/>
        <v>80.01278088012559</v>
      </c>
      <c r="H77" s="600">
        <f t="shared" si="50"/>
        <v>87.147865489643252</v>
      </c>
      <c r="I77" s="600">
        <f t="shared" si="50"/>
        <v>90.211438438765143</v>
      </c>
      <c r="J77" s="600">
        <f t="shared" si="50"/>
        <v>96.337092547388792</v>
      </c>
      <c r="K77" s="600">
        <f t="shared" si="50"/>
        <v>91.990099488849836</v>
      </c>
      <c r="L77" s="600">
        <f t="shared" si="50"/>
        <v>91.898452221978928</v>
      </c>
      <c r="M77" s="600">
        <f t="shared" si="50"/>
        <v>96.195870584031908</v>
      </c>
      <c r="N77" s="600">
        <f t="shared" si="50"/>
        <v>90.324709423716385</v>
      </c>
      <c r="O77" s="600">
        <f t="shared" si="50"/>
        <v>88.87588625533094</v>
      </c>
      <c r="P77" s="600">
        <f t="shared" si="50"/>
        <v>99.252587429417616</v>
      </c>
      <c r="Q77" s="600">
        <f t="shared" si="50"/>
        <v>85.105140263191984</v>
      </c>
      <c r="R77" s="600">
        <f t="shared" si="50"/>
        <v>93.666042355205107</v>
      </c>
      <c r="S77" s="600">
        <f t="shared" ref="S77:Y77" si="51">365/S73</f>
        <v>94.509387150527687</v>
      </c>
      <c r="T77" s="600">
        <f t="shared" si="51"/>
        <v>94.891583930900239</v>
      </c>
      <c r="U77" s="600">
        <f t="shared" si="51"/>
        <v>99.654149776282082</v>
      </c>
      <c r="V77" s="600">
        <f t="shared" si="51"/>
        <v>98.86522748626254</v>
      </c>
      <c r="W77" s="600">
        <f t="shared" si="51"/>
        <v>99.896535580524343</v>
      </c>
      <c r="X77" s="600">
        <f t="shared" si="51"/>
        <v>97.564712097200214</v>
      </c>
      <c r="Y77" s="600">
        <f t="shared" si="51"/>
        <v>100.97548387096774</v>
      </c>
      <c r="Z77" s="600">
        <f t="shared" ref="Z77:AB78" si="52">365/Z73</f>
        <v>111.31163547599674</v>
      </c>
      <c r="AA77" s="600">
        <f t="shared" si="52"/>
        <v>116.9956975012411</v>
      </c>
      <c r="AB77" s="600">
        <f t="shared" si="52"/>
        <v>115.06943296412631</v>
      </c>
      <c r="AC77" s="600">
        <f>365/AC73</f>
        <v>120.17857142857143</v>
      </c>
      <c r="AD77" s="600">
        <f>365/AD73</f>
        <v>115.96274591879448</v>
      </c>
      <c r="AE77" s="973">
        <f t="shared" ref="AE77:AJ78" si="53">AD77</f>
        <v>115.96274591879448</v>
      </c>
      <c r="AF77" s="973">
        <f t="shared" si="53"/>
        <v>115.96274591879448</v>
      </c>
      <c r="AG77" s="973">
        <f t="shared" si="53"/>
        <v>115.96274591879448</v>
      </c>
      <c r="AH77" s="973">
        <f t="shared" si="53"/>
        <v>115.96274591879448</v>
      </c>
      <c r="AI77" s="973">
        <f t="shared" si="53"/>
        <v>115.96274591879448</v>
      </c>
      <c r="AJ77" s="973">
        <f t="shared" si="53"/>
        <v>115.96274591879448</v>
      </c>
      <c r="AK77" s="549"/>
      <c r="AL77" s="549"/>
      <c r="AM77" s="549"/>
      <c r="AN77" s="549"/>
    </row>
    <row r="78" spans="1:40" x14ac:dyDescent="0.2">
      <c r="A78" s="305"/>
      <c r="B78" s="670" t="s">
        <v>262</v>
      </c>
      <c r="C78" s="671"/>
      <c r="D78" s="305"/>
      <c r="E78" s="600">
        <f t="shared" ref="E78:Y78" si="54">365/E74</f>
        <v>26.181240963098006</v>
      </c>
      <c r="F78" s="600">
        <f t="shared" si="54"/>
        <v>27.275860402832805</v>
      </c>
      <c r="G78" s="600">
        <f t="shared" si="54"/>
        <v>23.604881479060307</v>
      </c>
      <c r="H78" s="600">
        <f t="shared" si="54"/>
        <v>34.563435437031558</v>
      </c>
      <c r="I78" s="600">
        <f t="shared" si="54"/>
        <v>19.378596984223616</v>
      </c>
      <c r="J78" s="600">
        <f t="shared" si="54"/>
        <v>28.806863751513934</v>
      </c>
      <c r="K78" s="600">
        <f t="shared" si="54"/>
        <v>26.873293784060188</v>
      </c>
      <c r="L78" s="600">
        <f t="shared" si="54"/>
        <v>31.695455563862183</v>
      </c>
      <c r="M78" s="600">
        <f t="shared" si="54"/>
        <v>39.968729815454161</v>
      </c>
      <c r="N78" s="600">
        <f t="shared" si="54"/>
        <v>36.005914503495212</v>
      </c>
      <c r="O78" s="600">
        <f t="shared" si="54"/>
        <v>35.516771287399912</v>
      </c>
      <c r="P78" s="600">
        <f t="shared" si="54"/>
        <v>42.382118094582303</v>
      </c>
      <c r="Q78" s="600">
        <f t="shared" si="54"/>
        <v>28.206094996879752</v>
      </c>
      <c r="R78" s="600">
        <f t="shared" si="54"/>
        <v>33.899858640244361</v>
      </c>
      <c r="S78" s="600">
        <f t="shared" si="54"/>
        <v>35.055940450842435</v>
      </c>
      <c r="T78" s="600">
        <f t="shared" si="54"/>
        <v>34.387672648082955</v>
      </c>
      <c r="U78" s="600">
        <f t="shared" si="54"/>
        <v>29.172676297372746</v>
      </c>
      <c r="V78" s="600">
        <f t="shared" si="54"/>
        <v>31.1183513452652</v>
      </c>
      <c r="W78" s="600">
        <f t="shared" si="54"/>
        <v>40.601123595505619</v>
      </c>
      <c r="X78" s="600">
        <f t="shared" si="54"/>
        <v>36.570699066737099</v>
      </c>
      <c r="Y78" s="600">
        <f t="shared" si="54"/>
        <v>38.713548387096779</v>
      </c>
      <c r="Z78" s="600">
        <f t="shared" si="52"/>
        <v>38.816517493897479</v>
      </c>
      <c r="AA78" s="600">
        <f t="shared" si="52"/>
        <v>41.223316233658778</v>
      </c>
      <c r="AB78" s="600">
        <f>365/AB74</f>
        <v>45.587287154901638</v>
      </c>
      <c r="AC78" s="600">
        <f>365/AC74</f>
        <v>37.232142857142861</v>
      </c>
      <c r="AD78" s="600">
        <f>365/AD74</f>
        <v>46.048974466303889</v>
      </c>
      <c r="AE78" s="974">
        <f t="shared" si="53"/>
        <v>46.048974466303889</v>
      </c>
      <c r="AF78" s="974">
        <f t="shared" si="53"/>
        <v>46.048974466303889</v>
      </c>
      <c r="AG78" s="974">
        <f t="shared" si="53"/>
        <v>46.048974466303889</v>
      </c>
      <c r="AH78" s="974">
        <f t="shared" si="53"/>
        <v>46.048974466303889</v>
      </c>
      <c r="AI78" s="974">
        <f t="shared" si="53"/>
        <v>46.048974466303889</v>
      </c>
      <c r="AJ78" s="974">
        <f t="shared" si="53"/>
        <v>46.048974466303889</v>
      </c>
      <c r="AK78" s="549"/>
      <c r="AL78" s="549"/>
      <c r="AM78" s="549"/>
      <c r="AN78" s="549"/>
    </row>
    <row r="79" spans="1:40" x14ac:dyDescent="0.2">
      <c r="AB79" s="458"/>
      <c r="AC79" s="458"/>
      <c r="AD79" s="458"/>
      <c r="AE79" s="458"/>
      <c r="AF79" s="458"/>
      <c r="AG79" s="458"/>
      <c r="AH79" s="458"/>
      <c r="AI79" s="458"/>
      <c r="AJ79" s="458"/>
      <c r="AK79" s="549"/>
      <c r="AL79" s="549"/>
      <c r="AM79" s="549"/>
      <c r="AN79" s="549"/>
    </row>
    <row r="80" spans="1:40" x14ac:dyDescent="0.2">
      <c r="B80" s="303" t="s">
        <v>213</v>
      </c>
      <c r="E80" s="419">
        <f t="shared" ref="E80:AB80" si="55">E26/E13</f>
        <v>0.32956607392814558</v>
      </c>
      <c r="F80" s="419">
        <f t="shared" si="55"/>
        <v>0.33959861226999255</v>
      </c>
      <c r="G80" s="419">
        <f t="shared" si="55"/>
        <v>0.29501388677422574</v>
      </c>
      <c r="H80" s="419">
        <f t="shared" si="55"/>
        <v>0.39660679286676398</v>
      </c>
      <c r="I80" s="419">
        <f t="shared" si="55"/>
        <v>0.2148130804651526</v>
      </c>
      <c r="J80" s="419">
        <f t="shared" si="55"/>
        <v>0.29902151902024304</v>
      </c>
      <c r="K80" s="419">
        <f t="shared" si="55"/>
        <v>0.29213245700769697</v>
      </c>
      <c r="L80" s="419">
        <f t="shared" si="55"/>
        <v>0.34489651128511312</v>
      </c>
      <c r="M80" s="419">
        <f t="shared" si="55"/>
        <v>0.41549319708624577</v>
      </c>
      <c r="N80" s="419">
        <f t="shared" si="55"/>
        <v>0.39862751547409025</v>
      </c>
      <c r="O80" s="419">
        <f t="shared" si="55"/>
        <v>0.39962213356009768</v>
      </c>
      <c r="P80" s="419">
        <f t="shared" si="55"/>
        <v>0.42701272775102089</v>
      </c>
      <c r="Q80" s="419">
        <f t="shared" si="55"/>
        <v>0.33142645567178391</v>
      </c>
      <c r="R80" s="419">
        <f t="shared" si="55"/>
        <v>0.36192261130973807</v>
      </c>
      <c r="S80" s="419">
        <f t="shared" si="55"/>
        <v>0.37092548695726785</v>
      </c>
      <c r="T80" s="419">
        <f t="shared" si="55"/>
        <v>0.36238906785583802</v>
      </c>
      <c r="U80" s="419">
        <f t="shared" si="55"/>
        <v>0.29273920215930549</v>
      </c>
      <c r="V80" s="419">
        <f t="shared" si="55"/>
        <v>0.31475526973919254</v>
      </c>
      <c r="W80" s="419">
        <f t="shared" si="55"/>
        <v>0.4064317482039001</v>
      </c>
      <c r="X80" s="419">
        <f t="shared" si="55"/>
        <v>0.37483530961791833</v>
      </c>
      <c r="Y80" s="419">
        <f t="shared" si="55"/>
        <v>0.38339552238805968</v>
      </c>
      <c r="Z80" s="419">
        <f t="shared" si="55"/>
        <v>0.34871931696905017</v>
      </c>
      <c r="AA80" s="419">
        <f t="shared" si="55"/>
        <v>0.3523489932885906</v>
      </c>
      <c r="AB80" s="419">
        <f t="shared" si="55"/>
        <v>0.3961719979024646</v>
      </c>
      <c r="AC80" s="419">
        <f t="shared" ref="AC80:AI80" si="56">AC26/AC13</f>
        <v>0.30980683506686479</v>
      </c>
      <c r="AD80" s="419">
        <f t="shared" si="56"/>
        <v>0.39710144927536234</v>
      </c>
      <c r="AE80" s="419">
        <f t="shared" si="56"/>
        <v>0.3588368153585545</v>
      </c>
      <c r="AF80" s="419">
        <f t="shared" si="56"/>
        <v>0.39710144927536228</v>
      </c>
      <c r="AG80" s="419">
        <f t="shared" si="56"/>
        <v>0.39710144927536223</v>
      </c>
      <c r="AH80" s="419">
        <f t="shared" si="56"/>
        <v>0.39710144927536228</v>
      </c>
      <c r="AI80" s="419">
        <f t="shared" si="56"/>
        <v>0.39710144927536228</v>
      </c>
      <c r="AJ80" s="419">
        <f>AJ26/AJ13</f>
        <v>0.39710144927536223</v>
      </c>
      <c r="AK80" s="549"/>
      <c r="AL80" s="549"/>
      <c r="AM80" s="549"/>
      <c r="AN80" s="549"/>
    </row>
    <row r="81" spans="4:40" x14ac:dyDescent="0.2">
      <c r="D81" s="420"/>
      <c r="E81" s="672"/>
      <c r="F81" s="672"/>
      <c r="G81" s="672"/>
      <c r="H81" s="672"/>
      <c r="I81" s="672"/>
      <c r="J81" s="672"/>
      <c r="K81" s="672"/>
      <c r="L81" s="672"/>
      <c r="M81" s="672"/>
      <c r="N81" s="672"/>
      <c r="O81" s="672"/>
      <c r="P81" s="672"/>
      <c r="Q81" s="672"/>
      <c r="R81" s="672"/>
      <c r="S81" s="672"/>
      <c r="T81" s="672"/>
      <c r="U81" s="672"/>
      <c r="V81" s="672"/>
      <c r="W81" s="672"/>
      <c r="X81" s="672"/>
      <c r="Y81" s="672"/>
      <c r="Z81" s="672"/>
      <c r="AA81" s="672"/>
      <c r="AB81" s="672"/>
      <c r="AC81" s="672"/>
      <c r="AD81" s="672"/>
      <c r="AE81" s="672"/>
      <c r="AF81" s="672"/>
      <c r="AG81" s="672"/>
      <c r="AH81" s="672"/>
      <c r="AI81" s="672"/>
      <c r="AJ81" s="672"/>
      <c r="AK81" s="549"/>
      <c r="AL81" s="549"/>
      <c r="AM81" s="549"/>
      <c r="AN81" s="549"/>
    </row>
    <row r="82" spans="4:40" customFormat="1" x14ac:dyDescent="0.2"/>
  </sheetData>
  <phoneticPr fontId="11" type="noConversion"/>
  <pageMargins left="0" right="0" top="0" bottom="0" header="0" footer="0"/>
  <pageSetup paperSize="5" scale="64" orientation="landscape" horizontalDpi="300" verticalDpi="300" r:id="rId1"/>
  <headerFooter alignWithMargins="0"/>
  <rowBreaks count="1" manualBreakCount="1">
    <brk id="53" max="16383" man="1"/>
  </rowBreaks>
  <colBreaks count="1" manualBreakCount="1">
    <brk id="15" max="48" man="1"/>
  </colBreaks>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AX72"/>
  <sheetViews>
    <sheetView showGridLines="0" zoomScale="90" zoomScaleNormal="90" workbookViewId="0">
      <selection activeCell="AF59" sqref="AF59"/>
    </sheetView>
  </sheetViews>
  <sheetFormatPr defaultRowHeight="12.75" outlineLevelCol="1" x14ac:dyDescent="0.2"/>
  <cols>
    <col min="1" max="1" width="1.85546875" style="303" customWidth="1"/>
    <col min="2" max="2" width="4" style="303" customWidth="1"/>
    <col min="3" max="3" width="29.140625" style="303" customWidth="1"/>
    <col min="4" max="4" width="5.5703125" style="303" hidden="1" customWidth="1"/>
    <col min="5" max="19" width="9.140625" style="303" hidden="1" customWidth="1" outlineLevel="1"/>
    <col min="20" max="20" width="9.140625" style="303" hidden="1" customWidth="1" outlineLevel="1" collapsed="1"/>
    <col min="21" max="21" width="9.140625" style="303" hidden="1" customWidth="1" outlineLevel="1"/>
    <col min="22" max="24" width="0" style="303" hidden="1" customWidth="1" outlineLevel="1"/>
    <col min="25" max="25" width="9.140625" style="303" collapsed="1"/>
    <col min="26" max="30" width="9.140625" style="303"/>
    <col min="31" max="31" width="10.85546875" style="303" customWidth="1"/>
    <col min="32" max="32" width="9.140625" style="14"/>
    <col min="33" max="33" width="9.140625" style="303"/>
    <col min="34" max="35" width="8" style="303" bestFit="1" customWidth="1"/>
    <col min="36" max="36" width="8" style="303" customWidth="1" outlineLevel="1"/>
    <col min="37" max="37" width="9.140625" style="303" customWidth="1" outlineLevel="1"/>
    <col min="38" max="38" width="9.140625" style="303"/>
    <col min="39" max="44" width="9.140625" hidden="1" customWidth="1" outlineLevel="1"/>
    <col min="45" max="45" width="9.140625" style="303" collapsed="1"/>
    <col min="46" max="16384" width="9.140625" style="303"/>
  </cols>
  <sheetData>
    <row r="1" spans="1:38" x14ac:dyDescent="0.2">
      <c r="A1" s="310" t="s">
        <v>453</v>
      </c>
      <c r="D1" s="305"/>
      <c r="E1" s="305"/>
      <c r="F1" s="305"/>
      <c r="G1" s="305"/>
      <c r="H1" s="305"/>
      <c r="I1" s="305"/>
      <c r="J1" s="305"/>
      <c r="K1" s="305"/>
      <c r="L1" s="305"/>
      <c r="M1" s="305"/>
      <c r="N1" s="305"/>
      <c r="O1" s="305"/>
      <c r="P1" s="305"/>
      <c r="Q1" s="305"/>
      <c r="R1" s="305"/>
      <c r="S1" s="305"/>
      <c r="T1" s="305"/>
      <c r="AF1" s="303"/>
    </row>
    <row r="2" spans="1:38" x14ac:dyDescent="0.2">
      <c r="A2" s="427" t="s">
        <v>620</v>
      </c>
      <c r="B2" s="313"/>
      <c r="C2" s="313"/>
      <c r="D2" s="313"/>
      <c r="E2" s="313"/>
      <c r="F2" s="313"/>
      <c r="G2" s="313"/>
      <c r="H2" s="313"/>
      <c r="I2" s="313"/>
      <c r="J2" s="313"/>
      <c r="K2" s="313"/>
      <c r="L2" s="313"/>
      <c r="M2" s="313"/>
      <c r="N2" s="313"/>
      <c r="O2" s="313"/>
      <c r="P2" s="313"/>
      <c r="Q2" s="313"/>
      <c r="R2" s="313"/>
      <c r="S2" s="313"/>
      <c r="T2" s="313"/>
      <c r="U2" s="313"/>
      <c r="V2" s="313"/>
      <c r="W2" s="313"/>
      <c r="X2" s="313"/>
      <c r="Y2" s="313"/>
      <c r="Z2" s="313"/>
      <c r="AA2" s="313"/>
      <c r="AB2" s="313"/>
      <c r="AC2" s="313"/>
      <c r="AD2" s="313"/>
      <c r="AE2" s="313"/>
      <c r="AF2" s="313"/>
      <c r="AG2" s="313"/>
      <c r="AH2" s="313"/>
      <c r="AI2" s="313"/>
      <c r="AJ2" s="313"/>
      <c r="AK2" s="313"/>
      <c r="AL2" s="313"/>
    </row>
    <row r="3" spans="1:38" x14ac:dyDescent="0.2">
      <c r="A3" s="314" t="s">
        <v>95</v>
      </c>
      <c r="D3" s="305"/>
      <c r="E3" s="305"/>
      <c r="F3" s="305"/>
      <c r="G3" s="305"/>
      <c r="H3" s="305"/>
      <c r="I3" s="305"/>
      <c r="J3" s="305"/>
      <c r="K3" s="305"/>
      <c r="L3" s="305"/>
      <c r="M3" s="305"/>
      <c r="N3" s="305"/>
      <c r="O3" s="305"/>
      <c r="P3" s="305"/>
      <c r="Q3" s="305"/>
      <c r="R3" s="305"/>
      <c r="S3" s="305"/>
      <c r="T3" s="305"/>
      <c r="AC3" s="690"/>
      <c r="AD3" s="690"/>
      <c r="AE3" s="319"/>
      <c r="AF3" s="319"/>
      <c r="AG3" s="319"/>
      <c r="AH3" s="319"/>
      <c r="AI3" s="319"/>
      <c r="AJ3" s="319"/>
    </row>
    <row r="4" spans="1:38" x14ac:dyDescent="0.2">
      <c r="A4" s="314" t="s">
        <v>96</v>
      </c>
      <c r="D4" s="305"/>
      <c r="E4" s="305"/>
      <c r="F4" s="305"/>
      <c r="G4" s="305"/>
      <c r="H4" s="305"/>
      <c r="I4" s="305"/>
      <c r="J4" s="305"/>
      <c r="K4" s="305"/>
      <c r="L4" s="305"/>
      <c r="M4" s="305"/>
      <c r="N4" s="305"/>
      <c r="O4" s="305"/>
      <c r="P4" s="305"/>
      <c r="Q4" s="305"/>
      <c r="R4" s="305"/>
      <c r="S4" s="305"/>
      <c r="T4" s="305"/>
      <c r="AC4" s="315"/>
      <c r="AD4" s="315"/>
      <c r="AE4" s="311"/>
      <c r="AF4" s="311"/>
      <c r="AG4" s="311"/>
      <c r="AH4" s="311"/>
      <c r="AI4" s="311"/>
      <c r="AJ4" s="311"/>
    </row>
    <row r="5" spans="1:38" x14ac:dyDescent="0.2">
      <c r="D5" s="305"/>
      <c r="E5" s="305"/>
      <c r="F5" s="305"/>
      <c r="G5" s="305"/>
      <c r="H5" s="305"/>
      <c r="I5" s="305"/>
      <c r="J5" s="305"/>
      <c r="K5" s="305"/>
      <c r="L5" s="305"/>
      <c r="M5" s="305"/>
      <c r="N5" s="305"/>
      <c r="O5" s="305"/>
      <c r="P5" s="305"/>
      <c r="Q5" s="305"/>
      <c r="R5" s="305"/>
      <c r="S5" s="305"/>
      <c r="T5" s="305"/>
      <c r="AB5" s="479"/>
      <c r="AC5" s="479"/>
      <c r="AD5" s="479"/>
      <c r="AF5" s="419"/>
      <c r="AG5" s="419"/>
      <c r="AH5" s="419"/>
      <c r="AI5" s="419"/>
      <c r="AJ5" s="419"/>
      <c r="AK5" s="458"/>
      <c r="AL5" s="458"/>
    </row>
    <row r="6" spans="1:38" x14ac:dyDescent="0.2">
      <c r="D6" s="305"/>
      <c r="E6" s="691">
        <v>1990</v>
      </c>
      <c r="F6" s="691">
        <f>E6+1</f>
        <v>1991</v>
      </c>
      <c r="G6" s="691">
        <f t="shared" ref="G6:AD6" si="0">F6+1</f>
        <v>1992</v>
      </c>
      <c r="H6" s="691">
        <f t="shared" si="0"/>
        <v>1993</v>
      </c>
      <c r="I6" s="691">
        <f t="shared" si="0"/>
        <v>1994</v>
      </c>
      <c r="J6" s="691">
        <f t="shared" si="0"/>
        <v>1995</v>
      </c>
      <c r="K6" s="691">
        <f t="shared" si="0"/>
        <v>1996</v>
      </c>
      <c r="L6" s="691">
        <f t="shared" si="0"/>
        <v>1997</v>
      </c>
      <c r="M6" s="691">
        <f t="shared" si="0"/>
        <v>1998</v>
      </c>
      <c r="N6" s="691">
        <f t="shared" si="0"/>
        <v>1999</v>
      </c>
      <c r="O6" s="691">
        <f t="shared" si="0"/>
        <v>2000</v>
      </c>
      <c r="P6" s="691">
        <f t="shared" si="0"/>
        <v>2001</v>
      </c>
      <c r="Q6" s="691">
        <f t="shared" si="0"/>
        <v>2002</v>
      </c>
      <c r="R6" s="691">
        <f t="shared" si="0"/>
        <v>2003</v>
      </c>
      <c r="S6" s="691">
        <f t="shared" si="0"/>
        <v>2004</v>
      </c>
      <c r="T6" s="691">
        <f t="shared" si="0"/>
        <v>2005</v>
      </c>
      <c r="U6" s="691">
        <f t="shared" si="0"/>
        <v>2006</v>
      </c>
      <c r="V6" s="691">
        <f t="shared" si="0"/>
        <v>2007</v>
      </c>
      <c r="W6" s="691">
        <f t="shared" si="0"/>
        <v>2008</v>
      </c>
      <c r="X6" s="691">
        <f t="shared" si="0"/>
        <v>2009</v>
      </c>
      <c r="Y6" s="691">
        <f t="shared" si="0"/>
        <v>2010</v>
      </c>
      <c r="Z6" s="691">
        <f t="shared" si="0"/>
        <v>2011</v>
      </c>
      <c r="AA6" s="691">
        <f t="shared" si="0"/>
        <v>2012</v>
      </c>
      <c r="AB6" s="691">
        <f t="shared" si="0"/>
        <v>2013</v>
      </c>
      <c r="AC6" s="691">
        <f t="shared" si="0"/>
        <v>2014</v>
      </c>
      <c r="AD6" s="691">
        <f t="shared" si="0"/>
        <v>2015</v>
      </c>
      <c r="AE6" s="691">
        <f t="shared" ref="AE6:AK6" si="1">AD6+1</f>
        <v>2016</v>
      </c>
      <c r="AF6" s="691">
        <f t="shared" si="1"/>
        <v>2017</v>
      </c>
      <c r="AG6" s="692">
        <f t="shared" si="1"/>
        <v>2018</v>
      </c>
      <c r="AH6" s="692">
        <f t="shared" si="1"/>
        <v>2019</v>
      </c>
      <c r="AI6" s="692">
        <f t="shared" si="1"/>
        <v>2020</v>
      </c>
      <c r="AJ6" s="692">
        <f t="shared" si="1"/>
        <v>2021</v>
      </c>
      <c r="AK6" s="692">
        <f t="shared" si="1"/>
        <v>2022</v>
      </c>
      <c r="AL6" s="648"/>
    </row>
    <row r="7" spans="1:38" x14ac:dyDescent="0.2">
      <c r="D7" s="305"/>
      <c r="E7" s="341"/>
      <c r="F7" s="341"/>
      <c r="G7" s="341"/>
      <c r="H7" s="341"/>
      <c r="I7" s="341"/>
      <c r="J7" s="341"/>
      <c r="K7" s="341"/>
      <c r="L7" s="341"/>
      <c r="M7" s="341"/>
      <c r="N7" s="341"/>
      <c r="O7" s="341"/>
      <c r="P7" s="341"/>
      <c r="Q7" s="341"/>
      <c r="R7" s="341"/>
      <c r="S7" s="341"/>
      <c r="T7" s="341"/>
      <c r="U7" s="341"/>
      <c r="V7" s="341"/>
      <c r="W7" s="341"/>
      <c r="X7" s="341"/>
      <c r="Y7" s="341"/>
      <c r="Z7" s="341"/>
      <c r="AA7" s="341"/>
      <c r="AF7" s="303"/>
    </row>
    <row r="8" spans="1:38" x14ac:dyDescent="0.2">
      <c r="B8" s="303" t="s">
        <v>158</v>
      </c>
      <c r="D8" s="305"/>
      <c r="E8" s="693">
        <f>'yrP&amp;L'!C59</f>
        <v>11.486000000000015</v>
      </c>
      <c r="F8" s="693">
        <f>'yrP&amp;L'!D59</f>
        <v>18.764999999999976</v>
      </c>
      <c r="G8" s="693">
        <f>'yrP&amp;L'!E59</f>
        <v>28.691999999999943</v>
      </c>
      <c r="H8" s="693">
        <f>'yrP&amp;L'!F59</f>
        <v>55.51599999999992</v>
      </c>
      <c r="I8" s="693">
        <f>'yrP&amp;L'!G59</f>
        <v>68.451999999999828</v>
      </c>
      <c r="J8" s="693">
        <f>'yrP&amp;L'!H59</f>
        <v>80.952000000000268</v>
      </c>
      <c r="K8" s="693">
        <f>'yrP&amp;L'!I59</f>
        <v>102.75599999999979</v>
      </c>
      <c r="L8" s="693">
        <f>'yrP&amp;L'!J59</f>
        <v>141.25633399999995</v>
      </c>
      <c r="M8" s="693">
        <f>'yrP&amp;L'!K59</f>
        <v>178.08458599999952</v>
      </c>
      <c r="N8" s="693">
        <f>'yrP&amp;L'!L59</f>
        <v>258.80999999999926</v>
      </c>
      <c r="O8" s="693">
        <f>'yrP&amp;L'!M59</f>
        <v>363.35200000000106</v>
      </c>
      <c r="P8" s="693">
        <f>'yrP&amp;L'!N59</f>
        <v>486.66899999999964</v>
      </c>
      <c r="Q8" s="693">
        <f>'yrP&amp;L'!O59</f>
        <v>635.43500000000188</v>
      </c>
      <c r="R8" s="693">
        <f>'yrP&amp;L'!P59</f>
        <v>580.72200000000021</v>
      </c>
      <c r="S8" s="693">
        <f>'yrP&amp;L'!Q59</f>
        <v>703.51288800000111</v>
      </c>
      <c r="T8" s="693">
        <f>'yrP&amp;L'!R59</f>
        <v>841.89977960398824</v>
      </c>
      <c r="U8" s="693">
        <f>'yrP&amp;L'!S59</f>
        <v>1108.5977755400072</v>
      </c>
      <c r="V8" s="693">
        <f>'yrP&amp;L'!T59</f>
        <v>1083.8209999999999</v>
      </c>
      <c r="W8" s="693">
        <f>'yrP&amp;L'!U59</f>
        <v>885.12699999999973</v>
      </c>
      <c r="X8" s="693">
        <f>'yrP&amp;L'!V59</f>
        <v>973</v>
      </c>
      <c r="Y8" s="693">
        <f>'yrP&amp;L'!W59</f>
        <v>1120</v>
      </c>
      <c r="Z8" s="693">
        <f>'yrP&amp;L'!X59</f>
        <v>1167</v>
      </c>
      <c r="AA8" s="693">
        <f>'yrP&amp;L'!Y59</f>
        <v>985.5</v>
      </c>
      <c r="AB8" s="693">
        <f>'yrP&amp;L'!Z59</f>
        <v>889</v>
      </c>
      <c r="AC8" s="693">
        <v>867</v>
      </c>
      <c r="AD8" s="693">
        <v>673</v>
      </c>
      <c r="AE8" s="693">
        <f>'yrP&amp;L'!AC64</f>
        <v>555.88</v>
      </c>
      <c r="AF8" s="1305">
        <f>'yrP&amp;L'!AD64-1</f>
        <v>859</v>
      </c>
      <c r="AG8" s="693">
        <f>'yrP&amp;L'!AE59</f>
        <v>797.89082749519889</v>
      </c>
      <c r="AH8" s="693">
        <f>'yrP&amp;L'!AF59</f>
        <v>674.9473842746894</v>
      </c>
      <c r="AI8" s="693">
        <f>'yrP&amp;L'!AG59</f>
        <v>601.51969697142169</v>
      </c>
      <c r="AJ8" s="693">
        <f>'yrP&amp;L'!AH59</f>
        <v>524.39430320338647</v>
      </c>
      <c r="AK8" s="693">
        <f>'yrP&amp;L'!AI59</f>
        <v>482.51280184276607</v>
      </c>
      <c r="AL8" s="694"/>
    </row>
    <row r="9" spans="1:38" x14ac:dyDescent="0.2">
      <c r="D9" s="305"/>
      <c r="E9" s="695"/>
      <c r="F9" s="695"/>
      <c r="G9" s="695"/>
      <c r="H9" s="695"/>
      <c r="I9" s="695"/>
      <c r="J9" s="695"/>
      <c r="K9" s="695"/>
      <c r="L9" s="695"/>
      <c r="M9" s="695"/>
      <c r="N9" s="695"/>
      <c r="O9" s="695"/>
      <c r="P9" s="695"/>
      <c r="Q9" s="695"/>
      <c r="R9" s="695"/>
      <c r="S9" s="695"/>
      <c r="T9" s="695"/>
      <c r="U9" s="696"/>
      <c r="V9" s="696"/>
      <c r="W9" s="696"/>
      <c r="X9" s="696"/>
      <c r="Y9" s="696"/>
      <c r="Z9" s="696"/>
      <c r="AA9" s="696"/>
      <c r="AB9" s="696"/>
      <c r="AC9" s="651"/>
      <c r="AD9" s="651"/>
      <c r="AE9" s="1285"/>
      <c r="AF9" s="1306"/>
      <c r="AG9" s="651"/>
      <c r="AH9" s="651"/>
      <c r="AI9" s="651"/>
      <c r="AJ9" s="651"/>
      <c r="AK9" s="651"/>
      <c r="AL9" s="651"/>
    </row>
    <row r="10" spans="1:38" x14ac:dyDescent="0.2">
      <c r="B10" s="303" t="s">
        <v>238</v>
      </c>
      <c r="D10" s="697"/>
      <c r="E10" s="697">
        <v>17.777000000000001</v>
      </c>
      <c r="F10" s="697">
        <v>19.145</v>
      </c>
      <c r="G10" s="697">
        <v>20.895</v>
      </c>
      <c r="H10" s="697">
        <v>23.978999999999999</v>
      </c>
      <c r="I10" s="697">
        <v>27.472000000000001</v>
      </c>
      <c r="J10" s="697">
        <v>34.008000000000003</v>
      </c>
      <c r="K10" s="697">
        <v>44.216000000000001</v>
      </c>
      <c r="L10" s="697">
        <v>57.723999999999997</v>
      </c>
      <c r="M10" s="697">
        <v>70.248999999999995</v>
      </c>
      <c r="N10" s="697">
        <v>88.775999999999996</v>
      </c>
      <c r="O10" s="697">
        <v>127.491</v>
      </c>
      <c r="P10" s="697">
        <v>157.93899999999999</v>
      </c>
      <c r="Q10" s="697">
        <v>194.46799999999999</v>
      </c>
      <c r="R10" s="697">
        <v>246.59399999999999</v>
      </c>
      <c r="S10" s="697">
        <v>288.892</v>
      </c>
      <c r="T10" s="697">
        <v>339.608</v>
      </c>
      <c r="U10" s="697">
        <v>388.51499999999999</v>
      </c>
      <c r="V10" s="697">
        <v>453.17099999999999</v>
      </c>
      <c r="W10" s="697">
        <v>543</v>
      </c>
      <c r="X10" s="697">
        <v>591</v>
      </c>
      <c r="Y10" s="956">
        <v>750</v>
      </c>
      <c r="Z10" s="956">
        <v>778</v>
      </c>
      <c r="AA10" s="956">
        <v>833</v>
      </c>
      <c r="AB10" s="956">
        <v>889</v>
      </c>
      <c r="AC10" s="956">
        <f>'yrP&amp;L'!AA37</f>
        <v>886</v>
      </c>
      <c r="AD10" s="956">
        <v>934</v>
      </c>
      <c r="AE10" s="1286">
        <v>938</v>
      </c>
      <c r="AF10" s="1307">
        <f>'yrP&amp;L'!AD37</f>
        <v>991</v>
      </c>
      <c r="AG10" s="960">
        <f>'yrP&amp;L'!AE37</f>
        <v>960</v>
      </c>
      <c r="AH10" s="960">
        <f>'yrP&amp;L'!AF37</f>
        <v>965</v>
      </c>
      <c r="AI10" s="960">
        <f>'yrP&amp;L'!AG37</f>
        <v>970</v>
      </c>
      <c r="AJ10" s="960">
        <f>'yrP&amp;L'!AH37</f>
        <v>975</v>
      </c>
      <c r="AK10" s="960">
        <f>'yrP&amp;L'!AI37</f>
        <v>980</v>
      </c>
      <c r="AL10" s="698"/>
    </row>
    <row r="11" spans="1:38" x14ac:dyDescent="0.2">
      <c r="B11" s="303" t="s">
        <v>316</v>
      </c>
      <c r="D11" s="697"/>
      <c r="E11" s="697">
        <v>0</v>
      </c>
      <c r="F11" s="697">
        <v>0</v>
      </c>
      <c r="G11" s="697">
        <v>0</v>
      </c>
      <c r="H11" s="697">
        <v>0</v>
      </c>
      <c r="I11" s="697">
        <v>0</v>
      </c>
      <c r="J11" s="697">
        <v>0</v>
      </c>
      <c r="K11" s="697">
        <v>0</v>
      </c>
      <c r="L11" s="697">
        <v>0</v>
      </c>
      <c r="M11" s="697">
        <v>0</v>
      </c>
      <c r="N11" s="697">
        <v>0</v>
      </c>
      <c r="O11" s="697">
        <v>5.782</v>
      </c>
      <c r="P11" s="697">
        <v>9.11</v>
      </c>
      <c r="Q11" s="697">
        <v>9.3810000000000002</v>
      </c>
      <c r="R11" s="697">
        <v>3.5760000000000001</v>
      </c>
      <c r="S11" s="697">
        <v>0.216</v>
      </c>
      <c r="T11" s="697">
        <v>0.218</v>
      </c>
      <c r="U11" s="697">
        <v>0</v>
      </c>
      <c r="V11" s="697">
        <v>0</v>
      </c>
      <c r="W11" s="697">
        <v>0</v>
      </c>
      <c r="X11" s="697">
        <v>0</v>
      </c>
      <c r="Y11" s="956">
        <v>0</v>
      </c>
      <c r="Z11" s="956">
        <v>0</v>
      </c>
      <c r="AA11" s="956">
        <v>0</v>
      </c>
      <c r="AB11" s="956">
        <v>0</v>
      </c>
      <c r="AC11" s="956">
        <v>0</v>
      </c>
      <c r="AD11" s="956">
        <v>0</v>
      </c>
      <c r="AE11" s="1286">
        <v>0</v>
      </c>
      <c r="AF11" s="1307">
        <v>0</v>
      </c>
      <c r="AG11" s="962">
        <v>0</v>
      </c>
      <c r="AH11" s="962">
        <v>0</v>
      </c>
      <c r="AI11" s="962">
        <v>0</v>
      </c>
      <c r="AJ11" s="962">
        <v>0</v>
      </c>
      <c r="AK11" s="962">
        <v>0</v>
      </c>
      <c r="AL11" s="700"/>
    </row>
    <row r="12" spans="1:38" x14ac:dyDescent="0.2">
      <c r="B12" s="303" t="s">
        <v>317</v>
      </c>
      <c r="D12" s="697"/>
      <c r="E12" s="697">
        <v>0</v>
      </c>
      <c r="F12" s="697">
        <v>0</v>
      </c>
      <c r="G12" s="697">
        <v>17.734999999999999</v>
      </c>
      <c r="H12" s="697">
        <v>0</v>
      </c>
      <c r="I12" s="697">
        <v>0</v>
      </c>
      <c r="J12" s="697">
        <v>0</v>
      </c>
      <c r="K12" s="697">
        <v>0</v>
      </c>
      <c r="L12" s="697">
        <v>0</v>
      </c>
      <c r="M12" s="697">
        <v>0</v>
      </c>
      <c r="N12" s="697">
        <v>0</v>
      </c>
      <c r="O12" s="697">
        <v>0</v>
      </c>
      <c r="P12" s="697">
        <v>0</v>
      </c>
      <c r="Q12" s="697">
        <v>0</v>
      </c>
      <c r="R12" s="697">
        <v>0</v>
      </c>
      <c r="S12" s="697">
        <v>43.375</v>
      </c>
      <c r="T12" s="697">
        <v>43.941000000000003</v>
      </c>
      <c r="U12" s="697">
        <v>44.698999999999998</v>
      </c>
      <c r="V12" s="697">
        <v>53.606999999999999</v>
      </c>
      <c r="W12" s="697">
        <v>55</v>
      </c>
      <c r="X12" s="697">
        <v>67</v>
      </c>
      <c r="Y12" s="956">
        <v>66</v>
      </c>
      <c r="Z12" s="956">
        <v>57</v>
      </c>
      <c r="AA12" s="956">
        <v>50</v>
      </c>
      <c r="AB12" s="956">
        <v>55</v>
      </c>
      <c r="AC12" s="956">
        <v>48</v>
      </c>
      <c r="AD12" s="956">
        <v>48</v>
      </c>
      <c r="AE12" s="1286">
        <v>41</v>
      </c>
      <c r="AF12" s="1308">
        <v>55</v>
      </c>
      <c r="AG12" s="961">
        <f>AF12/'yrP&amp;L'!AD7*'yrP&amp;L'!AE7</f>
        <v>54.10720900759361</v>
      </c>
      <c r="AH12" s="961">
        <f>AG12/'yrP&amp;L'!AE7*'yrP&amp;L'!AF7</f>
        <v>53.318468030549667</v>
      </c>
      <c r="AI12" s="961">
        <f>AH12/'yrP&amp;L'!AF7*'yrP&amp;L'!AG7</f>
        <v>52.518691010091423</v>
      </c>
      <c r="AJ12" s="961">
        <f>AI12/'yrP&amp;L'!AG7*'yrP&amp;L'!AH7</f>
        <v>51.730910644940053</v>
      </c>
      <c r="AK12" s="1169">
        <f>AJ12/'yrP&amp;L'!AH7*'yrP&amp;L'!AI7</f>
        <v>50.954946985265948</v>
      </c>
      <c r="AL12" s="700"/>
    </row>
    <row r="13" spans="1:38" x14ac:dyDescent="0.2">
      <c r="B13" s="303" t="s">
        <v>318</v>
      </c>
      <c r="D13" s="697"/>
      <c r="E13" s="697">
        <v>2.512</v>
      </c>
      <c r="F13" s="697">
        <v>2.33</v>
      </c>
      <c r="G13" s="697">
        <v>0</v>
      </c>
      <c r="H13" s="697">
        <v>0</v>
      </c>
      <c r="I13" s="697">
        <v>0</v>
      </c>
      <c r="J13" s="697">
        <v>0</v>
      </c>
      <c r="K13" s="697">
        <v>0</v>
      </c>
      <c r="L13" s="697">
        <v>0</v>
      </c>
      <c r="M13" s="697">
        <v>0</v>
      </c>
      <c r="N13" s="697">
        <v>0</v>
      </c>
      <c r="O13" s="697">
        <v>0</v>
      </c>
      <c r="P13" s="697">
        <v>0</v>
      </c>
      <c r="Q13" s="697">
        <v>0</v>
      </c>
      <c r="R13" s="697">
        <v>0</v>
      </c>
      <c r="S13" s="697">
        <v>0</v>
      </c>
      <c r="T13" s="697">
        <v>0</v>
      </c>
      <c r="U13" s="697">
        <v>0</v>
      </c>
      <c r="V13" s="697">
        <v>0</v>
      </c>
      <c r="W13" s="697">
        <v>0</v>
      </c>
      <c r="X13" s="697">
        <v>0</v>
      </c>
      <c r="Y13" s="956">
        <v>0</v>
      </c>
      <c r="Z13" s="956">
        <v>0</v>
      </c>
      <c r="AA13" s="956">
        <v>0</v>
      </c>
      <c r="AB13" s="956">
        <v>0</v>
      </c>
      <c r="AC13" s="956">
        <v>0</v>
      </c>
      <c r="AD13" s="956">
        <v>0</v>
      </c>
      <c r="AE13" s="1286">
        <v>0</v>
      </c>
      <c r="AF13" s="1308">
        <v>0</v>
      </c>
      <c r="AG13" s="961">
        <v>0</v>
      </c>
      <c r="AH13" s="961">
        <v>0</v>
      </c>
      <c r="AI13" s="961">
        <v>0</v>
      </c>
      <c r="AJ13" s="961">
        <v>0</v>
      </c>
      <c r="AK13" s="961">
        <v>0</v>
      </c>
      <c r="AL13" s="700"/>
    </row>
    <row r="14" spans="1:38" x14ac:dyDescent="0.2">
      <c r="B14" s="303" t="s">
        <v>319</v>
      </c>
      <c r="D14" s="530"/>
      <c r="E14" s="697">
        <v>0</v>
      </c>
      <c r="F14" s="697">
        <v>-2.1640000000000001</v>
      </c>
      <c r="G14" s="697">
        <v>0</v>
      </c>
      <c r="H14" s="697">
        <v>0</v>
      </c>
      <c r="I14" s="697">
        <v>0</v>
      </c>
      <c r="J14" s="697">
        <v>0</v>
      </c>
      <c r="K14" s="697">
        <v>0</v>
      </c>
      <c r="L14" s="697">
        <v>0</v>
      </c>
      <c r="M14" s="697">
        <v>0</v>
      </c>
      <c r="N14" s="697">
        <v>0</v>
      </c>
      <c r="O14" s="697">
        <v>0</v>
      </c>
      <c r="P14" s="697">
        <v>0</v>
      </c>
      <c r="Q14" s="697">
        <v>0</v>
      </c>
      <c r="R14" s="697">
        <v>0</v>
      </c>
      <c r="S14" s="697">
        <v>0</v>
      </c>
      <c r="T14" s="697">
        <v>0</v>
      </c>
      <c r="U14" s="697">
        <v>0</v>
      </c>
      <c r="V14" s="697">
        <v>0</v>
      </c>
      <c r="W14" s="697">
        <v>0</v>
      </c>
      <c r="X14" s="697">
        <v>0</v>
      </c>
      <c r="Y14" s="956">
        <v>0</v>
      </c>
      <c r="Z14" s="956">
        <v>0</v>
      </c>
      <c r="AA14" s="956">
        <v>0</v>
      </c>
      <c r="AB14" s="956">
        <v>0</v>
      </c>
      <c r="AC14" s="956">
        <v>0</v>
      </c>
      <c r="AD14" s="956">
        <v>0</v>
      </c>
      <c r="AE14" s="1286">
        <v>0</v>
      </c>
      <c r="AF14" s="1308">
        <v>0</v>
      </c>
      <c r="AG14" s="961">
        <v>0</v>
      </c>
      <c r="AH14" s="961">
        <v>0</v>
      </c>
      <c r="AI14" s="961">
        <v>0</v>
      </c>
      <c r="AJ14" s="961">
        <v>0</v>
      </c>
      <c r="AK14" s="961">
        <v>0</v>
      </c>
      <c r="AL14" s="700"/>
    </row>
    <row r="15" spans="1:38" x14ac:dyDescent="0.2">
      <c r="B15" s="303" t="s">
        <v>308</v>
      </c>
      <c r="D15" s="697"/>
      <c r="E15" s="697">
        <v>3.411</v>
      </c>
      <c r="F15" s="697">
        <v>0.63100000000000001</v>
      </c>
      <c r="G15" s="697">
        <v>-3.806</v>
      </c>
      <c r="H15" s="697">
        <v>4.4790000000000001</v>
      </c>
      <c r="I15" s="697">
        <v>8.24</v>
      </c>
      <c r="J15" s="697">
        <v>10.65</v>
      </c>
      <c r="K15" s="697">
        <v>4.87</v>
      </c>
      <c r="L15" s="697">
        <v>-2.786</v>
      </c>
      <c r="M15" s="697">
        <v>0.88600000000000001</v>
      </c>
      <c r="N15" s="697">
        <v>4.923</v>
      </c>
      <c r="O15" s="697">
        <v>0.42699999999999999</v>
      </c>
      <c r="P15" s="697">
        <v>17.210999999999999</v>
      </c>
      <c r="Q15" s="697">
        <v>48.411999999999999</v>
      </c>
      <c r="R15" s="697">
        <v>65.259</v>
      </c>
      <c r="S15" s="697">
        <v>78.284000000000006</v>
      </c>
      <c r="T15" s="697">
        <v>18.792999999999999</v>
      </c>
      <c r="U15" s="697">
        <v>9.2159999999999993</v>
      </c>
      <c r="V15" s="697">
        <v>-11.958</v>
      </c>
      <c r="W15" s="697">
        <v>84</v>
      </c>
      <c r="X15" s="697">
        <v>52</v>
      </c>
      <c r="Y15" s="956">
        <v>39</v>
      </c>
      <c r="Z15" s="956">
        <v>144</v>
      </c>
      <c r="AA15" s="956">
        <v>-79</v>
      </c>
      <c r="AB15" s="956">
        <v>-7</v>
      </c>
      <c r="AC15" s="956">
        <v>46</v>
      </c>
      <c r="AD15" s="956">
        <v>-38</v>
      </c>
      <c r="AE15" s="1286">
        <v>13</v>
      </c>
      <c r="AF15" s="1308">
        <v>-61</v>
      </c>
      <c r="AG15" s="701">
        <f>+bal!AF35-bal!AE35</f>
        <v>-3.4532830935009429</v>
      </c>
      <c r="AH15" s="701">
        <f>+bal!AG35-bal!AF35</f>
        <v>-3.0508214177158948</v>
      </c>
      <c r="AI15" s="701">
        <f>+bal!AH35-bal!AG35</f>
        <v>-3.0935084323317596</v>
      </c>
      <c r="AJ15" s="701">
        <f>+bal!AI35-bal!AH35</f>
        <v>-3.047105805846769</v>
      </c>
      <c r="AK15" s="701">
        <f>+bal!AJ35-bal!AI35</f>
        <v>-3.0013992187590759</v>
      </c>
      <c r="AL15" s="700"/>
    </row>
    <row r="16" spans="1:38" x14ac:dyDescent="0.2">
      <c r="B16" s="303" t="s">
        <v>239</v>
      </c>
      <c r="D16" s="530"/>
      <c r="E16" s="697">
        <v>0.183</v>
      </c>
      <c r="F16" s="697">
        <v>0.96799999999999997</v>
      </c>
      <c r="G16" s="697">
        <v>5.5549999999999997</v>
      </c>
      <c r="H16" s="697">
        <v>5.2460000000000004</v>
      </c>
      <c r="I16" s="697">
        <v>3.23</v>
      </c>
      <c r="J16" s="697">
        <v>1.2150000000000001</v>
      </c>
      <c r="K16" s="697">
        <v>1.843</v>
      </c>
      <c r="L16" s="697">
        <v>2.7839999999999998</v>
      </c>
      <c r="M16" s="697">
        <v>12.198</v>
      </c>
      <c r="N16" s="697">
        <v>3.597</v>
      </c>
      <c r="O16" s="697">
        <v>29.8</v>
      </c>
      <c r="P16" s="697">
        <v>0</v>
      </c>
      <c r="Q16" s="697">
        <v>0</v>
      </c>
      <c r="R16" s="697">
        <v>0</v>
      </c>
      <c r="S16" s="697">
        <v>-10.563000000000001</v>
      </c>
      <c r="T16" s="697">
        <v>-14.458</v>
      </c>
      <c r="U16" s="697">
        <v>-2.7669999999999995</v>
      </c>
      <c r="V16" s="697">
        <v>27.549000000000003</v>
      </c>
      <c r="W16" s="697">
        <v>47</v>
      </c>
      <c r="X16" s="697">
        <v>51</v>
      </c>
      <c r="Y16" s="956">
        <v>38</v>
      </c>
      <c r="Z16" s="956">
        <f>39-2</f>
        <v>37</v>
      </c>
      <c r="AA16" s="956">
        <f>29-4</f>
        <v>25</v>
      </c>
      <c r="AB16" s="956">
        <f>43-3</f>
        <v>40</v>
      </c>
      <c r="AC16" s="956">
        <f>31-3</f>
        <v>28</v>
      </c>
      <c r="AD16" s="956">
        <f>-10+24+169</f>
        <v>183</v>
      </c>
      <c r="AE16" s="1286">
        <f>-5+30+57</f>
        <v>82</v>
      </c>
      <c r="AF16" s="1308">
        <v>2</v>
      </c>
      <c r="AG16" s="701">
        <f>bal!AE22-bal!AF22</f>
        <v>3.8308849855983453</v>
      </c>
      <c r="AH16" s="701">
        <f>bal!AF22-bal!AG22</f>
        <v>3.3844158287703863</v>
      </c>
      <c r="AI16" s="701">
        <f>bal!AG22-bal!AH22</f>
        <v>3.4317704877844619</v>
      </c>
      <c r="AJ16" s="701">
        <f>bal!AH22-bal!AI22</f>
        <v>3.3802939304677011</v>
      </c>
      <c r="AK16" s="701">
        <f>bal!AI22-bal!AJ22</f>
        <v>3.3295895215106839</v>
      </c>
      <c r="AL16" s="700"/>
    </row>
    <row r="17" spans="1:38" x14ac:dyDescent="0.2">
      <c r="A17" s="313"/>
      <c r="B17" s="313" t="s">
        <v>240</v>
      </c>
      <c r="C17" s="313"/>
      <c r="D17" s="530"/>
      <c r="E17" s="702" t="s">
        <v>331</v>
      </c>
      <c r="F17" s="702" t="s">
        <v>331</v>
      </c>
      <c r="G17" s="702">
        <v>0</v>
      </c>
      <c r="H17" s="702">
        <v>4.1180000000000003</v>
      </c>
      <c r="I17" s="702">
        <v>0.94499999999999995</v>
      </c>
      <c r="J17" s="702">
        <v>1.577</v>
      </c>
      <c r="K17" s="702">
        <v>0.752</v>
      </c>
      <c r="L17" s="702">
        <v>0.29499999999999998</v>
      </c>
      <c r="M17" s="702">
        <v>1.292</v>
      </c>
      <c r="N17" s="702">
        <v>4.3499999999999996</v>
      </c>
      <c r="O17" s="702">
        <v>0</v>
      </c>
      <c r="P17" s="702">
        <v>0</v>
      </c>
      <c r="Q17" s="702">
        <v>0</v>
      </c>
      <c r="R17" s="702">
        <v>0</v>
      </c>
      <c r="S17" s="702">
        <v>0</v>
      </c>
      <c r="T17" s="702">
        <v>0</v>
      </c>
      <c r="U17" s="702">
        <v>0</v>
      </c>
      <c r="V17" s="702">
        <v>30.196999999999999</v>
      </c>
      <c r="W17" s="702">
        <v>1</v>
      </c>
      <c r="X17" s="702">
        <v>0</v>
      </c>
      <c r="Y17" s="956">
        <v>42</v>
      </c>
      <c r="Z17" s="956">
        <v>145</v>
      </c>
      <c r="AA17" s="956">
        <v>109</v>
      </c>
      <c r="AB17" s="956">
        <v>1</v>
      </c>
      <c r="AC17" s="956">
        <v>82</v>
      </c>
      <c r="AD17" s="956">
        <v>0</v>
      </c>
      <c r="AE17" s="1286">
        <v>0</v>
      </c>
      <c r="AF17" s="1309">
        <v>0</v>
      </c>
      <c r="AG17" s="961">
        <v>0</v>
      </c>
      <c r="AH17" s="961">
        <v>0</v>
      </c>
      <c r="AI17" s="961">
        <v>0</v>
      </c>
      <c r="AJ17" s="961">
        <v>0</v>
      </c>
      <c r="AK17" s="961">
        <v>0</v>
      </c>
      <c r="AL17" s="700"/>
    </row>
    <row r="18" spans="1:38" x14ac:dyDescent="0.2">
      <c r="A18" s="303" t="s">
        <v>162</v>
      </c>
      <c r="D18" s="305"/>
      <c r="E18" s="703">
        <f t="shared" ref="E18:Z18" si="2">SUM(E8:E17)</f>
        <v>35.369000000000014</v>
      </c>
      <c r="F18" s="703">
        <f t="shared" si="2"/>
        <v>39.674999999999969</v>
      </c>
      <c r="G18" s="703">
        <f t="shared" si="2"/>
        <v>69.070999999999941</v>
      </c>
      <c r="H18" s="703">
        <f t="shared" si="2"/>
        <v>93.337999999999909</v>
      </c>
      <c r="I18" s="703">
        <f t="shared" si="2"/>
        <v>108.33899999999983</v>
      </c>
      <c r="J18" s="703">
        <f t="shared" si="2"/>
        <v>128.40200000000027</v>
      </c>
      <c r="K18" s="703">
        <f t="shared" si="2"/>
        <v>154.43699999999978</v>
      </c>
      <c r="L18" s="703">
        <f t="shared" si="2"/>
        <v>199.27333399999992</v>
      </c>
      <c r="M18" s="703">
        <f t="shared" si="2"/>
        <v>262.70958599999949</v>
      </c>
      <c r="N18" s="703">
        <f t="shared" si="2"/>
        <v>360.45599999999928</v>
      </c>
      <c r="O18" s="703">
        <f t="shared" si="2"/>
        <v>526.852000000001</v>
      </c>
      <c r="P18" s="703">
        <f t="shared" si="2"/>
        <v>670.92899999999963</v>
      </c>
      <c r="Q18" s="703">
        <f t="shared" si="2"/>
        <v>887.69600000000185</v>
      </c>
      <c r="R18" s="703">
        <f t="shared" si="2"/>
        <v>896.15100000000029</v>
      </c>
      <c r="S18" s="703">
        <f t="shared" si="2"/>
        <v>1103.7168880000013</v>
      </c>
      <c r="T18" s="703">
        <f t="shared" si="2"/>
        <v>1230.0017796039881</v>
      </c>
      <c r="U18" s="704">
        <f t="shared" si="2"/>
        <v>1548.260775540007</v>
      </c>
      <c r="V18" s="704">
        <f t="shared" si="2"/>
        <v>1636.3869999999997</v>
      </c>
      <c r="W18" s="704">
        <f t="shared" si="2"/>
        <v>1615.1269999999997</v>
      </c>
      <c r="X18" s="704">
        <f t="shared" si="2"/>
        <v>1734</v>
      </c>
      <c r="Y18" s="957">
        <f t="shared" si="2"/>
        <v>2055</v>
      </c>
      <c r="Z18" s="957">
        <f t="shared" si="2"/>
        <v>2328</v>
      </c>
      <c r="AA18" s="957">
        <f t="shared" ref="AA18:AF18" si="3">SUM(AA8:AA17)</f>
        <v>1923.5</v>
      </c>
      <c r="AB18" s="957">
        <f t="shared" si="3"/>
        <v>1867</v>
      </c>
      <c r="AC18" s="957">
        <f t="shared" si="3"/>
        <v>1957</v>
      </c>
      <c r="AD18" s="957">
        <f t="shared" si="3"/>
        <v>1800</v>
      </c>
      <c r="AE18" s="957">
        <f t="shared" si="3"/>
        <v>1629.88</v>
      </c>
      <c r="AF18" s="1310">
        <f t="shared" si="3"/>
        <v>1846</v>
      </c>
      <c r="AG18" s="957">
        <f>SUM(AG8:AG17)</f>
        <v>1812.3756383948898</v>
      </c>
      <c r="AH18" s="957">
        <f>SUM(AH8:AH17)</f>
        <v>1693.5994467162934</v>
      </c>
      <c r="AI18" s="957">
        <f>SUM(AI8:AI17)</f>
        <v>1624.3766500369657</v>
      </c>
      <c r="AJ18" s="957">
        <f>SUM(AJ8:AJ17)</f>
        <v>1551.4584019729473</v>
      </c>
      <c r="AK18" s="957">
        <f>SUM(AK8:AK17)</f>
        <v>1513.7959391307836</v>
      </c>
      <c r="AL18" s="704"/>
    </row>
    <row r="19" spans="1:38" ht="4.5" customHeight="1" x14ac:dyDescent="0.2">
      <c r="D19" s="305"/>
      <c r="E19" s="352"/>
      <c r="F19" s="352"/>
      <c r="G19" s="352"/>
      <c r="H19" s="352"/>
      <c r="I19" s="352"/>
      <c r="J19" s="352"/>
      <c r="K19" s="352"/>
      <c r="L19" s="352"/>
      <c r="M19" s="352"/>
      <c r="N19" s="352"/>
      <c r="O19" s="352"/>
      <c r="P19" s="352"/>
      <c r="Q19" s="352"/>
      <c r="R19" s="352"/>
      <c r="S19" s="352"/>
      <c r="T19" s="352"/>
      <c r="U19" s="356"/>
      <c r="V19" s="356"/>
      <c r="W19" s="356"/>
      <c r="X19" s="356"/>
      <c r="Y19" s="356"/>
      <c r="Z19" s="356"/>
      <c r="AA19" s="356"/>
      <c r="AB19" s="356"/>
      <c r="AC19" s="356"/>
      <c r="AD19" s="356"/>
      <c r="AE19" s="704"/>
      <c r="AF19" s="1311"/>
      <c r="AG19" s="356"/>
      <c r="AH19" s="356"/>
      <c r="AI19" s="356"/>
      <c r="AJ19" s="356"/>
    </row>
    <row r="20" spans="1:38" x14ac:dyDescent="0.2">
      <c r="B20" s="303" t="s">
        <v>160</v>
      </c>
      <c r="D20" s="530"/>
      <c r="E20" s="705">
        <v>-7.5609999999999999</v>
      </c>
      <c r="F20" s="705">
        <v>-17.396000000000001</v>
      </c>
      <c r="G20" s="705">
        <v>-37.076000000000001</v>
      </c>
      <c r="H20" s="705">
        <v>-58.793999999999997</v>
      </c>
      <c r="I20" s="705">
        <v>-107.526</v>
      </c>
      <c r="J20" s="705">
        <v>-132.40899999999999</v>
      </c>
      <c r="K20" s="705">
        <v>-223.423</v>
      </c>
      <c r="L20" s="705">
        <v>-202.73500000000001</v>
      </c>
      <c r="M20" s="705">
        <v>-248.87799999999999</v>
      </c>
      <c r="N20" s="705">
        <v>-625.39200000000005</v>
      </c>
      <c r="O20" s="705">
        <v>-480.98099999999999</v>
      </c>
      <c r="P20" s="705">
        <v>-662.01099999999997</v>
      </c>
      <c r="Q20" s="705">
        <v>-715.96799999999996</v>
      </c>
      <c r="R20" s="705">
        <v>-831.59900000000005</v>
      </c>
      <c r="S20" s="705">
        <v>-889.59799999999996</v>
      </c>
      <c r="T20" s="705">
        <v>-828.09500000000003</v>
      </c>
      <c r="U20" s="705">
        <v>-1163.0920000000001</v>
      </c>
      <c r="V20" s="705">
        <v>-1541.683</v>
      </c>
      <c r="W20" s="705">
        <v>-1014</v>
      </c>
      <c r="X20" s="705">
        <v>-666</v>
      </c>
      <c r="Y20" s="956">
        <v>-801</v>
      </c>
      <c r="Z20" s="956">
        <v>-927</v>
      </c>
      <c r="AA20" s="956">
        <v>-785</v>
      </c>
      <c r="AB20" s="956">
        <v>-643</v>
      </c>
      <c r="AC20" s="956">
        <v>-682</v>
      </c>
      <c r="AD20" s="956">
        <f>-690</f>
        <v>-690</v>
      </c>
      <c r="AE20" s="1286">
        <v>-768</v>
      </c>
      <c r="AF20" s="1308">
        <v>-672</v>
      </c>
      <c r="AG20" s="961">
        <v>-700</v>
      </c>
      <c r="AH20" s="961">
        <v>-650</v>
      </c>
      <c r="AI20" s="961">
        <v>-650</v>
      </c>
      <c r="AJ20" s="961">
        <v>-650</v>
      </c>
      <c r="AK20" s="1169">
        <v>-650</v>
      </c>
      <c r="AL20" s="706"/>
    </row>
    <row r="21" spans="1:38" x14ac:dyDescent="0.2">
      <c r="B21" s="303" t="s">
        <v>241</v>
      </c>
      <c r="D21" s="530"/>
      <c r="E21" s="697">
        <v>-0.51800000000000002</v>
      </c>
      <c r="F21" s="697">
        <v>-0.65600000000000003</v>
      </c>
      <c r="G21" s="697">
        <v>-4.117</v>
      </c>
      <c r="H21" s="697">
        <v>-0.29599999999999999</v>
      </c>
      <c r="I21" s="697">
        <v>-0.48499999999999999</v>
      </c>
      <c r="J21" s="697">
        <v>-0.52400000000000002</v>
      </c>
      <c r="K21" s="697">
        <v>-2.0630000000000002</v>
      </c>
      <c r="L21" s="697">
        <v>-6.5339999999999998</v>
      </c>
      <c r="M21" s="697">
        <v>-41.323</v>
      </c>
      <c r="N21" s="697">
        <v>-20.914999999999999</v>
      </c>
      <c r="O21" s="697">
        <v>-46.136000000000003</v>
      </c>
      <c r="P21" s="697">
        <v>-209.29</v>
      </c>
      <c r="Q21" s="697">
        <v>-279.08699999999999</v>
      </c>
      <c r="R21" s="697">
        <v>416.08199999999999</v>
      </c>
      <c r="S21" s="697">
        <v>-87.893000000000001</v>
      </c>
      <c r="T21" s="697">
        <v>-75.642999999999944</v>
      </c>
      <c r="U21" s="697">
        <v>-277.08900000000017</v>
      </c>
      <c r="V21" s="697">
        <v>-56.285000000000139</v>
      </c>
      <c r="W21" s="697">
        <v>-429</v>
      </c>
      <c r="X21" s="697">
        <v>26</v>
      </c>
      <c r="Y21" s="956">
        <v>2</v>
      </c>
      <c r="Z21" s="956">
        <v>-20</v>
      </c>
      <c r="AA21" s="956">
        <v>16</v>
      </c>
      <c r="AB21" s="956">
        <v>19</v>
      </c>
      <c r="AC21" s="956">
        <v>7</v>
      </c>
      <c r="AD21" s="956">
        <v>9</v>
      </c>
      <c r="AE21" s="1300">
        <v>12</v>
      </c>
      <c r="AF21" s="1308">
        <v>23</v>
      </c>
      <c r="AG21" s="961">
        <v>0</v>
      </c>
      <c r="AH21" s="961">
        <v>0</v>
      </c>
      <c r="AI21" s="961">
        <v>0</v>
      </c>
      <c r="AJ21" s="961">
        <v>0</v>
      </c>
      <c r="AK21" s="961">
        <v>0</v>
      </c>
      <c r="AL21" s="707"/>
    </row>
    <row r="22" spans="1:38" ht="4.5" customHeight="1" x14ac:dyDescent="0.2">
      <c r="D22" s="530"/>
      <c r="E22" s="708"/>
      <c r="F22" s="708"/>
      <c r="G22" s="708"/>
      <c r="H22" s="708"/>
      <c r="I22" s="708"/>
      <c r="J22" s="708"/>
      <c r="K22" s="708"/>
      <c r="L22" s="708"/>
      <c r="M22" s="708"/>
      <c r="N22" s="708"/>
      <c r="O22" s="708"/>
      <c r="P22" s="708"/>
      <c r="Q22" s="708"/>
      <c r="R22" s="708"/>
      <c r="S22" s="708"/>
      <c r="T22" s="708"/>
      <c r="U22" s="709"/>
      <c r="V22" s="709"/>
      <c r="W22" s="709"/>
      <c r="X22" s="709"/>
      <c r="Y22" s="709"/>
      <c r="Z22" s="709"/>
      <c r="AA22" s="709"/>
      <c r="AB22" s="699"/>
      <c r="AC22" s="699"/>
      <c r="AD22" s="699"/>
      <c r="AE22" s="717"/>
      <c r="AF22" s="1312"/>
      <c r="AG22" s="699"/>
      <c r="AH22" s="699"/>
      <c r="AI22" s="699"/>
      <c r="AJ22" s="699"/>
    </row>
    <row r="23" spans="1:38" x14ac:dyDescent="0.2">
      <c r="B23" s="303" t="s">
        <v>169</v>
      </c>
      <c r="D23" s="530"/>
      <c r="E23" s="708"/>
      <c r="F23" s="708"/>
      <c r="G23" s="708"/>
      <c r="H23" s="708"/>
      <c r="I23" s="708"/>
      <c r="J23" s="708"/>
      <c r="K23" s="708"/>
      <c r="L23" s="708"/>
      <c r="M23" s="708"/>
      <c r="N23" s="708"/>
      <c r="O23" s="708"/>
      <c r="P23" s="708"/>
      <c r="Q23" s="708"/>
      <c r="R23" s="708"/>
      <c r="S23" s="708"/>
      <c r="T23" s="708"/>
      <c r="U23" s="709"/>
      <c r="V23" s="709"/>
      <c r="W23" s="709"/>
      <c r="X23" s="709"/>
      <c r="Y23" s="709"/>
      <c r="Z23" s="709"/>
      <c r="AA23" s="709"/>
      <c r="AB23" s="699"/>
      <c r="AC23" s="699"/>
      <c r="AD23" s="699"/>
      <c r="AE23" s="717"/>
      <c r="AF23" s="1312"/>
      <c r="AG23" s="699"/>
      <c r="AH23" s="699"/>
      <c r="AI23" s="699"/>
      <c r="AJ23" s="699"/>
    </row>
    <row r="24" spans="1:38" x14ac:dyDescent="0.2">
      <c r="B24" s="303" t="s">
        <v>21</v>
      </c>
      <c r="D24" s="530"/>
      <c r="E24" s="710">
        <v>0</v>
      </c>
      <c r="F24" s="710">
        <v>0</v>
      </c>
      <c r="G24" s="710">
        <v>0</v>
      </c>
      <c r="H24" s="710">
        <v>0</v>
      </c>
      <c r="I24" s="710">
        <v>0</v>
      </c>
      <c r="J24" s="710">
        <v>0</v>
      </c>
      <c r="K24" s="710">
        <v>0</v>
      </c>
      <c r="L24" s="710">
        <v>0</v>
      </c>
      <c r="M24" s="710">
        <v>-30.646999999999998</v>
      </c>
      <c r="N24" s="710">
        <v>-232.39099999999999</v>
      </c>
      <c r="O24" s="710">
        <v>-176.24600000000001</v>
      </c>
      <c r="P24" s="710">
        <v>-154.69</v>
      </c>
      <c r="Q24" s="710">
        <v>-154.864</v>
      </c>
      <c r="R24" s="710">
        <v>-159.30000000000001</v>
      </c>
      <c r="S24" s="710">
        <v>-239.47499999999999</v>
      </c>
      <c r="T24" s="710">
        <v>-262.43299999999999</v>
      </c>
      <c r="U24" s="710">
        <v>1652.0650000000001</v>
      </c>
      <c r="V24" s="710">
        <v>0</v>
      </c>
      <c r="W24" s="710">
        <v>0</v>
      </c>
      <c r="X24" s="710">
        <v>0</v>
      </c>
      <c r="Y24" s="956">
        <v>0</v>
      </c>
      <c r="Z24" s="956">
        <v>0</v>
      </c>
      <c r="AA24" s="956">
        <v>0</v>
      </c>
      <c r="AB24" s="956">
        <v>0</v>
      </c>
      <c r="AC24" s="956">
        <v>0</v>
      </c>
      <c r="AD24" s="956">
        <v>0</v>
      </c>
      <c r="AE24" s="1286">
        <v>0</v>
      </c>
      <c r="AF24" s="1169">
        <v>0</v>
      </c>
      <c r="AG24" s="961">
        <v>0</v>
      </c>
      <c r="AH24" s="961">
        <v>0</v>
      </c>
      <c r="AI24" s="961">
        <v>0</v>
      </c>
      <c r="AJ24" s="961">
        <v>0</v>
      </c>
      <c r="AK24" s="961">
        <v>0</v>
      </c>
      <c r="AL24" s="711"/>
    </row>
    <row r="25" spans="1:38" x14ac:dyDescent="0.2">
      <c r="B25" s="303" t="s">
        <v>13</v>
      </c>
      <c r="D25" s="530"/>
      <c r="E25" s="697">
        <v>0</v>
      </c>
      <c r="F25" s="697">
        <v>0</v>
      </c>
      <c r="G25" s="697">
        <v>0</v>
      </c>
      <c r="H25" s="697">
        <v>0</v>
      </c>
      <c r="I25" s="697">
        <v>0</v>
      </c>
      <c r="J25" s="697">
        <v>0</v>
      </c>
      <c r="K25" s="697">
        <v>0</v>
      </c>
      <c r="L25" s="697">
        <v>0</v>
      </c>
      <c r="M25" s="697">
        <v>-101.572</v>
      </c>
      <c r="N25" s="697">
        <v>-177.077</v>
      </c>
      <c r="O25" s="697">
        <v>-208.851</v>
      </c>
      <c r="P25" s="697">
        <v>-195.017</v>
      </c>
      <c r="Q25" s="697">
        <v>-428.68900000000002</v>
      </c>
      <c r="R25" s="697">
        <v>20</v>
      </c>
      <c r="S25" s="697">
        <v>-339.98700000000002</v>
      </c>
      <c r="T25" s="697">
        <v>-290.59100000000001</v>
      </c>
      <c r="U25" s="697">
        <v>-349.66300000000001</v>
      </c>
      <c r="V25" s="697">
        <v>-275.02499999999998</v>
      </c>
      <c r="W25" s="697">
        <v>60</v>
      </c>
      <c r="X25" s="697">
        <v>-119</v>
      </c>
      <c r="Y25" s="956">
        <v>-107</v>
      </c>
      <c r="Z25" s="956">
        <v>-160</v>
      </c>
      <c r="AA25" s="956">
        <v>-523</v>
      </c>
      <c r="AB25" s="956">
        <v>-116</v>
      </c>
      <c r="AC25" s="956">
        <v>68</v>
      </c>
      <c r="AD25" s="956">
        <v>-215</v>
      </c>
      <c r="AE25" s="1286">
        <v>249</v>
      </c>
      <c r="AF25" s="1307">
        <v>264</v>
      </c>
      <c r="AG25" s="355">
        <f>-bal!AF13+bal!AE13</f>
        <v>-262.97634078385954</v>
      </c>
      <c r="AH25" s="355">
        <f>-bal!AG13+bal!AF13</f>
        <v>39.587527953511653</v>
      </c>
      <c r="AI25" s="355">
        <f>-bal!AH13+bal!AG13</f>
        <v>47.791472970964605</v>
      </c>
      <c r="AJ25" s="355">
        <f>-bal!AI13+bal!AH13</f>
        <v>46.063738753633061</v>
      </c>
      <c r="AK25" s="355">
        <f>-bal!AJ13+bal!AI13</f>
        <v>52.262792833029835</v>
      </c>
      <c r="AL25" s="711"/>
    </row>
    <row r="26" spans="1:38" x14ac:dyDescent="0.2">
      <c r="B26" s="303" t="s">
        <v>320</v>
      </c>
      <c r="D26" s="530"/>
      <c r="E26" s="697">
        <v>0</v>
      </c>
      <c r="F26" s="697">
        <v>0</v>
      </c>
      <c r="G26" s="697">
        <v>0</v>
      </c>
      <c r="H26" s="697">
        <v>0</v>
      </c>
      <c r="I26" s="697">
        <v>0</v>
      </c>
      <c r="J26" s="697">
        <v>0</v>
      </c>
      <c r="K26" s="697">
        <v>0</v>
      </c>
      <c r="L26" s="697">
        <v>0</v>
      </c>
      <c r="M26" s="697">
        <v>-1.9370000000000001</v>
      </c>
      <c r="N26" s="697">
        <v>-2.5270000000000001</v>
      </c>
      <c r="O26" s="697">
        <v>-4.4320000000000004</v>
      </c>
      <c r="P26" s="697">
        <v>-15.801</v>
      </c>
      <c r="Q26" s="697">
        <v>-2.7810000000000001</v>
      </c>
      <c r="R26" s="697">
        <v>-38.18</v>
      </c>
      <c r="S26" s="697">
        <v>19.188000000000002</v>
      </c>
      <c r="T26" s="697">
        <v>-19.594000000000001</v>
      </c>
      <c r="U26" s="697">
        <v>-65.347999999999999</v>
      </c>
      <c r="V26" s="697">
        <v>-44.329000000000001</v>
      </c>
      <c r="W26" s="697">
        <v>-23</v>
      </c>
      <c r="X26" s="697">
        <v>-13</v>
      </c>
      <c r="Y26" s="956">
        <v>-50</v>
      </c>
      <c r="Z26" s="956">
        <v>-42</v>
      </c>
      <c r="AA26" s="956">
        <v>-37</v>
      </c>
      <c r="AB26" s="956">
        <v>-11</v>
      </c>
      <c r="AC26" s="956">
        <v>-33</v>
      </c>
      <c r="AD26" s="956">
        <v>43</v>
      </c>
      <c r="AE26" s="1286">
        <v>-45</v>
      </c>
      <c r="AF26" s="1307">
        <v>-83</v>
      </c>
      <c r="AG26" s="355">
        <f>-bal!AF14+bal!AE14</f>
        <v>17.80786304268139</v>
      </c>
      <c r="AH26" s="355">
        <f>-bal!AG14+bal!AF14</f>
        <v>16.752124631147012</v>
      </c>
      <c r="AI26" s="355">
        <f>-bal!AH14+bal!AG14</f>
        <v>16.696600184892532</v>
      </c>
      <c r="AJ26" s="355">
        <f>-bal!AI14+bal!AH14</f>
        <v>16.446151182119195</v>
      </c>
      <c r="AK26" s="355">
        <f>-bal!AJ14+bal!AI14</f>
        <v>16.199458914387378</v>
      </c>
      <c r="AL26" s="711"/>
    </row>
    <row r="27" spans="1:38" x14ac:dyDescent="0.2">
      <c r="B27" s="303" t="s">
        <v>170</v>
      </c>
      <c r="D27" s="530"/>
      <c r="E27" s="708"/>
      <c r="F27" s="708"/>
      <c r="G27" s="708"/>
      <c r="H27" s="708"/>
      <c r="I27" s="708"/>
      <c r="J27" s="708"/>
      <c r="K27" s="708"/>
      <c r="L27" s="708"/>
      <c r="M27" s="708"/>
      <c r="N27" s="708"/>
      <c r="O27" s="708"/>
      <c r="P27" s="708"/>
      <c r="Q27" s="708"/>
      <c r="R27" s="708"/>
      <c r="S27" s="708"/>
      <c r="T27" s="708"/>
      <c r="U27" s="708"/>
      <c r="V27" s="708"/>
      <c r="W27" s="708"/>
      <c r="X27" s="708"/>
      <c r="Y27" s="708"/>
      <c r="Z27" s="708"/>
      <c r="AA27" s="708"/>
      <c r="AB27" s="708"/>
      <c r="AC27" s="708"/>
      <c r="AD27" s="708"/>
      <c r="AE27" s="703"/>
      <c r="AF27" s="1313"/>
      <c r="AG27" s="352"/>
      <c r="AH27" s="352"/>
      <c r="AI27" s="352"/>
      <c r="AJ27" s="352"/>
      <c r="AK27" s="352"/>
    </row>
    <row r="28" spans="1:38" x14ac:dyDescent="0.2">
      <c r="B28" s="303" t="s">
        <v>15</v>
      </c>
      <c r="D28" s="530"/>
      <c r="E28" s="710">
        <v>0</v>
      </c>
      <c r="F28" s="710">
        <v>0</v>
      </c>
      <c r="G28" s="710">
        <v>0</v>
      </c>
      <c r="H28" s="710">
        <v>0</v>
      </c>
      <c r="I28" s="710">
        <v>0</v>
      </c>
      <c r="J28" s="710">
        <v>0</v>
      </c>
      <c r="K28" s="710">
        <v>0</v>
      </c>
      <c r="L28" s="710">
        <v>0</v>
      </c>
      <c r="M28" s="710">
        <v>60.792999999999999</v>
      </c>
      <c r="N28" s="710">
        <v>118.447</v>
      </c>
      <c r="O28" s="710">
        <v>63.506999999999998</v>
      </c>
      <c r="P28" s="710">
        <v>78.930999999999997</v>
      </c>
      <c r="Q28" s="710">
        <v>171.86099999999999</v>
      </c>
      <c r="R28" s="710">
        <v>-118.13200000000001</v>
      </c>
      <c r="S28" s="710">
        <v>172.05600000000001</v>
      </c>
      <c r="T28" s="710">
        <v>125.316</v>
      </c>
      <c r="U28" s="710">
        <v>104.405</v>
      </c>
      <c r="V28" s="710">
        <v>-98.930999999999997</v>
      </c>
      <c r="W28" s="710">
        <v>48</v>
      </c>
      <c r="X28" s="710">
        <v>306</v>
      </c>
      <c r="Y28" s="956">
        <v>-50</v>
      </c>
      <c r="Z28" s="956">
        <v>96</v>
      </c>
      <c r="AA28" s="956">
        <v>74</v>
      </c>
      <c r="AB28" s="956">
        <v>58</v>
      </c>
      <c r="AC28" s="956">
        <f>bal!AB26-bal!AA26</f>
        <v>146</v>
      </c>
      <c r="AD28" s="956">
        <v>-260</v>
      </c>
      <c r="AE28" s="1286">
        <v>256</v>
      </c>
      <c r="AF28" s="1314">
        <v>-236</v>
      </c>
      <c r="AG28" s="353">
        <f>bal!AF26-bal!AE26</f>
        <v>239.9616193837353</v>
      </c>
      <c r="AH28" s="353">
        <f>bal!AG26-bal!AF26</f>
        <v>-15.720264723568562</v>
      </c>
      <c r="AI28" s="353">
        <f>bal!AH26-bal!AG26</f>
        <v>-18.978063179774153</v>
      </c>
      <c r="AJ28" s="353">
        <f>bal!AI26-bal!AH26</f>
        <v>-18.291977418109354</v>
      </c>
      <c r="AK28" s="353">
        <f>bal!AJ26-bal!AI26</f>
        <v>-20.753630777174294</v>
      </c>
      <c r="AL28" s="353"/>
    </row>
    <row r="29" spans="1:38" x14ac:dyDescent="0.2">
      <c r="B29" s="303" t="s">
        <v>16</v>
      </c>
      <c r="D29" s="530"/>
      <c r="E29" s="697">
        <v>0</v>
      </c>
      <c r="F29" s="697">
        <v>0</v>
      </c>
      <c r="G29" s="697">
        <v>0</v>
      </c>
      <c r="H29" s="697">
        <v>0</v>
      </c>
      <c r="I29" s="697">
        <v>0</v>
      </c>
      <c r="J29" s="697">
        <v>0</v>
      </c>
      <c r="K29" s="697">
        <v>0</v>
      </c>
      <c r="L29" s="697">
        <v>0</v>
      </c>
      <c r="M29" s="697">
        <v>28.792999999999999</v>
      </c>
      <c r="N29" s="697">
        <v>32.932000000000002</v>
      </c>
      <c r="O29" s="697">
        <v>44.167999999999999</v>
      </c>
      <c r="P29" s="697">
        <v>79.337000000000003</v>
      </c>
      <c r="Q29" s="697">
        <v>133.32599999999999</v>
      </c>
      <c r="R29" s="697">
        <v>107.471</v>
      </c>
      <c r="S29" s="697">
        <v>151.55799999999999</v>
      </c>
      <c r="T29" s="697">
        <v>94.77</v>
      </c>
      <c r="U29" s="697">
        <v>138.358</v>
      </c>
      <c r="V29" s="697">
        <v>148.74600000000001</v>
      </c>
      <c r="W29" s="697">
        <v>28</v>
      </c>
      <c r="X29" s="697">
        <v>234</v>
      </c>
      <c r="Y29" s="956">
        <v>13</v>
      </c>
      <c r="Z29" s="956">
        <v>63</v>
      </c>
      <c r="AA29" s="956">
        <v>-60</v>
      </c>
      <c r="AB29" s="956">
        <v>149</v>
      </c>
      <c r="AC29" s="956">
        <v>33</v>
      </c>
      <c r="AD29" s="956">
        <v>53</v>
      </c>
      <c r="AE29" s="1286">
        <v>81</v>
      </c>
      <c r="AF29" s="1307">
        <v>-50</v>
      </c>
      <c r="AG29" s="355">
        <f>bal!AF27-bal!AE27</f>
        <v>-18.748610840534184</v>
      </c>
      <c r="AH29" s="355">
        <f>bal!AG27-bal!AF27</f>
        <v>-16.563560517922951</v>
      </c>
      <c r="AI29" s="355">
        <f>bal!AH27-bal!AG27</f>
        <v>-16.795317429623083</v>
      </c>
      <c r="AJ29" s="355">
        <f>bal!AI27-bal!AH27</f>
        <v>-16.543387668178866</v>
      </c>
      <c r="AK29" s="355">
        <f>bal!AJ27-bal!AI27</f>
        <v>-16.295236853156212</v>
      </c>
      <c r="AL29" s="707"/>
    </row>
    <row r="30" spans="1:38" x14ac:dyDescent="0.2">
      <c r="B30" s="303" t="s">
        <v>242</v>
      </c>
      <c r="D30" s="530"/>
      <c r="E30" s="697">
        <v>0</v>
      </c>
      <c r="F30" s="697">
        <v>0</v>
      </c>
      <c r="G30" s="697">
        <v>0</v>
      </c>
      <c r="H30" s="697">
        <v>0</v>
      </c>
      <c r="I30" s="697">
        <v>0</v>
      </c>
      <c r="J30" s="697">
        <v>0</v>
      </c>
      <c r="K30" s="697">
        <v>0</v>
      </c>
      <c r="L30" s="697">
        <v>0</v>
      </c>
      <c r="M30" s="697">
        <v>10.09</v>
      </c>
      <c r="N30" s="697">
        <v>62.691000000000003</v>
      </c>
      <c r="O30" s="697">
        <v>148.08099999999999</v>
      </c>
      <c r="P30" s="697">
        <v>69.120999999999995</v>
      </c>
      <c r="Q30" s="697">
        <v>62.999000000000002</v>
      </c>
      <c r="R30" s="697">
        <v>35.317</v>
      </c>
      <c r="S30" s="697">
        <v>70.16</v>
      </c>
      <c r="T30" s="697">
        <v>4.1840000000000002</v>
      </c>
      <c r="U30" s="697">
        <v>92.061999999999998</v>
      </c>
      <c r="V30" s="697">
        <v>-102.858</v>
      </c>
      <c r="W30" s="697">
        <v>-26</v>
      </c>
      <c r="X30" s="697">
        <v>74</v>
      </c>
      <c r="Y30" s="956">
        <v>-63</v>
      </c>
      <c r="Z30" s="956">
        <v>-1</v>
      </c>
      <c r="AA30" s="956">
        <v>-4</v>
      </c>
      <c r="AB30" s="956">
        <v>-62</v>
      </c>
      <c r="AC30" s="956">
        <v>-65</v>
      </c>
      <c r="AD30" s="956">
        <v>53</v>
      </c>
      <c r="AE30" s="1286">
        <v>-23</v>
      </c>
      <c r="AF30" s="1314">
        <v>-50</v>
      </c>
      <c r="AG30" s="353">
        <f>bal!AF28-bal!AE28</f>
        <v>-1.60702378633151</v>
      </c>
      <c r="AH30" s="353">
        <f>bal!AG28-bal!AF28</f>
        <v>-1.419733758679115</v>
      </c>
      <c r="AI30" s="353">
        <f>bal!AH28-bal!AG28</f>
        <v>-1.4395986368248259</v>
      </c>
      <c r="AJ30" s="353">
        <f>bal!AI28-bal!AH28</f>
        <v>-1.4180046572724763</v>
      </c>
      <c r="AK30" s="353">
        <f>bal!AJ28-bal!AI28</f>
        <v>-1.396734587413377</v>
      </c>
      <c r="AL30" s="353"/>
    </row>
    <row r="31" spans="1:38" x14ac:dyDescent="0.2">
      <c r="B31" s="303" t="s">
        <v>163</v>
      </c>
      <c r="D31" s="305"/>
      <c r="E31" s="703">
        <v>14.481999999999999</v>
      </c>
      <c r="F31" s="703">
        <v>-18.945</v>
      </c>
      <c r="G31" s="703">
        <v>-5.4929999999999994</v>
      </c>
      <c r="H31" s="703">
        <v>-24.579000000000001</v>
      </c>
      <c r="I31" s="703">
        <v>-11.957999999999997</v>
      </c>
      <c r="J31" s="703">
        <v>-91.19</v>
      </c>
      <c r="K31" s="703">
        <v>-49.46</v>
      </c>
      <c r="L31" s="703">
        <v>-249.22</v>
      </c>
      <c r="M31" s="703">
        <f t="shared" ref="M31:Z31" si="4">SUM(M24:M30)</f>
        <v>-34.480000000000004</v>
      </c>
      <c r="N31" s="703">
        <f t="shared" si="4"/>
        <v>-197.92499999999993</v>
      </c>
      <c r="O31" s="703">
        <f t="shared" si="4"/>
        <v>-133.773</v>
      </c>
      <c r="P31" s="703">
        <f t="shared" si="4"/>
        <v>-138.11900000000003</v>
      </c>
      <c r="Q31" s="703">
        <f t="shared" si="4"/>
        <v>-218.14799999999994</v>
      </c>
      <c r="R31" s="703">
        <f t="shared" si="4"/>
        <v>-152.82400000000001</v>
      </c>
      <c r="S31" s="703">
        <f t="shared" si="4"/>
        <v>-166.49999999999997</v>
      </c>
      <c r="T31" s="703">
        <f t="shared" si="4"/>
        <v>-348.34800000000001</v>
      </c>
      <c r="U31" s="704">
        <f t="shared" si="4"/>
        <v>1571.8789999999999</v>
      </c>
      <c r="V31" s="704">
        <f t="shared" si="4"/>
        <v>-372.39699999999999</v>
      </c>
      <c r="W31" s="704">
        <f t="shared" si="4"/>
        <v>87</v>
      </c>
      <c r="X31" s="704">
        <f t="shared" si="4"/>
        <v>482</v>
      </c>
      <c r="Y31" s="704">
        <f t="shared" si="4"/>
        <v>-257</v>
      </c>
      <c r="Z31" s="704">
        <f t="shared" si="4"/>
        <v>-44</v>
      </c>
      <c r="AA31" s="704">
        <f t="shared" ref="AA31:AF31" si="5">SUM(AA24:AA30)</f>
        <v>-550</v>
      </c>
      <c r="AB31" s="704">
        <f t="shared" si="5"/>
        <v>18</v>
      </c>
      <c r="AC31" s="704">
        <f>SUM(AC24:AC30)</f>
        <v>149</v>
      </c>
      <c r="AD31" s="704">
        <f>SUM(AD24:AD30)</f>
        <v>-326</v>
      </c>
      <c r="AE31" s="704">
        <f>SUM(AE24:AE30)</f>
        <v>518</v>
      </c>
      <c r="AF31" s="1315">
        <f t="shared" si="5"/>
        <v>-155</v>
      </c>
      <c r="AG31" s="704">
        <f>SUM(AG24:AG30)</f>
        <v>-25.562492984308548</v>
      </c>
      <c r="AH31" s="704">
        <f>SUM(AH24:AH30)</f>
        <v>22.636093584488037</v>
      </c>
      <c r="AI31" s="704">
        <f>SUM(AI24:AI30)</f>
        <v>27.275093909635075</v>
      </c>
      <c r="AJ31" s="704">
        <f>SUM(AJ24:AJ30)</f>
        <v>26.256520192191559</v>
      </c>
      <c r="AK31" s="704">
        <f>SUM(AK24:AK30)</f>
        <v>30.01664952967333</v>
      </c>
      <c r="AL31" s="704"/>
    </row>
    <row r="32" spans="1:38" ht="4.5" customHeight="1" x14ac:dyDescent="0.2">
      <c r="D32" s="305"/>
      <c r="E32" s="352"/>
      <c r="F32" s="352"/>
      <c r="G32" s="352"/>
      <c r="H32" s="352"/>
      <c r="I32" s="352"/>
      <c r="J32" s="352"/>
      <c r="K32" s="352"/>
      <c r="L32" s="352"/>
      <c r="M32" s="352"/>
      <c r="N32" s="352"/>
      <c r="O32" s="352"/>
      <c r="P32" s="352"/>
      <c r="Q32" s="352"/>
      <c r="R32" s="352"/>
      <c r="S32" s="352"/>
      <c r="T32" s="352"/>
      <c r="U32" s="356"/>
      <c r="V32" s="356"/>
      <c r="W32" s="356"/>
      <c r="X32" s="356"/>
      <c r="Y32" s="356"/>
      <c r="Z32" s="356"/>
      <c r="AA32" s="356"/>
      <c r="AB32" s="356"/>
      <c r="AC32" s="356"/>
      <c r="AD32" s="356"/>
      <c r="AE32" s="704"/>
      <c r="AF32" s="1311"/>
      <c r="AG32" s="356"/>
      <c r="AH32" s="356"/>
      <c r="AI32" s="356"/>
      <c r="AJ32" s="356"/>
      <c r="AK32" s="356"/>
      <c r="AL32" s="712"/>
    </row>
    <row r="33" spans="1:38" x14ac:dyDescent="0.2">
      <c r="A33" s="303" t="s">
        <v>164</v>
      </c>
      <c r="D33" s="305"/>
      <c r="E33" s="352">
        <f t="shared" ref="E33:AD33" si="6">SUM(E20:E21)+E31</f>
        <v>6.4029999999999987</v>
      </c>
      <c r="F33" s="352">
        <f t="shared" si="6"/>
        <v>-36.997</v>
      </c>
      <c r="G33" s="352">
        <f t="shared" si="6"/>
        <v>-46.686</v>
      </c>
      <c r="H33" s="352">
        <f t="shared" si="6"/>
        <v>-83.668999999999997</v>
      </c>
      <c r="I33" s="352">
        <f t="shared" si="6"/>
        <v>-119.96899999999999</v>
      </c>
      <c r="J33" s="352">
        <f t="shared" si="6"/>
        <v>-224.12299999999999</v>
      </c>
      <c r="K33" s="352">
        <f t="shared" si="6"/>
        <v>-274.94599999999997</v>
      </c>
      <c r="L33" s="352">
        <f t="shared" si="6"/>
        <v>-458.48900000000003</v>
      </c>
      <c r="M33" s="352">
        <f t="shared" si="6"/>
        <v>-324.68099999999998</v>
      </c>
      <c r="N33" s="352">
        <f t="shared" si="6"/>
        <v>-844.23199999999997</v>
      </c>
      <c r="O33" s="352">
        <f t="shared" si="6"/>
        <v>-660.89</v>
      </c>
      <c r="P33" s="352">
        <f t="shared" si="6"/>
        <v>-1009.42</v>
      </c>
      <c r="Q33" s="352">
        <f t="shared" si="6"/>
        <v>-1213.203</v>
      </c>
      <c r="R33" s="352">
        <f t="shared" si="6"/>
        <v>-568.34100000000012</v>
      </c>
      <c r="S33" s="352">
        <f t="shared" si="6"/>
        <v>-1143.991</v>
      </c>
      <c r="T33" s="352">
        <f t="shared" si="6"/>
        <v>-1252.086</v>
      </c>
      <c r="U33" s="356">
        <f t="shared" si="6"/>
        <v>131.69799999999964</v>
      </c>
      <c r="V33" s="356">
        <f t="shared" si="6"/>
        <v>-1970.365</v>
      </c>
      <c r="W33" s="356">
        <f t="shared" si="6"/>
        <v>-1356</v>
      </c>
      <c r="X33" s="356">
        <f t="shared" si="6"/>
        <v>-158</v>
      </c>
      <c r="Y33" s="356">
        <f t="shared" si="6"/>
        <v>-1056</v>
      </c>
      <c r="Z33" s="356">
        <f t="shared" si="6"/>
        <v>-991</v>
      </c>
      <c r="AA33" s="356">
        <f t="shared" si="6"/>
        <v>-1319</v>
      </c>
      <c r="AB33" s="356">
        <f t="shared" si="6"/>
        <v>-606</v>
      </c>
      <c r="AC33" s="356">
        <f>SUM(AC20:AC21)+AC31</f>
        <v>-526</v>
      </c>
      <c r="AD33" s="356">
        <f t="shared" si="6"/>
        <v>-1007</v>
      </c>
      <c r="AE33" s="704">
        <f t="shared" ref="AE33:AJ33" si="7">SUM(AE20:AE21)+AE31</f>
        <v>-238</v>
      </c>
      <c r="AF33" s="1311">
        <f t="shared" si="7"/>
        <v>-804</v>
      </c>
      <c r="AG33" s="356">
        <f t="shared" si="7"/>
        <v>-725.56249298430851</v>
      </c>
      <c r="AH33" s="356">
        <f t="shared" si="7"/>
        <v>-627.36390641551202</v>
      </c>
      <c r="AI33" s="356">
        <f t="shared" si="7"/>
        <v>-622.72490609036493</v>
      </c>
      <c r="AJ33" s="356">
        <f t="shared" si="7"/>
        <v>-623.7434798078084</v>
      </c>
      <c r="AK33" s="356">
        <f>SUM(AK20:AK21)+AK31</f>
        <v>-619.98335047032663</v>
      </c>
      <c r="AL33" s="356"/>
    </row>
    <row r="34" spans="1:38" ht="4.5" customHeight="1" x14ac:dyDescent="0.2">
      <c r="D34" s="305"/>
      <c r="E34" s="352"/>
      <c r="F34" s="352"/>
      <c r="G34" s="352"/>
      <c r="H34" s="352"/>
      <c r="I34" s="352"/>
      <c r="J34" s="352"/>
      <c r="K34" s="352"/>
      <c r="L34" s="352"/>
      <c r="M34" s="352"/>
      <c r="N34" s="352"/>
      <c r="O34" s="352"/>
      <c r="P34" s="352"/>
      <c r="Q34" s="352"/>
      <c r="R34" s="352"/>
      <c r="S34" s="352"/>
      <c r="T34" s="352"/>
      <c r="U34" s="356"/>
      <c r="V34" s="356"/>
      <c r="W34" s="356"/>
      <c r="X34" s="356"/>
      <c r="Y34" s="356"/>
      <c r="Z34" s="356"/>
      <c r="AA34" s="356"/>
      <c r="AB34" s="356"/>
      <c r="AC34" s="356"/>
      <c r="AD34" s="356"/>
      <c r="AE34" s="704"/>
      <c r="AF34" s="1311"/>
      <c r="AG34" s="356"/>
      <c r="AH34" s="356"/>
      <c r="AI34" s="356"/>
      <c r="AJ34" s="356"/>
      <c r="AK34" s="356"/>
      <c r="AL34" s="356"/>
    </row>
    <row r="35" spans="1:38" x14ac:dyDescent="0.2">
      <c r="A35" s="738" t="s">
        <v>165</v>
      </c>
      <c r="B35" s="738"/>
      <c r="C35" s="738"/>
      <c r="D35" s="739"/>
      <c r="E35" s="740">
        <f>E18+E20+E31+E22+E21</f>
        <v>41.772000000000013</v>
      </c>
      <c r="F35" s="740">
        <f t="shared" ref="F35:AD35" si="8">F18+F20+F31</f>
        <v>3.3339999999999677</v>
      </c>
      <c r="G35" s="740">
        <f t="shared" si="8"/>
        <v>26.501999999999942</v>
      </c>
      <c r="H35" s="740">
        <f t="shared" si="8"/>
        <v>9.964999999999911</v>
      </c>
      <c r="I35" s="740">
        <f t="shared" si="8"/>
        <v>-11.145000000000165</v>
      </c>
      <c r="J35" s="740">
        <f t="shared" si="8"/>
        <v>-95.196999999999719</v>
      </c>
      <c r="K35" s="740">
        <f t="shared" si="8"/>
        <v>-118.44600000000023</v>
      </c>
      <c r="L35" s="740">
        <f t="shared" si="8"/>
        <v>-252.68166600000009</v>
      </c>
      <c r="M35" s="740">
        <f t="shared" si="8"/>
        <v>-20.6484140000005</v>
      </c>
      <c r="N35" s="740">
        <f t="shared" si="8"/>
        <v>-462.86100000000067</v>
      </c>
      <c r="O35" s="740">
        <f t="shared" si="8"/>
        <v>-87.901999999998992</v>
      </c>
      <c r="P35" s="740">
        <f t="shared" si="8"/>
        <v>-129.20100000000036</v>
      </c>
      <c r="Q35" s="740">
        <f t="shared" si="8"/>
        <v>-46.419999999998055</v>
      </c>
      <c r="R35" s="740">
        <f t="shared" si="8"/>
        <v>-88.271999999999764</v>
      </c>
      <c r="S35" s="740">
        <f t="shared" si="8"/>
        <v>47.618888000001363</v>
      </c>
      <c r="T35" s="740">
        <f t="shared" si="8"/>
        <v>53.558779603988057</v>
      </c>
      <c r="U35" s="740">
        <f t="shared" si="8"/>
        <v>1957.0477755400068</v>
      </c>
      <c r="V35" s="740">
        <f t="shared" si="8"/>
        <v>-277.69300000000027</v>
      </c>
      <c r="W35" s="740">
        <f t="shared" si="8"/>
        <v>688.12699999999973</v>
      </c>
      <c r="X35" s="740">
        <f t="shared" si="8"/>
        <v>1550</v>
      </c>
      <c r="Y35" s="740">
        <f t="shared" si="8"/>
        <v>997</v>
      </c>
      <c r="Z35" s="740">
        <f t="shared" si="8"/>
        <v>1357</v>
      </c>
      <c r="AA35" s="740">
        <f t="shared" si="8"/>
        <v>588.5</v>
      </c>
      <c r="AB35" s="740">
        <f>AB18+AB20+AB31</f>
        <v>1242</v>
      </c>
      <c r="AC35" s="740">
        <f>AC18+AC20+AC31</f>
        <v>1424</v>
      </c>
      <c r="AD35" s="740">
        <f t="shared" si="8"/>
        <v>784</v>
      </c>
      <c r="AE35" s="740">
        <f t="shared" ref="AE35:AJ35" si="9">AE18+AE20+AE31</f>
        <v>1379.88</v>
      </c>
      <c r="AF35" s="740">
        <f t="shared" si="9"/>
        <v>1019</v>
      </c>
      <c r="AG35" s="740">
        <f t="shared" si="9"/>
        <v>1086.8131454105812</v>
      </c>
      <c r="AH35" s="740">
        <f t="shared" si="9"/>
        <v>1066.2355403007814</v>
      </c>
      <c r="AI35" s="740">
        <f t="shared" si="9"/>
        <v>1001.6517439466007</v>
      </c>
      <c r="AJ35" s="740">
        <f t="shared" si="9"/>
        <v>927.71492216513889</v>
      </c>
      <c r="AK35" s="740">
        <f>AK18+AK20+AK31</f>
        <v>893.81258866045698</v>
      </c>
      <c r="AL35" s="703"/>
    </row>
    <row r="36" spans="1:38" ht="4.5" customHeight="1" x14ac:dyDescent="0.2">
      <c r="D36" s="305"/>
      <c r="E36" s="352"/>
      <c r="F36" s="352"/>
      <c r="G36" s="352"/>
      <c r="H36" s="352"/>
      <c r="I36" s="352"/>
      <c r="J36" s="352"/>
      <c r="K36" s="352"/>
      <c r="L36" s="352"/>
      <c r="M36" s="352"/>
      <c r="N36" s="352"/>
      <c r="O36" s="352"/>
      <c r="P36" s="352"/>
      <c r="Q36" s="352"/>
      <c r="R36" s="352"/>
      <c r="S36" s="352"/>
      <c r="T36" s="352"/>
      <c r="U36" s="356"/>
      <c r="V36" s="356"/>
      <c r="W36" s="356"/>
      <c r="X36" s="356"/>
      <c r="Y36" s="356"/>
      <c r="Z36" s="356"/>
      <c r="AA36" s="356"/>
      <c r="AB36" s="356"/>
      <c r="AC36" s="356"/>
      <c r="AD36" s="356"/>
      <c r="AE36" s="704"/>
      <c r="AF36" s="1311"/>
      <c r="AG36" s="356"/>
      <c r="AH36" s="356"/>
      <c r="AI36" s="356"/>
      <c r="AJ36" s="356"/>
    </row>
    <row r="37" spans="1:38" hidden="1" x14ac:dyDescent="0.2">
      <c r="C37" s="303" t="s">
        <v>321</v>
      </c>
      <c r="D37" s="530"/>
      <c r="E37" s="713">
        <v>0</v>
      </c>
      <c r="F37" s="713">
        <v>0</v>
      </c>
      <c r="G37" s="713">
        <v>0</v>
      </c>
      <c r="H37" s="713">
        <v>0</v>
      </c>
      <c r="I37" s="713">
        <v>0</v>
      </c>
      <c r="J37" s="713">
        <v>0</v>
      </c>
      <c r="K37" s="713">
        <v>0</v>
      </c>
      <c r="L37" s="713">
        <v>0</v>
      </c>
      <c r="M37" s="713">
        <v>0</v>
      </c>
      <c r="N37" s="713">
        <v>85</v>
      </c>
      <c r="O37" s="713">
        <v>-80</v>
      </c>
      <c r="P37" s="713">
        <v>-5</v>
      </c>
      <c r="Q37" s="713">
        <v>0</v>
      </c>
      <c r="R37" s="713">
        <v>0</v>
      </c>
      <c r="S37" s="713">
        <v>0</v>
      </c>
      <c r="T37" s="713">
        <v>0</v>
      </c>
      <c r="U37" s="713">
        <v>0</v>
      </c>
      <c r="V37" s="713">
        <v>0</v>
      </c>
      <c r="W37" s="713">
        <v>0</v>
      </c>
      <c r="X37" s="713">
        <v>0</v>
      </c>
      <c r="Y37" s="713">
        <v>0</v>
      </c>
      <c r="Z37" s="713">
        <v>0</v>
      </c>
      <c r="AA37" s="713">
        <v>0</v>
      </c>
      <c r="AB37" s="714">
        <v>0</v>
      </c>
      <c r="AC37" s="714">
        <v>0</v>
      </c>
      <c r="AD37" s="714">
        <v>0</v>
      </c>
      <c r="AE37" s="714">
        <v>0</v>
      </c>
      <c r="AF37" s="1316">
        <v>0</v>
      </c>
      <c r="AG37" s="714">
        <v>0</v>
      </c>
      <c r="AH37" s="714">
        <v>0</v>
      </c>
      <c r="AI37" s="714">
        <v>0</v>
      </c>
      <c r="AJ37" s="714">
        <v>0</v>
      </c>
      <c r="AK37" s="715"/>
      <c r="AL37" s="715"/>
    </row>
    <row r="38" spans="1:38" hidden="1" x14ac:dyDescent="0.2">
      <c r="C38" s="303" t="s">
        <v>322</v>
      </c>
      <c r="D38" s="530"/>
      <c r="E38" s="710">
        <v>3.363</v>
      </c>
      <c r="F38" s="710">
        <v>6.7000000000000004E-2</v>
      </c>
      <c r="G38" s="710">
        <v>3.5569999999999999</v>
      </c>
      <c r="H38" s="710">
        <v>0</v>
      </c>
      <c r="I38" s="710">
        <v>0</v>
      </c>
      <c r="J38" s="710">
        <v>0</v>
      </c>
      <c r="K38" s="710">
        <v>0</v>
      </c>
      <c r="L38" s="710">
        <v>0</v>
      </c>
      <c r="M38" s="710">
        <v>0</v>
      </c>
      <c r="N38" s="710">
        <v>0</v>
      </c>
      <c r="O38" s="710">
        <v>0</v>
      </c>
      <c r="P38" s="710">
        <v>0</v>
      </c>
      <c r="Q38" s="710">
        <v>0</v>
      </c>
      <c r="R38" s="710">
        <v>0</v>
      </c>
      <c r="S38" s="710">
        <v>0</v>
      </c>
      <c r="T38" s="710">
        <v>0</v>
      </c>
      <c r="U38" s="710">
        <v>0</v>
      </c>
      <c r="V38" s="710">
        <v>0</v>
      </c>
      <c r="W38" s="710">
        <v>0</v>
      </c>
      <c r="X38" s="710">
        <v>0</v>
      </c>
      <c r="Y38" s="710">
        <v>0</v>
      </c>
      <c r="Z38" s="710">
        <v>0</v>
      </c>
      <c r="AA38" s="710">
        <v>0</v>
      </c>
      <c r="AB38" s="695">
        <v>0</v>
      </c>
      <c r="AC38" s="695">
        <v>0</v>
      </c>
      <c r="AD38" s="695">
        <v>0</v>
      </c>
      <c r="AE38" s="714">
        <v>0</v>
      </c>
      <c r="AF38" s="1317">
        <v>0</v>
      </c>
      <c r="AG38" s="695">
        <v>0</v>
      </c>
      <c r="AH38" s="695">
        <v>0</v>
      </c>
      <c r="AI38" s="695">
        <v>0</v>
      </c>
      <c r="AJ38" s="695">
        <v>0</v>
      </c>
      <c r="AK38" s="696"/>
      <c r="AL38" s="696"/>
    </row>
    <row r="39" spans="1:38" hidden="1" x14ac:dyDescent="0.2">
      <c r="C39" s="303" t="s">
        <v>323</v>
      </c>
      <c r="D39" s="530"/>
      <c r="E39" s="710">
        <v>3.419</v>
      </c>
      <c r="F39" s="710">
        <v>0</v>
      </c>
      <c r="G39" s="710">
        <v>-0.252</v>
      </c>
      <c r="H39" s="710">
        <v>-76.045000000000002</v>
      </c>
      <c r="I39" s="710">
        <v>0</v>
      </c>
      <c r="J39" s="710">
        <v>0</v>
      </c>
      <c r="K39" s="710">
        <v>0</v>
      </c>
      <c r="L39" s="710">
        <v>0</v>
      </c>
      <c r="M39" s="710">
        <v>0</v>
      </c>
      <c r="N39" s="710">
        <v>0</v>
      </c>
      <c r="O39" s="710">
        <v>0</v>
      </c>
      <c r="P39" s="710">
        <v>0</v>
      </c>
      <c r="Q39" s="710">
        <v>0</v>
      </c>
      <c r="R39" s="710">
        <v>0</v>
      </c>
      <c r="S39" s="710">
        <v>0</v>
      </c>
      <c r="T39" s="710">
        <v>0</v>
      </c>
      <c r="U39" s="710">
        <v>0</v>
      </c>
      <c r="V39" s="710">
        <v>0</v>
      </c>
      <c r="W39" s="710">
        <v>0</v>
      </c>
      <c r="X39" s="710">
        <v>0</v>
      </c>
      <c r="Y39" s="710">
        <v>0</v>
      </c>
      <c r="Z39" s="710">
        <v>0</v>
      </c>
      <c r="AA39" s="710">
        <v>0</v>
      </c>
      <c r="AB39" s="695">
        <v>0</v>
      </c>
      <c r="AC39" s="695">
        <v>0</v>
      </c>
      <c r="AD39" s="695">
        <v>0</v>
      </c>
      <c r="AE39" s="714">
        <v>0</v>
      </c>
      <c r="AF39" s="1317">
        <v>0</v>
      </c>
      <c r="AG39" s="695">
        <v>0</v>
      </c>
      <c r="AH39" s="695">
        <v>0</v>
      </c>
      <c r="AI39" s="695">
        <v>0</v>
      </c>
      <c r="AJ39" s="695">
        <v>0</v>
      </c>
      <c r="AK39" s="696"/>
      <c r="AL39" s="696"/>
    </row>
    <row r="40" spans="1:38" x14ac:dyDescent="0.2">
      <c r="C40" s="303" t="s">
        <v>324</v>
      </c>
      <c r="D40" s="530"/>
      <c r="E40" s="710">
        <v>0</v>
      </c>
      <c r="F40" s="710">
        <v>0</v>
      </c>
      <c r="G40" s="710">
        <v>0</v>
      </c>
      <c r="H40" s="710">
        <v>0</v>
      </c>
      <c r="I40" s="710">
        <v>60</v>
      </c>
      <c r="J40" s="710">
        <v>0</v>
      </c>
      <c r="K40" s="710">
        <v>200</v>
      </c>
      <c r="L40" s="710">
        <v>0</v>
      </c>
      <c r="M40" s="710">
        <v>0</v>
      </c>
      <c r="N40" s="710">
        <v>197.25800000000001</v>
      </c>
      <c r="O40" s="710">
        <v>319.37900000000002</v>
      </c>
      <c r="P40" s="710">
        <v>299.50299999999999</v>
      </c>
      <c r="Q40" s="710">
        <v>297.75900000000001</v>
      </c>
      <c r="R40" s="710">
        <v>0</v>
      </c>
      <c r="S40" s="710">
        <v>0</v>
      </c>
      <c r="T40" s="710">
        <v>0</v>
      </c>
      <c r="U40" s="710">
        <v>0</v>
      </c>
      <c r="V40" s="710">
        <v>996.03099999999995</v>
      </c>
      <c r="W40" s="710">
        <v>0</v>
      </c>
      <c r="X40" s="710">
        <v>0</v>
      </c>
      <c r="Y40" s="956">
        <v>0</v>
      </c>
      <c r="Z40" s="956">
        <f>646-8</f>
        <v>638</v>
      </c>
      <c r="AA40" s="956">
        <f>350-3</f>
        <v>347</v>
      </c>
      <c r="AB40" s="956">
        <f>300-4</f>
        <v>296</v>
      </c>
      <c r="AC40" s="956">
        <v>0</v>
      </c>
      <c r="AD40" s="956">
        <v>1098</v>
      </c>
      <c r="AE40" s="1286">
        <v>0</v>
      </c>
      <c r="AF40" s="1169">
        <v>0</v>
      </c>
      <c r="AG40" s="961">
        <v>0</v>
      </c>
      <c r="AH40" s="961">
        <v>450</v>
      </c>
      <c r="AI40" s="961">
        <v>0</v>
      </c>
      <c r="AJ40" s="961">
        <v>0</v>
      </c>
      <c r="AK40" s="961">
        <v>0</v>
      </c>
      <c r="AL40" s="696"/>
    </row>
    <row r="41" spans="1:38" x14ac:dyDescent="0.2">
      <c r="C41" s="303" t="s">
        <v>325</v>
      </c>
      <c r="D41" s="530"/>
      <c r="E41" s="697">
        <v>0</v>
      </c>
      <c r="F41" s="697">
        <v>0</v>
      </c>
      <c r="G41" s="697">
        <v>0</v>
      </c>
      <c r="H41" s="697">
        <v>0</v>
      </c>
      <c r="I41" s="697">
        <v>0</v>
      </c>
      <c r="J41" s="697">
        <v>0</v>
      </c>
      <c r="K41" s="697">
        <v>0</v>
      </c>
      <c r="L41" s="697">
        <v>0</v>
      </c>
      <c r="M41" s="697">
        <v>0</v>
      </c>
      <c r="N41" s="697">
        <v>0</v>
      </c>
      <c r="O41" s="697">
        <v>0</v>
      </c>
      <c r="P41" s="697">
        <v>0</v>
      </c>
      <c r="Q41" s="697">
        <v>0</v>
      </c>
      <c r="R41" s="697">
        <v>0</v>
      </c>
      <c r="S41" s="697">
        <v>0</v>
      </c>
      <c r="T41" s="697">
        <v>0</v>
      </c>
      <c r="U41" s="697">
        <v>-1628.4159999999999</v>
      </c>
      <c r="V41" s="697">
        <v>-747.91499999999996</v>
      </c>
      <c r="W41" s="697">
        <v>-262</v>
      </c>
      <c r="X41" s="697">
        <v>-1</v>
      </c>
      <c r="Y41" s="956">
        <v>-1004</v>
      </c>
      <c r="Z41" s="956">
        <v>-2311</v>
      </c>
      <c r="AA41" s="956">
        <v>-1293</v>
      </c>
      <c r="AB41" s="956">
        <f>-799-13</f>
        <v>-812</v>
      </c>
      <c r="AC41" s="956">
        <f>-677-19</f>
        <v>-696</v>
      </c>
      <c r="AD41" s="956">
        <f>-1001-27</f>
        <v>-1028</v>
      </c>
      <c r="AE41" s="1286">
        <f>-557-17</f>
        <v>-574</v>
      </c>
      <c r="AF41" s="1308">
        <f>-306-14</f>
        <v>-320</v>
      </c>
      <c r="AG41" s="1301">
        <v>-350</v>
      </c>
      <c r="AH41" s="961">
        <v>-400</v>
      </c>
      <c r="AI41" s="961">
        <v>-400</v>
      </c>
      <c r="AJ41" s="961">
        <v>-400</v>
      </c>
      <c r="AK41" s="1169">
        <v>-400</v>
      </c>
      <c r="AL41" s="696">
        <f>AVERAGE(AA41:AD41)</f>
        <v>-957.25</v>
      </c>
    </row>
    <row r="42" spans="1:38" x14ac:dyDescent="0.2">
      <c r="C42" s="303" t="s">
        <v>326</v>
      </c>
      <c r="D42" s="530"/>
      <c r="E42" s="697">
        <v>0</v>
      </c>
      <c r="F42" s="697">
        <v>0</v>
      </c>
      <c r="G42" s="697">
        <v>104.758</v>
      </c>
      <c r="H42" s="697">
        <v>46.051000000000002</v>
      </c>
      <c r="I42" s="697">
        <v>1.4530000000000001</v>
      </c>
      <c r="J42" s="697">
        <v>3.7370000000000001</v>
      </c>
      <c r="K42" s="697">
        <v>4.3550000000000004</v>
      </c>
      <c r="L42" s="697">
        <v>296.03800000000001</v>
      </c>
      <c r="M42" s="697">
        <v>15.731</v>
      </c>
      <c r="N42" s="697">
        <v>217.274</v>
      </c>
      <c r="O42" s="697">
        <v>45.878999999999998</v>
      </c>
      <c r="P42" s="697">
        <v>36.128</v>
      </c>
      <c r="Q42" s="697">
        <v>31.298999999999999</v>
      </c>
      <c r="R42" s="697">
        <v>46.256999999999998</v>
      </c>
      <c r="S42" s="697">
        <v>47.094000000000001</v>
      </c>
      <c r="T42" s="697">
        <v>22.858000000000001</v>
      </c>
      <c r="U42" s="697">
        <v>94.593999999999994</v>
      </c>
      <c r="V42" s="697">
        <v>97.412000000000006</v>
      </c>
      <c r="W42" s="697">
        <v>5</v>
      </c>
      <c r="X42" s="697">
        <v>48</v>
      </c>
      <c r="Y42" s="956">
        <v>0</v>
      </c>
      <c r="Z42" s="956">
        <v>0</v>
      </c>
      <c r="AA42" s="956">
        <v>0</v>
      </c>
      <c r="AB42" s="956">
        <v>0</v>
      </c>
      <c r="AC42" s="956">
        <v>0</v>
      </c>
      <c r="AD42" s="956">
        <v>0</v>
      </c>
      <c r="AE42" s="1286">
        <v>0</v>
      </c>
      <c r="AF42" s="1169">
        <v>0</v>
      </c>
      <c r="AG42" s="961">
        <v>0</v>
      </c>
      <c r="AH42" s="961">
        <v>0</v>
      </c>
      <c r="AI42" s="961">
        <v>0</v>
      </c>
      <c r="AJ42" s="961">
        <v>0</v>
      </c>
      <c r="AK42" s="961">
        <v>0</v>
      </c>
      <c r="AL42" s="696"/>
    </row>
    <row r="43" spans="1:38" hidden="1" x14ac:dyDescent="0.2">
      <c r="C43" s="303" t="s">
        <v>327</v>
      </c>
      <c r="D43" s="530"/>
      <c r="E43" s="697">
        <v>-14</v>
      </c>
      <c r="F43" s="697">
        <v>6</v>
      </c>
      <c r="G43" s="697">
        <v>-6</v>
      </c>
      <c r="H43" s="697">
        <v>27</v>
      </c>
      <c r="I43" s="697">
        <v>-27</v>
      </c>
      <c r="J43" s="697">
        <v>74</v>
      </c>
      <c r="K43" s="697">
        <v>-74</v>
      </c>
      <c r="L43" s="697">
        <v>0</v>
      </c>
      <c r="M43" s="697">
        <v>1.6</v>
      </c>
      <c r="N43" s="697">
        <v>-1.6</v>
      </c>
      <c r="O43" s="697">
        <v>0</v>
      </c>
      <c r="P43" s="697">
        <v>0</v>
      </c>
      <c r="Q43" s="697">
        <v>0</v>
      </c>
      <c r="R43" s="697">
        <v>0</v>
      </c>
      <c r="S43" s="697">
        <v>0</v>
      </c>
      <c r="T43" s="697">
        <v>0</v>
      </c>
      <c r="U43" s="697">
        <v>0</v>
      </c>
      <c r="V43" s="697">
        <v>0</v>
      </c>
      <c r="W43" s="697">
        <v>0</v>
      </c>
      <c r="X43" s="697">
        <v>0</v>
      </c>
      <c r="Y43" s="697">
        <v>0</v>
      </c>
      <c r="Z43" s="697">
        <v>0</v>
      </c>
      <c r="AA43" s="697">
        <v>0</v>
      </c>
      <c r="AB43" s="697">
        <v>0</v>
      </c>
      <c r="AC43" s="697">
        <v>0</v>
      </c>
      <c r="AD43" s="697">
        <v>0</v>
      </c>
      <c r="AE43" s="717">
        <v>0</v>
      </c>
      <c r="AF43" s="1169">
        <v>0</v>
      </c>
      <c r="AG43" s="961">
        <v>0</v>
      </c>
      <c r="AH43" s="961">
        <v>0</v>
      </c>
      <c r="AI43" s="961">
        <v>0</v>
      </c>
      <c r="AJ43" s="961">
        <v>0</v>
      </c>
      <c r="AK43" s="961">
        <v>0</v>
      </c>
      <c r="AL43" s="696"/>
    </row>
    <row r="44" spans="1:38" hidden="1" x14ac:dyDescent="0.2">
      <c r="C44" s="303" t="s">
        <v>328</v>
      </c>
      <c r="D44" s="530"/>
      <c r="E44" s="697">
        <v>0</v>
      </c>
      <c r="F44" s="697">
        <v>0</v>
      </c>
      <c r="G44" s="697">
        <v>-105</v>
      </c>
      <c r="H44" s="697">
        <v>0</v>
      </c>
      <c r="I44" s="697">
        <v>0</v>
      </c>
      <c r="J44" s="697">
        <v>0</v>
      </c>
      <c r="K44" s="697">
        <v>0</v>
      </c>
      <c r="L44" s="697">
        <v>0</v>
      </c>
      <c r="M44" s="697">
        <v>0</v>
      </c>
      <c r="N44" s="697">
        <v>0</v>
      </c>
      <c r="O44" s="697">
        <v>0</v>
      </c>
      <c r="P44" s="697">
        <v>0</v>
      </c>
      <c r="Q44" s="697">
        <v>0</v>
      </c>
      <c r="R44" s="697">
        <v>0</v>
      </c>
      <c r="S44" s="697">
        <v>0</v>
      </c>
      <c r="T44" s="697">
        <v>0</v>
      </c>
      <c r="U44" s="697">
        <v>0</v>
      </c>
      <c r="V44" s="697">
        <v>0</v>
      </c>
      <c r="W44" s="697">
        <v>0</v>
      </c>
      <c r="X44" s="697">
        <v>0</v>
      </c>
      <c r="Y44" s="697">
        <v>0</v>
      </c>
      <c r="Z44" s="697">
        <v>0</v>
      </c>
      <c r="AA44" s="697">
        <v>0</v>
      </c>
      <c r="AB44" s="697">
        <v>0</v>
      </c>
      <c r="AC44" s="697">
        <v>0</v>
      </c>
      <c r="AD44" s="697">
        <v>0</v>
      </c>
      <c r="AE44" s="717">
        <v>0</v>
      </c>
      <c r="AF44" s="1169">
        <v>0</v>
      </c>
      <c r="AG44" s="961">
        <v>0</v>
      </c>
      <c r="AH44" s="961">
        <v>0</v>
      </c>
      <c r="AI44" s="961">
        <v>0</v>
      </c>
      <c r="AJ44" s="961">
        <v>0</v>
      </c>
      <c r="AK44" s="961">
        <v>0</v>
      </c>
      <c r="AL44" s="716"/>
    </row>
    <row r="45" spans="1:38" hidden="1" x14ac:dyDescent="0.2">
      <c r="C45" s="303" t="s">
        <v>329</v>
      </c>
      <c r="D45" s="530"/>
      <c r="E45" s="697">
        <v>0</v>
      </c>
      <c r="F45" s="697">
        <v>-9.2170000000000005</v>
      </c>
      <c r="G45" s="697">
        <v>-13.173999999999999</v>
      </c>
      <c r="H45" s="697">
        <v>0</v>
      </c>
      <c r="I45" s="697">
        <v>0</v>
      </c>
      <c r="J45" s="697">
        <v>0</v>
      </c>
      <c r="K45" s="697">
        <v>0</v>
      </c>
      <c r="L45" s="697">
        <v>0</v>
      </c>
      <c r="M45" s="697">
        <v>0</v>
      </c>
      <c r="N45" s="697">
        <v>0</v>
      </c>
      <c r="O45" s="697">
        <v>0</v>
      </c>
      <c r="P45" s="697">
        <v>0</v>
      </c>
      <c r="Q45" s="697">
        <v>0</v>
      </c>
      <c r="R45" s="697">
        <v>0</v>
      </c>
      <c r="S45" s="697">
        <v>0</v>
      </c>
      <c r="T45" s="697">
        <v>0</v>
      </c>
      <c r="U45" s="697">
        <v>0</v>
      </c>
      <c r="V45" s="697">
        <v>0</v>
      </c>
      <c r="W45" s="697">
        <v>0</v>
      </c>
      <c r="X45" s="697">
        <v>0</v>
      </c>
      <c r="Y45" s="697">
        <v>0</v>
      </c>
      <c r="Z45" s="697">
        <v>0</v>
      </c>
      <c r="AA45" s="697">
        <v>0</v>
      </c>
      <c r="AB45" s="697">
        <v>0</v>
      </c>
      <c r="AC45" s="697">
        <v>0</v>
      </c>
      <c r="AD45" s="697">
        <v>0</v>
      </c>
      <c r="AE45" s="717">
        <v>0</v>
      </c>
      <c r="AF45" s="1169">
        <v>0</v>
      </c>
      <c r="AG45" s="961">
        <v>0</v>
      </c>
      <c r="AH45" s="961">
        <v>0</v>
      </c>
      <c r="AI45" s="961">
        <v>0</v>
      </c>
      <c r="AJ45" s="961">
        <v>0</v>
      </c>
      <c r="AK45" s="961">
        <v>0</v>
      </c>
      <c r="AL45" s="716"/>
    </row>
    <row r="46" spans="1:38" x14ac:dyDescent="0.2">
      <c r="C46" s="303" t="s">
        <v>330</v>
      </c>
      <c r="D46" s="530"/>
      <c r="E46" s="697">
        <v>-34.491</v>
      </c>
      <c r="F46" s="697">
        <v>-0.85799999999999998</v>
      </c>
      <c r="G46" s="697">
        <v>-0.79800000000000004</v>
      </c>
      <c r="H46" s="697">
        <v>-0.76300000000000001</v>
      </c>
      <c r="I46" s="697">
        <v>-0.98799999999999999</v>
      </c>
      <c r="J46" s="697">
        <v>-1.3029999999999999</v>
      </c>
      <c r="K46" s="697">
        <v>-1.43</v>
      </c>
      <c r="L46" s="697">
        <v>-1.4830000000000001</v>
      </c>
      <c r="M46" s="697">
        <v>-0.41599999999999998</v>
      </c>
      <c r="N46" s="697">
        <v>-1.5820000000000001</v>
      </c>
      <c r="O46" s="697">
        <v>-12.093999999999999</v>
      </c>
      <c r="P46" s="697">
        <v>-16.423999999999999</v>
      </c>
      <c r="Q46" s="697">
        <v>-20.223999999999997</v>
      </c>
      <c r="R46" s="697">
        <v>-362.35300000000001</v>
      </c>
      <c r="S46" s="697">
        <v>-13.212999999999999</v>
      </c>
      <c r="T46" s="697">
        <v>-5.1020000000000003</v>
      </c>
      <c r="U46" s="697">
        <v>-109.596</v>
      </c>
      <c r="V46" s="697">
        <v>-19.611000000000001</v>
      </c>
      <c r="W46" s="697">
        <v>-16</v>
      </c>
      <c r="X46" s="697">
        <v>-17</v>
      </c>
      <c r="Y46" s="956">
        <v>-84</v>
      </c>
      <c r="Z46" s="956">
        <v>-491</v>
      </c>
      <c r="AA46" s="956">
        <v>-111</v>
      </c>
      <c r="AB46" s="956">
        <v>-115</v>
      </c>
      <c r="AC46" s="956">
        <v>-114</v>
      </c>
      <c r="AD46" s="956">
        <v>-1085</v>
      </c>
      <c r="AE46" s="1286">
        <v>0</v>
      </c>
      <c r="AF46" s="1169">
        <v>0</v>
      </c>
      <c r="AG46" s="961">
        <v>0</v>
      </c>
      <c r="AH46" s="961">
        <v>0</v>
      </c>
      <c r="AI46" s="961">
        <v>0</v>
      </c>
      <c r="AJ46" s="961">
        <v>0</v>
      </c>
      <c r="AK46" s="961">
        <v>0</v>
      </c>
      <c r="AL46" s="716"/>
    </row>
    <row r="47" spans="1:38" x14ac:dyDescent="0.2">
      <c r="C47" s="303" t="s">
        <v>161</v>
      </c>
      <c r="D47" s="530"/>
      <c r="E47" s="697">
        <v>0</v>
      </c>
      <c r="F47" s="697">
        <v>0</v>
      </c>
      <c r="G47" s="697">
        <v>0</v>
      </c>
      <c r="H47" s="697">
        <v>0</v>
      </c>
      <c r="I47" s="697">
        <v>0</v>
      </c>
      <c r="J47" s="697">
        <v>0</v>
      </c>
      <c r="K47" s="697">
        <v>0</v>
      </c>
      <c r="L47" s="697">
        <v>0</v>
      </c>
      <c r="M47" s="697">
        <v>0</v>
      </c>
      <c r="N47" s="697">
        <v>0</v>
      </c>
      <c r="O47" s="697">
        <v>0</v>
      </c>
      <c r="P47" s="697">
        <v>0</v>
      </c>
      <c r="Q47" s="697">
        <v>0</v>
      </c>
      <c r="R47" s="697">
        <v>0</v>
      </c>
      <c r="S47" s="697">
        <v>0</v>
      </c>
      <c r="T47" s="697">
        <v>0</v>
      </c>
      <c r="U47" s="697">
        <v>0</v>
      </c>
      <c r="V47" s="697">
        <v>0</v>
      </c>
      <c r="W47" s="697">
        <v>0</v>
      </c>
      <c r="X47" s="697">
        <v>0</v>
      </c>
      <c r="Y47" s="956">
        <v>0</v>
      </c>
      <c r="Z47" s="956">
        <v>-271</v>
      </c>
      <c r="AA47" s="956">
        <v>-300</v>
      </c>
      <c r="AB47" s="956">
        <v>-302</v>
      </c>
      <c r="AC47" s="956">
        <v>-317</v>
      </c>
      <c r="AD47" s="956">
        <v>-349</v>
      </c>
      <c r="AE47" s="1286">
        <v>-358</v>
      </c>
      <c r="AF47" s="1308">
        <v>-368</v>
      </c>
      <c r="AG47" s="961">
        <f>-AG59*'yrP&amp;L'!AE73</f>
        <v>-403.56583333333344</v>
      </c>
      <c r="AH47" s="961">
        <f>-AH59*'yrP&amp;L'!AF73</f>
        <v>-436.8515000000001</v>
      </c>
      <c r="AI47" s="961">
        <f>-AI59*'yrP&amp;L'!AG73</f>
        <v>-467.07191666666677</v>
      </c>
      <c r="AJ47" s="961">
        <f>-AJ59*'yrP&amp;L'!AH73</f>
        <v>-494.09644166666681</v>
      </c>
      <c r="AK47" s="961">
        <f>-AK59*'yrP&amp;L'!AI73</f>
        <v>-521.85515250000014</v>
      </c>
      <c r="AL47" s="716"/>
    </row>
    <row r="48" spans="1:38" x14ac:dyDescent="0.2">
      <c r="C48" s="303" t="s">
        <v>239</v>
      </c>
      <c r="D48" s="530"/>
      <c r="E48" s="697">
        <v>0</v>
      </c>
      <c r="F48" s="697">
        <v>0</v>
      </c>
      <c r="G48" s="697">
        <v>0</v>
      </c>
      <c r="H48" s="697">
        <v>0</v>
      </c>
      <c r="I48" s="697">
        <v>0</v>
      </c>
      <c r="J48" s="697">
        <v>0</v>
      </c>
      <c r="K48" s="697">
        <v>-2.0110000000000001</v>
      </c>
      <c r="L48" s="697">
        <v>-0.10100000000000001</v>
      </c>
      <c r="M48" s="697">
        <v>0</v>
      </c>
      <c r="N48" s="697">
        <v>-2.1560000000000001</v>
      </c>
      <c r="O48" s="697">
        <v>-7.109</v>
      </c>
      <c r="P48" s="697">
        <v>-1.615</v>
      </c>
      <c r="Q48" s="697">
        <v>0</v>
      </c>
      <c r="R48" s="697">
        <v>-0.18499999999999517</v>
      </c>
      <c r="S48" s="697">
        <v>10.484</v>
      </c>
      <c r="T48" s="697">
        <v>14.458</v>
      </c>
      <c r="U48" s="697">
        <v>25.707000000000001</v>
      </c>
      <c r="V48" s="697">
        <v>-0.63600000000000012</v>
      </c>
      <c r="W48" s="697">
        <v>0</v>
      </c>
      <c r="X48" s="697">
        <v>0</v>
      </c>
      <c r="Y48" s="956">
        <f>99+18</f>
        <v>117</v>
      </c>
      <c r="Z48" s="956">
        <f>16-48+58</f>
        <v>26</v>
      </c>
      <c r="AA48" s="956">
        <f>16+68</f>
        <v>84</v>
      </c>
      <c r="AB48" s="956">
        <f>1+102+3</f>
        <v>106</v>
      </c>
      <c r="AC48" s="956">
        <f>6+123+3</f>
        <v>132</v>
      </c>
      <c r="AD48" s="956">
        <f>-10+-163+1+-114+147+10</f>
        <v>-129</v>
      </c>
      <c r="AE48" s="1286">
        <f>11-127+18+5</f>
        <v>-93</v>
      </c>
      <c r="AF48" s="1308">
        <f>18-138</f>
        <v>-120</v>
      </c>
      <c r="AG48" s="961">
        <v>0</v>
      </c>
      <c r="AH48" s="961">
        <v>0</v>
      </c>
      <c r="AI48" s="961">
        <v>0</v>
      </c>
      <c r="AJ48" s="961">
        <v>0</v>
      </c>
      <c r="AK48" s="961">
        <v>0</v>
      </c>
      <c r="AL48" s="716"/>
    </row>
    <row r="49" spans="1:50" ht="4.5" customHeight="1" x14ac:dyDescent="0.2">
      <c r="D49" s="305"/>
      <c r="E49" s="352"/>
      <c r="F49" s="352"/>
      <c r="G49" s="352"/>
      <c r="H49" s="352"/>
      <c r="I49" s="352"/>
      <c r="J49" s="352"/>
      <c r="K49" s="352"/>
      <c r="L49" s="352"/>
      <c r="M49" s="352"/>
      <c r="N49" s="352"/>
      <c r="O49" s="352"/>
      <c r="P49" s="352"/>
      <c r="Q49" s="352"/>
      <c r="R49" s="352"/>
      <c r="S49" s="352"/>
      <c r="T49" s="352"/>
      <c r="U49" s="356"/>
      <c r="V49" s="356"/>
      <c r="W49" s="356"/>
      <c r="X49" s="356"/>
      <c r="Y49" s="356"/>
      <c r="Z49" s="356"/>
      <c r="AA49" s="356"/>
      <c r="AB49" s="356"/>
      <c r="AC49" s="356"/>
      <c r="AD49" s="356"/>
      <c r="AE49" s="704"/>
      <c r="AF49" s="1311"/>
      <c r="AG49" s="356"/>
      <c r="AH49" s="356"/>
      <c r="AI49" s="356"/>
      <c r="AJ49" s="356"/>
      <c r="AK49" s="356"/>
    </row>
    <row r="50" spans="1:50" x14ac:dyDescent="0.2">
      <c r="A50" s="303" t="s">
        <v>166</v>
      </c>
      <c r="D50" s="305"/>
      <c r="E50" s="352">
        <f t="shared" ref="E50:AD50" si="10">SUM(E37:E48)</f>
        <v>-41.709000000000003</v>
      </c>
      <c r="F50" s="352">
        <f t="shared" si="10"/>
        <v>-4.008</v>
      </c>
      <c r="G50" s="352">
        <f t="shared" si="10"/>
        <v>-16.909000000000013</v>
      </c>
      <c r="H50" s="352">
        <f t="shared" si="10"/>
        <v>-3.7569999999999997</v>
      </c>
      <c r="I50" s="352">
        <f t="shared" si="10"/>
        <v>33.465000000000003</v>
      </c>
      <c r="J50" s="352">
        <f t="shared" si="10"/>
        <v>76.433999999999997</v>
      </c>
      <c r="K50" s="352">
        <f t="shared" si="10"/>
        <v>126.91399999999999</v>
      </c>
      <c r="L50" s="352">
        <f t="shared" si="10"/>
        <v>294.45400000000001</v>
      </c>
      <c r="M50" s="352">
        <f t="shared" si="10"/>
        <v>16.914999999999999</v>
      </c>
      <c r="N50" s="352">
        <f t="shared" si="10"/>
        <v>494.19400000000002</v>
      </c>
      <c r="O50" s="352">
        <f t="shared" si="10"/>
        <v>266.05500000000006</v>
      </c>
      <c r="P50" s="352">
        <f t="shared" si="10"/>
        <v>312.59199999999998</v>
      </c>
      <c r="Q50" s="352">
        <f t="shared" si="10"/>
        <v>308.834</v>
      </c>
      <c r="R50" s="352">
        <f t="shared" si="10"/>
        <v>-316.28100000000001</v>
      </c>
      <c r="S50" s="352">
        <f t="shared" si="10"/>
        <v>44.365000000000002</v>
      </c>
      <c r="T50" s="352">
        <f t="shared" si="10"/>
        <v>32.213999999999999</v>
      </c>
      <c r="U50" s="356">
        <f t="shared" si="10"/>
        <v>-1617.7109999999998</v>
      </c>
      <c r="V50" s="356">
        <f t="shared" si="10"/>
        <v>325.28100000000001</v>
      </c>
      <c r="W50" s="356">
        <f t="shared" si="10"/>
        <v>-273</v>
      </c>
      <c r="X50" s="356">
        <f t="shared" si="10"/>
        <v>30</v>
      </c>
      <c r="Y50" s="356">
        <f t="shared" si="10"/>
        <v>-971</v>
      </c>
      <c r="Z50" s="356">
        <f t="shared" si="10"/>
        <v>-2409</v>
      </c>
      <c r="AA50" s="356">
        <f t="shared" si="10"/>
        <v>-1273</v>
      </c>
      <c r="AB50" s="356">
        <f>SUM(AB37:AB48)</f>
        <v>-827</v>
      </c>
      <c r="AC50" s="356">
        <f t="shared" si="10"/>
        <v>-995</v>
      </c>
      <c r="AD50" s="356">
        <f t="shared" si="10"/>
        <v>-1493</v>
      </c>
      <c r="AE50" s="704">
        <f t="shared" ref="AE50:AJ50" si="11">SUM(AE37:AE48)</f>
        <v>-1025</v>
      </c>
      <c r="AF50" s="1311">
        <f t="shared" si="11"/>
        <v>-808</v>
      </c>
      <c r="AG50" s="356">
        <f t="shared" si="11"/>
        <v>-753.56583333333344</v>
      </c>
      <c r="AH50" s="356">
        <f t="shared" si="11"/>
        <v>-386.8515000000001</v>
      </c>
      <c r="AI50" s="356">
        <f t="shared" si="11"/>
        <v>-867.07191666666677</v>
      </c>
      <c r="AJ50" s="356">
        <f t="shared" si="11"/>
        <v>-894.09644166666681</v>
      </c>
      <c r="AK50" s="356">
        <f>SUM(AK37:AK48)</f>
        <v>-921.85515250000014</v>
      </c>
      <c r="AL50" s="356"/>
    </row>
    <row r="51" spans="1:50" ht="4.5" customHeight="1" x14ac:dyDescent="0.2">
      <c r="D51" s="305"/>
      <c r="E51" s="352"/>
      <c r="F51" s="352"/>
      <c r="G51" s="352"/>
      <c r="H51" s="352"/>
      <c r="I51" s="352"/>
      <c r="J51" s="352"/>
      <c r="K51" s="352"/>
      <c r="L51" s="352"/>
      <c r="M51" s="352"/>
      <c r="N51" s="352"/>
      <c r="O51" s="352"/>
      <c r="P51" s="352"/>
      <c r="Q51" s="352"/>
      <c r="R51" s="352"/>
      <c r="S51" s="352"/>
      <c r="T51" s="352"/>
      <c r="U51" s="356"/>
      <c r="V51" s="356"/>
      <c r="W51" s="356"/>
      <c r="X51" s="356"/>
      <c r="Y51" s="356"/>
      <c r="Z51" s="356"/>
      <c r="AA51" s="356"/>
      <c r="AB51" s="356"/>
      <c r="AC51" s="356"/>
      <c r="AD51" s="356"/>
      <c r="AE51" s="704"/>
      <c r="AF51" s="1311"/>
      <c r="AG51" s="356"/>
      <c r="AH51" s="356"/>
      <c r="AI51" s="356"/>
      <c r="AJ51" s="356"/>
      <c r="AK51" s="356"/>
      <c r="AL51" s="356"/>
    </row>
    <row r="52" spans="1:50" x14ac:dyDescent="0.2">
      <c r="B52" s="303" t="s">
        <v>167</v>
      </c>
      <c r="D52" s="305"/>
      <c r="E52" s="717">
        <v>0.69</v>
      </c>
      <c r="F52" s="718">
        <f t="shared" ref="F52:V52" si="12">E54</f>
        <v>0.75300000000000944</v>
      </c>
      <c r="G52" s="718">
        <f t="shared" si="12"/>
        <v>-0.57700000000002438</v>
      </c>
      <c r="H52" s="718">
        <f t="shared" si="12"/>
        <v>4.8989999999999032</v>
      </c>
      <c r="I52" s="718">
        <f t="shared" si="12"/>
        <v>10.81099999999981</v>
      </c>
      <c r="J52" s="718">
        <f t="shared" si="12"/>
        <v>32.645999999999646</v>
      </c>
      <c r="K52" s="718">
        <f t="shared" si="12"/>
        <v>13.358999999999924</v>
      </c>
      <c r="L52" s="718">
        <f t="shared" si="12"/>
        <v>19.763999999999726</v>
      </c>
      <c r="M52" s="718">
        <f t="shared" si="12"/>
        <v>55.002333999999621</v>
      </c>
      <c r="N52" s="718">
        <f t="shared" si="12"/>
        <v>9.9459199999991483</v>
      </c>
      <c r="O52" s="718">
        <f t="shared" si="12"/>
        <v>20.363919999998473</v>
      </c>
      <c r="P52" s="718">
        <f t="shared" si="12"/>
        <v>152.38091999999955</v>
      </c>
      <c r="Q52" s="718">
        <f t="shared" si="12"/>
        <v>126.48191999999921</v>
      </c>
      <c r="R52" s="718">
        <f t="shared" si="12"/>
        <v>109.80892000000102</v>
      </c>
      <c r="S52" s="718">
        <f t="shared" si="12"/>
        <v>121.33792000000125</v>
      </c>
      <c r="T52" s="718">
        <f t="shared" si="12"/>
        <v>125.42880800000256</v>
      </c>
      <c r="U52" s="718">
        <f t="shared" si="12"/>
        <v>135.55858760399059</v>
      </c>
      <c r="V52" s="718">
        <f t="shared" si="12"/>
        <v>197.80636314399743</v>
      </c>
      <c r="W52" s="718">
        <f>V54</f>
        <v>189.10936314399709</v>
      </c>
      <c r="X52" s="705">
        <v>643</v>
      </c>
      <c r="Y52" s="718">
        <f t="shared" ref="Y52:AD52" si="13">X54</f>
        <v>2249</v>
      </c>
      <c r="Z52" s="718">
        <f t="shared" si="13"/>
        <v>2277</v>
      </c>
      <c r="AA52" s="718">
        <f t="shared" si="13"/>
        <v>1205</v>
      </c>
      <c r="AB52" s="718">
        <f t="shared" si="13"/>
        <v>536.5</v>
      </c>
      <c r="AC52" s="718">
        <f t="shared" si="13"/>
        <v>970.5</v>
      </c>
      <c r="AD52" s="718">
        <f t="shared" si="13"/>
        <v>1406.5</v>
      </c>
      <c r="AE52" s="718">
        <f t="shared" ref="AE52:AK52" si="14">AD54</f>
        <v>706.5</v>
      </c>
      <c r="AF52" s="1318">
        <f t="shared" si="14"/>
        <v>1073.7380000000001</v>
      </c>
      <c r="AG52" s="718">
        <f t="shared" si="14"/>
        <v>1307.7380000000001</v>
      </c>
      <c r="AH52" s="718">
        <f t="shared" si="14"/>
        <v>1640.9853120772477</v>
      </c>
      <c r="AI52" s="718">
        <f t="shared" si="14"/>
        <v>2320.3693523780294</v>
      </c>
      <c r="AJ52" s="718">
        <f t="shared" si="14"/>
        <v>2454.9491796579632</v>
      </c>
      <c r="AK52" s="718">
        <f t="shared" si="14"/>
        <v>2488.5676601564355</v>
      </c>
      <c r="AL52" s="356"/>
    </row>
    <row r="53" spans="1:50" ht="13.5" thickBot="1" x14ac:dyDescent="0.25">
      <c r="A53" s="310"/>
      <c r="B53" s="310"/>
      <c r="C53" s="303" t="s">
        <v>168</v>
      </c>
      <c r="D53" s="719"/>
      <c r="E53" s="352">
        <f t="shared" ref="E53:AD53" si="15">E50+E18+E33</f>
        <v>6.3000000000009493E-2</v>
      </c>
      <c r="F53" s="352">
        <f t="shared" si="15"/>
        <v>-1.3300000000000338</v>
      </c>
      <c r="G53" s="352">
        <f t="shared" si="15"/>
        <v>5.475999999999928</v>
      </c>
      <c r="H53" s="352">
        <f t="shared" si="15"/>
        <v>5.9119999999999067</v>
      </c>
      <c r="I53" s="352">
        <f t="shared" si="15"/>
        <v>21.834999999999837</v>
      </c>
      <c r="J53" s="352">
        <f t="shared" si="15"/>
        <v>-19.286999999999722</v>
      </c>
      <c r="K53" s="352">
        <f t="shared" si="15"/>
        <v>6.4049999999998022</v>
      </c>
      <c r="L53" s="352">
        <f t="shared" si="15"/>
        <v>35.238333999999895</v>
      </c>
      <c r="M53" s="352">
        <f t="shared" si="15"/>
        <v>-45.056414000000473</v>
      </c>
      <c r="N53" s="352">
        <f t="shared" si="15"/>
        <v>10.417999999999324</v>
      </c>
      <c r="O53" s="352">
        <f t="shared" si="15"/>
        <v>132.01700000000108</v>
      </c>
      <c r="P53" s="352">
        <f t="shared" si="15"/>
        <v>-25.899000000000342</v>
      </c>
      <c r="Q53" s="352">
        <f t="shared" si="15"/>
        <v>-16.672999999998183</v>
      </c>
      <c r="R53" s="352">
        <f t="shared" si="15"/>
        <v>11.529000000000224</v>
      </c>
      <c r="S53" s="352">
        <f t="shared" si="15"/>
        <v>4.0908880000013141</v>
      </c>
      <c r="T53" s="352">
        <f t="shared" si="15"/>
        <v>10.129779603988027</v>
      </c>
      <c r="U53" s="352">
        <f t="shared" si="15"/>
        <v>62.247775540006842</v>
      </c>
      <c r="V53" s="352">
        <f t="shared" si="15"/>
        <v>-8.6970000000003438</v>
      </c>
      <c r="W53" s="352">
        <f t="shared" si="15"/>
        <v>-13.873000000000275</v>
      </c>
      <c r="X53" s="352">
        <f t="shared" si="15"/>
        <v>1606</v>
      </c>
      <c r="Y53" s="352">
        <f t="shared" si="15"/>
        <v>28</v>
      </c>
      <c r="Z53" s="352">
        <f t="shared" si="15"/>
        <v>-1072</v>
      </c>
      <c r="AA53" s="352">
        <f t="shared" si="15"/>
        <v>-668.5</v>
      </c>
      <c r="AB53" s="352">
        <f>AB50+AB18+AB33</f>
        <v>434</v>
      </c>
      <c r="AC53" s="352">
        <f>AC50+AC18+AC33</f>
        <v>436</v>
      </c>
      <c r="AD53" s="352">
        <f t="shared" si="15"/>
        <v>-700</v>
      </c>
      <c r="AE53" s="703">
        <f t="shared" ref="AE53:AJ53" si="16">AE50+AE18+AE33</f>
        <v>366.88000000000011</v>
      </c>
      <c r="AF53" s="1313">
        <f t="shared" si="16"/>
        <v>234</v>
      </c>
      <c r="AG53" s="352">
        <f t="shared" si="16"/>
        <v>333.24731207724778</v>
      </c>
      <c r="AH53" s="352">
        <f t="shared" si="16"/>
        <v>679.38404030078141</v>
      </c>
      <c r="AI53" s="352">
        <f t="shared" si="16"/>
        <v>134.57982727993397</v>
      </c>
      <c r="AJ53" s="352">
        <f t="shared" si="16"/>
        <v>33.618480498472081</v>
      </c>
      <c r="AK53" s="352">
        <f>AK50+AK18+AK33</f>
        <v>-28.042563839543163</v>
      </c>
      <c r="AL53" s="356"/>
    </row>
    <row r="54" spans="1:50" x14ac:dyDescent="0.2">
      <c r="B54" s="303" t="s">
        <v>171</v>
      </c>
      <c r="D54" s="305"/>
      <c r="E54" s="718">
        <f t="shared" ref="E54:AD54" si="17">E52+E53</f>
        <v>0.75300000000000944</v>
      </c>
      <c r="F54" s="718">
        <f t="shared" si="17"/>
        <v>-0.57700000000002438</v>
      </c>
      <c r="G54" s="718">
        <f t="shared" si="17"/>
        <v>4.8989999999999032</v>
      </c>
      <c r="H54" s="718">
        <f t="shared" si="17"/>
        <v>10.81099999999981</v>
      </c>
      <c r="I54" s="718">
        <f t="shared" si="17"/>
        <v>32.645999999999646</v>
      </c>
      <c r="J54" s="718">
        <f t="shared" si="17"/>
        <v>13.358999999999924</v>
      </c>
      <c r="K54" s="718">
        <f t="shared" si="17"/>
        <v>19.763999999999726</v>
      </c>
      <c r="L54" s="718">
        <f t="shared" si="17"/>
        <v>55.002333999999621</v>
      </c>
      <c r="M54" s="718">
        <f t="shared" si="17"/>
        <v>9.9459199999991483</v>
      </c>
      <c r="N54" s="718">
        <f t="shared" si="17"/>
        <v>20.363919999998473</v>
      </c>
      <c r="O54" s="718">
        <f t="shared" si="17"/>
        <v>152.38091999999955</v>
      </c>
      <c r="P54" s="718">
        <f t="shared" si="17"/>
        <v>126.48191999999921</v>
      </c>
      <c r="Q54" s="718">
        <f t="shared" si="17"/>
        <v>109.80892000000102</v>
      </c>
      <c r="R54" s="718">
        <f t="shared" si="17"/>
        <v>121.33792000000125</v>
      </c>
      <c r="S54" s="718">
        <f t="shared" si="17"/>
        <v>125.42880800000256</v>
      </c>
      <c r="T54" s="718">
        <f t="shared" si="17"/>
        <v>135.55858760399059</v>
      </c>
      <c r="U54" s="718">
        <f t="shared" si="17"/>
        <v>197.80636314399743</v>
      </c>
      <c r="V54" s="718">
        <f t="shared" si="17"/>
        <v>189.10936314399709</v>
      </c>
      <c r="W54" s="718">
        <f t="shared" si="17"/>
        <v>175.23636314399681</v>
      </c>
      <c r="X54" s="718">
        <f t="shared" si="17"/>
        <v>2249</v>
      </c>
      <c r="Y54" s="718">
        <f t="shared" si="17"/>
        <v>2277</v>
      </c>
      <c r="Z54" s="718">
        <f t="shared" si="17"/>
        <v>1205</v>
      </c>
      <c r="AA54" s="718">
        <f t="shared" si="17"/>
        <v>536.5</v>
      </c>
      <c r="AB54" s="718">
        <f t="shared" si="17"/>
        <v>970.5</v>
      </c>
      <c r="AC54" s="718">
        <f t="shared" si="17"/>
        <v>1406.5</v>
      </c>
      <c r="AD54" s="718">
        <f t="shared" si="17"/>
        <v>706.5</v>
      </c>
      <c r="AE54" s="718">
        <f>AE52+AE53+0.358</f>
        <v>1073.7380000000001</v>
      </c>
      <c r="AF54" s="1318">
        <f t="shared" ref="AF54:AJ54" si="18">AF52+AF53</f>
        <v>1307.7380000000001</v>
      </c>
      <c r="AG54" s="718">
        <f t="shared" si="18"/>
        <v>1640.9853120772477</v>
      </c>
      <c r="AH54" s="718">
        <f>AH52+AH53</f>
        <v>2320.3693523780294</v>
      </c>
      <c r="AI54" s="718">
        <f>AI52+AI53</f>
        <v>2454.9491796579632</v>
      </c>
      <c r="AJ54" s="718">
        <f t="shared" si="18"/>
        <v>2488.5676601564355</v>
      </c>
      <c r="AK54" s="718">
        <f>AK52+AK53</f>
        <v>2460.5250963168924</v>
      </c>
      <c r="AL54" s="704"/>
      <c r="AT54" s="720" t="s">
        <v>505</v>
      </c>
      <c r="AU54" s="721"/>
      <c r="AV54" s="721"/>
      <c r="AW54" s="721"/>
      <c r="AX54" s="722"/>
    </row>
    <row r="55" spans="1:50" ht="4.5" customHeight="1" x14ac:dyDescent="0.2">
      <c r="D55" s="305"/>
      <c r="E55" s="305"/>
      <c r="F55" s="305"/>
      <c r="G55" s="305"/>
      <c r="H55" s="305"/>
      <c r="I55" s="305"/>
      <c r="J55" s="305"/>
      <c r="K55" s="305"/>
      <c r="L55" s="305"/>
      <c r="M55" s="305"/>
      <c r="N55" s="305"/>
      <c r="O55" s="305"/>
      <c r="P55" s="305"/>
      <c r="Q55" s="305"/>
      <c r="R55" s="305"/>
      <c r="S55" s="305"/>
      <c r="T55" s="305"/>
      <c r="AE55" s="690"/>
      <c r="AT55" s="723"/>
      <c r="AU55" s="305"/>
      <c r="AV55" s="305"/>
      <c r="AW55" s="305"/>
      <c r="AX55" s="724"/>
    </row>
    <row r="56" spans="1:50" x14ac:dyDescent="0.2">
      <c r="A56" s="303" t="s">
        <v>172</v>
      </c>
      <c r="D56" s="305"/>
      <c r="E56" s="703">
        <f t="shared" ref="E56:AD56" si="19">-E50+E53</f>
        <v>41.772000000000013</v>
      </c>
      <c r="F56" s="703">
        <f t="shared" si="19"/>
        <v>2.6779999999999662</v>
      </c>
      <c r="G56" s="703">
        <f t="shared" si="19"/>
        <v>22.384999999999941</v>
      </c>
      <c r="H56" s="703">
        <f t="shared" si="19"/>
        <v>9.6689999999999063</v>
      </c>
      <c r="I56" s="703">
        <f t="shared" si="19"/>
        <v>-11.630000000000166</v>
      </c>
      <c r="J56" s="703">
        <f t="shared" si="19"/>
        <v>-95.720999999999719</v>
      </c>
      <c r="K56" s="703">
        <f t="shared" si="19"/>
        <v>-120.50900000000019</v>
      </c>
      <c r="L56" s="703">
        <f t="shared" si="19"/>
        <v>-259.21566600000011</v>
      </c>
      <c r="M56" s="703">
        <f t="shared" si="19"/>
        <v>-61.971414000000472</v>
      </c>
      <c r="N56" s="703">
        <f t="shared" si="19"/>
        <v>-483.77600000000069</v>
      </c>
      <c r="O56" s="703">
        <f t="shared" si="19"/>
        <v>-134.03799999999899</v>
      </c>
      <c r="P56" s="703">
        <f t="shared" si="19"/>
        <v>-338.49100000000033</v>
      </c>
      <c r="Q56" s="703">
        <f t="shared" si="19"/>
        <v>-325.50699999999819</v>
      </c>
      <c r="R56" s="703">
        <f t="shared" si="19"/>
        <v>327.81000000000023</v>
      </c>
      <c r="S56" s="703">
        <f t="shared" si="19"/>
        <v>-40.274111999998688</v>
      </c>
      <c r="T56" s="703">
        <f t="shared" si="19"/>
        <v>-22.084220396011972</v>
      </c>
      <c r="U56" s="704">
        <f t="shared" si="19"/>
        <v>1679.9587755400066</v>
      </c>
      <c r="V56" s="704">
        <f t="shared" si="19"/>
        <v>-333.97800000000035</v>
      </c>
      <c r="W56" s="704">
        <f t="shared" si="19"/>
        <v>259.12699999999973</v>
      </c>
      <c r="X56" s="704">
        <f t="shared" si="19"/>
        <v>1576</v>
      </c>
      <c r="Y56" s="704">
        <f t="shared" si="19"/>
        <v>999</v>
      </c>
      <c r="Z56" s="704">
        <f t="shared" si="19"/>
        <v>1337</v>
      </c>
      <c r="AA56" s="704">
        <f t="shared" si="19"/>
        <v>604.5</v>
      </c>
      <c r="AB56" s="704">
        <f t="shared" si="19"/>
        <v>1261</v>
      </c>
      <c r="AC56" s="704">
        <f t="shared" si="19"/>
        <v>1431</v>
      </c>
      <c r="AD56" s="704">
        <f t="shared" si="19"/>
        <v>793</v>
      </c>
      <c r="AE56" s="704">
        <f t="shared" ref="AE56:AJ56" si="20">-AE50+AE53</f>
        <v>1391.88</v>
      </c>
      <c r="AF56" s="1315">
        <f t="shared" si="20"/>
        <v>1042</v>
      </c>
      <c r="AG56" s="704">
        <f t="shared" si="20"/>
        <v>1086.8131454105812</v>
      </c>
      <c r="AH56" s="704">
        <f t="shared" si="20"/>
        <v>1066.2355403007814</v>
      </c>
      <c r="AI56" s="704">
        <f t="shared" si="20"/>
        <v>1001.6517439466007</v>
      </c>
      <c r="AJ56" s="704">
        <f t="shared" si="20"/>
        <v>927.71492216513889</v>
      </c>
      <c r="AK56" s="704">
        <f>-AK50+AK53</f>
        <v>893.81258866045698</v>
      </c>
      <c r="AL56" s="725"/>
      <c r="AT56" s="723" t="s">
        <v>506</v>
      </c>
      <c r="AU56" s="305"/>
      <c r="AV56" s="726">
        <f>21%*825</f>
        <v>173.25</v>
      </c>
      <c r="AW56" s="726">
        <f>AV56*12/19</f>
        <v>109.42105263157895</v>
      </c>
      <c r="AX56" s="727">
        <f>AV56-AW56</f>
        <v>63.828947368421055</v>
      </c>
    </row>
    <row r="57" spans="1:50" ht="4.5" customHeight="1" x14ac:dyDescent="0.2">
      <c r="D57" s="305"/>
      <c r="E57" s="305"/>
      <c r="F57" s="305"/>
      <c r="G57" s="305"/>
      <c r="H57" s="305"/>
      <c r="I57" s="305"/>
      <c r="J57" s="305"/>
      <c r="K57" s="305"/>
      <c r="L57" s="305"/>
      <c r="M57" s="305"/>
      <c r="N57" s="305"/>
      <c r="O57" s="305"/>
      <c r="P57" s="305"/>
      <c r="Q57" s="305"/>
      <c r="R57" s="305"/>
      <c r="S57" s="305"/>
      <c r="T57" s="305"/>
      <c r="AE57" s="1283"/>
      <c r="AT57" s="723"/>
      <c r="AU57" s="305"/>
      <c r="AV57" s="305"/>
      <c r="AW57" s="305"/>
      <c r="AX57" s="724"/>
    </row>
    <row r="58" spans="1:50" ht="13.5" thickBot="1" x14ac:dyDescent="0.25">
      <c r="D58" s="305"/>
      <c r="E58" s="728"/>
      <c r="F58" s="728"/>
      <c r="G58" s="728"/>
      <c r="H58" s="305"/>
      <c r="I58" s="305"/>
      <c r="J58" s="305"/>
      <c r="K58" s="305"/>
      <c r="L58" s="305"/>
      <c r="M58" s="305"/>
      <c r="N58" s="305"/>
      <c r="O58" s="305"/>
      <c r="P58" s="305"/>
      <c r="Q58" s="305"/>
      <c r="R58" s="305"/>
      <c r="S58" s="305"/>
      <c r="T58" s="305"/>
      <c r="AE58" s="1283"/>
      <c r="AT58" s="729" t="s">
        <v>507</v>
      </c>
      <c r="AU58" s="730"/>
      <c r="AV58" s="731">
        <f>17%*825-25</f>
        <v>115.25</v>
      </c>
      <c r="AW58" s="731">
        <f>AV58*30/50</f>
        <v>69.150000000000006</v>
      </c>
      <c r="AX58" s="732">
        <f>AV58-AW58</f>
        <v>46.099999999999994</v>
      </c>
    </row>
    <row r="59" spans="1:50" x14ac:dyDescent="0.2">
      <c r="A59" s="303" t="s">
        <v>344</v>
      </c>
      <c r="D59" s="305"/>
      <c r="E59" s="728"/>
      <c r="F59" s="728"/>
      <c r="G59" s="728"/>
      <c r="H59" s="305"/>
      <c r="I59" s="305"/>
      <c r="J59" s="305"/>
      <c r="K59" s="305"/>
      <c r="L59" s="305"/>
      <c r="M59" s="305"/>
      <c r="N59" s="305"/>
      <c r="O59" s="305"/>
      <c r="P59" s="305"/>
      <c r="Q59" s="305"/>
      <c r="R59" s="305"/>
      <c r="S59" s="305"/>
      <c r="T59" s="305"/>
      <c r="Z59" s="958">
        <f>0.25*4</f>
        <v>1</v>
      </c>
      <c r="AA59" s="958">
        <f>0.32*4</f>
        <v>1.28</v>
      </c>
      <c r="AB59" s="959">
        <f>0.35*4</f>
        <v>1.4</v>
      </c>
      <c r="AC59" s="959">
        <f>0.39*4</f>
        <v>1.56</v>
      </c>
      <c r="AD59" s="959">
        <f>0.45*4</f>
        <v>1.8</v>
      </c>
      <c r="AE59" s="1284">
        <f>0.5*4</f>
        <v>2</v>
      </c>
      <c r="AF59" s="1319">
        <f>0.55*4</f>
        <v>2.2000000000000002</v>
      </c>
      <c r="AG59" s="963">
        <f>0.61*4</f>
        <v>2.44</v>
      </c>
      <c r="AH59" s="963">
        <f>AG59*(1.1)</f>
        <v>2.6840000000000002</v>
      </c>
      <c r="AI59" s="963">
        <f>AH59*(1.1)</f>
        <v>2.9524000000000004</v>
      </c>
      <c r="AJ59" s="963">
        <f>AI59*(1.1)</f>
        <v>3.2476400000000005</v>
      </c>
      <c r="AK59" s="1170">
        <f>AJ59*(1.1)</f>
        <v>3.572404000000001</v>
      </c>
    </row>
    <row r="60" spans="1:50" x14ac:dyDescent="0.2">
      <c r="D60" s="305"/>
      <c r="E60" s="305"/>
      <c r="F60" s="305"/>
      <c r="G60" s="305"/>
      <c r="H60" s="305"/>
      <c r="I60" s="305"/>
      <c r="J60" s="305"/>
      <c r="K60" s="305"/>
      <c r="L60" s="305"/>
      <c r="M60" s="305"/>
      <c r="N60" s="305"/>
      <c r="O60" s="305"/>
      <c r="P60" s="305"/>
      <c r="Q60" s="305"/>
      <c r="R60" s="305"/>
      <c r="S60" s="305"/>
      <c r="T60" s="305"/>
      <c r="AA60" s="581">
        <f t="shared" ref="AA60:AI60" si="21">AA59/Z59-1</f>
        <v>0.28000000000000003</v>
      </c>
      <c r="AB60" s="581">
        <f t="shared" si="21"/>
        <v>9.375E-2</v>
      </c>
      <c r="AC60" s="581">
        <f t="shared" si="21"/>
        <v>0.11428571428571432</v>
      </c>
      <c r="AD60" s="581">
        <f t="shared" si="21"/>
        <v>0.15384615384615374</v>
      </c>
      <c r="AE60" s="581">
        <f t="shared" si="21"/>
        <v>0.11111111111111116</v>
      </c>
      <c r="AF60" s="581">
        <f t="shared" si="21"/>
        <v>0.10000000000000009</v>
      </c>
      <c r="AG60" s="581">
        <f t="shared" si="21"/>
        <v>0.10909090909090891</v>
      </c>
      <c r="AH60" s="581">
        <f t="shared" si="21"/>
        <v>0.10000000000000009</v>
      </c>
      <c r="AI60" s="581">
        <f t="shared" si="21"/>
        <v>0.10000000000000009</v>
      </c>
      <c r="AJ60" s="581">
        <f t="shared" ref="AJ60:AK60" si="22">AJ59/AI59-1</f>
        <v>0.10000000000000009</v>
      </c>
      <c r="AK60" s="581">
        <f t="shared" si="22"/>
        <v>0.10000000000000009</v>
      </c>
    </row>
    <row r="61" spans="1:50" x14ac:dyDescent="0.2">
      <c r="A61" s="303" t="s">
        <v>155</v>
      </c>
      <c r="D61" s="305"/>
      <c r="E61" s="305"/>
      <c r="F61" s="305"/>
      <c r="G61" s="305"/>
      <c r="H61" s="305"/>
      <c r="I61" s="305"/>
      <c r="J61" s="305"/>
      <c r="K61" s="305"/>
      <c r="L61" s="305"/>
      <c r="M61" s="305"/>
      <c r="N61" s="305"/>
      <c r="O61" s="305"/>
      <c r="P61" s="305"/>
      <c r="Q61" s="305"/>
      <c r="R61" s="305"/>
      <c r="S61" s="305"/>
      <c r="T61" s="305"/>
      <c r="Y61" s="733"/>
      <c r="Z61" s="733"/>
      <c r="AA61" s="733"/>
      <c r="AE61" s="1283"/>
    </row>
    <row r="62" spans="1:50" x14ac:dyDescent="0.2">
      <c r="B62" s="303" t="s">
        <v>173</v>
      </c>
      <c r="D62" s="305"/>
      <c r="E62" s="734" t="s">
        <v>94</v>
      </c>
      <c r="F62" s="734">
        <f>-F20/bal!E67</f>
        <v>1.8696811997945026E-2</v>
      </c>
      <c r="G62" s="734">
        <f>-G20/bal!F67</f>
        <v>3.3802066998767387E-2</v>
      </c>
      <c r="H62" s="734">
        <f>-H20/bal!G67</f>
        <v>4.5032169117647063E-2</v>
      </c>
      <c r="I62" s="734">
        <f>-I20/bal!H67</f>
        <v>6.9191269207999798E-2</v>
      </c>
      <c r="J62" s="734">
        <f>-J20/bal!I67</f>
        <v>6.8759999771507971E-2</v>
      </c>
      <c r="K62" s="734">
        <f>-K20/bal!J67</f>
        <v>9.3541134603307513E-2</v>
      </c>
      <c r="L62" s="734">
        <f>-L20/bal!K67</f>
        <v>6.6251449306620344E-2</v>
      </c>
      <c r="M62" s="734">
        <f>-M20/bal!L67</f>
        <v>6.7598663660808869E-2</v>
      </c>
      <c r="N62" s="734">
        <f>-N20/bal!M67</f>
        <v>0.13723825867131303</v>
      </c>
      <c r="O62" s="734">
        <f>-O20/bal!N67</f>
        <v>7.8180325737134668E-2</v>
      </c>
      <c r="P62" s="734">
        <f>-P20/bal!O67</f>
        <v>8.8401962117050259E-2</v>
      </c>
      <c r="Q62" s="734">
        <f>-Q20/bal!P67</f>
        <v>7.8503541589000234E-2</v>
      </c>
      <c r="R62" s="734">
        <f>-R20/bal!Q67</f>
        <v>8.0879109122738768E-2</v>
      </c>
      <c r="S62" s="734">
        <f>-S20/bal!R67</f>
        <v>7.6029468322408048E-2</v>
      </c>
      <c r="T62" s="734">
        <f>-T20/bal!S67</f>
        <v>6.1787990031487376E-2</v>
      </c>
      <c r="U62" s="734">
        <f>-U20/bal!T67</f>
        <v>7.4627496767627394E-2</v>
      </c>
      <c r="V62" s="734">
        <f>-V20/bal!U67</f>
        <v>9.3584501356707955E-2</v>
      </c>
      <c r="W62" s="734">
        <f>-W20/bal!V67</f>
        <v>6.187303969552118E-2</v>
      </c>
      <c r="X62" s="734">
        <f>-X20/bal!W67</f>
        <v>3.8770520433112118E-2</v>
      </c>
      <c r="Y62" s="734">
        <f>-Y20/bal!X67</f>
        <v>4.3553912239682455E-2</v>
      </c>
      <c r="Z62" s="734">
        <f>-Z20/bal!Y67</f>
        <v>4.9298021697511171E-2</v>
      </c>
      <c r="AA62" s="734">
        <f>-AA20/bal!Z67</f>
        <v>4.0715767634854773E-2</v>
      </c>
      <c r="AB62" s="734">
        <f>-AB20/bal!AA67</f>
        <v>3.3786979139299039E-2</v>
      </c>
      <c r="AC62" s="734">
        <f>-AC20/bal!AB67</f>
        <v>3.5851337854176525E-2</v>
      </c>
      <c r="AD62" s="734">
        <f>-AD20/bal!AC67</f>
        <v>3.5930014580295773E-2</v>
      </c>
      <c r="AE62" s="1282">
        <f>-AE20/bal!AD67</f>
        <v>4.1100288986406934E-2</v>
      </c>
      <c r="AF62" s="1320">
        <f>-AF20/bal!AE67</f>
        <v>3.5192458758837392E-2</v>
      </c>
      <c r="AG62" s="734">
        <f>-AG20/bal!AF67</f>
        <v>3.7263696527181055E-2</v>
      </c>
      <c r="AH62" s="734">
        <f>-AH20/bal!AG67</f>
        <v>3.511387193280411E-2</v>
      </c>
      <c r="AI62" s="734">
        <f>-AI20/bal!AH67</f>
        <v>3.5648600947009244E-2</v>
      </c>
      <c r="AJ62" s="734">
        <f>-AJ20/bal!AI67</f>
        <v>3.6191473042648983E-2</v>
      </c>
      <c r="AK62" s="734">
        <f>-AK20/bal!AJ67</f>
        <v>3.6742612226039577E-2</v>
      </c>
      <c r="AL62" s="735"/>
    </row>
    <row r="63" spans="1:50" x14ac:dyDescent="0.2">
      <c r="B63" s="303" t="s">
        <v>174</v>
      </c>
      <c r="D63" s="305"/>
      <c r="E63" s="736">
        <f>E35/'yrP&amp;L'!C73</f>
        <v>0.19576709658068392</v>
      </c>
      <c r="F63" s="736">
        <f>F35/'yrP&amp;L'!D73</f>
        <v>1.5649643259481635E-2</v>
      </c>
      <c r="G63" s="736">
        <f>G35/'yrP&amp;L'!E73</f>
        <v>0.10143844631483312</v>
      </c>
      <c r="H63" s="736">
        <f>H35/'yrP&amp;L'!F73</f>
        <v>3.4004668177226638E-2</v>
      </c>
      <c r="I63" s="736">
        <f>I35/'yrP&amp;L'!G73</f>
        <v>-3.7877500526784999E-2</v>
      </c>
      <c r="J63" s="736">
        <f>J35/'yrP&amp;L'!H73</f>
        <v>-0.32343408124159018</v>
      </c>
      <c r="K63" s="736">
        <f>K35/'yrP&amp;L'!I73</f>
        <v>-0.39547913188647821</v>
      </c>
      <c r="L63" s="736">
        <f>L35/'yrP&amp;L'!J73</f>
        <v>-0.8094723984161768</v>
      </c>
      <c r="M63" s="736">
        <f>M35/'yrP&amp;L'!K73</f>
        <v>-6.3481624270598516E-2</v>
      </c>
      <c r="N63" s="736">
        <f>N35/'yrP&amp;L'!L73</f>
        <v>-1.3864091105147149</v>
      </c>
      <c r="O63" s="736">
        <f>O35/'yrP&amp;L'!M73</f>
        <v>-0.25942956308215082</v>
      </c>
      <c r="P63" s="736">
        <f>P35/'yrP&amp;L'!N73</f>
        <v>-0.37676909875750381</v>
      </c>
      <c r="Q63" s="736">
        <f>Q35/'yrP&amp;L'!O73</f>
        <v>-0.13462359697603865</v>
      </c>
      <c r="R63" s="736">
        <f>R35/'yrP&amp;L'!P73</f>
        <v>-0.25679276679427882</v>
      </c>
      <c r="S63" s="736">
        <f>S35/'yrP&amp;L'!Q73</f>
        <v>0.13816322471560868</v>
      </c>
      <c r="T63" s="736">
        <f>T35/'yrP&amp;L'!R73</f>
        <v>0.15456276327344626</v>
      </c>
      <c r="U63" s="736">
        <f>U35/'yrP&amp;L'!S73</f>
        <v>5.8459298312578056</v>
      </c>
      <c r="V63" s="736">
        <f>V35/'yrP&amp;L'!T73</f>
        <v>-0.86730750761489961</v>
      </c>
      <c r="W63" s="736">
        <f>W35/'yrP&amp;L'!U73</f>
        <v>2.2442156071390706</v>
      </c>
      <c r="X63" s="736">
        <f>X35/'yrP&amp;L'!V73</f>
        <v>5.0653594771241828</v>
      </c>
      <c r="Y63" s="736">
        <f>Y35/'yrP&amp;L'!W73</f>
        <v>3.2581699346405228</v>
      </c>
      <c r="Z63" s="736">
        <f>Z35/'yrP&amp;L'!X73</f>
        <v>5.0073800738007384</v>
      </c>
      <c r="AA63" s="736">
        <f>AA35/'yrP&amp;L'!Y73</f>
        <v>2.4841705360911774</v>
      </c>
      <c r="AB63" s="736">
        <f>AB35/'yrP&amp;L'!Z73</f>
        <v>5.6583143507972666</v>
      </c>
      <c r="AC63" s="736">
        <f>AC35/'yrP&amp;L'!AA73</f>
        <v>6.9667318982387476</v>
      </c>
      <c r="AD63" s="736">
        <f>AD35/'yrP&amp;L'!AB73</f>
        <v>4.0205128205128204</v>
      </c>
      <c r="AE63" s="1282">
        <f>AE35/'yrP&amp;L'!AC73</f>
        <v>7.7088268156424586</v>
      </c>
      <c r="AF63" s="1321">
        <f>AF35/'yrP&amp;L'!AD73</f>
        <v>6.0654761904761907</v>
      </c>
      <c r="AG63" s="736">
        <f>AG35/'yrP&amp;L'!AE73</f>
        <v>6.5709826149021149</v>
      </c>
      <c r="AH63" s="736">
        <f>AH35/'yrP&amp;L'!AF73</f>
        <v>6.5509130452048279</v>
      </c>
      <c r="AI63" s="736">
        <f>AI35/'yrP&amp;L'!AG73</f>
        <v>6.3315230552353059</v>
      </c>
      <c r="AJ63" s="736">
        <f>AJ35/'yrP&amp;L'!AH73</f>
        <v>6.0977652048200337</v>
      </c>
      <c r="AK63" s="736">
        <f>AK35/'yrP&amp;L'!AI73</f>
        <v>6.1186703852291098</v>
      </c>
      <c r="AL63" s="737"/>
    </row>
    <row r="64" spans="1:50" x14ac:dyDescent="0.2">
      <c r="D64" s="305"/>
      <c r="E64" s="305"/>
      <c r="F64" s="305"/>
      <c r="G64" s="305"/>
      <c r="H64" s="305"/>
      <c r="I64" s="305"/>
      <c r="J64" s="305"/>
      <c r="K64" s="305"/>
      <c r="L64" s="305"/>
      <c r="M64" s="305"/>
      <c r="N64" s="305"/>
      <c r="O64" s="305"/>
      <c r="P64" s="305"/>
      <c r="Q64" s="305"/>
      <c r="R64" s="305"/>
      <c r="S64" s="305"/>
      <c r="T64" s="305"/>
    </row>
    <row r="65" spans="1:30" x14ac:dyDescent="0.2">
      <c r="A65" s="303" t="s">
        <v>88</v>
      </c>
      <c r="D65" s="305"/>
      <c r="E65" s="305"/>
      <c r="F65" s="305"/>
      <c r="G65" s="305"/>
      <c r="H65" s="305"/>
      <c r="I65" s="305"/>
      <c r="J65" s="305"/>
      <c r="K65" s="305"/>
      <c r="L65" s="305"/>
      <c r="M65" s="305"/>
      <c r="N65" s="305"/>
      <c r="O65" s="305"/>
      <c r="P65" s="305"/>
      <c r="Q65" s="305"/>
      <c r="R65" s="305"/>
      <c r="S65" s="305"/>
      <c r="T65" s="305"/>
    </row>
    <row r="66" spans="1:30" x14ac:dyDescent="0.2">
      <c r="D66" s="305"/>
      <c r="E66" s="305"/>
      <c r="F66" s="305"/>
      <c r="G66" s="305"/>
      <c r="H66" s="305"/>
      <c r="I66" s="305"/>
      <c r="J66" s="305"/>
      <c r="K66" s="305"/>
      <c r="L66" s="305"/>
      <c r="M66" s="305"/>
      <c r="N66" s="305"/>
      <c r="O66" s="305"/>
      <c r="P66" s="305"/>
      <c r="Q66" s="305"/>
      <c r="R66" s="305"/>
      <c r="S66" s="305"/>
      <c r="T66" s="305"/>
    </row>
    <row r="67" spans="1:30" customFormat="1" x14ac:dyDescent="0.2"/>
    <row r="69" spans="1:30" x14ac:dyDescent="0.2">
      <c r="AC69" s="315"/>
      <c r="AD69" s="315"/>
    </row>
    <row r="70" spans="1:30" x14ac:dyDescent="0.2">
      <c r="AC70" s="315"/>
      <c r="AD70" s="315"/>
    </row>
    <row r="71" spans="1:30" x14ac:dyDescent="0.2">
      <c r="AB71" s="419"/>
      <c r="AC71" s="315"/>
      <c r="AD71" s="315"/>
    </row>
    <row r="72" spans="1:30" x14ac:dyDescent="0.2">
      <c r="AC72" s="315"/>
      <c r="AD72" s="315"/>
    </row>
  </sheetData>
  <phoneticPr fontId="11" type="noConversion"/>
  <pageMargins left="0" right="0" top="0" bottom="0" header="0" footer="0"/>
  <pageSetup paperSize="5" orientation="landscape" horizontalDpi="300" verticalDpi="300"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L145"/>
  <sheetViews>
    <sheetView showGridLines="0" topLeftCell="A4" zoomScale="85" zoomScaleNormal="85" workbookViewId="0">
      <selection activeCell="B128" sqref="B128"/>
    </sheetView>
  </sheetViews>
  <sheetFormatPr defaultRowHeight="12.75" outlineLevelRow="1" x14ac:dyDescent="0.2"/>
  <cols>
    <col min="1" max="1" width="2.85546875" style="303" customWidth="1"/>
    <col min="2" max="2" width="11.140625" style="303" customWidth="1"/>
    <col min="3" max="3" width="2.140625" style="303" customWidth="1"/>
    <col min="4" max="4" width="9.140625" style="303"/>
    <col min="5" max="5" width="2.140625" style="303" customWidth="1"/>
    <col min="6" max="6" width="10" style="303" bestFit="1" customWidth="1"/>
    <col min="7" max="7" width="2.140625" style="303" customWidth="1"/>
    <col min="8" max="8" width="10.7109375" style="303" bestFit="1" customWidth="1"/>
    <col min="9" max="9" width="2.140625" style="303" customWidth="1"/>
    <col min="10" max="10" width="9.140625" style="303"/>
    <col min="11" max="11" width="2.140625" style="303" customWidth="1"/>
    <col min="12" max="12" width="9" style="303" customWidth="1"/>
    <col min="13" max="13" width="2.140625" style="303" customWidth="1"/>
    <col min="14" max="14" width="7.5703125" style="303" customWidth="1"/>
    <col min="15" max="15" width="2.140625" style="303" customWidth="1"/>
    <col min="16" max="16" width="8" style="303" customWidth="1"/>
    <col min="17" max="17" width="2.140625" style="303" customWidth="1"/>
    <col min="18" max="18" width="9.42578125" style="303" customWidth="1"/>
    <col min="19" max="19" width="2.140625" style="303" customWidth="1"/>
    <col min="20" max="20" width="9.140625" style="303"/>
    <col min="21" max="21" width="2.140625" style="303" customWidth="1"/>
    <col min="22" max="22" width="9.28515625" style="303" customWidth="1"/>
    <col min="23" max="23" width="2.140625" style="303" customWidth="1"/>
    <col min="24" max="24" width="9.28515625" style="303" customWidth="1"/>
    <col min="25" max="25" width="2.140625" style="303" customWidth="1"/>
    <col min="26" max="26" width="9.140625" style="303"/>
    <col min="27" max="27" width="2.140625" style="303" customWidth="1"/>
    <col min="28" max="28" width="9.140625" style="303"/>
    <col min="29" max="29" width="2.140625" style="303" customWidth="1"/>
    <col min="30" max="30" width="9.140625" style="303"/>
    <col min="31" max="31" width="2.140625" style="303" customWidth="1"/>
    <col min="32" max="32" width="9.140625" style="303"/>
    <col min="33" max="33" width="2.140625" style="303" customWidth="1"/>
    <col min="34" max="34" width="9.140625" style="303"/>
    <col min="35" max="35" width="2.140625" style="303" customWidth="1"/>
    <col min="36" max="36" width="9.140625" style="303"/>
    <col min="37" max="37" width="3.28515625" style="303" customWidth="1"/>
    <col min="38" max="38" width="10" style="303" bestFit="1" customWidth="1"/>
    <col min="39" max="16384" width="9.140625" style="303"/>
  </cols>
  <sheetData>
    <row r="1" spans="1:38" x14ac:dyDescent="0.2">
      <c r="A1" s="310" t="s">
        <v>453</v>
      </c>
      <c r="B1" s="310"/>
      <c r="C1" s="310"/>
    </row>
    <row r="2" spans="1:38" x14ac:dyDescent="0.2">
      <c r="A2" s="312" t="s">
        <v>577</v>
      </c>
      <c r="B2" s="312"/>
      <c r="C2" s="312"/>
      <c r="D2" s="313"/>
      <c r="E2" s="313"/>
      <c r="F2" s="313"/>
      <c r="G2" s="313"/>
      <c r="H2" s="313"/>
      <c r="I2" s="313"/>
      <c r="J2" s="313"/>
      <c r="K2" s="313"/>
      <c r="L2" s="313"/>
      <c r="M2" s="313"/>
      <c r="N2" s="313"/>
      <c r="O2" s="313"/>
      <c r="P2" s="313"/>
      <c r="Q2" s="313"/>
      <c r="R2" s="313"/>
      <c r="S2" s="313"/>
      <c r="T2" s="313"/>
      <c r="U2" s="313"/>
      <c r="V2" s="313"/>
      <c r="W2" s="313"/>
      <c r="X2" s="313"/>
      <c r="Y2" s="313"/>
      <c r="Z2" s="313"/>
      <c r="AA2" s="313"/>
      <c r="AB2" s="313"/>
      <c r="AC2" s="313"/>
      <c r="AD2" s="313"/>
      <c r="AE2" s="313"/>
      <c r="AF2" s="313"/>
      <c r="AG2" s="313"/>
      <c r="AH2" s="313"/>
      <c r="AI2" s="313"/>
      <c r="AJ2" s="313"/>
      <c r="AK2" s="313"/>
      <c r="AL2" s="313"/>
    </row>
    <row r="3" spans="1:38" x14ac:dyDescent="0.2">
      <c r="A3" s="741" t="s">
        <v>112</v>
      </c>
      <c r="B3" s="741"/>
      <c r="C3" s="741"/>
    </row>
    <row r="4" spans="1:38" x14ac:dyDescent="0.2">
      <c r="B4" s="742"/>
      <c r="C4" s="742"/>
      <c r="D4" s="742"/>
      <c r="E4" s="742"/>
      <c r="F4" s="742"/>
      <c r="G4" s="742"/>
      <c r="H4" s="742"/>
      <c r="I4" s="742"/>
      <c r="J4" s="742"/>
      <c r="K4" s="742"/>
      <c r="L4" s="743"/>
      <c r="M4" s="744"/>
      <c r="N4" s="745" t="s">
        <v>123</v>
      </c>
      <c r="O4" s="745"/>
      <c r="P4" s="745"/>
      <c r="Q4" s="742"/>
      <c r="R4" s="746"/>
      <c r="S4" s="746" t="s">
        <v>145</v>
      </c>
      <c r="T4" s="746"/>
      <c r="U4" s="742"/>
      <c r="V4" s="745"/>
      <c r="W4" s="745"/>
      <c r="X4" s="745" t="s">
        <v>101</v>
      </c>
      <c r="Y4" s="745"/>
      <c r="Z4" s="745"/>
      <c r="AA4" s="746"/>
      <c r="AB4" s="745"/>
      <c r="AC4" s="745"/>
      <c r="AD4" s="745" t="s">
        <v>73</v>
      </c>
      <c r="AE4" s="745"/>
      <c r="AF4" s="745"/>
      <c r="AG4" s="742"/>
      <c r="AH4" s="747"/>
      <c r="AI4" s="746" t="s">
        <v>150</v>
      </c>
      <c r="AJ4" s="747"/>
      <c r="AL4" s="742"/>
    </row>
    <row r="5" spans="1:38" x14ac:dyDescent="0.2">
      <c r="B5" s="748"/>
      <c r="C5" s="748"/>
      <c r="D5" s="748"/>
      <c r="E5" s="748"/>
      <c r="F5" s="748"/>
      <c r="G5" s="748"/>
      <c r="H5" s="749"/>
      <c r="I5" s="750" t="s">
        <v>125</v>
      </c>
      <c r="J5" s="749"/>
      <c r="K5" s="748"/>
      <c r="L5" s="746" t="s">
        <v>98</v>
      </c>
      <c r="M5" s="746"/>
      <c r="N5" s="745"/>
      <c r="O5" s="745" t="s">
        <v>144</v>
      </c>
      <c r="P5" s="745"/>
      <c r="Q5" s="748"/>
      <c r="R5" s="745"/>
      <c r="S5" s="745" t="s">
        <v>146</v>
      </c>
      <c r="T5" s="745"/>
      <c r="U5" s="748"/>
      <c r="V5" s="746" t="s">
        <v>136</v>
      </c>
      <c r="W5" s="746"/>
      <c r="X5" s="746" t="s">
        <v>125</v>
      </c>
      <c r="Y5" s="746"/>
      <c r="Z5" s="746" t="s">
        <v>137</v>
      </c>
      <c r="AA5" s="746"/>
      <c r="AB5" s="746" t="s">
        <v>138</v>
      </c>
      <c r="AC5" s="746"/>
      <c r="AD5" s="746" t="s">
        <v>125</v>
      </c>
      <c r="AE5" s="746"/>
      <c r="AF5" s="746" t="s">
        <v>137</v>
      </c>
      <c r="AG5" s="748"/>
      <c r="AH5" s="751"/>
      <c r="AI5" s="745" t="s">
        <v>149</v>
      </c>
      <c r="AJ5" s="751"/>
      <c r="AL5" s="748"/>
    </row>
    <row r="6" spans="1:38" x14ac:dyDescent="0.2">
      <c r="B6" s="748"/>
      <c r="C6" s="748"/>
      <c r="D6" s="748"/>
      <c r="E6" s="748"/>
      <c r="F6" s="746" t="s">
        <v>126</v>
      </c>
      <c r="G6" s="748"/>
      <c r="H6" s="752" t="s">
        <v>127</v>
      </c>
      <c r="I6" s="748"/>
      <c r="J6" s="752"/>
      <c r="K6" s="748"/>
      <c r="L6" s="746" t="s">
        <v>143</v>
      </c>
      <c r="M6" s="746"/>
      <c r="N6" s="746" t="s">
        <v>128</v>
      </c>
      <c r="O6" s="746"/>
      <c r="P6" s="746" t="s">
        <v>128</v>
      </c>
      <c r="Q6" s="748"/>
      <c r="R6" s="746"/>
      <c r="S6" s="746"/>
      <c r="T6" s="746" t="s">
        <v>129</v>
      </c>
      <c r="U6" s="748"/>
      <c r="V6" s="746" t="s">
        <v>139</v>
      </c>
      <c r="W6" s="746"/>
      <c r="X6" s="746" t="s">
        <v>140</v>
      </c>
      <c r="Y6" s="746"/>
      <c r="Z6" s="746" t="s">
        <v>102</v>
      </c>
      <c r="AA6" s="746"/>
      <c r="AB6" s="746" t="s">
        <v>127</v>
      </c>
      <c r="AC6" s="746"/>
      <c r="AD6" s="746" t="s">
        <v>140</v>
      </c>
      <c r="AE6" s="746"/>
      <c r="AF6" s="746" t="s">
        <v>102</v>
      </c>
      <c r="AG6" s="748"/>
      <c r="AH6" s="753"/>
      <c r="AI6" s="748"/>
      <c r="AJ6" s="746" t="s">
        <v>153</v>
      </c>
      <c r="AL6" s="746" t="s">
        <v>477</v>
      </c>
    </row>
    <row r="7" spans="1:38" x14ac:dyDescent="0.2">
      <c r="B7" s="748"/>
      <c r="C7" s="748"/>
      <c r="D7" s="745" t="s">
        <v>98</v>
      </c>
      <c r="E7" s="748"/>
      <c r="F7" s="745" t="s">
        <v>130</v>
      </c>
      <c r="G7" s="748"/>
      <c r="H7" s="750" t="s">
        <v>131</v>
      </c>
      <c r="I7" s="748"/>
      <c r="J7" s="750" t="s">
        <v>54</v>
      </c>
      <c r="K7" s="748"/>
      <c r="L7" s="745" t="s">
        <v>132</v>
      </c>
      <c r="M7" s="746"/>
      <c r="N7" s="745" t="s">
        <v>67</v>
      </c>
      <c r="O7" s="746"/>
      <c r="P7" s="745" t="s">
        <v>131</v>
      </c>
      <c r="Q7" s="748"/>
      <c r="R7" s="745" t="s">
        <v>147</v>
      </c>
      <c r="S7" s="746"/>
      <c r="T7" s="745" t="s">
        <v>148</v>
      </c>
      <c r="U7" s="748"/>
      <c r="V7" s="745" t="s">
        <v>141</v>
      </c>
      <c r="W7" s="746"/>
      <c r="X7" s="745" t="s">
        <v>68</v>
      </c>
      <c r="Y7" s="746"/>
      <c r="Z7" s="745" t="s">
        <v>70</v>
      </c>
      <c r="AA7" s="746"/>
      <c r="AB7" s="745" t="s">
        <v>131</v>
      </c>
      <c r="AC7" s="746"/>
      <c r="AD7" s="745" t="s">
        <v>142</v>
      </c>
      <c r="AE7" s="746"/>
      <c r="AF7" s="745" t="s">
        <v>70</v>
      </c>
      <c r="AG7" s="748"/>
      <c r="AH7" s="745" t="s">
        <v>151</v>
      </c>
      <c r="AI7" s="748"/>
      <c r="AJ7" s="745" t="s">
        <v>152</v>
      </c>
      <c r="AL7" s="745" t="s">
        <v>478</v>
      </c>
    </row>
    <row r="8" spans="1:38" hidden="1" outlineLevel="1" x14ac:dyDescent="0.2">
      <c r="A8" s="305"/>
      <c r="B8" s="305"/>
      <c r="C8" s="305"/>
      <c r="D8" s="305"/>
      <c r="E8" s="305"/>
      <c r="F8" s="305"/>
      <c r="G8" s="305"/>
      <c r="H8" s="305"/>
      <c r="I8" s="305"/>
      <c r="J8" s="305"/>
      <c r="K8" s="305"/>
      <c r="L8" s="380"/>
      <c r="M8" s="305"/>
      <c r="N8" s="305"/>
      <c r="O8" s="305"/>
      <c r="P8" s="305"/>
      <c r="Q8" s="305"/>
      <c r="R8" s="305"/>
      <c r="S8" s="305"/>
      <c r="T8" s="305"/>
      <c r="U8" s="305"/>
      <c r="V8" s="305"/>
      <c r="W8" s="305"/>
      <c r="X8" s="305"/>
      <c r="Y8" s="305"/>
      <c r="Z8" s="305"/>
      <c r="AA8" s="305"/>
      <c r="AB8" s="754"/>
      <c r="AC8" s="305"/>
      <c r="AD8" s="305"/>
      <c r="AE8" s="305"/>
      <c r="AF8" s="305"/>
      <c r="AG8" s="305"/>
      <c r="AH8" s="305"/>
      <c r="AI8" s="305"/>
      <c r="AJ8" s="305"/>
      <c r="AL8" s="305"/>
    </row>
    <row r="9" spans="1:38" hidden="1" outlineLevel="1" x14ac:dyDescent="0.2">
      <c r="B9" s="755">
        <v>2000</v>
      </c>
      <c r="C9" s="649"/>
      <c r="D9" s="305"/>
      <c r="E9" s="305"/>
      <c r="F9" s="305"/>
      <c r="G9" s="305"/>
      <c r="H9" s="305"/>
      <c r="I9" s="305"/>
      <c r="J9" s="305"/>
      <c r="K9" s="305"/>
      <c r="L9" s="380"/>
      <c r="M9" s="305"/>
      <c r="N9" s="305"/>
      <c r="O9" s="305"/>
      <c r="P9" s="305"/>
      <c r="Q9" s="305"/>
      <c r="R9" s="305"/>
      <c r="S9" s="305"/>
      <c r="T9" s="305"/>
      <c r="U9" s="305"/>
      <c r="V9" s="305"/>
      <c r="W9" s="305"/>
      <c r="X9" s="305"/>
      <c r="Y9" s="305"/>
      <c r="Z9" s="305"/>
      <c r="AA9" s="305"/>
      <c r="AB9" s="305"/>
      <c r="AC9" s="305"/>
      <c r="AD9" s="305"/>
      <c r="AE9" s="305"/>
      <c r="AF9" s="305"/>
      <c r="AG9" s="305"/>
      <c r="AH9" s="305"/>
      <c r="AI9" s="305"/>
      <c r="AJ9" s="305"/>
      <c r="AL9" s="305"/>
    </row>
    <row r="10" spans="1:38" hidden="1" outlineLevel="1" x14ac:dyDescent="0.2">
      <c r="A10" s="303" t="s">
        <v>104</v>
      </c>
      <c r="B10" s="303" t="s">
        <v>89</v>
      </c>
      <c r="D10" s="319">
        <f>qtrSales!S81</f>
        <v>1228.7</v>
      </c>
      <c r="E10" s="305"/>
      <c r="F10" s="756"/>
      <c r="G10" s="305"/>
      <c r="H10" s="756"/>
      <c r="I10" s="305"/>
      <c r="J10" s="756"/>
      <c r="K10" s="305"/>
      <c r="L10" s="380"/>
      <c r="M10" s="305"/>
      <c r="N10" s="305"/>
      <c r="O10" s="305"/>
      <c r="P10" s="305"/>
      <c r="Q10" s="305"/>
      <c r="R10" s="341"/>
      <c r="S10" s="305"/>
      <c r="T10" s="305"/>
      <c r="U10" s="305"/>
      <c r="V10" s="757"/>
      <c r="W10" s="305"/>
      <c r="X10" s="305"/>
      <c r="Y10" s="305"/>
      <c r="Z10" s="305"/>
      <c r="AA10" s="305"/>
      <c r="AB10" s="413">
        <f>qtrSales!AA81</f>
        <v>25724</v>
      </c>
      <c r="AC10" s="305"/>
      <c r="AD10" s="305"/>
      <c r="AE10" s="305"/>
      <c r="AF10" s="305"/>
      <c r="AG10" s="305"/>
      <c r="AH10" s="408"/>
      <c r="AI10" s="305"/>
      <c r="AJ10" s="305"/>
      <c r="AL10" s="756"/>
    </row>
    <row r="11" spans="1:38" hidden="1" outlineLevel="1" x14ac:dyDescent="0.2">
      <c r="A11" s="303" t="s">
        <v>105</v>
      </c>
      <c r="B11" s="303" t="s">
        <v>90</v>
      </c>
      <c r="D11" s="413">
        <f>qtrSales!S82</f>
        <v>1255.4000000000001</v>
      </c>
      <c r="E11" s="305"/>
      <c r="F11" s="432"/>
      <c r="G11" s="305"/>
      <c r="H11" s="432"/>
      <c r="I11" s="305"/>
      <c r="J11" s="432"/>
      <c r="K11" s="305"/>
      <c r="L11" s="380"/>
      <c r="M11" s="305"/>
      <c r="N11" s="305"/>
      <c r="O11" s="305"/>
      <c r="P11" s="305"/>
      <c r="Q11" s="305"/>
      <c r="R11" s="341"/>
      <c r="S11" s="305"/>
      <c r="T11" s="305"/>
      <c r="U11" s="305"/>
      <c r="V11" s="757"/>
      <c r="W11" s="305"/>
      <c r="X11" s="305"/>
      <c r="Y11" s="305"/>
      <c r="Z11" s="305"/>
      <c r="AA11" s="305"/>
      <c r="AB11" s="413">
        <f>qtrSales!AA82</f>
        <v>25744</v>
      </c>
      <c r="AC11" s="305"/>
      <c r="AD11" s="305"/>
      <c r="AE11" s="305"/>
      <c r="AF11" s="305"/>
      <c r="AG11" s="305"/>
      <c r="AH11" s="408"/>
      <c r="AI11" s="305"/>
      <c r="AJ11" s="305"/>
      <c r="AL11" s="432"/>
    </row>
    <row r="12" spans="1:38" hidden="1" outlineLevel="1" x14ac:dyDescent="0.2">
      <c r="A12" s="303" t="s">
        <v>106</v>
      </c>
      <c r="B12" s="303" t="s">
        <v>91</v>
      </c>
      <c r="D12" s="413">
        <f>qtrSales!S83</f>
        <v>1445</v>
      </c>
      <c r="E12" s="305"/>
      <c r="F12" s="432"/>
      <c r="G12" s="305"/>
      <c r="H12" s="432"/>
      <c r="I12" s="305"/>
      <c r="J12" s="432"/>
      <c r="K12" s="305"/>
      <c r="L12" s="380"/>
      <c r="M12" s="305"/>
      <c r="N12" s="305"/>
      <c r="O12" s="305"/>
      <c r="P12" s="305"/>
      <c r="Q12" s="305"/>
      <c r="R12" s="341"/>
      <c r="S12" s="305"/>
      <c r="T12" s="305"/>
      <c r="U12" s="305"/>
      <c r="V12" s="757"/>
      <c r="W12" s="305"/>
      <c r="X12" s="305"/>
      <c r="Y12" s="305"/>
      <c r="Z12" s="305"/>
      <c r="AA12" s="305"/>
      <c r="AB12" s="413">
        <f>qtrSales!AA83</f>
        <v>27746</v>
      </c>
      <c r="AC12" s="305"/>
      <c r="AD12" s="305"/>
      <c r="AE12" s="305"/>
      <c r="AF12" s="305"/>
      <c r="AG12" s="305"/>
      <c r="AH12" s="408"/>
      <c r="AI12" s="305"/>
      <c r="AJ12" s="305"/>
      <c r="AL12" s="432"/>
    </row>
    <row r="13" spans="1:38" hidden="1" outlineLevel="1" x14ac:dyDescent="0.2">
      <c r="A13" s="303" t="s">
        <v>107</v>
      </c>
      <c r="B13" s="303" t="s">
        <v>92</v>
      </c>
      <c r="D13" s="491">
        <f>qtrSales!S84</f>
        <v>2223.1</v>
      </c>
      <c r="E13" s="305"/>
      <c r="F13" s="432"/>
      <c r="G13" s="305"/>
      <c r="H13" s="432"/>
      <c r="I13" s="305"/>
      <c r="J13" s="432"/>
      <c r="K13" s="305"/>
      <c r="L13" s="380"/>
      <c r="M13" s="305"/>
      <c r="N13" s="305"/>
      <c r="O13" s="305"/>
      <c r="P13" s="305"/>
      <c r="Q13" s="305"/>
      <c r="R13" s="341"/>
      <c r="S13" s="305"/>
      <c r="T13" s="305"/>
      <c r="U13" s="305"/>
      <c r="V13" s="757"/>
      <c r="W13" s="305"/>
      <c r="X13" s="433"/>
      <c r="Y13" s="305"/>
      <c r="Z13" s="758"/>
      <c r="AA13" s="305"/>
      <c r="AB13" s="413">
        <f>qtrSales!AA84</f>
        <v>27763</v>
      </c>
      <c r="AC13" s="305"/>
      <c r="AD13" s="759"/>
      <c r="AE13" s="305"/>
      <c r="AF13" s="760"/>
      <c r="AG13" s="305"/>
      <c r="AH13" s="408"/>
      <c r="AI13" s="305"/>
      <c r="AJ13" s="305"/>
      <c r="AL13" s="432"/>
    </row>
    <row r="14" spans="1:38" hidden="1" outlineLevel="1" x14ac:dyDescent="0.2">
      <c r="B14" s="573" t="s">
        <v>67</v>
      </c>
      <c r="C14" s="573"/>
      <c r="D14" s="319">
        <f>qtrSales!S85</f>
        <v>6152.2000000000007</v>
      </c>
      <c r="F14" s="319"/>
      <c r="H14" s="319"/>
      <c r="J14" s="319"/>
      <c r="L14" s="600"/>
      <c r="R14" s="341"/>
      <c r="S14" s="305"/>
      <c r="V14" s="757"/>
      <c r="AB14" s="434"/>
      <c r="AL14" s="319"/>
    </row>
    <row r="15" spans="1:38" hidden="1" outlineLevel="1" x14ac:dyDescent="0.2">
      <c r="AB15" s="434"/>
    </row>
    <row r="16" spans="1:38" hidden="1" outlineLevel="1" x14ac:dyDescent="0.2">
      <c r="B16" s="755">
        <v>2001</v>
      </c>
      <c r="C16" s="649"/>
      <c r="L16" s="600"/>
    </row>
    <row r="17" spans="1:38" hidden="1" outlineLevel="1" x14ac:dyDescent="0.2">
      <c r="A17" s="303" t="s">
        <v>104</v>
      </c>
      <c r="B17" s="303" t="s">
        <v>89</v>
      </c>
      <c r="D17" s="319">
        <f>qtrSales!S88</f>
        <v>1488.3</v>
      </c>
      <c r="F17" s="319">
        <f>INDEX('qtrP&amp;L'!$20:$20,MATCH(B16,'qtrP&amp;L'!$6:$6,0))</f>
        <v>965.74900000000002</v>
      </c>
      <c r="H17" s="319">
        <f>INDEX(wc!$8:$8,MATCH(B16,wc!$5:$5,0))</f>
        <v>1134.1289999999999</v>
      </c>
      <c r="J17" s="449" t="s">
        <v>271</v>
      </c>
      <c r="L17" s="600">
        <f>(D17/D10-1)*100</f>
        <v>21.128021486123536</v>
      </c>
      <c r="M17" s="303" t="s">
        <v>102</v>
      </c>
      <c r="N17" s="761" t="s">
        <v>94</v>
      </c>
      <c r="O17" s="303" t="s">
        <v>102</v>
      </c>
      <c r="P17" s="761" t="s">
        <v>94</v>
      </c>
      <c r="Q17" s="303" t="s">
        <v>102</v>
      </c>
      <c r="R17" s="761" t="s">
        <v>94</v>
      </c>
      <c r="S17" s="303" t="s">
        <v>134</v>
      </c>
      <c r="T17" s="431">
        <f>F18/H17</f>
        <v>0.86153867858065536</v>
      </c>
      <c r="V17" s="453">
        <f>IF(qtrSales!J88=0," ",qtrSales!J88)</f>
        <v>354</v>
      </c>
      <c r="X17" s="320"/>
      <c r="AB17" s="413">
        <f>qtrSales!AA88</f>
        <v>30902</v>
      </c>
      <c r="AH17" s="688" t="s">
        <v>271</v>
      </c>
      <c r="AJ17" s="686">
        <f>H17/(F18/(365/4))</f>
        <v>105.9151518888625</v>
      </c>
      <c r="AL17" s="319">
        <f>INDEX('qtrP&amp;L'!$80:$80,MATCH(B16,'qtrP&amp;L'!$6:$6,0))</f>
        <v>129.53699999999998</v>
      </c>
    </row>
    <row r="18" spans="1:38" hidden="1" outlineLevel="1" x14ac:dyDescent="0.2">
      <c r="A18" s="303" t="s">
        <v>105</v>
      </c>
      <c r="B18" s="303" t="s">
        <v>90</v>
      </c>
      <c r="D18" s="413">
        <f>qtrSales!S89</f>
        <v>1515.8</v>
      </c>
      <c r="F18" s="413">
        <f>INDEX('qtrP&amp;L'!$21:$21,MATCH(B16,'qtrP&amp;L'!$6:$6,0))</f>
        <v>977.096</v>
      </c>
      <c r="H18" s="413">
        <f>INDEX(wc!$9:$9,MATCH(B16,wc!$5:$5,0))</f>
        <v>1167.652</v>
      </c>
      <c r="J18" s="413">
        <f>AVERAGE(H18,H17)</f>
        <v>1150.8905</v>
      </c>
      <c r="L18" s="600">
        <f>(D18/D11-1)*100</f>
        <v>20.742392862832549</v>
      </c>
      <c r="N18" s="761" t="s">
        <v>94</v>
      </c>
      <c r="P18" s="761" t="s">
        <v>94</v>
      </c>
      <c r="R18" s="431">
        <f>F18/J18</f>
        <v>0.8489912810992879</v>
      </c>
      <c r="T18" s="431">
        <f>F19/H18</f>
        <v>0.98481910706272069</v>
      </c>
      <c r="V18" s="453">
        <f>IF(qtrSales!J89=0," ",qtrSales!J89)</f>
        <v>354</v>
      </c>
      <c r="X18" s="320"/>
      <c r="AB18" s="413">
        <f>qtrSales!AA89</f>
        <v>30902</v>
      </c>
      <c r="AH18" s="686">
        <f>J18/(F18/(365/4))</f>
        <v>107.48049129768211</v>
      </c>
      <c r="AJ18" s="686">
        <f>H18/(F19/(365/4))</f>
        <v>92.656610077518039</v>
      </c>
      <c r="AL18" s="413">
        <f>INDEX('qtrP&amp;L'!$81:$81,MATCH(B16,'qtrP&amp;L'!$6:$6,0))</f>
        <v>150.89999999999995</v>
      </c>
    </row>
    <row r="19" spans="1:38" hidden="1" outlineLevel="1" x14ac:dyDescent="0.2">
      <c r="A19" s="303" t="s">
        <v>106</v>
      </c>
      <c r="B19" s="303" t="s">
        <v>91</v>
      </c>
      <c r="D19" s="413">
        <f>qtrSales!S90</f>
        <v>1760.346</v>
      </c>
      <c r="F19" s="413">
        <f>INDEX('qtrP&amp;L'!$22:$22,MATCH(B16,'qtrP&amp;L'!$6:$6,0))</f>
        <v>1149.9259999999999</v>
      </c>
      <c r="H19" s="413">
        <f>INDEX(wc!$10:$10,MATCH(B16,wc!$5:$5,0))</f>
        <v>1701.856</v>
      </c>
      <c r="J19" s="413">
        <f>AVERAGE(H19,H18)</f>
        <v>1434.7539999999999</v>
      </c>
      <c r="L19" s="600">
        <f>(D19/D12-1)*100</f>
        <v>21.823252595155719</v>
      </c>
      <c r="N19" s="761" t="s">
        <v>94</v>
      </c>
      <c r="P19" s="761" t="s">
        <v>94</v>
      </c>
      <c r="R19" s="431">
        <f>F19/J19</f>
        <v>0.80147955677419269</v>
      </c>
      <c r="T19" s="431">
        <f>F20/H19</f>
        <v>1.0744134638888367</v>
      </c>
      <c r="V19" s="453">
        <f>IF(qtrSales!J90=0," ",qtrSales!J90)</f>
        <v>382</v>
      </c>
      <c r="X19" s="320"/>
      <c r="AB19" s="413">
        <f>qtrSales!AA90</f>
        <v>33458</v>
      </c>
      <c r="AH19" s="686">
        <f>J19/(F19/(365/4))</f>
        <v>113.85193699420658</v>
      </c>
      <c r="AJ19" s="686">
        <f>H19/(F20/(365/4))</f>
        <v>84.930060043850219</v>
      </c>
      <c r="AL19" s="413">
        <f>INDEX('qtrP&amp;L'!$82:$82,MATCH(B16,'qtrP&amp;L'!$6:$6,0))</f>
        <v>172.77500000000006</v>
      </c>
    </row>
    <row r="20" spans="1:38" hidden="1" outlineLevel="1" x14ac:dyDescent="0.2">
      <c r="A20" s="303" t="s">
        <v>107</v>
      </c>
      <c r="B20" s="303" t="s">
        <v>92</v>
      </c>
      <c r="D20" s="491">
        <f>qtrSales!S91</f>
        <v>2724.2</v>
      </c>
      <c r="F20" s="491">
        <f>INDEX('qtrP&amp;L'!$23:$23,MATCH(B16,'qtrP&amp;L'!$6:$6,0))</f>
        <v>1828.4970000000001</v>
      </c>
      <c r="H20" s="491">
        <f>INDEX(wc!$11:$11,MATCH(B16,wc!$5:$5,0))</f>
        <v>1198.307</v>
      </c>
      <c r="J20" s="491">
        <f>AVERAGE(H20,H19)</f>
        <v>1450.0815</v>
      </c>
      <c r="L20" s="762">
        <f>(D20/D13-1)*100</f>
        <v>22.540596464396568</v>
      </c>
      <c r="N20" s="761" t="s">
        <v>94</v>
      </c>
      <c r="P20" s="761" t="s">
        <v>94</v>
      </c>
      <c r="R20" s="431">
        <f>F20/J20</f>
        <v>1.260961539058322</v>
      </c>
      <c r="T20" s="431">
        <f>F24/H20</f>
        <v>1.0110747913514651</v>
      </c>
      <c r="V20" s="455">
        <f>IF(qtrSales!J91=0," ",qtrSales!J91)</f>
        <v>382</v>
      </c>
      <c r="X20" s="320">
        <f>H20/V20</f>
        <v>3.1369293193717276</v>
      </c>
      <c r="Z20" s="763" t="s">
        <v>94</v>
      </c>
      <c r="AB20" s="413">
        <f>qtrSales!AA91</f>
        <v>33548</v>
      </c>
      <c r="AD20" s="759">
        <f>H20/AB20*1000</f>
        <v>35.719178490521045</v>
      </c>
      <c r="AF20" s="761" t="s">
        <v>271</v>
      </c>
      <c r="AH20" s="686">
        <f>J20/(F20/(365/4))</f>
        <v>72.365410976884291</v>
      </c>
      <c r="AJ20" s="686">
        <f>H20/(F24/(365/4))</f>
        <v>90.250494602906301</v>
      </c>
      <c r="AL20" s="491">
        <f>INDEX('qtrP&amp;L'!$83:$83,MATCH(B16,'qtrP&amp;L'!$6:$6,0))</f>
        <v>387.75599999999974</v>
      </c>
    </row>
    <row r="21" spans="1:38" hidden="1" outlineLevel="1" x14ac:dyDescent="0.2">
      <c r="B21" s="573" t="s">
        <v>67</v>
      </c>
      <c r="C21" s="573"/>
      <c r="D21" s="319">
        <f>qtrSales!S92</f>
        <v>7488.6459999999997</v>
      </c>
      <c r="F21" s="319">
        <f>INDEX('qtrP&amp;L'!$24:$24,MATCH(B16,'qtrP&amp;L'!$6:$6,0))</f>
        <v>4921.268</v>
      </c>
      <c r="H21" s="319">
        <f>INDEX(wc!$11:$11,MATCH(B16,wc!$5:$5,0))</f>
        <v>1198.307</v>
      </c>
      <c r="J21" s="319">
        <f>AVERAGE(J17:J20)</f>
        <v>1345.242</v>
      </c>
      <c r="L21" s="600">
        <f>(D21/D14-1)*100</f>
        <v>21.723058418126829</v>
      </c>
      <c r="R21" s="764">
        <f>F21/J21</f>
        <v>3.6582770980983348</v>
      </c>
      <c r="S21" s="565" t="s">
        <v>134</v>
      </c>
      <c r="V21" s="757">
        <f>V20</f>
        <v>382</v>
      </c>
      <c r="AB21" s="546"/>
      <c r="AL21" s="319">
        <f>INDEX('qtrP&amp;L'!$84:$84,MATCH(B16,'qtrP&amp;L'!$6:$6,0))</f>
        <v>840.96799999999939</v>
      </c>
    </row>
    <row r="22" spans="1:38" hidden="1" outlineLevel="1" x14ac:dyDescent="0.2">
      <c r="L22" s="600"/>
      <c r="AB22" s="546"/>
    </row>
    <row r="23" spans="1:38" hidden="1" outlineLevel="1" x14ac:dyDescent="0.2">
      <c r="B23" s="755">
        <v>2002</v>
      </c>
      <c r="C23" s="649"/>
      <c r="L23" s="600"/>
      <c r="AB23" s="413"/>
    </row>
    <row r="24" spans="1:38" hidden="1" outlineLevel="1" x14ac:dyDescent="0.2">
      <c r="A24" s="303" t="s">
        <v>104</v>
      </c>
      <c r="B24" s="303" t="s">
        <v>89</v>
      </c>
      <c r="D24" s="319">
        <f>qtrSales!S95</f>
        <v>1870.5</v>
      </c>
      <c r="F24" s="319">
        <f>INDEX('qtrP&amp;L'!$20:$20,MATCH(B23,'qtrP&amp;L'!$6:$6,0))</f>
        <v>1211.578</v>
      </c>
      <c r="H24" s="319">
        <f>INDEX(wc!$8:$8,MATCH(B23,wc!$5:$5,0))</f>
        <v>1418.9739999999999</v>
      </c>
      <c r="J24" s="319">
        <f>AVERAGE(H24,H20)</f>
        <v>1308.6405</v>
      </c>
      <c r="L24" s="600">
        <f>(D24/D17-1)*100</f>
        <v>25.680306389840759</v>
      </c>
      <c r="M24" s="303" t="s">
        <v>102</v>
      </c>
      <c r="N24" s="765">
        <f>(H24/H17-1)*100</f>
        <v>25.11574961931138</v>
      </c>
      <c r="O24" s="303" t="s">
        <v>102</v>
      </c>
      <c r="P24" s="765">
        <f>(H24/H20-1)*100</f>
        <v>18.414897017208443</v>
      </c>
      <c r="Q24" s="303" t="s">
        <v>102</v>
      </c>
      <c r="R24" s="431">
        <f>F24/J24</f>
        <v>0.92582951543987824</v>
      </c>
      <c r="S24" s="303" t="s">
        <v>134</v>
      </c>
      <c r="T24" s="431">
        <f>F25/H24</f>
        <v>0.86851485650899884</v>
      </c>
      <c r="V24" s="453">
        <f>IF(qtrSales!J95=0," ",qtrSales!J95)</f>
        <v>420</v>
      </c>
      <c r="X24" s="320"/>
      <c r="AB24" s="413">
        <f>qtrSales!AA95</f>
        <v>37042</v>
      </c>
      <c r="AH24" s="686">
        <f>J24/(F24/(365/4))</f>
        <v>98.560262422229528</v>
      </c>
      <c r="AJ24" s="686">
        <f>H24/(F25/(365/4))</f>
        <v>105.06440887698798</v>
      </c>
      <c r="AL24" s="319">
        <f>INDEX('qtrP&amp;L'!$80:$80,MATCH(B23,'qtrP&amp;L'!$6:$6,0))</f>
        <v>180.83399999999997</v>
      </c>
    </row>
    <row r="25" spans="1:38" hidden="1" outlineLevel="1" x14ac:dyDescent="0.2">
      <c r="A25" s="303" t="s">
        <v>105</v>
      </c>
      <c r="B25" s="303" t="s">
        <v>90</v>
      </c>
      <c r="D25" s="413">
        <f>qtrSales!S96</f>
        <v>1921.9</v>
      </c>
      <c r="F25" s="413">
        <f>INDEX('qtrP&amp;L'!$21:$21,MATCH(B23,'qtrP&amp;L'!$6:$6,0))</f>
        <v>1232.4000000000001</v>
      </c>
      <c r="H25" s="413">
        <f>INDEX(wc!$9:$9,MATCH(B23,wc!$5:$5,0))</f>
        <v>1454.4190000000001</v>
      </c>
      <c r="J25" s="413">
        <f>AVERAGE(H25,H24)</f>
        <v>1436.6965</v>
      </c>
      <c r="L25" s="600">
        <f>(D25/D18-1)*100</f>
        <v>26.791133394906996</v>
      </c>
      <c r="N25" s="765">
        <f>(H25/H18-1)*100</f>
        <v>24.559286499744793</v>
      </c>
      <c r="P25" s="765">
        <f>(H25/H24-1)*100</f>
        <v>2.4979316041026989</v>
      </c>
      <c r="R25" s="431">
        <f>F25/J25</f>
        <v>0.85780121271263632</v>
      </c>
      <c r="T25" s="431">
        <f>F26/H25</f>
        <v>0.96017722540753381</v>
      </c>
      <c r="V25" s="453">
        <f>IF(qtrSales!J96=0," ",qtrSales!J96)</f>
        <v>420</v>
      </c>
      <c r="X25" s="320"/>
      <c r="AB25" s="413">
        <f>qtrSales!AA96</f>
        <v>37054</v>
      </c>
      <c r="AH25" s="686">
        <f>J25/(F25/(365/4))</f>
        <v>106.37662741398897</v>
      </c>
      <c r="AJ25" s="686">
        <f>H25/(F26/(365/4))</f>
        <v>95.034539026136784</v>
      </c>
      <c r="AL25" s="413">
        <f>INDEX('qtrP&amp;L'!$81:$81,MATCH(B23,'qtrP&amp;L'!$6:$6,0))</f>
        <v>210.95000000000007</v>
      </c>
    </row>
    <row r="26" spans="1:38" hidden="1" outlineLevel="1" x14ac:dyDescent="0.2">
      <c r="A26" s="303" t="s">
        <v>106</v>
      </c>
      <c r="B26" s="303" t="s">
        <v>91</v>
      </c>
      <c r="D26" s="413">
        <f>qtrSales!S97</f>
        <v>2143.4</v>
      </c>
      <c r="F26" s="413">
        <f>INDEX('qtrP&amp;L'!$22:$22,MATCH(B23,'qtrP&amp;L'!$6:$6,0))</f>
        <v>1396.5</v>
      </c>
      <c r="H26" s="413">
        <f>INDEX(wc!$10:$10,MATCH(B23,wc!$5:$5,0))</f>
        <v>2078.3710000000001</v>
      </c>
      <c r="J26" s="413">
        <f>AVERAGE(H26,H25)</f>
        <v>1766.395</v>
      </c>
      <c r="L26" s="600">
        <f>(D26/D19-1)*100</f>
        <v>21.760153969730965</v>
      </c>
      <c r="N26" s="765">
        <f>(H26/H19-1)*100</f>
        <v>22.123787206438152</v>
      </c>
      <c r="P26" s="765">
        <f>(H26/H25-1)*100</f>
        <v>42.900429656103235</v>
      </c>
      <c r="R26" s="431">
        <f>F26/J26</f>
        <v>0.7905932704746107</v>
      </c>
      <c r="T26" s="431">
        <f>F27/H26</f>
        <v>1.0309886925866458</v>
      </c>
      <c r="V26" s="453">
        <f>IF(qtrSales!J97=0," ",qtrSales!J97)</f>
        <v>457</v>
      </c>
      <c r="X26" s="320"/>
      <c r="AB26" s="413">
        <f>qtrSales!AA97</f>
        <v>40557</v>
      </c>
      <c r="AH26" s="686">
        <f>J26/(F26/(365/4))</f>
        <v>115.41965180809166</v>
      </c>
      <c r="AJ26" s="686">
        <f>H26/(F27/(365/4))</f>
        <v>88.507275255427913</v>
      </c>
      <c r="AL26" s="413">
        <f>INDEX('qtrP&amp;L'!$82:$82,MATCH(B23,'qtrP&amp;L'!$6:$6,0))</f>
        <v>225.11000000000007</v>
      </c>
    </row>
    <row r="27" spans="1:38" hidden="1" outlineLevel="1" x14ac:dyDescent="0.2">
      <c r="A27" s="303" t="s">
        <v>107</v>
      </c>
      <c r="B27" s="303" t="s">
        <v>92</v>
      </c>
      <c r="D27" s="491">
        <f>qtrSales!S98</f>
        <v>3184.4</v>
      </c>
      <c r="F27" s="491">
        <f>INDEX('qtrP&amp;L'!$23:$23,MATCH(B23,'qtrP&amp;L'!$6:$6,0))</f>
        <v>2142.7769999999996</v>
      </c>
      <c r="H27" s="491">
        <f>INDEX(wc!$11:$11,MATCH(B23,wc!$5:$5,0))</f>
        <v>1626.9960000000001</v>
      </c>
      <c r="J27" s="491">
        <f>AVERAGE(H27,H26)</f>
        <v>1852.6835000000001</v>
      </c>
      <c r="L27" s="762">
        <f>(D27/D20-1)*100</f>
        <v>16.893032816973808</v>
      </c>
      <c r="N27" s="765">
        <f>(H27/H20-1)*100</f>
        <v>35.774555268391154</v>
      </c>
      <c r="P27" s="765">
        <f>(H27/H26-1)*100</f>
        <v>-21.717729895191951</v>
      </c>
      <c r="R27" s="431">
        <f>F27/J27</f>
        <v>1.1565801714108208</v>
      </c>
      <c r="T27" s="431">
        <f>F31/H27</f>
        <v>0.84602482120423161</v>
      </c>
      <c r="V27" s="455">
        <f>IF(qtrSales!J98=0," ",qtrSales!J98)</f>
        <v>457</v>
      </c>
      <c r="X27" s="320">
        <f>H27/V27</f>
        <v>3.5601663019693657</v>
      </c>
      <c r="Z27" s="419">
        <f>X27/X20-1</f>
        <v>0.13492079020843395</v>
      </c>
      <c r="AB27" s="413">
        <f>qtrSales!AA98</f>
        <v>40579</v>
      </c>
      <c r="AD27" s="759">
        <f>H27/AB27*1000</f>
        <v>40.094531654303957</v>
      </c>
      <c r="AF27" s="765">
        <f>(AD27/AD20-1)*100</f>
        <v>12.249310730771757</v>
      </c>
      <c r="AH27" s="686">
        <f>J27/(F27/(365/4))</f>
        <v>78.896389766643964</v>
      </c>
      <c r="AJ27" s="686">
        <f>H27/(F31/(365/4))</f>
        <v>107.85735561530544</v>
      </c>
      <c r="AL27" s="491">
        <f>INDEX('qtrP&amp;L'!$83:$83,MATCH(B23,'qtrP&amp;L'!$6:$6,0))</f>
        <v>462.8540000000005</v>
      </c>
    </row>
    <row r="28" spans="1:38" hidden="1" outlineLevel="1" x14ac:dyDescent="0.2">
      <c r="B28" s="573" t="s">
        <v>67</v>
      </c>
      <c r="C28" s="573"/>
      <c r="D28" s="319">
        <f>qtrSales!S99</f>
        <v>9120.2000000000007</v>
      </c>
      <c r="F28" s="319">
        <f>INDEX('qtrP&amp;L'!$24:$24,MATCH(B23,'qtrP&amp;L'!$6:$6,0))</f>
        <v>5983.2549999999992</v>
      </c>
      <c r="H28" s="319">
        <f>INDEX(wc!$11:$11,MATCH(B23,wc!$5:$5,0))</f>
        <v>1626.9960000000001</v>
      </c>
      <c r="J28" s="319">
        <f>AVERAGE(J24:J27)</f>
        <v>1591.103875</v>
      </c>
      <c r="L28" s="600">
        <f>(D28/D21-1)*100</f>
        <v>21.787036000900571</v>
      </c>
      <c r="R28" s="764">
        <f>F28/J28</f>
        <v>3.7604427303654195</v>
      </c>
      <c r="S28" s="565" t="s">
        <v>134</v>
      </c>
      <c r="V28" s="757">
        <f>V27</f>
        <v>457</v>
      </c>
      <c r="AB28" s="546"/>
      <c r="AL28" s="319">
        <f>INDEX('qtrP&amp;L'!$84:$84,MATCH(B23,'qtrP&amp;L'!$6:$6,0))</f>
        <v>1077.6490000000015</v>
      </c>
    </row>
    <row r="29" spans="1:38" hidden="1" outlineLevel="1" x14ac:dyDescent="0.2">
      <c r="AB29" s="546"/>
    </row>
    <row r="30" spans="1:38" hidden="1" outlineLevel="1" x14ac:dyDescent="0.2">
      <c r="B30" s="755">
        <v>2003</v>
      </c>
      <c r="C30" s="649"/>
      <c r="AB30" s="546"/>
    </row>
    <row r="31" spans="1:38" hidden="1" outlineLevel="1" x14ac:dyDescent="0.2">
      <c r="A31" s="303" t="s">
        <v>104</v>
      </c>
      <c r="B31" s="303" t="s">
        <v>89</v>
      </c>
      <c r="D31" s="319">
        <f>qtrSales!S102</f>
        <v>2117.6999999999998</v>
      </c>
      <c r="F31" s="319">
        <f>INDEX('qtrP&amp;L'!$20:$20,MATCH(B30,'qtrP&amp;L'!$6:$6,0))</f>
        <v>1376.479</v>
      </c>
      <c r="H31" s="319">
        <f>INDEX(wc!$8:$8,MATCH(B30,wc!$5:$5,0))</f>
        <v>1810.9780000000001</v>
      </c>
      <c r="J31" s="319">
        <f>AVERAGE(H31,H27)</f>
        <v>1718.9870000000001</v>
      </c>
      <c r="L31" s="600">
        <f>(D31/D24-1)*100</f>
        <v>13.21571772253407</v>
      </c>
      <c r="M31" s="303" t="s">
        <v>102</v>
      </c>
      <c r="N31" s="765">
        <f>(H31/H24-1)*100</f>
        <v>27.625876161226358</v>
      </c>
      <c r="O31" s="303" t="s">
        <v>102</v>
      </c>
      <c r="P31" s="765">
        <f>(H31/H27-1)*100</f>
        <v>11.308079429820349</v>
      </c>
      <c r="Q31" s="303" t="s">
        <v>102</v>
      </c>
      <c r="R31" s="431">
        <f>F31/J31</f>
        <v>0.80075009293263999</v>
      </c>
      <c r="S31" s="303" t="s">
        <v>134</v>
      </c>
      <c r="T31" s="431">
        <f>F32/H31</f>
        <v>0.81265481966097874</v>
      </c>
      <c r="V31" s="453">
        <f>IF(qtrSales!J102=0," ",qtrSales!J102)</f>
        <v>492</v>
      </c>
      <c r="X31" s="320">
        <f>H31/V31</f>
        <v>3.6808495934959349</v>
      </c>
      <c r="AB31" s="413">
        <f>qtrSales!AA102</f>
        <v>43604</v>
      </c>
      <c r="AD31" s="759">
        <f>H31/AB31*1000</f>
        <v>41.532382350243097</v>
      </c>
      <c r="AH31" s="686">
        <f>J31/(F31/(365/4))</f>
        <v>113.9556533372467</v>
      </c>
      <c r="AJ31" s="686">
        <f>H31/(F32/(365/4))</f>
        <v>112.28629645987633</v>
      </c>
      <c r="AL31" s="319">
        <f>INDEX('qtrP&amp;L'!$80:$80,MATCH(B30,'qtrP&amp;L'!$6:$6,0))</f>
        <v>192.1969999999998</v>
      </c>
    </row>
    <row r="32" spans="1:38" hidden="1" outlineLevel="1" x14ac:dyDescent="0.2">
      <c r="A32" s="303" t="s">
        <v>105</v>
      </c>
      <c r="B32" s="303" t="s">
        <v>90</v>
      </c>
      <c r="D32" s="413">
        <f>qtrSales!S103</f>
        <v>2208.4</v>
      </c>
      <c r="F32" s="413">
        <f>INDEX('qtrP&amp;L'!$21:$21,MATCH(B30,'qtrP&amp;L'!$6:$6,0))</f>
        <v>1471.7</v>
      </c>
      <c r="H32" s="413">
        <f>INDEX(wc!$9:$9,MATCH(B30,wc!$5:$5,0))</f>
        <v>1716.7629999999999</v>
      </c>
      <c r="J32" s="413">
        <f>AVERAGE(H32,H31)</f>
        <v>1763.8705</v>
      </c>
      <c r="L32" s="600">
        <f>(D32/D25-1)*100</f>
        <v>14.907123159373526</v>
      </c>
      <c r="N32" s="765">
        <f>(H32/H25-1)*100</f>
        <v>18.037718154122008</v>
      </c>
      <c r="P32" s="765">
        <f>(H32/H31-1)*100</f>
        <v>-5.20243757792751</v>
      </c>
      <c r="R32" s="431">
        <f>F32/J32</f>
        <v>0.83435830464878236</v>
      </c>
      <c r="T32" s="431">
        <f>F33/H32</f>
        <v>0.91957946437568849</v>
      </c>
      <c r="V32" s="453">
        <f>IF(qtrSales!J103=0," ",qtrSales!J103)</f>
        <v>492</v>
      </c>
      <c r="X32" s="320">
        <f>H32/V32</f>
        <v>3.4893556910569106</v>
      </c>
      <c r="AB32" s="413">
        <f>qtrSales!AA103</f>
        <v>43691</v>
      </c>
      <c r="AD32" s="759">
        <f>H32/AB32*1000</f>
        <v>39.293286946968479</v>
      </c>
      <c r="AH32" s="686">
        <f>J32/(F32/(365/4))</f>
        <v>109.36548421893048</v>
      </c>
      <c r="AJ32" s="686">
        <f>H32/(F33/(365/4))</f>
        <v>99.230141097105189</v>
      </c>
      <c r="AL32" s="413">
        <f>INDEX('qtrP&amp;L'!$81:$81,MATCH(B30,'qtrP&amp;L'!$6:$6,0))</f>
        <v>200.70000000000005</v>
      </c>
    </row>
    <row r="33" spans="1:38" hidden="1" outlineLevel="1" x14ac:dyDescent="0.2">
      <c r="A33" s="303" t="s">
        <v>106</v>
      </c>
      <c r="B33" s="303" t="s">
        <v>91</v>
      </c>
      <c r="D33" s="413">
        <f>qtrSales!S104</f>
        <v>2394</v>
      </c>
      <c r="F33" s="413">
        <f>INDEX('qtrP&amp;L'!$22:$22,MATCH(B30,'qtrP&amp;L'!$6:$6,0))</f>
        <v>1578.7</v>
      </c>
      <c r="H33" s="413">
        <f>INDEX(wc!$10:$10,MATCH(B30,wc!$5:$5,0))</f>
        <v>2424.8020000000001</v>
      </c>
      <c r="J33" s="413">
        <f>AVERAGE(H33,H32)</f>
        <v>2070.7825000000003</v>
      </c>
      <c r="L33" s="600">
        <f>(D33/D26-1)*100</f>
        <v>11.691704768125399</v>
      </c>
      <c r="N33" s="765">
        <f>(H33/H26-1)*100</f>
        <v>16.668390773350872</v>
      </c>
      <c r="P33" s="765">
        <f>(H33/H32-1)*100</f>
        <v>41.242675896439998</v>
      </c>
      <c r="R33" s="431">
        <f>F33/J33</f>
        <v>0.76236881468720152</v>
      </c>
      <c r="T33" s="431">
        <f>F34/H33</f>
        <v>1.0166603293794709</v>
      </c>
      <c r="V33" s="453">
        <f>IF(qtrSales!J104=0," ",qtrSales!J104)</f>
        <v>542</v>
      </c>
      <c r="X33" s="320">
        <f>H33/V33</f>
        <v>4.4738044280442804</v>
      </c>
      <c r="AB33" s="413">
        <f>qtrSales!AA104</f>
        <v>48427</v>
      </c>
      <c r="AD33" s="759">
        <f>H33/AB33*1000</f>
        <v>50.07128254899127</v>
      </c>
      <c r="AH33" s="686">
        <f>J33/(F33/(365/4))</f>
        <v>119.69272383923482</v>
      </c>
      <c r="AJ33" s="686">
        <f>H33/(F34/(365/4))</f>
        <v>89.754657837092338</v>
      </c>
      <c r="AL33" s="413">
        <f>INDEX('qtrP&amp;L'!$82:$82,MATCH(B30,'qtrP&amp;L'!$6:$6,0))</f>
        <v>206.20999999999989</v>
      </c>
    </row>
    <row r="34" spans="1:38" hidden="1" outlineLevel="1" x14ac:dyDescent="0.2">
      <c r="A34" s="303" t="s">
        <v>107</v>
      </c>
      <c r="B34" s="303" t="s">
        <v>92</v>
      </c>
      <c r="D34" s="491">
        <f>qtrSales!S105</f>
        <v>3561.9</v>
      </c>
      <c r="F34" s="491">
        <f>INDEX('qtrP&amp;L'!$23:$23,MATCH(B30,'qtrP&amp;L'!$6:$6,0))</f>
        <v>2465.1999999999998</v>
      </c>
      <c r="H34" s="491">
        <f>INDEX(wc!$11:$11,MATCH(B30,wc!$5:$5,0))</f>
        <v>1606.99</v>
      </c>
      <c r="J34" s="491">
        <f>AVERAGE(H34,H33)</f>
        <v>2015.8960000000002</v>
      </c>
      <c r="L34" s="762">
        <f>(D34/D27-1)*100</f>
        <v>11.854666499183519</v>
      </c>
      <c r="N34" s="765">
        <f>(H34/H27-1)*100</f>
        <v>-1.2296280998847053</v>
      </c>
      <c r="P34" s="765">
        <f>(H34/H33-1)*100</f>
        <v>-33.726959974463902</v>
      </c>
      <c r="R34" s="431">
        <f>F34/J34</f>
        <v>1.2228805454249623</v>
      </c>
      <c r="T34" s="431">
        <f>F38/H34</f>
        <v>0.95383294233318183</v>
      </c>
      <c r="V34" s="455">
        <f>IF(qtrSales!J105=0," ",qtrSales!J105)</f>
        <v>542</v>
      </c>
      <c r="X34" s="320">
        <f>H34/V34</f>
        <v>2.9649261992619929</v>
      </c>
      <c r="Z34" s="419">
        <f>X34/X27-1</f>
        <v>-0.16719446571304997</v>
      </c>
      <c r="AB34" s="413">
        <f>qtrSales!AA105</f>
        <v>48427</v>
      </c>
      <c r="AD34" s="759">
        <f>H34/AB34*1000</f>
        <v>33.183761124992259</v>
      </c>
      <c r="AF34" s="765">
        <f>(AD34/AD27-1)*100</f>
        <v>-17.236192179264076</v>
      </c>
      <c r="AH34" s="686">
        <f>J34/(F34/(365/4))</f>
        <v>74.618899075125753</v>
      </c>
      <c r="AJ34" s="686">
        <f>H34/(F38/(365/4))</f>
        <v>95.666647638308987</v>
      </c>
      <c r="AL34" s="491">
        <f>INDEX('qtrP&amp;L'!$83:$83,MATCH(B30,'qtrP&amp;L'!$6:$6,0))</f>
        <v>409.70000000000033</v>
      </c>
    </row>
    <row r="35" spans="1:38" hidden="1" outlineLevel="1" x14ac:dyDescent="0.2">
      <c r="B35" s="573" t="s">
        <v>67</v>
      </c>
      <c r="C35" s="573"/>
      <c r="D35" s="319">
        <f>qtrSales!S106</f>
        <v>10282</v>
      </c>
      <c r="F35" s="319">
        <f>INDEX('qtrP&amp;L'!$24:$24,MATCH(B30,'qtrP&amp;L'!$6:$6,0))</f>
        <v>6892.0789999999997</v>
      </c>
      <c r="H35" s="319">
        <f>INDEX(wc!$11:$11,MATCH(B30,wc!$5:$5,0))</f>
        <v>1606.99</v>
      </c>
      <c r="J35" s="319">
        <f>AVERAGE(J31:J34)</f>
        <v>1892.384</v>
      </c>
      <c r="L35" s="600">
        <f>(D35/D28-1)*100</f>
        <v>12.738755729041017</v>
      </c>
      <c r="N35" s="600"/>
      <c r="R35" s="764">
        <f>F35/J35</f>
        <v>3.6420087043644416</v>
      </c>
      <c r="S35" s="565" t="s">
        <v>134</v>
      </c>
      <c r="V35" s="757">
        <f>V34</f>
        <v>542</v>
      </c>
      <c r="AB35" s="546"/>
      <c r="AL35" s="319">
        <f>INDEX('qtrP&amp;L'!$84:$84,MATCH(B30,'qtrP&amp;L'!$6:$6,0))</f>
        <v>1006.6620000000003</v>
      </c>
    </row>
    <row r="36" spans="1:38" hidden="1" outlineLevel="1" x14ac:dyDescent="0.2">
      <c r="B36" s="755"/>
      <c r="L36" s="600"/>
      <c r="AB36" s="546"/>
    </row>
    <row r="37" spans="1:38" hidden="1" outlineLevel="1" x14ac:dyDescent="0.2">
      <c r="B37" s="755">
        <v>2004</v>
      </c>
      <c r="C37" s="649"/>
      <c r="L37" s="600"/>
      <c r="AB37" s="546"/>
    </row>
    <row r="38" spans="1:38" hidden="1" outlineLevel="1" x14ac:dyDescent="0.2">
      <c r="A38" s="303" t="s">
        <v>104</v>
      </c>
      <c r="B38" s="303" t="s">
        <v>89</v>
      </c>
      <c r="D38" s="319">
        <f>qtrSales!S109</f>
        <v>2380.1999999999998</v>
      </c>
      <c r="F38" s="319">
        <f>INDEX('qtrP&amp;L'!$20:$20,MATCH(B37,'qtrP&amp;L'!$6:$6,0))</f>
        <v>1532.8</v>
      </c>
      <c r="H38" s="319">
        <f>INDEX(wc!$8:$8,MATCH(B37,wc!$5:$5,0))</f>
        <v>1862.1949999999999</v>
      </c>
      <c r="J38" s="319">
        <f>AVERAGE(H38,H34)</f>
        <v>1734.5925</v>
      </c>
      <c r="L38" s="600">
        <f>(D38/D31-1)*100</f>
        <v>12.395523445247214</v>
      </c>
      <c r="M38" s="303" t="s">
        <v>102</v>
      </c>
      <c r="N38" s="765">
        <f>(H38/H31-1)*100</f>
        <v>2.828140374979693</v>
      </c>
      <c r="O38" s="303" t="s">
        <v>102</v>
      </c>
      <c r="P38" s="765">
        <f>(H38/H34-1)*100</f>
        <v>15.880932675374449</v>
      </c>
      <c r="Q38" s="303" t="s">
        <v>102</v>
      </c>
      <c r="R38" s="431">
        <f>F38/J38</f>
        <v>0.88366576011368658</v>
      </c>
      <c r="S38" s="303" t="s">
        <v>134</v>
      </c>
      <c r="T38" s="431">
        <f>F39/H38</f>
        <v>0.85265452866106939</v>
      </c>
      <c r="V38" s="453">
        <f>IF(qtrSales!J109=0," ",qtrSales!J109)</f>
        <v>589</v>
      </c>
      <c r="X38" s="320">
        <f>H38/V38</f>
        <v>3.1616213921901526</v>
      </c>
      <c r="Z38" s="419">
        <f>X38/X31-1</f>
        <v>-0.14106205323446497</v>
      </c>
      <c r="AB38" s="413">
        <f>qtrSales!AA109</f>
        <v>52617</v>
      </c>
      <c r="AD38" s="759">
        <f>H38/AB38*1000</f>
        <v>35.391508447840053</v>
      </c>
      <c r="AF38" s="420" t="s">
        <v>94</v>
      </c>
      <c r="AH38" s="686">
        <f>J38/(F38/(365/4))</f>
        <v>103.26302559042277</v>
      </c>
      <c r="AJ38" s="686">
        <f>H38/(F39/(365/4))</f>
        <v>107.01872438687523</v>
      </c>
      <c r="AL38" s="319">
        <f>INDEX('qtrP&amp;L'!$80:$80,MATCH(B37,'qtrP&amp;L'!$6:$6,0))</f>
        <v>180.69999999999987</v>
      </c>
    </row>
    <row r="39" spans="1:38" hidden="1" outlineLevel="1" x14ac:dyDescent="0.2">
      <c r="A39" s="303" t="s">
        <v>105</v>
      </c>
      <c r="B39" s="303" t="s">
        <v>90</v>
      </c>
      <c r="D39" s="413">
        <f>qtrSales!S110</f>
        <v>2497.9</v>
      </c>
      <c r="F39" s="413">
        <f>INDEX('qtrP&amp;L'!$21:$21,MATCH(B37,'qtrP&amp;L'!$6:$6,0))</f>
        <v>1587.809</v>
      </c>
      <c r="H39" s="413">
        <f>INDEX(wc!$9:$9,MATCH(B37,wc!$5:$5,0))</f>
        <v>1776.212</v>
      </c>
      <c r="J39" s="413">
        <f>AVERAGE(H39,H38)</f>
        <v>1819.2035000000001</v>
      </c>
      <c r="L39" s="600">
        <f>(D39/D32-1)*100</f>
        <v>13.109038217714186</v>
      </c>
      <c r="N39" s="765">
        <f>(H39/H32-1)*100</f>
        <v>3.4628542204136581</v>
      </c>
      <c r="P39" s="765">
        <f>(H39/H38-1)*100</f>
        <v>-4.6172930332215483</v>
      </c>
      <c r="R39" s="431">
        <f>F39/J39</f>
        <v>0.872804499331713</v>
      </c>
      <c r="T39" s="431">
        <f>F40/H39</f>
        <v>0.98991561818071261</v>
      </c>
      <c r="V39" s="453">
        <f>IF(qtrSales!J110=0," ",qtrSales!J110)</f>
        <v>589</v>
      </c>
      <c r="X39" s="320">
        <f>H39/V39</f>
        <v>3.0156400679117148</v>
      </c>
      <c r="Z39" s="419">
        <f>X39/X32-1</f>
        <v>-0.135760199041706</v>
      </c>
      <c r="AB39" s="413">
        <f>qtrSales!AA110</f>
        <v>52702</v>
      </c>
      <c r="AD39" s="759">
        <f>H39/AB39*1000</f>
        <v>33.70293347501044</v>
      </c>
      <c r="AF39" s="420" t="s">
        <v>94</v>
      </c>
      <c r="AH39" s="686">
        <f>J39/(F39/(365/4))</f>
        <v>104.54804033419636</v>
      </c>
      <c r="AJ39" s="686">
        <f>H39/(F40/(365/4))</f>
        <v>92.179574020360576</v>
      </c>
      <c r="AL39" s="413">
        <f>INDEX('qtrP&amp;L'!$81:$81,MATCH(B37,'qtrP&amp;L'!$6:$6,0))</f>
        <v>251.28000000000014</v>
      </c>
    </row>
    <row r="40" spans="1:38" hidden="1" outlineLevel="1" x14ac:dyDescent="0.2">
      <c r="A40" s="303" t="s">
        <v>106</v>
      </c>
      <c r="B40" s="303" t="s">
        <v>91</v>
      </c>
      <c r="D40" s="413">
        <f>qtrSales!S111</f>
        <v>2743.9</v>
      </c>
      <c r="F40" s="413">
        <f>INDEX('qtrP&amp;L'!$22:$22,MATCH(B37,'qtrP&amp;L'!$6:$6,0))</f>
        <v>1758.3</v>
      </c>
      <c r="H40" s="413">
        <f>INDEX(wc!$10:$10,MATCH(B37,wc!$5:$5,0))</f>
        <v>2640.348</v>
      </c>
      <c r="J40" s="413">
        <f>AVERAGE(H40,H39)</f>
        <v>2208.2799999999997</v>
      </c>
      <c r="L40" s="600">
        <f>(D40/D33-1)*100</f>
        <v>14.615705931495416</v>
      </c>
      <c r="N40" s="765">
        <f>(H40/H33-1)*100</f>
        <v>8.8892206456444569</v>
      </c>
      <c r="P40" s="765">
        <f>(H40/H39-1)*100</f>
        <v>48.650498926929899</v>
      </c>
      <c r="R40" s="431">
        <f>F40/J40</f>
        <v>0.79623055047367186</v>
      </c>
      <c r="T40" s="431">
        <f>F41/H40</f>
        <v>1.0256663136828934</v>
      </c>
      <c r="V40" s="453">
        <f>IF(qtrSales!J111=0," ",qtrSales!J111)</f>
        <v>637</v>
      </c>
      <c r="X40" s="320">
        <f>H40/V40</f>
        <v>4.1449733124018842</v>
      </c>
      <c r="Z40" s="419">
        <f>X40/X33-1</f>
        <v>-7.3501450707389226E-2</v>
      </c>
      <c r="AB40" s="413">
        <f>qtrSales!AA111</f>
        <v>57386</v>
      </c>
      <c r="AD40" s="759">
        <f>H40/AB40*1000</f>
        <v>46.010316104973342</v>
      </c>
      <c r="AF40" s="420" t="s">
        <v>94</v>
      </c>
      <c r="AH40" s="686">
        <f>J40/(F40/(365/4))</f>
        <v>114.60248535517259</v>
      </c>
      <c r="AJ40" s="686">
        <f>H40/(F41/(365/4))</f>
        <v>88.966556454745657</v>
      </c>
      <c r="AL40" s="413">
        <f>INDEX('qtrP&amp;L'!$82:$82,MATCH(B37,'qtrP&amp;L'!$6:$6,0))</f>
        <v>231.50600000000011</v>
      </c>
    </row>
    <row r="41" spans="1:38" hidden="1" outlineLevel="1" x14ac:dyDescent="0.2">
      <c r="A41" s="303" t="s">
        <v>107</v>
      </c>
      <c r="B41" s="303" t="s">
        <v>92</v>
      </c>
      <c r="D41" s="491">
        <f>qtrSales!S112</f>
        <v>4078.7</v>
      </c>
      <c r="F41" s="491">
        <f>INDEX('qtrP&amp;L'!$23:$23,MATCH(B37,'qtrP&amp;L'!$6:$6,0))</f>
        <v>2708.116</v>
      </c>
      <c r="H41" s="491">
        <f>INDEX(wc!$11:$11,MATCH(B37,wc!$5:$5,0))</f>
        <v>1946.9770000000001</v>
      </c>
      <c r="J41" s="491">
        <f>AVERAGE(H41,H40)</f>
        <v>2293.6624999999999</v>
      </c>
      <c r="L41" s="762">
        <f>(D41/D34-1)*100</f>
        <v>14.509110306297202</v>
      </c>
      <c r="N41" s="765">
        <f>(H41/H34-1)*100</f>
        <v>21.156758909514075</v>
      </c>
      <c r="P41" s="765">
        <f>(H41/H40-1)*100</f>
        <v>-26.260591406890299</v>
      </c>
      <c r="R41" s="431">
        <f>F41/J41</f>
        <v>1.1806950673867669</v>
      </c>
      <c r="T41" s="431">
        <f>F45/H41</f>
        <v>0.90376003414524153</v>
      </c>
      <c r="V41" s="455">
        <f>IF(qtrSales!J112=0," ",qtrSales!J112)</f>
        <v>637</v>
      </c>
      <c r="X41" s="320">
        <f>H41/V41</f>
        <v>3.0564788069073785</v>
      </c>
      <c r="Z41" s="419">
        <f>X41/X34-1</f>
        <v>3.0878545195551332E-2</v>
      </c>
      <c r="AB41" s="413">
        <f>qtrSales!AA112</f>
        <v>57386</v>
      </c>
      <c r="AD41" s="759">
        <f>H41/AB41*1000</f>
        <v>33.927734987627645</v>
      </c>
      <c r="AF41" s="420" t="s">
        <v>94</v>
      </c>
      <c r="AH41" s="686">
        <f>J41/(F41/(365/4))</f>
        <v>77.284984515065091</v>
      </c>
      <c r="AJ41" s="686">
        <f>H41/(F45/(365/4))</f>
        <v>100.96706708911117</v>
      </c>
      <c r="AL41" s="491">
        <f>INDEX('qtrP&amp;L'!$83:$83,MATCH(B37,'qtrP&amp;L'!$6:$6,0))</f>
        <v>529.96899999999982</v>
      </c>
    </row>
    <row r="42" spans="1:38" hidden="1" outlineLevel="1" x14ac:dyDescent="0.2">
      <c r="B42" s="573" t="s">
        <v>67</v>
      </c>
      <c r="C42" s="573"/>
      <c r="D42" s="319">
        <f>qtrSales!S113</f>
        <v>11700.7</v>
      </c>
      <c r="F42" s="319">
        <f>INDEX('qtrP&amp;L'!$24:$24,MATCH(B37,'qtrP&amp;L'!$6:$6,0))</f>
        <v>7587.0249999999996</v>
      </c>
      <c r="H42" s="319">
        <f>INDEX(wc!$11:$11,MATCH(B37,wc!$5:$5,0))</f>
        <v>1946.9770000000001</v>
      </c>
      <c r="J42" s="319">
        <f>AVERAGE(J38:J41)</f>
        <v>2013.9346249999999</v>
      </c>
      <c r="L42" s="600">
        <f>(D42/D35-1)*100</f>
        <v>13.797899241392741</v>
      </c>
      <c r="R42" s="764">
        <f>F42/J42</f>
        <v>3.7672647889451727</v>
      </c>
      <c r="S42" s="565" t="s">
        <v>134</v>
      </c>
      <c r="V42" s="757">
        <f>V41</f>
        <v>637</v>
      </c>
      <c r="AB42" s="546"/>
      <c r="AL42" s="319">
        <f>INDEX('qtrP&amp;L'!$84:$84,MATCH(B37,'qtrP&amp;L'!$6:$6,0))</f>
        <v>1193.4550000000013</v>
      </c>
    </row>
    <row r="43" spans="1:38" hidden="1" outlineLevel="1" x14ac:dyDescent="0.2">
      <c r="L43" s="600"/>
      <c r="AB43" s="546"/>
    </row>
    <row r="44" spans="1:38" hidden="1" outlineLevel="1" x14ac:dyDescent="0.2">
      <c r="B44" s="755">
        <v>2005</v>
      </c>
      <c r="C44" s="649"/>
      <c r="L44" s="600"/>
      <c r="AB44" s="546"/>
    </row>
    <row r="45" spans="1:38" hidden="1" outlineLevel="1" x14ac:dyDescent="0.2">
      <c r="A45" s="303" t="s">
        <v>104</v>
      </c>
      <c r="B45" s="303" t="s">
        <v>89</v>
      </c>
      <c r="D45" s="319">
        <f>qtrSales!S116</f>
        <v>2742.8</v>
      </c>
      <c r="F45" s="319">
        <f>INDEX('qtrP&amp;L'!$20:$20,MATCH(B44,'qtrP&amp;L'!$6:$6,0))</f>
        <v>1759.6</v>
      </c>
      <c r="H45" s="319">
        <f>INDEX(wc!$8:$8,MATCH(B44,wc!$5:$5,0))</f>
        <v>2112.7530000000002</v>
      </c>
      <c r="J45" s="319">
        <f>AVERAGE(H45,H41)</f>
        <v>2029.8650000000002</v>
      </c>
      <c r="L45" s="600">
        <f>(D45/D38-1)*100</f>
        <v>15.234013948407711</v>
      </c>
      <c r="M45" s="303" t="s">
        <v>102</v>
      </c>
      <c r="N45" s="765">
        <f>(H45/H38-1)*100</f>
        <v>13.454981889651751</v>
      </c>
      <c r="O45" s="303" t="s">
        <v>102</v>
      </c>
      <c r="P45" s="765">
        <f>(H45/H41-1)*100</f>
        <v>8.5145330427632171</v>
      </c>
      <c r="Q45" s="303" t="s">
        <v>102</v>
      </c>
      <c r="R45" s="431">
        <f>F45/J45</f>
        <v>0.86685567759432258</v>
      </c>
      <c r="S45" s="303" t="s">
        <v>134</v>
      </c>
      <c r="T45" s="431">
        <f>F46/H45</f>
        <v>0.86233459377409472</v>
      </c>
      <c r="V45" s="453">
        <f>IF(qtrSales!J116=0," ",qtrSales!J116)</f>
        <v>669</v>
      </c>
      <c r="X45" s="320">
        <f>H45/V45</f>
        <v>3.1580762331838566</v>
      </c>
      <c r="Z45" s="419">
        <f>X45/X38-1</f>
        <v>-1.1213104184623068E-3</v>
      </c>
      <c r="AB45" s="413">
        <f>qtrSales!AA116</f>
        <v>60264</v>
      </c>
      <c r="AD45" s="759">
        <f>H45/AB45*1000</f>
        <v>35.058293508562329</v>
      </c>
      <c r="AF45" s="765">
        <f>(AD45/AD38-1)*100</f>
        <v>-0.94151098354232632</v>
      </c>
      <c r="AG45" s="303" t="s">
        <v>102</v>
      </c>
      <c r="AH45" s="686">
        <f>J45/(F45/(365/4))</f>
        <v>105.26550423391681</v>
      </c>
      <c r="AJ45" s="686">
        <f>H45/(F46/(365/4))</f>
        <v>105.81739461551128</v>
      </c>
      <c r="AL45" s="319">
        <f>INDEX('qtrP&amp;L'!$80:$80,MATCH(B44,'qtrP&amp;L'!$6:$6,0))</f>
        <v>217.70000000000027</v>
      </c>
    </row>
    <row r="46" spans="1:38" hidden="1" outlineLevel="1" x14ac:dyDescent="0.2">
      <c r="A46" s="303" t="s">
        <v>105</v>
      </c>
      <c r="B46" s="303" t="s">
        <v>90</v>
      </c>
      <c r="D46" s="413">
        <f>qtrSales!S117</f>
        <v>2888.1</v>
      </c>
      <c r="F46" s="413">
        <f>INDEX('qtrP&amp;L'!$21:$21,MATCH(B44,'qtrP&amp;L'!$6:$6,0))</f>
        <v>1821.9</v>
      </c>
      <c r="H46" s="413">
        <f>INDEX(wc!$9:$9,MATCH(B44,wc!$5:$5,0))</f>
        <v>2197.3310000000001</v>
      </c>
      <c r="J46" s="413">
        <f>AVERAGE(H46,H45)</f>
        <v>2155.0420000000004</v>
      </c>
      <c r="L46" s="600">
        <f>(D46/D39-1)*100</f>
        <v>15.621121742263488</v>
      </c>
      <c r="N46" s="765">
        <f>(H46/H39-1)*100</f>
        <v>23.70882529788112</v>
      </c>
      <c r="P46" s="765">
        <f>(H46/H45-1)*100</f>
        <v>4.0032128696539493</v>
      </c>
      <c r="R46" s="431">
        <f>F46/J46</f>
        <v>0.8454127576167888</v>
      </c>
      <c r="T46" s="431">
        <f>F47/H46</f>
        <v>0.90418785335481988</v>
      </c>
      <c r="V46" s="453">
        <f>IF(qtrSales!J117=0," ",qtrSales!J117)</f>
        <v>670</v>
      </c>
      <c r="X46" s="320">
        <f>H46/V46</f>
        <v>3.2795985074626866</v>
      </c>
      <c r="Z46" s="419">
        <f>X46/X39-1</f>
        <v>8.7529822394805556E-2</v>
      </c>
      <c r="AB46" s="413">
        <f>qtrSales!AA117</f>
        <v>60395</v>
      </c>
      <c r="AD46" s="759">
        <f>H46/AB46*1000</f>
        <v>36.382664127825159</v>
      </c>
      <c r="AF46" s="765">
        <f>(AD46/AD39-1)*100</f>
        <v>7.9510308940960561</v>
      </c>
      <c r="AH46" s="686">
        <f>J46/(F46/(365/4))</f>
        <v>107.93544239530161</v>
      </c>
      <c r="AJ46" s="686">
        <f>H46/(F47/(365/4))</f>
        <v>100.9192942168311</v>
      </c>
      <c r="AL46" s="413">
        <f>INDEX('qtrP&amp;L'!$81:$81,MATCH(B44,'qtrP&amp;L'!$6:$6,0))</f>
        <v>306.99999999999977</v>
      </c>
    </row>
    <row r="47" spans="1:38" hidden="1" outlineLevel="1" x14ac:dyDescent="0.2">
      <c r="A47" s="303" t="s">
        <v>106</v>
      </c>
      <c r="B47" s="303" t="s">
        <v>91</v>
      </c>
      <c r="D47" s="413">
        <f>qtrSales!S118</f>
        <v>3119.4</v>
      </c>
      <c r="F47" s="413">
        <f>INDEX('qtrP&amp;L'!$22:$22,MATCH(B44,'qtrP&amp;L'!$6:$6,0))</f>
        <v>1986.8</v>
      </c>
      <c r="H47" s="413">
        <f>INDEX(wc!$10:$10,MATCH(B44,wc!$5:$5,0))</f>
        <v>2854.317</v>
      </c>
      <c r="J47" s="413">
        <f>AVERAGE(H47,H46)</f>
        <v>2525.8240000000001</v>
      </c>
      <c r="L47" s="600">
        <f>(D47/D40-1)*100</f>
        <v>13.68490105324538</v>
      </c>
      <c r="N47" s="765">
        <f>(H47/H40-1)*100</f>
        <v>8.1038181330642889</v>
      </c>
      <c r="P47" s="765">
        <f>(H47/H46-1)*100</f>
        <v>29.89927325468944</v>
      </c>
      <c r="R47" s="431">
        <f>F47/J47</f>
        <v>0.78659479045254144</v>
      </c>
      <c r="T47" s="431">
        <f>F48/H47</f>
        <v>1.0767199298466148</v>
      </c>
      <c r="V47" s="453">
        <f>IF(qtrSales!J118=0," ",qtrSales!J118)</f>
        <v>732</v>
      </c>
      <c r="X47" s="320">
        <f>H47/V47</f>
        <v>3.8993401639344261</v>
      </c>
      <c r="Z47" s="419">
        <f>X47/X40-1</f>
        <v>-5.926048974368936E-2</v>
      </c>
      <c r="AB47" s="413">
        <f>qtrSales!AA118</f>
        <v>65766</v>
      </c>
      <c r="AD47" s="759">
        <f>H47/AB47*1000</f>
        <v>43.401103913876469</v>
      </c>
      <c r="AF47" s="765">
        <f>(AD47/AD40-1)*100</f>
        <v>-5.6709286350998145</v>
      </c>
      <c r="AH47" s="686">
        <f>J47/(F47/(365/4))</f>
        <v>116.00636198912827</v>
      </c>
      <c r="AJ47" s="686">
        <f>H47/(F48/(365/4))</f>
        <v>84.748129453681713</v>
      </c>
      <c r="AL47" s="413">
        <f>INDEX('qtrP&amp;L'!$82:$82,MATCH(B44,'qtrP&amp;L'!$6:$6,0))</f>
        <v>267.40000000000009</v>
      </c>
    </row>
    <row r="48" spans="1:38" hidden="1" outlineLevel="1" x14ac:dyDescent="0.2">
      <c r="A48" s="303" t="s">
        <v>107</v>
      </c>
      <c r="B48" s="303" t="s">
        <v>92</v>
      </c>
      <c r="D48" s="491">
        <f>qtrSales!S119</f>
        <v>4651.8999999999996</v>
      </c>
      <c r="F48" s="491">
        <f>INDEX('qtrP&amp;L'!$23:$23,MATCH(B44,'qtrP&amp;L'!$6:$6,0))</f>
        <v>3073.3</v>
      </c>
      <c r="H48" s="491">
        <f>INDEX(wc!$11:$11,MATCH(B44,wc!$5:$5,0))</f>
        <v>2237.5680000000002</v>
      </c>
      <c r="J48" s="491">
        <f>AVERAGE(H48,H47)</f>
        <v>2545.9425000000001</v>
      </c>
      <c r="L48" s="762">
        <f>(D48/D41-1)*100</f>
        <v>14.053497437909135</v>
      </c>
      <c r="N48" s="765">
        <f>(H48/H41-1)*100</f>
        <v>14.925240513883843</v>
      </c>
      <c r="P48" s="765">
        <f>(H48/H47-1)*100</f>
        <v>-21.607585982916401</v>
      </c>
      <c r="R48" s="431">
        <f>F48/J48</f>
        <v>1.2071364533959428</v>
      </c>
      <c r="T48" s="431">
        <f>F52/H48</f>
        <v>0.91015423888793534</v>
      </c>
      <c r="V48" s="455">
        <f>IF(qtrSales!J119=0," ",qtrSales!J119)</f>
        <v>732</v>
      </c>
      <c r="X48" s="320">
        <f>H48/V48</f>
        <v>3.0567868852459021</v>
      </c>
      <c r="Z48" s="419">
        <f>X48/X41-1</f>
        <v>1.0079518229511031E-4</v>
      </c>
      <c r="AB48" s="413">
        <f>qtrSales!AA119</f>
        <v>65855</v>
      </c>
      <c r="AD48" s="759">
        <f>H48/AB48*1000</f>
        <v>33.977192316452822</v>
      </c>
      <c r="AF48" s="765">
        <f>(AD48/AD41-1)*100</f>
        <v>0.14577256289938223</v>
      </c>
      <c r="AH48" s="686">
        <f>J48/(F48/(365/4))</f>
        <v>75.592116983372932</v>
      </c>
      <c r="AJ48" s="686">
        <f>H48/(F52/(365/4))</f>
        <v>100.25773226249332</v>
      </c>
      <c r="AL48" s="491">
        <f>INDEX('qtrP&amp;L'!$83:$83,MATCH(B44,'qtrP&amp;L'!$6:$6,0))</f>
        <v>621.59999999999945</v>
      </c>
    </row>
    <row r="49" spans="1:38" hidden="1" outlineLevel="1" x14ac:dyDescent="0.2">
      <c r="B49" s="573" t="s">
        <v>67</v>
      </c>
      <c r="C49" s="573"/>
      <c r="D49" s="319">
        <f>qtrSales!S120</f>
        <v>13402.199999999999</v>
      </c>
      <c r="F49" s="319">
        <f>INDEX('qtrP&amp;L'!$24:$24,MATCH(B44,'qtrP&amp;L'!$6:$6,0))</f>
        <v>8641.6</v>
      </c>
      <c r="H49" s="319">
        <f>INDEX(wc!$11:$11,MATCH(B44,wc!$5:$5,0))</f>
        <v>2237.5680000000002</v>
      </c>
      <c r="J49" s="319">
        <f>AVERAGE(J45:J48)</f>
        <v>2314.1683750000002</v>
      </c>
      <c r="L49" s="600">
        <f>(D49/D42-1)*100</f>
        <v>14.541865016622912</v>
      </c>
      <c r="N49" s="600"/>
      <c r="R49" s="764">
        <f>F49/J49</f>
        <v>3.7342140240767914</v>
      </c>
      <c r="S49" s="565" t="s">
        <v>134</v>
      </c>
      <c r="V49" s="757">
        <f>V48</f>
        <v>732</v>
      </c>
      <c r="AB49" s="546"/>
      <c r="AL49" s="319">
        <f>INDEX('qtrP&amp;L'!$84:$84,MATCH(B44,'qtrP&amp;L'!$6:$6,0))</f>
        <v>1413.6999999999985</v>
      </c>
    </row>
    <row r="50" spans="1:38" hidden="1" outlineLevel="1" x14ac:dyDescent="0.2">
      <c r="L50" s="600"/>
      <c r="AB50" s="546"/>
    </row>
    <row r="51" spans="1:38" hidden="1" outlineLevel="1" x14ac:dyDescent="0.2">
      <c r="B51" s="755">
        <v>2006</v>
      </c>
      <c r="C51" s="649"/>
      <c r="L51" s="600"/>
      <c r="AB51" s="546"/>
    </row>
    <row r="52" spans="1:38" hidden="1" outlineLevel="1" x14ac:dyDescent="0.2">
      <c r="A52" s="303" t="s">
        <v>104</v>
      </c>
      <c r="B52" s="303" t="s">
        <v>89</v>
      </c>
      <c r="D52" s="319">
        <f>qtrSales!S123</f>
        <v>3184.7</v>
      </c>
      <c r="F52" s="319">
        <f>INDEX('qtrP&amp;L'!$20:$20,MATCH(B51,'qtrP&amp;L'!$6:$6,0))</f>
        <v>2036.5319999999999</v>
      </c>
      <c r="H52" s="319">
        <f>INDEX(wc!$8:$8,MATCH(B51,wc!$5:$5,0))</f>
        <v>2347.8910000000001</v>
      </c>
      <c r="J52" s="319">
        <f>AVERAGE(H52,H48)</f>
        <v>2292.7295000000004</v>
      </c>
      <c r="L52" s="600">
        <f>(D52/D45-1)*100</f>
        <v>16.111273151523985</v>
      </c>
      <c r="M52" s="303" t="s">
        <v>102</v>
      </c>
      <c r="N52" s="765">
        <f>(H52/H45-1)*100</f>
        <v>11.129459998400183</v>
      </c>
      <c r="O52" s="303" t="s">
        <v>102</v>
      </c>
      <c r="P52" s="765">
        <f>(H52/H48-1)*100</f>
        <v>4.9304870287740998</v>
      </c>
      <c r="Q52" s="303" t="s">
        <v>102</v>
      </c>
      <c r="R52" s="431">
        <f>F52/J52</f>
        <v>0.88825655185227892</v>
      </c>
      <c r="S52" s="303" t="s">
        <v>134</v>
      </c>
      <c r="T52" s="431">
        <f>F53/H52</f>
        <v>0.8783201605185248</v>
      </c>
      <c r="V52" s="453">
        <f>IF(qtrSales!J123=0," ",qtrSales!J123)</f>
        <v>749</v>
      </c>
      <c r="X52" s="320">
        <f>H52/V52</f>
        <v>3.1347009345794392</v>
      </c>
      <c r="Z52" s="419">
        <f>X52/X45-1</f>
        <v>-7.4017524842493465E-3</v>
      </c>
      <c r="AB52" s="413">
        <f>qtrSales!AA123</f>
        <v>67318</v>
      </c>
      <c r="AD52" s="759">
        <f>H52/AB52*1000</f>
        <v>34.877610743040492</v>
      </c>
      <c r="AF52" s="765">
        <f>(AD52/AD45-1)*100</f>
        <v>-0.51537809584972782</v>
      </c>
      <c r="AG52" s="303" t="s">
        <v>102</v>
      </c>
      <c r="AH52" s="686">
        <f>J52/(F52/(365/4))</f>
        <v>102.72932950476597</v>
      </c>
      <c r="AJ52" s="686">
        <f>H52/(F53/(365/4))</f>
        <v>103.89150118805161</v>
      </c>
      <c r="AL52" s="319">
        <f>INDEX('qtrP&amp;L'!$80:$80,MATCH(B51,'qtrP&amp;L'!$6:$6,0))</f>
        <v>282.05500000000001</v>
      </c>
    </row>
    <row r="53" spans="1:38" hidden="1" outlineLevel="1" x14ac:dyDescent="0.2">
      <c r="A53" s="303" t="s">
        <v>105</v>
      </c>
      <c r="B53" s="303" t="s">
        <v>90</v>
      </c>
      <c r="D53" s="413">
        <f>qtrSales!S124</f>
        <v>3301.5070000000001</v>
      </c>
      <c r="F53" s="413">
        <f>INDEX('qtrP&amp;L'!$21:$21,MATCH(B51,'qtrP&amp;L'!$6:$6,0))</f>
        <v>2062.1999999999998</v>
      </c>
      <c r="H53" s="413">
        <f>INDEX(wc!$9:$9,MATCH(B51,wc!$5:$5,0))</f>
        <v>2408.1489999999999</v>
      </c>
      <c r="J53" s="413">
        <f>AVERAGE(H53,H52)</f>
        <v>2378.02</v>
      </c>
      <c r="L53" s="600">
        <f>(D53/D46-1)*100</f>
        <v>14.314151172050838</v>
      </c>
      <c r="N53" s="765">
        <f>(H53/H46-1)*100</f>
        <v>9.5942759647954503</v>
      </c>
      <c r="P53" s="765">
        <f>(H53/H52-1)*100</f>
        <v>2.5664734862052674</v>
      </c>
      <c r="R53" s="431">
        <f>F53/J53</f>
        <v>0.86719203370871556</v>
      </c>
      <c r="T53" s="431">
        <f>F54/H53</f>
        <v>0.95491848718663164</v>
      </c>
      <c r="V53" s="453">
        <f>IF(qtrSales!J124=0," ",qtrSales!J124)</f>
        <v>749</v>
      </c>
      <c r="X53" s="320">
        <f>H53/V53</f>
        <v>3.2151522029372495</v>
      </c>
      <c r="Z53" s="419">
        <f>X53/X46-1</f>
        <v>-1.9650668939746874E-2</v>
      </c>
      <c r="AB53" s="413">
        <f>qtrSales!AA124</f>
        <v>67318</v>
      </c>
      <c r="AD53" s="759">
        <f>H53/AB53*1000</f>
        <v>35.77273537538251</v>
      </c>
      <c r="AF53" s="765">
        <f>(AD53/AD46-1)*100</f>
        <v>-1.6764268562075468</v>
      </c>
      <c r="AH53" s="686">
        <f>J53/(F53/(365/4))</f>
        <v>105.2246751042576</v>
      </c>
      <c r="AJ53" s="686">
        <f>H53/(F54/(365/4))</f>
        <v>95.557894442738828</v>
      </c>
      <c r="AL53" s="413">
        <f>INDEX('qtrP&amp;L'!$81:$81,MATCH(B51,'qtrP&amp;L'!$6:$6,0))</f>
        <v>375.40700000000027</v>
      </c>
    </row>
    <row r="54" spans="1:38" hidden="1" outlineLevel="1" x14ac:dyDescent="0.2">
      <c r="A54" s="303" t="s">
        <v>106</v>
      </c>
      <c r="B54" s="303" t="s">
        <v>91</v>
      </c>
      <c r="D54" s="413">
        <f>qtrSales!S125</f>
        <v>3650.4940000000001</v>
      </c>
      <c r="F54" s="413">
        <f>INDEX('qtrP&amp;L'!$22:$22,MATCH(B51,'qtrP&amp;L'!$6:$6,0))</f>
        <v>2299.5859999999998</v>
      </c>
      <c r="H54" s="413">
        <f>INDEX(wc!$10:$10,MATCH(B51,wc!$5:$5,0))</f>
        <v>3234.7930000000001</v>
      </c>
      <c r="J54" s="413">
        <f>AVERAGE(H54,H53)</f>
        <v>2821.471</v>
      </c>
      <c r="L54" s="600">
        <f>(D54/D47-1)*100</f>
        <v>17.025517727768168</v>
      </c>
      <c r="N54" s="765">
        <f>(H54/H47-1)*100</f>
        <v>13.329843882091597</v>
      </c>
      <c r="P54" s="765">
        <f>(H54/H53-1)*100</f>
        <v>34.326945716398782</v>
      </c>
      <c r="R54" s="431">
        <f>F54/J54</f>
        <v>0.81503088282672398</v>
      </c>
      <c r="T54" s="431">
        <f>F55/H54</f>
        <v>1.0879830641404256</v>
      </c>
      <c r="V54" s="453">
        <f>IF(qtrSales!J125=0," ",qtrSales!J125)</f>
        <v>814</v>
      </c>
      <c r="X54" s="320">
        <f>H54/V54</f>
        <v>3.9739471744471744</v>
      </c>
      <c r="Z54" s="419">
        <f>X54/X47-1</f>
        <v>1.9133239824214332E-2</v>
      </c>
      <c r="AB54" s="413">
        <f>qtrSales!AA125</f>
        <v>72752</v>
      </c>
      <c r="AD54" s="759">
        <f>H54/AB54*1000</f>
        <v>44.463286232680893</v>
      </c>
      <c r="AF54" s="765">
        <f>(AD54/AD47-1)*100</f>
        <v>2.4473624470754851</v>
      </c>
      <c r="AH54" s="686">
        <f>J54/(F54/(365/4))</f>
        <v>111.95894771928513</v>
      </c>
      <c r="AJ54" s="686">
        <f>H54/(F55/(365/4))</f>
        <v>83.870790830823438</v>
      </c>
      <c r="AL54" s="413">
        <f>INDEX('qtrP&amp;L'!$82:$82,MATCH(B51,'qtrP&amp;L'!$6:$6,0))</f>
        <v>369.38400000000047</v>
      </c>
    </row>
    <row r="55" spans="1:38" hidden="1" outlineLevel="1" x14ac:dyDescent="0.2">
      <c r="A55" s="303" t="s">
        <v>107</v>
      </c>
      <c r="B55" s="303" t="s">
        <v>92</v>
      </c>
      <c r="D55" s="491">
        <f>qtrSales!S126</f>
        <v>5448.6</v>
      </c>
      <c r="F55" s="491">
        <f>INDEX('qtrP&amp;L'!$23:$23,MATCH(B51,'qtrP&amp;L'!$6:$6,0))</f>
        <v>3519.4</v>
      </c>
      <c r="H55" s="491">
        <f>INDEX(wc!$11:$11,MATCH(B51,wc!$5:$5,0))</f>
        <v>2578.3780000000002</v>
      </c>
      <c r="J55" s="491">
        <f>AVERAGE(H55,H54)</f>
        <v>2906.5855000000001</v>
      </c>
      <c r="L55" s="762">
        <f>(D55/D48-1)*100</f>
        <v>17.126335475827091</v>
      </c>
      <c r="N55" s="765">
        <f>(H55/H48-1)*100</f>
        <v>15.231268949144772</v>
      </c>
      <c r="P55" s="765">
        <f>(H55/H54-1)*100</f>
        <v>-20.292334007152856</v>
      </c>
      <c r="R55" s="431">
        <f>F55/J55</f>
        <v>1.2108365640714853</v>
      </c>
      <c r="T55" s="431">
        <f>F59/H55</f>
        <v>0.8742705685512363</v>
      </c>
      <c r="V55" s="455">
        <f>IF(qtrSales!J126=0," ",qtrSales!J126)</f>
        <v>817</v>
      </c>
      <c r="X55" s="320">
        <f>H55/V55</f>
        <v>3.1559094247246025</v>
      </c>
      <c r="Z55" s="419">
        <f>X55/X48-1</f>
        <v>3.242703636198252E-2</v>
      </c>
      <c r="AB55" s="413">
        <f>qtrSales!AA126</f>
        <v>73027</v>
      </c>
      <c r="AD55" s="759">
        <f>H55/AB55*1000</f>
        <v>35.307187752475116</v>
      </c>
      <c r="AF55" s="765">
        <f>(AD55/AD48-1)*100</f>
        <v>3.9143771022488671</v>
      </c>
      <c r="AH55" s="686">
        <f>J55/(F55/(365/4))</f>
        <v>75.361120325907834</v>
      </c>
      <c r="AJ55" s="686">
        <f>H55/(F59/(365/4))</f>
        <v>104.37272313902939</v>
      </c>
      <c r="AL55" s="491">
        <f>INDEX('qtrP&amp;L'!$83:$83,MATCH(B51,'qtrP&amp;L'!$6:$6,0))</f>
        <v>787.80000000000018</v>
      </c>
    </row>
    <row r="56" spans="1:38" hidden="1" outlineLevel="1" x14ac:dyDescent="0.2">
      <c r="B56" s="573" t="s">
        <v>67</v>
      </c>
      <c r="C56" s="573"/>
      <c r="D56" s="319">
        <f>qtrSales!S127</f>
        <v>15585.301000000001</v>
      </c>
      <c r="F56" s="319">
        <f>INDEX('qtrP&amp;L'!$24:$24,MATCH(B51,'qtrP&amp;L'!$6:$6,0))</f>
        <v>9917.7179999999989</v>
      </c>
      <c r="H56" s="319">
        <f>INDEX(wc!$11:$11,MATCH(B51,wc!$5:$5,0))</f>
        <v>2578.3780000000002</v>
      </c>
      <c r="J56" s="319">
        <f>AVERAGE(J52:J55)</f>
        <v>2599.7015000000001</v>
      </c>
      <c r="L56" s="600">
        <f>(D56/D49-1)*100</f>
        <v>16.289124173643145</v>
      </c>
      <c r="R56" s="764">
        <f>F56/J56</f>
        <v>3.8149449080981022</v>
      </c>
      <c r="S56" s="565" t="s">
        <v>134</v>
      </c>
      <c r="V56" s="757">
        <f>V55</f>
        <v>817</v>
      </c>
      <c r="AB56" s="546"/>
      <c r="AL56" s="319">
        <f>INDEX('qtrP&amp;L'!$84:$84,MATCH(B51,'qtrP&amp;L'!$6:$6,0))</f>
        <v>1814.6460000000027</v>
      </c>
    </row>
    <row r="57" spans="1:38" hidden="1" outlineLevel="1" x14ac:dyDescent="0.2">
      <c r="L57" s="600"/>
      <c r="AB57" s="546"/>
    </row>
    <row r="58" spans="1:38" hidden="1" outlineLevel="1" x14ac:dyDescent="0.2">
      <c r="B58" s="755">
        <v>2007</v>
      </c>
      <c r="C58" s="649"/>
      <c r="L58" s="600"/>
      <c r="AB58" s="546"/>
    </row>
    <row r="59" spans="1:38" hidden="1" outlineLevel="1" x14ac:dyDescent="0.2">
      <c r="A59" s="303" t="s">
        <v>104</v>
      </c>
      <c r="B59" s="303" t="s">
        <v>89</v>
      </c>
      <c r="D59" s="319">
        <f>qtrSales!S130</f>
        <v>3572</v>
      </c>
      <c r="F59" s="319">
        <f>INDEX('qtrP&amp;L'!$20:$20,MATCH(B58,'qtrP&amp;L'!$6:$6,0))</f>
        <v>2254.1999999999998</v>
      </c>
      <c r="H59" s="319">
        <f>INDEX(wc!$8:$8,MATCH(B58,wc!$5:$5,0))</f>
        <v>2713.6460000000002</v>
      </c>
      <c r="J59" s="319">
        <f>AVERAGE(H59,H55)</f>
        <v>2646.0120000000002</v>
      </c>
      <c r="L59" s="600">
        <f>(D59/D52-1)*100</f>
        <v>12.161271077338531</v>
      </c>
      <c r="M59" s="303" t="s">
        <v>102</v>
      </c>
      <c r="N59" s="765">
        <f>(H59/H52-1)*100</f>
        <v>15.578023000215936</v>
      </c>
      <c r="O59" s="303" t="s">
        <v>102</v>
      </c>
      <c r="P59" s="765">
        <f>(H59/H55-1)*100</f>
        <v>5.2462439564718633</v>
      </c>
      <c r="Q59" s="303" t="s">
        <v>102</v>
      </c>
      <c r="R59" s="431">
        <f>F59/J59</f>
        <v>0.85192357404274799</v>
      </c>
      <c r="S59" s="303" t="s">
        <v>134</v>
      </c>
      <c r="T59" s="431">
        <f>F60/H59</f>
        <v>0.80806413216757089</v>
      </c>
      <c r="V59" s="453">
        <f>IF(qtrSales!J130=0," ",qtrSales!J130)</f>
        <v>834</v>
      </c>
      <c r="X59" s="320">
        <f>H59/V59</f>
        <v>3.2537721822541967</v>
      </c>
      <c r="Z59" s="419">
        <f>X59/X52-1</f>
        <v>3.7984882819685151E-2</v>
      </c>
      <c r="AB59" s="413">
        <f>qtrSales!AA130</f>
        <v>74449</v>
      </c>
      <c r="AD59" s="759">
        <f>H59/AB59*1000</f>
        <v>36.449730688122074</v>
      </c>
      <c r="AF59" s="765">
        <f>(AD59/AD52-1)*100</f>
        <v>4.5075333762513603</v>
      </c>
      <c r="AG59" s="303" t="s">
        <v>102</v>
      </c>
      <c r="AH59" s="686">
        <f>J59/(F59/(365/4))</f>
        <v>107.11054697897261</v>
      </c>
      <c r="AJ59" s="686">
        <f>H59/(F60/(365/4))</f>
        <v>112.92420535388544</v>
      </c>
      <c r="AL59" s="319">
        <f>INDEX('qtrP&amp;L'!$80:$80,MATCH(B58,'qtrP&amp;L'!$6:$6,0))</f>
        <v>346.10000000000019</v>
      </c>
    </row>
    <row r="60" spans="1:38" hidden="1" outlineLevel="1" x14ac:dyDescent="0.2">
      <c r="A60" s="303" t="s">
        <v>105</v>
      </c>
      <c r="B60" s="303" t="s">
        <v>90</v>
      </c>
      <c r="D60" s="413">
        <f>qtrSales!S131</f>
        <v>3589.2</v>
      </c>
      <c r="F60" s="413">
        <f>INDEX('qtrP&amp;L'!$21:$21,MATCH(B58,'qtrP&amp;L'!$6:$6,0))</f>
        <v>2192.8000000000002</v>
      </c>
      <c r="H60" s="413">
        <f>INDEX(wc!$9:$9,MATCH(B58,wc!$5:$5,0))</f>
        <v>2802.643</v>
      </c>
      <c r="J60" s="413">
        <f>AVERAGE(H60,H59)</f>
        <v>2758.1445000000003</v>
      </c>
      <c r="L60" s="600">
        <f>(D60/D53-1)*100</f>
        <v>8.7139903080623462</v>
      </c>
      <c r="N60" s="765">
        <f>(H60/H53-1)*100</f>
        <v>16.381627548793709</v>
      </c>
      <c r="P60" s="765">
        <f>(H60/H59-1)*100</f>
        <v>3.2796097943504687</v>
      </c>
      <c r="R60" s="431">
        <f>F60/J60</f>
        <v>0.79502723660779917</v>
      </c>
      <c r="T60" s="431">
        <f>F61/H60</f>
        <v>0.85890354212077669</v>
      </c>
      <c r="V60" s="453">
        <f>IF(qtrSales!J131=0," ",qtrSales!J131)</f>
        <v>834</v>
      </c>
      <c r="X60" s="320">
        <f>H60/V60</f>
        <v>3.3604832134292568</v>
      </c>
      <c r="Z60" s="419">
        <f>X60/X53-1</f>
        <v>4.5201906883051368E-2</v>
      </c>
      <c r="AB60" s="413">
        <f>qtrSales!AA131</f>
        <v>74449</v>
      </c>
      <c r="AD60" s="759">
        <f>H60/AB60*1000</f>
        <v>37.64513962578409</v>
      </c>
      <c r="AF60" s="765">
        <f>(AD60/AD53-1)*100</f>
        <v>5.2341657151834697</v>
      </c>
      <c r="AH60" s="686">
        <f>J60/(F60/(365/4))</f>
        <v>114.77594200337468</v>
      </c>
      <c r="AJ60" s="686">
        <f>H60/(F61/(365/4))</f>
        <v>106.24010208956466</v>
      </c>
      <c r="AL60" s="413">
        <f>INDEX('qtrP&amp;L'!$81:$81,MATCH(B58,'qtrP&amp;L'!$6:$6,0))</f>
        <v>443.62099999999964</v>
      </c>
    </row>
    <row r="61" spans="1:38" hidden="1" outlineLevel="1" x14ac:dyDescent="0.2">
      <c r="A61" s="303" t="s">
        <v>106</v>
      </c>
      <c r="B61" s="303" t="s">
        <v>91</v>
      </c>
      <c r="D61" s="413">
        <f>qtrSales!S132</f>
        <v>3825.2</v>
      </c>
      <c r="F61" s="413">
        <f>INDEX('qtrP&amp;L'!$22:$22,MATCH(B58,'qtrP&amp;L'!$6:$6,0))</f>
        <v>2407.1999999999998</v>
      </c>
      <c r="H61" s="413">
        <f>INDEX(wc!$10:$10,MATCH(B58,wc!$5:$5,0))</f>
        <v>3908.529</v>
      </c>
      <c r="J61" s="413">
        <f>AVERAGE(H61,H60)</f>
        <v>3355.5860000000002</v>
      </c>
      <c r="L61" s="600">
        <f>(D61/D54-1)*100</f>
        <v>4.7858180290119456</v>
      </c>
      <c r="N61" s="765">
        <f>(H61/H54-1)*100</f>
        <v>20.827793308567188</v>
      </c>
      <c r="P61" s="765">
        <f>(H61/H60-1)*100</f>
        <v>39.458682393726207</v>
      </c>
      <c r="R61" s="431">
        <f>F61/J61</f>
        <v>0.71737097484612211</v>
      </c>
      <c r="T61" s="431">
        <f>F62/H61</f>
        <v>0.92244422390111469</v>
      </c>
      <c r="V61" s="453">
        <f>IF(qtrSales!J132=0," ",qtrSales!J132)</f>
        <v>914</v>
      </c>
      <c r="X61" s="320">
        <f>H61/V61</f>
        <v>4.2762899343544856</v>
      </c>
      <c r="Z61" s="419">
        <f>X61/X54-1</f>
        <v>7.6081222682425453E-2</v>
      </c>
      <c r="AB61" s="413">
        <f>qtrSales!AA132</f>
        <v>81224</v>
      </c>
      <c r="AD61" s="759">
        <f>H61/AB61*1000</f>
        <v>48.120370826356741</v>
      </c>
      <c r="AF61" s="765">
        <f>(AD61/AD54-1)*100</f>
        <v>8.2249534470708152</v>
      </c>
      <c r="AH61" s="686">
        <f>J61/(F61/(365/4))</f>
        <v>127.20057431871055</v>
      </c>
      <c r="AJ61" s="686">
        <f>H61/(F62/(365/4))</f>
        <v>98.921970169745379</v>
      </c>
      <c r="AL61" s="413">
        <f>INDEX('qtrP&amp;L'!$82:$82,MATCH(B58,'qtrP&amp;L'!$6:$6,0))</f>
        <v>330.90000000000003</v>
      </c>
    </row>
    <row r="62" spans="1:38" hidden="1" outlineLevel="1" x14ac:dyDescent="0.2">
      <c r="A62" s="303" t="s">
        <v>107</v>
      </c>
      <c r="B62" s="303" t="s">
        <v>92</v>
      </c>
      <c r="D62" s="491">
        <f>qtrSales!S133</f>
        <v>5487.3</v>
      </c>
      <c r="F62" s="491">
        <f>INDEX('qtrP&amp;L'!$23:$23,MATCH(B58,'qtrP&amp;L'!$6:$6,0))</f>
        <v>3605.4</v>
      </c>
      <c r="H62" s="491">
        <f>INDEX(wc!$11:$11,MATCH(B58,wc!$5:$5,0))</f>
        <v>2855.7330000000002</v>
      </c>
      <c r="J62" s="491">
        <f>AVERAGE(H62,H61)</f>
        <v>3382.1310000000003</v>
      </c>
      <c r="L62" s="762">
        <f>(D62/D55-1)*100</f>
        <v>0.71027419887677024</v>
      </c>
      <c r="N62" s="765">
        <f>(H62/H55-1)*100</f>
        <v>10.756956505213733</v>
      </c>
      <c r="P62" s="765">
        <f>(H62/H61-1)*100</f>
        <v>-26.935862571315184</v>
      </c>
      <c r="R62" s="431">
        <f>F62/J62</f>
        <v>1.0660142969033428</v>
      </c>
      <c r="T62" s="431">
        <f>F66/H62</f>
        <v>0.8016187087518335</v>
      </c>
      <c r="V62" s="455">
        <f>IF(qtrSales!J133=0," ",qtrSales!J133)</f>
        <v>929</v>
      </c>
      <c r="X62" s="320">
        <f>H62/V62</f>
        <v>3.0739860064585578</v>
      </c>
      <c r="Z62" s="419">
        <f>X62/X55-1</f>
        <v>-2.59587355784755E-2</v>
      </c>
      <c r="AB62" s="413">
        <f>qtrSales!AA133</f>
        <v>82538</v>
      </c>
      <c r="AD62" s="759">
        <f>H62/AB62*1000</f>
        <v>34.599008941336116</v>
      </c>
      <c r="AF62" s="765">
        <f>(AD62/AD55-1)*100</f>
        <v>-2.00576385778376</v>
      </c>
      <c r="AH62" s="686">
        <f>J62/(F62/(365/4))</f>
        <v>85.599227200865386</v>
      </c>
      <c r="AJ62" s="686">
        <f>H62/(F66/(365/4))</f>
        <v>113.83217358048131</v>
      </c>
      <c r="AL62" s="491">
        <f>INDEX('qtrP&amp;L'!$83:$83,MATCH(B58,'qtrP&amp;L'!$6:$6,0))</f>
        <v>683.80000000000007</v>
      </c>
    </row>
    <row r="63" spans="1:38" hidden="1" outlineLevel="1" x14ac:dyDescent="0.2">
      <c r="B63" s="573" t="s">
        <v>67</v>
      </c>
      <c r="C63" s="573"/>
      <c r="D63" s="319">
        <f>qtrSales!S134</f>
        <v>16473.7</v>
      </c>
      <c r="F63" s="319">
        <f>INDEX('qtrP&amp;L'!$24:$24,MATCH(B58,'qtrP&amp;L'!$6:$6,0))</f>
        <v>10459.6</v>
      </c>
      <c r="H63" s="319">
        <f>INDEX(wc!$11:$11,MATCH(B58,wc!$5:$5,0))</f>
        <v>2855.7330000000002</v>
      </c>
      <c r="J63" s="319">
        <f>AVERAGE(J59:J62)</f>
        <v>3035.4683750000004</v>
      </c>
      <c r="L63" s="600">
        <f>(D63/D56-1)*100</f>
        <v>5.700236395819358</v>
      </c>
      <c r="R63" s="764">
        <f>F63/J63</f>
        <v>3.4457944237353484</v>
      </c>
      <c r="S63" s="565" t="s">
        <v>134</v>
      </c>
      <c r="V63" s="757">
        <f>V62</f>
        <v>929</v>
      </c>
      <c r="AB63" s="546"/>
      <c r="AL63" s="319">
        <f>INDEX('qtrP&amp;L'!$84:$84,MATCH(B58,'qtrP&amp;L'!$6:$6,0))</f>
        <v>1804.4210000000003</v>
      </c>
    </row>
    <row r="64" spans="1:38" hidden="1" outlineLevel="1" x14ac:dyDescent="0.2">
      <c r="L64" s="600"/>
      <c r="AB64" s="546"/>
    </row>
    <row r="65" spans="1:38" hidden="1" outlineLevel="1" x14ac:dyDescent="0.2">
      <c r="B65" s="755">
        <v>2008</v>
      </c>
      <c r="C65" s="766"/>
      <c r="L65" s="600"/>
      <c r="AB65" s="546"/>
      <c r="AH65" s="686"/>
    </row>
    <row r="66" spans="1:38" hidden="1" outlineLevel="1" x14ac:dyDescent="0.2">
      <c r="A66" s="303" t="s">
        <v>104</v>
      </c>
      <c r="B66" s="303" t="s">
        <v>89</v>
      </c>
      <c r="D66" s="319">
        <f>qtrSales!S137</f>
        <v>3624.259</v>
      </c>
      <c r="F66" s="319">
        <f>INDEX('qtrP&amp;L'!$20:$20,MATCH(B65,'qtrP&amp;L'!$6:$6,0))</f>
        <v>2289.2089999999998</v>
      </c>
      <c r="H66" s="319">
        <f>INDEX(wc!$8:$8,MATCH(B65,wc!$5:$5,0))</f>
        <v>2816.7190000000001</v>
      </c>
      <c r="J66" s="319">
        <f>AVERAGE(H66,H62)</f>
        <v>2836.2260000000001</v>
      </c>
      <c r="L66" s="600">
        <f>(D66/D59-1)*100</f>
        <v>1.463017917133258</v>
      </c>
      <c r="M66" s="303" t="s">
        <v>102</v>
      </c>
      <c r="N66" s="765">
        <f>(H66/H59-1)*100</f>
        <v>3.7983215201982778</v>
      </c>
      <c r="O66" s="303" t="s">
        <v>102</v>
      </c>
      <c r="P66" s="765">
        <f>(H66/H62-1)*100</f>
        <v>-1.3661641336917718</v>
      </c>
      <c r="Q66" s="303" t="s">
        <v>102</v>
      </c>
      <c r="R66" s="431">
        <f>F66/J66</f>
        <v>0.80713208326839958</v>
      </c>
      <c r="S66" s="303" t="s">
        <v>134</v>
      </c>
      <c r="T66" s="431">
        <f>F67/H66</f>
        <v>0.79899769909600504</v>
      </c>
      <c r="V66" s="453">
        <f>IF(qtrSales!J137=0," ",qtrSales!J137)</f>
        <v>957</v>
      </c>
      <c r="X66" s="320">
        <f>H66/V66</f>
        <v>2.9432800417972831</v>
      </c>
      <c r="Z66" s="419">
        <f>X66/X59-1</f>
        <v>-9.5425285811438165E-2</v>
      </c>
      <c r="AB66" s="413">
        <f>qtrSales!AA137</f>
        <v>84922</v>
      </c>
      <c r="AD66" s="759">
        <f>H66/AB66*1000</f>
        <v>33.168307387956006</v>
      </c>
      <c r="AF66" s="765">
        <f>(AD66/AD59-1)*100</f>
        <v>-9.0025995754075332</v>
      </c>
      <c r="AG66" s="303" t="s">
        <v>102</v>
      </c>
      <c r="AH66" s="686">
        <f>J66/(F66/(365/4))</f>
        <v>113.05460641645216</v>
      </c>
      <c r="AJ66" s="686">
        <f>H66/(F67/(365/4))</f>
        <v>114.20558545192468</v>
      </c>
      <c r="AL66" s="319">
        <f>INDEX('qtrP&amp;L'!$80:$80,MATCH(B65,'qtrP&amp;L'!$6:$6,0))</f>
        <v>271.42700000000025</v>
      </c>
    </row>
    <row r="67" spans="1:38" hidden="1" outlineLevel="1" x14ac:dyDescent="0.2">
      <c r="A67" s="303" t="s">
        <v>105</v>
      </c>
      <c r="B67" s="303" t="s">
        <v>90</v>
      </c>
      <c r="D67" s="413">
        <f>qtrSales!S138</f>
        <v>3725.49</v>
      </c>
      <c r="F67" s="413">
        <f>INDEX('qtrP&amp;L'!$21:$21,MATCH(B65,'qtrP&amp;L'!$6:$6,0))</f>
        <v>2250.5520000000001</v>
      </c>
      <c r="H67" s="413">
        <f>INDEX(wc!$9:$9,MATCH(B65,wc!$5:$5,0))</f>
        <v>2717.55</v>
      </c>
      <c r="J67" s="413">
        <f>AVERAGE(H67,H66)</f>
        <v>2767.1345000000001</v>
      </c>
      <c r="L67" s="600">
        <f>(D67/D60-1)*100</f>
        <v>3.797225008358418</v>
      </c>
      <c r="N67" s="765">
        <f>(H67/H60-1)*100</f>
        <v>-3.0361697868761639</v>
      </c>
      <c r="P67" s="765">
        <f>(H67/H66-1)*100</f>
        <v>-3.5207274847082637</v>
      </c>
      <c r="R67" s="431">
        <f>F67/J67</f>
        <v>0.81331500149342217</v>
      </c>
      <c r="T67" s="431">
        <f>F68/H67</f>
        <v>0.87610237162149718</v>
      </c>
      <c r="V67" s="453">
        <f>IF(qtrSales!J138=0," ",qtrSales!J138)</f>
        <v>957</v>
      </c>
      <c r="X67" s="320">
        <f>H67/V67</f>
        <v>2.8396551724137935</v>
      </c>
      <c r="Z67" s="419">
        <f>X67/X60-1</f>
        <v>-0.15498605644989261</v>
      </c>
      <c r="AB67" s="413">
        <f>qtrSales!AA138</f>
        <v>84942</v>
      </c>
      <c r="AD67" s="759">
        <f>H67/AB67*1000</f>
        <v>31.993006993006993</v>
      </c>
      <c r="AF67" s="765">
        <f>(AD67/AD60-1)*100</f>
        <v>-15.014242712240634</v>
      </c>
      <c r="AH67" s="686">
        <f>J67/(F67/(365/4))</f>
        <v>112.19515173388574</v>
      </c>
      <c r="AJ67" s="686">
        <f>H67/(F68/(365/4))</f>
        <v>104.15449490350514</v>
      </c>
      <c r="AL67" s="413">
        <f>INDEX('qtrP&amp;L'!$81:$81,MATCH(B65,'qtrP&amp;L'!$6:$6,0))</f>
        <v>406.54899999999964</v>
      </c>
    </row>
    <row r="68" spans="1:38" hidden="1" outlineLevel="1" x14ac:dyDescent="0.2">
      <c r="A68" s="303" t="s">
        <v>106</v>
      </c>
      <c r="B68" s="303" t="s">
        <v>91</v>
      </c>
      <c r="D68" s="413">
        <f>qtrSales!S139</f>
        <v>3803.6489999999999</v>
      </c>
      <c r="F68" s="413">
        <f>INDEX('qtrP&amp;L'!$22:$22,MATCH(B65,'qtrP&amp;L'!$6:$6,0))</f>
        <v>2380.8519999999999</v>
      </c>
      <c r="H68" s="413">
        <f>INDEX(wc!$10:$10,MATCH(B65,wc!$5:$5,0))</f>
        <v>3712.0329999999999</v>
      </c>
      <c r="J68" s="413">
        <f>AVERAGE(H68,H67)</f>
        <v>3214.7915000000003</v>
      </c>
      <c r="L68" s="600">
        <f>(D68/D61-1)*100</f>
        <v>-0.56339537801944894</v>
      </c>
      <c r="N68" s="765">
        <f>(H68/H61-1)*100</f>
        <v>-5.027364514885269</v>
      </c>
      <c r="P68" s="765">
        <f>(H68/H67-1)*100</f>
        <v>36.594837261503919</v>
      </c>
      <c r="R68" s="431">
        <f>F68/J68</f>
        <v>0.74059297469213781</v>
      </c>
      <c r="T68" s="431">
        <f>F69/H68</f>
        <v>0.91944225711355476</v>
      </c>
      <c r="V68" s="453">
        <f>IF(qtrSales!J139=0," ",qtrSales!J139)</f>
        <v>1004</v>
      </c>
      <c r="X68" s="320">
        <f>H68/V68</f>
        <v>3.6972440239043824</v>
      </c>
      <c r="Z68" s="419">
        <f>X68/X61-1</f>
        <v>-0.13540847775503118</v>
      </c>
      <c r="AB68" s="413">
        <f>qtrSales!AA139</f>
        <v>88979</v>
      </c>
      <c r="AD68" s="759">
        <f>H68/AB68*1000</f>
        <v>41.718079546859371</v>
      </c>
      <c r="AF68" s="765">
        <f>(AD68/AD61-1)*100</f>
        <v>-13.304742190371222</v>
      </c>
      <c r="AH68" s="686">
        <f>J68/(F68/(365/4))</f>
        <v>123.2120788587447</v>
      </c>
      <c r="AJ68" s="686">
        <f>H68/(F69/(365/4))</f>
        <v>99.244949091708165</v>
      </c>
      <c r="AL68" s="413">
        <f>INDEX('qtrP&amp;L'!$82:$82,MATCH(B65,'qtrP&amp;L'!$6:$6,0))</f>
        <v>285.33899999999994</v>
      </c>
    </row>
    <row r="69" spans="1:38" hidden="1" outlineLevel="1" x14ac:dyDescent="0.2">
      <c r="A69" s="303" t="s">
        <v>107</v>
      </c>
      <c r="B69" s="303" t="s">
        <v>92</v>
      </c>
      <c r="D69" s="491">
        <f>qtrSales!S140</f>
        <v>5235</v>
      </c>
      <c r="F69" s="491">
        <f>INDEX('qtrP&amp;L'!$23:$23,MATCH(B65,'qtrP&amp;L'!$6:$6,0))</f>
        <v>3413</v>
      </c>
      <c r="H69" s="491">
        <f>INDEX(wc!$11:$11,MATCH(B65,wc!$5:$5,0))</f>
        <v>2799</v>
      </c>
      <c r="J69" s="491">
        <f>AVERAGE(H69,H68)</f>
        <v>3255.5164999999997</v>
      </c>
      <c r="L69" s="762">
        <f>(D69/D62-1)*100</f>
        <v>-4.5978896725165423</v>
      </c>
      <c r="N69" s="765">
        <f>(H69/H62-1)*100</f>
        <v>-1.9866353051913532</v>
      </c>
      <c r="P69" s="765">
        <f>(H69/H68-1)*100</f>
        <v>-24.596575515357756</v>
      </c>
      <c r="R69" s="431">
        <f>F69/J69</f>
        <v>1.0483743516581778</v>
      </c>
      <c r="T69" s="431">
        <f>F73/H69</f>
        <v>0.81100392997499104</v>
      </c>
      <c r="V69" s="455">
        <f>IF(qtrSales!J140=0," ",qtrSales!J140)</f>
        <v>1004</v>
      </c>
      <c r="X69" s="320">
        <f>H69/V69</f>
        <v>2.7878486055776892</v>
      </c>
      <c r="Z69" s="419">
        <f>X69/X62-1</f>
        <v>-9.3083507953414024E-2</v>
      </c>
      <c r="AB69" s="413">
        <f>qtrSales!AA140</f>
        <v>88979</v>
      </c>
      <c r="AD69" s="759">
        <f>H69/AB69*1000</f>
        <v>31.45686060755909</v>
      </c>
      <c r="AF69" s="765">
        <f>(AD69/AD62-1)*100</f>
        <v>-9.0816136933420601</v>
      </c>
      <c r="AH69" s="686">
        <f>J69/(F69/(365/4))</f>
        <v>87.039519667447976</v>
      </c>
      <c r="AJ69" s="686">
        <f>H69/(F73/(365/4))</f>
        <v>112.5148678414097</v>
      </c>
      <c r="AL69" s="491">
        <f>INDEX('qtrP&amp;L'!$83:$83,MATCH(B65,'qtrP&amp;L'!$6:$6,0))</f>
        <v>573</v>
      </c>
    </row>
    <row r="70" spans="1:38" hidden="1" outlineLevel="1" x14ac:dyDescent="0.2">
      <c r="B70" s="573" t="s">
        <v>67</v>
      </c>
      <c r="C70" s="573"/>
      <c r="D70" s="319">
        <f>qtrSales!S141</f>
        <v>16388.398000000001</v>
      </c>
      <c r="F70" s="319">
        <f>INDEX('qtrP&amp;L'!$24:$24,MATCH(B65,'qtrP&amp;L'!$6:$6,0))</f>
        <v>10333.613000000001</v>
      </c>
      <c r="H70" s="319">
        <f>INDEX(wc!$11:$11,MATCH(B65,wc!$5:$5,0))</f>
        <v>2799</v>
      </c>
      <c r="J70" s="319">
        <f>AVERAGE(J66:J69)</f>
        <v>3018.4171250000004</v>
      </c>
      <c r="L70" s="600">
        <f>(D70/D63-1)*100</f>
        <v>-0.51780717143082855</v>
      </c>
      <c r="R70" s="764">
        <f>F70/J70</f>
        <v>3.423520531477239</v>
      </c>
      <c r="S70" s="565" t="s">
        <v>134</v>
      </c>
      <c r="V70" s="757">
        <f>V69</f>
        <v>1004</v>
      </c>
      <c r="AB70" s="413"/>
      <c r="AL70" s="319">
        <f>INDEX('qtrP&amp;L'!$84:$84,MATCH(B65,'qtrP&amp;L'!$6:$6,0))</f>
        <v>1536.3150000000001</v>
      </c>
    </row>
    <row r="71" spans="1:38" hidden="1" outlineLevel="1" x14ac:dyDescent="0.2">
      <c r="L71" s="600"/>
      <c r="AB71" s="546"/>
    </row>
    <row r="72" spans="1:38" hidden="1" outlineLevel="1" x14ac:dyDescent="0.2">
      <c r="B72" s="755">
        <v>2009</v>
      </c>
      <c r="C72" s="766"/>
      <c r="L72" s="600"/>
      <c r="AB72" s="546"/>
      <c r="AH72" s="686"/>
    </row>
    <row r="73" spans="1:38" hidden="1" outlineLevel="1" x14ac:dyDescent="0.2">
      <c r="A73" s="303" t="s">
        <v>104</v>
      </c>
      <c r="B73" s="303" t="s">
        <v>89</v>
      </c>
      <c r="D73" s="319">
        <f>qtrSales!S144</f>
        <v>3638</v>
      </c>
      <c r="F73" s="319">
        <f>INDEX('qtrP&amp;L'!$20:$20,MATCH(B72,'qtrP&amp;L'!$6:$6,0))</f>
        <v>2270</v>
      </c>
      <c r="H73" s="319">
        <f>INDEX(wc!$8:$8,MATCH(B72,wc!$5:$5,0))</f>
        <v>2804</v>
      </c>
      <c r="J73" s="319">
        <f>AVERAGE(H73,H69)</f>
        <v>2801.5</v>
      </c>
      <c r="L73" s="600">
        <f>(D73/D66-1)*100</f>
        <v>0.37913957032320589</v>
      </c>
      <c r="M73" s="303" t="s">
        <v>102</v>
      </c>
      <c r="N73" s="765">
        <f>(H73/H66-1)*100</f>
        <v>-0.45155374036245366</v>
      </c>
      <c r="O73" s="303" t="s">
        <v>102</v>
      </c>
      <c r="P73" s="765">
        <f>(H73/H69-1)*100</f>
        <v>0.17863522686674127</v>
      </c>
      <c r="Q73" s="303" t="s">
        <v>102</v>
      </c>
      <c r="R73" s="431">
        <f>F73/J73</f>
        <v>0.81028020703194714</v>
      </c>
      <c r="S73" s="303" t="s">
        <v>134</v>
      </c>
      <c r="T73" s="431">
        <f>F74/H73</f>
        <v>0.8152639087018545</v>
      </c>
      <c r="V73" s="453">
        <f>IF(qtrSales!J144=0," ",qtrSales!J144)</f>
        <v>1022</v>
      </c>
      <c r="X73" s="320">
        <f>H73/V73</f>
        <v>2.7436399217221137</v>
      </c>
      <c r="Z73" s="419">
        <f>X73/X66-1</f>
        <v>-6.7829128468951727E-2</v>
      </c>
      <c r="AB73" s="413">
        <f>qtrSales!AA144</f>
        <v>90554</v>
      </c>
      <c r="AD73" s="759">
        <f>H73/AB73*1000</f>
        <v>30.964949091150032</v>
      </c>
      <c r="AF73" s="765">
        <f>(AD73/AD66-1)*100</f>
        <v>-6.6429627265395252</v>
      </c>
      <c r="AG73" s="303" t="s">
        <v>102</v>
      </c>
      <c r="AH73" s="686">
        <f>J73/(F73/(365/4))</f>
        <v>112.61536343612335</v>
      </c>
      <c r="AJ73" s="686">
        <f>H73/(F74/(365/4))</f>
        <v>111.92694663167104</v>
      </c>
      <c r="AL73" s="319">
        <f>INDEX('qtrP&amp;L'!$80:$80,MATCH(B72,'qtrP&amp;L'!$6:$6,0))</f>
        <v>251</v>
      </c>
    </row>
    <row r="74" spans="1:38" hidden="1" outlineLevel="1" x14ac:dyDescent="0.2">
      <c r="A74" s="303" t="s">
        <v>105</v>
      </c>
      <c r="B74" s="303" t="s">
        <v>90</v>
      </c>
      <c r="D74" s="413">
        <f>qtrSales!S145</f>
        <v>3806</v>
      </c>
      <c r="F74" s="413">
        <f>INDEX('qtrP&amp;L'!$21:$21,MATCH(B72,'qtrP&amp;L'!$6:$6,0))</f>
        <v>2286</v>
      </c>
      <c r="H74" s="413">
        <f>INDEX(wc!$9:$9,MATCH(B72,wc!$5:$5,0))</f>
        <v>2724</v>
      </c>
      <c r="J74" s="413">
        <f>AVERAGE(H74,H73)</f>
        <v>2764</v>
      </c>
      <c r="L74" s="600">
        <f>(D74/D67-1)*100</f>
        <v>2.1610580084767461</v>
      </c>
      <c r="N74" s="765">
        <f>(H74/H67-1)*100</f>
        <v>0.23734613898547252</v>
      </c>
      <c r="P74" s="765">
        <f>(H74/H73-1)*100</f>
        <v>-2.8530670470756081</v>
      </c>
      <c r="R74" s="431">
        <f>F74/J74</f>
        <v>0.82706222865412449</v>
      </c>
      <c r="T74" s="431">
        <f>F75/H74</f>
        <v>0.92217327459618204</v>
      </c>
      <c r="V74" s="453">
        <f>IF(qtrSales!J145=0," ",qtrSales!J145)</f>
        <v>1022</v>
      </c>
      <c r="X74" s="320">
        <f>H74/V74</f>
        <v>2.6653620352250491</v>
      </c>
      <c r="Z74" s="419">
        <f>X74/X67-1</f>
        <v>-6.1378275391300363E-2</v>
      </c>
      <c r="AB74" s="413">
        <f>qtrSales!AA145</f>
        <v>90554</v>
      </c>
      <c r="AD74" s="759">
        <f>H74/AB74*1000</f>
        <v>30.081498332486692</v>
      </c>
      <c r="AF74" s="765">
        <f>(AD74/AD67-1)*100</f>
        <v>-5.9747702394405078</v>
      </c>
      <c r="AH74" s="686">
        <f>J74/(F74/(365/4))</f>
        <v>110.330271216098</v>
      </c>
      <c r="AJ74" s="686">
        <f>H74/(F75/(365/4))</f>
        <v>98.951035031847127</v>
      </c>
      <c r="AL74" s="413">
        <f>INDEX('qtrP&amp;L'!$81:$81,MATCH(B72,'qtrP&amp;L'!$6:$6,0))</f>
        <v>399</v>
      </c>
    </row>
    <row r="75" spans="1:38" hidden="1" outlineLevel="1" x14ac:dyDescent="0.2">
      <c r="A75" s="303" t="s">
        <v>106</v>
      </c>
      <c r="B75" s="303" t="s">
        <v>91</v>
      </c>
      <c r="D75" s="413">
        <f>qtrSales!S146</f>
        <v>4051</v>
      </c>
      <c r="F75" s="413">
        <f>INDEX('qtrP&amp;L'!$22:$22,MATCH(B72,'qtrP&amp;L'!$6:$6,0))</f>
        <v>2512</v>
      </c>
      <c r="H75" s="413">
        <f>INDEX(wc!$10:$10,MATCH(B72,wc!$5:$5,0))</f>
        <v>3807</v>
      </c>
      <c r="J75" s="413">
        <f>AVERAGE(H75,H74)</f>
        <v>3265.5</v>
      </c>
      <c r="L75" s="600">
        <f>(D75/D68-1)*100</f>
        <v>6.5029922582236166</v>
      </c>
      <c r="N75" s="765">
        <f>(H75/H68-1)*100</f>
        <v>2.5583554887577797</v>
      </c>
      <c r="P75" s="765">
        <f>(H75/H74-1)*100</f>
        <v>39.757709251101318</v>
      </c>
      <c r="R75" s="431">
        <f>F75/J75</f>
        <v>0.76925432552442197</v>
      </c>
      <c r="T75" s="431">
        <f>F76/H75</f>
        <v>0.94877856579984243</v>
      </c>
      <c r="V75" s="453">
        <f>IF(qtrSales!J146=0," ",qtrSales!J146)</f>
        <v>1059</v>
      </c>
      <c r="X75" s="320">
        <f>H75/V75</f>
        <v>3.594900849858357</v>
      </c>
      <c r="Z75" s="419">
        <f>X75/X68-1</f>
        <v>-2.7680935687319996E-2</v>
      </c>
      <c r="AB75" s="413">
        <f>qtrSales!AA146</f>
        <v>93370</v>
      </c>
      <c r="AD75" s="759">
        <f>H75/AB75*1000</f>
        <v>40.773267644853803</v>
      </c>
      <c r="AF75" s="765">
        <f>(AD75/AD68-1)*100</f>
        <v>-2.2647540641086317</v>
      </c>
      <c r="AH75" s="686">
        <f>J75/(F75/(365/4))</f>
        <v>118.62136743630573</v>
      </c>
      <c r="AJ75" s="686">
        <f>H75/(F76/(365/4))</f>
        <v>96.176287375415285</v>
      </c>
      <c r="AL75" s="413">
        <f>INDEX('qtrP&amp;L'!$82:$82,MATCH(B72,'qtrP&amp;L'!$6:$6,0))</f>
        <v>339</v>
      </c>
    </row>
    <row r="76" spans="1:38" hidden="1" outlineLevel="1" x14ac:dyDescent="0.2">
      <c r="A76" s="303" t="s">
        <v>107</v>
      </c>
      <c r="B76" s="303" t="s">
        <v>92</v>
      </c>
      <c r="D76" s="491">
        <f>qtrSales!S147</f>
        <v>5683</v>
      </c>
      <c r="F76" s="491">
        <f>INDEX('qtrP&amp;L'!$23:$23,MATCH(B72,'qtrP&amp;L'!$6:$6,0))</f>
        <v>3612</v>
      </c>
      <c r="H76" s="491">
        <f>INDEX(wc!$11:$11,MATCH(B72,wc!$5:$5,0))</f>
        <v>2923</v>
      </c>
      <c r="J76" s="491">
        <f>AVERAGE(H76,H75)</f>
        <v>3365</v>
      </c>
      <c r="L76" s="762">
        <f>(D76/D69-1)*100</f>
        <v>8.5577841451766936</v>
      </c>
      <c r="N76" s="765">
        <f>(H76/H69-1)*100</f>
        <v>4.430153626295108</v>
      </c>
      <c r="P76" s="765">
        <f>(H76/H75-1)*100</f>
        <v>-23.220383504071449</v>
      </c>
      <c r="R76" s="431">
        <f>F76/J76</f>
        <v>1.0734026745913818</v>
      </c>
      <c r="T76" s="767" t="s">
        <v>94</v>
      </c>
      <c r="V76" s="455">
        <f>IF(qtrSales!J147=0," ",qtrSales!J147)</f>
        <v>1058</v>
      </c>
      <c r="X76" s="320">
        <f>H76/V76</f>
        <v>2.7627599243856333</v>
      </c>
      <c r="Z76" s="419">
        <f>X76/X69-1</f>
        <v>-8.9992982911125674E-3</v>
      </c>
      <c r="AB76" s="413">
        <f>qtrSales!AA147</f>
        <v>93289</v>
      </c>
      <c r="AD76" s="759">
        <f>H76/AB76*1000</f>
        <v>31.332740194449503</v>
      </c>
      <c r="AF76" s="765">
        <f>(AD76/AD69-1)*100</f>
        <v>-0.39457342758406622</v>
      </c>
      <c r="AH76" s="686">
        <f>J76/(F76/(365/4))</f>
        <v>85.01003599114064</v>
      </c>
      <c r="AJ76" s="686">
        <f>H76/(F80/(365/4))</f>
        <v>106.77491993594876</v>
      </c>
      <c r="AL76" s="491">
        <f>INDEX('qtrP&amp;L'!$83:$83,MATCH(B72,'qtrP&amp;L'!$6:$6,0))</f>
        <v>723</v>
      </c>
    </row>
    <row r="77" spans="1:38" hidden="1" outlineLevel="1" x14ac:dyDescent="0.2">
      <c r="B77" s="573" t="s">
        <v>67</v>
      </c>
      <c r="C77" s="573"/>
      <c r="D77" s="319">
        <f>qtrSales!S148</f>
        <v>17178</v>
      </c>
      <c r="F77" s="319">
        <f>INDEX('qtrP&amp;L'!$24:$24,MATCH(B72,'qtrP&amp;L'!$6:$6,0))</f>
        <v>10680</v>
      </c>
      <c r="H77" s="319">
        <f>INDEX(wc!$11:$11,MATCH(B72,wc!$5:$5,0))</f>
        <v>2923</v>
      </c>
      <c r="J77" s="319">
        <f>AVERAGE(J73:J76)</f>
        <v>3049</v>
      </c>
      <c r="L77" s="600">
        <f>(D77/D70-1)*100</f>
        <v>4.8180548214657559</v>
      </c>
      <c r="R77" s="764">
        <f>F77/J77</f>
        <v>3.502787799278452</v>
      </c>
      <c r="S77" s="565" t="s">
        <v>134</v>
      </c>
      <c r="V77" s="757">
        <f>V76</f>
        <v>1058</v>
      </c>
      <c r="AB77" s="413"/>
      <c r="AL77" s="319">
        <f>INDEX('qtrP&amp;L'!$84:$84,MATCH(B72,'qtrP&amp;L'!$6:$6,0))</f>
        <v>1859</v>
      </c>
    </row>
    <row r="78" spans="1:38" hidden="1" outlineLevel="1" x14ac:dyDescent="0.2">
      <c r="L78" s="600"/>
      <c r="AB78" s="546"/>
    </row>
    <row r="79" spans="1:38" hidden="1" outlineLevel="1" x14ac:dyDescent="0.2">
      <c r="B79" s="755">
        <v>2010</v>
      </c>
      <c r="C79" s="766"/>
      <c r="L79" s="600"/>
      <c r="AB79" s="546"/>
      <c r="AH79" s="686"/>
    </row>
    <row r="80" spans="1:38" hidden="1" outlineLevel="1" x14ac:dyDescent="0.2">
      <c r="A80" s="303" t="s">
        <v>104</v>
      </c>
      <c r="B80" s="303" t="s">
        <v>89</v>
      </c>
      <c r="D80" s="319">
        <f>qtrSales!S151</f>
        <v>4035</v>
      </c>
      <c r="F80" s="319">
        <f>INDEX('qtrP&amp;L'!$20:$20,MATCH(B79,'qtrP&amp;L'!$6:$6,0))</f>
        <v>2498</v>
      </c>
      <c r="H80" s="319">
        <f>INDEX(wc!$8:$8,MATCH(B79,wc!$5:$5,0))</f>
        <v>3017</v>
      </c>
      <c r="J80" s="319">
        <f>AVERAGE(H80,H62)</f>
        <v>2936.3665000000001</v>
      </c>
      <c r="L80" s="600">
        <f>(D80/D73-1)*100</f>
        <v>10.91258933479935</v>
      </c>
      <c r="M80" s="303" t="s">
        <v>102</v>
      </c>
      <c r="N80" s="765">
        <f>(H80/H73-1)*100</f>
        <v>7.5962910128388073</v>
      </c>
      <c r="O80" s="303" t="s">
        <v>102</v>
      </c>
      <c r="P80" s="765">
        <f>(H80/H76-1)*100</f>
        <v>3.2158741019500559</v>
      </c>
      <c r="Q80" s="303" t="s">
        <v>102</v>
      </c>
      <c r="R80" s="431">
        <f>F80/J80</f>
        <v>0.85071124466240844</v>
      </c>
      <c r="S80" s="303" t="s">
        <v>134</v>
      </c>
      <c r="T80" s="431">
        <f>F81/H80</f>
        <v>0.81173351010938022</v>
      </c>
      <c r="V80" s="453">
        <f>IF(qtrSales!J151=0," ",qtrSales!J151)</f>
        <v>1067</v>
      </c>
      <c r="X80" s="320">
        <f>H80/V80</f>
        <v>2.8275538894095593</v>
      </c>
      <c r="Z80" s="419">
        <f>X80/X73-1</f>
        <v>3.0584905483797886E-2</v>
      </c>
      <c r="AB80" s="413">
        <f>qtrSales!AA151</f>
        <v>94063</v>
      </c>
      <c r="AD80" s="759">
        <f>H80/AB80*1000</f>
        <v>32.07424811030905</v>
      </c>
      <c r="AF80" s="765">
        <f>(AD80/AD73-1)*100</f>
        <v>3.582434500033016</v>
      </c>
      <c r="AG80" s="303" t="s">
        <v>102</v>
      </c>
      <c r="AH80" s="686">
        <f>J80/(F80/(365/4))</f>
        <v>107.2631878002402</v>
      </c>
      <c r="AJ80" s="686">
        <f>H80/(F81/(365/4))</f>
        <v>112.41374030216414</v>
      </c>
      <c r="AL80" s="319">
        <f>INDEX('qtrP&amp;L'!$80:$80,MATCH(B79,'qtrP&amp;L'!$6:$6,0))</f>
        <v>388</v>
      </c>
    </row>
    <row r="81" spans="1:38" hidden="1" outlineLevel="1" x14ac:dyDescent="0.2">
      <c r="A81" s="303" t="s">
        <v>105</v>
      </c>
      <c r="B81" s="303" t="s">
        <v>90</v>
      </c>
      <c r="D81" s="413">
        <f>qtrSales!S152</f>
        <v>4100</v>
      </c>
      <c r="F81" s="413">
        <f>INDEX('qtrP&amp;L'!$21:$21,MATCH(B79,'qtrP&amp;L'!$6:$6,0))</f>
        <v>2449</v>
      </c>
      <c r="H81" s="413">
        <f>INDEX(wc!$9:$9,MATCH(B79,wc!$5:$5,0))</f>
        <v>2930</v>
      </c>
      <c r="J81" s="413">
        <f>AVERAGE(H81,H80)</f>
        <v>2973.5</v>
      </c>
      <c r="L81" s="600">
        <f>(D81/D74-1)*100</f>
        <v>7.7246452968996238</v>
      </c>
      <c r="N81" s="765">
        <f>(H81/H74-1)*100</f>
        <v>7.562408223201178</v>
      </c>
      <c r="P81" s="765">
        <f>(H81/H80-1)*100</f>
        <v>-2.8836592641697023</v>
      </c>
      <c r="R81" s="431">
        <f>F81/J81</f>
        <v>0.82360854212207835</v>
      </c>
      <c r="T81" s="431">
        <f>F82/H81</f>
        <v>0.8860068259385665</v>
      </c>
      <c r="V81" s="453">
        <f>IF(qtrSales!J152=0," ",qtrSales!J152)</f>
        <v>1067</v>
      </c>
      <c r="X81" s="320">
        <f>H81/V81</f>
        <v>2.7460168697282099</v>
      </c>
      <c r="Z81" s="419">
        <f>X81/X74-1</f>
        <v>3.0260367423726287E-2</v>
      </c>
      <c r="AB81" s="413">
        <f>qtrSales!AA152</f>
        <v>94063</v>
      </c>
      <c r="AD81" s="759">
        <f>H81/AB81*1000</f>
        <v>31.149336083263343</v>
      </c>
      <c r="AF81" s="765">
        <f>(AD81/AD74-1)*100</f>
        <v>3.5498157005810826</v>
      </c>
      <c r="AH81" s="686">
        <f>J81/(F81/(365/4))</f>
        <v>110.79292568395263</v>
      </c>
      <c r="AJ81" s="686">
        <f>H81/(F82/(365/4))</f>
        <v>102.99017719568567</v>
      </c>
      <c r="AL81" s="413">
        <f>INDEX('qtrP&amp;L'!$81:$81,MATCH(B79,'qtrP&amp;L'!$6:$6,0))</f>
        <v>488</v>
      </c>
    </row>
    <row r="82" spans="1:38" hidden="1" outlineLevel="1" x14ac:dyDescent="0.2">
      <c r="A82" s="303" t="s">
        <v>106</v>
      </c>
      <c r="B82" s="303" t="s">
        <v>91</v>
      </c>
      <c r="D82" s="413">
        <f>qtrSales!S153</f>
        <v>4218</v>
      </c>
      <c r="F82" s="413">
        <f>INDEX('qtrP&amp;L'!$22:$22,MATCH(B79,'qtrP&amp;L'!$6:$6,0))</f>
        <v>2596</v>
      </c>
      <c r="H82" s="413">
        <f>INDEX(wc!$10:$10,MATCH(B79,wc!$5:$5,0))</f>
        <v>4030</v>
      </c>
      <c r="J82" s="413">
        <f>AVERAGE(H82,H81)</f>
        <v>3480</v>
      </c>
      <c r="L82" s="600">
        <f>(D82/D75-1)*100</f>
        <v>4.1224389039743237</v>
      </c>
      <c r="N82" s="765">
        <f>(H82/H75-1)*100</f>
        <v>5.8576306803257205</v>
      </c>
      <c r="P82" s="765">
        <f>(H82/H81-1)*100</f>
        <v>37.542662116040958</v>
      </c>
      <c r="R82" s="431">
        <f>F82/J82</f>
        <v>0.74597701149425288</v>
      </c>
      <c r="T82" s="431">
        <f>F83/H82</f>
        <v>0.9466501240694789</v>
      </c>
      <c r="V82" s="453">
        <f>IF(qtrSales!J153=0," ",qtrSales!J153)</f>
        <v>1089</v>
      </c>
      <c r="X82" s="320">
        <f>H82/V82</f>
        <v>3.7006427915518825</v>
      </c>
      <c r="Z82" s="419">
        <f>X82/X75-1</f>
        <v>2.9414425073139849E-2</v>
      </c>
      <c r="AB82" s="413">
        <f>qtrSales!AA153</f>
        <v>95819</v>
      </c>
      <c r="AD82" s="759">
        <f>H82/AB82*1000</f>
        <v>42.058464396414074</v>
      </c>
      <c r="AF82" s="765">
        <f>(AD82/AD75-1)*100</f>
        <v>3.1520572811448044</v>
      </c>
      <c r="AH82" s="686">
        <f>J82/(F82/(365/4))</f>
        <v>122.32280431432974</v>
      </c>
      <c r="AJ82" s="686">
        <f>H82/(F83/(365/4))</f>
        <v>96.392529488859765</v>
      </c>
      <c r="AL82" s="413">
        <f>INDEX('qtrP&amp;L'!$82:$82,MATCH(B79,'qtrP&amp;L'!$6:$6,0))</f>
        <v>356</v>
      </c>
    </row>
    <row r="83" spans="1:38" hidden="1" outlineLevel="1" x14ac:dyDescent="0.2">
      <c r="A83" s="303" t="s">
        <v>107</v>
      </c>
      <c r="B83" s="303" t="s">
        <v>92</v>
      </c>
      <c r="D83" s="491">
        <f>qtrSales!S154</f>
        <v>6038</v>
      </c>
      <c r="F83" s="491">
        <f>INDEX('qtrP&amp;L'!$23:$23,MATCH(B79,'qtrP&amp;L'!$6:$6,0))</f>
        <v>3815</v>
      </c>
      <c r="H83" s="491">
        <f>INDEX(wc!$11:$11,MATCH(B79,wc!$5:$5,0))</f>
        <v>3036</v>
      </c>
      <c r="J83" s="491">
        <f>AVERAGE(H83,H82)</f>
        <v>3533</v>
      </c>
      <c r="L83" s="762">
        <f>(D83/D76-1)*100</f>
        <v>6.2467006862572561</v>
      </c>
      <c r="N83" s="765">
        <f>(H83/H76-1)*100</f>
        <v>3.8658912076633634</v>
      </c>
      <c r="P83" s="765">
        <f>(H83/H82-1)*100</f>
        <v>-24.665012406947895</v>
      </c>
      <c r="R83" s="431">
        <f>F83/J83</f>
        <v>1.0798188508349844</v>
      </c>
      <c r="T83" s="767" t="s">
        <v>94</v>
      </c>
      <c r="V83" s="455">
        <f>IF(qtrSales!J154=0," ",qtrSales!J154)</f>
        <v>1089</v>
      </c>
      <c r="X83" s="320">
        <f>H83/V83</f>
        <v>2.7878787878787881</v>
      </c>
      <c r="Z83" s="419">
        <f>X83/X76-1</f>
        <v>9.0919458008065224E-3</v>
      </c>
      <c r="AB83" s="413">
        <f>qtrSales!AA154</f>
        <v>95819</v>
      </c>
      <c r="AD83" s="759">
        <f>H83/AB83*1000</f>
        <v>31.684738934866779</v>
      </c>
      <c r="AF83" s="765">
        <f>(AD83/AD76-1)*100</f>
        <v>1.1234215017033033</v>
      </c>
      <c r="AH83" s="686">
        <f>J83/(F83/(365/4))</f>
        <v>84.504914809960681</v>
      </c>
      <c r="AJ83" s="686">
        <f>H83/(F87/(365/4))</f>
        <v>107.54464285714285</v>
      </c>
      <c r="AL83" s="491">
        <f>INDEX('qtrP&amp;L'!$83:$83,MATCH(B79,'qtrP&amp;L'!$6:$6,0))</f>
        <v>861</v>
      </c>
    </row>
    <row r="84" spans="1:38" hidden="1" outlineLevel="1" x14ac:dyDescent="0.2">
      <c r="B84" s="573" t="s">
        <v>67</v>
      </c>
      <c r="C84" s="573"/>
      <c r="D84" s="319">
        <f>qtrSales!S155</f>
        <v>18391</v>
      </c>
      <c r="F84" s="319">
        <f>INDEX('qtrP&amp;L'!$24:$24,MATCH(B79,'qtrP&amp;L'!$6:$6,0))</f>
        <v>11358</v>
      </c>
      <c r="H84" s="319">
        <f>INDEX(wc!$11:$11,MATCH(B79,wc!$5:$5,0))</f>
        <v>3036</v>
      </c>
      <c r="J84" s="319">
        <f>AVERAGE(J80:J83)</f>
        <v>3230.716625</v>
      </c>
      <c r="L84" s="600">
        <f>(D84/D77-1)*100</f>
        <v>7.0613575503551074</v>
      </c>
      <c r="R84" s="764">
        <f>F84/J84</f>
        <v>3.5156286726323449</v>
      </c>
      <c r="S84" s="565" t="s">
        <v>134</v>
      </c>
      <c r="V84" s="757">
        <f>V83</f>
        <v>1089</v>
      </c>
      <c r="AB84" s="413"/>
      <c r="AL84" s="319">
        <f>INDEX('qtrP&amp;L'!$84:$84,MATCH(B79,'qtrP&amp;L'!$6:$6,0))</f>
        <v>2093</v>
      </c>
    </row>
    <row r="85" spans="1:38" hidden="1" outlineLevel="1" x14ac:dyDescent="0.2">
      <c r="L85" s="600"/>
      <c r="AB85" s="546"/>
    </row>
    <row r="86" spans="1:38" hidden="1" outlineLevel="1" x14ac:dyDescent="0.2">
      <c r="B86" s="755">
        <v>2011</v>
      </c>
      <c r="C86" s="766"/>
      <c r="L86" s="600"/>
      <c r="AB86" s="546"/>
      <c r="AH86" s="686"/>
    </row>
    <row r="87" spans="1:38" hidden="1" outlineLevel="1" x14ac:dyDescent="0.2">
      <c r="A87" s="303" t="s">
        <v>104</v>
      </c>
      <c r="B87" s="303" t="s">
        <v>89</v>
      </c>
      <c r="D87" s="319">
        <f>qtrSales!S158</f>
        <v>4162</v>
      </c>
      <c r="F87" s="319">
        <f>INDEX('qtrP&amp;L'!$20:$20,MATCH(B86,'qtrP&amp;L'!$6:$6,0))</f>
        <v>2576</v>
      </c>
      <c r="H87" s="319">
        <f>INDEX(wc!$8:$8,MATCH(B86,wc!$5:$5,0))</f>
        <v>3193</v>
      </c>
      <c r="J87" s="319">
        <f>AVERAGE(H87,H69)</f>
        <v>2996</v>
      </c>
      <c r="L87" s="600">
        <f>(D87/D80-1)*100</f>
        <v>3.1474597273853711</v>
      </c>
      <c r="M87" s="303" t="s">
        <v>102</v>
      </c>
      <c r="N87" s="765">
        <f>(H87/H80-1)*100</f>
        <v>5.8336095459065263</v>
      </c>
      <c r="O87" s="303" t="s">
        <v>102</v>
      </c>
      <c r="P87" s="765">
        <f>(H87/H83-1)*100</f>
        <v>5.1712779973649647</v>
      </c>
      <c r="Q87" s="303" t="s">
        <v>102</v>
      </c>
      <c r="R87" s="431">
        <f>F87/J87</f>
        <v>0.85981308411214952</v>
      </c>
      <c r="S87" s="303" t="s">
        <v>134</v>
      </c>
      <c r="T87" s="431">
        <f>F88/H87</f>
        <v>0.78922643282179772</v>
      </c>
      <c r="V87" s="453">
        <f>IF(qtrSales!J158=0," ",qtrSales!J158)</f>
        <v>1097</v>
      </c>
      <c r="X87" s="320">
        <f>H87/V87</f>
        <v>2.9106654512306291</v>
      </c>
      <c r="Z87" s="419">
        <f>X87/X80-1</f>
        <v>2.9393449275134653E-2</v>
      </c>
      <c r="AB87" s="413">
        <f>qtrSales!AA158</f>
        <v>96380</v>
      </c>
      <c r="AD87" s="759">
        <f>H87/AB87*1000</f>
        <v>33.129279933596187</v>
      </c>
      <c r="AF87" s="765">
        <f>(AD87/AD80-1)*100</f>
        <v>3.28934233986935</v>
      </c>
      <c r="AG87" s="303" t="s">
        <v>102</v>
      </c>
      <c r="AH87" s="686">
        <f>J87/(F87/(365/4))</f>
        <v>106.12771739130434</v>
      </c>
      <c r="AJ87" s="686">
        <f>H87/(F88/(365/4))</f>
        <v>115.61954365079364</v>
      </c>
      <c r="AL87" s="319">
        <f>INDEX('qtrP&amp;L'!$80:$80,MATCH(B86,'qtrP&amp;L'!$6:$6,0))</f>
        <v>391</v>
      </c>
    </row>
    <row r="88" spans="1:38" hidden="1" outlineLevel="1" x14ac:dyDescent="0.2">
      <c r="A88" s="303" t="s">
        <v>105</v>
      </c>
      <c r="B88" s="303" t="s">
        <v>90</v>
      </c>
      <c r="D88" s="413">
        <f>qtrSales!S159</f>
        <v>4248</v>
      </c>
      <c r="F88" s="413">
        <f>INDEX('qtrP&amp;L'!$21:$21,MATCH(B86,'qtrP&amp;L'!$6:$6,0))</f>
        <v>2520</v>
      </c>
      <c r="H88" s="413">
        <f>INDEX(wc!$9:$9,MATCH(B86,wc!$5:$5,0))</f>
        <v>3095</v>
      </c>
      <c r="J88" s="413">
        <f>AVERAGE(H88,H87)</f>
        <v>3144</v>
      </c>
      <c r="L88" s="600">
        <f>(D88/D81-1)*100</f>
        <v>3.6097560975609788</v>
      </c>
      <c r="N88" s="765">
        <f>(H88/H81-1)*100</f>
        <v>5.6313993174061494</v>
      </c>
      <c r="P88" s="765">
        <f>(H88/H87-1)*100</f>
        <v>-3.0692139054181</v>
      </c>
      <c r="R88" s="431">
        <f>F88/J88</f>
        <v>0.80152671755725191</v>
      </c>
      <c r="T88" s="431">
        <f>F89/H88</f>
        <v>0.86849757673667205</v>
      </c>
      <c r="V88" s="453">
        <f>IF(qtrSales!J159=0," ",qtrSales!J159)</f>
        <v>1097</v>
      </c>
      <c r="X88" s="320">
        <f>H88/V88</f>
        <v>2.8213309024612578</v>
      </c>
      <c r="Z88" s="419">
        <f>X88/X81-1</f>
        <v>2.7426646049884651E-2</v>
      </c>
      <c r="AB88" s="413">
        <f>qtrSales!AA159</f>
        <v>96380</v>
      </c>
      <c r="AD88" s="759">
        <f>H88/AB88*1000</f>
        <v>32.112471467109359</v>
      </c>
      <c r="AF88" s="765">
        <f>(AD88/AD81-1)*100</f>
        <v>3.0919932972937714</v>
      </c>
      <c r="AH88" s="686">
        <f>J88/(F88/(365/4))</f>
        <v>113.84523809523809</v>
      </c>
      <c r="AJ88" s="686">
        <f>H88/(F89/(365/4))</f>
        <v>105.06649925595238</v>
      </c>
      <c r="AL88" s="413">
        <f>INDEX('qtrP&amp;L'!$81:$81,MATCH(B86,'qtrP&amp;L'!$6:$6,0))</f>
        <v>547</v>
      </c>
    </row>
    <row r="89" spans="1:38" hidden="1" outlineLevel="1" x14ac:dyDescent="0.2">
      <c r="A89" s="303" t="s">
        <v>106</v>
      </c>
      <c r="B89" s="303" t="s">
        <v>91</v>
      </c>
      <c r="D89" s="413">
        <f>qtrSales!S160</f>
        <v>4376</v>
      </c>
      <c r="F89" s="413">
        <f>INDEX('qtrP&amp;L'!$22:$22,MATCH(B86,'qtrP&amp;L'!$6:$6,0))</f>
        <v>2688</v>
      </c>
      <c r="H89" s="413">
        <f>INDEX(wc!$10:$10,MATCH(B86,wc!$5:$5,0))</f>
        <v>4130</v>
      </c>
      <c r="J89" s="413">
        <f>AVERAGE(H89,H88)</f>
        <v>3612.5</v>
      </c>
      <c r="L89" s="600">
        <f>(D89/D82-1)*100</f>
        <v>3.7458511142721695</v>
      </c>
      <c r="N89" s="765">
        <f>(H89/H82-1)*100</f>
        <v>2.4813895781637729</v>
      </c>
      <c r="P89" s="765">
        <f>(H89/H88-1)*100</f>
        <v>33.441033925686583</v>
      </c>
      <c r="R89" s="431">
        <f>F89/J89</f>
        <v>0.74408304498269895</v>
      </c>
      <c r="T89" s="431">
        <f>F90/H89</f>
        <v>0.93002421307506056</v>
      </c>
      <c r="V89" s="453">
        <f>IF(qtrSales!J160=0," ",qtrSales!J160)</f>
        <v>1127</v>
      </c>
      <c r="X89" s="320">
        <f>H89/V89</f>
        <v>3.6645962732919255</v>
      </c>
      <c r="Z89" s="419">
        <f>X89/X82-1</f>
        <v>-9.740610021114926E-3</v>
      </c>
      <c r="AB89" s="413">
        <f>qtrSales!AA160</f>
        <v>98463</v>
      </c>
      <c r="AD89" s="759">
        <f>H89/AB89*1000</f>
        <v>41.944689883509547</v>
      </c>
      <c r="AF89" s="765">
        <f>(AD89/AD82-1)*100</f>
        <v>-0.27051513776672476</v>
      </c>
      <c r="AH89" s="686">
        <f>J89/(F89/(365/4))</f>
        <v>122.63416108630952</v>
      </c>
      <c r="AJ89" s="686">
        <f>H89/(F90/(365/4))</f>
        <v>98.115725071595932</v>
      </c>
      <c r="AL89" s="413">
        <f>INDEX('qtrP&amp;L'!$82:$82,MATCH(B86,'qtrP&amp;L'!$6:$6,0))</f>
        <v>416</v>
      </c>
    </row>
    <row r="90" spans="1:38" hidden="1" outlineLevel="1" x14ac:dyDescent="0.2">
      <c r="A90" s="303" t="s">
        <v>107</v>
      </c>
      <c r="B90" s="303" t="s">
        <v>92</v>
      </c>
      <c r="D90" s="491">
        <f>qtrSales!S161</f>
        <v>6018</v>
      </c>
      <c r="F90" s="491">
        <f>INDEX('qtrP&amp;L'!$23:$23,MATCH(B86,'qtrP&amp;L'!$6:$6,0))</f>
        <v>3841</v>
      </c>
      <c r="H90" s="491">
        <f>INDEX(wc!$11:$11,MATCH(B86,wc!$5:$5,0))</f>
        <v>3199</v>
      </c>
      <c r="J90" s="491">
        <f>AVERAGE(H90,H89)</f>
        <v>3664.5</v>
      </c>
      <c r="L90" s="762">
        <f>(D90/D83-1)*100</f>
        <v>-0.33123550844650351</v>
      </c>
      <c r="N90" s="765">
        <f>(H90/H83-1)*100</f>
        <v>5.3689064558629873</v>
      </c>
      <c r="P90" s="765">
        <f>(H90/H89-1)*100</f>
        <v>-22.542372881355931</v>
      </c>
      <c r="R90" s="431">
        <f>F90/J90</f>
        <v>1.0481648246691226</v>
      </c>
      <c r="T90" s="767" t="s">
        <v>94</v>
      </c>
      <c r="V90" s="455">
        <f>IF(qtrSales!J161=0," ",qtrSales!J161)</f>
        <v>1127</v>
      </c>
      <c r="X90" s="320">
        <f>H90/V90</f>
        <v>2.8385093167701863</v>
      </c>
      <c r="Z90" s="419">
        <f>X90/X83-1</f>
        <v>1.816095058061018E-2</v>
      </c>
      <c r="AB90" s="413">
        <f>qtrSales!AA161</f>
        <v>98463</v>
      </c>
      <c r="AD90" s="759">
        <f>H90/AB90*1000</f>
        <v>32.489361486040437</v>
      </c>
      <c r="AF90" s="765">
        <f>(AD90/AD83-1)*100</f>
        <v>2.5394640392262469</v>
      </c>
      <c r="AH90" s="686">
        <f>J90/(F90/(365/4))</f>
        <v>87.056918771153349</v>
      </c>
      <c r="AJ90" s="686">
        <f>H90/(F94/(365/4))</f>
        <v>107.35886355277675</v>
      </c>
      <c r="AL90" s="491">
        <f>INDEX('qtrP&amp;L'!$83:$83,MATCH(B86,'qtrP&amp;L'!$6:$6,0))</f>
        <v>805</v>
      </c>
    </row>
    <row r="91" spans="1:38" hidden="1" outlineLevel="1" x14ac:dyDescent="0.2">
      <c r="B91" s="573" t="s">
        <v>67</v>
      </c>
      <c r="C91" s="573"/>
      <c r="D91" s="319">
        <f>qtrSales!S162</f>
        <v>18804</v>
      </c>
      <c r="F91" s="319">
        <f>INDEX('qtrP&amp;L'!$24:$24,MATCH(B86,'qtrP&amp;L'!$6:$6,0))</f>
        <v>11625</v>
      </c>
      <c r="H91" s="319">
        <f>INDEX(wc!$11:$11,MATCH(B86,wc!$5:$5,0))</f>
        <v>3199</v>
      </c>
      <c r="J91" s="319">
        <f>AVERAGE(J87:J90)</f>
        <v>3354.25</v>
      </c>
      <c r="L91" s="600">
        <f>(D91/D84-1)*100</f>
        <v>2.2456636398238361</v>
      </c>
      <c r="R91" s="764">
        <f>F91/J91</f>
        <v>3.4657524036669898</v>
      </c>
      <c r="S91" s="565" t="s">
        <v>134</v>
      </c>
      <c r="V91" s="757">
        <f>V90</f>
        <v>1127</v>
      </c>
      <c r="AB91" s="413"/>
      <c r="AL91" s="319">
        <f>INDEX('qtrP&amp;L'!$84:$84,MATCH(B86,'qtrP&amp;L'!$6:$6,0))</f>
        <v>2159</v>
      </c>
    </row>
    <row r="92" spans="1:38" hidden="1" outlineLevel="1" x14ac:dyDescent="0.2">
      <c r="L92" s="600"/>
      <c r="AB92" s="546"/>
    </row>
    <row r="93" spans="1:38" collapsed="1" x14ac:dyDescent="0.2">
      <c r="B93" s="755">
        <v>2012</v>
      </c>
      <c r="C93" s="766"/>
      <c r="L93" s="600"/>
      <c r="AB93" s="546"/>
      <c r="AH93" s="686"/>
    </row>
    <row r="94" spans="1:38" x14ac:dyDescent="0.2">
      <c r="A94" s="303" t="s">
        <v>104</v>
      </c>
      <c r="B94" s="303" t="s">
        <v>89</v>
      </c>
      <c r="D94" s="319">
        <f>qtrSales!S165</f>
        <v>4243</v>
      </c>
      <c r="F94" s="319">
        <f>INDEX('qtrP&amp;L'!$20:$20,MATCH(B93,'qtrP&amp;L'!$6:$6,0))</f>
        <v>2719</v>
      </c>
      <c r="H94" s="319">
        <f>INDEX(wc!$8:$8,MATCH(B93,wc!$5:$5,0))</f>
        <v>3454</v>
      </c>
      <c r="J94" s="319">
        <f>AVERAGE(H94,H87)</f>
        <v>3323.5</v>
      </c>
      <c r="L94" s="600">
        <f>(D94/D87-1)*100</f>
        <v>1.9461797212878329</v>
      </c>
      <c r="M94" s="303" t="s">
        <v>102</v>
      </c>
      <c r="N94" s="765">
        <f>(H94/H87-1)*100</f>
        <v>8.1741309113686267</v>
      </c>
      <c r="O94" s="303" t="s">
        <v>102</v>
      </c>
      <c r="P94" s="765">
        <f>(H94/H90-1)*100</f>
        <v>7.971241012816499</v>
      </c>
      <c r="Q94" s="303" t="s">
        <v>102</v>
      </c>
      <c r="R94" s="431">
        <f>F94/J94</f>
        <v>0.8181134346321649</v>
      </c>
      <c r="S94" s="303" t="s">
        <v>134</v>
      </c>
      <c r="T94" s="431">
        <f>F95/H94</f>
        <v>0.7420382165605095</v>
      </c>
      <c r="V94" s="453">
        <f>IF(qtrSales!J165=0," ",qtrSales!J165)</f>
        <v>1134</v>
      </c>
      <c r="X94" s="320">
        <f>H94/V94</f>
        <v>3.0458553791887124</v>
      </c>
      <c r="Z94" s="419">
        <f>X94/X87-1</f>
        <v>4.6446398675232592E-2</v>
      </c>
      <c r="AB94" s="413">
        <f>qtrSales!AA165</f>
        <v>98953</v>
      </c>
      <c r="AD94" s="759">
        <f>H94/AB94*1000</f>
        <v>34.90546016795853</v>
      </c>
      <c r="AF94" s="765">
        <f>(AD94/AD87-1)*100</f>
        <v>5.3613608201641849</v>
      </c>
      <c r="AG94" s="303" t="s">
        <v>102</v>
      </c>
      <c r="AH94" s="686">
        <f>J94/(F94/(365/4))</f>
        <v>111.53710003677823</v>
      </c>
      <c r="AJ94" s="686">
        <f>H94/(F95/(365/4))</f>
        <v>122.97210300429185</v>
      </c>
      <c r="AL94" s="319">
        <f>INDEX('qtrP&amp;L'!$80:$80,MATCH(B93,'qtrP&amp;L'!$6:$6,0))</f>
        <v>321</v>
      </c>
    </row>
    <row r="95" spans="1:38" x14ac:dyDescent="0.2">
      <c r="A95" s="303" t="s">
        <v>105</v>
      </c>
      <c r="B95" s="303" t="s">
        <v>90</v>
      </c>
      <c r="D95" s="413">
        <f>qtrSales!S166</f>
        <v>4205</v>
      </c>
      <c r="F95" s="413">
        <f>INDEX('qtrP&amp;L'!$21:$21,MATCH(B93,'qtrP&amp;L'!$6:$6,0))</f>
        <v>2563</v>
      </c>
      <c r="H95" s="413">
        <f>INDEX(wc!$9:$9,MATCH(B93,wc!$5:$5,0))</f>
        <v>3521</v>
      </c>
      <c r="J95" s="413">
        <f>AVERAGE(H95,H88)</f>
        <v>3308</v>
      </c>
      <c r="L95" s="600">
        <f>(D95/D88-1)*100</f>
        <v>-1.0122410546139382</v>
      </c>
      <c r="N95" s="765">
        <f>(H95/H88-1)*100</f>
        <v>13.764135702746373</v>
      </c>
      <c r="P95" s="765">
        <f>(H95/H94-1)*100</f>
        <v>1.9397799652576708</v>
      </c>
      <c r="R95" s="431">
        <f>F95/J95</f>
        <v>0.77478839177750902</v>
      </c>
      <c r="T95" s="431">
        <f>F96/H95</f>
        <v>0.78898040329451857</v>
      </c>
      <c r="V95" s="453">
        <f>IF(qtrSales!J166=0," ",qtrSales!J166)</f>
        <v>1134</v>
      </c>
      <c r="X95" s="320">
        <f>H95/V95</f>
        <v>3.1049382716049383</v>
      </c>
      <c r="Z95" s="419">
        <f>X95/X88-1</f>
        <v>0.10052254731845478</v>
      </c>
      <c r="AB95" s="413">
        <f>qtrSales!AA166</f>
        <v>98848</v>
      </c>
      <c r="AD95" s="759">
        <f>H95/AB95*1000</f>
        <v>35.620346390417609</v>
      </c>
      <c r="AF95" s="765">
        <f>(AD95/AD88-1)*100</f>
        <v>10.923715189287542</v>
      </c>
      <c r="AH95" s="686">
        <f>J95/(F95/(365/4))</f>
        <v>117.77409285992977</v>
      </c>
      <c r="AJ95" s="686">
        <f>H95/(F96/(365/4))</f>
        <v>115.65559755219583</v>
      </c>
      <c r="AL95" s="413">
        <f>INDEX('qtrP&amp;L'!$81:$81,MATCH(B93,'qtrP&amp;L'!$6:$6,0))</f>
        <v>457</v>
      </c>
    </row>
    <row r="96" spans="1:38" x14ac:dyDescent="0.2">
      <c r="A96" s="303" t="s">
        <v>106</v>
      </c>
      <c r="B96" s="303" t="s">
        <v>91</v>
      </c>
      <c r="D96" s="413">
        <f>qtrSales!S167</f>
        <v>4490</v>
      </c>
      <c r="F96" s="413">
        <f>INDEX('qtrP&amp;L'!$22:$22,MATCH(B93,'qtrP&amp;L'!$6:$6,0))</f>
        <v>2778</v>
      </c>
      <c r="H96" s="413">
        <f>INDEX(wc!$10:$10,MATCH(B93,wc!$5:$5,0))</f>
        <v>4851</v>
      </c>
      <c r="J96" s="413">
        <f>AVERAGE(H96,H89)</f>
        <v>4490.5</v>
      </c>
      <c r="L96" s="600">
        <f>(D96/D89-1)*100</f>
        <v>2.6051188299817118</v>
      </c>
      <c r="N96" s="765">
        <f>(H96/H89-1)*100</f>
        <v>17.457627118644069</v>
      </c>
      <c r="P96" s="765">
        <f>(H96/H95-1)*100</f>
        <v>37.773359840954271</v>
      </c>
      <c r="R96" s="431">
        <f>F96/J96</f>
        <v>0.61863934973833645</v>
      </c>
      <c r="T96" s="431">
        <f>F97/H96</f>
        <v>0.8719851576994434</v>
      </c>
      <c r="V96" s="453">
        <f>IF(qtrSales!J167=0," ",qtrSales!J167)</f>
        <v>1146</v>
      </c>
      <c r="X96" s="320">
        <f>H96/V96</f>
        <v>4.2329842931937174</v>
      </c>
      <c r="Z96" s="419">
        <f>X96/X89-1</f>
        <v>0.15510249356642114</v>
      </c>
      <c r="AB96" s="413">
        <f>qtrSales!AA167</f>
        <v>99565.2</v>
      </c>
      <c r="AD96" s="759">
        <f>H96/AB96*1000</f>
        <v>48.721842571500886</v>
      </c>
      <c r="AF96" s="765">
        <f>(AD96/AD89-1)*100</f>
        <v>16.157355571856936</v>
      </c>
      <c r="AH96" s="686">
        <f>J96/(F96/(365/4))</f>
        <v>147.50112491000721</v>
      </c>
      <c r="AJ96" s="686">
        <f>H96/(F97/(365/4))</f>
        <v>104.64627659574469</v>
      </c>
      <c r="AL96" s="413">
        <f>INDEX('qtrP&amp;L'!$82:$82,MATCH(B93,'qtrP&amp;L'!$6:$6,0))</f>
        <v>425</v>
      </c>
    </row>
    <row r="97" spans="1:38" x14ac:dyDescent="0.2">
      <c r="A97" s="303" t="s">
        <v>107</v>
      </c>
      <c r="B97" s="303" t="s">
        <v>92</v>
      </c>
      <c r="D97" s="491">
        <f>qtrSales!S168</f>
        <v>6342</v>
      </c>
      <c r="F97" s="491">
        <f>INDEX('qtrP&amp;L'!$23:$23,MATCH(B93,'qtrP&amp;L'!$6:$6,0))</f>
        <v>4230</v>
      </c>
      <c r="H97" s="491">
        <f>INDEX(wc!$11:$11,MATCH(B93,wc!$5:$5,0))</f>
        <v>3748</v>
      </c>
      <c r="J97" s="491">
        <f>AVERAGE(H97,H90)</f>
        <v>3473.5</v>
      </c>
      <c r="L97" s="762">
        <f>(D97/D90-1)*100</f>
        <v>5.3838484546360865</v>
      </c>
      <c r="N97" s="765">
        <f>(H97/H90-1)*100</f>
        <v>17.161613004063781</v>
      </c>
      <c r="P97" s="765">
        <f>(H97/H96-1)*100</f>
        <v>-22.737579880437021</v>
      </c>
      <c r="R97" s="431">
        <f>F97/J97</f>
        <v>1.2177918525982439</v>
      </c>
      <c r="T97" s="767">
        <f>F101/H97</f>
        <v>0.71264674493062963</v>
      </c>
      <c r="V97" s="455">
        <f>IF(qtrSales!J168=0," ",qtrSales!J168)</f>
        <v>1146</v>
      </c>
      <c r="X97" s="320">
        <f>H97/V97</f>
        <v>3.2705061082024431</v>
      </c>
      <c r="Z97" s="419">
        <f>X97/X90-1</f>
        <v>0.15219142980436184</v>
      </c>
      <c r="AB97" s="413">
        <f>qtrSales!AA168</f>
        <v>99565.2</v>
      </c>
      <c r="AD97" s="759">
        <f>H97/AB97*1000</f>
        <v>37.643674697585105</v>
      </c>
      <c r="AF97" s="765">
        <f>(AD97/AD90-1)*100</f>
        <v>15.864618372876604</v>
      </c>
      <c r="AH97" s="686">
        <f>J97/(F97/(365/4))</f>
        <v>74.930703309692674</v>
      </c>
      <c r="AJ97" s="686">
        <f>H97/(F98/(365/4))</f>
        <v>27.827908868999184</v>
      </c>
      <c r="AL97" s="491">
        <f>INDEX('qtrP&amp;L'!$83:$83,MATCH(B93,'qtrP&amp;L'!$6:$6,0))</f>
        <v>686</v>
      </c>
    </row>
    <row r="98" spans="1:38" x14ac:dyDescent="0.2">
      <c r="B98" s="573" t="s">
        <v>67</v>
      </c>
      <c r="C98" s="573"/>
      <c r="D98" s="319">
        <f>qtrSales!S169</f>
        <v>19280</v>
      </c>
      <c r="F98" s="319">
        <f>INDEX('qtrP&amp;L'!$24:$24,MATCH(B93,'qtrP&amp;L'!$6:$6,0))</f>
        <v>12290</v>
      </c>
      <c r="H98" s="319">
        <f>bal!Z13</f>
        <v>3748</v>
      </c>
      <c r="J98" s="319">
        <f>AVERAGE(H98,H80)</f>
        <v>3382.5</v>
      </c>
      <c r="L98" s="600">
        <f>(D98/D91-1)*100</f>
        <v>2.5313763029142677</v>
      </c>
      <c r="N98" s="765"/>
      <c r="P98" s="765"/>
      <c r="R98" s="764">
        <f>F98/J98</f>
        <v>3.6334072431633406</v>
      </c>
      <c r="S98" s="565" t="s">
        <v>134</v>
      </c>
      <c r="V98" s="757">
        <f>V97</f>
        <v>1146</v>
      </c>
      <c r="AB98" s="413"/>
      <c r="AL98" s="319">
        <f>INDEX('qtrP&amp;L'!$84:$84,MATCH(B93,'qtrP&amp;L'!$6:$6,0))</f>
        <v>1889</v>
      </c>
    </row>
    <row r="99" spans="1:38" x14ac:dyDescent="0.2">
      <c r="L99" s="600"/>
      <c r="AB99" s="546"/>
    </row>
    <row r="100" spans="1:38" x14ac:dyDescent="0.2">
      <c r="B100" s="755">
        <v>2013</v>
      </c>
      <c r="C100" s="766"/>
      <c r="L100" s="600"/>
      <c r="AB100" s="546"/>
      <c r="AH100" s="686"/>
    </row>
    <row r="101" spans="1:38" x14ac:dyDescent="0.2">
      <c r="A101" s="303" t="s">
        <v>104</v>
      </c>
      <c r="B101" s="303" t="s">
        <v>89</v>
      </c>
      <c r="D101" s="319">
        <f>qtrSales!S172</f>
        <v>4199</v>
      </c>
      <c r="F101" s="319">
        <f>INDEX('qtrP&amp;L'!$20:$20,MATCH(B100,'qtrP&amp;L'!$6:$6,0))</f>
        <v>2671</v>
      </c>
      <c r="H101" s="319">
        <f>INDEX(wc!$8:$8,MATCH(B100,wc!$5:$5,0))</f>
        <v>3961</v>
      </c>
      <c r="J101" s="319">
        <f>AVERAGE(H101,H94)</f>
        <v>3707.5</v>
      </c>
      <c r="L101" s="600">
        <f>(D101/D94-1)*100</f>
        <v>-1.0370021211407066</v>
      </c>
      <c r="M101" s="303" t="s">
        <v>102</v>
      </c>
      <c r="N101" s="765">
        <f>(H101/H94-1)*100</f>
        <v>14.678633468442381</v>
      </c>
      <c r="O101" s="303" t="s">
        <v>102</v>
      </c>
      <c r="P101" s="765">
        <f>(H101/H97-1)*100</f>
        <v>5.6830309498399068</v>
      </c>
      <c r="Q101" s="303" t="s">
        <v>102</v>
      </c>
      <c r="R101" s="431">
        <f>F101/J101</f>
        <v>0.72043155765340527</v>
      </c>
      <c r="S101" s="303" t="s">
        <v>134</v>
      </c>
      <c r="T101" s="431">
        <f>F102/H101</f>
        <v>0.6596818985104772</v>
      </c>
      <c r="V101" s="453">
        <f>IF(qtrSales!J172=0," ",qtrSales!J172)</f>
        <v>1155</v>
      </c>
      <c r="X101" s="320">
        <f>H101/V101</f>
        <v>3.4294372294372293</v>
      </c>
      <c r="Z101" s="419">
        <f>X101/X94-1</f>
        <v>0.12593567405379802</v>
      </c>
      <c r="AB101" s="413">
        <f>qtrSales!AA172</f>
        <v>100070</v>
      </c>
      <c r="AD101" s="759">
        <f>H101/AB101*1000</f>
        <v>39.582292395323272</v>
      </c>
      <c r="AF101" s="765">
        <f>(AD101/AD94-1)*100</f>
        <v>13.398569177603449</v>
      </c>
      <c r="AG101" s="303" t="s">
        <v>102</v>
      </c>
      <c r="AH101" s="686">
        <f>J101/(F101/(365/4))</f>
        <v>126.66019281168101</v>
      </c>
      <c r="AJ101" s="686">
        <f>H101/(F102/(365/4))</f>
        <v>138.32424416379641</v>
      </c>
      <c r="AL101" s="319">
        <f>INDEX('qtrP&amp;L'!$80:$80,MATCH(B100,'qtrP&amp;L'!$6:$6,0))</f>
        <v>317</v>
      </c>
    </row>
    <row r="102" spans="1:38" x14ac:dyDescent="0.2">
      <c r="A102" s="303" t="s">
        <v>105</v>
      </c>
      <c r="B102" s="303" t="s">
        <v>90</v>
      </c>
      <c r="D102" s="413">
        <f>qtrSales!S173</f>
        <v>4289</v>
      </c>
      <c r="F102" s="413">
        <f>INDEX('qtrP&amp;L'!$21:$21,MATCH(B100,'qtrP&amp;L'!$6:$6,0))</f>
        <v>2613</v>
      </c>
      <c r="H102" s="413">
        <f>INDEX(wc!$9:$9,MATCH(B100,wc!$5:$5,0))</f>
        <v>3856</v>
      </c>
      <c r="J102" s="413">
        <f>AVERAGE(H102,H95)</f>
        <v>3688.5</v>
      </c>
      <c r="L102" s="600">
        <f>(D102/D95-1)*100</f>
        <v>1.9976218787158162</v>
      </c>
      <c r="N102" s="765">
        <f>(H102/H95-1)*100</f>
        <v>9.5143425163305864</v>
      </c>
      <c r="P102" s="765">
        <f>(H102/H101-1)*100</f>
        <v>-2.6508457460237334</v>
      </c>
      <c r="R102" s="431">
        <f>F102/J102</f>
        <v>0.70841805612037412</v>
      </c>
      <c r="T102" s="431">
        <f>F103/H102</f>
        <v>0.7204356846473029</v>
      </c>
      <c r="V102" s="453">
        <f>IF(qtrSales!J173=0," ",qtrSales!J173)</f>
        <v>1155</v>
      </c>
      <c r="X102" s="320">
        <f>H102/V102</f>
        <v>3.3385281385281385</v>
      </c>
      <c r="Z102" s="419">
        <f>X102/X95-1</f>
        <v>7.523172652397303E-2</v>
      </c>
      <c r="AB102" s="413">
        <f>qtrSales!AA173</f>
        <v>100107</v>
      </c>
      <c r="AD102" s="759">
        <f>H102/AB102*1000</f>
        <v>38.518784900156831</v>
      </c>
      <c r="AF102" s="765">
        <f>(AD102/AD95-1)*100</f>
        <v>8.1370306677279949</v>
      </c>
      <c r="AH102" s="686">
        <f>J102/(F102/(365/4))</f>
        <v>128.80812284730197</v>
      </c>
      <c r="AJ102" s="686">
        <f>H102/(F103/(365/4))</f>
        <v>126.65946724262059</v>
      </c>
      <c r="AL102" s="413">
        <f>INDEX('qtrP&amp;L'!$81:$81,MATCH(B100,'qtrP&amp;L'!$6:$6,0))</f>
        <v>451</v>
      </c>
    </row>
    <row r="103" spans="1:38" x14ac:dyDescent="0.2">
      <c r="A103" s="303" t="s">
        <v>106</v>
      </c>
      <c r="B103" s="303" t="s">
        <v>91</v>
      </c>
      <c r="D103" s="413">
        <f>qtrSales!S174</f>
        <v>4444</v>
      </c>
      <c r="F103" s="413">
        <f>INDEX('qtrP&amp;L'!$22:$22,MATCH(B100,'qtrP&amp;L'!$6:$6,0))</f>
        <v>2778</v>
      </c>
      <c r="H103" s="413">
        <f>INDEX(wc!$10:$10,MATCH(B100,wc!$5:$5,0))</f>
        <v>4959</v>
      </c>
      <c r="J103" s="413">
        <f>AVERAGE(H103,H96)</f>
        <v>4905</v>
      </c>
      <c r="L103" s="600">
        <f>(D103/D96-1)*100</f>
        <v>-1.024498886414249</v>
      </c>
      <c r="N103" s="765">
        <f>(H103/H96-1)*100</f>
        <v>2.226345083487935</v>
      </c>
      <c r="P103" s="765">
        <f>(H103/H102-1)*100</f>
        <v>28.604771784232376</v>
      </c>
      <c r="R103" s="431">
        <f>F103/J103</f>
        <v>0.56636085626911314</v>
      </c>
      <c r="T103" s="431">
        <f>F104/H103</f>
        <v>0.81145392216172618</v>
      </c>
      <c r="V103" s="453">
        <f>IF(qtrSales!J174=0," ",qtrSales!J174)</f>
        <v>1158</v>
      </c>
      <c r="X103" s="320">
        <f>H103/V103</f>
        <v>4.2823834196891193</v>
      </c>
      <c r="Z103" s="419">
        <f>X103/X96-1</f>
        <v>1.1670047199284772E-2</v>
      </c>
      <c r="AB103" s="413">
        <f>qtrSales!AA174</f>
        <v>100275</v>
      </c>
      <c r="AD103" s="759">
        <f>H103/AB103*1000</f>
        <v>49.454001495886317</v>
      </c>
      <c r="AF103" s="765">
        <f>(AD103/AD96-1)*100</f>
        <v>1.5027324209074377</v>
      </c>
      <c r="AH103" s="686">
        <f>J103/(F103/(365/4))</f>
        <v>161.11636069114471</v>
      </c>
      <c r="AJ103" s="686">
        <f>H103/(F104/(365/4))</f>
        <v>112.4524726640159</v>
      </c>
      <c r="AL103" s="413">
        <f>INDEX('qtrP&amp;L'!$82:$82,MATCH(B100,'qtrP&amp;L'!$6:$6,0))</f>
        <v>365</v>
      </c>
    </row>
    <row r="104" spans="1:38" x14ac:dyDescent="0.2">
      <c r="A104" s="303" t="s">
        <v>107</v>
      </c>
      <c r="B104" s="303" t="s">
        <v>92</v>
      </c>
      <c r="D104" s="491">
        <f>qtrSales!S175</f>
        <v>6099</v>
      </c>
      <c r="F104" s="491">
        <f>INDEX('qtrP&amp;L'!$23:$23,MATCH(B100,'qtrP&amp;L'!$6:$6,0))</f>
        <v>4024</v>
      </c>
      <c r="H104" s="491">
        <f>INDEX(wc!$11:$11,MATCH(B100,wc!$5:$5,0))</f>
        <v>3874</v>
      </c>
      <c r="J104" s="491">
        <f>AVERAGE(H104,H97)</f>
        <v>3811</v>
      </c>
      <c r="L104" s="762">
        <f>(D104/D97-1)*100</f>
        <v>-3.8315988647114496</v>
      </c>
      <c r="N104" s="765">
        <f>(H104/H97-1)*100</f>
        <v>3.3617929562433257</v>
      </c>
      <c r="P104" s="765">
        <f>(H104/H103-1)*100</f>
        <v>-21.879411171607178</v>
      </c>
      <c r="R104" s="431">
        <f>F104/J104</f>
        <v>1.0558908422986093</v>
      </c>
      <c r="T104" s="767">
        <f>F108/H104</f>
        <v>0.66442953020134232</v>
      </c>
      <c r="V104" s="455">
        <f>IF(qtrSales!J175=0," ",qtrSales!J175)</f>
        <v>1158</v>
      </c>
      <c r="X104" s="320">
        <f>H104/V104</f>
        <v>3.3454231433506045</v>
      </c>
      <c r="Z104" s="419">
        <f>X104/X97-1</f>
        <v>2.2906862934843453E-2</v>
      </c>
      <c r="AB104" s="413">
        <f>qtrSales!AA175</f>
        <v>100300</v>
      </c>
      <c r="AD104" s="759">
        <f>H104/AB104*1000</f>
        <v>38.624127617148552</v>
      </c>
      <c r="AF104" s="765">
        <f>(AD104/AD97-1)*100</f>
        <v>2.6045621938878938</v>
      </c>
      <c r="AH104" s="686">
        <f>J104/(F104/(365/4))</f>
        <v>86.419917992047715</v>
      </c>
      <c r="AJ104" s="686">
        <f>H104/(F105/(365/4))</f>
        <v>29.248924375310278</v>
      </c>
      <c r="AL104" s="491">
        <f>INDEX('qtrP&amp;L'!$83:$83,MATCH(B100,'qtrP&amp;L'!$6:$6,0))</f>
        <v>609</v>
      </c>
    </row>
    <row r="105" spans="1:38" x14ac:dyDescent="0.2">
      <c r="B105" s="573" t="s">
        <v>67</v>
      </c>
      <c r="C105" s="573"/>
      <c r="D105" s="319">
        <f>qtrSales!S176</f>
        <v>19031</v>
      </c>
      <c r="F105" s="319">
        <f>INDEX('qtrP&amp;L'!$24:$24,MATCH(B100,'qtrP&amp;L'!$6:$6,0))</f>
        <v>12086</v>
      </c>
      <c r="H105" s="319">
        <f>bal!AA13</f>
        <v>3874</v>
      </c>
      <c r="J105" s="319">
        <f>AVERAGE(H105,H87)</f>
        <v>3533.5</v>
      </c>
      <c r="L105" s="600">
        <f>(D105/D98-1)*100</f>
        <v>-1.2914937759336054</v>
      </c>
      <c r="N105" s="765"/>
      <c r="P105" s="765"/>
      <c r="R105" s="764">
        <f>F105/J105</f>
        <v>3.4204046978916089</v>
      </c>
      <c r="S105" s="565" t="s">
        <v>134</v>
      </c>
      <c r="V105" s="757">
        <f>V104</f>
        <v>1158</v>
      </c>
      <c r="AB105" s="413"/>
      <c r="AL105" s="319">
        <f>INDEX('qtrP&amp;L'!$84:$84,MATCH(B100,'qtrP&amp;L'!$6:$6,0))</f>
        <v>1742</v>
      </c>
    </row>
    <row r="106" spans="1:38" x14ac:dyDescent="0.2">
      <c r="L106" s="600"/>
      <c r="AB106" s="546"/>
    </row>
    <row r="107" spans="1:38" x14ac:dyDescent="0.2">
      <c r="B107" s="755">
        <v>2014</v>
      </c>
      <c r="C107" s="766"/>
      <c r="L107" s="600"/>
      <c r="AB107" s="546"/>
      <c r="AH107" s="686"/>
    </row>
    <row r="108" spans="1:38" x14ac:dyDescent="0.2">
      <c r="A108" s="303" t="s">
        <v>104</v>
      </c>
      <c r="B108" s="303" t="s">
        <v>89</v>
      </c>
      <c r="D108" s="319">
        <f>qtrSales!S179</f>
        <v>4070</v>
      </c>
      <c r="F108" s="319">
        <f>INDEX('qtrP&amp;L'!$20:$20,MATCH(B107,'qtrP&amp;L'!$6:$6,0))</f>
        <v>2574</v>
      </c>
      <c r="H108" s="319">
        <f>INDEX(wc!$8:$8,MATCH(B107,wc!$5:$5,0))</f>
        <v>3981</v>
      </c>
      <c r="J108" s="319">
        <f>AVERAGE(H108,H101)</f>
        <v>3971</v>
      </c>
      <c r="L108" s="600">
        <f>(D108/D101-1)*100</f>
        <v>-3.0721600381043102</v>
      </c>
      <c r="M108" s="303" t="s">
        <v>102</v>
      </c>
      <c r="N108" s="765">
        <f>(H108/H101-1)*100</f>
        <v>0.50492299924260742</v>
      </c>
      <c r="O108" s="303" t="s">
        <v>102</v>
      </c>
      <c r="P108" s="765">
        <f>(H108/H104-1)*100</f>
        <v>2.7620030975735732</v>
      </c>
      <c r="Q108" s="303" t="s">
        <v>102</v>
      </c>
      <c r="R108" s="431">
        <f>F108/J108</f>
        <v>0.64819944598337953</v>
      </c>
      <c r="S108" s="303" t="s">
        <v>134</v>
      </c>
      <c r="T108" s="431">
        <f>F109/H108</f>
        <v>0.65008791760864104</v>
      </c>
      <c r="V108" s="453">
        <f>IF(qtrSales!J179=0," ",qtrSales!J179)</f>
        <v>1160</v>
      </c>
      <c r="X108" s="320">
        <f>H108/V108</f>
        <v>3.431896551724138</v>
      </c>
      <c r="Z108" s="419">
        <f>X108/X101-1</f>
        <v>7.1712124245881803E-4</v>
      </c>
      <c r="AB108" s="413">
        <f>qtrSales!AA179</f>
        <v>100340</v>
      </c>
      <c r="AD108" s="759">
        <f>H108/AB108*1000</f>
        <v>39.675104644209689</v>
      </c>
      <c r="AF108" s="765">
        <f>(AD108/AD101-1)*100</f>
        <v>0.23447921600767696</v>
      </c>
      <c r="AG108" s="303" t="s">
        <v>102</v>
      </c>
      <c r="AH108" s="686">
        <f>J108/(F108/(365/4))</f>
        <v>140.77457264957263</v>
      </c>
      <c r="AJ108" s="686">
        <f>H108/(F109/(365/4))</f>
        <v>140.36562982998456</v>
      </c>
      <c r="AL108" s="319">
        <f>INDEX('qtrP&amp;L'!$80:$80,MATCH(B107,'qtrP&amp;L'!$6:$6,0))</f>
        <v>280</v>
      </c>
    </row>
    <row r="109" spans="1:38" x14ac:dyDescent="0.2">
      <c r="A109" s="303" t="s">
        <v>105</v>
      </c>
      <c r="B109" s="303" t="s">
        <v>90</v>
      </c>
      <c r="D109" s="413">
        <f>qtrSales!S180</f>
        <v>4242</v>
      </c>
      <c r="F109" s="413">
        <f>INDEX('qtrP&amp;L'!$21:$21,MATCH(B107,'qtrP&amp;L'!$6:$6,0))</f>
        <v>2588</v>
      </c>
      <c r="H109" s="413">
        <f>INDEX(wc!$9:$9,MATCH(B107,wc!$5:$5,0))</f>
        <v>3899</v>
      </c>
      <c r="J109" s="413">
        <f>AVERAGE(H109,H102)</f>
        <v>3877.5</v>
      </c>
      <c r="L109" s="600">
        <f>(D109/D102-1)*100</f>
        <v>-1.095826532991373</v>
      </c>
      <c r="N109" s="765">
        <f>(H109/H102-1)*100</f>
        <v>1.1151452282157637</v>
      </c>
      <c r="P109" s="765">
        <f>(H109/H108-1)*100</f>
        <v>-2.0597839738759061</v>
      </c>
      <c r="R109" s="431">
        <f>F109/J109</f>
        <v>0.66744036105738236</v>
      </c>
      <c r="T109" s="431">
        <f>F110/H109</f>
        <v>0.7042831495255194</v>
      </c>
      <c r="V109" s="453">
        <f>IF(qtrSales!J180=0," ",qtrSales!J180)</f>
        <v>1160</v>
      </c>
      <c r="X109" s="320">
        <f>H109/V109</f>
        <v>3.3612068965517241</v>
      </c>
      <c r="Z109" s="419">
        <f>X109/X102-1</f>
        <v>6.7930408499070616E-3</v>
      </c>
      <c r="AB109" s="413">
        <f>qtrSales!AA180</f>
        <v>100340</v>
      </c>
      <c r="AD109" s="759">
        <f>H109/AB109*1000</f>
        <v>38.857883197129759</v>
      </c>
      <c r="AF109" s="765">
        <f>(AD109/AD102-1)*100</f>
        <v>0.88034525972688904</v>
      </c>
      <c r="AH109" s="686">
        <f>J109/(F109/(365/4))</f>
        <v>136.71633500772799</v>
      </c>
      <c r="AJ109" s="686">
        <f>H109/(F110/(365/4))</f>
        <v>129.56436635105607</v>
      </c>
      <c r="AL109" s="413">
        <f>INDEX('qtrP&amp;L'!$81:$81,MATCH(B107,'qtrP&amp;L'!$6:$6,0))</f>
        <v>451</v>
      </c>
    </row>
    <row r="110" spans="1:38" x14ac:dyDescent="0.2">
      <c r="A110" s="303" t="s">
        <v>106</v>
      </c>
      <c r="B110" s="303" t="s">
        <v>91</v>
      </c>
      <c r="D110" s="413">
        <f>qtrSales!S181</f>
        <v>4374</v>
      </c>
      <c r="F110" s="413">
        <f>INDEX('qtrP&amp;L'!$22:$22,MATCH(B107,'qtrP&amp;L'!$6:$6,0))</f>
        <v>2746</v>
      </c>
      <c r="H110" s="413">
        <f>INDEX(wc!$10:$10,MATCH(B107,wc!$5:$5,0))</f>
        <v>4973</v>
      </c>
      <c r="J110" s="413">
        <f>AVERAGE(H110,H103)</f>
        <v>4966</v>
      </c>
      <c r="L110" s="600">
        <f>(D110/D103-1)*100</f>
        <v>-1.5751575157515796</v>
      </c>
      <c r="N110" s="765">
        <f>(H110/H103-1)*100</f>
        <v>0.28231498285944401</v>
      </c>
      <c r="P110" s="765">
        <f>(H110/H109-1)*100</f>
        <v>27.545524493459862</v>
      </c>
      <c r="R110" s="431">
        <f>F110/J110</f>
        <v>0.55296012887635926</v>
      </c>
      <c r="T110" s="431">
        <f>F111/H110</f>
        <v>0.84254976875125676</v>
      </c>
      <c r="V110" s="453">
        <f>IF(qtrSales!J181=0," ",qtrSales!J181)</f>
        <v>1163</v>
      </c>
      <c r="X110" s="320">
        <f>H110/V110</f>
        <v>4.2760103181427347</v>
      </c>
      <c r="Z110" s="419">
        <f>X110/X103-1</f>
        <v>-1.4882136702386584E-3</v>
      </c>
      <c r="AB110" s="413">
        <f>qtrSales!AA181</f>
        <v>100494</v>
      </c>
      <c r="AD110" s="759">
        <f>H110/AB110*1000</f>
        <v>49.485541425358726</v>
      </c>
      <c r="AF110" s="765">
        <f>(AD110/AD103-1)*100</f>
        <v>6.3776294169093362E-2</v>
      </c>
      <c r="AH110" s="686">
        <f>J110/(F110/(365/4))</f>
        <v>165.02093954843409</v>
      </c>
      <c r="AJ110" s="686">
        <f>H110/(F111/(365/4))</f>
        <v>108.3022076372315</v>
      </c>
      <c r="AL110" s="413">
        <f>INDEX('qtrP&amp;L'!$82:$82,MATCH(B107,'qtrP&amp;L'!$6:$6,0))</f>
        <v>304</v>
      </c>
    </row>
    <row r="111" spans="1:38" x14ac:dyDescent="0.2">
      <c r="A111" s="303" t="s">
        <v>107</v>
      </c>
      <c r="B111" s="303" t="s">
        <v>92</v>
      </c>
      <c r="D111" s="491">
        <f>qtrSales!S182</f>
        <v>6337</v>
      </c>
      <c r="F111" s="491">
        <f>INDEX('qtrP&amp;L'!$23:$23,MATCH(B107,'qtrP&amp;L'!$6:$6,0))</f>
        <v>4190</v>
      </c>
      <c r="H111" s="491">
        <f>INDEX(wc!$11:$11,MATCH(B107,wc!$5:$5,0))</f>
        <v>3814</v>
      </c>
      <c r="J111" s="491">
        <f>AVERAGE(H111,H104)</f>
        <v>3844</v>
      </c>
      <c r="L111" s="762">
        <f>(D111/D104-1)*100</f>
        <v>3.9022790621413339</v>
      </c>
      <c r="N111" s="765">
        <f>(H111/H104-1)*100</f>
        <v>-1.548786783686118</v>
      </c>
      <c r="P111" s="765">
        <f>(H111/H110-1)*100</f>
        <v>-23.305851598632621</v>
      </c>
      <c r="R111" s="431">
        <f>F111/J111</f>
        <v>1.0900104058272633</v>
      </c>
      <c r="T111" s="767">
        <f>F115/H111</f>
        <v>0.68169900367068692</v>
      </c>
      <c r="V111" s="455">
        <f>IF(qtrSales!J182=0," ",qtrSales!J182)</f>
        <v>1162</v>
      </c>
      <c r="X111" s="320">
        <f>H111/V111</f>
        <v>3.2822719449225475</v>
      </c>
      <c r="Z111" s="419">
        <f>X111/X104-1</f>
        <v>-1.8876894109367548E-2</v>
      </c>
      <c r="AB111" s="413">
        <f>qtrSales!AA182</f>
        <v>100394</v>
      </c>
      <c r="AD111" s="759">
        <f>H111/AB111*1000</f>
        <v>37.99031814650278</v>
      </c>
      <c r="AF111" s="765">
        <f>(AD111/AD104-1)*100</f>
        <v>-1.6409677311763238</v>
      </c>
      <c r="AH111" s="686">
        <f>J111/(F111/(365/4))</f>
        <v>83.714797136038186</v>
      </c>
      <c r="AJ111" s="686">
        <f>H111/(F112/(365/4))</f>
        <v>28.767358241031577</v>
      </c>
      <c r="AL111" s="491">
        <f>INDEX('qtrP&amp;L'!$83:$83,MATCH(B107,'qtrP&amp;L'!$6:$6,0))</f>
        <v>654</v>
      </c>
    </row>
    <row r="112" spans="1:38" x14ac:dyDescent="0.2">
      <c r="B112" s="573" t="s">
        <v>67</v>
      </c>
      <c r="C112" s="573"/>
      <c r="D112" s="319">
        <f>qtrSales!S183</f>
        <v>19023</v>
      </c>
      <c r="F112" s="319">
        <f>INDEX('qtrP&amp;L'!$24:$24,MATCH(B107,'qtrP&amp;L'!$6:$6,0))</f>
        <v>12098</v>
      </c>
      <c r="H112" s="319">
        <f>bal!AB$13</f>
        <v>3814</v>
      </c>
      <c r="J112" s="319">
        <f>AVERAGE(H112,H94)</f>
        <v>3634</v>
      </c>
      <c r="L112" s="600">
        <f>(D112/D105-1)*100</f>
        <v>-4.2036677000678591E-2</v>
      </c>
      <c r="N112" s="765"/>
      <c r="P112" s="765"/>
      <c r="R112" s="764">
        <f>F112/J112</f>
        <v>3.3291139240506329</v>
      </c>
      <c r="S112" s="565" t="s">
        <v>134</v>
      </c>
      <c r="V112" s="757">
        <f>V111</f>
        <v>1162</v>
      </c>
      <c r="AB112" s="413"/>
      <c r="AL112" s="319">
        <f>INDEX('qtrP&amp;L'!$84:$84,MATCH(B107,'qtrP&amp;L'!$6:$6,0))</f>
        <v>1689</v>
      </c>
    </row>
    <row r="113" spans="1:38" x14ac:dyDescent="0.2">
      <c r="L113" s="600"/>
      <c r="AB113" s="546"/>
    </row>
    <row r="114" spans="1:38" x14ac:dyDescent="0.2">
      <c r="B114" s="871">
        <v>2015</v>
      </c>
      <c r="C114" s="766"/>
      <c r="L114" s="600"/>
      <c r="AB114" s="546"/>
      <c r="AH114" s="686"/>
    </row>
    <row r="115" spans="1:38" x14ac:dyDescent="0.2">
      <c r="A115" s="303" t="s">
        <v>104</v>
      </c>
      <c r="B115" s="303" t="s">
        <v>89</v>
      </c>
      <c r="D115" s="319">
        <f>qtrSales!S186</f>
        <v>4123</v>
      </c>
      <c r="F115" s="319">
        <f>INDEX('qtrP&amp;L'!$20:$20,MATCH(B114,'qtrP&amp;L'!$6:$6,0))</f>
        <v>2600</v>
      </c>
      <c r="H115" s="319">
        <f>INDEX(wc!$8:$8,MATCH(B114,wc!$5:$5,0))</f>
        <v>4165</v>
      </c>
      <c r="J115" s="319">
        <f>AVERAGE(H115,H108)</f>
        <v>4073</v>
      </c>
      <c r="L115" s="600">
        <f>(D115/D108-1)*100</f>
        <v>1.3022113022113091</v>
      </c>
      <c r="M115" s="303" t="s">
        <v>102</v>
      </c>
      <c r="N115" s="765">
        <f>(H115/H108-1)*100</f>
        <v>4.6219542828435101</v>
      </c>
      <c r="O115" s="303" t="s">
        <v>102</v>
      </c>
      <c r="P115" s="765">
        <f>(H115/H111-1)*100</f>
        <v>9.2029365495542628</v>
      </c>
      <c r="Q115" s="303" t="s">
        <v>102</v>
      </c>
      <c r="R115" s="431">
        <f>F115/J115</f>
        <v>0.63835011048367296</v>
      </c>
      <c r="S115" s="303" t="s">
        <v>134</v>
      </c>
      <c r="T115" s="431">
        <f>F116/H115</f>
        <v>0.62545018007202879</v>
      </c>
      <c r="V115" s="453">
        <f>IF(qtrSales!J186=0," ",qtrSales!J186)</f>
        <v>1164</v>
      </c>
      <c r="X115" s="320">
        <f>H115/V115</f>
        <v>3.5781786941580758</v>
      </c>
      <c r="Z115" s="419">
        <f>X115/X108-1</f>
        <v>4.2624286667512612E-2</v>
      </c>
      <c r="AB115" s="413">
        <f>qtrSales!AA186</f>
        <v>100507</v>
      </c>
      <c r="AD115" s="759">
        <f>H115/AB115*1000</f>
        <v>41.439899708478016</v>
      </c>
      <c r="AF115" s="765">
        <f>(AD115/AD108-1)*100</f>
        <v>4.4481169743452398</v>
      </c>
      <c r="AG115" s="303" t="s">
        <v>102</v>
      </c>
      <c r="AH115" s="686">
        <f>J115/(F115/(365/4))</f>
        <v>142.94663461538462</v>
      </c>
      <c r="AJ115" s="686">
        <f>H115/(F116/(365/4))</f>
        <v>145.89491362763917</v>
      </c>
      <c r="AL115" s="319">
        <f>INDEX('qtrP&amp;L'!$80:$80,MATCH(B114,'qtrP&amp;L'!$6:$6,0))</f>
        <v>280</v>
      </c>
    </row>
    <row r="116" spans="1:38" x14ac:dyDescent="0.2">
      <c r="A116" s="303" t="s">
        <v>105</v>
      </c>
      <c r="B116" s="303" t="s">
        <v>90</v>
      </c>
      <c r="D116" s="413">
        <f>qtrSales!S187</f>
        <v>4267</v>
      </c>
      <c r="F116" s="413">
        <f>INDEX('qtrP&amp;L'!$21:$21,MATCH(B114,'qtrP&amp;L'!$6:$6,0))</f>
        <v>2605</v>
      </c>
      <c r="H116" s="413">
        <f>INDEX(wc!$9:$9,MATCH(B114,wc!$5:$5,0))</f>
        <v>4252</v>
      </c>
      <c r="J116" s="413">
        <f>AVERAGE(H116,H109)</f>
        <v>4075.5</v>
      </c>
      <c r="L116" s="600">
        <f>(D116/D109-1)*100</f>
        <v>0.58934464875060044</v>
      </c>
      <c r="N116" s="765">
        <f>(H116/H109-1)*100</f>
        <v>9.0536034880738683</v>
      </c>
      <c r="P116" s="765">
        <f>(H116/H115-1)*100</f>
        <v>2.0888355342136844</v>
      </c>
      <c r="R116" s="431">
        <f>F116/J116</f>
        <v>0.63918537602748127</v>
      </c>
      <c r="T116" s="431">
        <f>F117/H116</f>
        <v>0.65475070555032922</v>
      </c>
      <c r="V116" s="453">
        <f>IF(qtrSales!J187=0," ",qtrSales!J187)</f>
        <v>1164</v>
      </c>
      <c r="X116" s="320">
        <f>H116/V116</f>
        <v>3.6529209621993126</v>
      </c>
      <c r="Z116" s="419">
        <f>X116/X109-1</f>
        <v>8.6788488369121009E-2</v>
      </c>
      <c r="AB116" s="413">
        <f>qtrSales!AA187</f>
        <v>100507</v>
      </c>
      <c r="AD116" s="759">
        <f>H116/AB116*1000</f>
        <v>42.305511058931216</v>
      </c>
      <c r="AF116" s="765">
        <f>(AD116/AD109-1)*100</f>
        <v>8.8724026584549485</v>
      </c>
      <c r="AH116" s="686">
        <f>J116/(F116/(365/4))</f>
        <v>142.75983685220731</v>
      </c>
      <c r="AJ116" s="686">
        <f>H116/(F117/(365/4))</f>
        <v>139.36602011494253</v>
      </c>
      <c r="AL116" s="413">
        <f>INDEX('qtrP&amp;L'!$81:$81,MATCH(B114,'qtrP&amp;L'!$6:$6,0))</f>
        <v>424</v>
      </c>
    </row>
    <row r="117" spans="1:38" x14ac:dyDescent="0.2">
      <c r="A117" s="303" t="s">
        <v>106</v>
      </c>
      <c r="B117" s="303" t="s">
        <v>91</v>
      </c>
      <c r="D117" s="413">
        <f>qtrSales!S188</f>
        <v>4427</v>
      </c>
      <c r="F117" s="413">
        <f>INDEX('qtrP&amp;L'!$22:$22,MATCH(B114,'qtrP&amp;L'!$6:$6,0))</f>
        <v>2784</v>
      </c>
      <c r="H117" s="413">
        <f>INDEX(wc!$10:$10,MATCH(B114,wc!$5:$5,0))</f>
        <v>5254</v>
      </c>
      <c r="J117" s="413">
        <f>AVERAGE(H117,H110)</f>
        <v>5113.5</v>
      </c>
      <c r="L117" s="600">
        <f>(D117/D110-1)*100</f>
        <v>1.2117055326931858</v>
      </c>
      <c r="N117" s="765">
        <f>(H117/H110-1)*100</f>
        <v>5.6505127689523427</v>
      </c>
      <c r="P117" s="765">
        <f>(H117/H116-1)*100</f>
        <v>23.565380997177797</v>
      </c>
      <c r="R117" s="431">
        <f>F117/J117</f>
        <v>0.54444118509826933</v>
      </c>
      <c r="T117" s="431">
        <f>F118/H117</f>
        <v>0.81366577845451082</v>
      </c>
      <c r="V117" s="453">
        <f>IF(qtrSales!J188=0," ",qtrSales!J188)</f>
        <v>1166</v>
      </c>
      <c r="X117" s="320">
        <f>H117/V117</f>
        <v>4.5060034305317327</v>
      </c>
      <c r="Z117" s="419">
        <f>X117/X110-1</f>
        <v>5.3786846915022002E-2</v>
      </c>
      <c r="AB117" s="413">
        <f>qtrSales!AA188</f>
        <v>100670</v>
      </c>
      <c r="AD117" s="759">
        <f>H117/AB117*1000</f>
        <v>52.190324823681337</v>
      </c>
      <c r="AF117" s="765">
        <f>(AD117/AD110-1)*100</f>
        <v>5.4658054058120298</v>
      </c>
      <c r="AH117" s="686">
        <f>J117/(F117/(365/4))</f>
        <v>167.60304418103448</v>
      </c>
      <c r="AJ117" s="686">
        <f>H117/(F118/(365/4))</f>
        <v>112.146783625731</v>
      </c>
      <c r="AL117" s="413">
        <f>INDEX('qtrP&amp;L'!$82:$82,MATCH(B114,'qtrP&amp;L'!$6:$6,0))</f>
        <v>308</v>
      </c>
    </row>
    <row r="118" spans="1:38" x14ac:dyDescent="0.2">
      <c r="A118" s="303" t="s">
        <v>107</v>
      </c>
      <c r="B118" s="303" t="s">
        <v>92</v>
      </c>
      <c r="D118" s="491">
        <f>qtrSales!S189</f>
        <v>6387</v>
      </c>
      <c r="F118" s="491">
        <f>INDEX('qtrP&amp;L'!$23:$23,MATCH(B114,'qtrP&amp;L'!$6:$6,0))</f>
        <v>4275</v>
      </c>
      <c r="H118" s="491">
        <f>INDEX(wc!$11:$11,MATCH(B114,wc!$5:$5,0))</f>
        <v>4038</v>
      </c>
      <c r="J118" s="491">
        <f>AVERAGE(H118,H111)</f>
        <v>3926</v>
      </c>
      <c r="L118" s="762">
        <f>(D118/D111-1)*100</f>
        <v>0.78901688496133549</v>
      </c>
      <c r="N118" s="765">
        <f>(H118/H111-1)*100</f>
        <v>5.8730991085474527</v>
      </c>
      <c r="P118" s="765">
        <f>(H118/H117-1)*100</f>
        <v>-23.144271031594975</v>
      </c>
      <c r="R118" s="431">
        <f>F118/J118</f>
        <v>1.0888945491594497</v>
      </c>
      <c r="T118" s="767">
        <f>F122/H118</f>
        <v>0.63397721644378402</v>
      </c>
      <c r="V118" s="455">
        <f>IF(qtrSales!J189=0," ",qtrSales!J189)</f>
        <v>1166</v>
      </c>
      <c r="X118" s="320">
        <f>H118/V118</f>
        <v>3.4631217838765007</v>
      </c>
      <c r="Z118" s="419">
        <f>X118/X111-1</f>
        <v>5.5098980824460853E-2</v>
      </c>
      <c r="AB118" s="413">
        <f>qtrSales!AA189</f>
        <v>100400</v>
      </c>
      <c r="AD118" s="759">
        <f>H118/AB118*1000</f>
        <v>40.2191235059761</v>
      </c>
      <c r="AF118" s="765">
        <f>(AD118/AD111-1)*100</f>
        <v>5.8667720309115046</v>
      </c>
      <c r="AH118" s="686">
        <f>J118/(F118/(365/4))</f>
        <v>83.80058479532164</v>
      </c>
      <c r="AJ118" s="686">
        <f>H118/(F119/(365/4))</f>
        <v>30.044642857142854</v>
      </c>
      <c r="AL118" s="491">
        <f>INDEX('qtrP&amp;L'!$83:$83,MATCH(B114,'qtrP&amp;L'!$6:$6,0))</f>
        <v>541</v>
      </c>
    </row>
    <row r="119" spans="1:38" x14ac:dyDescent="0.2">
      <c r="B119" s="573" t="s">
        <v>67</v>
      </c>
      <c r="C119" s="573"/>
      <c r="D119" s="319">
        <f>qtrSales!S190</f>
        <v>19204</v>
      </c>
      <c r="F119" s="319">
        <f>INDEX('qtrP&amp;L'!$24:$24,MATCH(B114,'qtrP&amp;L'!$6:$6,0))</f>
        <v>12264</v>
      </c>
      <c r="H119" s="319">
        <f>bal!AC$13</f>
        <v>4038</v>
      </c>
      <c r="J119" s="319">
        <f>AVERAGE(H119,H112)</f>
        <v>3926</v>
      </c>
      <c r="L119" s="600">
        <f>(D119/D112-1)*100</f>
        <v>0.95147978762550878</v>
      </c>
      <c r="N119" s="765"/>
      <c r="P119" s="765"/>
      <c r="R119" s="764">
        <f>F119/J119</f>
        <v>3.1237901171676006</v>
      </c>
      <c r="S119" s="565" t="s">
        <v>134</v>
      </c>
      <c r="V119" s="757">
        <f>V118</f>
        <v>1166</v>
      </c>
      <c r="AB119" s="413"/>
      <c r="AL119" s="319">
        <f>INDEX('qtrP&amp;L'!$84:$84,MATCH(B114,'qtrP&amp;L'!$6:$6,0))</f>
        <v>1553</v>
      </c>
    </row>
    <row r="120" spans="1:38" x14ac:dyDescent="0.2">
      <c r="B120" s="573"/>
      <c r="C120" s="573"/>
      <c r="D120" s="319"/>
      <c r="F120" s="319"/>
      <c r="H120" s="319"/>
      <c r="J120" s="319"/>
      <c r="L120" s="600"/>
      <c r="N120" s="765"/>
      <c r="P120" s="765"/>
      <c r="R120" s="341"/>
      <c r="S120" s="305"/>
      <c r="V120" s="757"/>
      <c r="AB120" s="413"/>
      <c r="AL120" s="319"/>
    </row>
    <row r="121" spans="1:38" x14ac:dyDescent="0.2">
      <c r="B121" s="871">
        <v>2016</v>
      </c>
      <c r="C121" s="766"/>
      <c r="L121" s="600"/>
      <c r="AB121" s="546"/>
      <c r="AH121" s="686"/>
    </row>
    <row r="122" spans="1:38" x14ac:dyDescent="0.2">
      <c r="A122" s="303" t="s">
        <v>104</v>
      </c>
      <c r="B122" s="303" t="s">
        <v>89</v>
      </c>
      <c r="D122" s="319">
        <f>qtrSales!S193</f>
        <v>3972</v>
      </c>
      <c r="F122" s="319">
        <f>INDEX('qtrP&amp;L'!$20:$20,MATCH(B121,'qtrP&amp;L'!$6:$6,0))</f>
        <v>2560</v>
      </c>
      <c r="H122" s="319">
        <f>INDEX(wc!$8:$8,MATCH(B121,wc!$5:$5,0))</f>
        <v>4084</v>
      </c>
      <c r="J122" s="319">
        <f>AVERAGE(H122,H115)</f>
        <v>4124.5</v>
      </c>
      <c r="L122" s="600">
        <f>(D122/D115-1)*100</f>
        <v>-3.6623817608537501</v>
      </c>
      <c r="M122" s="303" t="s">
        <v>102</v>
      </c>
      <c r="N122" s="765">
        <f>(H122/H115-1)*100</f>
        <v>-1.9447779111644636</v>
      </c>
      <c r="O122" s="303" t="s">
        <v>102</v>
      </c>
      <c r="P122" s="765">
        <f>(H122/H118-1)*100</f>
        <v>1.1391778107974204</v>
      </c>
      <c r="Q122" s="303" t="s">
        <v>102</v>
      </c>
      <c r="R122" s="431">
        <f>F122/J122</f>
        <v>0.6206812947023882</v>
      </c>
      <c r="S122" s="303" t="s">
        <v>134</v>
      </c>
      <c r="T122" s="431">
        <f>F123/H122</f>
        <v>0.61998041136141036</v>
      </c>
      <c r="V122" s="453">
        <f>IF(qtrSales!J193=0," ",qtrSales!J193)</f>
        <v>1167</v>
      </c>
      <c r="X122" s="320">
        <f>H122/V122</f>
        <v>3.4995715509854328</v>
      </c>
      <c r="Z122" s="419">
        <f>X122/X115-1</f>
        <v>-2.1968478908272804E-2</v>
      </c>
      <c r="AB122" s="413">
        <f>qtrSales!AA193</f>
        <v>100600</v>
      </c>
      <c r="AD122" s="759">
        <f>H122/AB122*1000</f>
        <v>40.59642147117296</v>
      </c>
      <c r="AF122" s="765">
        <f>(AD122/AD115-1)*100</f>
        <v>-2.0354253828768099</v>
      </c>
      <c r="AG122" s="303" t="s">
        <v>102</v>
      </c>
      <c r="AH122" s="686">
        <f>J122/(F122/(365/4))</f>
        <v>147.015869140625</v>
      </c>
      <c r="AJ122" s="686">
        <f>H122/(F123/(365/4))</f>
        <v>147.18206951026855</v>
      </c>
      <c r="AL122" s="319">
        <f>INDEX('qtrP&amp;L'!$80:$80,MATCH(B121,'qtrP&amp;L'!$6:$6,0))</f>
        <v>170</v>
      </c>
    </row>
    <row r="123" spans="1:38" x14ac:dyDescent="0.2">
      <c r="A123" s="303" t="s">
        <v>105</v>
      </c>
      <c r="B123" s="303" t="s">
        <v>90</v>
      </c>
      <c r="D123" s="413">
        <f>qtrSales!S194</f>
        <v>4182</v>
      </c>
      <c r="F123" s="413">
        <f>INDEX('qtrP&amp;L'!$21:$21,MATCH(B121,'qtrP&amp;L'!$6:$6,0))</f>
        <v>2532</v>
      </c>
      <c r="H123" s="413">
        <f>INDEX(wc!$9:$9,MATCH(B121,wc!$5:$5,0))</f>
        <v>3928</v>
      </c>
      <c r="J123" s="413">
        <f>AVERAGE(H123,H116)</f>
        <v>4090</v>
      </c>
      <c r="L123" s="600">
        <f>(D123/D116-1)*100</f>
        <v>-1.9920318725099584</v>
      </c>
      <c r="N123" s="765">
        <f>(H123/H116-1)*100</f>
        <v>-7.6199435559736628</v>
      </c>
      <c r="P123" s="765">
        <f>(H123/H122-1)*100</f>
        <v>-3.8197845249755114</v>
      </c>
      <c r="R123" s="431">
        <f>F123/J123</f>
        <v>0.61907090464547676</v>
      </c>
      <c r="T123" s="431">
        <f>F124/H123</f>
        <v>0.6924643584521385</v>
      </c>
      <c r="V123" s="453">
        <f>IF(qtrSales!J194=0," ",qtrSales!J194)</f>
        <v>1150</v>
      </c>
      <c r="X123" s="320">
        <f>H123/V123</f>
        <v>3.4156521739130437</v>
      </c>
      <c r="Z123" s="419">
        <f>X123/X116-1</f>
        <v>-6.4953167818724622E-2</v>
      </c>
      <c r="AB123" s="413">
        <f>qtrSales!AA194</f>
        <v>99100</v>
      </c>
      <c r="AD123" s="759">
        <f>H123/AB123*1000</f>
        <v>39.636730575176585</v>
      </c>
      <c r="AF123" s="765">
        <f>(AD123/AD116-1)*100</f>
        <v>-6.3083518363294182</v>
      </c>
      <c r="AH123" s="686">
        <f>J123/(F123/(365/4))</f>
        <v>147.3983017377567</v>
      </c>
      <c r="AJ123" s="686">
        <f>H123/(F124/(365/4))</f>
        <v>131.77573529411765</v>
      </c>
      <c r="AL123" s="413">
        <f>INDEX('qtrP&amp;L'!$81:$81,MATCH(B121,'qtrP&amp;L'!$6:$6,0))</f>
        <v>430</v>
      </c>
    </row>
    <row r="124" spans="1:38" x14ac:dyDescent="0.2">
      <c r="A124" s="303" t="s">
        <v>106</v>
      </c>
      <c r="B124" s="303" t="s">
        <v>91</v>
      </c>
      <c r="D124" s="413">
        <f>qtrSales!S195</f>
        <v>4327</v>
      </c>
      <c r="F124" s="413">
        <f>INDEX('qtrP&amp;L'!$22:$22,MATCH(B121,'qtrP&amp;L'!$6:$6,0))</f>
        <v>2720</v>
      </c>
      <c r="H124" s="413">
        <f>INDEX(wc!$10:$10,MATCH(B121,wc!$5:$5,0))</f>
        <v>4721</v>
      </c>
      <c r="J124" s="413">
        <f>AVERAGE(H124,H117)</f>
        <v>4987.5</v>
      </c>
      <c r="L124" s="600">
        <f>(D124/D117-1)*100</f>
        <v>-2.2588660492432799</v>
      </c>
      <c r="N124" s="765">
        <f>(H124/H117-1)*100</f>
        <v>-10.14465169394747</v>
      </c>
      <c r="P124" s="765">
        <f>(H124/H123-1)*100</f>
        <v>20.18839103869654</v>
      </c>
      <c r="R124" s="431">
        <f>F124/J124</f>
        <v>0.54536340852130327</v>
      </c>
      <c r="T124" s="431">
        <f>F125/H124</f>
        <v>0.87545011650074134</v>
      </c>
      <c r="V124" s="453">
        <f>IF(qtrSales!J195=0," ",qtrSales!J195)</f>
        <v>1155</v>
      </c>
      <c r="X124" s="320">
        <f>H124/V124</f>
        <v>4.0874458874458872</v>
      </c>
      <c r="Z124" s="419">
        <f>X124/X117-1</f>
        <v>-9.2888864719850694E-2</v>
      </c>
      <c r="AB124" s="413">
        <f>qtrSales!AA195</f>
        <v>99200</v>
      </c>
      <c r="AD124" s="759">
        <f>H124/AB124*1000</f>
        <v>47.590725806451616</v>
      </c>
      <c r="AF124" s="765">
        <f>(AD124/AD117-1)*100</f>
        <v>-8.8131258672347954</v>
      </c>
      <c r="AH124" s="686">
        <f>J124/(F124/(365/4))</f>
        <v>167.31962316176472</v>
      </c>
      <c r="AJ124" s="686">
        <f>H124/(F125/(365/4))</f>
        <v>104.23209533026858</v>
      </c>
      <c r="AL124" s="413">
        <f>INDEX('qtrP&amp;L'!$82:$82,MATCH(B121,'qtrP&amp;L'!$6:$6,0))</f>
        <v>295</v>
      </c>
    </row>
    <row r="125" spans="1:38" x14ac:dyDescent="0.2">
      <c r="A125" s="303" t="s">
        <v>107</v>
      </c>
      <c r="B125" s="303" t="s">
        <v>92</v>
      </c>
      <c r="D125" s="491">
        <f>qtrSales!S196</f>
        <v>6205</v>
      </c>
      <c r="F125" s="491">
        <f>INDEX('qtrP&amp;L'!$23:$23,MATCH(B121,'qtrP&amp;L'!$6:$6,0))</f>
        <v>4133</v>
      </c>
      <c r="H125" s="491">
        <f>INDEX(wc!$11:$11,MATCH(B121,wc!$5:$5,0))</f>
        <v>3795</v>
      </c>
      <c r="J125" s="491">
        <f>AVERAGE(H125,H118)</f>
        <v>3916.5</v>
      </c>
      <c r="L125" s="762">
        <f>(D125/D118-1)*100</f>
        <v>-2.8495381243150097</v>
      </c>
      <c r="N125" s="765">
        <f>(H125/H118-1)*100</f>
        <v>-6.0178306092124823</v>
      </c>
      <c r="P125" s="765">
        <f>(H125/H124-1)*100</f>
        <v>-19.614488455835634</v>
      </c>
      <c r="R125" s="431">
        <f>F125/J125</f>
        <v>1.0552789480403422</v>
      </c>
      <c r="T125" s="767">
        <f>F129/H125</f>
        <v>0.64426877470355737</v>
      </c>
      <c r="V125" s="455">
        <f>IF(qtrSales!J196=0," ",qtrSales!J196)</f>
        <v>1154</v>
      </c>
      <c r="X125" s="320">
        <f>H125/V125</f>
        <v>3.2885615251299827</v>
      </c>
      <c r="Z125" s="419">
        <f>X125/X118-1</f>
        <v>-5.0405463521159044E-2</v>
      </c>
      <c r="AB125" s="413">
        <f>qtrSales!AA196</f>
        <v>99100</v>
      </c>
      <c r="AD125" s="759">
        <f>H125/AB125*1000</f>
        <v>38.29465186680121</v>
      </c>
      <c r="AF125" s="765">
        <f>(AD125/AD118-1)*100</f>
        <v>-4.7849666313313222</v>
      </c>
      <c r="AH125" s="686">
        <f>J125/(F125/(365/4))</f>
        <v>86.470027824824584</v>
      </c>
      <c r="AJ125" s="686">
        <f>H125/(F126/(365/4))</f>
        <v>28.990686479698617</v>
      </c>
      <c r="AL125" s="491">
        <f>INDEX('qtrP&amp;L'!$83:$83,MATCH(B121,'qtrP&amp;L'!$6:$6,0))</f>
        <v>473</v>
      </c>
    </row>
    <row r="126" spans="1:38" x14ac:dyDescent="0.2">
      <c r="B126" s="573" t="s">
        <v>67</v>
      </c>
      <c r="C126" s="573"/>
      <c r="D126" s="319">
        <f>qtrSales!S197</f>
        <v>18686</v>
      </c>
      <c r="F126" s="319">
        <f>INDEX('qtrP&amp;L'!$24:$24,MATCH(B121,'qtrP&amp;L'!$6:$6,0))</f>
        <v>11945</v>
      </c>
      <c r="H126" s="319">
        <f>bal!AD$13</f>
        <v>3795</v>
      </c>
      <c r="J126" s="319">
        <f>AVERAGE(H126,H119)</f>
        <v>3916.5</v>
      </c>
      <c r="L126" s="600">
        <f>(D126/D119-1)*100</f>
        <v>-2.6973547177671309</v>
      </c>
      <c r="N126" s="765"/>
      <c r="P126" s="765"/>
      <c r="R126" s="764">
        <f>F126/J126</f>
        <v>3.049917017745436</v>
      </c>
      <c r="S126" s="565" t="s">
        <v>134</v>
      </c>
      <c r="V126" s="757">
        <f>V125</f>
        <v>1154</v>
      </c>
      <c r="AB126" s="413"/>
      <c r="AL126" s="319">
        <f>INDEX('qtrP&amp;L'!$84:$84,MATCH(B121,'qtrP&amp;L'!$6:$6,0))</f>
        <v>1368</v>
      </c>
    </row>
    <row r="127" spans="1:38" x14ac:dyDescent="0.2">
      <c r="B127" s="573"/>
      <c r="C127" s="573"/>
      <c r="D127" s="319"/>
      <c r="F127" s="319"/>
      <c r="H127" s="319"/>
      <c r="J127" s="319"/>
      <c r="L127" s="600"/>
      <c r="N127" s="765"/>
      <c r="P127" s="765"/>
      <c r="R127" s="341"/>
      <c r="S127" s="305"/>
      <c r="V127" s="757"/>
      <c r="AB127" s="413"/>
      <c r="AL127" s="319"/>
    </row>
    <row r="128" spans="1:38" x14ac:dyDescent="0.2">
      <c r="B128" s="871">
        <v>2017</v>
      </c>
      <c r="C128" s="766"/>
      <c r="L128" s="600"/>
      <c r="AB128" s="546"/>
      <c r="AH128" s="686"/>
    </row>
    <row r="129" spans="1:38" x14ac:dyDescent="0.2">
      <c r="A129" s="303" t="s">
        <v>104</v>
      </c>
      <c r="B129" s="303" t="s">
        <v>89</v>
      </c>
      <c r="D129" s="319">
        <f>qtrSales!S200</f>
        <v>3843</v>
      </c>
      <c r="F129" s="319">
        <f>INDEX('qtrP&amp;L'!$20:$20,MATCH(B128,'qtrP&amp;L'!$6:$6,0))</f>
        <v>2445</v>
      </c>
      <c r="H129" s="319">
        <f>INDEX(wc!$8:$8,MATCH(B128,wc!$5:$5,0))</f>
        <v>3991</v>
      </c>
      <c r="J129" s="319">
        <f>AVERAGE(H129,H122)</f>
        <v>4037.5</v>
      </c>
      <c r="L129" s="600">
        <f>(D129/D122-1)*100</f>
        <v>-3.2477341389728132</v>
      </c>
      <c r="M129" s="303" t="s">
        <v>102</v>
      </c>
      <c r="N129" s="765">
        <f>(H129/H122-1)*100</f>
        <v>-2.277179236043092</v>
      </c>
      <c r="O129" s="303" t="s">
        <v>102</v>
      </c>
      <c r="P129" s="765">
        <f>(H129/H125-1)*100</f>
        <v>5.1646903820816936</v>
      </c>
      <c r="Q129" s="303" t="s">
        <v>102</v>
      </c>
      <c r="R129" s="431">
        <f>F129/J129</f>
        <v>0.60557275541795663</v>
      </c>
      <c r="S129" s="303" t="s">
        <v>134</v>
      </c>
      <c r="T129" s="431">
        <f>F130/H129</f>
        <v>0.62916562265096465</v>
      </c>
      <c r="V129" s="453">
        <f>IF(qtrSales!J200=0," ",qtrSales!J200)</f>
        <v>1154</v>
      </c>
      <c r="X129" s="320">
        <f>H129/V129</f>
        <v>3.4584055459272096</v>
      </c>
      <c r="Z129" s="419">
        <f>X129/X122-1</f>
        <v>-1.1763155705912465E-2</v>
      </c>
      <c r="AB129" s="413">
        <f>qtrSales!AA200</f>
        <v>99100</v>
      </c>
      <c r="AD129" s="759">
        <f>H129/AB129*1000</f>
        <v>40.272452068617554</v>
      </c>
      <c r="AF129" s="765">
        <f>(AD129/AD122-1)*100</f>
        <v>-0.79802453224960823</v>
      </c>
      <c r="AG129" s="303" t="s">
        <v>102</v>
      </c>
      <c r="AH129" s="686">
        <f>J129/(F129/(365/4))</f>
        <v>150.68379345603273</v>
      </c>
      <c r="AJ129" s="686">
        <f>H129/(F130/(365/4))</f>
        <v>145.03335324571884</v>
      </c>
      <c r="AL129" s="319">
        <f>INDEX('qtrP&amp;L'!$80:$80,MATCH(B128,'qtrP&amp;L'!$6:$6,0))</f>
        <v>185</v>
      </c>
    </row>
    <row r="130" spans="1:38" x14ac:dyDescent="0.2">
      <c r="A130" s="303" t="s">
        <v>105</v>
      </c>
      <c r="B130" s="303" t="s">
        <v>90</v>
      </c>
      <c r="D130" s="413">
        <f>qtrSales!S201</f>
        <v>4144</v>
      </c>
      <c r="F130" s="413">
        <f>INDEX('qtrP&amp;L'!$21:$21,MATCH(B128,'qtrP&amp;L'!$6:$6,0))</f>
        <v>2511</v>
      </c>
      <c r="H130" s="413">
        <f>INDEX(wc!$9:$9,MATCH(B128,wc!$5:$5,0))</f>
        <v>3853</v>
      </c>
      <c r="J130" s="413">
        <f>AVERAGE(H130,H123)</f>
        <v>3890.5</v>
      </c>
      <c r="L130" s="600">
        <f>(D130/D123-1)*100</f>
        <v>-0.90865614538497841</v>
      </c>
      <c r="N130" s="765">
        <f>(H130/H123-1)*100</f>
        <v>-1.9093686354378803</v>
      </c>
      <c r="P130" s="765">
        <f>(H130/H129-1)*100</f>
        <v>-3.4577800050112795</v>
      </c>
      <c r="R130" s="431">
        <f>F130/J130</f>
        <v>0.64541832669322707</v>
      </c>
      <c r="T130" s="431">
        <f>F131/H130</f>
        <v>0.71035556709057879</v>
      </c>
      <c r="V130" s="453">
        <f>IF(qtrSales!J201=0," ",qtrSales!J201)</f>
        <v>1154</v>
      </c>
      <c r="X130" s="320">
        <f>H130/V130</f>
        <v>3.3388214904679376</v>
      </c>
      <c r="Z130" s="419">
        <f>X130/X123-1</f>
        <v>-2.2493708238765731E-2</v>
      </c>
      <c r="AB130" s="413">
        <f>qtrSales!AA201</f>
        <v>99100</v>
      </c>
      <c r="AD130" s="759">
        <f>H130/AB130*1000</f>
        <v>38.879919273461148</v>
      </c>
      <c r="AF130" s="765">
        <f>(AD130/AD123-1)*100</f>
        <v>-1.9093686354378803</v>
      </c>
      <c r="AH130" s="686">
        <f>J130/(F130/(365/4))</f>
        <v>141.38117283950618</v>
      </c>
      <c r="AJ130" s="686">
        <f>H130/(F131/(365/4))</f>
        <v>128.45679576178296</v>
      </c>
      <c r="AL130" s="413">
        <f>INDEX('qtrP&amp;L'!$81:$81,MATCH(B128,'qtrP&amp;L'!$6:$6,0))</f>
        <v>407</v>
      </c>
    </row>
    <row r="131" spans="1:38" x14ac:dyDescent="0.2">
      <c r="A131" s="303" t="s">
        <v>106</v>
      </c>
      <c r="B131" s="303" t="s">
        <v>91</v>
      </c>
      <c r="D131" s="413">
        <f>qtrSales!S202</f>
        <v>4332</v>
      </c>
      <c r="F131" s="413">
        <f>INDEX('qtrP&amp;L'!$22:$22,MATCH(B128,'qtrP&amp;L'!$6:$6,0))</f>
        <v>2737</v>
      </c>
      <c r="H131" s="413">
        <f>INDEX(wc!$10:$10,MATCH(B128,wc!$5:$5,0))</f>
        <v>4632</v>
      </c>
      <c r="J131" s="413">
        <f>AVERAGE(H131,H124)</f>
        <v>4676.5</v>
      </c>
      <c r="L131" s="600">
        <f>(D131/D124-1)*100</f>
        <v>0.11555350127108177</v>
      </c>
      <c r="N131" s="765">
        <f>(H131/H124-1)*100</f>
        <v>-1.8851938148697345</v>
      </c>
      <c r="P131" s="765">
        <f>(H131/H130-1)*100</f>
        <v>20.218011938749036</v>
      </c>
      <c r="R131" s="431">
        <f>F131/J131</f>
        <v>0.58526675932855765</v>
      </c>
      <c r="T131" s="431">
        <f>F132/H131</f>
        <v>0.96783246977547499</v>
      </c>
      <c r="V131" s="453">
        <f>IF(qtrSales!J202=0," ",qtrSales!J202)</f>
        <v>1156</v>
      </c>
      <c r="X131" s="320">
        <f>H131/V131</f>
        <v>4.0069204152249132</v>
      </c>
      <c r="Z131" s="419">
        <f>X131/X124-1</f>
        <v>-1.9700682146838622E-2</v>
      </c>
      <c r="AB131" s="413">
        <f>qtrSales!AA202</f>
        <v>99100</v>
      </c>
      <c r="AD131" s="759">
        <f>H131/AB131*1000</f>
        <v>46.740665993945512</v>
      </c>
      <c r="AF131" s="765">
        <f>(AD131/AD124-1)*100</f>
        <v>-1.7861879559543659</v>
      </c>
      <c r="AH131" s="686">
        <f>J131/(F131/(365/4))</f>
        <v>155.91181037632444</v>
      </c>
      <c r="AJ131" s="686">
        <f>H131/(F132/(365/4))</f>
        <v>94.282846308275708</v>
      </c>
      <c r="AL131" s="413">
        <f>INDEX('qtrP&amp;L'!$82:$82,MATCH(B128,'qtrP&amp;L'!$6:$6,0))</f>
        <v>257</v>
      </c>
    </row>
    <row r="132" spans="1:38" x14ac:dyDescent="0.2">
      <c r="A132" s="303" t="s">
        <v>107</v>
      </c>
      <c r="B132" s="303" t="s">
        <v>92</v>
      </c>
      <c r="D132" s="491">
        <f>qtrSales!S203</f>
        <v>6776</v>
      </c>
      <c r="F132" s="491">
        <f>INDEX('qtrP&amp;L'!$23:$23,MATCH(B128,'qtrP&amp;L'!$6:$6,0))</f>
        <v>4483</v>
      </c>
      <c r="H132" s="491">
        <f>INDEX(wc!$11:$11,MATCH(B128,wc!$5:$5,0))</f>
        <v>3542</v>
      </c>
      <c r="J132" s="491">
        <f>AVERAGE(H132,H125)</f>
        <v>3668.5</v>
      </c>
      <c r="L132" s="762">
        <f>(D132/D125-1)*100</f>
        <v>9.2022562449637348</v>
      </c>
      <c r="N132" s="765">
        <f>(H132/H125-1)*100</f>
        <v>-6.6666666666666652</v>
      </c>
      <c r="P132" s="765">
        <f>(H132/H131-1)*100</f>
        <v>-23.531951640759928</v>
      </c>
      <c r="R132" s="431">
        <f>F132/J132</f>
        <v>1.2220253509608832</v>
      </c>
      <c r="T132" s="431">
        <f>F133/H132</f>
        <v>3.437605872388481</v>
      </c>
      <c r="V132" s="455">
        <f>IF(qtrSales!J203=0," ",qtrSales!J203)</f>
        <v>1158</v>
      </c>
      <c r="X132" s="320">
        <f>H132/V132</f>
        <v>3.0587219343696028</v>
      </c>
      <c r="Z132" s="419">
        <f>X132/X125-1</f>
        <v>-6.9890616004605666E-2</v>
      </c>
      <c r="AB132" s="413">
        <f>qtrSales!AA203</f>
        <v>99200</v>
      </c>
      <c r="AD132" s="759">
        <f>H132/AB132*1000</f>
        <v>35.70564516129032</v>
      </c>
      <c r="AF132" s="765">
        <f>(AD132/AD125-1)*100</f>
        <v>-6.7607526881720448</v>
      </c>
      <c r="AH132" s="686">
        <f>J132/(F132/(365/4))</f>
        <v>74.671118670533119</v>
      </c>
      <c r="AJ132" s="686">
        <f>H132/(F133/(365/4))</f>
        <v>26.544636990801578</v>
      </c>
      <c r="AL132" s="491">
        <f>INDEX('qtrP&amp;L'!$83:$83,MATCH(B128,'qtrP&amp;L'!$6:$6,0))</f>
        <v>567</v>
      </c>
    </row>
    <row r="133" spans="1:38" x14ac:dyDescent="0.2">
      <c r="B133" s="573" t="s">
        <v>67</v>
      </c>
      <c r="C133" s="573"/>
      <c r="D133" s="319">
        <f>qtrSales!S204</f>
        <v>19095</v>
      </c>
      <c r="F133" s="319">
        <f>INDEX('qtrP&amp;L'!$24:$24,MATCH(B128,'qtrP&amp;L'!$6:$6,0))</f>
        <v>12176</v>
      </c>
      <c r="H133" s="319">
        <f>bal!AE$13</f>
        <v>3542</v>
      </c>
      <c r="J133" s="319">
        <f>AVERAGE(H133,H126)</f>
        <v>3668.5</v>
      </c>
      <c r="L133" s="600">
        <f>(D133/D126-1)*100</f>
        <v>2.1888044525313122</v>
      </c>
      <c r="N133" s="765"/>
      <c r="P133" s="765"/>
      <c r="R133" s="764">
        <f>F133/J133</f>
        <v>3.3190677388578438</v>
      </c>
      <c r="S133" s="565" t="s">
        <v>134</v>
      </c>
      <c r="V133" s="757">
        <f>V132</f>
        <v>1158</v>
      </c>
      <c r="AB133" s="413"/>
      <c r="AL133" s="319">
        <f>INDEX('qtrP&amp;L'!$84:$84,MATCH(B128,'qtrP&amp;L'!$6:$6,0))</f>
        <v>1416</v>
      </c>
    </row>
    <row r="134" spans="1:38" x14ac:dyDescent="0.2">
      <c r="B134" s="573"/>
      <c r="C134" s="573"/>
      <c r="D134" s="319"/>
      <c r="F134" s="319"/>
      <c r="H134" s="319"/>
      <c r="J134" s="319"/>
      <c r="L134" s="600"/>
      <c r="N134" s="765"/>
      <c r="P134" s="765"/>
      <c r="R134" s="341"/>
      <c r="S134" s="305"/>
      <c r="V134" s="757"/>
      <c r="AB134" s="413"/>
      <c r="AL134" s="319"/>
    </row>
    <row r="135" spans="1:38" x14ac:dyDescent="0.2">
      <c r="B135" s="768">
        <v>2018</v>
      </c>
      <c r="C135" s="766"/>
      <c r="L135" s="600"/>
      <c r="AB135" s="546"/>
      <c r="AH135" s="686"/>
    </row>
    <row r="136" spans="1:38" x14ac:dyDescent="0.2">
      <c r="A136" s="303" t="s">
        <v>104</v>
      </c>
      <c r="B136" s="303" t="s">
        <v>89</v>
      </c>
      <c r="D136" s="319">
        <f>qtrSales!S207</f>
        <v>3975.9677999999999</v>
      </c>
      <c r="F136" s="319">
        <f>INDEX('qtrP&amp;L'!$20:$20,MATCH(B135,'qtrP&amp;L'!$6:$6,0))</f>
        <v>2527.5227304599998</v>
      </c>
      <c r="H136" s="1138">
        <f>INDEX(wc!$8:$8,MATCH(B135,wc!$5:$5,0))</f>
        <v>3951.09</v>
      </c>
      <c r="J136" s="319">
        <f>AVERAGE(H136,H129)</f>
        <v>3971.0450000000001</v>
      </c>
      <c r="L136" s="1155">
        <f>(D136/D129-1)*100</f>
        <v>3.4599999999999964</v>
      </c>
      <c r="M136" s="14" t="s">
        <v>102</v>
      </c>
      <c r="N136" s="1142">
        <f>(H136/H129-1)*100</f>
        <v>-1.0000000000000009</v>
      </c>
      <c r="O136" s="14" t="s">
        <v>102</v>
      </c>
      <c r="P136" s="1142">
        <f>(H136/H132-1)*100</f>
        <v>11.549689440993793</v>
      </c>
      <c r="Q136" s="14" t="s">
        <v>102</v>
      </c>
      <c r="R136" s="1156">
        <f>F136/J136</f>
        <v>0.63648806056340324</v>
      </c>
      <c r="S136" s="14" t="s">
        <v>134</v>
      </c>
      <c r="T136" s="1156">
        <f>F137/H136</f>
        <v>0.63988971630613323</v>
      </c>
      <c r="U136" s="14"/>
      <c r="V136" s="1157">
        <f>IF(qtrSales!J207=0," ",qtrSales!J207)</f>
        <v>1160</v>
      </c>
      <c r="W136" s="14"/>
      <c r="X136" s="1158">
        <f>H136/V136</f>
        <v>3.4061120689655175</v>
      </c>
      <c r="Y136" s="14"/>
      <c r="Z136" s="1159">
        <f>X136/X129-1</f>
        <v>-1.5120689655172326E-2</v>
      </c>
      <c r="AA136" s="14"/>
      <c r="AB136" s="260">
        <f>qtrSales!AA207</f>
        <v>99334.5</v>
      </c>
      <c r="AC136" s="14"/>
      <c r="AD136" s="1160">
        <f>H136/AB136*1000</f>
        <v>39.775606662337864</v>
      </c>
      <c r="AE136" s="14"/>
      <c r="AF136" s="1142">
        <f>(AD136/AD129-1)*100</f>
        <v>-1.2337103423281648</v>
      </c>
      <c r="AG136" s="14" t="s">
        <v>102</v>
      </c>
      <c r="AH136" s="1129">
        <f>J136/(F136/(365/4))</f>
        <v>143.36482591555259</v>
      </c>
      <c r="AI136" s="14"/>
      <c r="AJ136" s="1129">
        <f>H136/(F137/(365/4))</f>
        <v>142.60269805046309</v>
      </c>
      <c r="AK136" s="14"/>
      <c r="AL136" s="1138">
        <f>INDEX('qtrP&amp;L'!$80:$80,MATCH(B135,'qtrP&amp;L'!$6:$6,0))</f>
        <v>179.69506954000008</v>
      </c>
    </row>
    <row r="137" spans="1:38" x14ac:dyDescent="0.2">
      <c r="A137" s="303" t="s">
        <v>105</v>
      </c>
      <c r="B137" s="303" t="s">
        <v>90</v>
      </c>
      <c r="D137" s="413">
        <f>qtrSales!S208</f>
        <v>4175.4944000000005</v>
      </c>
      <c r="F137" s="413">
        <f>INDEX('qtrP&amp;L'!$21:$21,MATCH(B135,'qtrP&amp;L'!$6:$6,0))</f>
        <v>2528.2618591999999</v>
      </c>
      <c r="H137" s="260">
        <f>INDEX(wc!$9:$9,MATCH(B135,wc!$5:$5,0))</f>
        <v>3775.94</v>
      </c>
      <c r="J137" s="413">
        <f>AVERAGE(H137,H130)</f>
        <v>3814.4700000000003</v>
      </c>
      <c r="L137" s="1155">
        <f>(D137/D130-1)*100</f>
        <v>0.76000000000000512</v>
      </c>
      <c r="M137" s="14"/>
      <c r="N137" s="1142">
        <f>(H137/H130-1)*100</f>
        <v>-2.0000000000000018</v>
      </c>
      <c r="O137" s="14"/>
      <c r="P137" s="1142">
        <f>(H137/H136-1)*100</f>
        <v>-4.4329539443546011</v>
      </c>
      <c r="Q137" s="14"/>
      <c r="R137" s="1156">
        <f>F137/J137</f>
        <v>0.66280816448943092</v>
      </c>
      <c r="S137" s="14"/>
      <c r="T137" s="1156">
        <f>F138/H137</f>
        <v>0.71405490047511333</v>
      </c>
      <c r="U137" s="14"/>
      <c r="V137" s="1157">
        <f>IF(qtrSales!J208=0," ",qtrSales!J208)</f>
        <v>1162</v>
      </c>
      <c r="W137" s="14"/>
      <c r="X137" s="1158">
        <f>H137/V137</f>
        <v>3.2495180722891566</v>
      </c>
      <c r="Y137" s="14"/>
      <c r="Z137" s="1159">
        <f>X137/X130-1</f>
        <v>-2.6746987951807299E-2</v>
      </c>
      <c r="AA137" s="14"/>
      <c r="AB137" s="260">
        <f>qtrSales!AA208</f>
        <v>99469</v>
      </c>
      <c r="AC137" s="14"/>
      <c r="AD137" s="1160">
        <f>H137/AB137*1000</f>
        <v>37.960972765384192</v>
      </c>
      <c r="AE137" s="14"/>
      <c r="AF137" s="1142">
        <f>(AD137/AD130-1)*100</f>
        <v>-2.3635504529049167</v>
      </c>
      <c r="AG137" s="14"/>
      <c r="AH137" s="1129">
        <f>J137/(F137/(365/4))</f>
        <v>137.67181047066759</v>
      </c>
      <c r="AI137" s="14"/>
      <c r="AJ137" s="1129">
        <f>H137/(F138/(365/4))</f>
        <v>127.79129439386895</v>
      </c>
      <c r="AK137" s="14"/>
      <c r="AL137" s="260">
        <f>INDEX('qtrP&amp;L'!$81:$81,MATCH(B135,'qtrP&amp;L'!$6:$6,0))</f>
        <v>433.57104080000056</v>
      </c>
    </row>
    <row r="138" spans="1:38" x14ac:dyDescent="0.2">
      <c r="A138" s="303" t="s">
        <v>106</v>
      </c>
      <c r="B138" s="303" t="s">
        <v>91</v>
      </c>
      <c r="D138" s="413">
        <f>qtrSales!S209</f>
        <v>4276.3337999999994</v>
      </c>
      <c r="F138" s="413">
        <f>INDEX('qtrP&amp;L'!$22:$22,MATCH(B135,'qtrP&amp;L'!$6:$6,0))</f>
        <v>2696.2284608999994</v>
      </c>
      <c r="H138" s="260">
        <f>INDEX(wc!$10:$10,MATCH(B135,wc!$5:$5,0))</f>
        <v>4539.3599999999997</v>
      </c>
      <c r="J138" s="413">
        <f>AVERAGE(H138,H131)</f>
        <v>4585.68</v>
      </c>
      <c r="L138" s="1155">
        <f>(D138/D131-1)*100</f>
        <v>-1.2850000000000139</v>
      </c>
      <c r="M138" s="14"/>
      <c r="N138" s="1142">
        <f>(H138/H131-1)*100</f>
        <v>-2.0000000000000018</v>
      </c>
      <c r="O138" s="14"/>
      <c r="P138" s="1142">
        <f>(H138/H137-1)*100</f>
        <v>20.218011938749015</v>
      </c>
      <c r="Q138" s="14"/>
      <c r="R138" s="1156">
        <f>F138/J138</f>
        <v>0.58796698873449504</v>
      </c>
      <c r="S138" s="14"/>
      <c r="T138" s="1156">
        <f>F139/H138</f>
        <v>0.93061314951887508</v>
      </c>
      <c r="U138" s="14"/>
      <c r="V138" s="1157">
        <f>IF(qtrSales!J209=0," ",qtrSales!J209)</f>
        <v>1163</v>
      </c>
      <c r="W138" s="14"/>
      <c r="X138" s="1158">
        <f>H138/V138</f>
        <v>3.9031470335339638</v>
      </c>
      <c r="Y138" s="14"/>
      <c r="Z138" s="1159">
        <f>X138/X131-1</f>
        <v>-2.5898538263112614E-2</v>
      </c>
      <c r="AA138" s="14"/>
      <c r="AB138" s="260">
        <f>qtrSales!AA209</f>
        <v>99536.25</v>
      </c>
      <c r="AC138" s="14"/>
      <c r="AD138" s="1160">
        <f>H138/AB138*1000</f>
        <v>45.605093621670491</v>
      </c>
      <c r="AE138" s="14"/>
      <c r="AF138" s="1142">
        <f>(AD138/AD131-1)*100</f>
        <v>-2.4295168845521298</v>
      </c>
      <c r="AG138" s="14"/>
      <c r="AH138" s="1129">
        <f>J138/(F138/(365/4))</f>
        <v>155.1957877710125</v>
      </c>
      <c r="AI138" s="14"/>
      <c r="AJ138" s="1129">
        <f>H138/(F139/(365/4))</f>
        <v>98.053632755109945</v>
      </c>
      <c r="AK138" s="14"/>
      <c r="AL138" s="260">
        <f>INDEX('qtrP&amp;L'!$82:$82,MATCH(B135,'qtrP&amp;L'!$6:$6,0))</f>
        <v>255.50783909999996</v>
      </c>
    </row>
    <row r="139" spans="1:38" x14ac:dyDescent="0.2">
      <c r="A139" s="303" t="s">
        <v>107</v>
      </c>
      <c r="B139" s="303" t="s">
        <v>92</v>
      </c>
      <c r="D139" s="491">
        <f>qtrSales!S210</f>
        <v>6357.2431999999999</v>
      </c>
      <c r="F139" s="491">
        <f>INDEX('qtrP&amp;L'!$23:$23,MATCH(B135,'qtrP&amp;L'!$6:$6,0))</f>
        <v>4224.3881064000007</v>
      </c>
      <c r="H139" s="1132">
        <f>INDEX(wc!$11:$11,MATCH(B135,wc!$5:$5,0))</f>
        <v>3804.9763407838595</v>
      </c>
      <c r="J139" s="491">
        <f>AVERAGE(H139,H132)</f>
        <v>3673.48817039193</v>
      </c>
      <c r="L139" s="1161">
        <f>(D139/D132-1)*100</f>
        <v>-6.1799999999999962</v>
      </c>
      <c r="M139" s="14"/>
      <c r="N139" s="1142">
        <f>(H139/H132-1)*100</f>
        <v>7.4245155500807236</v>
      </c>
      <c r="O139" s="14"/>
      <c r="P139" s="1142">
        <f>(H139/H138-1)*100</f>
        <v>-16.178132142331524</v>
      </c>
      <c r="Q139" s="14"/>
      <c r="R139" s="1156">
        <f>F139/J139</f>
        <v>1.1499664380161307</v>
      </c>
      <c r="S139" s="14"/>
      <c r="T139" s="955">
        <f>(T132/(AVERAGE(T129:T131))+(T125/(AVERAGE(T122:T124))+(T118/AVERAGE(T115:T117))))/3*AVERAGE(T136:T138)</f>
        <v>1.5893636178567188</v>
      </c>
      <c r="U139" s="14"/>
      <c r="V139" s="1162">
        <f>IF(qtrSales!J210=0," ",qtrSales!J210)</f>
        <v>1163</v>
      </c>
      <c r="W139" s="14"/>
      <c r="X139" s="1158">
        <f>H139/V139</f>
        <v>3.2716907487393461</v>
      </c>
      <c r="Y139" s="14"/>
      <c r="Z139" s="1159">
        <f>X139/X132-1</f>
        <v>6.9626732648267353E-2</v>
      </c>
      <c r="AA139" s="14"/>
      <c r="AB139" s="260">
        <f>qtrSales!AA210</f>
        <v>99536.25</v>
      </c>
      <c r="AC139" s="14"/>
      <c r="AD139" s="1160">
        <f>H139/AB139*1000</f>
        <v>38.227041311922633</v>
      </c>
      <c r="AE139" s="14"/>
      <c r="AF139" s="1142">
        <f>(AD139/AD132-1)*100</f>
        <v>7.0616176776602257</v>
      </c>
      <c r="AG139" s="14"/>
      <c r="AH139" s="1129">
        <f>J139/(F139/(365/4))</f>
        <v>79.350141867983822</v>
      </c>
      <c r="AI139" s="14"/>
      <c r="AJ139" s="1129">
        <f>H139/(F140/(365/4))</f>
        <v>28.990686479698617</v>
      </c>
      <c r="AK139" s="14"/>
      <c r="AL139" s="1132">
        <f>INDEX('qtrP&amp;L'!$83:$83,MATCH(B135,'qtrP&amp;L'!$6:$6,0))</f>
        <v>468.0350935999993</v>
      </c>
    </row>
    <row r="140" spans="1:38" x14ac:dyDescent="0.2">
      <c r="B140" s="573" t="s">
        <v>67</v>
      </c>
      <c r="C140" s="573"/>
      <c r="D140" s="319">
        <f>qtrSales!S211</f>
        <v>18785.039199999999</v>
      </c>
      <c r="F140" s="319">
        <f>INDEX('qtrP&amp;L'!$24:$24,MATCH(B135,'qtrP&amp;L'!$6:$6,0))</f>
        <v>11976.401156960001</v>
      </c>
      <c r="H140" s="1138">
        <f>bal!AE$13</f>
        <v>3542</v>
      </c>
      <c r="J140" s="319">
        <f>AVERAGE(H140,H133)</f>
        <v>3542</v>
      </c>
      <c r="L140" s="1155">
        <f>(D140/D133-1)*100</f>
        <v>-1.6232563498298047</v>
      </c>
      <c r="M140" s="14"/>
      <c r="N140" s="1142"/>
      <c r="O140" s="14"/>
      <c r="P140" s="1142"/>
      <c r="Q140" s="14"/>
      <c r="R140" s="1163">
        <f>F140/J140</f>
        <v>3.3812538557199323</v>
      </c>
      <c r="S140" s="1164" t="s">
        <v>134</v>
      </c>
      <c r="T140" s="14"/>
      <c r="U140" s="14"/>
      <c r="V140" s="1165">
        <f>V139</f>
        <v>1163</v>
      </c>
      <c r="W140" s="14"/>
      <c r="X140" s="14"/>
      <c r="Y140" s="14"/>
      <c r="Z140" s="14"/>
      <c r="AA140" s="14"/>
      <c r="AB140" s="260"/>
      <c r="AC140" s="14"/>
      <c r="AD140" s="14"/>
      <c r="AE140" s="14"/>
      <c r="AF140" s="14"/>
      <c r="AG140" s="14"/>
      <c r="AH140" s="14"/>
      <c r="AI140" s="14"/>
      <c r="AJ140" s="14"/>
      <c r="AK140" s="14"/>
      <c r="AL140" s="1138">
        <f>INDEX('qtrP&amp;L'!$84:$84,MATCH(B135,'qtrP&amp;L'!$6:$6,0))</f>
        <v>1336.8090430399989</v>
      </c>
    </row>
    <row r="141" spans="1:38" x14ac:dyDescent="0.2">
      <c r="B141" s="573"/>
      <c r="C141" s="573"/>
      <c r="D141" s="319"/>
      <c r="F141" s="319"/>
      <c r="H141" s="319"/>
      <c r="J141" s="319"/>
      <c r="L141" s="600"/>
      <c r="N141" s="765"/>
      <c r="P141" s="765"/>
      <c r="R141" s="341"/>
      <c r="S141" s="305"/>
      <c r="V141" s="757"/>
      <c r="AB141" s="413"/>
      <c r="AL141" s="319"/>
    </row>
    <row r="142" spans="1:38" x14ac:dyDescent="0.2">
      <c r="B142" s="573"/>
      <c r="C142" s="573"/>
      <c r="D142" s="319"/>
      <c r="F142" s="319"/>
      <c r="H142" s="319"/>
      <c r="J142" s="319"/>
      <c r="L142" s="600"/>
      <c r="N142" s="765"/>
      <c r="P142" s="765"/>
      <c r="R142" s="341"/>
      <c r="S142" s="305"/>
      <c r="V142" s="757"/>
      <c r="AB142" s="413"/>
      <c r="AL142" s="319"/>
    </row>
    <row r="143" spans="1:38" x14ac:dyDescent="0.2">
      <c r="B143" s="573"/>
      <c r="C143" s="573"/>
      <c r="D143" s="319"/>
      <c r="F143" s="319"/>
      <c r="H143" s="319"/>
      <c r="J143" s="319"/>
      <c r="L143" s="600"/>
      <c r="N143" s="765"/>
      <c r="P143" s="765"/>
      <c r="R143" s="341"/>
      <c r="S143" s="305"/>
      <c r="V143" s="757"/>
      <c r="AB143" s="413"/>
      <c r="AL143" s="319"/>
    </row>
    <row r="144" spans="1:38" x14ac:dyDescent="0.2">
      <c r="B144" s="573"/>
      <c r="C144" s="573"/>
      <c r="D144" s="489"/>
      <c r="F144" s="489"/>
      <c r="L144" s="600"/>
      <c r="R144" s="341"/>
      <c r="S144" s="305"/>
      <c r="AL144" s="489"/>
    </row>
    <row r="145" spans="1:1" x14ac:dyDescent="0.2">
      <c r="A145" s="412" t="s">
        <v>88</v>
      </c>
    </row>
  </sheetData>
  <phoneticPr fontId="11" type="noConversion"/>
  <printOptions horizontalCentered="1" verticalCentered="1"/>
  <pageMargins left="0.25" right="0.25" top="0.25" bottom="0.25" header="0.5" footer="0.5"/>
  <pageSetup scale="61" fitToHeight="2" orientation="landscape" horizontalDpi="300" verticalDpi="300" r:id="rId1"/>
  <headerFooter alignWithMargins="0"/>
  <rowBreaks count="1" manualBreakCount="1">
    <brk id="71" max="37" man="1"/>
  </rowBreaks>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CC43"/>
  <sheetViews>
    <sheetView zoomScaleNormal="100" workbookViewId="0">
      <selection activeCell="AW22" sqref="AW22"/>
    </sheetView>
  </sheetViews>
  <sheetFormatPr defaultRowHeight="12.75" outlineLevelCol="1" x14ac:dyDescent="0.2"/>
  <cols>
    <col min="1" max="1" width="3.140625" style="662" customWidth="1"/>
    <col min="2" max="2" width="4.42578125" style="303" customWidth="1"/>
    <col min="3" max="3" width="4.5703125" style="303" customWidth="1"/>
    <col min="4" max="4" width="7.85546875" style="303" hidden="1" customWidth="1" outlineLevel="1"/>
    <col min="5" max="5" width="5.5703125" style="303" hidden="1" customWidth="1" outlineLevel="1"/>
    <col min="6" max="6" width="4.42578125" style="303" hidden="1" customWidth="1" outlineLevel="1"/>
    <col min="7" max="7" width="0.7109375" style="303" hidden="1" customWidth="1" outlineLevel="1"/>
    <col min="8" max="8" width="7.85546875" style="303" hidden="1" customWidth="1" outlineLevel="1"/>
    <col min="9" max="9" width="6.28515625" style="303" hidden="1" customWidth="1" outlineLevel="1"/>
    <col min="10" max="10" width="4.85546875" style="303" hidden="1" customWidth="1" outlineLevel="1"/>
    <col min="11" max="11" width="0.7109375" style="303" hidden="1" customWidth="1" outlineLevel="1"/>
    <col min="12" max="12" width="7.85546875" style="303" hidden="1" customWidth="1" outlineLevel="1"/>
    <col min="13" max="13" width="7.28515625" style="303" hidden="1" customWidth="1" outlineLevel="1"/>
    <col min="14" max="14" width="4.42578125" style="303" hidden="1" customWidth="1" outlineLevel="1"/>
    <col min="15" max="15" width="0.7109375" style="303" hidden="1" customWidth="1" outlineLevel="1"/>
    <col min="16" max="16" width="7.85546875" style="303" hidden="1" customWidth="1" outlineLevel="1"/>
    <col min="17" max="17" width="6.5703125" style="303" hidden="1" customWidth="1" outlineLevel="1"/>
    <col min="18" max="18" width="4.42578125" style="303" hidden="1" customWidth="1" outlineLevel="1"/>
    <col min="19" max="19" width="0.7109375" style="303" hidden="1" customWidth="1" outlineLevel="1"/>
    <col min="20" max="20" width="7.85546875" style="303" hidden="1" customWidth="1" outlineLevel="1"/>
    <col min="21" max="21" width="6.28515625" style="303" hidden="1" customWidth="1" outlineLevel="1"/>
    <col min="22" max="22" width="4.42578125" style="303" hidden="1" customWidth="1" outlineLevel="1"/>
    <col min="23" max="23" width="0.7109375" style="303" hidden="1" customWidth="1" outlineLevel="1"/>
    <col min="24" max="24" width="7.85546875" style="303" hidden="1" customWidth="1" outlineLevel="1"/>
    <col min="25" max="25" width="6.28515625" style="303" hidden="1" customWidth="1" outlineLevel="1"/>
    <col min="26" max="26" width="4.42578125" style="303" hidden="1" customWidth="1" outlineLevel="1"/>
    <col min="27" max="27" width="0.7109375" style="303" hidden="1" customWidth="1" outlineLevel="1"/>
    <col min="28" max="28" width="7.85546875" style="303" hidden="1" customWidth="1" outlineLevel="1" collapsed="1"/>
    <col min="29" max="29" width="6.28515625" style="303" hidden="1" customWidth="1" outlineLevel="1"/>
    <col min="30" max="30" width="5.28515625" style="303" hidden="1" customWidth="1" outlineLevel="1"/>
    <col min="31" max="31" width="0.7109375" style="303" hidden="1" customWidth="1" outlineLevel="1"/>
    <col min="32" max="32" width="7.85546875" style="303" hidden="1" customWidth="1" outlineLevel="1"/>
    <col min="33" max="33" width="6.28515625" style="303" hidden="1" customWidth="1" outlineLevel="1"/>
    <col min="34" max="34" width="5.28515625" style="303" hidden="1" customWidth="1" outlineLevel="1"/>
    <col min="35" max="35" width="2" style="303" hidden="1" customWidth="1" outlineLevel="1"/>
    <col min="36" max="36" width="6.7109375" style="303" hidden="1" customWidth="1" outlineLevel="1"/>
    <col min="37" max="37" width="8.5703125" style="303" hidden="1" customWidth="1" outlineLevel="1"/>
    <col min="38" max="38" width="5.28515625" style="303" hidden="1" customWidth="1" outlineLevel="1"/>
    <col min="39" max="39" width="0.7109375" style="303" hidden="1" customWidth="1" outlineLevel="1"/>
    <col min="40" max="40" width="7.85546875" style="303" hidden="1" customWidth="1" outlineLevel="1"/>
    <col min="41" max="41" width="6.28515625" style="303" hidden="1" customWidth="1" outlineLevel="1"/>
    <col min="42" max="42" width="5.28515625" style="303" hidden="1" customWidth="1" outlineLevel="1"/>
    <col min="43" max="43" width="2.140625" style="303" customWidth="1" collapsed="1"/>
    <col min="44" max="44" width="7.85546875" style="303" customWidth="1"/>
    <col min="45" max="45" width="6.85546875" style="303" bestFit="1" customWidth="1"/>
    <col min="46" max="46" width="5.28515625" style="303" customWidth="1"/>
    <col min="47" max="47" width="0.7109375" style="303" customWidth="1"/>
    <col min="48" max="48" width="7.85546875" style="303" customWidth="1"/>
    <col min="49" max="49" width="6.85546875" style="303" bestFit="1" customWidth="1"/>
    <col min="50" max="50" width="5.28515625" style="303" customWidth="1"/>
    <col min="51" max="51" width="0.7109375" style="303" customWidth="1"/>
    <col min="52" max="52" width="7.85546875" style="303" customWidth="1"/>
    <col min="53" max="53" width="7.85546875" style="303" bestFit="1" customWidth="1"/>
    <col min="54" max="54" width="5.28515625" style="303" customWidth="1"/>
    <col min="55" max="55" width="0.7109375" style="303" customWidth="1"/>
    <col min="56" max="56" width="7.85546875" style="303" customWidth="1"/>
    <col min="57" max="57" width="7.7109375" style="303" customWidth="1"/>
    <col min="58" max="58" width="5.42578125" style="303" customWidth="1"/>
    <col min="59" max="59" width="0.7109375" style="303" customWidth="1"/>
    <col min="60" max="60" width="7.85546875" style="303" customWidth="1"/>
    <col min="61" max="61" width="7.7109375" style="303" customWidth="1"/>
    <col min="62" max="62" width="5.28515625" style="303" customWidth="1"/>
    <col min="63" max="63" width="0.7109375" style="303" customWidth="1"/>
    <col min="64" max="64" width="7.85546875" style="303" customWidth="1"/>
    <col min="65" max="65" width="7.7109375" style="303" customWidth="1"/>
    <col min="66" max="66" width="5.28515625" style="303" customWidth="1"/>
    <col min="67" max="67" width="2.7109375" style="303" customWidth="1"/>
    <col min="68" max="68" width="7.42578125" style="303" customWidth="1"/>
    <col min="69" max="69" width="8.140625" style="303" customWidth="1"/>
    <col min="70" max="70" width="5.28515625" style="303" customWidth="1"/>
    <col min="71" max="71" width="2.7109375" style="303" hidden="1" customWidth="1"/>
    <col min="72" max="72" width="9.5703125" style="303" hidden="1" customWidth="1"/>
    <col min="73" max="73" width="8.140625" style="303" hidden="1" customWidth="1"/>
    <col min="74" max="74" width="5.28515625" style="303" hidden="1" customWidth="1"/>
    <col min="75" max="16384" width="9.140625" style="303"/>
  </cols>
  <sheetData>
    <row r="1" spans="1:81" x14ac:dyDescent="0.2">
      <c r="A1" s="675" t="s">
        <v>453</v>
      </c>
    </row>
    <row r="2" spans="1:81" x14ac:dyDescent="0.2">
      <c r="A2" s="312" t="s">
        <v>575</v>
      </c>
      <c r="B2" s="313"/>
      <c r="C2" s="313"/>
      <c r="D2" s="313"/>
      <c r="E2" s="313"/>
      <c r="F2" s="313"/>
      <c r="G2" s="313"/>
      <c r="H2" s="313"/>
      <c r="I2" s="313"/>
      <c r="J2" s="313"/>
      <c r="K2" s="313"/>
      <c r="L2" s="313"/>
      <c r="M2" s="313"/>
      <c r="N2" s="313"/>
      <c r="O2" s="313"/>
      <c r="P2" s="313"/>
      <c r="Q2" s="313"/>
      <c r="R2" s="313"/>
      <c r="S2" s="313"/>
      <c r="T2" s="313"/>
      <c r="U2" s="313"/>
      <c r="V2" s="313"/>
      <c r="W2" s="313"/>
      <c r="X2" s="313"/>
      <c r="Y2" s="313"/>
      <c r="Z2" s="313"/>
      <c r="AA2" s="313"/>
      <c r="AB2" s="313"/>
      <c r="AC2" s="313"/>
      <c r="AD2" s="313"/>
      <c r="AE2" s="313"/>
      <c r="AF2" s="313"/>
      <c r="AG2" s="313"/>
      <c r="AH2" s="313"/>
      <c r="AI2" s="313"/>
      <c r="AJ2" s="313"/>
      <c r="AK2" s="313"/>
      <c r="AL2" s="313"/>
      <c r="AM2" s="313"/>
      <c r="AN2" s="313"/>
      <c r="AO2" s="313"/>
      <c r="AP2" s="313"/>
      <c r="AQ2" s="313"/>
      <c r="AR2" s="313"/>
      <c r="AS2" s="313"/>
      <c r="AT2" s="313"/>
      <c r="AU2" s="313"/>
      <c r="AV2" s="313"/>
      <c r="AW2" s="313"/>
      <c r="AX2" s="313"/>
      <c r="AY2" s="313"/>
      <c r="AZ2" s="313"/>
      <c r="BA2" s="313"/>
      <c r="BB2" s="313"/>
      <c r="BC2" s="313"/>
      <c r="BD2" s="313"/>
      <c r="BE2" s="313"/>
      <c r="BF2" s="313"/>
      <c r="BG2" s="313"/>
      <c r="BH2" s="313"/>
      <c r="BI2" s="313"/>
      <c r="BJ2" s="313"/>
      <c r="BK2" s="313"/>
      <c r="BL2" s="313"/>
      <c r="BM2" s="313"/>
      <c r="BN2" s="313"/>
      <c r="BP2" s="313"/>
      <c r="BQ2" s="313"/>
      <c r="BR2" s="313"/>
      <c r="BT2" s="313"/>
      <c r="BU2" s="313"/>
      <c r="BV2" s="313"/>
    </row>
    <row r="3" spans="1:81" x14ac:dyDescent="0.2">
      <c r="A3" s="676" t="s">
        <v>112</v>
      </c>
    </row>
    <row r="5" spans="1:81" x14ac:dyDescent="0.2">
      <c r="D5" s="438">
        <f>H5-1</f>
        <v>2001</v>
      </c>
      <c r="E5" s="442"/>
      <c r="F5" s="442"/>
      <c r="H5" s="438">
        <f>L5-1</f>
        <v>2002</v>
      </c>
      <c r="I5" s="442"/>
      <c r="J5" s="442"/>
      <c r="L5" s="438">
        <f>P5-1</f>
        <v>2003</v>
      </c>
      <c r="M5" s="442"/>
      <c r="N5" s="442"/>
      <c r="P5" s="438">
        <f>T5-1</f>
        <v>2004</v>
      </c>
      <c r="Q5" s="442"/>
      <c r="R5" s="442"/>
      <c r="T5" s="438">
        <v>2005</v>
      </c>
      <c r="U5" s="442"/>
      <c r="V5" s="442"/>
      <c r="X5" s="438">
        <f>T5+1</f>
        <v>2006</v>
      </c>
      <c r="Y5" s="442"/>
      <c r="Z5" s="442"/>
      <c r="AB5" s="438">
        <f>X5+1</f>
        <v>2007</v>
      </c>
      <c r="AC5" s="442"/>
      <c r="AD5" s="442"/>
      <c r="AF5" s="438">
        <f>AB5+1</f>
        <v>2008</v>
      </c>
      <c r="AG5" s="442"/>
      <c r="AH5" s="442"/>
      <c r="AJ5" s="438">
        <f>AF5+1</f>
        <v>2009</v>
      </c>
      <c r="AK5" s="442"/>
      <c r="AL5" s="442"/>
      <c r="AN5" s="438">
        <f>AJ5+1</f>
        <v>2010</v>
      </c>
      <c r="AO5" s="442"/>
      <c r="AP5" s="442"/>
      <c r="AR5" s="438">
        <f>AN5+1</f>
        <v>2011</v>
      </c>
      <c r="AS5" s="442"/>
      <c r="AT5" s="442"/>
      <c r="AV5" s="438">
        <f>AR5+1</f>
        <v>2012</v>
      </c>
      <c r="AW5" s="442"/>
      <c r="AX5" s="442"/>
      <c r="AZ5" s="438">
        <f>AV5+1</f>
        <v>2013</v>
      </c>
      <c r="BA5" s="442"/>
      <c r="BB5" s="442"/>
      <c r="BD5" s="438">
        <f>AZ5+1</f>
        <v>2014</v>
      </c>
      <c r="BE5" s="442"/>
      <c r="BF5" s="442"/>
      <c r="BH5" s="438">
        <f>BD5+1</f>
        <v>2015</v>
      </c>
      <c r="BI5" s="442"/>
      <c r="BJ5" s="442"/>
      <c r="BL5" s="438">
        <f>BH5+1</f>
        <v>2016</v>
      </c>
      <c r="BM5" s="442"/>
      <c r="BN5" s="442"/>
      <c r="BP5" s="438">
        <f>BL5+1</f>
        <v>2017</v>
      </c>
      <c r="BQ5" s="442"/>
      <c r="BR5" s="442"/>
      <c r="BT5" s="677">
        <f>BP5+1</f>
        <v>2018</v>
      </c>
      <c r="BU5" s="442"/>
      <c r="BV5" s="442"/>
    </row>
    <row r="6" spans="1:81" x14ac:dyDescent="0.2">
      <c r="BU6" s="877"/>
      <c r="BX6" s="303" t="s">
        <v>565</v>
      </c>
    </row>
    <row r="7" spans="1:81" x14ac:dyDescent="0.2">
      <c r="A7" s="1354" t="s">
        <v>108</v>
      </c>
      <c r="B7" s="1354"/>
      <c r="C7" s="1354"/>
      <c r="D7" s="1354"/>
      <c r="E7" s="1354"/>
      <c r="F7" s="1354"/>
      <c r="G7" s="1354"/>
      <c r="H7" s="1354"/>
      <c r="I7" s="1354"/>
      <c r="J7" s="1354"/>
      <c r="K7" s="1354"/>
      <c r="L7" s="1354"/>
      <c r="M7" s="1354"/>
      <c r="N7" s="1354"/>
      <c r="O7" s="1354"/>
      <c r="P7" s="1354"/>
      <c r="Q7" s="1354"/>
      <c r="R7" s="1354"/>
      <c r="S7" s="1354"/>
      <c r="T7" s="1354"/>
      <c r="U7" s="1354"/>
      <c r="V7" s="1354"/>
      <c r="W7" s="1354"/>
      <c r="X7" s="1354"/>
      <c r="Y7" s="1354"/>
      <c r="Z7" s="1354"/>
      <c r="AA7" s="1354"/>
      <c r="AB7" s="1354"/>
      <c r="AC7" s="1354"/>
      <c r="AD7" s="1354"/>
      <c r="AE7" s="1354"/>
      <c r="AF7" s="1354"/>
      <c r="AG7" s="1354"/>
      <c r="AH7" s="1354"/>
      <c r="AI7" s="1354"/>
      <c r="AJ7" s="1354"/>
      <c r="AK7" s="1354"/>
      <c r="AL7" s="1354"/>
      <c r="AM7" s="1354"/>
      <c r="AN7" s="1354"/>
      <c r="AO7" s="1354"/>
      <c r="AP7" s="1354"/>
      <c r="AQ7" s="1354"/>
      <c r="AR7" s="1354"/>
      <c r="AS7" s="1354"/>
      <c r="AT7" s="1354"/>
      <c r="AU7" s="1354"/>
      <c r="AV7" s="1354"/>
      <c r="AW7" s="1354"/>
      <c r="AX7" s="1354"/>
      <c r="AY7" s="1354"/>
      <c r="AZ7" s="1354"/>
      <c r="BA7" s="1354"/>
      <c r="BB7" s="1354"/>
      <c r="BC7" s="1354"/>
      <c r="BD7" s="1354"/>
      <c r="BE7" s="1354"/>
      <c r="BF7" s="1354"/>
      <c r="BG7" s="1354"/>
      <c r="BH7" s="1354"/>
      <c r="BI7" s="1354"/>
      <c r="BJ7" s="1354"/>
      <c r="BK7" s="1354"/>
      <c r="BL7" s="1354"/>
      <c r="BM7" s="1354"/>
      <c r="BN7" s="1354"/>
      <c r="BO7" s="1354"/>
      <c r="BP7" s="1354"/>
      <c r="BQ7" s="1354"/>
      <c r="BR7" s="1354"/>
      <c r="BS7" s="1354"/>
      <c r="BT7" s="1354"/>
      <c r="BU7" s="1354"/>
      <c r="BV7" s="1354"/>
      <c r="BW7" s="1354"/>
      <c r="BX7" s="1354"/>
      <c r="BY7" s="1354"/>
      <c r="BZ7" s="1354"/>
      <c r="CA7" s="1354"/>
      <c r="CB7" s="1354"/>
      <c r="CC7" s="1354"/>
    </row>
    <row r="8" spans="1:81" x14ac:dyDescent="0.2">
      <c r="A8" s="662" t="s">
        <v>104</v>
      </c>
      <c r="B8" s="303" t="s">
        <v>89</v>
      </c>
      <c r="D8" s="678">
        <v>1134.1289999999999</v>
      </c>
      <c r="E8" s="679" t="s">
        <v>94</v>
      </c>
      <c r="F8" s="680">
        <f>'qtrP&amp;L'!AN10</f>
        <v>22.2535589578297</v>
      </c>
      <c r="H8" s="678">
        <v>1418.9739999999999</v>
      </c>
      <c r="I8" s="679">
        <f>100*(H8/D8-1)</f>
        <v>25.11574961931138</v>
      </c>
      <c r="J8" s="680">
        <f>'qtrP&amp;L'!AR10</f>
        <v>34.977479951664293</v>
      </c>
      <c r="L8" s="678">
        <v>1810.9780000000001</v>
      </c>
      <c r="M8" s="679">
        <f>100*(L8/H8-1)</f>
        <v>27.625876161226358</v>
      </c>
      <c r="N8" s="680">
        <f>'qtrP&amp;L'!BD10</f>
        <v>13.21571772253407</v>
      </c>
      <c r="P8" s="678">
        <v>1862.1949999999999</v>
      </c>
      <c r="Q8" s="679">
        <f>100*(P8/L8-1)</f>
        <v>2.828140374979693</v>
      </c>
      <c r="R8" s="680">
        <f>'qtrP&amp;L'!BH10</f>
        <v>12.395523445247214</v>
      </c>
      <c r="T8" s="678">
        <v>2112.7530000000002</v>
      </c>
      <c r="U8" s="679">
        <f>100*(T8/P8-1)</f>
        <v>13.454981889651751</v>
      </c>
      <c r="V8" s="680">
        <f>'qtrP&amp;L'!BL10</f>
        <v>15.234013948407711</v>
      </c>
      <c r="X8" s="678">
        <v>2347.8910000000001</v>
      </c>
      <c r="Y8" s="679">
        <f>100*(X8/T8-1)</f>
        <v>11.129459998400183</v>
      </c>
      <c r="Z8" s="680">
        <f>'qtrP&amp;L'!BP10</f>
        <v>16.111273151523985</v>
      </c>
      <c r="AB8" s="678">
        <v>2713.6460000000002</v>
      </c>
      <c r="AC8" s="679">
        <f>100*(AB8/X8-1)</f>
        <v>15.578023000215936</v>
      </c>
      <c r="AD8" s="680">
        <f>'qtrP&amp;L'!BT10</f>
        <v>12.161271077338531</v>
      </c>
      <c r="AF8" s="678">
        <v>2816.7190000000001</v>
      </c>
      <c r="AG8" s="679">
        <f>100*(AF8/AB8-1)</f>
        <v>3.7983215201982778</v>
      </c>
      <c r="AH8" s="680">
        <f>'qtrP&amp;L'!BX10</f>
        <v>1.463017917133258</v>
      </c>
      <c r="AJ8" s="678">
        <v>2804</v>
      </c>
      <c r="AK8" s="679">
        <f>100*(AJ8/AF8-1)</f>
        <v>-0.45155374036245366</v>
      </c>
      <c r="AL8" s="680">
        <f>'qtrP&amp;L'!CB10</f>
        <v>0.37913957032320589</v>
      </c>
      <c r="AN8" s="678">
        <v>3017</v>
      </c>
      <c r="AO8" s="679">
        <f>100*(AN8/AJ8-1)</f>
        <v>7.5962910128388073</v>
      </c>
      <c r="AP8" s="680">
        <f>'qtrP&amp;L'!CF10</f>
        <v>10.91258933479935</v>
      </c>
      <c r="AR8" s="984">
        <v>3193</v>
      </c>
      <c r="AS8" s="679">
        <f>100*(AR8/AN8-1)</f>
        <v>5.8336095459065263</v>
      </c>
      <c r="AT8" s="680">
        <f>'qtrP&amp;L'!CJ10</f>
        <v>3.1474597273853711</v>
      </c>
      <c r="AV8" s="984">
        <v>3454</v>
      </c>
      <c r="AW8" s="679">
        <f>100*(AV8/AR8-1)</f>
        <v>8.1741309113686267</v>
      </c>
      <c r="AX8" s="680">
        <f>'qtrP&amp;L'!CN10</f>
        <v>1.9461797212878329</v>
      </c>
      <c r="AZ8" s="984">
        <v>3961</v>
      </c>
      <c r="BA8" s="679">
        <f>100*(AZ8/AV8-1)</f>
        <v>14.678633468442381</v>
      </c>
      <c r="BB8" s="680">
        <f>'qtrP&amp;L'!CR10</f>
        <v>-1.0370021211407066</v>
      </c>
      <c r="BD8" s="984">
        <v>3981</v>
      </c>
      <c r="BE8" s="679">
        <f>100*(BD8/AZ8-1)</f>
        <v>0.50492299924260742</v>
      </c>
      <c r="BF8" s="680">
        <f>'qtrP&amp;L'!CV10</f>
        <v>-3.0721600381043102</v>
      </c>
      <c r="BH8" s="984">
        <v>4165</v>
      </c>
      <c r="BI8" s="679">
        <f>100*(BH8/BD8-1)</f>
        <v>4.6219542828435101</v>
      </c>
      <c r="BJ8" s="680">
        <f>'qtrP&amp;L'!CZ10</f>
        <v>1.3022113022113091</v>
      </c>
      <c r="BL8" s="984">
        <v>4084</v>
      </c>
      <c r="BM8" s="679">
        <f>100*(BL8/BH8-1)</f>
        <v>-1.9447779111644636</v>
      </c>
      <c r="BN8" s="680">
        <f>'qtrP&amp;L'!DD10</f>
        <v>-3.6623817608537501</v>
      </c>
      <c r="BO8" s="458"/>
      <c r="BP8" s="984">
        <v>3991</v>
      </c>
      <c r="BQ8" s="679">
        <f>100*(BP8/BL8-1)</f>
        <v>-2.277179236043092</v>
      </c>
      <c r="BR8" s="680">
        <f>'qtrP&amp;L'!DH10</f>
        <v>-3.2477341389728132</v>
      </c>
      <c r="BT8" s="1166">
        <f>BP8*(1+BU8/100)</f>
        <v>3951.09</v>
      </c>
      <c r="BU8" s="679">
        <v>-1</v>
      </c>
      <c r="BV8" s="680">
        <f>'qtrP&amp;L'!DL10</f>
        <v>3.4599999999999964</v>
      </c>
      <c r="BX8" s="311">
        <f>BL8/BD8-1</f>
        <v>2.5872896257221889E-2</v>
      </c>
      <c r="BY8" s="311">
        <f>'qtrP&amp;L'!DC10/'qtrP&amp;L'!CU10-1</f>
        <v>-2.4078624078624045E-2</v>
      </c>
    </row>
    <row r="9" spans="1:81" x14ac:dyDescent="0.2">
      <c r="A9" s="662" t="s">
        <v>105</v>
      </c>
      <c r="B9" s="303" t="s">
        <v>90</v>
      </c>
      <c r="D9" s="678">
        <v>1167.652</v>
      </c>
      <c r="E9" s="679" t="s">
        <v>94</v>
      </c>
      <c r="F9" s="680">
        <f>'qtrP&amp;L'!AN11</f>
        <v>23.822075782537077</v>
      </c>
      <c r="H9" s="678">
        <v>1454.4190000000001</v>
      </c>
      <c r="I9" s="679">
        <f>100*(H9/D9-1)</f>
        <v>24.559286499744793</v>
      </c>
      <c r="J9" s="680">
        <f>'qtrP&amp;L'!AR11</f>
        <v>33.624268227780753</v>
      </c>
      <c r="L9" s="678">
        <v>1716.7629999999999</v>
      </c>
      <c r="M9" s="679">
        <f>100*(L9/H9-1)</f>
        <v>18.037718154122008</v>
      </c>
      <c r="N9" s="680">
        <f>'qtrP&amp;L'!BD11</f>
        <v>14.907123159373526</v>
      </c>
      <c r="P9" s="678">
        <v>1776.212</v>
      </c>
      <c r="Q9" s="679">
        <f>100*(P9/L9-1)</f>
        <v>3.4628542204136581</v>
      </c>
      <c r="R9" s="680">
        <f>'qtrP&amp;L'!BH11</f>
        <v>13.109038217714186</v>
      </c>
      <c r="T9" s="678">
        <v>2197.3310000000001</v>
      </c>
      <c r="U9" s="679">
        <f>100*(T9/P9-1)</f>
        <v>23.70882529788112</v>
      </c>
      <c r="V9" s="680">
        <f>'qtrP&amp;L'!BL11</f>
        <v>15.621121742263488</v>
      </c>
      <c r="X9" s="678">
        <v>2408.1489999999999</v>
      </c>
      <c r="Y9" s="679">
        <f>100*(X9/T9-1)</f>
        <v>9.5942759647954503</v>
      </c>
      <c r="Z9" s="680">
        <f>'qtrP&amp;L'!BP11</f>
        <v>14.314151172050838</v>
      </c>
      <c r="AB9" s="678">
        <v>2802.643</v>
      </c>
      <c r="AC9" s="679">
        <f>100*(AB9/X9-1)</f>
        <v>16.381627548793709</v>
      </c>
      <c r="AD9" s="680">
        <f>'qtrP&amp;L'!BT11</f>
        <v>8.7139903080623462</v>
      </c>
      <c r="AF9" s="678">
        <v>2717.55</v>
      </c>
      <c r="AG9" s="679">
        <f>100*(AF9/AB9-1)</f>
        <v>-3.0361697868761639</v>
      </c>
      <c r="AH9" s="680">
        <f>'qtrP&amp;L'!BX11</f>
        <v>3.797225008358418</v>
      </c>
      <c r="AJ9" s="678">
        <v>2724</v>
      </c>
      <c r="AK9" s="679">
        <f>100*(AJ9/AF9-1)</f>
        <v>0.23734613898547252</v>
      </c>
      <c r="AL9" s="680">
        <f>'qtrP&amp;L'!CB11</f>
        <v>2.1610580084767461</v>
      </c>
      <c r="AN9" s="678">
        <v>2930</v>
      </c>
      <c r="AO9" s="679">
        <f>100*(AN9/AJ9-1)</f>
        <v>7.562408223201178</v>
      </c>
      <c r="AP9" s="680">
        <f>'qtrP&amp;L'!CF11</f>
        <v>7.7246452968996238</v>
      </c>
      <c r="AR9" s="984">
        <v>3095</v>
      </c>
      <c r="AS9" s="679">
        <f>100*(AR9/AN9-1)</f>
        <v>5.6313993174061494</v>
      </c>
      <c r="AT9" s="680">
        <f>'qtrP&amp;L'!CJ11</f>
        <v>3.6097560975609788</v>
      </c>
      <c r="AV9" s="984">
        <v>3521</v>
      </c>
      <c r="AW9" s="679">
        <f>100*(AV9/AR9-1)</f>
        <v>13.764135702746373</v>
      </c>
      <c r="AX9" s="680">
        <f>'qtrP&amp;L'!CN11</f>
        <v>-1.0122410546139382</v>
      </c>
      <c r="AZ9" s="984">
        <v>3856</v>
      </c>
      <c r="BA9" s="679">
        <f>100*(AZ9/AV9-1)</f>
        <v>9.5143425163305864</v>
      </c>
      <c r="BB9" s="680">
        <f>'qtrP&amp;L'!CR11</f>
        <v>1.9976218787158162</v>
      </c>
      <c r="BD9" s="984">
        <v>3899</v>
      </c>
      <c r="BE9" s="679">
        <f>100*(BD9/AZ9-1)</f>
        <v>1.1151452282157637</v>
      </c>
      <c r="BF9" s="680">
        <f>'qtrP&amp;L'!CV11</f>
        <v>-1.095826532991373</v>
      </c>
      <c r="BH9" s="984">
        <v>4252</v>
      </c>
      <c r="BI9" s="679">
        <f>100*(BH9/BD9-1)</f>
        <v>9.0536034880738683</v>
      </c>
      <c r="BJ9" s="680">
        <f>'qtrP&amp;L'!CZ11</f>
        <v>0.58934464875060044</v>
      </c>
      <c r="BL9" s="984">
        <v>3928</v>
      </c>
      <c r="BM9" s="679">
        <f>100*(BL9/BH9-1)</f>
        <v>-7.6199435559736628</v>
      </c>
      <c r="BN9" s="680">
        <f>'qtrP&amp;L'!DD11</f>
        <v>-1.9920318725099584</v>
      </c>
      <c r="BO9" s="311"/>
      <c r="BP9" s="984">
        <v>3853</v>
      </c>
      <c r="BQ9" s="679">
        <f>100*(BP9/BL9-1)</f>
        <v>-1.9093686354378803</v>
      </c>
      <c r="BR9" s="680">
        <f>'qtrP&amp;L'!DH11</f>
        <v>-0.90865614538497841</v>
      </c>
      <c r="BS9" s="311"/>
      <c r="BT9" s="1166">
        <f>BP9*(1+BU9/100)</f>
        <v>3775.94</v>
      </c>
      <c r="BU9" s="679">
        <v>-2</v>
      </c>
      <c r="BV9" s="680">
        <f>'qtrP&amp;L'!DL11</f>
        <v>0.76000000000000512</v>
      </c>
      <c r="BX9" s="311">
        <f>BL9/BD9-1</f>
        <v>7.4378045652732094E-3</v>
      </c>
      <c r="BY9" s="311">
        <f>'qtrP&amp;L'!DC11/'qtrP&amp;L'!CU11-1</f>
        <v>-1.4144271570014189E-2</v>
      </c>
    </row>
    <row r="10" spans="1:81" x14ac:dyDescent="0.2">
      <c r="A10" s="662" t="s">
        <v>106</v>
      </c>
      <c r="B10" s="303" t="s">
        <v>91</v>
      </c>
      <c r="D10" s="678">
        <v>1701.856</v>
      </c>
      <c r="E10" s="679" t="s">
        <v>94</v>
      </c>
      <c r="F10" s="680">
        <f>'qtrP&amp;L'!AN12</f>
        <v>23.719412724306686</v>
      </c>
      <c r="H10" s="678">
        <v>2078.3710000000001</v>
      </c>
      <c r="I10" s="679">
        <f>100*(H10/D10-1)</f>
        <v>22.123787206438152</v>
      </c>
      <c r="J10" s="680">
        <f>'qtrP&amp;L'!AR12</f>
        <v>31.401862359959253</v>
      </c>
      <c r="L10" s="678">
        <v>2424.8020000000001</v>
      </c>
      <c r="M10" s="679">
        <f>100*(L10/H10-1)</f>
        <v>16.668390773350872</v>
      </c>
      <c r="N10" s="680">
        <f>'qtrP&amp;L'!BD12</f>
        <v>11.691704768125399</v>
      </c>
      <c r="P10" s="678">
        <v>2640.348</v>
      </c>
      <c r="Q10" s="679">
        <f>100*(P10/L10-1)</f>
        <v>8.8892206456444569</v>
      </c>
      <c r="R10" s="680">
        <f>'qtrP&amp;L'!BH12</f>
        <v>14.615705931495416</v>
      </c>
      <c r="T10" s="678">
        <v>2854.317</v>
      </c>
      <c r="U10" s="679">
        <f>100*(T10/P10-1)</f>
        <v>8.1038181330642889</v>
      </c>
      <c r="V10" s="680">
        <f>'qtrP&amp;L'!BL12</f>
        <v>13.68490105324538</v>
      </c>
      <c r="X10" s="678">
        <v>3234.7930000000001</v>
      </c>
      <c r="Y10" s="679">
        <f>100*(X10/T10-1)</f>
        <v>13.329843882091597</v>
      </c>
      <c r="Z10" s="680">
        <f>'qtrP&amp;L'!BP12</f>
        <v>17.025517727768168</v>
      </c>
      <c r="AB10" s="678">
        <v>3908.529</v>
      </c>
      <c r="AC10" s="679">
        <f>100*(AB10/X10-1)</f>
        <v>20.827793308567188</v>
      </c>
      <c r="AD10" s="680">
        <f>'qtrP&amp;L'!BT12</f>
        <v>4.7858180290119456</v>
      </c>
      <c r="AF10" s="678">
        <v>3712.0329999999999</v>
      </c>
      <c r="AG10" s="679">
        <f>100*(AF10/AB10-1)</f>
        <v>-5.027364514885269</v>
      </c>
      <c r="AH10" s="680">
        <f>'qtrP&amp;L'!BX12</f>
        <v>-0.56339537801944894</v>
      </c>
      <c r="AJ10" s="678">
        <v>3807</v>
      </c>
      <c r="AK10" s="679">
        <f>100*(AJ10/AF10-1)</f>
        <v>2.5583554887577797</v>
      </c>
      <c r="AL10" s="680">
        <f>'qtrP&amp;L'!CB12</f>
        <v>6.5029922582236166</v>
      </c>
      <c r="AN10" s="678">
        <v>4030</v>
      </c>
      <c r="AO10" s="679">
        <f>100*(AN10/AJ10-1)</f>
        <v>5.8576306803257205</v>
      </c>
      <c r="AP10" s="680">
        <f>'qtrP&amp;L'!CF12</f>
        <v>4.1224389039743237</v>
      </c>
      <c r="AR10" s="984">
        <v>4130</v>
      </c>
      <c r="AS10" s="679">
        <f>100*(AR10/AN10-1)</f>
        <v>2.4813895781637729</v>
      </c>
      <c r="AT10" s="680">
        <f>'qtrP&amp;L'!CJ12</f>
        <v>3.7458511142721695</v>
      </c>
      <c r="AV10" s="984">
        <v>4851</v>
      </c>
      <c r="AW10" s="679">
        <f>100*(AV10/AR10-1)</f>
        <v>17.457627118644069</v>
      </c>
      <c r="AX10" s="680">
        <f>'qtrP&amp;L'!CN12</f>
        <v>2.6051188299817118</v>
      </c>
      <c r="AZ10" s="984">
        <v>4959</v>
      </c>
      <c r="BA10" s="679">
        <f>100*(AZ10/AV10-1)</f>
        <v>2.226345083487935</v>
      </c>
      <c r="BB10" s="680">
        <f>'qtrP&amp;L'!CR12</f>
        <v>-1.024498886414249</v>
      </c>
      <c r="BD10" s="984">
        <v>4973</v>
      </c>
      <c r="BE10" s="679">
        <f>100*(BD10/AZ10-1)</f>
        <v>0.28231498285944401</v>
      </c>
      <c r="BF10" s="680">
        <f>'qtrP&amp;L'!CV12</f>
        <v>-1.5751575157515796</v>
      </c>
      <c r="BH10" s="984">
        <v>5254</v>
      </c>
      <c r="BI10" s="679">
        <f>100*(BH10/BD10-1)</f>
        <v>5.6505127689523427</v>
      </c>
      <c r="BJ10" s="680">
        <f>'qtrP&amp;L'!CZ12</f>
        <v>1.2117055326931858</v>
      </c>
      <c r="BL10" s="984">
        <v>4721</v>
      </c>
      <c r="BM10" s="679">
        <f>100*(BL10/BH10-1)</f>
        <v>-10.14465169394747</v>
      </c>
      <c r="BN10" s="680">
        <f>'qtrP&amp;L'!DD12</f>
        <v>-2.2588660492432799</v>
      </c>
      <c r="BP10" s="1289">
        <v>4632</v>
      </c>
      <c r="BQ10" s="679">
        <f>100*(BP10/BL10-1)</f>
        <v>-1.8851938148697345</v>
      </c>
      <c r="BR10" s="680">
        <f>'qtrP&amp;L'!DH12</f>
        <v>0.11555350127108177</v>
      </c>
      <c r="BT10" s="1166">
        <f>BP10*(1+BU10/100)</f>
        <v>4539.3599999999997</v>
      </c>
      <c r="BU10" s="679">
        <v>-2</v>
      </c>
      <c r="BV10" s="680">
        <f>'qtrP&amp;L'!DL12</f>
        <v>-1.2850000000000139</v>
      </c>
      <c r="BX10" s="311">
        <f>BL10/BD10-1</f>
        <v>-5.0673637643273706E-2</v>
      </c>
      <c r="BY10" s="311">
        <f>'qtrP&amp;L'!DC12/'qtrP&amp;L'!CU12-1</f>
        <v>-1.0745313214449048E-2</v>
      </c>
    </row>
    <row r="11" spans="1:81" x14ac:dyDescent="0.2">
      <c r="A11" s="662" t="s">
        <v>107</v>
      </c>
      <c r="B11" s="303" t="s">
        <v>92</v>
      </c>
      <c r="D11" s="678">
        <v>1198.307</v>
      </c>
      <c r="E11" s="679" t="s">
        <v>94</v>
      </c>
      <c r="F11" s="680">
        <f>'qtrP&amp;L'!AN13</f>
        <v>24.660721209771232</v>
      </c>
      <c r="H11" s="678">
        <v>1626.9960000000001</v>
      </c>
      <c r="I11" s="679">
        <f>100*(H11/D11-1)</f>
        <v>35.774555268391154</v>
      </c>
      <c r="J11" s="680">
        <f>'qtrP&amp;L'!AR13</f>
        <v>38.29548989113529</v>
      </c>
      <c r="L11" s="678">
        <v>1606.99</v>
      </c>
      <c r="M11" s="679">
        <f>100*(L11/H11-1)</f>
        <v>-1.2296280998847053</v>
      </c>
      <c r="N11" s="680">
        <f>'qtrP&amp;L'!BD13</f>
        <v>11.854666499183519</v>
      </c>
      <c r="P11" s="678">
        <v>1946.9770000000001</v>
      </c>
      <c r="Q11" s="679">
        <f>100*(P11/L11-1)</f>
        <v>21.156758909514075</v>
      </c>
      <c r="R11" s="680">
        <f>'qtrP&amp;L'!BH13</f>
        <v>14.509110306297202</v>
      </c>
      <c r="T11" s="678">
        <v>2237.5680000000002</v>
      </c>
      <c r="U11" s="679">
        <f>100*(T11/P11-1)</f>
        <v>14.925240513883843</v>
      </c>
      <c r="V11" s="680">
        <f>'qtrP&amp;L'!BL13</f>
        <v>14.053497437909135</v>
      </c>
      <c r="X11" s="678">
        <v>2578.3780000000002</v>
      </c>
      <c r="Y11" s="679">
        <f>100*(X11/T11-1)</f>
        <v>15.231268949144772</v>
      </c>
      <c r="Z11" s="680">
        <f>'qtrP&amp;L'!BP13</f>
        <v>17.126335475827091</v>
      </c>
      <c r="AB11" s="678">
        <v>2855.7330000000002</v>
      </c>
      <c r="AC11" s="679">
        <f>100*(AB11/X11-1)</f>
        <v>10.756956505213733</v>
      </c>
      <c r="AD11" s="680">
        <f>'qtrP&amp;L'!BT13</f>
        <v>0.71027419887677024</v>
      </c>
      <c r="AF11" s="678">
        <v>2799</v>
      </c>
      <c r="AG11" s="679">
        <f>100*(AF11/AB11-1)</f>
        <v>-1.9866353051913532</v>
      </c>
      <c r="AH11" s="680">
        <f>'qtrP&amp;L'!BX13</f>
        <v>-4.5978896725165423</v>
      </c>
      <c r="AJ11" s="678">
        <v>2923</v>
      </c>
      <c r="AK11" s="679">
        <f>100*(AJ11/AF11-1)</f>
        <v>4.430153626295108</v>
      </c>
      <c r="AL11" s="680">
        <f>'qtrP&amp;L'!CB13</f>
        <v>8.5577841451766936</v>
      </c>
      <c r="AN11" s="678">
        <v>3036</v>
      </c>
      <c r="AO11" s="679">
        <f>100*(AN11/AJ11-1)</f>
        <v>3.8658912076633634</v>
      </c>
      <c r="AP11" s="680">
        <f>'qtrP&amp;L'!CF13</f>
        <v>6.2467006862572561</v>
      </c>
      <c r="AR11" s="984">
        <v>3199</v>
      </c>
      <c r="AS11" s="679">
        <f>100*(AR11/AN11-1)</f>
        <v>5.3689064558629873</v>
      </c>
      <c r="AT11" s="680">
        <f>'qtrP&amp;L'!CJ13</f>
        <v>-0.33123550844650351</v>
      </c>
      <c r="AU11" s="310"/>
      <c r="AV11" s="984">
        <v>3748</v>
      </c>
      <c r="AW11" s="679">
        <f>100*(AV11/AR11-1)</f>
        <v>17.161613004063781</v>
      </c>
      <c r="AX11" s="680">
        <f>'qtrP&amp;L'!CN13</f>
        <v>5.3838484546360865</v>
      </c>
      <c r="AZ11" s="984">
        <v>3874</v>
      </c>
      <c r="BA11" s="679">
        <f>100*(AZ11/AV11-1)</f>
        <v>3.3617929562433257</v>
      </c>
      <c r="BB11" s="680">
        <f>'qtrP&amp;L'!CR13</f>
        <v>-3.8315988647114496</v>
      </c>
      <c r="BD11" s="984">
        <v>3814</v>
      </c>
      <c r="BE11" s="679">
        <f>100*(BD11/AZ11-1)</f>
        <v>-1.548786783686118</v>
      </c>
      <c r="BF11" s="680">
        <f>'qtrP&amp;L'!CV13</f>
        <v>3.9022790621413339</v>
      </c>
      <c r="BH11" s="984">
        <v>4038</v>
      </c>
      <c r="BI11" s="679">
        <f>100*(BH11/BD11-1)</f>
        <v>5.8730991085474527</v>
      </c>
      <c r="BJ11" s="680">
        <f>'qtrP&amp;L'!CZ13</f>
        <v>0.78901688496133549</v>
      </c>
      <c r="BL11" s="984">
        <v>3795</v>
      </c>
      <c r="BM11" s="679">
        <f>100*(BL11/BH11-1)</f>
        <v>-6.0178306092124823</v>
      </c>
      <c r="BN11" s="680">
        <f>'qtrP&amp;L'!DD13</f>
        <v>-2.8495381243150097</v>
      </c>
      <c r="BP11" s="1166">
        <f>bal!$AE$13</f>
        <v>3542</v>
      </c>
      <c r="BQ11" s="679">
        <f>100*(BP11/BL11-1)</f>
        <v>-6.6666666666666652</v>
      </c>
      <c r="BR11" s="680">
        <f>'qtrP&amp;L'!DH13</f>
        <v>9.2022562449637348</v>
      </c>
      <c r="BT11" s="1166">
        <f>bal!AF13</f>
        <v>3804.9763407838595</v>
      </c>
      <c r="BU11" s="679">
        <f>100*(BT11/BP11-1)</f>
        <v>7.4245155500807236</v>
      </c>
      <c r="BV11" s="680">
        <f>'qtrP&amp;L'!DL13</f>
        <v>-6.1799999999999962</v>
      </c>
      <c r="BW11" s="311"/>
      <c r="BX11" s="311">
        <f>BL11/BD11-1</f>
        <v>-4.9816465652857689E-3</v>
      </c>
      <c r="BY11" s="311">
        <f>'qtrP&amp;L'!DC13/'qtrP&amp;L'!CU13-1</f>
        <v>-2.083004576297931E-2</v>
      </c>
    </row>
    <row r="12" spans="1:81" x14ac:dyDescent="0.2">
      <c r="D12" s="531"/>
      <c r="H12" s="531"/>
      <c r="L12" s="531"/>
      <c r="P12" s="531"/>
      <c r="T12" s="531"/>
      <c r="X12" s="531"/>
      <c r="AB12" s="531"/>
      <c r="AF12" s="531"/>
      <c r="AJ12" s="531"/>
      <c r="AN12" s="472"/>
      <c r="AR12" s="985">
        <f>AVERAGE(AR8:AR11)</f>
        <v>3404.25</v>
      </c>
      <c r="AS12" s="303">
        <f>AR12*0.95</f>
        <v>3234.0374999999999</v>
      </c>
      <c r="AV12" s="683"/>
      <c r="AZ12" s="681"/>
      <c r="BD12" s="419"/>
      <c r="BL12" s="984">
        <f>AVERAGE(BL8:BL11)</f>
        <v>4132</v>
      </c>
      <c r="BM12" s="414">
        <f>BL12*0.83</f>
        <v>3429.56</v>
      </c>
      <c r="BO12" s="646"/>
      <c r="BP12" s="419"/>
      <c r="BS12" s="646"/>
    </row>
    <row r="13" spans="1:81" x14ac:dyDescent="0.2">
      <c r="A13" s="1354" t="s">
        <v>109</v>
      </c>
      <c r="B13" s="1354"/>
      <c r="C13" s="1354"/>
      <c r="D13" s="1354"/>
      <c r="E13" s="1354"/>
      <c r="F13" s="1354"/>
      <c r="G13" s="1354"/>
      <c r="H13" s="1354"/>
      <c r="I13" s="1354"/>
      <c r="J13" s="1354"/>
      <c r="K13" s="1354"/>
      <c r="L13" s="1354"/>
      <c r="M13" s="1354"/>
      <c r="N13" s="1354"/>
      <c r="O13" s="1354"/>
      <c r="P13" s="1354"/>
      <c r="Q13" s="1354"/>
      <c r="R13" s="1354"/>
      <c r="S13" s="1354"/>
      <c r="T13" s="1354"/>
      <c r="U13" s="1354"/>
      <c r="V13" s="1354"/>
      <c r="W13" s="1354"/>
      <c r="X13" s="1354"/>
      <c r="Y13" s="1354"/>
      <c r="Z13" s="1354"/>
      <c r="AA13" s="1354"/>
      <c r="AB13" s="1354"/>
      <c r="AC13" s="1354"/>
      <c r="AD13" s="1354"/>
      <c r="AE13" s="1354"/>
      <c r="AF13" s="1354"/>
      <c r="AG13" s="1354"/>
      <c r="AH13" s="1354"/>
      <c r="AI13" s="1354"/>
      <c r="AJ13" s="1354"/>
      <c r="AK13" s="1354"/>
      <c r="AL13" s="1354"/>
      <c r="AM13" s="1354"/>
      <c r="AN13" s="1354"/>
      <c r="AO13" s="1354"/>
      <c r="AP13" s="1354"/>
      <c r="AQ13" s="1354"/>
      <c r="AR13" s="1354"/>
      <c r="AS13" s="1354"/>
      <c r="AT13" s="1354"/>
      <c r="AU13" s="1354"/>
      <c r="AV13" s="1354"/>
      <c r="AW13" s="1354"/>
      <c r="AX13" s="1354"/>
      <c r="AY13" s="1354"/>
      <c r="AZ13" s="1354"/>
      <c r="BA13" s="1354"/>
      <c r="BB13" s="1354"/>
      <c r="BC13" s="1354"/>
      <c r="BD13" s="1354"/>
      <c r="BE13" s="1354"/>
      <c r="BF13" s="1354"/>
      <c r="BG13" s="1354"/>
      <c r="BH13" s="1354"/>
      <c r="BI13" s="1354"/>
      <c r="BJ13" s="1354"/>
      <c r="BK13" s="1354"/>
      <c r="BL13" s="1354"/>
      <c r="BM13" s="1354"/>
      <c r="BN13" s="1354"/>
      <c r="BO13" s="1354"/>
      <c r="BP13" s="1354"/>
      <c r="BQ13" s="1354"/>
      <c r="BR13" s="1354"/>
      <c r="BS13" s="1354"/>
      <c r="BT13" s="1354"/>
      <c r="BU13" s="1354"/>
      <c r="BV13" s="1354"/>
      <c r="BW13" s="1354"/>
      <c r="BX13" s="1354"/>
      <c r="BY13" s="1354"/>
      <c r="BZ13" s="1354"/>
      <c r="CA13" s="1354"/>
      <c r="CB13" s="1354"/>
      <c r="CC13" s="1354"/>
    </row>
    <row r="14" spans="1:81" x14ac:dyDescent="0.2">
      <c r="A14" s="662" t="s">
        <v>104</v>
      </c>
      <c r="B14" s="303" t="s">
        <v>89</v>
      </c>
      <c r="D14" s="678">
        <v>752.82500000000005</v>
      </c>
      <c r="E14" s="679" t="s">
        <v>94</v>
      </c>
      <c r="F14" s="680">
        <f>F8</f>
        <v>22.2535589578297</v>
      </c>
      <c r="H14" s="678">
        <v>930.1339999999999</v>
      </c>
      <c r="I14" s="679">
        <f>100*(H14/D14-1)</f>
        <v>23.552485637432309</v>
      </c>
      <c r="J14" s="680">
        <f>J8</f>
        <v>34.977479951664293</v>
      </c>
      <c r="L14" s="678">
        <v>1073.97</v>
      </c>
      <c r="M14" s="679">
        <f>100*(L14/H14-1)</f>
        <v>15.464008411691243</v>
      </c>
      <c r="N14" s="680">
        <f>N8</f>
        <v>13.21571772253407</v>
      </c>
      <c r="P14" s="678">
        <v>1244.9190000000001</v>
      </c>
      <c r="Q14" s="679">
        <f>100*(P14/L14-1)</f>
        <v>15.917483728595784</v>
      </c>
      <c r="R14" s="680">
        <f>R8</f>
        <v>12.395523445247214</v>
      </c>
      <c r="T14" s="678">
        <v>1411.6849999999999</v>
      </c>
      <c r="U14" s="679">
        <f>100*(T14/P14-1)</f>
        <v>13.395730967235608</v>
      </c>
      <c r="V14" s="680">
        <f>V8</f>
        <v>15.234013948407711</v>
      </c>
      <c r="X14" s="678">
        <v>176.12899999999999</v>
      </c>
      <c r="Y14" s="679">
        <f>100*(X14/T14-1)</f>
        <v>-87.523491430453674</v>
      </c>
      <c r="Z14" s="680">
        <f>Z8</f>
        <v>16.111273151523985</v>
      </c>
      <c r="AB14" s="678">
        <v>181.14500000000001</v>
      </c>
      <c r="AC14" s="679">
        <f>100*(AB14/X14-1)</f>
        <v>2.8479126095078078</v>
      </c>
      <c r="AD14" s="680">
        <f>AD8</f>
        <v>12.161271077338531</v>
      </c>
      <c r="AF14" s="678">
        <v>206.018</v>
      </c>
      <c r="AG14" s="679">
        <f>100*(AF14/AB14-1)</f>
        <v>13.730988986723336</v>
      </c>
      <c r="AH14" s="680">
        <f>AH8</f>
        <v>1.463017917133258</v>
      </c>
      <c r="AJ14" s="678">
        <v>262</v>
      </c>
      <c r="AK14" s="679">
        <f>100*(AJ14/AF14-1)</f>
        <v>27.173353784620758</v>
      </c>
      <c r="AL14" s="680">
        <f>AL8</f>
        <v>0.37913957032320589</v>
      </c>
      <c r="AN14" s="678">
        <v>300</v>
      </c>
      <c r="AO14" s="679">
        <f>100*(AN14/AJ14-1)</f>
        <v>14.503816793893121</v>
      </c>
      <c r="AP14" s="680">
        <f>AP8</f>
        <v>10.91258933479935</v>
      </c>
      <c r="AR14" s="984">
        <v>366</v>
      </c>
      <c r="AS14" s="679">
        <f>100*(AR14/AN14-1)</f>
        <v>21.999999999999996</v>
      </c>
      <c r="AT14" s="680">
        <f>AT8</f>
        <v>3.1474597273853711</v>
      </c>
      <c r="AV14" s="984">
        <v>396</v>
      </c>
      <c r="AW14" s="679">
        <f>100*(AV14/AR14-1)</f>
        <v>8.196721311475418</v>
      </c>
      <c r="AX14" s="680">
        <f>AX8</f>
        <v>1.9461797212878329</v>
      </c>
      <c r="AZ14" s="984">
        <f>138+294</f>
        <v>432</v>
      </c>
      <c r="BA14" s="679">
        <f>100*(AZ14/AV14-1)</f>
        <v>9.0909090909090828</v>
      </c>
      <c r="BB14" s="680">
        <f>BB8</f>
        <v>-1.0370021211407066</v>
      </c>
      <c r="BD14" s="984">
        <f>137+304</f>
        <v>441</v>
      </c>
      <c r="BE14" s="679">
        <f>100*(BD14/AZ14-1)</f>
        <v>2.0833333333333259</v>
      </c>
      <c r="BF14" s="680">
        <f>BF8</f>
        <v>-3.0721600381043102</v>
      </c>
      <c r="BH14" s="984">
        <v>338</v>
      </c>
      <c r="BI14" s="679">
        <f>100*(BH14/BD14-1)</f>
        <v>-23.356009070294782</v>
      </c>
      <c r="BJ14" s="680">
        <f>BJ8</f>
        <v>1.3022113022113091</v>
      </c>
      <c r="BL14" s="984">
        <v>348</v>
      </c>
      <c r="BM14" s="679">
        <f>100*(BL14/BH14-1)</f>
        <v>2.9585798816567976</v>
      </c>
      <c r="BN14" s="680">
        <f>BN8</f>
        <v>-3.6623817608537501</v>
      </c>
      <c r="BP14" s="984">
        <v>328</v>
      </c>
      <c r="BQ14" s="679">
        <f>100*(BP14/BL14-1)</f>
        <v>-5.7471264367816133</v>
      </c>
      <c r="BR14" s="680">
        <f>BR8</f>
        <v>-3.2477341389728132</v>
      </c>
      <c r="BU14" s="679">
        <f>100*(BT14/BP14-1)</f>
        <v>-100</v>
      </c>
      <c r="BV14" s="680">
        <f>BV8</f>
        <v>3.4599999999999964</v>
      </c>
    </row>
    <row r="15" spans="1:81" x14ac:dyDescent="0.2">
      <c r="A15" s="662" t="s">
        <v>105</v>
      </c>
      <c r="B15" s="303" t="s">
        <v>90</v>
      </c>
      <c r="D15" s="678">
        <v>717.83699999999999</v>
      </c>
      <c r="E15" s="679" t="s">
        <v>94</v>
      </c>
      <c r="F15" s="680">
        <f>F9</f>
        <v>23.822075782537077</v>
      </c>
      <c r="H15" s="678">
        <v>919.42399999999998</v>
      </c>
      <c r="I15" s="679">
        <f>100*(H15/D15-1)</f>
        <v>28.082559132505015</v>
      </c>
      <c r="J15" s="680">
        <f>J9</f>
        <v>33.624268227780753</v>
      </c>
      <c r="L15" s="678">
        <v>1050.5730000000001</v>
      </c>
      <c r="M15" s="679">
        <f>100*(L15/H15-1)</f>
        <v>14.264256752053473</v>
      </c>
      <c r="N15" s="680">
        <f>N9</f>
        <v>14.907123159373526</v>
      </c>
      <c r="P15" s="678">
        <v>1213.76</v>
      </c>
      <c r="Q15" s="679">
        <f>100*(P15/L15-1)</f>
        <v>15.533142389914833</v>
      </c>
      <c r="R15" s="680">
        <f>R9</f>
        <v>13.109038217714186</v>
      </c>
      <c r="T15" s="678">
        <v>1385.7380000000001</v>
      </c>
      <c r="U15" s="679">
        <f>100*(T15/P15-1)</f>
        <v>14.169028473503831</v>
      </c>
      <c r="V15" s="680">
        <f>V9</f>
        <v>15.621121742263488</v>
      </c>
      <c r="X15" s="678">
        <v>167.53800000000001</v>
      </c>
      <c r="Y15" s="679">
        <f>100*(X15/T15-1)</f>
        <v>-87.909835769820845</v>
      </c>
      <c r="Z15" s="680">
        <f>Z9</f>
        <v>14.314151172050838</v>
      </c>
      <c r="AB15" s="678">
        <v>209.892</v>
      </c>
      <c r="AC15" s="679">
        <f>100*(AB15/X15-1)</f>
        <v>25.280234931776668</v>
      </c>
      <c r="AD15" s="680">
        <f>AD9</f>
        <v>8.7139903080623462</v>
      </c>
      <c r="AF15" s="678">
        <v>206.46600000000001</v>
      </c>
      <c r="AG15" s="679">
        <f>100*(AF15/AB15-1)</f>
        <v>-1.6322680235549614</v>
      </c>
      <c r="AH15" s="680">
        <f>AH9</f>
        <v>3.797225008358418</v>
      </c>
      <c r="AJ15" s="678">
        <v>273</v>
      </c>
      <c r="AK15" s="679">
        <f>100*(AJ15/AF15-1)</f>
        <v>32.225160559123523</v>
      </c>
      <c r="AL15" s="680">
        <f>AL9</f>
        <v>2.1610580084767461</v>
      </c>
      <c r="AN15" s="678">
        <v>322</v>
      </c>
      <c r="AO15" s="679">
        <f>100*(AN15/AJ15-1)</f>
        <v>17.948717948717952</v>
      </c>
      <c r="AP15" s="680">
        <f>AP9</f>
        <v>7.7246452968996238</v>
      </c>
      <c r="AR15" s="984">
        <v>344</v>
      </c>
      <c r="AS15" s="679">
        <f>100*(AR15/AN15-1)</f>
        <v>6.8322981366459645</v>
      </c>
      <c r="AT15" s="680">
        <f>AT9</f>
        <v>3.6097560975609788</v>
      </c>
      <c r="AV15" s="984">
        <v>369</v>
      </c>
      <c r="AW15" s="679">
        <f>100*(AV15/AR15-1)</f>
        <v>7.267441860465107</v>
      </c>
      <c r="AX15" s="680">
        <f>AX9</f>
        <v>-1.0122410546139382</v>
      </c>
      <c r="AZ15" s="984">
        <f>150+284</f>
        <v>434</v>
      </c>
      <c r="BA15" s="679">
        <f>100*(AZ15/AV15-1)</f>
        <v>17.615176151761514</v>
      </c>
      <c r="BB15" s="680">
        <f>BB9</f>
        <v>1.9976218787158162</v>
      </c>
      <c r="BD15" s="984">
        <f>132+300</f>
        <v>432</v>
      </c>
      <c r="BE15" s="679">
        <f>100*(BD15/AZ15-1)</f>
        <v>-0.46082949308755561</v>
      </c>
      <c r="BF15" s="680">
        <f>BF9</f>
        <v>-1.095826532991373</v>
      </c>
      <c r="BH15" s="984">
        <v>310</v>
      </c>
      <c r="BI15" s="679">
        <f>100*(BH15/BD15-1)</f>
        <v>-28.240740740740744</v>
      </c>
      <c r="BJ15" s="680">
        <f>BJ9</f>
        <v>0.58934464875060044</v>
      </c>
      <c r="BL15" s="984">
        <v>327</v>
      </c>
      <c r="BM15" s="679">
        <f>100*(BL15/BH15-1)</f>
        <v>5.4838709677419439</v>
      </c>
      <c r="BN15" s="680">
        <f>BN9</f>
        <v>-1.9920318725099584</v>
      </c>
      <c r="BP15" s="984">
        <v>335</v>
      </c>
      <c r="BQ15" s="679">
        <f>100*(BP15/BL15-1)</f>
        <v>2.4464831804281273</v>
      </c>
      <c r="BR15" s="680">
        <f>BR9</f>
        <v>-0.90865614538497841</v>
      </c>
      <c r="BU15" s="679">
        <f>100*(BT15/BP15-1)</f>
        <v>-100</v>
      </c>
      <c r="BV15" s="680">
        <f>BV9</f>
        <v>0.76000000000000512</v>
      </c>
    </row>
    <row r="16" spans="1:81" x14ac:dyDescent="0.2">
      <c r="A16" s="662" t="s">
        <v>106</v>
      </c>
      <c r="B16" s="303" t="s">
        <v>91</v>
      </c>
      <c r="D16" s="678">
        <v>829.26499999999999</v>
      </c>
      <c r="E16" s="679" t="s">
        <v>94</v>
      </c>
      <c r="F16" s="680">
        <f>F10</f>
        <v>23.719412724306686</v>
      </c>
      <c r="H16" s="678">
        <v>1067.893</v>
      </c>
      <c r="I16" s="679">
        <f>100*(H16/D16-1)</f>
        <v>28.775843668791047</v>
      </c>
      <c r="J16" s="680">
        <f>J10</f>
        <v>31.401862359959253</v>
      </c>
      <c r="L16" s="678">
        <v>1162.2060000000001</v>
      </c>
      <c r="M16" s="679">
        <f>100*(L16/H16-1)</f>
        <v>8.8316900663268694</v>
      </c>
      <c r="N16" s="680">
        <f>N10</f>
        <v>11.691704768125399</v>
      </c>
      <c r="P16" s="678">
        <v>1403.606</v>
      </c>
      <c r="Q16" s="679">
        <f>100*(P16/L16-1)</f>
        <v>20.770844411403822</v>
      </c>
      <c r="R16" s="680">
        <f>R10</f>
        <v>14.615705931495416</v>
      </c>
      <c r="T16" s="678">
        <v>1586.2190000000001</v>
      </c>
      <c r="U16" s="679">
        <f>100*(T16/P16-1)</f>
        <v>13.01027496320193</v>
      </c>
      <c r="V16" s="680">
        <f>V10</f>
        <v>13.68490105324538</v>
      </c>
      <c r="X16" s="678">
        <v>170.27199999999999</v>
      </c>
      <c r="Y16" s="679">
        <f>100*(X16/T16-1)</f>
        <v>-89.265542778140968</v>
      </c>
      <c r="Z16" s="680">
        <f>Z10</f>
        <v>17.025517727768168</v>
      </c>
      <c r="AB16" s="678">
        <v>201.416</v>
      </c>
      <c r="AC16" s="679">
        <f>100*(AB16/X16-1)</f>
        <v>18.290734824281163</v>
      </c>
      <c r="AD16" s="680">
        <f>AD10</f>
        <v>4.7858180290119456</v>
      </c>
      <c r="AF16" s="678">
        <v>241</v>
      </c>
      <c r="AG16" s="679">
        <f>100*(AF16/AB16-1)</f>
        <v>19.652857767009579</v>
      </c>
      <c r="AH16" s="680">
        <f>AH10</f>
        <v>-0.56339537801944894</v>
      </c>
      <c r="AJ16" s="678">
        <v>270</v>
      </c>
      <c r="AK16" s="679">
        <f>100*(AJ16/AF16-1)</f>
        <v>12.03319502074689</v>
      </c>
      <c r="AL16" s="680">
        <f>AL10</f>
        <v>6.5029922582236166</v>
      </c>
      <c r="AN16" s="678">
        <v>332</v>
      </c>
      <c r="AO16" s="679">
        <f>100*(AN16/AJ16-1)</f>
        <v>22.962962962962962</v>
      </c>
      <c r="AP16" s="680">
        <f>AP10</f>
        <v>4.1224389039743237</v>
      </c>
      <c r="AR16" s="984">
        <f>128+257+105</f>
        <v>490</v>
      </c>
      <c r="AS16" s="679">
        <f>100*(AR16/AN16-1)</f>
        <v>47.590361445783124</v>
      </c>
      <c r="AT16" s="680">
        <f>AT10</f>
        <v>3.7458511142721695</v>
      </c>
      <c r="AV16" s="984">
        <f>124+281</f>
        <v>405</v>
      </c>
      <c r="AW16" s="679">
        <f>100*(AV16/AR16-1)</f>
        <v>-17.3469387755102</v>
      </c>
      <c r="AX16" s="680">
        <f>AX10</f>
        <v>2.6051188299817118</v>
      </c>
      <c r="AZ16" s="984">
        <f>147+283</f>
        <v>430</v>
      </c>
      <c r="BA16" s="679">
        <f>100*(AZ16/AV16-1)</f>
        <v>6.1728395061728447</v>
      </c>
      <c r="BB16" s="680">
        <f>BB10</f>
        <v>-1.024498886414249</v>
      </c>
      <c r="BD16" s="984">
        <f>52+125+297</f>
        <v>474</v>
      </c>
      <c r="BE16" s="679">
        <f>100*(BD16/AZ16-1)</f>
        <v>10.232558139534875</v>
      </c>
      <c r="BF16" s="680">
        <f>BF10</f>
        <v>-1.5751575157515796</v>
      </c>
      <c r="BH16" s="984">
        <v>312</v>
      </c>
      <c r="BI16" s="679">
        <f>100*(BH16/BD16-1)</f>
        <v>-34.177215189873422</v>
      </c>
      <c r="BJ16" s="680">
        <f>BJ10</f>
        <v>1.2117055326931858</v>
      </c>
      <c r="BL16" s="984">
        <v>336</v>
      </c>
      <c r="BM16" s="679">
        <f>100*(BL16/BH16-1)</f>
        <v>7.6923076923076872</v>
      </c>
      <c r="BN16" s="680">
        <f>BN10</f>
        <v>-2.2588660492432799</v>
      </c>
      <c r="BP16" s="984">
        <v>332</v>
      </c>
      <c r="BQ16" s="679">
        <f>100*(BP16/BL16-1)</f>
        <v>-1.1904761904761862</v>
      </c>
      <c r="BR16" s="680">
        <f>BR10</f>
        <v>0.11555350127108177</v>
      </c>
      <c r="BU16" s="679">
        <f>100*(BT16/BP16-1)</f>
        <v>-100</v>
      </c>
      <c r="BV16" s="680">
        <f>BV10</f>
        <v>-1.2850000000000139</v>
      </c>
    </row>
    <row r="17" spans="1:81" x14ac:dyDescent="0.2">
      <c r="A17" s="662" t="s">
        <v>107</v>
      </c>
      <c r="B17" s="303" t="s">
        <v>92</v>
      </c>
      <c r="D17" s="678">
        <v>929.63800000000003</v>
      </c>
      <c r="E17" s="679" t="s">
        <v>94</v>
      </c>
      <c r="F17" s="680">
        <f>F11</f>
        <v>24.660721209771232</v>
      </c>
      <c r="H17" s="678">
        <v>1091.0219999999999</v>
      </c>
      <c r="I17" s="679">
        <f>100*(H17/D17-1)</f>
        <v>17.359875564467011</v>
      </c>
      <c r="J17" s="680">
        <f>J11</f>
        <v>38.29548989113529</v>
      </c>
      <c r="L17" s="678">
        <v>1270.873</v>
      </c>
      <c r="M17" s="679">
        <f>100*(L17/H17-1)</f>
        <v>16.484635506891721</v>
      </c>
      <c r="N17" s="680">
        <f>N11</f>
        <v>11.854666499183519</v>
      </c>
      <c r="P17" s="678">
        <v>1490.876</v>
      </c>
      <c r="Q17" s="679">
        <f>100*(P17/L17-1)</f>
        <v>17.31117113983851</v>
      </c>
      <c r="R17" s="680">
        <f>R11</f>
        <v>14.509110306297202</v>
      </c>
      <c r="T17" s="678">
        <v>1741.568</v>
      </c>
      <c r="U17" s="679">
        <f>100*(T17/P17-1)</f>
        <v>16.815080529836159</v>
      </c>
      <c r="V17" s="680">
        <f>V11</f>
        <v>14.053497437909135</v>
      </c>
      <c r="X17" s="678">
        <v>195.10900000000001</v>
      </c>
      <c r="Y17" s="679">
        <f>100*(X17/T17-1)</f>
        <v>-88.796934716301635</v>
      </c>
      <c r="Z17" s="680">
        <f>Z11</f>
        <v>17.126335475827091</v>
      </c>
      <c r="AB17" s="678">
        <v>204.48500000000001</v>
      </c>
      <c r="AC17" s="679">
        <f>100*(AB17/X17-1)</f>
        <v>4.8055189663213982</v>
      </c>
      <c r="AD17" s="680">
        <f>AD11</f>
        <v>0.71027419887677024</v>
      </c>
      <c r="AF17" s="678">
        <v>225</v>
      </c>
      <c r="AG17" s="679">
        <f>100*(AF17/AB17-1)</f>
        <v>10.032520722791393</v>
      </c>
      <c r="AH17" s="680">
        <f>AH11</f>
        <v>-4.5978896725165423</v>
      </c>
      <c r="AJ17" s="678">
        <v>295</v>
      </c>
      <c r="AK17" s="679">
        <f>100*(AJ17/AF17-1)</f>
        <v>31.111111111111111</v>
      </c>
      <c r="AL17" s="680">
        <f>AL11</f>
        <v>8.5577841451766936</v>
      </c>
      <c r="AN17" s="678">
        <v>329</v>
      </c>
      <c r="AO17" s="679">
        <f>100*(AN17/AJ17-1)</f>
        <v>11.525423728813555</v>
      </c>
      <c r="AP17" s="680">
        <f>AP11</f>
        <v>6.2467006862572561</v>
      </c>
      <c r="AR17" s="984">
        <v>408</v>
      </c>
      <c r="AS17" s="679">
        <f>100*(AR17/AN17-1)</f>
        <v>24.012158054711243</v>
      </c>
      <c r="AT17" s="680">
        <f>AT11</f>
        <v>-0.33123550844650351</v>
      </c>
      <c r="AV17" s="984">
        <f>122+312</f>
        <v>434</v>
      </c>
      <c r="AW17" s="679">
        <f>100*(AV17/AR17-1)</f>
        <v>6.3725490196078427</v>
      </c>
      <c r="AX17" s="680">
        <f>AX11</f>
        <v>5.3838484546360865</v>
      </c>
      <c r="AZ17" s="984">
        <f>142+327</f>
        <v>469</v>
      </c>
      <c r="BA17" s="679">
        <f>100*(AZ17/AV17-1)</f>
        <v>8.0645161290322509</v>
      </c>
      <c r="BB17" s="680">
        <f>BB11</f>
        <v>-3.8315988647114496</v>
      </c>
      <c r="BD17" s="984">
        <f>116+361</f>
        <v>477</v>
      </c>
      <c r="BE17" s="679">
        <f>100*(BD17/AZ17-1)</f>
        <v>1.7057569296375252</v>
      </c>
      <c r="BF17" s="680">
        <f>BF11</f>
        <v>3.9022790621413339</v>
      </c>
      <c r="BH17" s="984">
        <v>331</v>
      </c>
      <c r="BI17" s="679">
        <f>100*(BH17/BD17-1)</f>
        <v>-30.607966457023061</v>
      </c>
      <c r="BJ17" s="680">
        <f>BJ11</f>
        <v>0.78901688496133549</v>
      </c>
      <c r="BL17" s="984">
        <v>378</v>
      </c>
      <c r="BM17" s="679">
        <f>100*(BL17/BH17-1)</f>
        <v>14.199395770392753</v>
      </c>
      <c r="BN17" s="680">
        <f>BN11</f>
        <v>-2.8495381243150097</v>
      </c>
      <c r="BP17" s="984">
        <v>481</v>
      </c>
      <c r="BQ17" s="679">
        <f>100*(BP17/BL17-1)</f>
        <v>27.248677248677254</v>
      </c>
      <c r="BR17" s="680">
        <f>BR11</f>
        <v>9.2022562449637348</v>
      </c>
      <c r="BU17" s="679">
        <f>100*(BT17/BP17-1)</f>
        <v>-100</v>
      </c>
      <c r="BV17" s="680">
        <f>BV11</f>
        <v>-6.1799999999999962</v>
      </c>
    </row>
    <row r="18" spans="1:81" x14ac:dyDescent="0.2">
      <c r="D18" s="531"/>
      <c r="H18" s="531"/>
      <c r="L18" s="531"/>
      <c r="P18" s="531"/>
      <c r="T18" s="531"/>
      <c r="X18" s="531"/>
      <c r="AB18" s="531"/>
      <c r="AF18" s="531"/>
      <c r="AJ18" s="531"/>
      <c r="AN18" s="531"/>
      <c r="AR18" s="531"/>
      <c r="AV18" s="531"/>
      <c r="AZ18" s="531"/>
      <c r="BD18" s="531"/>
      <c r="BH18" s="531"/>
      <c r="BL18" s="531"/>
      <c r="BP18" s="531"/>
    </row>
    <row r="19" spans="1:81" x14ac:dyDescent="0.2">
      <c r="A19" s="1354" t="s">
        <v>268</v>
      </c>
      <c r="B19" s="1354"/>
      <c r="C19" s="1354"/>
      <c r="D19" s="1354"/>
      <c r="E19" s="1354"/>
      <c r="F19" s="1354"/>
      <c r="G19" s="1354"/>
      <c r="H19" s="1354"/>
      <c r="I19" s="1354"/>
      <c r="J19" s="1354"/>
      <c r="K19" s="1354"/>
      <c r="L19" s="1354"/>
      <c r="M19" s="1354"/>
      <c r="N19" s="1354"/>
      <c r="O19" s="1354"/>
      <c r="P19" s="1354"/>
      <c r="Q19" s="1354"/>
      <c r="R19" s="1354"/>
      <c r="S19" s="1354"/>
      <c r="T19" s="1354"/>
      <c r="U19" s="1354"/>
      <c r="V19" s="1354"/>
      <c r="W19" s="1354"/>
      <c r="X19" s="1354"/>
      <c r="Y19" s="1354"/>
      <c r="Z19" s="1354"/>
      <c r="AA19" s="1354"/>
      <c r="AB19" s="1354"/>
      <c r="AC19" s="1354"/>
      <c r="AD19" s="1354"/>
      <c r="AE19" s="1354"/>
      <c r="AF19" s="1354"/>
      <c r="AG19" s="1354"/>
      <c r="AH19" s="1354"/>
      <c r="AI19" s="1354"/>
      <c r="AJ19" s="1354"/>
      <c r="AK19" s="1354"/>
      <c r="AL19" s="1354"/>
      <c r="AM19" s="1354"/>
      <c r="AN19" s="1354"/>
      <c r="AO19" s="1354"/>
      <c r="AP19" s="1354"/>
      <c r="AQ19" s="1354"/>
      <c r="AR19" s="1354"/>
      <c r="AS19" s="1354"/>
      <c r="AT19" s="1354"/>
      <c r="AU19" s="1354"/>
      <c r="AV19" s="1354"/>
      <c r="AW19" s="1354"/>
      <c r="AX19" s="1354"/>
      <c r="AY19" s="1354"/>
      <c r="AZ19" s="1354"/>
      <c r="BA19" s="1354"/>
      <c r="BB19" s="1354"/>
      <c r="BC19" s="1354"/>
      <c r="BD19" s="1354"/>
      <c r="BE19" s="1354"/>
      <c r="BF19" s="1354"/>
      <c r="BG19" s="1354"/>
      <c r="BH19" s="1354"/>
      <c r="BI19" s="1354"/>
      <c r="BJ19" s="1354"/>
      <c r="BK19" s="1354"/>
      <c r="BL19" s="1354"/>
      <c r="BM19" s="1354"/>
      <c r="BN19" s="1354"/>
      <c r="BO19" s="1354"/>
      <c r="BP19" s="1354"/>
      <c r="BQ19" s="1354"/>
      <c r="BR19" s="1354"/>
      <c r="BS19" s="1354"/>
      <c r="BT19" s="1354"/>
      <c r="BU19" s="1354"/>
      <c r="BV19" s="1354"/>
      <c r="BW19" s="1354"/>
      <c r="BX19" s="1354"/>
      <c r="BY19" s="1354"/>
      <c r="BZ19" s="1354"/>
      <c r="CA19" s="1354"/>
      <c r="CB19" s="1354"/>
      <c r="CC19" s="1354"/>
    </row>
    <row r="20" spans="1:81" x14ac:dyDescent="0.2">
      <c r="A20" s="662" t="s">
        <v>104</v>
      </c>
      <c r="B20" s="303" t="s">
        <v>89</v>
      </c>
      <c r="D20" s="678">
        <v>576.51099999999997</v>
      </c>
      <c r="E20" s="679" t="s">
        <v>94</v>
      </c>
      <c r="F20" s="680">
        <f>F14</f>
        <v>22.2535589578297</v>
      </c>
      <c r="H20" s="678">
        <v>581.10799999999995</v>
      </c>
      <c r="I20" s="679">
        <f>100*(H20/D20-1)</f>
        <v>0.79738287734318902</v>
      </c>
      <c r="J20" s="680">
        <f>J14</f>
        <v>34.977479951664293</v>
      </c>
      <c r="L20" s="678">
        <v>885.65600000000006</v>
      </c>
      <c r="M20" s="679">
        <f>100*(L20/H20-1)</f>
        <v>52.408158208112795</v>
      </c>
      <c r="N20" s="680">
        <f>N14</f>
        <v>13.21571772253407</v>
      </c>
      <c r="P20" s="678">
        <v>1099.3209999999999</v>
      </c>
      <c r="Q20" s="679">
        <f>100*(P20/L20-1)</f>
        <v>24.125055326221446</v>
      </c>
      <c r="R20" s="680">
        <f>R14</f>
        <v>12.395523445247214</v>
      </c>
      <c r="T20" s="678">
        <v>1164.4630000000002</v>
      </c>
      <c r="U20" s="679">
        <f>100*(T20/P20-1)</f>
        <v>5.9256577469183558</v>
      </c>
      <c r="V20" s="680">
        <f>V14</f>
        <v>15.234013948407711</v>
      </c>
      <c r="X20" s="678">
        <v>1531.645</v>
      </c>
      <c r="Y20" s="679">
        <f>100*(X20/T20-1)</f>
        <v>31.532302872654583</v>
      </c>
      <c r="Z20" s="680">
        <f>Z14</f>
        <v>16.111273151523985</v>
      </c>
      <c r="AB20" s="678">
        <v>1673.992</v>
      </c>
      <c r="AC20" s="679">
        <f>100*(AB20/X20-1)</f>
        <v>9.2937332084131796</v>
      </c>
      <c r="AD20" s="680">
        <f>AD14</f>
        <v>12.161271077338531</v>
      </c>
      <c r="AF20" s="678">
        <v>1648.3789999999999</v>
      </c>
      <c r="AG20" s="679">
        <f>100*(AF20/AB20-1)</f>
        <v>-1.5300551018164965</v>
      </c>
      <c r="AH20" s="680">
        <f>AH14</f>
        <v>1.463017917133258</v>
      </c>
      <c r="AJ20" s="678">
        <v>1780</v>
      </c>
      <c r="AK20" s="679">
        <f>100*(AJ20/AF20-1)</f>
        <v>7.9848748376435408</v>
      </c>
      <c r="AL20" s="680">
        <f>AL14</f>
        <v>0.37913957032320589</v>
      </c>
      <c r="AN20" s="678">
        <v>2309</v>
      </c>
      <c r="AO20" s="679">
        <f>100*(AN20/AJ20-1)</f>
        <v>29.719101123595504</v>
      </c>
      <c r="AP20" s="680">
        <f>AP14</f>
        <v>10.91258933479935</v>
      </c>
      <c r="AR20" s="984">
        <v>2367</v>
      </c>
      <c r="AS20" s="679">
        <f>100*(AR20/AN20-1)</f>
        <v>2.5119099177133064</v>
      </c>
      <c r="AT20" s="680">
        <f>AT14</f>
        <v>3.1474597273853711</v>
      </c>
      <c r="AV20" s="984">
        <v>2711</v>
      </c>
      <c r="AW20" s="679">
        <f>100*(AV20/AR20-1)</f>
        <v>14.533164343050275</v>
      </c>
      <c r="AX20" s="680">
        <f>AX14</f>
        <v>1.9461797212878329</v>
      </c>
      <c r="AZ20" s="984">
        <f>1452+1023</f>
        <v>2475</v>
      </c>
      <c r="BA20" s="679">
        <f>100*(AZ20/AV20-1)</f>
        <v>-8.7052748063445211</v>
      </c>
      <c r="BB20" s="680">
        <f>BB14</f>
        <v>-1.0370021211407066</v>
      </c>
      <c r="BD20" s="984">
        <f>1382+1078</f>
        <v>2460</v>
      </c>
      <c r="BE20" s="679">
        <f>100*(BD20/AZ20-1)</f>
        <v>-0.60606060606060996</v>
      </c>
      <c r="BF20" s="680">
        <f>BF14</f>
        <v>-3.0721600381043102</v>
      </c>
      <c r="BH20" s="984">
        <f>1645+1140</f>
        <v>2785</v>
      </c>
      <c r="BI20" s="679">
        <f>100*(BH20/BD20-1)</f>
        <v>13.211382113821134</v>
      </c>
      <c r="BJ20" s="680">
        <f>BJ14</f>
        <v>1.3022113022113091</v>
      </c>
      <c r="BL20" s="984">
        <f>1346+1126</f>
        <v>2472</v>
      </c>
      <c r="BM20" s="679">
        <f>100*(BL20/BH20-1)</f>
        <v>-11.238779174147218</v>
      </c>
      <c r="BN20" s="680">
        <f>BN14</f>
        <v>-3.6623817608537501</v>
      </c>
      <c r="BP20" s="984">
        <f>1480+1088</f>
        <v>2568</v>
      </c>
      <c r="BQ20" s="679">
        <f>100*(BP20/BL20-1)</f>
        <v>3.8834951456310662</v>
      </c>
      <c r="BR20" s="680">
        <f>BR14</f>
        <v>-3.2477341389728132</v>
      </c>
      <c r="BU20" s="679">
        <f>100*(BT20/BP20-1)</f>
        <v>-100</v>
      </c>
      <c r="BV20" s="680">
        <f>BV14</f>
        <v>3.4599999999999964</v>
      </c>
    </row>
    <row r="21" spans="1:81" x14ac:dyDescent="0.2">
      <c r="A21" s="662" t="s">
        <v>105</v>
      </c>
      <c r="B21" s="303" t="s">
        <v>90</v>
      </c>
      <c r="D21" s="678">
        <v>572.60599999999999</v>
      </c>
      <c r="E21" s="679" t="s">
        <v>94</v>
      </c>
      <c r="F21" s="680">
        <f>F15</f>
        <v>23.822075782537077</v>
      </c>
      <c r="H21" s="678">
        <v>837.09</v>
      </c>
      <c r="I21" s="679">
        <f>100*(H21/D21-1)</f>
        <v>46.189526480686553</v>
      </c>
      <c r="J21" s="680">
        <f>J15</f>
        <v>33.624268227780753</v>
      </c>
      <c r="L21" s="678">
        <v>997.00099999999998</v>
      </c>
      <c r="M21" s="679">
        <f>100*(L21/H21-1)</f>
        <v>19.103202761949124</v>
      </c>
      <c r="N21" s="680">
        <f>N15</f>
        <v>14.907123159373526</v>
      </c>
      <c r="P21" s="678">
        <v>1232.0529999999999</v>
      </c>
      <c r="Q21" s="679">
        <f>100*(P21/L21-1)</f>
        <v>23.575904136505365</v>
      </c>
      <c r="R21" s="680">
        <f>R15</f>
        <v>13.109038217714186</v>
      </c>
      <c r="T21" s="678">
        <v>1453.672</v>
      </c>
      <c r="U21" s="679">
        <f>100*(T21/P21-1)</f>
        <v>17.987781369794973</v>
      </c>
      <c r="V21" s="680">
        <f>V15</f>
        <v>15.621121742263488</v>
      </c>
      <c r="X21" s="678">
        <v>1743.7570000000001</v>
      </c>
      <c r="Y21" s="679">
        <f>100*(X21/T21-1)</f>
        <v>19.955326923817761</v>
      </c>
      <c r="Z21" s="680">
        <f>Z15</f>
        <v>14.314151172050838</v>
      </c>
      <c r="AB21" s="678">
        <v>1934.73</v>
      </c>
      <c r="AC21" s="679">
        <f>100*(AB21/X21-1)</f>
        <v>10.951812666558469</v>
      </c>
      <c r="AD21" s="680">
        <f>AD15</f>
        <v>8.7139903080623462</v>
      </c>
      <c r="AF21" s="678">
        <v>1842.8910000000001</v>
      </c>
      <c r="AG21" s="679">
        <f>100*(AF21/AB21-1)</f>
        <v>-4.7468639034904054</v>
      </c>
      <c r="AH21" s="680">
        <f>AH15</f>
        <v>3.797225008358418</v>
      </c>
      <c r="AJ21" s="678">
        <v>2053</v>
      </c>
      <c r="AK21" s="679">
        <f>100*(AJ21/AF21-1)</f>
        <v>11.401054104664897</v>
      </c>
      <c r="AL21" s="680">
        <f>AL15</f>
        <v>2.1610580084767461</v>
      </c>
      <c r="AN21" s="678">
        <v>2348</v>
      </c>
      <c r="AO21" s="679">
        <f>100*(AN21/AJ21-1)</f>
        <v>14.369215781782763</v>
      </c>
      <c r="AP21" s="680">
        <f>AP15</f>
        <v>7.7246452968996238</v>
      </c>
      <c r="AR21" s="984">
        <v>2410</v>
      </c>
      <c r="AS21" s="679">
        <f>100*(AR21/AN21-1)</f>
        <v>2.6405451448040962</v>
      </c>
      <c r="AT21" s="680">
        <f>AT15</f>
        <v>3.6097560975609788</v>
      </c>
      <c r="AV21" s="984">
        <f>1531+1001</f>
        <v>2532</v>
      </c>
      <c r="AW21" s="679">
        <f>100*(AV21/AR21-1)</f>
        <v>5.0622406639004192</v>
      </c>
      <c r="AX21" s="680">
        <f>AX15</f>
        <v>-1.0122410546139382</v>
      </c>
      <c r="AZ21" s="984">
        <f>1396+1065</f>
        <v>2461</v>
      </c>
      <c r="BA21" s="679">
        <f>100*(AZ21/AV21-1)</f>
        <v>-2.8041074249605002</v>
      </c>
      <c r="BB21" s="680">
        <f>BB15</f>
        <v>1.9976218787158162</v>
      </c>
      <c r="BD21" s="984">
        <f>1479+1057</f>
        <v>2536</v>
      </c>
      <c r="BE21" s="679">
        <f>100*(BD21/AZ21-1)</f>
        <v>3.0475416497358854</v>
      </c>
      <c r="BF21" s="680">
        <f>BF15</f>
        <v>-1.095826532991373</v>
      </c>
      <c r="BH21" s="984">
        <f>1566+1125</f>
        <v>2691</v>
      </c>
      <c r="BI21" s="679">
        <f>100*(BH21/BD21-1)</f>
        <v>6.1119873817034653</v>
      </c>
      <c r="BJ21" s="680">
        <f>BJ15</f>
        <v>0.58934464875060044</v>
      </c>
      <c r="BL21" s="984">
        <f>1375+1146</f>
        <v>2521</v>
      </c>
      <c r="BM21" s="679">
        <f>100*(BL21/BH21-1)</f>
        <v>-6.3173541434411007</v>
      </c>
      <c r="BN21" s="680">
        <f>BN15</f>
        <v>-1.9920318725099584</v>
      </c>
      <c r="BP21" s="984">
        <f>1370+1069</f>
        <v>2439</v>
      </c>
      <c r="BQ21" s="679">
        <f>100*(BP21/BL21-1)</f>
        <v>-3.2526775089250282</v>
      </c>
      <c r="BR21" s="680">
        <f>BR15</f>
        <v>-0.90865614538497841</v>
      </c>
      <c r="BU21" s="679">
        <f>100*(BT21/BP21-1)</f>
        <v>-100</v>
      </c>
      <c r="BV21" s="680">
        <f>BV15</f>
        <v>0.76000000000000512</v>
      </c>
    </row>
    <row r="22" spans="1:81" x14ac:dyDescent="0.2">
      <c r="A22" s="662" t="s">
        <v>106</v>
      </c>
      <c r="B22" s="303" t="s">
        <v>91</v>
      </c>
      <c r="D22" s="678">
        <v>879.83699999999999</v>
      </c>
      <c r="E22" s="679" t="s">
        <v>94</v>
      </c>
      <c r="F22" s="680">
        <f>F16</f>
        <v>23.719412724306686</v>
      </c>
      <c r="H22" s="678">
        <v>1133.2470000000001</v>
      </c>
      <c r="I22" s="679">
        <f>100*(H22/D22-1)</f>
        <v>28.801925811258222</v>
      </c>
      <c r="J22" s="680">
        <f>J16</f>
        <v>31.401862359959253</v>
      </c>
      <c r="L22" s="678">
        <v>1434.11</v>
      </c>
      <c r="M22" s="679">
        <f>100*(L22/H22-1)</f>
        <v>26.548757684776557</v>
      </c>
      <c r="N22" s="680">
        <f>N16</f>
        <v>11.691704768125399</v>
      </c>
      <c r="P22" s="678">
        <v>1793.9110000000001</v>
      </c>
      <c r="Q22" s="679">
        <f>100*(P22/L22-1)</f>
        <v>25.088800719610084</v>
      </c>
      <c r="R22" s="680">
        <f>R16</f>
        <v>14.615705931495416</v>
      </c>
      <c r="T22" s="678">
        <v>1907.68</v>
      </c>
      <c r="U22" s="679">
        <f>100*(T22/P22-1)</f>
        <v>6.3419534190938043</v>
      </c>
      <c r="V22" s="680">
        <f>V16</f>
        <v>13.68490105324538</v>
      </c>
      <c r="X22" s="678">
        <v>2370.3220000000001</v>
      </c>
      <c r="Y22" s="679">
        <f>100*(X22/T22-1)</f>
        <v>24.251551622913702</v>
      </c>
      <c r="Z22" s="680">
        <f>Z16</f>
        <v>17.025517727768168</v>
      </c>
      <c r="AB22" s="678">
        <v>2483.4409999999998</v>
      </c>
      <c r="AC22" s="679">
        <f>100*(AB22/X22-1)</f>
        <v>4.7723051973529218</v>
      </c>
      <c r="AD22" s="680">
        <f>AD16</f>
        <v>4.7858180290119456</v>
      </c>
      <c r="AF22" s="678">
        <v>2413.5619999999999</v>
      </c>
      <c r="AG22" s="679">
        <f>100*(AF22/AB22-1)</f>
        <v>-2.8137974689151024</v>
      </c>
      <c r="AH22" s="680">
        <f>AH16</f>
        <v>-0.56339537801944894</v>
      </c>
      <c r="AJ22" s="678">
        <v>2976</v>
      </c>
      <c r="AK22" s="679">
        <f>100*(AJ22/AF22-1)</f>
        <v>23.303233975344327</v>
      </c>
      <c r="AL22" s="680">
        <f>AL16</f>
        <v>6.5029922582236166</v>
      </c>
      <c r="AN22" s="678">
        <v>3055</v>
      </c>
      <c r="AO22" s="679">
        <f>100*(AN22/AJ22-1)</f>
        <v>2.6545698924731242</v>
      </c>
      <c r="AP22" s="680">
        <f>AP16</f>
        <v>4.1224389039743237</v>
      </c>
      <c r="AR22" s="984">
        <f>1025+2080</f>
        <v>3105</v>
      </c>
      <c r="AS22" s="679">
        <f>100*(AR22/AN22-1)</f>
        <v>1.6366612111292866</v>
      </c>
      <c r="AT22" s="680">
        <f>AT16</f>
        <v>3.7458511142721695</v>
      </c>
      <c r="AV22" s="984">
        <f>2429+1094</f>
        <v>3523</v>
      </c>
      <c r="AW22" s="679">
        <f>100*(AV22/AR22-1)</f>
        <v>13.4621578099839</v>
      </c>
      <c r="AX22" s="680">
        <f>AX16</f>
        <v>2.6051188299817118</v>
      </c>
      <c r="AZ22" s="984">
        <f>2261+1198</f>
        <v>3459</v>
      </c>
      <c r="BA22" s="679">
        <f>100*(AZ22/AV22-1)</f>
        <v>-1.8166335509508968</v>
      </c>
      <c r="BB22" s="680">
        <f>BB16</f>
        <v>-1.024498886414249</v>
      </c>
      <c r="BD22" s="984">
        <f>2384+1162</f>
        <v>3546</v>
      </c>
      <c r="BE22" s="679">
        <f>100*(BD22/AZ22-1)</f>
        <v>2.5151777970511713</v>
      </c>
      <c r="BF22" s="680">
        <f>BF16</f>
        <v>-1.5751575157515796</v>
      </c>
      <c r="BH22" s="984">
        <f>2141+1244</f>
        <v>3385</v>
      </c>
      <c r="BI22" s="679">
        <f>100*(BH22/BD22-1)</f>
        <v>-4.5403271291596159</v>
      </c>
      <c r="BJ22" s="680">
        <f>BJ16</f>
        <v>1.2117055326931858</v>
      </c>
      <c r="BL22" s="984">
        <f>2097+1235</f>
        <v>3332</v>
      </c>
      <c r="BM22" s="679">
        <f>100*(BL22/BH22-1)</f>
        <v>-1.5657311669128537</v>
      </c>
      <c r="BN22" s="680">
        <f>BN16</f>
        <v>-2.2588660492432799</v>
      </c>
      <c r="BP22" s="984">
        <f>2113+1237</f>
        <v>3350</v>
      </c>
      <c r="BQ22" s="679">
        <f>100*(BP22/BL22-1)</f>
        <v>0.54021608643457508</v>
      </c>
      <c r="BR22" s="680">
        <f>BR16</f>
        <v>0.11555350127108177</v>
      </c>
      <c r="BU22" s="679">
        <f>100*(BT22/BP22-1)</f>
        <v>-100</v>
      </c>
      <c r="BV22" s="680">
        <f>BV16</f>
        <v>-1.2850000000000139</v>
      </c>
    </row>
    <row r="23" spans="1:81" x14ac:dyDescent="0.2">
      <c r="A23" s="662" t="s">
        <v>107</v>
      </c>
      <c r="B23" s="303" t="s">
        <v>92</v>
      </c>
      <c r="D23" s="678">
        <v>738.46800000000007</v>
      </c>
      <c r="E23" s="679" t="s">
        <v>94</v>
      </c>
      <c r="F23" s="680">
        <f>F17</f>
        <v>24.660721209771232</v>
      </c>
      <c r="H23" s="678">
        <v>1010.378</v>
      </c>
      <c r="I23" s="679">
        <f>100*(H23/D23-1)</f>
        <v>36.820823651126375</v>
      </c>
      <c r="J23" s="680">
        <f>J17</f>
        <v>38.29548989113529</v>
      </c>
      <c r="L23" s="678">
        <v>974.56</v>
      </c>
      <c r="M23" s="679">
        <f>100*(L23/H23-1)</f>
        <v>-3.5450098873886948</v>
      </c>
      <c r="N23" s="680">
        <f>N17</f>
        <v>11.854666499183519</v>
      </c>
      <c r="P23" s="678">
        <v>1275.4119999999998</v>
      </c>
      <c r="Q23" s="679">
        <f>100*(P23/L23-1)</f>
        <v>30.870546708258082</v>
      </c>
      <c r="R23" s="680">
        <f>R17</f>
        <v>14.509110306297202</v>
      </c>
      <c r="T23" s="678">
        <v>1471.606</v>
      </c>
      <c r="U23" s="679">
        <f>100*(T23/P23-1)</f>
        <v>15.382793952071982</v>
      </c>
      <c r="V23" s="680">
        <f>V17</f>
        <v>14.053497437909135</v>
      </c>
      <c r="X23" s="678">
        <v>1659.4009999999998</v>
      </c>
      <c r="Y23" s="679">
        <f>100*(X23/T23-1)</f>
        <v>12.761228209180974</v>
      </c>
      <c r="Z23" s="680">
        <f>Z17</f>
        <v>17.126335475827091</v>
      </c>
      <c r="AB23" s="678">
        <v>1634.4929999999999</v>
      </c>
      <c r="AC23" s="679">
        <f>100*(AB23/X23-1)</f>
        <v>-1.5010235621166879</v>
      </c>
      <c r="AD23" s="680">
        <f>AD17</f>
        <v>0.71027419887677024</v>
      </c>
      <c r="AF23" s="678">
        <v>1693</v>
      </c>
      <c r="AG23" s="679">
        <f>100*(AF23/AB23-1)</f>
        <v>3.5795197654563182</v>
      </c>
      <c r="AH23" s="680">
        <f>AH17</f>
        <v>-4.5978896725165423</v>
      </c>
      <c r="AJ23" s="678">
        <v>2193</v>
      </c>
      <c r="AK23" s="679">
        <f>100*(AJ23/AF23-1)</f>
        <v>29.533372711163608</v>
      </c>
      <c r="AL23" s="680">
        <f>AL17</f>
        <v>8.5577841451766936</v>
      </c>
      <c r="AN23" s="678">
        <v>2168</v>
      </c>
      <c r="AO23" s="679">
        <f>100*(AN23/AJ23-1)</f>
        <v>-1.1399908800729608</v>
      </c>
      <c r="AP23" s="680">
        <f>AP17</f>
        <v>6.2467006862572561</v>
      </c>
      <c r="AR23" s="984">
        <v>2363</v>
      </c>
      <c r="AS23" s="679">
        <f>100*(AR23/AN23-1)</f>
        <v>8.9944649446494385</v>
      </c>
      <c r="AT23" s="680">
        <f>AT17</f>
        <v>-0.33123550844650351</v>
      </c>
      <c r="AV23" s="984">
        <f>1307+986</f>
        <v>2293</v>
      </c>
      <c r="AW23" s="679">
        <f>100*(AV23/AR23-1)</f>
        <v>-2.9623360135421106</v>
      </c>
      <c r="AX23" s="680">
        <f>AX17</f>
        <v>5.3838484546360865</v>
      </c>
      <c r="AZ23" s="984">
        <f>1365+1138</f>
        <v>2503</v>
      </c>
      <c r="BA23" s="679">
        <f>100*(AZ23/AV23-1)</f>
        <v>9.1583078935891784</v>
      </c>
      <c r="BB23" s="680">
        <f>BB17</f>
        <v>-3.8315988647114496</v>
      </c>
      <c r="BD23" s="984">
        <f>1511+1160</f>
        <v>2671</v>
      </c>
      <c r="BE23" s="679">
        <f>100*(BD23/AZ23-1)</f>
        <v>6.7119456652017684</v>
      </c>
      <c r="BF23" s="680">
        <f>BF17</f>
        <v>3.9022790621413339</v>
      </c>
      <c r="BH23" s="984">
        <f>1206+1251</f>
        <v>2457</v>
      </c>
      <c r="BI23" s="679">
        <f>100*(BH23/BD23-1)</f>
        <v>-8.0119805316360875</v>
      </c>
      <c r="BJ23" s="680">
        <f>BJ17</f>
        <v>0.78901688496133549</v>
      </c>
      <c r="BL23" s="984">
        <f>1507+1224</f>
        <v>2731</v>
      </c>
      <c r="BM23" s="679">
        <f>100*(BL23/BH23-1)</f>
        <v>11.151811151811142</v>
      </c>
      <c r="BN23" s="680">
        <f>BN17</f>
        <v>-2.8495381243150097</v>
      </c>
      <c r="BP23" s="984">
        <f>1271+1155</f>
        <v>2426</v>
      </c>
      <c r="BQ23" s="679">
        <f>100*(BP23/BL23-1)</f>
        <v>-11.168070303917975</v>
      </c>
      <c r="BR23" s="680">
        <f>BR17</f>
        <v>9.2022562449637348</v>
      </c>
      <c r="BU23" s="679">
        <f>100*(BT23/BP23-1)</f>
        <v>-100</v>
      </c>
      <c r="BV23" s="680">
        <f>BV17</f>
        <v>-6.1799999999999962</v>
      </c>
    </row>
    <row r="24" spans="1:81" x14ac:dyDescent="0.2">
      <c r="D24" s="531"/>
      <c r="H24" s="531"/>
      <c r="L24" s="531"/>
      <c r="P24" s="531"/>
      <c r="T24" s="531"/>
      <c r="X24" s="531"/>
      <c r="AB24" s="531"/>
      <c r="AF24" s="531"/>
      <c r="AJ24" s="531"/>
      <c r="AN24" s="531"/>
      <c r="AR24" s="531"/>
      <c r="AV24" s="531"/>
      <c r="AZ24" s="531"/>
      <c r="BD24" s="684"/>
      <c r="BH24" s="531"/>
      <c r="BL24" s="531"/>
      <c r="BP24" s="531"/>
    </row>
    <row r="25" spans="1:81" x14ac:dyDescent="0.2">
      <c r="A25" s="1354" t="s">
        <v>269</v>
      </c>
      <c r="B25" s="1354"/>
      <c r="C25" s="1354"/>
      <c r="D25" s="1354"/>
      <c r="E25" s="1354"/>
      <c r="F25" s="1354"/>
      <c r="G25" s="1354"/>
      <c r="H25" s="1354"/>
      <c r="I25" s="1354"/>
      <c r="J25" s="1354"/>
      <c r="K25" s="1354"/>
      <c r="L25" s="1354"/>
      <c r="M25" s="1354"/>
      <c r="N25" s="1354"/>
      <c r="O25" s="1354"/>
      <c r="P25" s="1354"/>
      <c r="Q25" s="1354"/>
      <c r="R25" s="1354"/>
      <c r="S25" s="1354"/>
      <c r="T25" s="1354"/>
      <c r="U25" s="1354"/>
      <c r="V25" s="1354"/>
      <c r="W25" s="1354"/>
      <c r="X25" s="1354"/>
      <c r="Y25" s="1354"/>
      <c r="Z25" s="1354"/>
      <c r="AA25" s="1354"/>
      <c r="AB25" s="1354"/>
      <c r="AC25" s="1354"/>
      <c r="AD25" s="1354"/>
      <c r="AE25" s="1354"/>
      <c r="AF25" s="1354"/>
      <c r="AG25" s="1354"/>
      <c r="AH25" s="1354"/>
      <c r="AI25" s="1354"/>
      <c r="AJ25" s="1354"/>
      <c r="AK25" s="1354"/>
      <c r="AL25" s="1354"/>
      <c r="AM25" s="1354"/>
      <c r="AN25" s="1354"/>
      <c r="AO25" s="1354"/>
      <c r="AP25" s="1354"/>
      <c r="AQ25" s="1354"/>
      <c r="AR25" s="1354"/>
      <c r="AS25" s="1354"/>
      <c r="AT25" s="1354"/>
      <c r="AU25" s="1354"/>
      <c r="AV25" s="1354"/>
      <c r="AW25" s="1354"/>
      <c r="AX25" s="1354"/>
      <c r="AY25" s="1354"/>
      <c r="AZ25" s="1354"/>
      <c r="BA25" s="1354"/>
      <c r="BB25" s="1354"/>
      <c r="BC25" s="1354"/>
      <c r="BD25" s="1354"/>
      <c r="BE25" s="1354"/>
      <c r="BF25" s="1354"/>
      <c r="BG25" s="1354"/>
      <c r="BH25" s="1354"/>
      <c r="BI25" s="1354"/>
      <c r="BJ25" s="1354"/>
      <c r="BK25" s="1354"/>
      <c r="BL25" s="1354"/>
      <c r="BM25" s="1354"/>
      <c r="BN25" s="1354"/>
      <c r="BO25" s="1354"/>
      <c r="BP25" s="1354"/>
      <c r="BQ25" s="1354"/>
      <c r="BR25" s="1354"/>
      <c r="BS25" s="1354"/>
      <c r="BT25" s="1354"/>
      <c r="BU25" s="1354"/>
      <c r="BV25" s="1354"/>
      <c r="BW25" s="1354"/>
      <c r="BX25" s="1354"/>
      <c r="BY25" s="1354"/>
      <c r="BZ25" s="1354"/>
      <c r="CA25" s="1354"/>
      <c r="CB25" s="1354"/>
      <c r="CC25" s="1354"/>
    </row>
    <row r="26" spans="1:81" x14ac:dyDescent="0.2">
      <c r="A26" s="662" t="s">
        <v>104</v>
      </c>
      <c r="B26" s="303" t="s">
        <v>89</v>
      </c>
      <c r="D26" s="678">
        <v>30.065000000000001</v>
      </c>
      <c r="E26" s="679" t="s">
        <v>94</v>
      </c>
      <c r="F26" s="680">
        <f>F20</f>
        <v>22.2535589578297</v>
      </c>
      <c r="H26" s="678">
        <v>272.221</v>
      </c>
      <c r="I26" s="679">
        <f>100*(H26/D26-1)</f>
        <v>805.4415433228005</v>
      </c>
      <c r="J26" s="680">
        <f>J20</f>
        <v>34.977479951664293</v>
      </c>
      <c r="L26" s="678">
        <v>38.908999999999999</v>
      </c>
      <c r="M26" s="679">
        <f>100*(L26/H26-1)</f>
        <v>-85.70683378578434</v>
      </c>
      <c r="N26" s="680">
        <f>N20</f>
        <v>13.21571772253407</v>
      </c>
      <c r="P26" s="678">
        <v>40.350999999999999</v>
      </c>
      <c r="Q26" s="679">
        <f>100*(P26/L26-1)</f>
        <v>3.7060834254285746</v>
      </c>
      <c r="R26" s="680">
        <f>R20</f>
        <v>12.395523445247214</v>
      </c>
      <c r="T26" s="678">
        <v>55.960999999999999</v>
      </c>
      <c r="U26" s="679">
        <f>100*(T26/P26-1)</f>
        <v>38.685534435329984</v>
      </c>
      <c r="V26" s="680">
        <f>V20</f>
        <v>15.234013948407711</v>
      </c>
      <c r="X26" s="678">
        <v>97.367999999999995</v>
      </c>
      <c r="Y26" s="679">
        <f>100*(X26/T26-1)</f>
        <v>73.992601990672085</v>
      </c>
      <c r="Z26" s="680">
        <f>Z20</f>
        <v>16.111273151523985</v>
      </c>
      <c r="AB26" s="678">
        <v>122.20099999999999</v>
      </c>
      <c r="AC26" s="679">
        <f>100*(AB26/X26-1)</f>
        <v>25.504272450907894</v>
      </c>
      <c r="AD26" s="680">
        <f>AD20</f>
        <v>12.161271077338531</v>
      </c>
      <c r="AF26" s="678">
        <v>76.87</v>
      </c>
      <c r="AG26" s="679">
        <f>100*(AF26/AB26-1)</f>
        <v>-37.095441117503128</v>
      </c>
      <c r="AH26" s="680">
        <f>AH20</f>
        <v>1.463017917133258</v>
      </c>
      <c r="AJ26" s="678">
        <v>82</v>
      </c>
      <c r="AK26" s="679">
        <f>100*(AJ26/AF26-1)</f>
        <v>6.6736047873032334</v>
      </c>
      <c r="AL26" s="680">
        <f>AL20</f>
        <v>0.37913957032320589</v>
      </c>
      <c r="AN26" s="678">
        <v>113</v>
      </c>
      <c r="AO26" s="679">
        <f>100*(AN26/AJ26-1)</f>
        <v>37.804878048780481</v>
      </c>
      <c r="AP26" s="680">
        <f>AP20</f>
        <v>10.91258933479935</v>
      </c>
      <c r="AR26" s="984">
        <v>85</v>
      </c>
      <c r="AS26" s="679">
        <f>100*(AR26/AN26-1)</f>
        <v>-24.778761061946909</v>
      </c>
      <c r="AT26" s="680">
        <f>AT20</f>
        <v>3.1474597273853711</v>
      </c>
      <c r="AV26" s="984">
        <v>80</v>
      </c>
      <c r="AW26" s="679">
        <f>100*(AV26/AR26-1)</f>
        <v>-5.8823529411764719</v>
      </c>
      <c r="AX26" s="680">
        <f>AX20</f>
        <v>1.9461797212878329</v>
      </c>
      <c r="AZ26" s="984">
        <v>117</v>
      </c>
      <c r="BA26" s="679">
        <f>100*(AZ26/AV26-1)</f>
        <v>46.249999999999993</v>
      </c>
      <c r="BB26" s="680">
        <f>BB20</f>
        <v>-1.0370021211407066</v>
      </c>
      <c r="BD26" s="984">
        <v>73</v>
      </c>
      <c r="BE26" s="679">
        <f>100*(BD26/AZ26-1)</f>
        <v>-37.606837606837608</v>
      </c>
      <c r="BF26" s="680">
        <f>BF20</f>
        <v>-3.0721600381043102</v>
      </c>
      <c r="BH26" s="984">
        <v>87</v>
      </c>
      <c r="BI26" s="679">
        <f>100*(BH26/BD26-1)</f>
        <v>19.178082191780831</v>
      </c>
      <c r="BJ26" s="680">
        <f>BJ20</f>
        <v>1.3022113022113091</v>
      </c>
      <c r="BL26" s="984">
        <v>48</v>
      </c>
      <c r="BM26" s="679">
        <f>100*(BL26/BH26-1)</f>
        <v>-44.827586206896555</v>
      </c>
      <c r="BN26" s="680">
        <f>BN20</f>
        <v>-3.6623817608537501</v>
      </c>
      <c r="BP26" s="984">
        <v>137</v>
      </c>
      <c r="BQ26" s="679">
        <f>100*(BP26/BL26-1)</f>
        <v>185.41666666666666</v>
      </c>
      <c r="BR26" s="680">
        <f>BR20</f>
        <v>-3.2477341389728132</v>
      </c>
      <c r="BU26" s="679">
        <f>100*(BT26/BP26-1)</f>
        <v>-100</v>
      </c>
      <c r="BV26" s="680">
        <f>BV20</f>
        <v>3.4599999999999964</v>
      </c>
    </row>
    <row r="27" spans="1:81" x14ac:dyDescent="0.2">
      <c r="A27" s="662" t="s">
        <v>105</v>
      </c>
      <c r="B27" s="303" t="s">
        <v>90</v>
      </c>
      <c r="D27" s="678">
        <v>28.684999999999999</v>
      </c>
      <c r="E27" s="679" t="s">
        <v>94</v>
      </c>
      <c r="F27" s="680">
        <f>F21</f>
        <v>23.822075782537077</v>
      </c>
      <c r="H27" s="678">
        <v>69.253</v>
      </c>
      <c r="I27" s="679">
        <f>100*(H27/D27-1)</f>
        <v>141.42583231654177</v>
      </c>
      <c r="J27" s="680">
        <f>J21</f>
        <v>33.624268227780753</v>
      </c>
      <c r="L27" s="678">
        <v>57.542000000000002</v>
      </c>
      <c r="M27" s="679">
        <f>100*(L27/H27-1)</f>
        <v>-16.910458752689415</v>
      </c>
      <c r="N27" s="680">
        <f>N21</f>
        <v>14.907123159373526</v>
      </c>
      <c r="P27" s="678">
        <v>107.24299999999999</v>
      </c>
      <c r="Q27" s="679">
        <f>100*(P27/L27-1)</f>
        <v>86.373431580410823</v>
      </c>
      <c r="R27" s="680">
        <f>R21</f>
        <v>13.109038217714186</v>
      </c>
      <c r="T27" s="678">
        <v>82.102000000000004</v>
      </c>
      <c r="U27" s="679">
        <f>100*(T27/P27-1)</f>
        <v>-23.443021922176733</v>
      </c>
      <c r="V27" s="680">
        <f>V21</f>
        <v>15.621121742263488</v>
      </c>
      <c r="X27" s="678">
        <v>104.229</v>
      </c>
      <c r="Y27" s="679">
        <f>100*(X27/T27-1)</f>
        <v>26.950622396531145</v>
      </c>
      <c r="Z27" s="680">
        <f>Z21</f>
        <v>14.314151172050838</v>
      </c>
      <c r="AB27" s="678">
        <v>133.22300000000001</v>
      </c>
      <c r="AC27" s="679">
        <f>100*(AB27/X27-1)</f>
        <v>27.817593951779273</v>
      </c>
      <c r="AD27" s="680">
        <f>AD21</f>
        <v>8.7139903080623462</v>
      </c>
      <c r="AF27" s="678">
        <v>77.849999999999994</v>
      </c>
      <c r="AG27" s="679">
        <f>100*(AF27/AB27-1)</f>
        <v>-41.564144329432615</v>
      </c>
      <c r="AH27" s="680">
        <f>AH21</f>
        <v>3.797225008358418</v>
      </c>
      <c r="AJ27" s="678">
        <v>59</v>
      </c>
      <c r="AK27" s="679">
        <f>100*(AJ27/AF27-1)</f>
        <v>-24.213230571612065</v>
      </c>
      <c r="AL27" s="680">
        <f>AL21</f>
        <v>2.1610580084767461</v>
      </c>
      <c r="AN27" s="678">
        <v>35</v>
      </c>
      <c r="AO27" s="679">
        <f>100*(AN27/AJ27-1)</f>
        <v>-40.677966101694921</v>
      </c>
      <c r="AP27" s="680">
        <f>AP21</f>
        <v>7.7246452968996238</v>
      </c>
      <c r="AR27" s="984">
        <v>18</v>
      </c>
      <c r="AS27" s="679">
        <f>100*(AR27/AN27-1)</f>
        <v>-48.571428571428577</v>
      </c>
      <c r="AT27" s="680">
        <f>AT21</f>
        <v>3.6097560975609788</v>
      </c>
      <c r="AV27" s="984">
        <v>24</v>
      </c>
      <c r="AW27" s="679">
        <f>100*(AV27/AR27-1)</f>
        <v>33.333333333333329</v>
      </c>
      <c r="AX27" s="680">
        <f>AX21</f>
        <v>-1.0122410546139382</v>
      </c>
      <c r="AZ27" s="984">
        <v>75</v>
      </c>
      <c r="BA27" s="679">
        <f>100*(AZ27/AV27-1)</f>
        <v>212.5</v>
      </c>
      <c r="BB27" s="680">
        <f>BB21</f>
        <v>1.9976218787158162</v>
      </c>
      <c r="BD27" s="984">
        <f>43</f>
        <v>43</v>
      </c>
      <c r="BE27" s="679">
        <f>100*(BD27/AZ27-1)</f>
        <v>-42.666666666666664</v>
      </c>
      <c r="BF27" s="680">
        <f>BF21</f>
        <v>-1.095826532991373</v>
      </c>
      <c r="BH27" s="984">
        <v>235</v>
      </c>
      <c r="BI27" s="679">
        <f>100*(BH27/BD27-1)</f>
        <v>446.51162790697674</v>
      </c>
      <c r="BJ27" s="680">
        <f>BJ21</f>
        <v>0.58934464875060044</v>
      </c>
      <c r="BL27" s="984">
        <v>155</v>
      </c>
      <c r="BM27" s="679">
        <f>100*(BL27/BH27-1)</f>
        <v>-34.042553191489368</v>
      </c>
      <c r="BN27" s="680">
        <f>BN21</f>
        <v>-1.9920318725099584</v>
      </c>
      <c r="BP27" s="984">
        <v>43</v>
      </c>
      <c r="BQ27" s="679">
        <f>100*(BP27/BL27-1)</f>
        <v>-72.258064516129039</v>
      </c>
      <c r="BR27" s="680">
        <f>BR21</f>
        <v>-0.90865614538497841</v>
      </c>
      <c r="BU27" s="679">
        <f>100*(BT27/BP27-1)</f>
        <v>-100</v>
      </c>
      <c r="BV27" s="680">
        <f>BV21</f>
        <v>0.76000000000000512</v>
      </c>
    </row>
    <row r="28" spans="1:81" x14ac:dyDescent="0.2">
      <c r="A28" s="662" t="s">
        <v>106</v>
      </c>
      <c r="B28" s="303" t="s">
        <v>91</v>
      </c>
      <c r="D28" s="678">
        <v>47.152999999999999</v>
      </c>
      <c r="E28" s="679" t="s">
        <v>94</v>
      </c>
      <c r="F28" s="680">
        <f>F22</f>
        <v>23.719412724306686</v>
      </c>
      <c r="H28" s="678">
        <v>46.533000000000001</v>
      </c>
      <c r="I28" s="679">
        <f>100*(H28/D28-1)</f>
        <v>-1.3148686191758685</v>
      </c>
      <c r="J28" s="680">
        <f>J22</f>
        <v>31.401862359959253</v>
      </c>
      <c r="L28" s="678">
        <v>63.015999999999998</v>
      </c>
      <c r="M28" s="679">
        <f>100*(L28/H28-1)</f>
        <v>35.422173511271573</v>
      </c>
      <c r="N28" s="680">
        <f>N22</f>
        <v>11.691704768125399</v>
      </c>
      <c r="P28" s="678">
        <v>9.8109999999999999</v>
      </c>
      <c r="Q28" s="679">
        <f>100*(P28/L28-1)</f>
        <v>-84.430938174431887</v>
      </c>
      <c r="R28" s="680">
        <f>R22</f>
        <v>14.615705931495416</v>
      </c>
      <c r="T28" s="678">
        <v>52.584000000000003</v>
      </c>
      <c r="U28" s="679">
        <f>100*(T28/P28-1)</f>
        <v>435.96982978289674</v>
      </c>
      <c r="V28" s="680">
        <f>V22</f>
        <v>13.68490105324538</v>
      </c>
      <c r="X28" s="678">
        <v>56.497</v>
      </c>
      <c r="Y28" s="679">
        <f>100*(X28/T28-1)</f>
        <v>7.4414270500532398</v>
      </c>
      <c r="Z28" s="680">
        <f>Z22</f>
        <v>17.025517727768168</v>
      </c>
      <c r="AB28" s="678">
        <v>62.93</v>
      </c>
      <c r="AC28" s="679">
        <f>100*(AB28/X28-1)</f>
        <v>11.38644529798043</v>
      </c>
      <c r="AD28" s="680">
        <f>AD22</f>
        <v>4.7858180290119456</v>
      </c>
      <c r="AF28" s="678">
        <v>0.61499999999999999</v>
      </c>
      <c r="AG28" s="679">
        <f>100*(AF28/AB28-1)</f>
        <v>-99.022723661210861</v>
      </c>
      <c r="AH28" s="680">
        <f>AH22</f>
        <v>-0.56339537801944894</v>
      </c>
      <c r="AJ28" s="678">
        <v>14</v>
      </c>
      <c r="AK28" s="679" t="s">
        <v>236</v>
      </c>
      <c r="AL28" s="680">
        <f>AL22</f>
        <v>6.5029922582236166</v>
      </c>
      <c r="AN28" s="678">
        <v>0</v>
      </c>
      <c r="AO28" s="679" t="s">
        <v>236</v>
      </c>
      <c r="AP28" s="680">
        <f>AP22</f>
        <v>4.1224389039743237</v>
      </c>
      <c r="AR28" s="984">
        <v>0</v>
      </c>
      <c r="AS28" s="679" t="s">
        <v>236</v>
      </c>
      <c r="AT28" s="680">
        <f>AT22</f>
        <v>3.7458511142721695</v>
      </c>
      <c r="AV28" s="984">
        <v>48</v>
      </c>
      <c r="AW28" s="679" t="s">
        <v>236</v>
      </c>
      <c r="AX28" s="680">
        <f>AX22</f>
        <v>2.6051188299817118</v>
      </c>
      <c r="AZ28" s="984">
        <v>41</v>
      </c>
      <c r="BA28" s="679">
        <f>100*(AZ28/AV28-1)</f>
        <v>-14.583333333333337</v>
      </c>
      <c r="BB28" s="680">
        <f>BB22</f>
        <v>-1.024498886414249</v>
      </c>
      <c r="BD28" s="984">
        <v>0</v>
      </c>
      <c r="BE28" s="679">
        <f>100*(BD28/AZ28-1)</f>
        <v>-100</v>
      </c>
      <c r="BF28" s="680">
        <f>BF22</f>
        <v>-1.5751575157515796</v>
      </c>
      <c r="BH28" s="984">
        <v>216</v>
      </c>
      <c r="BI28" s="679"/>
      <c r="BJ28" s="680">
        <f>BJ22</f>
        <v>1.2117055326931858</v>
      </c>
      <c r="BL28" s="984">
        <v>66</v>
      </c>
      <c r="BM28" s="679">
        <f>100*(BL28/BH28-1)</f>
        <v>-69.444444444444443</v>
      </c>
      <c r="BN28" s="680">
        <f>BN22</f>
        <v>-2.2588660492432799</v>
      </c>
      <c r="BP28" s="984">
        <v>24</v>
      </c>
      <c r="BQ28" s="679">
        <f>100*(BP28/BL28-1)</f>
        <v>-63.636363636363633</v>
      </c>
      <c r="BR28" s="680">
        <f>BR22</f>
        <v>0.11555350127108177</v>
      </c>
      <c r="BU28" s="679">
        <f>100*(BT28/BP28-1)</f>
        <v>-100</v>
      </c>
      <c r="BV28" s="680">
        <f>BV22</f>
        <v>-1.2850000000000139</v>
      </c>
    </row>
    <row r="29" spans="1:81" x14ac:dyDescent="0.2">
      <c r="A29" s="662" t="s">
        <v>107</v>
      </c>
      <c r="B29" s="303" t="s">
        <v>92</v>
      </c>
      <c r="D29" s="678">
        <v>125.08499999999999</v>
      </c>
      <c r="E29" s="679" t="s">
        <v>94</v>
      </c>
      <c r="F29" s="680">
        <f>F23</f>
        <v>24.660721209771232</v>
      </c>
      <c r="H29" s="678">
        <v>142.15</v>
      </c>
      <c r="I29" s="679">
        <f>100*(H29/D29-1)</f>
        <v>13.642722948395104</v>
      </c>
      <c r="J29" s="680">
        <f>J23</f>
        <v>38.29548989113529</v>
      </c>
      <c r="L29" s="678">
        <v>135.52699999999999</v>
      </c>
      <c r="M29" s="679">
        <f>100*(L29/H29-1)</f>
        <v>-4.6591628561378995</v>
      </c>
      <c r="N29" s="680">
        <f>N23</f>
        <v>11.854666499183519</v>
      </c>
      <c r="P29" s="678">
        <v>177.18199999999999</v>
      </c>
      <c r="Q29" s="679">
        <f>100*(P29/L29-1)</f>
        <v>30.73557298545677</v>
      </c>
      <c r="R29" s="680">
        <f>R23</f>
        <v>14.509110306297202</v>
      </c>
      <c r="T29" s="678">
        <v>166.90799999999999</v>
      </c>
      <c r="U29" s="679">
        <f>100*(T29/P29-1)</f>
        <v>-5.7985574155388298</v>
      </c>
      <c r="V29" s="680">
        <f>V23</f>
        <v>14.053497437909135</v>
      </c>
      <c r="X29" s="678">
        <v>233.26300000000001</v>
      </c>
      <c r="Y29" s="679">
        <f>100*(X29/T29-1)</f>
        <v>39.75543413137779</v>
      </c>
      <c r="Z29" s="680">
        <f>Z23</f>
        <v>17.126335475827091</v>
      </c>
      <c r="AB29" s="678">
        <v>124.254</v>
      </c>
      <c r="AC29" s="679">
        <f>100*(AB29/X29-1)</f>
        <v>-46.732229286256285</v>
      </c>
      <c r="AD29" s="680">
        <f>AD23</f>
        <v>0.71027419887677024</v>
      </c>
      <c r="AF29" s="678">
        <v>105</v>
      </c>
      <c r="AG29" s="679">
        <f>100*(AF29/AB29-1)</f>
        <v>-15.495678207542618</v>
      </c>
      <c r="AH29" s="680">
        <f>AH23</f>
        <v>-4.5978896725165423</v>
      </c>
      <c r="AJ29" s="678">
        <v>184</v>
      </c>
      <c r="AK29" s="679">
        <f>100*(AJ29/AF29-1)</f>
        <v>75.238095238095241</v>
      </c>
      <c r="AL29" s="680">
        <f>AL23</f>
        <v>8.5577841451766936</v>
      </c>
      <c r="AN29" s="678">
        <v>127</v>
      </c>
      <c r="AO29" s="679">
        <f>100*(AN29/AJ29-1)</f>
        <v>-30.978260869565222</v>
      </c>
      <c r="AP29" s="680">
        <f>AP23</f>
        <v>6.2467006862572561</v>
      </c>
      <c r="AR29" s="984">
        <v>133</v>
      </c>
      <c r="AS29" s="679">
        <f>100*(AR29/AN29-1)</f>
        <v>4.7244094488188892</v>
      </c>
      <c r="AT29" s="680">
        <f>AT23</f>
        <v>-0.33123550844650351</v>
      </c>
      <c r="AV29" s="984">
        <v>137</v>
      </c>
      <c r="AW29" s="679">
        <f>100*(AV29/AR29-1)</f>
        <v>3.007518796992481</v>
      </c>
      <c r="AX29" s="680">
        <f>AX23</f>
        <v>5.3838484546360865</v>
      </c>
      <c r="AZ29" s="984">
        <v>116</v>
      </c>
      <c r="BA29" s="679">
        <f>100*(AZ29/AV29-1)</f>
        <v>-15.328467153284675</v>
      </c>
      <c r="BB29" s="680">
        <f>BB23</f>
        <v>-3.8315988647114496</v>
      </c>
      <c r="BD29" s="984">
        <v>78</v>
      </c>
      <c r="BE29" s="679">
        <f>100*(BD29/AZ29-1)</f>
        <v>-32.758620689655174</v>
      </c>
      <c r="BF29" s="680">
        <f>BF23</f>
        <v>3.9022790621413339</v>
      </c>
      <c r="BH29" s="984">
        <v>130</v>
      </c>
      <c r="BI29" s="679">
        <f>100*(BH29/BD29-1)</f>
        <v>66.666666666666671</v>
      </c>
      <c r="BJ29" s="680">
        <f>BJ23</f>
        <v>0.78901688496133549</v>
      </c>
      <c r="BL29" s="984">
        <v>112</v>
      </c>
      <c r="BM29" s="679">
        <f>100*(BL29/BH29-1)</f>
        <v>-13.846153846153841</v>
      </c>
      <c r="BN29" s="680">
        <f>BN23</f>
        <v>-2.8495381243150097</v>
      </c>
      <c r="BP29" s="984">
        <v>99</v>
      </c>
      <c r="BQ29" s="679">
        <f>100*(BP29/BL29-1)</f>
        <v>-11.607142857142861</v>
      </c>
      <c r="BR29" s="680">
        <f>BR23</f>
        <v>9.2022562449637348</v>
      </c>
      <c r="BU29" s="679">
        <f>100*(BT29/BP29-1)</f>
        <v>-100</v>
      </c>
      <c r="BV29" s="680">
        <f>BV23</f>
        <v>-6.1799999999999962</v>
      </c>
    </row>
    <row r="31" spans="1:81" x14ac:dyDescent="0.2">
      <c r="A31" s="1354" t="s">
        <v>110</v>
      </c>
      <c r="B31" s="1354"/>
      <c r="C31" s="1354"/>
      <c r="D31" s="1354"/>
      <c r="E31" s="1354"/>
      <c r="F31" s="1354"/>
      <c r="G31" s="1354"/>
      <c r="H31" s="1354"/>
      <c r="I31" s="1354"/>
      <c r="J31" s="1354"/>
      <c r="K31" s="1354"/>
      <c r="L31" s="1354"/>
      <c r="M31" s="1354"/>
      <c r="N31" s="1354"/>
      <c r="O31" s="1354"/>
      <c r="P31" s="1354"/>
      <c r="Q31" s="1354"/>
      <c r="R31" s="1354"/>
      <c r="S31" s="1354"/>
      <c r="T31" s="1354"/>
      <c r="U31" s="1354"/>
      <c r="V31" s="1354"/>
      <c r="W31" s="1354"/>
      <c r="X31" s="1354"/>
      <c r="Y31" s="1354"/>
      <c r="Z31" s="1354"/>
      <c r="AA31" s="1354"/>
      <c r="AB31" s="1354"/>
      <c r="AC31" s="1354"/>
      <c r="AD31" s="1354"/>
      <c r="AE31" s="1354"/>
      <c r="AF31" s="1354"/>
      <c r="AG31" s="1354"/>
      <c r="AH31" s="1354"/>
      <c r="AI31" s="1354"/>
      <c r="AJ31" s="1354"/>
      <c r="AK31" s="1354"/>
      <c r="AL31" s="1354"/>
      <c r="AM31" s="1354"/>
      <c r="AN31" s="1354"/>
      <c r="AO31" s="1354"/>
      <c r="AP31" s="1354"/>
      <c r="AQ31" s="1354"/>
      <c r="AR31" s="1354"/>
      <c r="AS31" s="1354"/>
      <c r="AT31" s="1354"/>
      <c r="AU31" s="1354"/>
      <c r="AV31" s="1354"/>
      <c r="AW31" s="1354"/>
      <c r="AX31" s="1354"/>
      <c r="AY31" s="1354"/>
      <c r="AZ31" s="1354"/>
      <c r="BA31" s="1354"/>
      <c r="BB31" s="1354"/>
      <c r="BC31" s="1354"/>
      <c r="BD31" s="1354"/>
      <c r="BE31" s="1354"/>
      <c r="BF31" s="1354"/>
      <c r="BG31" s="1354"/>
      <c r="BH31" s="1354"/>
      <c r="BI31" s="1354"/>
      <c r="BJ31" s="1354"/>
      <c r="BK31" s="1354"/>
      <c r="BL31" s="1354"/>
      <c r="BM31" s="1354"/>
      <c r="BN31" s="1354"/>
      <c r="BO31" s="1354"/>
      <c r="BP31" s="1354"/>
      <c r="BQ31" s="1354"/>
      <c r="BR31" s="1354"/>
      <c r="BS31" s="1354"/>
      <c r="BT31" s="1354"/>
      <c r="BU31" s="1354"/>
      <c r="BV31" s="1354"/>
      <c r="BW31" s="1354"/>
      <c r="BX31" s="1354"/>
      <c r="BY31" s="1354"/>
      <c r="BZ31" s="1354"/>
      <c r="CA31" s="1354"/>
      <c r="CB31" s="1354"/>
      <c r="CC31" s="1354"/>
    </row>
    <row r="32" spans="1:81" x14ac:dyDescent="0.2">
      <c r="A32" s="662" t="s">
        <v>104</v>
      </c>
      <c r="B32" s="303" t="s">
        <v>89</v>
      </c>
      <c r="D32" s="686">
        <f>D8+D14-D20-D26</f>
        <v>1280.3779999999999</v>
      </c>
      <c r="E32" s="679" t="s">
        <v>94</v>
      </c>
      <c r="F32" s="680">
        <f>F26</f>
        <v>22.2535589578297</v>
      </c>
      <c r="H32" s="686">
        <f>H8+H14-H20-H26</f>
        <v>1495.7789999999998</v>
      </c>
      <c r="I32" s="679">
        <f>100*(H32/D32-1)</f>
        <v>16.823235013410098</v>
      </c>
      <c r="J32" s="680">
        <f>J26</f>
        <v>34.977479951664293</v>
      </c>
      <c r="L32" s="686">
        <f>L8+L14-L20-L26</f>
        <v>1960.3830000000003</v>
      </c>
      <c r="M32" s="679">
        <f>100*(L32/H32-1)</f>
        <v>31.061005669955289</v>
      </c>
      <c r="N32" s="680">
        <f>N26</f>
        <v>13.21571772253407</v>
      </c>
      <c r="P32" s="686">
        <f>P8+P14-P20-P26</f>
        <v>1967.442</v>
      </c>
      <c r="Q32" s="679">
        <f>100*(P32/L32-1)</f>
        <v>0.36008269812581872</v>
      </c>
      <c r="R32" s="680">
        <f>R26</f>
        <v>12.395523445247214</v>
      </c>
      <c r="T32" s="686">
        <f>T8+T14-T20-T26</f>
        <v>2304.0140000000001</v>
      </c>
      <c r="U32" s="679">
        <f>100*(T32/P32-1)</f>
        <v>17.107086257180647</v>
      </c>
      <c r="V32" s="680">
        <f>V26</f>
        <v>15.234013948407711</v>
      </c>
      <c r="X32" s="686">
        <f>X8+X14-X20-X26</f>
        <v>895.00700000000006</v>
      </c>
      <c r="Y32" s="679">
        <f>100*(X32/T32-1)</f>
        <v>-61.154446110136483</v>
      </c>
      <c r="Z32" s="680">
        <f>Z26</f>
        <v>16.111273151523985</v>
      </c>
      <c r="AB32" s="686">
        <f>AB8+AB14-AB20-AB26</f>
        <v>1098.5980000000002</v>
      </c>
      <c r="AC32" s="679">
        <f>100*(AB32/X32-1)</f>
        <v>22.747419852582173</v>
      </c>
      <c r="AD32" s="680">
        <f>AD26</f>
        <v>12.161271077338531</v>
      </c>
      <c r="AF32" s="686">
        <f>AF8+AF14-AF20-AF26</f>
        <v>1297.4880000000003</v>
      </c>
      <c r="AG32" s="679">
        <f>100*(AF32/AB32-1)</f>
        <v>18.103983440712625</v>
      </c>
      <c r="AH32" s="680">
        <f>AH26</f>
        <v>1.463017917133258</v>
      </c>
      <c r="AJ32" s="686">
        <f>AJ8+AJ14-AJ20-AJ26</f>
        <v>1204</v>
      </c>
      <c r="AK32" s="679">
        <f>100*(AJ32/AF32-1)</f>
        <v>-7.2053074864661726</v>
      </c>
      <c r="AL32" s="680">
        <f>AL26</f>
        <v>0.37913957032320589</v>
      </c>
      <c r="AN32" s="686">
        <f>AN8+AN14-AN20-AN26</f>
        <v>895</v>
      </c>
      <c r="AO32" s="679">
        <f>100*(AN32/AJ32-1)</f>
        <v>-25.66445182724253</v>
      </c>
      <c r="AP32" s="680">
        <f>AP26</f>
        <v>10.91258933479935</v>
      </c>
      <c r="AR32" s="686">
        <f>AR8+AR14-AR20-AR26</f>
        <v>1107</v>
      </c>
      <c r="AS32" s="679">
        <f>100*(AR32/AN32-1)</f>
        <v>23.687150837988824</v>
      </c>
      <c r="AT32" s="680">
        <f>AT26</f>
        <v>3.1474597273853711</v>
      </c>
      <c r="AV32" s="686">
        <f>AV8+AV14-AV20-AV26</f>
        <v>1059</v>
      </c>
      <c r="AW32" s="679">
        <f>100*(AV32/AR32-1)</f>
        <v>-4.3360433604336057</v>
      </c>
      <c r="AX32" s="680">
        <f>AX26</f>
        <v>1.9461797212878329</v>
      </c>
      <c r="AZ32" s="686">
        <f>AZ8+AZ14-AZ20-AZ26</f>
        <v>1801</v>
      </c>
      <c r="BA32" s="679">
        <f>100*(AZ32/AV32-1)</f>
        <v>70.066100094428705</v>
      </c>
      <c r="BB32" s="680">
        <f>BB26</f>
        <v>-1.0370021211407066</v>
      </c>
      <c r="BD32" s="686">
        <f>BD8+BD14-BD20-BD26</f>
        <v>1889</v>
      </c>
      <c r="BE32" s="679">
        <f>100*(BD32/AZ32-1)</f>
        <v>4.8861743475846708</v>
      </c>
      <c r="BF32" s="680">
        <f>BF26</f>
        <v>-3.0721600381043102</v>
      </c>
      <c r="BH32" s="686">
        <f>BH8+BH14-BH20-BH26</f>
        <v>1631</v>
      </c>
      <c r="BI32" s="679">
        <f>100*(BH32/BD32-1)</f>
        <v>-13.658020116463742</v>
      </c>
      <c r="BJ32" s="680">
        <f>BJ26</f>
        <v>1.3022113022113091</v>
      </c>
      <c r="BL32" s="686">
        <f>BL8+BL14-BL20-BL26</f>
        <v>1912</v>
      </c>
      <c r="BM32" s="679">
        <f>100*(BL32/BH32-1)</f>
        <v>17.228694052728379</v>
      </c>
      <c r="BN32" s="680">
        <f>BN26</f>
        <v>-3.6623817608537501</v>
      </c>
      <c r="BP32" s="686">
        <f>BP8+BP14-BP20-BP26</f>
        <v>1614</v>
      </c>
      <c r="BQ32" s="679">
        <f>100*(BP32/BL32-1)</f>
        <v>-15.585774058577407</v>
      </c>
      <c r="BR32" s="680">
        <f>BR26</f>
        <v>-3.2477341389728132</v>
      </c>
      <c r="BU32" s="679">
        <f>100*(BT32/BP32-1)</f>
        <v>-100</v>
      </c>
      <c r="BV32" s="680">
        <f>BV26</f>
        <v>3.4599999999999964</v>
      </c>
    </row>
    <row r="33" spans="1:81" x14ac:dyDescent="0.2">
      <c r="A33" s="662" t="s">
        <v>105</v>
      </c>
      <c r="B33" s="303" t="s">
        <v>90</v>
      </c>
      <c r="D33" s="686">
        <f>D9+D15-D21-D27</f>
        <v>1284.1980000000001</v>
      </c>
      <c r="E33" s="679" t="s">
        <v>94</v>
      </c>
      <c r="F33" s="680">
        <f>F27</f>
        <v>23.822075782537077</v>
      </c>
      <c r="H33" s="686">
        <f>H9+H15-H21-H27</f>
        <v>1467.4999999999998</v>
      </c>
      <c r="I33" s="679">
        <f>100*(H33/D33-1)</f>
        <v>14.273655620083492</v>
      </c>
      <c r="J33" s="680">
        <f>J27</f>
        <v>33.624268227780753</v>
      </c>
      <c r="L33" s="686">
        <f>L9+L15-L21-L27</f>
        <v>1712.7930000000003</v>
      </c>
      <c r="M33" s="679">
        <f>100*(L33/H33-1)</f>
        <v>16.715025553662734</v>
      </c>
      <c r="N33" s="680">
        <f>N27</f>
        <v>14.907123159373526</v>
      </c>
      <c r="P33" s="686">
        <f>P9+P15-P21-P27</f>
        <v>1650.6759999999999</v>
      </c>
      <c r="Q33" s="679">
        <f>100*(P33/L33-1)</f>
        <v>-3.6266495717813152</v>
      </c>
      <c r="R33" s="680">
        <f>R27</f>
        <v>13.109038217714186</v>
      </c>
      <c r="T33" s="686">
        <f>T9+T15-T21-T27</f>
        <v>2047.2950000000003</v>
      </c>
      <c r="U33" s="679">
        <f>100*(T33/P33-1)</f>
        <v>24.02767108748176</v>
      </c>
      <c r="V33" s="680">
        <f>V27</f>
        <v>15.621121742263488</v>
      </c>
      <c r="X33" s="686">
        <f>X9+X15-X21-X27</f>
        <v>727.70099999999979</v>
      </c>
      <c r="Y33" s="679">
        <f>100*(X33/T33-1)</f>
        <v>-64.455488827941281</v>
      </c>
      <c r="Z33" s="680">
        <f>Z27</f>
        <v>14.314151172050838</v>
      </c>
      <c r="AB33" s="686">
        <f>AB9+AB15-AB21-AB27</f>
        <v>944.58199999999988</v>
      </c>
      <c r="AC33" s="679">
        <f>100*(AB33/X33-1)</f>
        <v>29.803586912756774</v>
      </c>
      <c r="AD33" s="680">
        <f>AD27</f>
        <v>8.7139903080623462</v>
      </c>
      <c r="AF33" s="686">
        <f>AF9+AF15-AF21-AF27</f>
        <v>1003.275</v>
      </c>
      <c r="AG33" s="679">
        <f>100*(AF33/AB33-1)</f>
        <v>6.213647941629219</v>
      </c>
      <c r="AH33" s="680">
        <f>AH27</f>
        <v>3.797225008358418</v>
      </c>
      <c r="AJ33" s="686">
        <f>AJ9+AJ15-AJ21-AJ27</f>
        <v>885</v>
      </c>
      <c r="AK33" s="679">
        <f>100*(AJ33/AF33-1)</f>
        <v>-11.788891380728117</v>
      </c>
      <c r="AL33" s="680">
        <f>AL27</f>
        <v>2.1610580084767461</v>
      </c>
      <c r="AN33" s="686">
        <f>AN9+AN15-AN21-AN27</f>
        <v>869</v>
      </c>
      <c r="AO33" s="679">
        <f>100*(AN33/AJ33-1)</f>
        <v>-1.8079096045197751</v>
      </c>
      <c r="AP33" s="680">
        <f>AP27</f>
        <v>7.7246452968996238</v>
      </c>
      <c r="AR33" s="686">
        <f>AR9+AR15-AR21-AR27</f>
        <v>1011</v>
      </c>
      <c r="AS33" s="679">
        <f>100*(AR33/AN33-1)</f>
        <v>16.340621403912547</v>
      </c>
      <c r="AT33" s="680">
        <f>AT27</f>
        <v>3.6097560975609788</v>
      </c>
      <c r="AV33" s="686">
        <f>AV9+AV15-AV21-AV27</f>
        <v>1334</v>
      </c>
      <c r="AW33" s="679">
        <f>100*(AV33/AR33-1)</f>
        <v>31.948565776458949</v>
      </c>
      <c r="AX33" s="680">
        <f>AX27</f>
        <v>-1.0122410546139382</v>
      </c>
      <c r="AZ33" s="686">
        <f>AZ9+AZ15-AZ21-AZ27</f>
        <v>1754</v>
      </c>
      <c r="BA33" s="679">
        <f>100*(AZ33/AV33-1)</f>
        <v>31.484257871064457</v>
      </c>
      <c r="BB33" s="680">
        <f>BB27</f>
        <v>1.9976218787158162</v>
      </c>
      <c r="BD33" s="686">
        <f>BD9+BD15-BD21-BD27</f>
        <v>1752</v>
      </c>
      <c r="BE33" s="679">
        <f>100*(BD33/AZ33-1)</f>
        <v>-0.11402508551880963</v>
      </c>
      <c r="BF33" s="680">
        <f>BF27</f>
        <v>-1.095826532991373</v>
      </c>
      <c r="BH33" s="686">
        <f>BH9+BH15-BH21-BH27</f>
        <v>1636</v>
      </c>
      <c r="BI33" s="679">
        <f>100*(BH33/BD33-1)</f>
        <v>-6.6210045662100425</v>
      </c>
      <c r="BJ33" s="680">
        <f>BJ27</f>
        <v>0.58934464875060044</v>
      </c>
      <c r="BL33" s="686">
        <f>BL9+BL15-BL21-BL27</f>
        <v>1579</v>
      </c>
      <c r="BM33" s="679">
        <f>100*(BL33/BH33-1)</f>
        <v>-3.4841075794621035</v>
      </c>
      <c r="BN33" s="680">
        <f>BN27</f>
        <v>-1.9920318725099584</v>
      </c>
      <c r="BP33" s="686">
        <f>BP9+BP15-BP21-BP27</f>
        <v>1706</v>
      </c>
      <c r="BQ33" s="679">
        <f>100*(BP33/BL33-1)</f>
        <v>8.0430652311589625</v>
      </c>
      <c r="BR33" s="680">
        <f>BR27</f>
        <v>-0.90865614538497841</v>
      </c>
      <c r="BU33" s="679">
        <f>100*(BT33/BP33-1)</f>
        <v>-100</v>
      </c>
      <c r="BV33" s="680">
        <f>BV27</f>
        <v>0.76000000000000512</v>
      </c>
    </row>
    <row r="34" spans="1:81" x14ac:dyDescent="0.2">
      <c r="A34" s="662" t="s">
        <v>106</v>
      </c>
      <c r="B34" s="303" t="s">
        <v>91</v>
      </c>
      <c r="D34" s="686">
        <f>D10+D16-D22-D28</f>
        <v>1604.1310000000001</v>
      </c>
      <c r="E34" s="679" t="s">
        <v>94</v>
      </c>
      <c r="F34" s="680">
        <f>F28</f>
        <v>23.719412724306686</v>
      </c>
      <c r="H34" s="686">
        <f>H10+H16-H22-H28</f>
        <v>1966.4840000000002</v>
      </c>
      <c r="I34" s="679">
        <f>100*(H34/D34-1)</f>
        <v>22.588741193830188</v>
      </c>
      <c r="J34" s="680">
        <f>J28</f>
        <v>31.401862359959253</v>
      </c>
      <c r="L34" s="686">
        <f>L10+L16-L22-L28</f>
        <v>2089.8820000000001</v>
      </c>
      <c r="M34" s="679">
        <f>100*(L34/H34-1)</f>
        <v>6.2750574121121616</v>
      </c>
      <c r="N34" s="680">
        <f>N28</f>
        <v>11.691704768125399</v>
      </c>
      <c r="P34" s="686">
        <f>P10+P16-P22-P28</f>
        <v>2240.2319999999995</v>
      </c>
      <c r="Q34" s="679">
        <f>100*(P34/L34-1)</f>
        <v>7.1941860832333893</v>
      </c>
      <c r="R34" s="680">
        <f>R28</f>
        <v>14.615705931495416</v>
      </c>
      <c r="T34" s="686">
        <f>T10+T16-T22-T28</f>
        <v>2480.2719999999999</v>
      </c>
      <c r="U34" s="679">
        <f>100*(T34/P34-1)</f>
        <v>10.714961664684752</v>
      </c>
      <c r="V34" s="680">
        <f>V28</f>
        <v>13.68490105324538</v>
      </c>
      <c r="X34" s="686">
        <f>X10+X16-X22-X28</f>
        <v>978.24599999999998</v>
      </c>
      <c r="Y34" s="679">
        <f>100*(X34/T34-1)</f>
        <v>-60.558922569782666</v>
      </c>
      <c r="Z34" s="680">
        <f>Z28</f>
        <v>17.025517727768168</v>
      </c>
      <c r="AB34" s="686">
        <f>AB10+AB16-AB22-AB28</f>
        <v>1563.5739999999998</v>
      </c>
      <c r="AC34" s="679">
        <f>100*(AB34/X34-1)</f>
        <v>59.834438372352139</v>
      </c>
      <c r="AD34" s="680">
        <f>AD28</f>
        <v>4.7858180290119456</v>
      </c>
      <c r="AF34" s="686">
        <f>AF10+AF16-AF22-AF28</f>
        <v>1538.856</v>
      </c>
      <c r="AG34" s="679">
        <f>100*(AF34/AB34-1)</f>
        <v>-1.5808653763748848</v>
      </c>
      <c r="AH34" s="680">
        <f>AH28</f>
        <v>-0.56339537801944894</v>
      </c>
      <c r="AJ34" s="686">
        <f>AJ10+AJ16-AJ22-AJ28</f>
        <v>1087</v>
      </c>
      <c r="AK34" s="679">
        <f>100*(AJ34/AF34-1)</f>
        <v>-29.363111298263121</v>
      </c>
      <c r="AL34" s="680">
        <f>AL28</f>
        <v>6.5029922582236166</v>
      </c>
      <c r="AN34" s="686">
        <f>AN10+AN16-AN22-AN28</f>
        <v>1307</v>
      </c>
      <c r="AO34" s="679">
        <f>100*(AN34/AJ34-1)</f>
        <v>20.239190432382713</v>
      </c>
      <c r="AP34" s="680">
        <f>AP28</f>
        <v>4.1224389039743237</v>
      </c>
      <c r="AR34" s="686">
        <f>AR10+AR16-AR22-AR28</f>
        <v>1515</v>
      </c>
      <c r="AS34" s="679">
        <f>100*(AR34/AN34-1)</f>
        <v>15.914307574598308</v>
      </c>
      <c r="AT34" s="680">
        <f>AT28</f>
        <v>3.7458511142721695</v>
      </c>
      <c r="AV34" s="686">
        <f>AV10+AV16-AV22-AV28</f>
        <v>1685</v>
      </c>
      <c r="AW34" s="679">
        <f>100*(AV34/AR34-1)</f>
        <v>11.221122112211223</v>
      </c>
      <c r="AX34" s="680">
        <f>AX28</f>
        <v>2.6051188299817118</v>
      </c>
      <c r="AZ34" s="686">
        <f>AZ10+AZ16-AZ22-AZ28</f>
        <v>1889</v>
      </c>
      <c r="BA34" s="679">
        <f>100*(AZ34/AV34-1)</f>
        <v>12.106824925816028</v>
      </c>
      <c r="BB34" s="680">
        <f>BB28</f>
        <v>-1.024498886414249</v>
      </c>
      <c r="BD34" s="686">
        <f>BD10+BD16-BD22-BD28</f>
        <v>1901</v>
      </c>
      <c r="BE34" s="679">
        <f>100*(BD34/AZ34-1)</f>
        <v>0.63525674960296374</v>
      </c>
      <c r="BF34" s="680">
        <f>BF28</f>
        <v>-1.5751575157515796</v>
      </c>
      <c r="BH34" s="686">
        <f>BH10+BH16-BH22-BH28</f>
        <v>1965</v>
      </c>
      <c r="BI34" s="679">
        <f>100*(BH34/BD34-1)</f>
        <v>3.3666491320357705</v>
      </c>
      <c r="BJ34" s="680">
        <f>BJ28</f>
        <v>1.2117055326931858</v>
      </c>
      <c r="BL34" s="686">
        <f>BL10+BL16-BL22-BL28</f>
        <v>1659</v>
      </c>
      <c r="BM34" s="679">
        <f>100*(BL34/BH34-1)</f>
        <v>-15.57251908396946</v>
      </c>
      <c r="BN34" s="680">
        <f>BN28</f>
        <v>-2.2588660492432799</v>
      </c>
      <c r="BP34" s="686">
        <f>BP10+BP16-BP22-BP28</f>
        <v>1590</v>
      </c>
      <c r="BQ34" s="679">
        <f>100*(BP34/BL34-1)</f>
        <v>-4.1591320072332678</v>
      </c>
      <c r="BR34" s="680">
        <f>BR28</f>
        <v>0.11555350127108177</v>
      </c>
      <c r="BU34" s="679">
        <f>100*(BT34/BP34-1)</f>
        <v>-100</v>
      </c>
      <c r="BV34" s="680">
        <f>BV28</f>
        <v>-1.2850000000000139</v>
      </c>
    </row>
    <row r="35" spans="1:81" x14ac:dyDescent="0.2">
      <c r="A35" s="662" t="s">
        <v>107</v>
      </c>
      <c r="B35" s="303" t="s">
        <v>92</v>
      </c>
      <c r="D35" s="686">
        <f>D11+D17-D23-D29</f>
        <v>1264.3920000000001</v>
      </c>
      <c r="E35" s="679" t="s">
        <v>94</v>
      </c>
      <c r="F35" s="680">
        <f>F29</f>
        <v>24.660721209771232</v>
      </c>
      <c r="H35" s="686">
        <f>H11+H17-H23-H29</f>
        <v>1565.4899999999998</v>
      </c>
      <c r="I35" s="679">
        <f>100*(H35/D35-1)</f>
        <v>23.81365905510313</v>
      </c>
      <c r="J35" s="680">
        <f>J29</f>
        <v>38.29548989113529</v>
      </c>
      <c r="L35" s="686">
        <f>L11+L17-L23-L29</f>
        <v>1767.7760000000003</v>
      </c>
      <c r="M35" s="679">
        <f>100*(L35/H35-1)</f>
        <v>12.921577269736662</v>
      </c>
      <c r="N35" s="680">
        <f>N29</f>
        <v>11.854666499183519</v>
      </c>
      <c r="P35" s="686">
        <f>P11+P17-P23-P29</f>
        <v>1985.2590000000002</v>
      </c>
      <c r="Q35" s="679">
        <f>100*(P35/L35-1)</f>
        <v>12.302633365313254</v>
      </c>
      <c r="R35" s="680">
        <f>R29</f>
        <v>14.509110306297202</v>
      </c>
      <c r="T35" s="686">
        <f>T11+T17-T23-T29</f>
        <v>2340.6220000000008</v>
      </c>
      <c r="U35" s="679">
        <f>100*(T35/P35-1)</f>
        <v>17.90008255849742</v>
      </c>
      <c r="V35" s="680">
        <f>V29</f>
        <v>14.053497437909135</v>
      </c>
      <c r="X35" s="686">
        <f>X11+X17-X23-X29</f>
        <v>880.82300000000021</v>
      </c>
      <c r="Y35" s="679">
        <f>100*(X35/T35-1)</f>
        <v>-62.367994490353418</v>
      </c>
      <c r="Z35" s="680">
        <f>Z29</f>
        <v>17.126335475827091</v>
      </c>
      <c r="AB35" s="686">
        <f>AB11+AB17-AB23-AB29</f>
        <v>1301.4710000000005</v>
      </c>
      <c r="AC35" s="679">
        <f>100*(AB35/X35-1)</f>
        <v>47.756246147069305</v>
      </c>
      <c r="AD35" s="680">
        <f>AD29</f>
        <v>0.71027419887677024</v>
      </c>
      <c r="AF35" s="686">
        <f>AF11+AF17-AF23-AF29</f>
        <v>1226</v>
      </c>
      <c r="AG35" s="679">
        <f>100*(AF35/AB35-1)</f>
        <v>-5.7988998602351067</v>
      </c>
      <c r="AH35" s="680">
        <f>AH29</f>
        <v>-4.5978896725165423</v>
      </c>
      <c r="AJ35" s="686">
        <f>AJ11+AJ17-AJ23-AJ29</f>
        <v>841</v>
      </c>
      <c r="AK35" s="679">
        <f>100*(AJ35/AF35-1)</f>
        <v>-31.402936378466563</v>
      </c>
      <c r="AL35" s="680">
        <f>AL29</f>
        <v>8.5577841451766936</v>
      </c>
      <c r="AN35" s="686">
        <f>AN11+AN17-AN23-AN29</f>
        <v>1070</v>
      </c>
      <c r="AO35" s="679">
        <f>100*(AN35/AJ35-1)</f>
        <v>27.229488703923899</v>
      </c>
      <c r="AP35" s="680">
        <f>AP29</f>
        <v>6.2467006862572561</v>
      </c>
      <c r="AR35" s="686">
        <f>AR11+AR17-AR23-AR29</f>
        <v>1111</v>
      </c>
      <c r="AS35" s="679">
        <f>100*(AR35/AN35-1)</f>
        <v>3.831775700934581</v>
      </c>
      <c r="AT35" s="680">
        <f>AT29</f>
        <v>-0.33123550844650351</v>
      </c>
      <c r="AV35" s="686">
        <f>AV11+AV17-AV23-AV29</f>
        <v>1752</v>
      </c>
      <c r="AW35" s="679">
        <f>100*(AV35/AR35-1)</f>
        <v>57.695769576957701</v>
      </c>
      <c r="AX35" s="680">
        <f>AX29</f>
        <v>5.3838484546360865</v>
      </c>
      <c r="AZ35" s="686">
        <f>AZ11+AZ17-AZ23-AZ29</f>
        <v>1724</v>
      </c>
      <c r="BA35" s="679">
        <f>100*(AZ35/AV35-1)</f>
        <v>-1.5981735159817378</v>
      </c>
      <c r="BB35" s="680">
        <f>BB29</f>
        <v>-3.8315988647114496</v>
      </c>
      <c r="BD35" s="686">
        <f>BD11+BD17-BD23-BD29</f>
        <v>1542</v>
      </c>
      <c r="BE35" s="679">
        <f>100*(BD35/AZ35-1)</f>
        <v>-10.556844547563804</v>
      </c>
      <c r="BF35" s="680">
        <f>BF29</f>
        <v>3.9022790621413339</v>
      </c>
      <c r="BH35" s="686">
        <f>BH11+BH17-BH23-BH29</f>
        <v>1782</v>
      </c>
      <c r="BI35" s="679">
        <f>100*(BH35/BD35-1)</f>
        <v>15.564202334630339</v>
      </c>
      <c r="BJ35" s="680">
        <f>BJ29</f>
        <v>0.78901688496133549</v>
      </c>
      <c r="BL35" s="686">
        <f>BL11+BL17-BL23-BL29</f>
        <v>1330</v>
      </c>
      <c r="BM35" s="679">
        <f>100*(BL35/BH35-1)</f>
        <v>-25.364758698092025</v>
      </c>
      <c r="BN35" s="680">
        <f>BN29</f>
        <v>-2.8495381243150097</v>
      </c>
      <c r="BP35" s="686">
        <f>BP11+BP17-BP23-BP29</f>
        <v>1498</v>
      </c>
      <c r="BQ35" s="679">
        <f>100*(BP35/BL35-1)</f>
        <v>12.631578947368416</v>
      </c>
      <c r="BR35" s="680">
        <f>BR29</f>
        <v>9.2022562449637348</v>
      </c>
      <c r="BU35" s="679">
        <f>100*(BT35/BP35-1)</f>
        <v>-100</v>
      </c>
      <c r="BV35" s="680">
        <f>BV29</f>
        <v>-6.1799999999999962</v>
      </c>
    </row>
    <row r="36" spans="1:81" x14ac:dyDescent="0.2">
      <c r="D36" s="687"/>
      <c r="H36" s="687"/>
      <c r="I36" s="687"/>
      <c r="J36" s="687"/>
      <c r="K36" s="687"/>
      <c r="L36" s="687"/>
      <c r="M36" s="687"/>
      <c r="N36" s="687"/>
      <c r="O36" s="687"/>
      <c r="P36" s="687"/>
      <c r="Q36" s="687"/>
      <c r="R36" s="687"/>
      <c r="S36" s="687"/>
      <c r="T36" s="687"/>
      <c r="U36" s="687"/>
      <c r="V36" s="687"/>
      <c r="W36" s="687"/>
      <c r="X36" s="687"/>
      <c r="Y36" s="687"/>
      <c r="Z36" s="687"/>
      <c r="AA36" s="687"/>
      <c r="AB36" s="687"/>
      <c r="AC36" s="687"/>
      <c r="AD36" s="687"/>
      <c r="AE36" s="687"/>
      <c r="AF36" s="687"/>
      <c r="AG36" s="687"/>
      <c r="AH36" s="687"/>
      <c r="AI36" s="687"/>
      <c r="AJ36" s="687"/>
      <c r="AK36" s="687"/>
      <c r="AL36" s="687"/>
      <c r="AM36" s="687"/>
      <c r="AN36" s="687"/>
      <c r="AO36" s="687"/>
      <c r="AP36" s="687"/>
      <c r="AQ36" s="687"/>
      <c r="AR36" s="687"/>
      <c r="AS36" s="687"/>
      <c r="AT36" s="687"/>
      <c r="AU36" s="687"/>
      <c r="AV36" s="687"/>
      <c r="AW36" s="687"/>
      <c r="AX36" s="687"/>
      <c r="AY36" s="687"/>
      <c r="AZ36" s="687"/>
      <c r="BA36" s="687"/>
      <c r="BB36" s="687"/>
      <c r="BC36" s="687"/>
      <c r="BD36" s="687"/>
      <c r="BE36" s="687"/>
      <c r="BF36" s="687"/>
      <c r="BG36" s="687"/>
      <c r="BH36" s="687"/>
      <c r="BI36" s="687"/>
      <c r="BJ36" s="687"/>
      <c r="BK36" s="687"/>
      <c r="BL36" s="687"/>
      <c r="BM36" s="687"/>
      <c r="BN36" s="687"/>
      <c r="BP36" s="687"/>
      <c r="BQ36" s="687"/>
      <c r="BR36" s="687"/>
    </row>
    <row r="37" spans="1:81" x14ac:dyDescent="0.2">
      <c r="A37" s="1354" t="s">
        <v>111</v>
      </c>
      <c r="B37" s="1354"/>
      <c r="C37" s="1354"/>
      <c r="D37" s="1354"/>
      <c r="E37" s="1354"/>
      <c r="F37" s="1354"/>
      <c r="G37" s="1354"/>
      <c r="H37" s="1354"/>
      <c r="I37" s="1354"/>
      <c r="J37" s="1354"/>
      <c r="K37" s="1354"/>
      <c r="L37" s="1354"/>
      <c r="M37" s="1354"/>
      <c r="N37" s="1354"/>
      <c r="O37" s="1354"/>
      <c r="P37" s="1354"/>
      <c r="Q37" s="1354"/>
      <c r="R37" s="1354"/>
      <c r="S37" s="1354"/>
      <c r="T37" s="1354"/>
      <c r="U37" s="1354"/>
      <c r="V37" s="1354"/>
      <c r="W37" s="1354"/>
      <c r="X37" s="1354"/>
      <c r="Y37" s="1354"/>
      <c r="Z37" s="1354"/>
      <c r="AA37" s="1354"/>
      <c r="AB37" s="1354"/>
      <c r="AC37" s="1354"/>
      <c r="AD37" s="1354"/>
      <c r="AE37" s="1354"/>
      <c r="AF37" s="1354"/>
      <c r="AG37" s="1354"/>
      <c r="AH37" s="1354"/>
      <c r="AI37" s="1354"/>
      <c r="AJ37" s="1354"/>
      <c r="AK37" s="1354"/>
      <c r="AL37" s="1354"/>
      <c r="AM37" s="1354"/>
      <c r="AN37" s="1354"/>
      <c r="AO37" s="1354"/>
      <c r="AP37" s="1354"/>
      <c r="AQ37" s="1354"/>
      <c r="AR37" s="1354"/>
      <c r="AS37" s="1354"/>
      <c r="AT37" s="1354"/>
      <c r="AU37" s="1354"/>
      <c r="AV37" s="1354"/>
      <c r="AW37" s="1354"/>
      <c r="AX37" s="1354"/>
      <c r="AY37" s="1354"/>
      <c r="AZ37" s="1354"/>
      <c r="BA37" s="1354"/>
      <c r="BB37" s="1354"/>
      <c r="BC37" s="1354"/>
      <c r="BD37" s="1354"/>
      <c r="BE37" s="1354"/>
      <c r="BF37" s="1354"/>
      <c r="BG37" s="1354"/>
      <c r="BH37" s="1354"/>
      <c r="BI37" s="1354"/>
      <c r="BJ37" s="1354"/>
      <c r="BK37" s="1354"/>
      <c r="BL37" s="1354"/>
      <c r="BM37" s="1354"/>
      <c r="BN37" s="1354"/>
      <c r="BO37" s="1354"/>
      <c r="BP37" s="1354"/>
      <c r="BQ37" s="1354"/>
      <c r="BR37" s="1354"/>
      <c r="BS37" s="1354"/>
      <c r="BT37" s="1354"/>
      <c r="BU37" s="1354"/>
      <c r="BV37" s="1354"/>
      <c r="BW37" s="1354"/>
      <c r="BX37" s="1354"/>
      <c r="BY37" s="1354"/>
      <c r="BZ37" s="1354"/>
      <c r="CA37" s="1354"/>
      <c r="CB37" s="1354"/>
      <c r="CC37" s="1354"/>
    </row>
    <row r="38" spans="1:81" x14ac:dyDescent="0.2">
      <c r="A38" s="662" t="s">
        <v>104</v>
      </c>
      <c r="B38" s="303" t="s">
        <v>89</v>
      </c>
      <c r="D38" s="688" t="s">
        <v>94</v>
      </c>
      <c r="H38" s="686">
        <f>H32-D32</f>
        <v>215.40099999999984</v>
      </c>
      <c r="L38" s="686">
        <f>L32-H32</f>
        <v>464.6040000000005</v>
      </c>
      <c r="P38" s="686">
        <f>P32-L32</f>
        <v>7.0589999999997417</v>
      </c>
      <c r="Q38" s="686"/>
      <c r="T38" s="686">
        <f>T32-P32</f>
        <v>336.57200000000012</v>
      </c>
      <c r="X38" s="686">
        <f>X32-T32</f>
        <v>-1409.0070000000001</v>
      </c>
      <c r="AB38" s="686">
        <f>AB32-X32</f>
        <v>203.59100000000012</v>
      </c>
      <c r="AF38" s="686">
        <f>AF32-AB32</f>
        <v>198.8900000000001</v>
      </c>
      <c r="AJ38" s="686">
        <f>AJ32-AF32</f>
        <v>-93.488000000000284</v>
      </c>
      <c r="AN38" s="686">
        <f>AN32-AJ32</f>
        <v>-309</v>
      </c>
      <c r="AR38" s="686">
        <f>AR32-AN32</f>
        <v>212</v>
      </c>
      <c r="AV38" s="686">
        <f>AV32-AR32</f>
        <v>-48</v>
      </c>
      <c r="AZ38" s="686">
        <f>AZ32-AV32</f>
        <v>742</v>
      </c>
      <c r="BD38" s="686">
        <f>BD32-AZ32</f>
        <v>88</v>
      </c>
      <c r="BH38" s="686">
        <f>BH32-BD32</f>
        <v>-258</v>
      </c>
      <c r="BL38" s="686">
        <f>BL32-BH32</f>
        <v>281</v>
      </c>
      <c r="BP38" s="686">
        <f>BP32-BL32</f>
        <v>-298</v>
      </c>
    </row>
    <row r="39" spans="1:81" x14ac:dyDescent="0.2">
      <c r="A39" s="662" t="s">
        <v>105</v>
      </c>
      <c r="B39" s="303" t="s">
        <v>90</v>
      </c>
      <c r="D39" s="688" t="s">
        <v>94</v>
      </c>
      <c r="H39" s="686">
        <f>H33-D33</f>
        <v>183.30199999999968</v>
      </c>
      <c r="L39" s="686">
        <f>L33-H33</f>
        <v>245.29300000000057</v>
      </c>
      <c r="P39" s="686">
        <f>P33-L33</f>
        <v>-62.117000000000417</v>
      </c>
      <c r="Q39" s="686"/>
      <c r="T39" s="686">
        <f>T33-P33</f>
        <v>396.61900000000037</v>
      </c>
      <c r="X39" s="686">
        <f>X33-T33</f>
        <v>-1319.5940000000005</v>
      </c>
      <c r="AB39" s="686">
        <f>AB33-X33</f>
        <v>216.88100000000009</v>
      </c>
      <c r="AF39" s="686">
        <f>AF33-AB33</f>
        <v>58.693000000000097</v>
      </c>
      <c r="AJ39" s="686">
        <f>AJ33-AF33</f>
        <v>-118.27499999999998</v>
      </c>
      <c r="AN39" s="686">
        <f>AN33-AJ33</f>
        <v>-16</v>
      </c>
      <c r="AR39" s="686">
        <f>AR33-AN33</f>
        <v>142</v>
      </c>
      <c r="AV39" s="686">
        <f>AV33-AR33</f>
        <v>323</v>
      </c>
      <c r="AZ39" s="686">
        <f>AZ33-AV33</f>
        <v>420</v>
      </c>
      <c r="BD39" s="686">
        <f>BD33-AZ33</f>
        <v>-2</v>
      </c>
      <c r="BH39" s="686">
        <f>BH33-BD33</f>
        <v>-116</v>
      </c>
      <c r="BL39" s="686">
        <f>BL33-BH33</f>
        <v>-57</v>
      </c>
      <c r="BP39" s="686">
        <f>BP33-BL33</f>
        <v>127</v>
      </c>
    </row>
    <row r="40" spans="1:81" x14ac:dyDescent="0.2">
      <c r="A40" s="662" t="s">
        <v>106</v>
      </c>
      <c r="B40" s="303" t="s">
        <v>91</v>
      </c>
      <c r="D40" s="688" t="s">
        <v>94</v>
      </c>
      <c r="H40" s="686">
        <f>H34-D34</f>
        <v>362.35300000000007</v>
      </c>
      <c r="L40" s="686">
        <f>L34-H34</f>
        <v>123.39799999999991</v>
      </c>
      <c r="P40" s="686">
        <f>P34-L34</f>
        <v>150.34999999999945</v>
      </c>
      <c r="Q40" s="686"/>
      <c r="T40" s="686">
        <f>T34-P34</f>
        <v>240.04000000000042</v>
      </c>
      <c r="X40" s="686">
        <f>X34-T34</f>
        <v>-1502.0259999999998</v>
      </c>
      <c r="AB40" s="686">
        <f>AB34-X34</f>
        <v>585.32799999999986</v>
      </c>
      <c r="AF40" s="686">
        <f>AF34-AB34</f>
        <v>-24.717999999999847</v>
      </c>
      <c r="AJ40" s="686">
        <f>AJ34-AF34</f>
        <v>-451.85599999999999</v>
      </c>
      <c r="AN40" s="686">
        <f>AN34-AJ34</f>
        <v>220</v>
      </c>
      <c r="AR40" s="686">
        <f>AR34-AN34</f>
        <v>208</v>
      </c>
      <c r="AV40" s="686">
        <f>AV34-AR34</f>
        <v>170</v>
      </c>
      <c r="AZ40" s="686">
        <f>AZ34-AV34</f>
        <v>204</v>
      </c>
      <c r="BD40" s="686">
        <f>BD34-AZ34</f>
        <v>12</v>
      </c>
      <c r="BH40" s="686">
        <f>BH34-BD34</f>
        <v>64</v>
      </c>
      <c r="BL40" s="686">
        <f>BL34-BH34</f>
        <v>-306</v>
      </c>
      <c r="BP40" s="686">
        <f t="shared" ref="BP40:BP41" si="0">BP34-BL34</f>
        <v>-69</v>
      </c>
    </row>
    <row r="41" spans="1:81" x14ac:dyDescent="0.2">
      <c r="A41" s="662" t="s">
        <v>107</v>
      </c>
      <c r="B41" s="303" t="s">
        <v>92</v>
      </c>
      <c r="D41" s="688" t="s">
        <v>94</v>
      </c>
      <c r="H41" s="686">
        <f>H35-D35</f>
        <v>301.09799999999973</v>
      </c>
      <c r="L41" s="686">
        <f>L35-H35</f>
        <v>202.28600000000051</v>
      </c>
      <c r="P41" s="686">
        <f>P35-L35</f>
        <v>217.48299999999995</v>
      </c>
      <c r="Q41" s="686"/>
      <c r="T41" s="686">
        <f>T35-P35</f>
        <v>355.36300000000051</v>
      </c>
      <c r="X41" s="686">
        <f>X35-T35</f>
        <v>-1459.7990000000004</v>
      </c>
      <c r="AB41" s="686">
        <f>AB35-X35</f>
        <v>420.64800000000025</v>
      </c>
      <c r="AF41" s="686">
        <f>AF35-AB35</f>
        <v>-75.471000000000458</v>
      </c>
      <c r="AJ41" s="686">
        <f>AJ35-AF35</f>
        <v>-385</v>
      </c>
      <c r="AN41" s="686">
        <f>AN35-AJ35</f>
        <v>229</v>
      </c>
      <c r="AR41" s="686">
        <f>AR35-AN35</f>
        <v>41</v>
      </c>
      <c r="AV41" s="686">
        <f>AV35-AR35</f>
        <v>641</v>
      </c>
      <c r="AZ41" s="686">
        <f>AZ35-AV35</f>
        <v>-28</v>
      </c>
      <c r="BD41" s="686">
        <f>BD35-AZ35</f>
        <v>-182</v>
      </c>
      <c r="BH41" s="686">
        <f>BH35-BD35</f>
        <v>240</v>
      </c>
      <c r="BL41" s="686">
        <f>BL35-BH35</f>
        <v>-452</v>
      </c>
      <c r="BP41" s="686">
        <f t="shared" si="0"/>
        <v>168</v>
      </c>
    </row>
    <row r="43" spans="1:81" x14ac:dyDescent="0.2">
      <c r="A43" s="689" t="s">
        <v>88</v>
      </c>
    </row>
  </sheetData>
  <mergeCells count="6">
    <mergeCell ref="A31:CC31"/>
    <mergeCell ref="A37:CC37"/>
    <mergeCell ref="A7:CC7"/>
    <mergeCell ref="A13:CC13"/>
    <mergeCell ref="A19:CC19"/>
    <mergeCell ref="A25:CC25"/>
  </mergeCells>
  <phoneticPr fontId="11" type="noConversion"/>
  <printOptions horizontalCentered="1" verticalCentered="1"/>
  <pageMargins left="0.75" right="0.75" top="0.5" bottom="0.5" header="0.5" footer="0.5"/>
  <pageSetup orientation="landscape" horizontalDpi="300" verticalDpi="300"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L61"/>
  <sheetViews>
    <sheetView zoomScaleNormal="100" workbookViewId="0">
      <selection activeCell="AF6" sqref="AF6"/>
    </sheetView>
  </sheetViews>
  <sheetFormatPr defaultRowHeight="12.75" outlineLevelCol="1" x14ac:dyDescent="0.2"/>
  <cols>
    <col min="1" max="1" width="3.140625" style="303" customWidth="1"/>
    <col min="2" max="2" width="4.42578125" style="303" customWidth="1"/>
    <col min="3" max="3" width="4.28515625" style="303" customWidth="1"/>
    <col min="4" max="4" width="10.28515625" style="303" hidden="1" customWidth="1" outlineLevel="1"/>
    <col min="5" max="5" width="2.140625" style="303" hidden="1" customWidth="1" outlineLevel="1"/>
    <col min="6" max="6" width="10.28515625" style="303" hidden="1" customWidth="1" outlineLevel="1"/>
    <col min="7" max="7" width="2.140625" style="303" hidden="1" customWidth="1" outlineLevel="1"/>
    <col min="8" max="8" width="10.28515625" style="303" hidden="1" customWidth="1" outlineLevel="1"/>
    <col min="9" max="9" width="2.140625" style="303" hidden="1" customWidth="1" outlineLevel="1"/>
    <col min="10" max="10" width="10.28515625" style="303" hidden="1" customWidth="1" outlineLevel="1"/>
    <col min="11" max="11" width="2.140625" style="303" hidden="1" customWidth="1" outlineLevel="1"/>
    <col min="12" max="12" width="10.28515625" style="303" hidden="1" customWidth="1" outlineLevel="1"/>
    <col min="13" max="13" width="2.140625" style="303" hidden="1" customWidth="1" outlineLevel="1"/>
    <col min="14" max="14" width="10.28515625" style="303" hidden="1" customWidth="1" outlineLevel="1"/>
    <col min="15" max="15" width="2.140625" style="303" hidden="1" customWidth="1" outlineLevel="1"/>
    <col min="16" max="16" width="10.28515625" style="303" hidden="1" customWidth="1" outlineLevel="1"/>
    <col min="17" max="17" width="2.140625" style="303" hidden="1" customWidth="1" outlineLevel="1"/>
    <col min="18" max="18" width="10.28515625" style="303" hidden="1" customWidth="1" outlineLevel="1"/>
    <col min="19" max="19" width="2.140625" style="303" hidden="1" customWidth="1" outlineLevel="1"/>
    <col min="20" max="20" width="10.28515625" style="303" hidden="1" customWidth="1" outlineLevel="1"/>
    <col min="21" max="21" width="2.140625" style="303" hidden="1" customWidth="1" outlineLevel="1"/>
    <col min="22" max="22" width="10.28515625" style="303" customWidth="1" collapsed="1"/>
    <col min="23" max="23" width="2.140625" style="303" customWidth="1"/>
    <col min="24" max="24" width="10.28515625" style="303" customWidth="1"/>
    <col min="25" max="25" width="2.140625" style="303" customWidth="1"/>
    <col min="26" max="26" width="10.28515625" style="303" customWidth="1"/>
    <col min="27" max="27" width="2.140625" style="303" customWidth="1"/>
    <col min="28" max="28" width="10.28515625" style="303" customWidth="1"/>
    <col min="29" max="29" width="2.140625" style="303" customWidth="1"/>
    <col min="30" max="30" width="10.28515625" style="303" customWidth="1"/>
    <col min="31" max="31" width="2.140625" style="303" customWidth="1"/>
    <col min="32" max="32" width="10.28515625" style="303" customWidth="1"/>
    <col min="33" max="33" width="2.140625" style="303" customWidth="1"/>
    <col min="34" max="34" width="10.28515625" style="303" customWidth="1"/>
    <col min="35" max="35" width="1.7109375" style="303" customWidth="1"/>
    <col min="36" max="36" width="10.28515625" style="303" customWidth="1"/>
    <col min="37" max="37" width="1.7109375" style="303" hidden="1" customWidth="1"/>
    <col min="38" max="38" width="10.28515625" style="303" hidden="1" customWidth="1"/>
    <col min="39" max="16384" width="9.140625" style="303"/>
  </cols>
  <sheetData>
    <row r="1" spans="1:38" x14ac:dyDescent="0.2">
      <c r="A1" s="310" t="s">
        <v>453</v>
      </c>
    </row>
    <row r="2" spans="1:38" x14ac:dyDescent="0.2">
      <c r="A2" s="427" t="s">
        <v>576</v>
      </c>
      <c r="B2" s="313"/>
      <c r="C2" s="313"/>
      <c r="D2" s="313"/>
      <c r="E2" s="313"/>
      <c r="F2" s="313"/>
      <c r="G2" s="313"/>
      <c r="H2" s="313"/>
      <c r="I2" s="313"/>
      <c r="J2" s="313"/>
      <c r="K2" s="313"/>
      <c r="L2" s="313"/>
      <c r="M2" s="313"/>
      <c r="N2" s="313"/>
      <c r="O2" s="313"/>
      <c r="P2" s="313"/>
      <c r="Q2" s="313"/>
      <c r="R2" s="313"/>
      <c r="S2" s="313"/>
      <c r="T2" s="313"/>
      <c r="U2" s="313"/>
      <c r="V2" s="313"/>
      <c r="W2" s="313"/>
      <c r="X2" s="313"/>
      <c r="Y2" s="313"/>
      <c r="Z2" s="313"/>
      <c r="AA2" s="313"/>
      <c r="AB2" s="313"/>
      <c r="AC2" s="313"/>
      <c r="AD2" s="313"/>
      <c r="AE2" s="313"/>
      <c r="AF2" s="313"/>
      <c r="AG2" s="313"/>
      <c r="AH2" s="313"/>
      <c r="AI2" s="313"/>
      <c r="AJ2" s="313"/>
    </row>
    <row r="3" spans="1:38" x14ac:dyDescent="0.2">
      <c r="A3" s="557" t="s">
        <v>112</v>
      </c>
      <c r="AK3" s="324"/>
      <c r="AL3" s="324"/>
    </row>
    <row r="5" spans="1:38" x14ac:dyDescent="0.2">
      <c r="D5" s="438">
        <v>2001</v>
      </c>
      <c r="F5" s="438">
        <f>D5+1</f>
        <v>2002</v>
      </c>
      <c r="H5" s="438">
        <v>2003</v>
      </c>
      <c r="J5" s="438">
        <f>H5+1</f>
        <v>2004</v>
      </c>
      <c r="L5" s="438">
        <f>J5+1</f>
        <v>2005</v>
      </c>
      <c r="N5" s="438">
        <f>L5+1</f>
        <v>2006</v>
      </c>
      <c r="P5" s="438">
        <f>N5+1</f>
        <v>2007</v>
      </c>
      <c r="R5" s="438">
        <f>P5+1</f>
        <v>2008</v>
      </c>
      <c r="T5" s="438">
        <f>R5+1</f>
        <v>2009</v>
      </c>
      <c r="V5" s="438">
        <f>T5+1</f>
        <v>2010</v>
      </c>
      <c r="X5" s="438">
        <f>V5+1</f>
        <v>2011</v>
      </c>
      <c r="Z5" s="438">
        <f>X5+1</f>
        <v>2012</v>
      </c>
      <c r="AB5" s="438">
        <f>Z5+1</f>
        <v>2013</v>
      </c>
      <c r="AD5" s="438">
        <f>AB5+1</f>
        <v>2014</v>
      </c>
      <c r="AF5" s="438">
        <f>AD5+1</f>
        <v>2015</v>
      </c>
      <c r="AH5" s="438">
        <v>2016</v>
      </c>
      <c r="AJ5" s="438">
        <v>2017</v>
      </c>
      <c r="AL5" s="438">
        <v>2018</v>
      </c>
    </row>
    <row r="7" spans="1:38" x14ac:dyDescent="0.2">
      <c r="A7" s="769" t="s">
        <v>113</v>
      </c>
      <c r="B7" s="769"/>
      <c r="C7" s="769"/>
      <c r="D7" s="769"/>
      <c r="E7" s="769"/>
      <c r="F7" s="769"/>
      <c r="G7" s="769"/>
      <c r="H7" s="769"/>
      <c r="I7" s="769"/>
      <c r="J7" s="769"/>
      <c r="K7" s="769"/>
      <c r="L7" s="769"/>
      <c r="M7" s="769"/>
      <c r="N7" s="769"/>
      <c r="O7" s="769"/>
      <c r="P7" s="769"/>
      <c r="Q7" s="769"/>
      <c r="R7" s="769"/>
      <c r="S7" s="769"/>
      <c r="T7" s="769"/>
      <c r="U7" s="769"/>
      <c r="V7" s="769"/>
      <c r="W7" s="769"/>
      <c r="X7" s="769"/>
      <c r="Y7" s="769"/>
      <c r="Z7" s="769"/>
      <c r="AA7" s="769"/>
      <c r="AB7" s="769"/>
      <c r="AC7" s="769"/>
      <c r="AD7" s="769"/>
      <c r="AE7" s="769"/>
      <c r="AF7" s="769"/>
      <c r="AG7" s="769"/>
      <c r="AH7" s="769"/>
      <c r="AJ7" s="769"/>
    </row>
    <row r="8" spans="1:38" x14ac:dyDescent="0.2">
      <c r="A8" s="303" t="s">
        <v>104</v>
      </c>
      <c r="B8" s="303" t="s">
        <v>89</v>
      </c>
      <c r="D8" s="684">
        <v>55.106920000000287</v>
      </c>
      <c r="E8" s="531"/>
      <c r="F8" s="684">
        <v>108.33192000000078</v>
      </c>
      <c r="G8" s="531"/>
      <c r="H8" s="684">
        <v>101.38892000000081</v>
      </c>
      <c r="I8" s="531"/>
      <c r="J8" s="684">
        <v>99.802319999999881</v>
      </c>
      <c r="K8" s="531"/>
      <c r="L8" s="684">
        <v>126.94580800000145</v>
      </c>
      <c r="M8" s="531"/>
      <c r="N8" s="684">
        <v>195.19495924578169</v>
      </c>
      <c r="O8" s="531"/>
      <c r="P8" s="684">
        <v>250.93536314399569</v>
      </c>
      <c r="Q8" s="531"/>
      <c r="R8" s="684">
        <v>238.79236314399631</v>
      </c>
      <c r="S8" s="531"/>
      <c r="T8" s="684">
        <v>856</v>
      </c>
      <c r="U8" s="531"/>
      <c r="V8" s="979">
        <v>2388</v>
      </c>
      <c r="W8" s="980"/>
      <c r="X8" s="979">
        <v>1668</v>
      </c>
      <c r="Y8" s="980"/>
      <c r="Z8" s="979">
        <v>1029</v>
      </c>
      <c r="AA8" s="980"/>
      <c r="AB8" s="979">
        <v>518</v>
      </c>
      <c r="AC8" s="980"/>
      <c r="AD8" s="979">
        <v>717</v>
      </c>
      <c r="AE8" s="980"/>
      <c r="AF8" s="979">
        <v>1195</v>
      </c>
      <c r="AG8" s="980"/>
      <c r="AH8" s="981">
        <v>423</v>
      </c>
      <c r="AI8" s="980"/>
      <c r="AJ8" s="981">
        <v>625</v>
      </c>
    </row>
    <row r="9" spans="1:38" x14ac:dyDescent="0.2">
      <c r="A9" s="303" t="s">
        <v>105</v>
      </c>
      <c r="B9" s="303" t="s">
        <v>90</v>
      </c>
      <c r="D9" s="684">
        <v>68.091920000000258</v>
      </c>
      <c r="E9" s="531"/>
      <c r="F9" s="684">
        <v>90.791920000000772</v>
      </c>
      <c r="G9" s="531"/>
      <c r="H9" s="684">
        <v>112.07692000000046</v>
      </c>
      <c r="I9" s="531"/>
      <c r="J9" s="684">
        <v>105.27132000000006</v>
      </c>
      <c r="K9" s="531"/>
      <c r="L9" s="684">
        <v>129.64358760399094</v>
      </c>
      <c r="M9" s="531"/>
      <c r="N9" s="684">
        <v>162.64436314399509</v>
      </c>
      <c r="O9" s="531"/>
      <c r="P9" s="684">
        <v>229.92236314399551</v>
      </c>
      <c r="Q9" s="531"/>
      <c r="R9" s="684">
        <v>216.93836314399596</v>
      </c>
      <c r="S9" s="531"/>
      <c r="T9" s="684">
        <v>1310</v>
      </c>
      <c r="U9" s="531"/>
      <c r="V9" s="979">
        <v>2519</v>
      </c>
      <c r="W9" s="980"/>
      <c r="X9" s="979">
        <v>1170</v>
      </c>
      <c r="Y9" s="980"/>
      <c r="Z9" s="979">
        <v>600</v>
      </c>
      <c r="AA9" s="980"/>
      <c r="AB9" s="979">
        <v>592</v>
      </c>
      <c r="AC9" s="980"/>
      <c r="AD9" s="979">
        <v>746</v>
      </c>
      <c r="AE9" s="980"/>
      <c r="AF9" s="979">
        <v>934</v>
      </c>
      <c r="AG9" s="980"/>
      <c r="AH9" s="979">
        <v>700</v>
      </c>
      <c r="AI9" s="982"/>
      <c r="AJ9" s="979">
        <v>552</v>
      </c>
    </row>
    <row r="10" spans="1:38" x14ac:dyDescent="0.2">
      <c r="A10" s="303" t="s">
        <v>106</v>
      </c>
      <c r="B10" s="303" t="s">
        <v>91</v>
      </c>
      <c r="D10" s="684">
        <v>72.412920000000256</v>
      </c>
      <c r="E10" s="531"/>
      <c r="F10" s="684">
        <v>95.042920000001033</v>
      </c>
      <c r="G10" s="531"/>
      <c r="H10" s="684">
        <v>108.2709200000003</v>
      </c>
      <c r="I10" s="531"/>
      <c r="J10" s="684">
        <v>111.85089000000028</v>
      </c>
      <c r="K10" s="531"/>
      <c r="L10" s="684">
        <v>132.7985876039908</v>
      </c>
      <c r="M10" s="531"/>
      <c r="N10" s="684">
        <v>198.72636314399566</v>
      </c>
      <c r="O10" s="531"/>
      <c r="P10" s="684">
        <v>294.98236314399617</v>
      </c>
      <c r="Q10" s="531"/>
      <c r="R10" s="684">
        <v>242.97936314399595</v>
      </c>
      <c r="S10" s="531"/>
      <c r="T10" s="684">
        <v>1498</v>
      </c>
      <c r="U10" s="531"/>
      <c r="V10" s="979">
        <v>2441</v>
      </c>
      <c r="W10" s="980"/>
      <c r="X10" s="979">
        <v>760</v>
      </c>
      <c r="Y10" s="980"/>
      <c r="Z10" s="979">
        <v>550</v>
      </c>
      <c r="AA10" s="980"/>
      <c r="AB10" s="979">
        <v>598</v>
      </c>
      <c r="AC10" s="980"/>
      <c r="AD10" s="979">
        <v>631</v>
      </c>
      <c r="AE10" s="980"/>
      <c r="AF10" s="979">
        <v>501</v>
      </c>
      <c r="AG10" s="980"/>
      <c r="AH10" s="979">
        <v>597</v>
      </c>
      <c r="AI10" s="980"/>
      <c r="AJ10" s="979">
        <v>736</v>
      </c>
    </row>
    <row r="11" spans="1:38" x14ac:dyDescent="0.2">
      <c r="A11" s="303" t="s">
        <v>107</v>
      </c>
      <c r="B11" s="303" t="s">
        <v>92</v>
      </c>
      <c r="D11" s="684">
        <v>117.71092000000048</v>
      </c>
      <c r="E11" s="531"/>
      <c r="F11" s="684">
        <v>99.307920000001559</v>
      </c>
      <c r="G11" s="531"/>
      <c r="H11" s="684">
        <v>112.75892000000002</v>
      </c>
      <c r="I11" s="531"/>
      <c r="J11" s="684">
        <v>116.84980800000039</v>
      </c>
      <c r="K11" s="531"/>
      <c r="L11" s="684">
        <v>126.97958760399061</v>
      </c>
      <c r="M11" s="531"/>
      <c r="N11" s="684">
        <v>189.22736314399546</v>
      </c>
      <c r="O11" s="531"/>
      <c r="P11" s="684">
        <v>180.53036314399606</v>
      </c>
      <c r="Q11" s="531"/>
      <c r="R11" s="684">
        <v>166.65736314399595</v>
      </c>
      <c r="S11" s="531"/>
      <c r="T11" s="684">
        <v>2267</v>
      </c>
      <c r="U11" s="531"/>
      <c r="V11" s="979">
        <v>2277</v>
      </c>
      <c r="W11" s="980"/>
      <c r="X11" s="979">
        <v>1205</v>
      </c>
      <c r="Y11" s="980"/>
      <c r="Z11" s="979">
        <f>bal!Z9</f>
        <v>536.5</v>
      </c>
      <c r="AA11" s="983"/>
      <c r="AB11" s="979">
        <v>971</v>
      </c>
      <c r="AC11" s="983"/>
      <c r="AD11" s="979">
        <v>1407</v>
      </c>
      <c r="AE11" s="983"/>
      <c r="AF11" s="979">
        <v>707</v>
      </c>
      <c r="AG11" s="983"/>
      <c r="AH11" s="979">
        <v>1074</v>
      </c>
      <c r="AI11" s="980"/>
      <c r="AJ11" s="979">
        <v>1308</v>
      </c>
    </row>
    <row r="13" spans="1:38" x14ac:dyDescent="0.2">
      <c r="A13" s="769" t="s">
        <v>114</v>
      </c>
      <c r="B13" s="769"/>
      <c r="C13" s="769"/>
      <c r="D13" s="769"/>
      <c r="E13" s="769"/>
      <c r="F13" s="769"/>
      <c r="G13" s="769"/>
      <c r="H13" s="769"/>
      <c r="I13" s="769"/>
      <c r="J13" s="769"/>
      <c r="K13" s="769"/>
      <c r="L13" s="769"/>
      <c r="M13" s="769"/>
      <c r="N13" s="769"/>
      <c r="O13" s="769"/>
      <c r="P13" s="769"/>
      <c r="Q13" s="769"/>
      <c r="R13" s="769"/>
      <c r="S13" s="769"/>
      <c r="T13" s="769"/>
      <c r="U13" s="769"/>
      <c r="V13" s="769"/>
      <c r="W13" s="769"/>
      <c r="X13" s="769"/>
      <c r="Y13" s="769"/>
      <c r="Z13" s="769"/>
      <c r="AA13" s="769"/>
      <c r="AB13" s="769"/>
      <c r="AC13" s="769"/>
      <c r="AD13" s="769"/>
      <c r="AE13" s="769"/>
      <c r="AF13" s="769"/>
      <c r="AG13" s="769"/>
      <c r="AH13" s="769"/>
      <c r="AJ13" s="769"/>
    </row>
    <row r="14" spans="1:38" x14ac:dyDescent="0.2">
      <c r="A14" s="303" t="s">
        <v>104</v>
      </c>
      <c r="B14" s="303" t="s">
        <v>89</v>
      </c>
      <c r="D14" s="684">
        <v>5</v>
      </c>
      <c r="E14" s="531"/>
      <c r="F14" s="684">
        <v>0</v>
      </c>
      <c r="G14" s="531"/>
      <c r="H14" s="684">
        <v>0</v>
      </c>
      <c r="I14" s="531"/>
      <c r="J14" s="684">
        <v>110</v>
      </c>
      <c r="K14" s="531"/>
      <c r="L14" s="684">
        <v>190</v>
      </c>
      <c r="M14" s="531"/>
      <c r="N14" s="684">
        <v>0</v>
      </c>
      <c r="O14" s="531"/>
      <c r="P14" s="684">
        <v>0</v>
      </c>
      <c r="Q14" s="531"/>
      <c r="R14" s="684">
        <v>109</v>
      </c>
      <c r="S14" s="531"/>
      <c r="T14" s="684">
        <v>0</v>
      </c>
      <c r="U14" s="531"/>
      <c r="V14" s="979">
        <v>0</v>
      </c>
      <c r="W14" s="980"/>
      <c r="X14" s="979">
        <v>0</v>
      </c>
      <c r="Y14" s="980"/>
      <c r="Z14" s="979">
        <v>98</v>
      </c>
      <c r="AA14" s="980"/>
      <c r="AB14" s="979">
        <v>107</v>
      </c>
      <c r="AC14" s="980"/>
      <c r="AD14" s="979">
        <v>112</v>
      </c>
      <c r="AE14" s="980"/>
      <c r="AF14" s="979">
        <v>113</v>
      </c>
      <c r="AG14" s="980"/>
      <c r="AH14" s="981">
        <v>127</v>
      </c>
      <c r="AI14" s="980"/>
      <c r="AJ14" s="981">
        <v>134</v>
      </c>
    </row>
    <row r="15" spans="1:38" x14ac:dyDescent="0.2">
      <c r="A15" s="303" t="s">
        <v>105</v>
      </c>
      <c r="B15" s="303" t="s">
        <v>90</v>
      </c>
      <c r="D15" s="684">
        <v>5</v>
      </c>
      <c r="E15" s="531"/>
      <c r="F15" s="684">
        <v>0</v>
      </c>
      <c r="G15" s="531"/>
      <c r="H15" s="684">
        <v>0</v>
      </c>
      <c r="I15" s="531"/>
      <c r="J15" s="684">
        <v>0</v>
      </c>
      <c r="K15" s="531"/>
      <c r="L15" s="684">
        <v>105.539</v>
      </c>
      <c r="M15" s="531"/>
      <c r="N15" s="684">
        <v>0</v>
      </c>
      <c r="O15" s="531"/>
      <c r="P15" s="684">
        <v>295</v>
      </c>
      <c r="Q15" s="531"/>
      <c r="R15" s="684">
        <v>0</v>
      </c>
      <c r="S15" s="531"/>
      <c r="T15" s="684">
        <v>0</v>
      </c>
      <c r="U15" s="531"/>
      <c r="V15" s="979">
        <v>0</v>
      </c>
      <c r="W15" s="980"/>
      <c r="X15" s="979">
        <v>0</v>
      </c>
      <c r="Y15" s="980"/>
      <c r="Z15" s="979">
        <v>94</v>
      </c>
      <c r="AA15" s="980"/>
      <c r="AB15" s="979">
        <v>147</v>
      </c>
      <c r="AC15" s="980"/>
      <c r="AD15" s="979">
        <v>105</v>
      </c>
      <c r="AE15" s="980"/>
      <c r="AF15" s="979">
        <f>317+117</f>
        <v>434</v>
      </c>
      <c r="AG15" s="980"/>
      <c r="AH15" s="979">
        <v>127</v>
      </c>
      <c r="AI15" s="980"/>
      <c r="AJ15" s="979">
        <v>133</v>
      </c>
    </row>
    <row r="16" spans="1:38" x14ac:dyDescent="0.2">
      <c r="A16" s="303" t="s">
        <v>106</v>
      </c>
      <c r="B16" s="303" t="s">
        <v>91</v>
      </c>
      <c r="D16" s="684">
        <v>165</v>
      </c>
      <c r="E16" s="531"/>
      <c r="F16" s="684">
        <v>225</v>
      </c>
      <c r="G16" s="531"/>
      <c r="H16" s="684">
        <v>225</v>
      </c>
      <c r="I16" s="531"/>
      <c r="J16" s="684">
        <v>354</v>
      </c>
      <c r="K16" s="531"/>
      <c r="L16" s="684">
        <v>331.5</v>
      </c>
      <c r="M16" s="531"/>
      <c r="N16" s="684">
        <v>0</v>
      </c>
      <c r="O16" s="531"/>
      <c r="P16" s="684">
        <v>170</v>
      </c>
      <c r="Q16" s="531"/>
      <c r="R16" s="684">
        <v>302</v>
      </c>
      <c r="S16" s="531"/>
      <c r="T16" s="684">
        <v>0</v>
      </c>
      <c r="U16" s="531"/>
      <c r="V16" s="979">
        <v>0</v>
      </c>
      <c r="W16" s="980"/>
      <c r="X16" s="979">
        <v>95</v>
      </c>
      <c r="Y16" s="980"/>
      <c r="Z16" s="979">
        <v>100</v>
      </c>
      <c r="AA16" s="980"/>
      <c r="AB16" s="979">
        <v>141</v>
      </c>
      <c r="AC16" s="980"/>
      <c r="AD16" s="979">
        <v>109</v>
      </c>
      <c r="AE16" s="980"/>
      <c r="AF16" s="979">
        <f>400+126</f>
        <v>526</v>
      </c>
      <c r="AG16" s="980"/>
      <c r="AH16" s="979">
        <v>128</v>
      </c>
      <c r="AI16" s="980"/>
      <c r="AJ16" s="979">
        <v>131</v>
      </c>
    </row>
    <row r="17" spans="1:36" x14ac:dyDescent="0.2">
      <c r="A17" s="303" t="s">
        <v>107</v>
      </c>
      <c r="B17" s="303" t="s">
        <v>92</v>
      </c>
      <c r="D17" s="684">
        <v>0</v>
      </c>
      <c r="E17" s="531"/>
      <c r="F17" s="684">
        <v>0</v>
      </c>
      <c r="G17" s="531"/>
      <c r="H17" s="684">
        <v>0</v>
      </c>
      <c r="I17" s="531"/>
      <c r="J17" s="684">
        <v>0</v>
      </c>
      <c r="K17" s="531"/>
      <c r="L17" s="684">
        <v>0</v>
      </c>
      <c r="M17" s="531"/>
      <c r="N17" s="684">
        <v>0</v>
      </c>
      <c r="O17" s="531"/>
      <c r="P17" s="684">
        <v>0</v>
      </c>
      <c r="Q17" s="531"/>
      <c r="R17" s="684">
        <v>0</v>
      </c>
      <c r="S17" s="531"/>
      <c r="T17" s="684">
        <v>0</v>
      </c>
      <c r="U17" s="531"/>
      <c r="V17" s="979">
        <v>0</v>
      </c>
      <c r="W17" s="980"/>
      <c r="X17" s="979">
        <v>0</v>
      </c>
      <c r="Y17" s="980"/>
      <c r="Z17" s="979">
        <f>bal!Z30+bal!Z31</f>
        <v>105</v>
      </c>
      <c r="AA17" s="980"/>
      <c r="AB17" s="979">
        <v>139</v>
      </c>
      <c r="AC17" s="980"/>
      <c r="AD17" s="979">
        <v>110</v>
      </c>
      <c r="AE17" s="980"/>
      <c r="AF17" s="979">
        <v>127</v>
      </c>
      <c r="AG17" s="980"/>
      <c r="AH17" s="979">
        <v>131</v>
      </c>
      <c r="AI17" s="980"/>
      <c r="AJ17" s="979">
        <v>126</v>
      </c>
    </row>
    <row r="19" spans="1:36" x14ac:dyDescent="0.2">
      <c r="A19" s="769" t="s">
        <v>115</v>
      </c>
      <c r="B19" s="769"/>
      <c r="C19" s="769"/>
      <c r="D19" s="769"/>
      <c r="E19" s="769"/>
      <c r="F19" s="769"/>
      <c r="G19" s="769"/>
      <c r="H19" s="769"/>
      <c r="I19" s="769"/>
      <c r="J19" s="769"/>
      <c r="K19" s="769"/>
      <c r="L19" s="769"/>
      <c r="M19" s="769"/>
      <c r="N19" s="769"/>
      <c r="O19" s="769"/>
      <c r="P19" s="769"/>
      <c r="Q19" s="769"/>
      <c r="R19" s="769"/>
      <c r="S19" s="769"/>
      <c r="T19" s="769"/>
      <c r="U19" s="769"/>
      <c r="V19" s="769"/>
      <c r="W19" s="769"/>
      <c r="X19" s="769"/>
      <c r="Y19" s="769"/>
      <c r="Z19" s="769"/>
      <c r="AA19" s="769"/>
      <c r="AB19" s="769"/>
      <c r="AC19" s="769"/>
      <c r="AD19" s="769"/>
      <c r="AE19" s="769"/>
      <c r="AF19" s="769"/>
      <c r="AG19" s="769"/>
      <c r="AH19" s="769"/>
      <c r="AJ19" s="769"/>
    </row>
    <row r="20" spans="1:36" x14ac:dyDescent="0.2">
      <c r="A20" s="303" t="s">
        <v>104</v>
      </c>
      <c r="B20" s="303" t="s">
        <v>89</v>
      </c>
      <c r="D20" s="684">
        <v>1089.434</v>
      </c>
      <c r="E20" s="531"/>
      <c r="F20" s="684">
        <v>1087.8820000000001</v>
      </c>
      <c r="G20" s="531"/>
      <c r="H20" s="684">
        <v>1064.836</v>
      </c>
      <c r="I20" s="531"/>
      <c r="J20" s="684">
        <v>1088.663</v>
      </c>
      <c r="K20" s="531"/>
      <c r="L20" s="684">
        <v>1118.0329999999999</v>
      </c>
      <c r="M20" s="531"/>
      <c r="N20" s="684">
        <v>1043.952</v>
      </c>
      <c r="O20" s="531"/>
      <c r="P20" s="684">
        <v>1040.915</v>
      </c>
      <c r="Q20" s="531"/>
      <c r="R20" s="684">
        <v>2048.08</v>
      </c>
      <c r="S20" s="531"/>
      <c r="T20" s="684">
        <v>2056</v>
      </c>
      <c r="U20" s="531"/>
      <c r="V20" s="979">
        <v>3557</v>
      </c>
      <c r="W20" s="980"/>
      <c r="X20" s="979">
        <v>3490</v>
      </c>
      <c r="Y20" s="980"/>
      <c r="Z20" s="979">
        <v>4149</v>
      </c>
      <c r="AA20" s="980"/>
      <c r="AB20" s="979">
        <f>2492+1938</f>
        <v>4430</v>
      </c>
      <c r="AC20" s="980"/>
      <c r="AD20" s="979">
        <f>2792+1919</f>
        <v>4711</v>
      </c>
      <c r="AE20" s="980"/>
      <c r="AF20" s="979">
        <f>2793+1840</f>
        <v>4633</v>
      </c>
      <c r="AG20" s="980"/>
      <c r="AH20" s="979">
        <f>2793+1770</f>
        <v>4563</v>
      </c>
      <c r="AI20" s="980"/>
      <c r="AJ20" s="979">
        <f>2795+1657</f>
        <v>4452</v>
      </c>
    </row>
    <row r="21" spans="1:36" x14ac:dyDescent="0.2">
      <c r="A21" s="303" t="s">
        <v>105</v>
      </c>
      <c r="B21" s="303" t="s">
        <v>90</v>
      </c>
      <c r="D21" s="684">
        <v>1091.1500000000001</v>
      </c>
      <c r="E21" s="531"/>
      <c r="F21" s="684">
        <v>1089.6949999999999</v>
      </c>
      <c r="G21" s="531"/>
      <c r="H21" s="684">
        <v>1064.174</v>
      </c>
      <c r="I21" s="531"/>
      <c r="J21" s="684">
        <v>1091.421</v>
      </c>
      <c r="K21" s="531"/>
      <c r="L21" s="684">
        <v>1036.172</v>
      </c>
      <c r="M21" s="531"/>
      <c r="N21" s="684">
        <v>1041.3140000000001</v>
      </c>
      <c r="O21" s="531"/>
      <c r="P21" s="684">
        <v>1040.847</v>
      </c>
      <c r="Q21" s="531"/>
      <c r="R21" s="684">
        <v>2049.6610000000001</v>
      </c>
      <c r="S21" s="531"/>
      <c r="T21" s="684">
        <v>2053</v>
      </c>
      <c r="U21" s="531"/>
      <c r="V21" s="979">
        <v>3589</v>
      </c>
      <c r="W21" s="980"/>
      <c r="X21" s="979">
        <v>3481</v>
      </c>
      <c r="Y21" s="980"/>
      <c r="Z21" s="979">
        <v>4138</v>
      </c>
      <c r="AA21" s="980"/>
      <c r="AB21" s="979">
        <f>2492+1948</f>
        <v>4440</v>
      </c>
      <c r="AC21" s="980"/>
      <c r="AD21" s="979">
        <f>2792+1896</f>
        <v>4688</v>
      </c>
      <c r="AE21" s="980"/>
      <c r="AF21" s="979">
        <f>2791+1821</f>
        <v>4612</v>
      </c>
      <c r="AG21" s="980"/>
      <c r="AH21" s="979">
        <f>2793+1709</f>
        <v>4502</v>
      </c>
      <c r="AI21" s="980"/>
      <c r="AJ21" s="981">
        <f>2796+1637</f>
        <v>4433</v>
      </c>
    </row>
    <row r="22" spans="1:36" x14ac:dyDescent="0.2">
      <c r="A22" s="303" t="s">
        <v>106</v>
      </c>
      <c r="B22" s="303" t="s">
        <v>91</v>
      </c>
      <c r="D22" s="684">
        <v>1093.5070000000001</v>
      </c>
      <c r="E22" s="531"/>
      <c r="F22" s="684">
        <v>1236.94</v>
      </c>
      <c r="G22" s="531"/>
      <c r="H22" s="684">
        <v>1167.6369999999999</v>
      </c>
      <c r="I22" s="531"/>
      <c r="J22" s="684">
        <v>1104.2829999999999</v>
      </c>
      <c r="K22" s="531"/>
      <c r="L22" s="684">
        <v>1040.232</v>
      </c>
      <c r="M22" s="531"/>
      <c r="N22" s="684">
        <v>1040.45</v>
      </c>
      <c r="O22" s="531"/>
      <c r="P22" s="684">
        <v>2045.5350000000001</v>
      </c>
      <c r="Q22" s="531"/>
      <c r="R22" s="684">
        <v>2056.7730000000001</v>
      </c>
      <c r="S22" s="531"/>
      <c r="T22" s="684">
        <v>2054</v>
      </c>
      <c r="U22" s="531"/>
      <c r="V22" s="979">
        <v>3499</v>
      </c>
      <c r="W22" s="980"/>
      <c r="X22" s="979">
        <f>2141+2003</f>
        <v>4144</v>
      </c>
      <c r="Y22" s="980"/>
      <c r="Z22" s="979">
        <f>2492+1986</f>
        <v>4478</v>
      </c>
      <c r="AA22" s="980"/>
      <c r="AB22" s="979">
        <f>2792+1950</f>
        <v>4742</v>
      </c>
      <c r="AC22" s="980"/>
      <c r="AD22" s="979">
        <f>2793+1886</f>
        <v>4679</v>
      </c>
      <c r="AE22" s="980"/>
      <c r="AF22" s="979">
        <f>1817+2792</f>
        <v>4609</v>
      </c>
      <c r="AG22" s="980"/>
      <c r="AH22" s="979">
        <f>2794+1702</f>
        <v>4496</v>
      </c>
      <c r="AI22" s="980"/>
      <c r="AJ22" s="979">
        <f>2796+1622</f>
        <v>4418</v>
      </c>
    </row>
    <row r="23" spans="1:36" x14ac:dyDescent="0.2">
      <c r="A23" s="303" t="s">
        <v>107</v>
      </c>
      <c r="B23" s="303" t="s">
        <v>92</v>
      </c>
      <c r="D23" s="684">
        <v>1095.42</v>
      </c>
      <c r="E23" s="531"/>
      <c r="F23" s="684">
        <v>1058.7840000000001</v>
      </c>
      <c r="G23" s="531"/>
      <c r="H23" s="684">
        <v>1075.973</v>
      </c>
      <c r="I23" s="531"/>
      <c r="J23" s="684">
        <v>1103.441</v>
      </c>
      <c r="K23" s="531"/>
      <c r="L23" s="684">
        <v>1046.104</v>
      </c>
      <c r="M23" s="531"/>
      <c r="N23" s="684">
        <v>1040.057</v>
      </c>
      <c r="O23" s="531"/>
      <c r="P23" s="684">
        <v>2051.875</v>
      </c>
      <c r="Q23" s="531"/>
      <c r="R23" s="684">
        <v>2053</v>
      </c>
      <c r="S23" s="531"/>
      <c r="T23" s="684">
        <v>3862</v>
      </c>
      <c r="U23" s="531"/>
      <c r="V23" s="979">
        <v>3512</v>
      </c>
      <c r="W23" s="980"/>
      <c r="X23" s="979">
        <v>4150</v>
      </c>
      <c r="Y23" s="980"/>
      <c r="Z23" s="979">
        <f>bal!Z34</f>
        <v>4448</v>
      </c>
      <c r="AA23" s="980"/>
      <c r="AB23" s="979">
        <f>2792+1930</f>
        <v>4722</v>
      </c>
      <c r="AC23" s="980"/>
      <c r="AD23" s="979">
        <f>2793+1858</f>
        <v>4651</v>
      </c>
      <c r="AE23" s="980"/>
      <c r="AF23" s="979">
        <f>2792+1789</f>
        <v>4581</v>
      </c>
      <c r="AG23" s="980"/>
      <c r="AH23" s="979">
        <f>2795+1685</f>
        <v>4480</v>
      </c>
      <c r="AI23" s="980"/>
      <c r="AJ23" s="979">
        <f>2797+2795</f>
        <v>5592</v>
      </c>
    </row>
    <row r="25" spans="1:36" x14ac:dyDescent="0.2">
      <c r="A25" s="769" t="s">
        <v>116</v>
      </c>
      <c r="B25" s="769"/>
      <c r="C25" s="769"/>
      <c r="D25" s="769"/>
      <c r="E25" s="769"/>
      <c r="F25" s="769"/>
      <c r="G25" s="769"/>
      <c r="H25" s="769"/>
      <c r="I25" s="769"/>
      <c r="J25" s="769"/>
      <c r="K25" s="769"/>
      <c r="L25" s="769"/>
      <c r="M25" s="769"/>
      <c r="N25" s="769"/>
      <c r="O25" s="769"/>
      <c r="P25" s="769"/>
      <c r="Q25" s="769"/>
      <c r="R25" s="769"/>
      <c r="S25" s="769"/>
      <c r="T25" s="769"/>
      <c r="U25" s="769"/>
      <c r="V25" s="769"/>
      <c r="W25" s="769"/>
      <c r="X25" s="769"/>
      <c r="Y25" s="769"/>
      <c r="Z25" s="769"/>
      <c r="AA25" s="769"/>
      <c r="AB25" s="769"/>
      <c r="AC25" s="769"/>
      <c r="AD25" s="769"/>
      <c r="AE25" s="769"/>
      <c r="AF25" s="769"/>
      <c r="AG25" s="769"/>
      <c r="AH25" s="769"/>
      <c r="AJ25" s="769"/>
    </row>
    <row r="26" spans="1:36" x14ac:dyDescent="0.2">
      <c r="A26" s="303" t="s">
        <v>104</v>
      </c>
      <c r="B26" s="303" t="s">
        <v>89</v>
      </c>
      <c r="D26" s="414">
        <f>D20+D14</f>
        <v>1094.434</v>
      </c>
      <c r="F26" s="414">
        <f>F20+F14</f>
        <v>1087.8820000000001</v>
      </c>
      <c r="H26" s="414">
        <f>H20+H14</f>
        <v>1064.836</v>
      </c>
      <c r="J26" s="414">
        <f>J20+J14</f>
        <v>1198.663</v>
      </c>
      <c r="L26" s="414">
        <f>L20+L14</f>
        <v>1308.0329999999999</v>
      </c>
      <c r="N26" s="414">
        <f>N20+N14</f>
        <v>1043.952</v>
      </c>
      <c r="P26" s="414">
        <f>P20+P14</f>
        <v>1040.915</v>
      </c>
      <c r="R26" s="414">
        <f>R20+R14</f>
        <v>2157.08</v>
      </c>
      <c r="T26" s="414">
        <f>T20+T14</f>
        <v>2056</v>
      </c>
      <c r="U26" s="497"/>
      <c r="V26" s="414">
        <f>V20+V14</f>
        <v>3557</v>
      </c>
      <c r="W26" s="497"/>
      <c r="X26" s="414">
        <f>X20+X14</f>
        <v>3490</v>
      </c>
      <c r="Y26" s="497"/>
      <c r="Z26" s="414">
        <f>Z20+Z14</f>
        <v>4247</v>
      </c>
      <c r="AA26" s="497"/>
      <c r="AB26" s="414">
        <f>AB20+AB14</f>
        <v>4537</v>
      </c>
      <c r="AC26" s="497"/>
      <c r="AD26" s="414">
        <f>AD20+AD14</f>
        <v>4823</v>
      </c>
      <c r="AE26" s="497"/>
      <c r="AF26" s="414">
        <f>AF20+AF14</f>
        <v>4746</v>
      </c>
      <c r="AG26" s="497"/>
      <c r="AH26" s="414">
        <f>AH20+AH14</f>
        <v>4690</v>
      </c>
      <c r="AJ26" s="414">
        <f>AJ20+AJ14</f>
        <v>4586</v>
      </c>
    </row>
    <row r="27" spans="1:36" x14ac:dyDescent="0.2">
      <c r="A27" s="303" t="s">
        <v>105</v>
      </c>
      <c r="B27" s="303" t="s">
        <v>90</v>
      </c>
      <c r="D27" s="414">
        <f t="shared" ref="D27:F29" si="0">D21+D15</f>
        <v>1096.1500000000001</v>
      </c>
      <c r="F27" s="414">
        <f t="shared" si="0"/>
        <v>1089.6949999999999</v>
      </c>
      <c r="H27" s="414">
        <f>H21+H15</f>
        <v>1064.174</v>
      </c>
      <c r="J27" s="414">
        <f>J21+J15</f>
        <v>1091.421</v>
      </c>
      <c r="L27" s="414">
        <f>L21+L15</f>
        <v>1141.711</v>
      </c>
      <c r="N27" s="414">
        <f>N21+N15</f>
        <v>1041.3140000000001</v>
      </c>
      <c r="P27" s="414">
        <f>P21+P15</f>
        <v>1335.847</v>
      </c>
      <c r="R27" s="414">
        <f>R21+R15</f>
        <v>2049.6610000000001</v>
      </c>
      <c r="T27" s="414">
        <f>T21+T15</f>
        <v>2053</v>
      </c>
      <c r="U27" s="445"/>
      <c r="V27" s="414">
        <f>V21+V15</f>
        <v>3589</v>
      </c>
      <c r="W27" s="445"/>
      <c r="X27" s="414">
        <f>X21+X15</f>
        <v>3481</v>
      </c>
      <c r="Y27" s="445"/>
      <c r="Z27" s="414">
        <f>Z21+Z15</f>
        <v>4232</v>
      </c>
      <c r="AA27" s="445"/>
      <c r="AB27" s="414">
        <f>AB21+AB15</f>
        <v>4587</v>
      </c>
      <c r="AC27" s="445"/>
      <c r="AD27" s="414">
        <f>AD21+AD15</f>
        <v>4793</v>
      </c>
      <c r="AE27" s="445"/>
      <c r="AF27" s="414">
        <f>AF21+AF15</f>
        <v>5046</v>
      </c>
      <c r="AG27" s="445"/>
      <c r="AH27" s="414">
        <f>AH21+AH15</f>
        <v>4629</v>
      </c>
      <c r="AJ27" s="414">
        <f>AJ21+AJ15</f>
        <v>4566</v>
      </c>
    </row>
    <row r="28" spans="1:36" x14ac:dyDescent="0.2">
      <c r="A28" s="303" t="s">
        <v>106</v>
      </c>
      <c r="B28" s="303" t="s">
        <v>91</v>
      </c>
      <c r="D28" s="414">
        <f t="shared" si="0"/>
        <v>1258.5070000000001</v>
      </c>
      <c r="F28" s="414">
        <f t="shared" si="0"/>
        <v>1461.94</v>
      </c>
      <c r="H28" s="414">
        <f>H22+H16</f>
        <v>1392.6369999999999</v>
      </c>
      <c r="J28" s="414">
        <f>J22+J16</f>
        <v>1458.2829999999999</v>
      </c>
      <c r="L28" s="414">
        <f>L22+L16</f>
        <v>1371.732</v>
      </c>
      <c r="N28" s="414">
        <f>N22+N16</f>
        <v>1040.45</v>
      </c>
      <c r="P28" s="414">
        <f>P22+P16</f>
        <v>2215.5349999999999</v>
      </c>
      <c r="R28" s="414">
        <f>R22+R16</f>
        <v>2358.7730000000001</v>
      </c>
      <c r="T28" s="414">
        <f>T22+T16</f>
        <v>2054</v>
      </c>
      <c r="U28" s="445"/>
      <c r="V28" s="414">
        <f>V22+V16</f>
        <v>3499</v>
      </c>
      <c r="W28" s="445"/>
      <c r="X28" s="414">
        <f>X22+X16</f>
        <v>4239</v>
      </c>
      <c r="Y28" s="445"/>
      <c r="Z28" s="414">
        <f>Z22+Z16</f>
        <v>4578</v>
      </c>
      <c r="AA28" s="445"/>
      <c r="AB28" s="414">
        <f>AB22+AB16</f>
        <v>4883</v>
      </c>
      <c r="AC28" s="445"/>
      <c r="AD28" s="414">
        <f>AD22+AD16</f>
        <v>4788</v>
      </c>
      <c r="AE28" s="445"/>
      <c r="AF28" s="414">
        <f>AF22+AF16</f>
        <v>5135</v>
      </c>
      <c r="AG28" s="445"/>
      <c r="AH28" s="414">
        <f>AH22+AH16</f>
        <v>4624</v>
      </c>
      <c r="AJ28" s="414">
        <f>AJ22+AJ16</f>
        <v>4549</v>
      </c>
    </row>
    <row r="29" spans="1:36" x14ac:dyDescent="0.2">
      <c r="A29" s="303" t="s">
        <v>107</v>
      </c>
      <c r="B29" s="303" t="s">
        <v>92</v>
      </c>
      <c r="D29" s="414">
        <f t="shared" si="0"/>
        <v>1095.42</v>
      </c>
      <c r="F29" s="414">
        <f t="shared" si="0"/>
        <v>1058.7840000000001</v>
      </c>
      <c r="H29" s="414">
        <f>H23+H17</f>
        <v>1075.973</v>
      </c>
      <c r="J29" s="414">
        <f>J23+J17</f>
        <v>1103.441</v>
      </c>
      <c r="L29" s="414">
        <f>L23+L17</f>
        <v>1046.104</v>
      </c>
      <c r="N29" s="414">
        <f>N23+N17</f>
        <v>1040.057</v>
      </c>
      <c r="P29" s="414">
        <f>P23+P17</f>
        <v>2051.875</v>
      </c>
      <c r="R29" s="414">
        <f>R23+R17</f>
        <v>2053</v>
      </c>
      <c r="T29" s="414">
        <f>T23+T17</f>
        <v>3862</v>
      </c>
      <c r="U29" s="445"/>
      <c r="V29" s="414">
        <f>V23+V17</f>
        <v>3512</v>
      </c>
      <c r="W29" s="445"/>
      <c r="X29" s="414">
        <f>X23+X17</f>
        <v>4150</v>
      </c>
      <c r="Y29" s="445"/>
      <c r="Z29" s="414">
        <f>Z23+Z17</f>
        <v>4553</v>
      </c>
      <c r="AA29" s="445"/>
      <c r="AB29" s="414">
        <f>AB23+AB17</f>
        <v>4861</v>
      </c>
      <c r="AC29" s="445"/>
      <c r="AD29" s="414">
        <f>AD23+AD17</f>
        <v>4761</v>
      </c>
      <c r="AE29" s="445"/>
      <c r="AF29" s="414">
        <f>AF23+AF17</f>
        <v>4708</v>
      </c>
      <c r="AG29" s="445"/>
      <c r="AH29" s="414">
        <f>AH23+AH17</f>
        <v>4611</v>
      </c>
      <c r="AJ29" s="414">
        <f>AJ23+AJ17</f>
        <v>5718</v>
      </c>
    </row>
    <row r="31" spans="1:36" x14ac:dyDescent="0.2">
      <c r="A31" s="769" t="s">
        <v>117</v>
      </c>
      <c r="B31" s="770"/>
      <c r="C31" s="770"/>
      <c r="D31" s="770"/>
      <c r="E31" s="770"/>
      <c r="F31" s="770"/>
      <c r="G31" s="770"/>
      <c r="H31" s="770"/>
      <c r="I31" s="770"/>
      <c r="J31" s="770"/>
      <c r="K31" s="770"/>
      <c r="L31" s="770"/>
      <c r="M31" s="770"/>
      <c r="N31" s="770"/>
      <c r="O31" s="770"/>
      <c r="P31" s="770"/>
      <c r="Q31" s="770"/>
      <c r="R31" s="770"/>
      <c r="S31" s="770"/>
      <c r="T31" s="770"/>
      <c r="U31" s="770"/>
      <c r="V31" s="770"/>
      <c r="W31" s="770"/>
      <c r="X31" s="770"/>
      <c r="Y31" s="770"/>
      <c r="Z31" s="770"/>
      <c r="AA31" s="770"/>
      <c r="AB31" s="770"/>
      <c r="AC31" s="770"/>
      <c r="AD31" s="770"/>
      <c r="AE31" s="770"/>
      <c r="AF31" s="770"/>
      <c r="AG31" s="770"/>
      <c r="AH31" s="770"/>
      <c r="AJ31" s="770"/>
    </row>
    <row r="32" spans="1:36" x14ac:dyDescent="0.2">
      <c r="A32" s="303" t="s">
        <v>104</v>
      </c>
      <c r="B32" s="303" t="s">
        <v>89</v>
      </c>
      <c r="D32" s="414">
        <f>D26-D8</f>
        <v>1039.3270799999996</v>
      </c>
      <c r="F32" s="414">
        <f>F26-F8</f>
        <v>979.5500799999993</v>
      </c>
      <c r="H32" s="414">
        <f>H26-H8</f>
        <v>963.44707999999923</v>
      </c>
      <c r="J32" s="414">
        <f>J26-J8</f>
        <v>1098.8606800000002</v>
      </c>
      <c r="L32" s="414">
        <f>L26-L8</f>
        <v>1181.0871919999984</v>
      </c>
      <c r="N32" s="414">
        <f>N26-N8</f>
        <v>848.75704075421834</v>
      </c>
      <c r="P32" s="414">
        <f>P26-P8</f>
        <v>789.97963685600428</v>
      </c>
      <c r="R32" s="414">
        <f>R26-R8</f>
        <v>1918.2876368560037</v>
      </c>
      <c r="T32" s="414">
        <f>T26-T8</f>
        <v>1200</v>
      </c>
      <c r="U32" s="497"/>
      <c r="V32" s="414">
        <f>V26-V8</f>
        <v>1169</v>
      </c>
      <c r="W32" s="497"/>
      <c r="X32" s="414">
        <f>X26-X8</f>
        <v>1822</v>
      </c>
      <c r="Y32" s="497"/>
      <c r="Z32" s="414">
        <f>Z26-Z8</f>
        <v>3218</v>
      </c>
      <c r="AA32" s="497"/>
      <c r="AB32" s="414">
        <f>AB26-AB8</f>
        <v>4019</v>
      </c>
      <c r="AC32" s="497"/>
      <c r="AD32" s="414">
        <f>AD26-AD8</f>
        <v>4106</v>
      </c>
      <c r="AE32" s="497"/>
      <c r="AF32" s="414">
        <f>AF26-AF8</f>
        <v>3551</v>
      </c>
      <c r="AG32" s="497"/>
      <c r="AH32" s="414">
        <f>AH26-AH8</f>
        <v>4267</v>
      </c>
      <c r="AJ32" s="414">
        <f>AJ26-AJ8</f>
        <v>3961</v>
      </c>
    </row>
    <row r="33" spans="1:36" x14ac:dyDescent="0.2">
      <c r="A33" s="303" t="s">
        <v>105</v>
      </c>
      <c r="B33" s="303" t="s">
        <v>90</v>
      </c>
      <c r="D33" s="414">
        <f t="shared" ref="D33:F35" si="1">D27-D9</f>
        <v>1028.0580799999998</v>
      </c>
      <c r="F33" s="414">
        <f t="shared" si="1"/>
        <v>998.90307999999914</v>
      </c>
      <c r="H33" s="414">
        <f>H27-H9</f>
        <v>952.09707999999955</v>
      </c>
      <c r="J33" s="414">
        <f>J27-J9</f>
        <v>986.14967999999999</v>
      </c>
      <c r="L33" s="414">
        <f>L27-L9</f>
        <v>1012.0674123960091</v>
      </c>
      <c r="N33" s="414">
        <f>N27-N9</f>
        <v>878.66963685600501</v>
      </c>
      <c r="P33" s="414">
        <f>P27-P9</f>
        <v>1105.9246368560046</v>
      </c>
      <c r="R33" s="414">
        <f>R27-R9</f>
        <v>1832.7226368560041</v>
      </c>
      <c r="T33" s="414">
        <f>T27-T9</f>
        <v>743</v>
      </c>
      <c r="U33" s="445"/>
      <c r="V33" s="414">
        <f>V27-V9</f>
        <v>1070</v>
      </c>
      <c r="W33" s="445"/>
      <c r="X33" s="414">
        <f>X27-X9</f>
        <v>2311</v>
      </c>
      <c r="Y33" s="445"/>
      <c r="Z33" s="414">
        <f>Z27-Z9</f>
        <v>3632</v>
      </c>
      <c r="AA33" s="445"/>
      <c r="AB33" s="414">
        <f>AB27-AB9</f>
        <v>3995</v>
      </c>
      <c r="AC33" s="445"/>
      <c r="AD33" s="414">
        <f>AD27-AD9</f>
        <v>4047</v>
      </c>
      <c r="AE33" s="445"/>
      <c r="AF33" s="414">
        <f>AF27-AF9</f>
        <v>4112</v>
      </c>
      <c r="AG33" s="445"/>
      <c r="AH33" s="414">
        <f>AH27-AH9</f>
        <v>3929</v>
      </c>
      <c r="AJ33" s="414">
        <f>AJ27-AJ9</f>
        <v>4014</v>
      </c>
    </row>
    <row r="34" spans="1:36" x14ac:dyDescent="0.2">
      <c r="A34" s="303" t="s">
        <v>106</v>
      </c>
      <c r="B34" s="303" t="s">
        <v>91</v>
      </c>
      <c r="D34" s="414">
        <f t="shared" si="1"/>
        <v>1186.0940799999998</v>
      </c>
      <c r="F34" s="414">
        <f t="shared" si="1"/>
        <v>1366.8970799999991</v>
      </c>
      <c r="H34" s="414">
        <f>H28-H10</f>
        <v>1284.3660799999996</v>
      </c>
      <c r="J34" s="414">
        <f>J28-J10</f>
        <v>1346.4321099999997</v>
      </c>
      <c r="L34" s="414">
        <f>L28-L10</f>
        <v>1238.9334123960091</v>
      </c>
      <c r="N34" s="414">
        <f>N28-N10</f>
        <v>841.72363685600442</v>
      </c>
      <c r="P34" s="414">
        <f>P28-P10</f>
        <v>1920.5526368560036</v>
      </c>
      <c r="R34" s="414">
        <f>R28-R10</f>
        <v>2115.793636856004</v>
      </c>
      <c r="T34" s="414">
        <f>T28-T10</f>
        <v>556</v>
      </c>
      <c r="U34" s="445"/>
      <c r="V34" s="414">
        <f>V28-V10</f>
        <v>1058</v>
      </c>
      <c r="W34" s="445"/>
      <c r="X34" s="414">
        <f>X28-X10</f>
        <v>3479</v>
      </c>
      <c r="Y34" s="445"/>
      <c r="Z34" s="414">
        <f>Z28-Z10</f>
        <v>4028</v>
      </c>
      <c r="AA34" s="445"/>
      <c r="AB34" s="414">
        <f>AB28-AB10</f>
        <v>4285</v>
      </c>
      <c r="AC34" s="445"/>
      <c r="AD34" s="414">
        <f>AD28-AD10</f>
        <v>4157</v>
      </c>
      <c r="AE34" s="445"/>
      <c r="AF34" s="414">
        <f>AF28-AF10</f>
        <v>4634</v>
      </c>
      <c r="AG34" s="445"/>
      <c r="AH34" s="414">
        <f>AH28-AH10</f>
        <v>4027</v>
      </c>
      <c r="AJ34" s="414">
        <f>AJ28-AJ10</f>
        <v>3813</v>
      </c>
    </row>
    <row r="35" spans="1:36" x14ac:dyDescent="0.2">
      <c r="A35" s="303" t="s">
        <v>107</v>
      </c>
      <c r="B35" s="303" t="s">
        <v>92</v>
      </c>
      <c r="D35" s="414">
        <f t="shared" si="1"/>
        <v>977.70907999999963</v>
      </c>
      <c r="F35" s="414">
        <f t="shared" si="1"/>
        <v>959.47607999999855</v>
      </c>
      <c r="H35" s="414">
        <f>H29-H11</f>
        <v>963.21407999999997</v>
      </c>
      <c r="J35" s="414">
        <f>J29-J11</f>
        <v>986.59119199999964</v>
      </c>
      <c r="L35" s="414">
        <f>L29-L11</f>
        <v>919.12441239600946</v>
      </c>
      <c r="N35" s="414">
        <f>N29-N11</f>
        <v>850.82963685600453</v>
      </c>
      <c r="P35" s="414">
        <f>P29-P11</f>
        <v>1871.3446368560039</v>
      </c>
      <c r="R35" s="414">
        <f>R29-R11</f>
        <v>1886.342636856004</v>
      </c>
      <c r="T35" s="414">
        <f>T29-T11</f>
        <v>1595</v>
      </c>
      <c r="U35" s="445"/>
      <c r="V35" s="414">
        <f>V29-V11</f>
        <v>1235</v>
      </c>
      <c r="W35" s="445"/>
      <c r="X35" s="414">
        <f>X29-X11</f>
        <v>2945</v>
      </c>
      <c r="Y35" s="445"/>
      <c r="Z35" s="414">
        <f>Z29-Z11</f>
        <v>4016.5</v>
      </c>
      <c r="AA35" s="445"/>
      <c r="AB35" s="414">
        <f>AB29-AB11</f>
        <v>3890</v>
      </c>
      <c r="AC35" s="445"/>
      <c r="AD35" s="414">
        <f>AD29-AD11</f>
        <v>3354</v>
      </c>
      <c r="AE35" s="445"/>
      <c r="AF35" s="414">
        <f>AF29-AF11</f>
        <v>4001</v>
      </c>
      <c r="AG35" s="445"/>
      <c r="AH35" s="414">
        <f>AH29-AH11</f>
        <v>3537</v>
      </c>
      <c r="AJ35" s="414">
        <f>AJ29-AJ11</f>
        <v>4410</v>
      </c>
    </row>
    <row r="36" spans="1:36" x14ac:dyDescent="0.2">
      <c r="AD36" s="458"/>
    </row>
    <row r="37" spans="1:36" x14ac:dyDescent="0.2">
      <c r="A37" s="769" t="s">
        <v>118</v>
      </c>
      <c r="B37" s="769"/>
      <c r="C37" s="769"/>
      <c r="D37" s="769"/>
      <c r="E37" s="769"/>
      <c r="F37" s="769"/>
      <c r="G37" s="769"/>
      <c r="H37" s="769"/>
      <c r="I37" s="769"/>
      <c r="J37" s="769"/>
      <c r="K37" s="769"/>
      <c r="L37" s="769"/>
      <c r="M37" s="769"/>
      <c r="N37" s="769"/>
      <c r="O37" s="769"/>
      <c r="P37" s="769"/>
      <c r="Q37" s="769"/>
      <c r="R37" s="769"/>
      <c r="S37" s="769"/>
      <c r="T37" s="769"/>
      <c r="U37" s="769"/>
      <c r="V37" s="769"/>
      <c r="W37" s="769"/>
      <c r="X37" s="769"/>
      <c r="Y37" s="769"/>
      <c r="Z37" s="769"/>
      <c r="AA37" s="769"/>
      <c r="AB37" s="769"/>
      <c r="AC37" s="769"/>
      <c r="AD37" s="769"/>
      <c r="AE37" s="769"/>
      <c r="AF37" s="769"/>
      <c r="AG37" s="769"/>
      <c r="AH37" s="769"/>
      <c r="AJ37" s="769"/>
    </row>
    <row r="38" spans="1:36" x14ac:dyDescent="0.2">
      <c r="A38" s="303" t="s">
        <v>104</v>
      </c>
      <c r="B38" s="303" t="s">
        <v>89</v>
      </c>
      <c r="C38" s="531"/>
      <c r="D38" s="684">
        <v>2317.645</v>
      </c>
      <c r="E38" s="531"/>
      <c r="F38" s="684">
        <v>2944.819</v>
      </c>
      <c r="G38" s="531"/>
      <c r="H38" s="684">
        <v>3662.674</v>
      </c>
      <c r="I38" s="531"/>
      <c r="J38" s="684">
        <v>4345.6220000000003</v>
      </c>
      <c r="K38" s="531"/>
      <c r="L38" s="684">
        <v>5179.2049999999999</v>
      </c>
      <c r="M38" s="531"/>
      <c r="N38" s="684">
        <v>6079.3829999999998</v>
      </c>
      <c r="O38" s="531"/>
      <c r="P38" s="684">
        <v>5910.4139999999998</v>
      </c>
      <c r="Q38" s="531"/>
      <c r="R38" s="684">
        <v>6093.5309999999999</v>
      </c>
      <c r="S38" s="531"/>
      <c r="T38" s="684">
        <v>6885</v>
      </c>
      <c r="U38" s="531"/>
      <c r="V38" s="979">
        <v>7834</v>
      </c>
      <c r="W38" s="980"/>
      <c r="X38" s="979">
        <v>7562</v>
      </c>
      <c r="Y38" s="980"/>
      <c r="Z38" s="979">
        <v>6300</v>
      </c>
      <c r="AA38" s="980"/>
      <c r="AB38" s="979">
        <v>6021</v>
      </c>
      <c r="AC38" s="980"/>
      <c r="AD38" s="979">
        <v>5857</v>
      </c>
      <c r="AE38" s="980"/>
      <c r="AF38" s="979">
        <v>6017</v>
      </c>
      <c r="AG38" s="980"/>
      <c r="AH38" s="979">
        <v>5297</v>
      </c>
      <c r="AI38" s="980"/>
      <c r="AJ38" s="979">
        <v>4994</v>
      </c>
    </row>
    <row r="39" spans="1:36" x14ac:dyDescent="0.2">
      <c r="A39" s="303" t="s">
        <v>105</v>
      </c>
      <c r="B39" s="303" t="s">
        <v>90</v>
      </c>
      <c r="C39" s="531"/>
      <c r="D39" s="684">
        <v>2437.6710000000003</v>
      </c>
      <c r="E39" s="531"/>
      <c r="F39" s="684">
        <v>3079.5140000000001</v>
      </c>
      <c r="G39" s="531"/>
      <c r="H39" s="684">
        <v>3793.4639999999999</v>
      </c>
      <c r="I39" s="531"/>
      <c r="J39" s="684">
        <v>4507.3989999999994</v>
      </c>
      <c r="K39" s="531"/>
      <c r="L39" s="684">
        <v>5394.8119999999999</v>
      </c>
      <c r="M39" s="531"/>
      <c r="N39" s="684">
        <v>5318.5050000000001</v>
      </c>
      <c r="O39" s="531"/>
      <c r="P39" s="684">
        <v>5832.4629999999997</v>
      </c>
      <c r="Q39" s="531"/>
      <c r="R39" s="684">
        <v>6233.1989999999996</v>
      </c>
      <c r="S39" s="531"/>
      <c r="T39" s="684">
        <v>7136</v>
      </c>
      <c r="U39" s="531"/>
      <c r="V39" s="979">
        <v>8109</v>
      </c>
      <c r="W39" s="980"/>
      <c r="X39" s="979">
        <v>7079</v>
      </c>
      <c r="Y39" s="980"/>
      <c r="Z39" s="979">
        <v>6188</v>
      </c>
      <c r="AA39" s="980"/>
      <c r="AB39" s="979">
        <v>6053</v>
      </c>
      <c r="AC39" s="980"/>
      <c r="AD39" s="979">
        <f>5809</f>
        <v>5809</v>
      </c>
      <c r="AE39" s="980"/>
      <c r="AF39" s="979">
        <v>5677</v>
      </c>
      <c r="AG39" s="980"/>
      <c r="AH39" s="979">
        <v>5215</v>
      </c>
      <c r="AI39" s="980"/>
      <c r="AJ39" s="979">
        <v>5028</v>
      </c>
    </row>
    <row r="40" spans="1:36" x14ac:dyDescent="0.2">
      <c r="A40" s="303" t="s">
        <v>106</v>
      </c>
      <c r="B40" s="303" t="s">
        <v>91</v>
      </c>
      <c r="C40" s="531"/>
      <c r="D40" s="684">
        <v>2542.6010000000001</v>
      </c>
      <c r="E40" s="531"/>
      <c r="F40" s="684">
        <v>3226.9759999999997</v>
      </c>
      <c r="G40" s="531"/>
      <c r="H40" s="684">
        <v>3938.2659999999996</v>
      </c>
      <c r="I40" s="531"/>
      <c r="J40" s="684">
        <v>4697.058</v>
      </c>
      <c r="K40" s="531"/>
      <c r="L40" s="684">
        <v>5563.2659999999996</v>
      </c>
      <c r="M40" s="531"/>
      <c r="N40" s="684">
        <v>5529.2820000000002</v>
      </c>
      <c r="O40" s="531"/>
      <c r="P40" s="684">
        <v>5808.9050000000007</v>
      </c>
      <c r="Q40" s="531"/>
      <c r="R40" s="684">
        <v>6394.5469999999996</v>
      </c>
      <c r="S40" s="531"/>
      <c r="T40" s="684">
        <v>7395</v>
      </c>
      <c r="U40" s="531"/>
      <c r="V40" s="979">
        <v>8313</v>
      </c>
      <c r="W40" s="980"/>
      <c r="X40" s="979">
        <v>6471</v>
      </c>
      <c r="Y40" s="980"/>
      <c r="Z40" s="979">
        <v>6106</v>
      </c>
      <c r="AA40" s="980"/>
      <c r="AB40" s="979">
        <v>5924</v>
      </c>
      <c r="AC40" s="980"/>
      <c r="AD40" s="979">
        <v>5805</v>
      </c>
      <c r="AE40" s="980"/>
      <c r="AF40" s="979">
        <v>5474</v>
      </c>
      <c r="AG40" s="980"/>
      <c r="AH40" s="979">
        <v>5107</v>
      </c>
      <c r="AI40" s="980"/>
      <c r="AJ40" s="979">
        <v>5029</v>
      </c>
    </row>
    <row r="41" spans="1:36" x14ac:dyDescent="0.2">
      <c r="A41" s="303" t="s">
        <v>107</v>
      </c>
      <c r="B41" s="303" t="s">
        <v>92</v>
      </c>
      <c r="C41" s="531"/>
      <c r="D41" s="684">
        <v>2791.4059999999999</v>
      </c>
      <c r="E41" s="531"/>
      <c r="F41" s="684">
        <v>3511.9169999999999</v>
      </c>
      <c r="G41" s="531"/>
      <c r="H41" s="684">
        <v>4148.509</v>
      </c>
      <c r="I41" s="531"/>
      <c r="J41" s="684">
        <v>5033.8980000000001</v>
      </c>
      <c r="K41" s="531"/>
      <c r="L41" s="684">
        <v>5957.3379999999997</v>
      </c>
      <c r="M41" s="531"/>
      <c r="N41" s="684">
        <v>5603.3949999999995</v>
      </c>
      <c r="O41" s="531"/>
      <c r="P41" s="684">
        <v>6101.6030000000001</v>
      </c>
      <c r="Q41" s="531"/>
      <c r="R41" s="684">
        <v>6739</v>
      </c>
      <c r="S41" s="531"/>
      <c r="T41" s="684">
        <v>7595</v>
      </c>
      <c r="U41" s="531"/>
      <c r="V41" s="979">
        <v>7850</v>
      </c>
      <c r="W41" s="980"/>
      <c r="X41" s="979">
        <v>6508</v>
      </c>
      <c r="Y41" s="980"/>
      <c r="Z41" s="979">
        <f>bal!Z48</f>
        <v>6047.5</v>
      </c>
      <c r="AA41" s="980"/>
      <c r="AB41" s="979">
        <v>5978</v>
      </c>
      <c r="AC41" s="980"/>
      <c r="AD41" s="979">
        <v>5991</v>
      </c>
      <c r="AE41" s="980"/>
      <c r="AF41" s="979">
        <v>5491</v>
      </c>
      <c r="AG41" s="980"/>
      <c r="AH41" s="979">
        <v>5177</v>
      </c>
      <c r="AI41" s="980"/>
      <c r="AJ41" s="979">
        <v>5426</v>
      </c>
    </row>
    <row r="43" spans="1:36" x14ac:dyDescent="0.2">
      <c r="A43" s="769" t="s">
        <v>119</v>
      </c>
      <c r="B43" s="770"/>
      <c r="C43" s="770"/>
      <c r="D43" s="770"/>
      <c r="E43" s="770"/>
      <c r="F43" s="770"/>
      <c r="G43" s="770"/>
      <c r="H43" s="770"/>
      <c r="I43" s="770"/>
      <c r="J43" s="770"/>
      <c r="K43" s="770"/>
      <c r="L43" s="770"/>
      <c r="M43" s="770"/>
      <c r="N43" s="770"/>
      <c r="O43" s="770"/>
      <c r="P43" s="770"/>
      <c r="Q43" s="770"/>
      <c r="R43" s="770"/>
      <c r="S43" s="770"/>
      <c r="T43" s="770"/>
      <c r="U43" s="770"/>
      <c r="V43" s="770"/>
      <c r="W43" s="770"/>
      <c r="X43" s="770"/>
      <c r="Y43" s="770"/>
      <c r="Z43" s="770"/>
      <c r="AA43" s="770"/>
      <c r="AB43" s="770"/>
      <c r="AC43" s="770"/>
      <c r="AD43" s="770"/>
      <c r="AE43" s="770"/>
      <c r="AF43" s="770"/>
      <c r="AG43" s="770"/>
      <c r="AH43" s="770"/>
      <c r="AJ43" s="770"/>
    </row>
    <row r="44" spans="1:36" x14ac:dyDescent="0.2">
      <c r="A44" s="303" t="s">
        <v>104</v>
      </c>
      <c r="B44" s="303" t="s">
        <v>89</v>
      </c>
      <c r="D44" s="414">
        <f>D38+D32</f>
        <v>3356.9720799999996</v>
      </c>
      <c r="F44" s="414">
        <f>F38+F32</f>
        <v>3924.3690799999995</v>
      </c>
      <c r="H44" s="414">
        <f>H38+H32</f>
        <v>4626.121079999999</v>
      </c>
      <c r="J44" s="414">
        <f>J38+J32</f>
        <v>5444.482680000001</v>
      </c>
      <c r="L44" s="414">
        <f>L38+L32</f>
        <v>6360.2921919999981</v>
      </c>
      <c r="N44" s="414">
        <f>N38+N32</f>
        <v>6928.1400407542178</v>
      </c>
      <c r="P44" s="414">
        <f>P38+P32</f>
        <v>6700.3936368560044</v>
      </c>
      <c r="R44" s="414">
        <f>R38+R32</f>
        <v>8011.8186368560036</v>
      </c>
      <c r="T44" s="414">
        <f>T38+T32</f>
        <v>8085</v>
      </c>
      <c r="U44" s="497"/>
      <c r="V44" s="414">
        <f>V38+V32</f>
        <v>9003</v>
      </c>
      <c r="W44" s="497"/>
      <c r="X44" s="414">
        <f>X38+X32</f>
        <v>9384</v>
      </c>
      <c r="Y44" s="497"/>
      <c r="Z44" s="414">
        <f>Z38+Z32</f>
        <v>9518</v>
      </c>
      <c r="AA44" s="414"/>
      <c r="AB44" s="414">
        <f>AB38+AB32</f>
        <v>10040</v>
      </c>
      <c r="AC44" s="414"/>
      <c r="AD44" s="414">
        <f>AD38+AD32</f>
        <v>9963</v>
      </c>
      <c r="AE44" s="414"/>
      <c r="AF44" s="414">
        <f>AF38+AF32</f>
        <v>9568</v>
      </c>
      <c r="AG44" s="414"/>
      <c r="AH44" s="414">
        <f>AH38+AH32</f>
        <v>9564</v>
      </c>
      <c r="AJ44" s="414">
        <f>AJ38+AJ32</f>
        <v>8955</v>
      </c>
    </row>
    <row r="45" spans="1:36" x14ac:dyDescent="0.2">
      <c r="A45" s="303" t="s">
        <v>105</v>
      </c>
      <c r="B45" s="303" t="s">
        <v>90</v>
      </c>
      <c r="D45" s="414">
        <f t="shared" ref="D45:F47" si="2">D39+D33</f>
        <v>3465.7290800000001</v>
      </c>
      <c r="F45" s="414">
        <f t="shared" si="2"/>
        <v>4078.4170799999993</v>
      </c>
      <c r="H45" s="414">
        <f>H39+H33</f>
        <v>4745.5610799999995</v>
      </c>
      <c r="J45" s="414">
        <f>J39+J33</f>
        <v>5493.5486799999999</v>
      </c>
      <c r="L45" s="414">
        <f>L39+L33</f>
        <v>6406.8794123960088</v>
      </c>
      <c r="N45" s="414">
        <f>N39+N33</f>
        <v>6197.1746368560052</v>
      </c>
      <c r="P45" s="414">
        <f>P39+P33</f>
        <v>6938.3876368560041</v>
      </c>
      <c r="R45" s="414">
        <f>R39+R33</f>
        <v>8065.9216368560037</v>
      </c>
      <c r="T45" s="414">
        <f>T39+T33</f>
        <v>7879</v>
      </c>
      <c r="U45" s="445"/>
      <c r="V45" s="414">
        <f>V39+V33</f>
        <v>9179</v>
      </c>
      <c r="W45" s="445"/>
      <c r="X45" s="414">
        <f>X39+X33</f>
        <v>9390</v>
      </c>
      <c r="Y45" s="445"/>
      <c r="Z45" s="414">
        <f>Z39+Z33</f>
        <v>9820</v>
      </c>
      <c r="AA45" s="445"/>
      <c r="AB45" s="414">
        <f>AB39+AB33</f>
        <v>10048</v>
      </c>
      <c r="AC45" s="445"/>
      <c r="AD45" s="414">
        <f>AD39+AD33</f>
        <v>9856</v>
      </c>
      <c r="AE45" s="414">
        <f>AE39+AE33</f>
        <v>0</v>
      </c>
      <c r="AF45" s="414">
        <f>AF39+AF33</f>
        <v>9789</v>
      </c>
      <c r="AG45" s="414">
        <f>AG39+AG33</f>
        <v>0</v>
      </c>
      <c r="AH45" s="414">
        <f>AH39+AH33</f>
        <v>9144</v>
      </c>
      <c r="AJ45" s="414">
        <f>AJ39+AJ33</f>
        <v>9042</v>
      </c>
    </row>
    <row r="46" spans="1:36" x14ac:dyDescent="0.2">
      <c r="A46" s="303" t="s">
        <v>106</v>
      </c>
      <c r="B46" s="303" t="s">
        <v>91</v>
      </c>
      <c r="D46" s="414">
        <f t="shared" si="2"/>
        <v>3728.69508</v>
      </c>
      <c r="F46" s="414">
        <f t="shared" si="2"/>
        <v>4593.8730799999985</v>
      </c>
      <c r="H46" s="414">
        <f>H40+H34</f>
        <v>5222.6320799999994</v>
      </c>
      <c r="J46" s="414">
        <f>J40+J34</f>
        <v>6043.4901099999997</v>
      </c>
      <c r="L46" s="414">
        <f>L40+L34</f>
        <v>6802.1994123960085</v>
      </c>
      <c r="N46" s="414">
        <f>N40+N34</f>
        <v>6371.0056368560045</v>
      </c>
      <c r="P46" s="414">
        <f>P40+P34</f>
        <v>7729.4576368560047</v>
      </c>
      <c r="R46" s="414">
        <f>R40+R34</f>
        <v>8510.3406368560027</v>
      </c>
      <c r="T46" s="414">
        <f>T40+T34</f>
        <v>7951</v>
      </c>
      <c r="U46" s="445"/>
      <c r="V46" s="414">
        <f>V40+V34</f>
        <v>9371</v>
      </c>
      <c r="W46" s="445"/>
      <c r="X46" s="414">
        <f>X40+X34</f>
        <v>9950</v>
      </c>
      <c r="Y46" s="445"/>
      <c r="Z46" s="414">
        <f>Z40+Z34</f>
        <v>10134</v>
      </c>
      <c r="AA46" s="445"/>
      <c r="AB46" s="414">
        <f>AB40+AB34</f>
        <v>10209</v>
      </c>
      <c r="AC46" s="445"/>
      <c r="AD46" s="414">
        <f>AD40+AD34</f>
        <v>9962</v>
      </c>
      <c r="AE46" s="414">
        <f>AE40+AE34</f>
        <v>0</v>
      </c>
      <c r="AF46" s="414">
        <f>AF40+AF34</f>
        <v>10108</v>
      </c>
      <c r="AG46" s="414">
        <f>AG40+AG34</f>
        <v>0</v>
      </c>
      <c r="AH46" s="414">
        <f>AH40+AH34</f>
        <v>9134</v>
      </c>
      <c r="AJ46" s="414">
        <f>AJ40+AJ34</f>
        <v>8842</v>
      </c>
    </row>
    <row r="47" spans="1:36" x14ac:dyDescent="0.2">
      <c r="A47" s="303" t="s">
        <v>107</v>
      </c>
      <c r="B47" s="303" t="s">
        <v>92</v>
      </c>
      <c r="D47" s="414">
        <f t="shared" si="2"/>
        <v>3769.1150799999996</v>
      </c>
      <c r="F47" s="414">
        <f t="shared" si="2"/>
        <v>4471.393079999998</v>
      </c>
      <c r="H47" s="414">
        <f>H41+H35</f>
        <v>5111.7230799999998</v>
      </c>
      <c r="J47" s="414">
        <f>J41+J35</f>
        <v>6020.489192</v>
      </c>
      <c r="L47" s="414">
        <f>L41+L35</f>
        <v>6876.4624123960093</v>
      </c>
      <c r="N47" s="414">
        <f>N41+N35</f>
        <v>6454.2246368560045</v>
      </c>
      <c r="P47" s="414">
        <f>P41+P35</f>
        <v>7972.9476368560045</v>
      </c>
      <c r="R47" s="414">
        <f>R41+R35</f>
        <v>8625.3426368560031</v>
      </c>
      <c r="T47" s="414">
        <f>T41+T35</f>
        <v>9190</v>
      </c>
      <c r="U47" s="445"/>
      <c r="V47" s="414">
        <f>V41+V35</f>
        <v>9085</v>
      </c>
      <c r="W47" s="445"/>
      <c r="X47" s="414">
        <f>X41+X35</f>
        <v>9453</v>
      </c>
      <c r="Y47" s="445"/>
      <c r="Z47" s="414">
        <f>Z41+Z35</f>
        <v>10064</v>
      </c>
      <c r="AA47" s="445"/>
      <c r="AB47" s="414">
        <f>AB41+AB35</f>
        <v>9868</v>
      </c>
      <c r="AC47" s="445"/>
      <c r="AD47" s="414">
        <f>AD41+AD35</f>
        <v>9345</v>
      </c>
      <c r="AE47" s="445"/>
      <c r="AF47" s="414">
        <f>AF41+AF35</f>
        <v>9492</v>
      </c>
      <c r="AG47" s="445"/>
      <c r="AH47" s="414">
        <f>AH41+AH35</f>
        <v>8714</v>
      </c>
      <c r="AJ47" s="414">
        <f>AJ41+AJ35</f>
        <v>9836</v>
      </c>
    </row>
    <row r="48" spans="1:36" x14ac:dyDescent="0.2">
      <c r="D48" s="414"/>
      <c r="F48" s="414"/>
      <c r="H48" s="414"/>
      <c r="J48" s="414"/>
      <c r="L48" s="414"/>
      <c r="N48" s="414"/>
      <c r="P48" s="414"/>
      <c r="R48" s="414"/>
      <c r="T48" s="414"/>
      <c r="V48" s="414"/>
      <c r="X48" s="414"/>
      <c r="Z48" s="414"/>
      <c r="AB48" s="414"/>
      <c r="AD48" s="414"/>
      <c r="AF48" s="414"/>
      <c r="AH48" s="414"/>
      <c r="AJ48" s="414"/>
    </row>
    <row r="49" spans="1:36" x14ac:dyDescent="0.2">
      <c r="A49" s="769" t="s">
        <v>120</v>
      </c>
      <c r="B49" s="770"/>
      <c r="C49" s="770"/>
      <c r="D49" s="770"/>
      <c r="E49" s="770"/>
      <c r="F49" s="770"/>
      <c r="G49" s="770"/>
      <c r="H49" s="770"/>
      <c r="I49" s="770"/>
      <c r="J49" s="770"/>
      <c r="K49" s="770"/>
      <c r="L49" s="770"/>
      <c r="M49" s="770"/>
      <c r="N49" s="770"/>
      <c r="O49" s="770"/>
      <c r="P49" s="770"/>
      <c r="Q49" s="770"/>
      <c r="R49" s="770"/>
      <c r="S49" s="770"/>
      <c r="T49" s="770"/>
      <c r="U49" s="770"/>
      <c r="V49" s="770"/>
      <c r="W49" s="770"/>
      <c r="X49" s="770"/>
      <c r="Y49" s="770"/>
      <c r="Z49" s="770"/>
      <c r="AA49" s="770"/>
      <c r="AB49" s="770"/>
      <c r="AC49" s="770"/>
      <c r="AD49" s="770"/>
      <c r="AE49" s="770"/>
      <c r="AF49" s="770"/>
      <c r="AG49" s="770"/>
      <c r="AH49" s="770"/>
      <c r="AJ49" s="311"/>
    </row>
    <row r="50" spans="1:36" x14ac:dyDescent="0.2">
      <c r="A50" s="303" t="s">
        <v>104</v>
      </c>
      <c r="B50" s="303" t="s">
        <v>89</v>
      </c>
      <c r="D50" s="311">
        <f>D26/D44</f>
        <v>0.32601820149782124</v>
      </c>
      <c r="F50" s="311">
        <f>F26/F44</f>
        <v>0.27721194867838483</v>
      </c>
      <c r="H50" s="311">
        <f>H26/H44</f>
        <v>0.23017901641260116</v>
      </c>
      <c r="J50" s="311">
        <f>J26/J44</f>
        <v>0.22016104567716244</v>
      </c>
      <c r="L50" s="311">
        <f>L26/L44</f>
        <v>0.20565611775591838</v>
      </c>
      <c r="N50" s="311">
        <f>N26/N44</f>
        <v>0.15068286637669528</v>
      </c>
      <c r="P50" s="311">
        <f>P26/P44</f>
        <v>0.15535132059620663</v>
      </c>
      <c r="R50" s="311">
        <f>R26/R44</f>
        <v>0.26923724784245501</v>
      </c>
      <c r="T50" s="311">
        <f>T26/T44</f>
        <v>0.25429808286951144</v>
      </c>
      <c r="V50" s="311">
        <f>V26/V44</f>
        <v>0.39509052538042877</v>
      </c>
      <c r="X50" s="311">
        <f>X26/X44</f>
        <v>0.37190963341858485</v>
      </c>
      <c r="Z50" s="311">
        <f>Z26/Z44</f>
        <v>0.44620718638369405</v>
      </c>
      <c r="AA50" s="311"/>
      <c r="AB50" s="311">
        <f>AB26/AB44</f>
        <v>0.45189243027888448</v>
      </c>
      <c r="AC50" s="311"/>
      <c r="AD50" s="311">
        <f>AD26/AD44</f>
        <v>0.48409113720766839</v>
      </c>
      <c r="AE50" s="311"/>
      <c r="AF50" s="311">
        <f>AF26/AF44</f>
        <v>0.4960284280936455</v>
      </c>
      <c r="AG50" s="311"/>
      <c r="AH50" s="311">
        <f>AH26/AH44</f>
        <v>0.49038059389376831</v>
      </c>
      <c r="AJ50" s="311">
        <f>AJ26/AJ44</f>
        <v>0.51211613623673924</v>
      </c>
    </row>
    <row r="51" spans="1:36" x14ac:dyDescent="0.2">
      <c r="A51" s="303" t="s">
        <v>105</v>
      </c>
      <c r="B51" s="303" t="s">
        <v>90</v>
      </c>
      <c r="D51" s="311">
        <f>D27/D45</f>
        <v>0.31628265646199905</v>
      </c>
      <c r="F51" s="311">
        <f>F27/F45</f>
        <v>0.26718576806274069</v>
      </c>
      <c r="H51" s="311">
        <f>H27/H45</f>
        <v>0.22424619176959368</v>
      </c>
      <c r="J51" s="311">
        <f>J27/J45</f>
        <v>0.1986732190020386</v>
      </c>
      <c r="L51" s="311">
        <f>L27/L45</f>
        <v>0.17820079425734492</v>
      </c>
      <c r="N51" s="311">
        <f>N27/N45</f>
        <v>0.16803044306788922</v>
      </c>
      <c r="P51" s="311">
        <f>P27/P45</f>
        <v>0.19252988877475188</v>
      </c>
      <c r="R51" s="311">
        <f>R27/R45</f>
        <v>0.25411367631373771</v>
      </c>
      <c r="T51" s="311">
        <f>T27/T45</f>
        <v>0.26056606168295471</v>
      </c>
      <c r="V51" s="311">
        <f>V27/V45</f>
        <v>0.39100119838762393</v>
      </c>
      <c r="X51" s="311">
        <f>X27/X45</f>
        <v>0.37071352502662408</v>
      </c>
      <c r="Z51" s="311">
        <f>Z27/Z45</f>
        <v>0.43095723014256621</v>
      </c>
      <c r="AB51" s="311">
        <f>AB27/AB45</f>
        <v>0.45650875796178342</v>
      </c>
      <c r="AD51" s="311">
        <f>AD27/AD45</f>
        <v>0.48630275974025972</v>
      </c>
      <c r="AF51" s="311">
        <f>AF27/AF45</f>
        <v>0.51547655531719272</v>
      </c>
      <c r="AH51" s="311">
        <f>AH27/AH45</f>
        <v>0.50623359580052496</v>
      </c>
      <c r="AJ51" s="311">
        <f>AJ27/AJ45</f>
        <v>0.50497677504976779</v>
      </c>
    </row>
    <row r="52" spans="1:36" x14ac:dyDescent="0.2">
      <c r="A52" s="303" t="s">
        <v>106</v>
      </c>
      <c r="B52" s="303" t="s">
        <v>91</v>
      </c>
      <c r="D52" s="311">
        <f>D28/D46</f>
        <v>0.33751941979659011</v>
      </c>
      <c r="F52" s="311">
        <f>F28/F46</f>
        <v>0.31823691567900275</v>
      </c>
      <c r="H52" s="311">
        <f>H28/H46</f>
        <v>0.26665424228007273</v>
      </c>
      <c r="J52" s="311">
        <f>J28/J46</f>
        <v>0.24129815279866487</v>
      </c>
      <c r="L52" s="311">
        <f>L28/L46</f>
        <v>0.20166006858020363</v>
      </c>
      <c r="N52" s="311">
        <f>N28/N46</f>
        <v>0.16331016786126193</v>
      </c>
      <c r="P52" s="311">
        <f>P28/P46</f>
        <v>0.28663524714020938</v>
      </c>
      <c r="R52" s="311">
        <f>R28/R46</f>
        <v>0.27716552141106865</v>
      </c>
      <c r="T52" s="311">
        <f>T28/T46</f>
        <v>0.25833228524713875</v>
      </c>
      <c r="V52" s="311">
        <f>V28/V46</f>
        <v>0.3733859780172874</v>
      </c>
      <c r="X52" s="311">
        <f>X28/X46</f>
        <v>0.42603015075376882</v>
      </c>
      <c r="Z52" s="311">
        <f>Z28/Z46</f>
        <v>0.45174659561870928</v>
      </c>
      <c r="AB52" s="311">
        <f>AB28/AB46</f>
        <v>0.47830345773337252</v>
      </c>
      <c r="AD52" s="311">
        <f>AD28/AD46</f>
        <v>0.48062638024493076</v>
      </c>
      <c r="AF52" s="311">
        <f>AF28/AF46</f>
        <v>0.50801345468935499</v>
      </c>
      <c r="AH52" s="311">
        <f>AH28/AH46</f>
        <v>0.50624042040726958</v>
      </c>
      <c r="AJ52" s="311">
        <f>AJ28/AJ46</f>
        <v>0.51447636281384301</v>
      </c>
    </row>
    <row r="53" spans="1:36" x14ac:dyDescent="0.2">
      <c r="A53" s="303" t="s">
        <v>107</v>
      </c>
      <c r="B53" s="303" t="s">
        <v>92</v>
      </c>
      <c r="D53" s="311">
        <f>D29/D47</f>
        <v>0.29063055299441803</v>
      </c>
      <c r="F53" s="311">
        <f>F29/F47</f>
        <v>0.23679063349089421</v>
      </c>
      <c r="H53" s="311">
        <f>H29/H47</f>
        <v>0.2104912537633005</v>
      </c>
      <c r="J53" s="311">
        <f>J29/J47</f>
        <v>0.18328095355876522</v>
      </c>
      <c r="L53" s="311">
        <f>L29/L47</f>
        <v>0.15212822193490322</v>
      </c>
      <c r="N53" s="311">
        <f>N29/N47</f>
        <v>0.16114360105486425</v>
      </c>
      <c r="P53" s="311">
        <f>P29/P47</f>
        <v>0.25735463136806974</v>
      </c>
      <c r="R53" s="311">
        <f>R29/R47</f>
        <v>0.23801952994047465</v>
      </c>
      <c r="T53" s="311">
        <f>T29/T47</f>
        <v>0.42023939064200216</v>
      </c>
      <c r="V53" s="311">
        <f>V29/V47</f>
        <v>0.38657127132636215</v>
      </c>
      <c r="X53" s="311">
        <f>X29/X47</f>
        <v>0.43901406960753198</v>
      </c>
      <c r="Y53" s="311"/>
      <c r="Z53" s="311">
        <f>Z29/Z47</f>
        <v>0.4524046104928458</v>
      </c>
      <c r="AA53" s="311"/>
      <c r="AB53" s="311">
        <f>AB29/AB47</f>
        <v>0.49260235103364408</v>
      </c>
      <c r="AC53" s="311"/>
      <c r="AD53" s="311">
        <f>AD29/AD47</f>
        <v>0.50947030497592294</v>
      </c>
      <c r="AE53" s="311"/>
      <c r="AF53" s="311">
        <f>AF29/AF47</f>
        <v>0.49599662873999156</v>
      </c>
      <c r="AG53" s="311"/>
      <c r="AH53" s="311">
        <f>AH29/AH47</f>
        <v>0.52914849667202202</v>
      </c>
      <c r="AJ53" s="311">
        <f>AJ29/AJ47</f>
        <v>0.58133387555917038</v>
      </c>
    </row>
    <row r="55" spans="1:36" x14ac:dyDescent="0.2">
      <c r="A55" s="769" t="s">
        <v>121</v>
      </c>
      <c r="B55" s="770"/>
      <c r="C55" s="770"/>
      <c r="D55" s="770"/>
      <c r="E55" s="770"/>
      <c r="F55" s="770"/>
      <c r="G55" s="770"/>
      <c r="H55" s="770"/>
      <c r="I55" s="770"/>
      <c r="J55" s="770"/>
      <c r="K55" s="770"/>
      <c r="L55" s="770"/>
      <c r="M55" s="770"/>
      <c r="N55" s="770"/>
      <c r="O55" s="770"/>
      <c r="P55" s="770"/>
      <c r="Q55" s="770"/>
      <c r="R55" s="770"/>
      <c r="S55" s="770"/>
      <c r="T55" s="770"/>
      <c r="U55" s="770"/>
      <c r="V55" s="770"/>
      <c r="W55" s="770"/>
      <c r="X55" s="770"/>
      <c r="Y55" s="770"/>
      <c r="Z55" s="770"/>
      <c r="AA55" s="770"/>
      <c r="AB55" s="770"/>
      <c r="AC55" s="770"/>
      <c r="AD55" s="770"/>
      <c r="AE55" s="770"/>
      <c r="AF55" s="770"/>
      <c r="AG55" s="770"/>
      <c r="AH55" s="770"/>
      <c r="AJ55" s="770"/>
    </row>
    <row r="56" spans="1:36" x14ac:dyDescent="0.2">
      <c r="A56" s="303" t="s">
        <v>104</v>
      </c>
      <c r="B56" s="303" t="s">
        <v>89</v>
      </c>
      <c r="D56" s="771">
        <f>D32/D44</f>
        <v>0.30960253920253028</v>
      </c>
      <c r="F56" s="771">
        <f>F32/F44</f>
        <v>0.2496070221815119</v>
      </c>
      <c r="H56" s="771">
        <f>H32/H44</f>
        <v>0.20826240025693393</v>
      </c>
      <c r="J56" s="771">
        <f>J32/J44</f>
        <v>0.20183013604517519</v>
      </c>
      <c r="L56" s="771">
        <f>L32/L44</f>
        <v>0.18569700201597258</v>
      </c>
      <c r="N56" s="771">
        <f>N32/N44</f>
        <v>0.12250864384401504</v>
      </c>
      <c r="P56" s="771">
        <f>P32/P44</f>
        <v>0.11790048162404423</v>
      </c>
      <c r="R56" s="771">
        <f>R32/R44</f>
        <v>0.23943223427843066</v>
      </c>
      <c r="T56" s="771">
        <f>T32/T44</f>
        <v>0.14842300556586271</v>
      </c>
      <c r="U56" s="772"/>
      <c r="V56" s="771">
        <f>V32/V44</f>
        <v>0.12984560701988226</v>
      </c>
      <c r="W56" s="772"/>
      <c r="X56" s="771">
        <f>X32/X44</f>
        <v>0.19416027280477408</v>
      </c>
      <c r="Y56" s="772"/>
      <c r="Z56" s="771">
        <f>Z32/Z44</f>
        <v>0.3380962387056104</v>
      </c>
      <c r="AA56" s="772"/>
      <c r="AB56" s="771">
        <f>AB32/AB44</f>
        <v>0.40029880478087648</v>
      </c>
      <c r="AC56" s="772"/>
      <c r="AD56" s="771">
        <f>AD32/AD44</f>
        <v>0.41212486198936066</v>
      </c>
      <c r="AE56" s="772"/>
      <c r="AF56" s="771">
        <f>AF32/AF44</f>
        <v>0.37113294314381273</v>
      </c>
      <c r="AG56" s="772"/>
      <c r="AH56" s="771">
        <f>AH32/AH44</f>
        <v>0.44615223755750733</v>
      </c>
      <c r="AJ56" s="771">
        <f>AJ32/AJ44</f>
        <v>0.44232272473478501</v>
      </c>
    </row>
    <row r="57" spans="1:36" x14ac:dyDescent="0.2">
      <c r="A57" s="303" t="s">
        <v>105</v>
      </c>
      <c r="B57" s="303" t="s">
        <v>90</v>
      </c>
      <c r="D57" s="771">
        <f>D33/D45</f>
        <v>0.29663544272191056</v>
      </c>
      <c r="F57" s="771">
        <f>F33/F45</f>
        <v>0.24492420966420611</v>
      </c>
      <c r="H57" s="771">
        <f>H33/H45</f>
        <v>0.20062898020901665</v>
      </c>
      <c r="J57" s="771">
        <f>J33/J45</f>
        <v>0.17951050176185934</v>
      </c>
      <c r="L57" s="771">
        <f>L33/L45</f>
        <v>0.15796573452558893</v>
      </c>
      <c r="N57" s="771">
        <f>N33/N45</f>
        <v>0.14178552136167941</v>
      </c>
      <c r="P57" s="771">
        <f>P33/P45</f>
        <v>0.15939216641362702</v>
      </c>
      <c r="R57" s="771">
        <f>R33/R45</f>
        <v>0.22721800674105938</v>
      </c>
      <c r="T57" s="771">
        <f>T33/T45</f>
        <v>9.4301307272496512E-2</v>
      </c>
      <c r="U57" s="772"/>
      <c r="V57" s="771">
        <f>V33/V45</f>
        <v>0.11657043250898791</v>
      </c>
      <c r="W57" s="772"/>
      <c r="X57" s="771">
        <f>X33/X45</f>
        <v>0.24611288604898829</v>
      </c>
      <c r="Y57" s="772"/>
      <c r="Z57" s="771">
        <f>Z33/Z45</f>
        <v>0.36985743380855396</v>
      </c>
      <c r="AA57" s="772"/>
      <c r="AB57" s="771">
        <f>AB33/AB45</f>
        <v>0.39759156050955413</v>
      </c>
      <c r="AC57" s="772"/>
      <c r="AD57" s="771">
        <f>AD33/AD45</f>
        <v>0.41061282467532467</v>
      </c>
      <c r="AE57" s="772"/>
      <c r="AF57" s="771">
        <f>AF33/AF45</f>
        <v>0.42006333639799776</v>
      </c>
      <c r="AG57" s="772"/>
      <c r="AH57" s="771">
        <f>AH33/AH45</f>
        <v>0.42968066491688539</v>
      </c>
      <c r="AJ57" s="771">
        <f>AJ33/AJ45</f>
        <v>0.44392833443928337</v>
      </c>
    </row>
    <row r="58" spans="1:36" x14ac:dyDescent="0.2">
      <c r="A58" s="303" t="s">
        <v>106</v>
      </c>
      <c r="B58" s="303" t="s">
        <v>91</v>
      </c>
      <c r="D58" s="771">
        <f>D34/D46</f>
        <v>0.31809897418589667</v>
      </c>
      <c r="F58" s="771">
        <f>F34/F46</f>
        <v>0.29754785476136825</v>
      </c>
      <c r="H58" s="771">
        <f>H34/H46</f>
        <v>0.2459231399658541</v>
      </c>
      <c r="J58" s="771">
        <f>J34/J46</f>
        <v>0.22279048786264991</v>
      </c>
      <c r="L58" s="771">
        <f>L34/L46</f>
        <v>0.18213717906273597</v>
      </c>
      <c r="N58" s="771">
        <f>N34/N46</f>
        <v>0.13211786095222833</v>
      </c>
      <c r="P58" s="771">
        <f>P34/P46</f>
        <v>0.2484718497839129</v>
      </c>
      <c r="R58" s="771">
        <f>R34/R46</f>
        <v>0.24861444766300766</v>
      </c>
      <c r="T58" s="771">
        <f>T34/T46</f>
        <v>6.9928310904288762E-2</v>
      </c>
      <c r="U58" s="772"/>
      <c r="V58" s="771">
        <f>V34/V46</f>
        <v>0.11290150464198058</v>
      </c>
      <c r="W58" s="772"/>
      <c r="X58" s="771">
        <f>X34/X46</f>
        <v>0.34964824120603016</v>
      </c>
      <c r="Y58" s="772"/>
      <c r="Z58" s="771">
        <f>Z34/Z46</f>
        <v>0.39747385040457867</v>
      </c>
      <c r="AA58" s="772"/>
      <c r="AB58" s="771">
        <f>AB34/AB46</f>
        <v>0.41972769125281612</v>
      </c>
      <c r="AC58" s="772"/>
      <c r="AD58" s="771">
        <f>AD34/AD46</f>
        <v>0.41728568560530016</v>
      </c>
      <c r="AE58" s="772"/>
      <c r="AF58" s="771">
        <f>AF34/AF46</f>
        <v>0.45844875346260389</v>
      </c>
      <c r="AG58" s="772"/>
      <c r="AH58" s="771">
        <f>AH34/AH46</f>
        <v>0.44088022772060431</v>
      </c>
      <c r="AJ58" s="771">
        <f>AJ34/AJ46</f>
        <v>0.43123727663424566</v>
      </c>
    </row>
    <row r="59" spans="1:36" x14ac:dyDescent="0.2">
      <c r="A59" s="303" t="s">
        <v>107</v>
      </c>
      <c r="B59" s="303" t="s">
        <v>92</v>
      </c>
      <c r="D59" s="771">
        <f>D35/D47</f>
        <v>0.25940016668315674</v>
      </c>
      <c r="F59" s="771">
        <f>F35/F47</f>
        <v>0.2145810182270978</v>
      </c>
      <c r="H59" s="771">
        <f>H35/H47</f>
        <v>0.1884323671148477</v>
      </c>
      <c r="J59" s="771">
        <f>J35/J47</f>
        <v>0.16387226362119839</v>
      </c>
      <c r="L59" s="771">
        <f>L35/L47</f>
        <v>0.13366239168836716</v>
      </c>
      <c r="N59" s="771">
        <f>N35/N47</f>
        <v>0.13182522839342364</v>
      </c>
      <c r="P59" s="771">
        <f>P35/P47</f>
        <v>0.23471176810511912</v>
      </c>
      <c r="R59" s="771">
        <f>R35/R47</f>
        <v>0.21869770469125258</v>
      </c>
      <c r="T59" s="771">
        <f>T35/T47</f>
        <v>0.17355821545157779</v>
      </c>
      <c r="U59" s="772"/>
      <c r="V59" s="771">
        <f>V35/V47</f>
        <v>0.13593835993395706</v>
      </c>
      <c r="W59" s="772"/>
      <c r="X59" s="771">
        <f>X35/X47</f>
        <v>0.31154130963715221</v>
      </c>
      <c r="Y59" s="772"/>
      <c r="Z59" s="771">
        <f>Z35/Z47</f>
        <v>0.39909578696343401</v>
      </c>
      <c r="AA59" s="772"/>
      <c r="AB59" s="771">
        <f>AB35/AB47</f>
        <v>0.39420348601540334</v>
      </c>
      <c r="AC59" s="772"/>
      <c r="AD59" s="771">
        <f>AD35/AD47</f>
        <v>0.35890850722311396</v>
      </c>
      <c r="AE59" s="772"/>
      <c r="AF59" s="771">
        <f>AF35/AF47</f>
        <v>0.42151285292878216</v>
      </c>
      <c r="AG59" s="772"/>
      <c r="AH59" s="771">
        <f>AH35/AH47</f>
        <v>0.40589855405095249</v>
      </c>
      <c r="AJ59" s="771">
        <f>AJ35/AJ47</f>
        <v>0.44835298901992682</v>
      </c>
    </row>
    <row r="61" spans="1:36" x14ac:dyDescent="0.2">
      <c r="A61" s="303" t="s">
        <v>122</v>
      </c>
    </row>
  </sheetData>
  <phoneticPr fontId="11" type="noConversion"/>
  <pageMargins left="0.75" right="0.75" top="1" bottom="1" header="0.5" footer="0.5"/>
  <pageSetup scale="82" orientation="landscape" horizontalDpi="300" verticalDpi="300"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H2"/>
  <sheetViews>
    <sheetView workbookViewId="0"/>
  </sheetViews>
  <sheetFormatPr defaultRowHeight="12.75" x14ac:dyDescent="0.2"/>
  <sheetData>
    <row r="1" spans="1:34" x14ac:dyDescent="0.2">
      <c r="A1" t="s">
        <v>555</v>
      </c>
    </row>
    <row r="2" spans="1:34" x14ac:dyDescent="0.2">
      <c r="A2" s="10" t="s">
        <v>8</v>
      </c>
      <c r="B2" s="10" t="s">
        <v>9</v>
      </c>
      <c r="C2" s="10" t="s">
        <v>274</v>
      </c>
      <c r="D2" s="10" t="s">
        <v>275</v>
      </c>
      <c r="E2" s="10" t="s">
        <v>208</v>
      </c>
      <c r="F2" s="10" t="s">
        <v>94</v>
      </c>
      <c r="G2" s="10" t="s">
        <v>277</v>
      </c>
      <c r="H2" s="10" t="s">
        <v>275</v>
      </c>
      <c r="I2" s="10" t="s">
        <v>209</v>
      </c>
      <c r="J2" s="10" t="s">
        <v>94</v>
      </c>
      <c r="K2" s="10" t="s">
        <v>454</v>
      </c>
      <c r="L2" s="10" t="s">
        <v>207</v>
      </c>
      <c r="M2" s="10" t="s">
        <v>273</v>
      </c>
      <c r="N2" s="10" t="s">
        <v>207</v>
      </c>
      <c r="O2" s="10" t="s">
        <v>210</v>
      </c>
      <c r="P2" s="10" t="s">
        <v>94</v>
      </c>
      <c r="Q2" s="10" t="s">
        <v>456</v>
      </c>
      <c r="R2" s="10" t="s">
        <v>625</v>
      </c>
      <c r="S2" s="10" t="s">
        <v>216</v>
      </c>
      <c r="T2" s="10" t="s">
        <v>207</v>
      </c>
      <c r="U2" s="10" t="s">
        <v>211</v>
      </c>
      <c r="V2" s="10" t="s">
        <v>94</v>
      </c>
      <c r="W2" s="10" t="s">
        <v>5</v>
      </c>
      <c r="X2" s="10" t="s">
        <v>94</v>
      </c>
      <c r="Y2" s="10" t="s">
        <v>455</v>
      </c>
      <c r="Z2" s="10" t="s">
        <v>457</v>
      </c>
      <c r="AA2" s="10" t="s">
        <v>3</v>
      </c>
      <c r="AB2" s="10" t="s">
        <v>207</v>
      </c>
      <c r="AC2" s="10" t="s">
        <v>4</v>
      </c>
      <c r="AD2" s="10" t="s">
        <v>6</v>
      </c>
      <c r="AE2" s="10" t="s">
        <v>554</v>
      </c>
      <c r="AF2" s="10" t="s">
        <v>556</v>
      </c>
      <c r="AG2" s="10" t="s">
        <v>276</v>
      </c>
      <c r="AH2" s="10" t="s">
        <v>278</v>
      </c>
    </row>
  </sheetData>
  <phoneticPr fontId="11" type="noConversion"/>
  <pageMargins left="0.75" right="0.75" top="1" bottom="1" header="0.5" footer="0.5"/>
  <pageSetup orientation="portrait" r:id="rId1"/>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B1"/>
  <sheetViews>
    <sheetView workbookViewId="0"/>
  </sheetViews>
  <sheetFormatPr defaultRowHeight="12.75" x14ac:dyDescent="0.2"/>
  <sheetData>
    <row r="1" spans="1:2" x14ac:dyDescent="0.2">
      <c r="B1" t="s">
        <v>2</v>
      </c>
    </row>
  </sheetData>
  <phoneticPr fontId="11"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A1:AD183"/>
  <sheetViews>
    <sheetView zoomScaleNormal="100" workbookViewId="0"/>
  </sheetViews>
  <sheetFormatPr defaultRowHeight="12.75" outlineLevelRow="1" x14ac:dyDescent="0.2"/>
  <cols>
    <col min="1" max="1" width="3.140625" customWidth="1"/>
    <col min="2" max="2" width="55" customWidth="1"/>
    <col min="3" max="16" width="7.5703125" customWidth="1"/>
    <col min="17" max="17" width="8.5703125" bestFit="1" customWidth="1"/>
    <col min="18" max="26" width="7.5703125" customWidth="1"/>
    <col min="27" max="29" width="7.5703125" style="302" customWidth="1"/>
    <col min="30" max="30" width="6.7109375" customWidth="1"/>
    <col min="31" max="31" width="16.140625" customWidth="1"/>
    <col min="32" max="36" width="6.7109375" customWidth="1"/>
  </cols>
  <sheetData>
    <row r="1" spans="1:30" ht="15.95" customHeight="1" x14ac:dyDescent="0.2">
      <c r="A1" s="16"/>
      <c r="B1" s="17" t="s">
        <v>453</v>
      </c>
      <c r="C1" s="18"/>
      <c r="D1" s="18"/>
      <c r="E1" s="18"/>
      <c r="F1" s="18"/>
      <c r="G1" s="19"/>
      <c r="H1" s="19"/>
      <c r="I1" s="19"/>
      <c r="J1" s="19"/>
      <c r="K1" s="19"/>
      <c r="L1" s="19"/>
      <c r="M1" s="19"/>
      <c r="N1" s="19"/>
      <c r="O1" s="19"/>
      <c r="P1" s="19"/>
      <c r="Q1" s="20" t="s">
        <v>360</v>
      </c>
      <c r="R1" s="19"/>
      <c r="S1" s="16"/>
      <c r="T1" s="16"/>
      <c r="U1" s="16"/>
      <c r="V1" s="16"/>
      <c r="W1" s="16"/>
      <c r="X1" s="16"/>
      <c r="Y1" s="16"/>
      <c r="Z1" s="16"/>
      <c r="AA1" s="16"/>
      <c r="AB1" s="16"/>
      <c r="AC1" s="16"/>
      <c r="AD1" s="16"/>
    </row>
    <row r="2" spans="1:30" x14ac:dyDescent="0.2">
      <c r="A2" s="16"/>
      <c r="B2" s="17" t="s">
        <v>362</v>
      </c>
      <c r="C2" s="18"/>
      <c r="D2" s="18"/>
      <c r="E2" s="18"/>
      <c r="F2" s="18"/>
      <c r="G2" s="19"/>
      <c r="H2" s="19"/>
      <c r="I2" s="19"/>
      <c r="J2" s="21"/>
      <c r="K2" s="19"/>
      <c r="L2" s="19"/>
      <c r="M2" s="22"/>
      <c r="N2" s="22"/>
      <c r="O2" s="22"/>
      <c r="P2" s="22"/>
      <c r="Q2" s="22"/>
      <c r="R2" s="22"/>
      <c r="S2" s="22"/>
      <c r="T2" s="22"/>
      <c r="U2" s="22"/>
      <c r="V2" s="22"/>
      <c r="W2" s="22"/>
      <c r="X2" s="22"/>
      <c r="Y2" s="22"/>
      <c r="Z2" s="22"/>
      <c r="AA2" s="22"/>
      <c r="AB2" s="22"/>
      <c r="AC2" s="22"/>
      <c r="AD2" s="16"/>
    </row>
    <row r="3" spans="1:30" x14ac:dyDescent="0.2">
      <c r="A3" s="16"/>
      <c r="B3" s="23"/>
      <c r="C3" s="24">
        <f t="shared" ref="C3:I3" si="0">D3-1</f>
        <v>1996</v>
      </c>
      <c r="D3" s="24">
        <f t="shared" si="0"/>
        <v>1997</v>
      </c>
      <c r="E3" s="24">
        <f t="shared" si="0"/>
        <v>1998</v>
      </c>
      <c r="F3" s="24">
        <f t="shared" si="0"/>
        <v>1999</v>
      </c>
      <c r="G3" s="24">
        <f t="shared" si="0"/>
        <v>2000</v>
      </c>
      <c r="H3" s="24">
        <f t="shared" si="0"/>
        <v>2001</v>
      </c>
      <c r="I3" s="24">
        <f t="shared" si="0"/>
        <v>2002</v>
      </c>
      <c r="J3" s="24">
        <v>2003</v>
      </c>
      <c r="K3" s="24">
        <v>2004</v>
      </c>
      <c r="L3" s="24">
        <v>2005</v>
      </c>
      <c r="M3" s="24">
        <v>2006</v>
      </c>
      <c r="N3" s="24">
        <f t="shared" ref="N3:V3" si="1">M3+1</f>
        <v>2007</v>
      </c>
      <c r="O3" s="24">
        <f t="shared" si="1"/>
        <v>2008</v>
      </c>
      <c r="P3" s="24">
        <f t="shared" si="1"/>
        <v>2009</v>
      </c>
      <c r="Q3" s="24">
        <f t="shared" si="1"/>
        <v>2010</v>
      </c>
      <c r="R3" s="24">
        <f t="shared" si="1"/>
        <v>2011</v>
      </c>
      <c r="S3" s="24">
        <f t="shared" si="1"/>
        <v>2012</v>
      </c>
      <c r="T3" s="25">
        <f t="shared" si="1"/>
        <v>2013</v>
      </c>
      <c r="U3" s="25">
        <f t="shared" si="1"/>
        <v>2014</v>
      </c>
      <c r="V3" s="25">
        <f t="shared" si="1"/>
        <v>2015</v>
      </c>
      <c r="W3" s="25">
        <f>V3+1</f>
        <v>2016</v>
      </c>
      <c r="X3" s="25">
        <f>W3+1</f>
        <v>2017</v>
      </c>
      <c r="Y3" s="25">
        <f>X3+1</f>
        <v>2018</v>
      </c>
      <c r="Z3" s="25">
        <f>Y3+1</f>
        <v>2019</v>
      </c>
      <c r="AA3" s="25">
        <f t="shared" ref="AA3:AC3" si="2">Z3+1</f>
        <v>2020</v>
      </c>
      <c r="AB3" s="25">
        <f t="shared" si="2"/>
        <v>2021</v>
      </c>
      <c r="AC3" s="25">
        <f t="shared" si="2"/>
        <v>2022</v>
      </c>
      <c r="AD3" s="16"/>
    </row>
    <row r="4" spans="1:30" x14ac:dyDescent="0.2">
      <c r="A4" s="16"/>
      <c r="B4" s="26"/>
      <c r="C4" s="27"/>
      <c r="D4" s="27"/>
      <c r="E4" s="27"/>
      <c r="F4" s="27"/>
      <c r="G4" s="27"/>
      <c r="H4" s="27"/>
      <c r="I4" s="27"/>
      <c r="J4" s="28"/>
      <c r="K4" s="29"/>
      <c r="L4" s="29"/>
      <c r="M4" s="29"/>
      <c r="N4" s="29"/>
      <c r="O4" s="19"/>
      <c r="P4" s="30"/>
      <c r="Q4" s="30"/>
      <c r="R4" s="30"/>
      <c r="S4" s="31"/>
      <c r="T4" s="31"/>
      <c r="U4" s="31"/>
      <c r="V4" s="31"/>
      <c r="W4" s="31"/>
      <c r="X4" s="31"/>
      <c r="Y4" s="31"/>
      <c r="Z4" s="31"/>
      <c r="AA4" s="31"/>
      <c r="AB4" s="31"/>
      <c r="AC4" s="31"/>
      <c r="AD4" s="31"/>
    </row>
    <row r="5" spans="1:30" x14ac:dyDescent="0.2">
      <c r="A5" s="16"/>
      <c r="B5" s="33" t="s">
        <v>363</v>
      </c>
      <c r="C5" s="19"/>
      <c r="D5" s="19"/>
      <c r="E5" s="19"/>
      <c r="F5" s="19"/>
      <c r="G5" s="19"/>
      <c r="H5" s="19"/>
      <c r="I5" s="19"/>
      <c r="J5" s="34"/>
      <c r="K5" s="19"/>
      <c r="L5" s="19"/>
      <c r="M5" s="19"/>
      <c r="N5" s="19"/>
      <c r="O5" s="19"/>
      <c r="P5" s="35"/>
      <c r="Q5" s="36"/>
      <c r="R5" s="36"/>
      <c r="S5" s="37"/>
      <c r="T5" s="37"/>
      <c r="U5" s="37"/>
      <c r="V5" s="37"/>
      <c r="W5" s="37"/>
      <c r="X5" s="37"/>
      <c r="Y5" s="37"/>
      <c r="Z5" s="37"/>
      <c r="AA5" s="37"/>
      <c r="AB5" s="37"/>
      <c r="AC5" s="37"/>
      <c r="AD5" s="31"/>
    </row>
    <row r="6" spans="1:30" x14ac:dyDescent="0.2">
      <c r="A6" s="16"/>
      <c r="B6" s="38" t="s">
        <v>364</v>
      </c>
      <c r="C6" s="39">
        <f t="shared" ref="C6:V6" si="3">C66</f>
        <v>49.363</v>
      </c>
      <c r="D6" s="39">
        <f t="shared" si="3"/>
        <v>68.439000000000007</v>
      </c>
      <c r="E6" s="39">
        <f t="shared" si="3"/>
        <v>85.298999999999992</v>
      </c>
      <c r="F6" s="39">
        <f t="shared" si="3"/>
        <v>108.376</v>
      </c>
      <c r="G6" s="39">
        <f t="shared" si="3"/>
        <v>142.096</v>
      </c>
      <c r="H6" s="39">
        <f t="shared" si="3"/>
        <v>173.25199999999998</v>
      </c>
      <c r="I6" s="39">
        <f t="shared" si="3"/>
        <v>214.29999999999998</v>
      </c>
      <c r="J6" s="39">
        <f t="shared" si="3"/>
        <v>259.30900000000003</v>
      </c>
      <c r="K6" s="39">
        <f t="shared" si="3"/>
        <v>305.17599999999999</v>
      </c>
      <c r="L6" s="39">
        <f t="shared" si="3"/>
        <v>339.90499999999997</v>
      </c>
      <c r="M6" s="39">
        <f t="shared" si="3"/>
        <v>384.41800000000001</v>
      </c>
      <c r="N6" s="39">
        <f t="shared" si="3"/>
        <v>413.3</v>
      </c>
      <c r="O6" s="39">
        <f t="shared" si="3"/>
        <v>445</v>
      </c>
      <c r="P6" s="39">
        <f t="shared" si="3"/>
        <v>496</v>
      </c>
      <c r="Q6" s="39">
        <f t="shared" si="3"/>
        <v>261</v>
      </c>
      <c r="R6" s="39">
        <f t="shared" si="3"/>
        <v>265</v>
      </c>
      <c r="S6" s="39">
        <f>S66</f>
        <v>265</v>
      </c>
      <c r="T6" s="39">
        <f t="shared" si="3"/>
        <v>267.64999999999998</v>
      </c>
      <c r="U6" s="39">
        <f t="shared" si="3"/>
        <v>270.32649999999995</v>
      </c>
      <c r="V6" s="39">
        <f t="shared" si="3"/>
        <v>273.02976499999994</v>
      </c>
      <c r="W6" s="39">
        <f>W66</f>
        <v>275.76006264999995</v>
      </c>
      <c r="X6" s="39">
        <f>X66</f>
        <v>278.51766327649995</v>
      </c>
      <c r="Y6" s="39">
        <f>Y66</f>
        <v>281.30283990926495</v>
      </c>
      <c r="Z6" s="39">
        <f>Z66</f>
        <v>284.11586830835762</v>
      </c>
      <c r="AA6" s="39">
        <f t="shared" ref="AA6:AC6" si="4">AA66</f>
        <v>286.95702699144118</v>
      </c>
      <c r="AB6" s="39">
        <f t="shared" si="4"/>
        <v>289.82659726135557</v>
      </c>
      <c r="AC6" s="39">
        <f t="shared" si="4"/>
        <v>292.72486323396913</v>
      </c>
      <c r="AD6" s="40"/>
    </row>
    <row r="7" spans="1:30" x14ac:dyDescent="0.2">
      <c r="A7" s="16"/>
      <c r="B7" s="41" t="s">
        <v>365</v>
      </c>
      <c r="C7" s="42">
        <f t="shared" ref="C7:V7" si="5">C18</f>
        <v>-46.965049826724034</v>
      </c>
      <c r="D7" s="42">
        <f t="shared" si="5"/>
        <v>-53.521315834440259</v>
      </c>
      <c r="E7" s="42">
        <f t="shared" si="5"/>
        <v>-60.713053798763184</v>
      </c>
      <c r="F7" s="42">
        <f t="shared" si="5"/>
        <v>-77.012611369544359</v>
      </c>
      <c r="G7" s="42">
        <f t="shared" si="5"/>
        <v>-88.469261978413584</v>
      </c>
      <c r="H7" s="42">
        <f t="shared" si="5"/>
        <v>-106.70953839337356</v>
      </c>
      <c r="I7" s="42">
        <f t="shared" si="5"/>
        <v>-135.42016813948413</v>
      </c>
      <c r="J7" s="42">
        <f t="shared" si="5"/>
        <v>-155.1517776135679</v>
      </c>
      <c r="K7" s="42">
        <f t="shared" si="5"/>
        <v>-171.34993365270299</v>
      </c>
      <c r="L7" s="42">
        <f t="shared" si="5"/>
        <v>-188.1671795720645</v>
      </c>
      <c r="M7" s="42">
        <f t="shared" si="5"/>
        <v>-212.17855031024993</v>
      </c>
      <c r="N7" s="42">
        <f t="shared" si="5"/>
        <v>-237.10285750524395</v>
      </c>
      <c r="O7" s="42">
        <f t="shared" si="5"/>
        <v>-276.63137319847272</v>
      </c>
      <c r="P7" s="42">
        <f t="shared" si="5"/>
        <v>-289.88052974631756</v>
      </c>
      <c r="Q7" s="42">
        <f t="shared" si="5"/>
        <v>-173.57599713270685</v>
      </c>
      <c r="R7" s="42">
        <f t="shared" si="5"/>
        <v>-179.35870732011966</v>
      </c>
      <c r="S7" s="42">
        <f>S18</f>
        <v>-185.18542939234584</v>
      </c>
      <c r="T7" s="42">
        <f t="shared" si="5"/>
        <v>-189.82447181621231</v>
      </c>
      <c r="U7" s="42">
        <f t="shared" si="5"/>
        <v>-194.4709860469759</v>
      </c>
      <c r="V7" s="42">
        <f t="shared" si="5"/>
        <v>-199.11717438582133</v>
      </c>
      <c r="W7" s="42">
        <f>W18</f>
        <v>-198.67254367513621</v>
      </c>
      <c r="X7" s="42">
        <f>X18</f>
        <v>-186.09597052417058</v>
      </c>
      <c r="Y7" s="42">
        <f>Y18</f>
        <v>-173.61320387376213</v>
      </c>
      <c r="Z7" s="42">
        <f>Z18</f>
        <v>-137.36715649406813</v>
      </c>
      <c r="AA7" s="42">
        <f t="shared" ref="AA7:AC7" si="6">AA18</f>
        <v>-115.5034446714653</v>
      </c>
      <c r="AB7" s="42">
        <f t="shared" si="6"/>
        <v>-83.611240673923859</v>
      </c>
      <c r="AC7" s="42">
        <f t="shared" si="6"/>
        <v>-61.08696525494863</v>
      </c>
      <c r="AD7" s="31"/>
    </row>
    <row r="8" spans="1:30" x14ac:dyDescent="0.2">
      <c r="A8" s="16"/>
      <c r="B8" s="38" t="s">
        <v>366</v>
      </c>
      <c r="C8" s="39">
        <f t="shared" ref="C8:W8" si="7">SUM(C6:C7)</f>
        <v>2.3979501732759658</v>
      </c>
      <c r="D8" s="39">
        <f t="shared" si="7"/>
        <v>14.917684165559749</v>
      </c>
      <c r="E8" s="39">
        <f t="shared" si="7"/>
        <v>24.585946201236808</v>
      </c>
      <c r="F8" s="39">
        <f t="shared" si="7"/>
        <v>31.363388630455646</v>
      </c>
      <c r="G8" s="39">
        <f t="shared" si="7"/>
        <v>53.626738021586419</v>
      </c>
      <c r="H8" s="39">
        <f t="shared" si="7"/>
        <v>66.542461606626418</v>
      </c>
      <c r="I8" s="39">
        <f t="shared" si="7"/>
        <v>78.87983186051585</v>
      </c>
      <c r="J8" s="39">
        <f t="shared" si="7"/>
        <v>104.15722238643212</v>
      </c>
      <c r="K8" s="39">
        <f t="shared" si="7"/>
        <v>133.826066347297</v>
      </c>
      <c r="L8" s="39">
        <f t="shared" si="7"/>
        <v>151.73782042793547</v>
      </c>
      <c r="M8" s="39">
        <f t="shared" si="7"/>
        <v>172.23944968975007</v>
      </c>
      <c r="N8" s="39">
        <f t="shared" si="7"/>
        <v>176.19714249475606</v>
      </c>
      <c r="O8" s="39">
        <f t="shared" si="7"/>
        <v>168.36862680152728</v>
      </c>
      <c r="P8" s="39">
        <f t="shared" si="7"/>
        <v>206.11947025368244</v>
      </c>
      <c r="Q8" s="39">
        <f t="shared" si="7"/>
        <v>87.424002867293154</v>
      </c>
      <c r="R8" s="39">
        <f t="shared" si="7"/>
        <v>85.641292679880337</v>
      </c>
      <c r="S8" s="39">
        <f t="shared" si="7"/>
        <v>79.814570607654161</v>
      </c>
      <c r="T8" s="39">
        <f t="shared" si="7"/>
        <v>77.825528183787668</v>
      </c>
      <c r="U8" s="39">
        <f t="shared" si="7"/>
        <v>75.855513953024058</v>
      </c>
      <c r="V8" s="39">
        <f t="shared" si="7"/>
        <v>73.912590614178612</v>
      </c>
      <c r="W8" s="39">
        <f t="shared" si="7"/>
        <v>77.087518974863741</v>
      </c>
      <c r="X8" s="39">
        <f>SUM(X6:X7)</f>
        <v>92.421692752329363</v>
      </c>
      <c r="Y8" s="39">
        <f>SUM(Y6:Y7)</f>
        <v>107.68963603550282</v>
      </c>
      <c r="Z8" s="39">
        <f>SUM(Z6:Z7)</f>
        <v>146.74871181428949</v>
      </c>
      <c r="AA8" s="39">
        <f t="shared" ref="AA8:AC8" si="8">SUM(AA6:AA7)</f>
        <v>171.45358231997588</v>
      </c>
      <c r="AB8" s="39">
        <f t="shared" si="8"/>
        <v>206.2153565874317</v>
      </c>
      <c r="AC8" s="39">
        <f t="shared" si="8"/>
        <v>231.63789797902049</v>
      </c>
      <c r="AD8" s="31"/>
    </row>
    <row r="9" spans="1:30" x14ac:dyDescent="0.2">
      <c r="A9" s="16"/>
      <c r="B9" s="38"/>
      <c r="C9" s="43"/>
      <c r="D9" s="43"/>
      <c r="E9" s="43"/>
      <c r="F9" s="43"/>
      <c r="G9" s="43"/>
      <c r="H9" s="43"/>
      <c r="I9" s="43"/>
      <c r="J9" s="43"/>
      <c r="K9" s="43"/>
      <c r="L9" s="43"/>
      <c r="M9" s="43"/>
      <c r="N9" s="43"/>
      <c r="O9" s="43"/>
      <c r="P9" s="43"/>
      <c r="Q9" s="43"/>
      <c r="R9" s="43"/>
      <c r="S9" s="43"/>
      <c r="T9" s="43"/>
      <c r="U9" s="43"/>
      <c r="V9" s="43"/>
      <c r="W9" s="43"/>
      <c r="X9" s="43"/>
      <c r="Y9" s="43"/>
      <c r="Z9" s="43"/>
      <c r="AA9" s="43"/>
      <c r="AB9" s="43"/>
      <c r="AC9" s="43"/>
      <c r="AD9" s="31"/>
    </row>
    <row r="10" spans="1:30" x14ac:dyDescent="0.2">
      <c r="A10" s="16"/>
      <c r="B10" s="38" t="s">
        <v>367</v>
      </c>
      <c r="C10" s="42">
        <f t="shared" ref="C10:V10" si="9">-C24</f>
        <v>-33.682449205321262</v>
      </c>
      <c r="D10" s="42">
        <f t="shared" si="9"/>
        <v>-52.903812122672562</v>
      </c>
      <c r="E10" s="42">
        <f t="shared" si="9"/>
        <v>-68.672578103082515</v>
      </c>
      <c r="F10" s="42">
        <f t="shared" si="9"/>
        <v>-96.949184624648211</v>
      </c>
      <c r="G10" s="42">
        <f t="shared" si="9"/>
        <v>-111.53437669045699</v>
      </c>
      <c r="H10" s="42">
        <f t="shared" si="9"/>
        <v>-132.11852050948264</v>
      </c>
      <c r="I10" s="42">
        <f t="shared" si="9"/>
        <v>-163.20506325222598</v>
      </c>
      <c r="J10" s="42">
        <f t="shared" si="9"/>
        <v>-187.8963668903265</v>
      </c>
      <c r="K10" s="42">
        <f t="shared" si="9"/>
        <v>-206.59939301993128</v>
      </c>
      <c r="L10" s="42">
        <f t="shared" si="9"/>
        <v>-222.74321065855608</v>
      </c>
      <c r="M10" s="42">
        <f t="shared" si="9"/>
        <v>-247.57454329895367</v>
      </c>
      <c r="N10" s="42">
        <f t="shared" si="9"/>
        <v>-271.84708953647976</v>
      </c>
      <c r="O10" s="42">
        <f t="shared" si="9"/>
        <v>-319.08499041157205</v>
      </c>
      <c r="P10" s="42">
        <f t="shared" si="9"/>
        <v>-329.96718437611662</v>
      </c>
      <c r="Q10" s="42">
        <f t="shared" si="9"/>
        <v>-168.33051783247893</v>
      </c>
      <c r="R10" s="42">
        <f t="shared" si="9"/>
        <v>-170.44601499035929</v>
      </c>
      <c r="S10" s="42">
        <f>-S24</f>
        <v>-172.4519817414573</v>
      </c>
      <c r="T10" s="42">
        <f t="shared" si="9"/>
        <v>-174.29106656948454</v>
      </c>
      <c r="U10" s="42">
        <f t="shared" si="9"/>
        <v>-176.19046509889807</v>
      </c>
      <c r="V10" s="42">
        <f t="shared" si="9"/>
        <v>-178.10286863845096</v>
      </c>
      <c r="W10" s="42">
        <f>-W24</f>
        <v>-180.00547745878211</v>
      </c>
      <c r="X10" s="42">
        <f>-X24</f>
        <v>-181.89082848057137</v>
      </c>
      <c r="Y10" s="42">
        <f>-Y24</f>
        <v>-183.75752751549447</v>
      </c>
      <c r="Z10" s="42">
        <f>-Z24</f>
        <v>-185.60402475297838</v>
      </c>
      <c r="AA10" s="42">
        <f t="shared" ref="AA10:AC10" si="10">-AA24</f>
        <v>-187.42860401857027</v>
      </c>
      <c r="AB10" s="42">
        <f t="shared" si="10"/>
        <v>-189.22937116930447</v>
      </c>
      <c r="AC10" s="42">
        <f t="shared" si="10"/>
        <v>-191.00424156103986</v>
      </c>
      <c r="AD10" s="31"/>
    </row>
    <row r="11" spans="1:30" x14ac:dyDescent="0.2">
      <c r="A11" s="16"/>
      <c r="B11" s="44" t="s">
        <v>368</v>
      </c>
      <c r="C11" s="39">
        <f t="shared" ref="C11:W11" si="11">C8+C10</f>
        <v>-31.284499032045296</v>
      </c>
      <c r="D11" s="39">
        <f t="shared" si="11"/>
        <v>-37.986127957112814</v>
      </c>
      <c r="E11" s="39">
        <f t="shared" si="11"/>
        <v>-44.086631901845706</v>
      </c>
      <c r="F11" s="39">
        <f t="shared" si="11"/>
        <v>-65.585795994192566</v>
      </c>
      <c r="G11" s="39">
        <f t="shared" si="11"/>
        <v>-57.907638668870575</v>
      </c>
      <c r="H11" s="39">
        <f t="shared" si="11"/>
        <v>-65.576058902856218</v>
      </c>
      <c r="I11" s="39">
        <f t="shared" si="11"/>
        <v>-84.325231391710133</v>
      </c>
      <c r="J11" s="39">
        <f t="shared" si="11"/>
        <v>-83.73914450389438</v>
      </c>
      <c r="K11" s="39">
        <f t="shared" si="11"/>
        <v>-72.773326672634283</v>
      </c>
      <c r="L11" s="39">
        <f t="shared" si="11"/>
        <v>-71.005390230620606</v>
      </c>
      <c r="M11" s="39">
        <f t="shared" si="11"/>
        <v>-75.335093609203597</v>
      </c>
      <c r="N11" s="39">
        <f t="shared" si="11"/>
        <v>-95.649947041723692</v>
      </c>
      <c r="O11" s="39">
        <f t="shared" si="11"/>
        <v>-150.71636361004477</v>
      </c>
      <c r="P11" s="39">
        <f t="shared" si="11"/>
        <v>-123.84771412243418</v>
      </c>
      <c r="Q11" s="39">
        <f t="shared" si="11"/>
        <v>-80.906514965185778</v>
      </c>
      <c r="R11" s="39">
        <f t="shared" si="11"/>
        <v>-84.804722310478951</v>
      </c>
      <c r="S11" s="39">
        <f t="shared" si="11"/>
        <v>-92.637411133803141</v>
      </c>
      <c r="T11" s="39">
        <f t="shared" si="11"/>
        <v>-96.465538385696874</v>
      </c>
      <c r="U11" s="39">
        <f t="shared" si="11"/>
        <v>-100.33495114587402</v>
      </c>
      <c r="V11" s="39">
        <f t="shared" si="11"/>
        <v>-104.19027802427235</v>
      </c>
      <c r="W11" s="39">
        <f t="shared" si="11"/>
        <v>-102.91795848391837</v>
      </c>
      <c r="X11" s="39">
        <f>X8+X10</f>
        <v>-89.469135728242009</v>
      </c>
      <c r="Y11" s="39">
        <f>Y8+Y10</f>
        <v>-76.067891479991658</v>
      </c>
      <c r="Z11" s="39">
        <f>Z8+Z10</f>
        <v>-38.855312938688883</v>
      </c>
      <c r="AA11" s="39">
        <f t="shared" ref="AA11:AC11" si="12">AA8+AA10</f>
        <v>-15.975021698594389</v>
      </c>
      <c r="AB11" s="39">
        <f t="shared" si="12"/>
        <v>16.985985418127228</v>
      </c>
      <c r="AC11" s="39">
        <f t="shared" si="12"/>
        <v>40.633656417980632</v>
      </c>
      <c r="AD11" s="45"/>
    </row>
    <row r="12" spans="1:30" x14ac:dyDescent="0.2">
      <c r="A12" s="16"/>
      <c r="B12" s="38"/>
      <c r="C12" s="39"/>
      <c r="D12" s="39"/>
      <c r="E12" s="39"/>
      <c r="F12" s="39"/>
      <c r="G12" s="39"/>
      <c r="H12" s="39"/>
      <c r="I12" s="39"/>
      <c r="J12" s="39"/>
      <c r="K12" s="39"/>
      <c r="L12" s="39"/>
      <c r="M12" s="39"/>
      <c r="N12" s="39"/>
      <c r="O12" s="39"/>
      <c r="P12" s="39"/>
      <c r="Q12" s="39"/>
      <c r="R12" s="39"/>
      <c r="S12" s="39"/>
      <c r="T12" s="39"/>
      <c r="U12" s="39"/>
      <c r="V12" s="39"/>
      <c r="W12" s="39"/>
      <c r="X12" s="39"/>
      <c r="Y12" s="39"/>
      <c r="Z12" s="39"/>
      <c r="AA12" s="39"/>
      <c r="AB12" s="39"/>
      <c r="AC12" s="39"/>
      <c r="AD12" s="31"/>
    </row>
    <row r="13" spans="1:30" x14ac:dyDescent="0.2">
      <c r="A13" s="16"/>
      <c r="B13" s="38" t="s">
        <v>369</v>
      </c>
      <c r="C13" s="39">
        <f t="shared" ref="C13:V13" si="13">C6+C10</f>
        <v>15.680550794678737</v>
      </c>
      <c r="D13" s="39">
        <f t="shared" si="13"/>
        <v>15.535187877327445</v>
      </c>
      <c r="E13" s="39">
        <f t="shared" si="13"/>
        <v>16.626421896917478</v>
      </c>
      <c r="F13" s="39">
        <f t="shared" si="13"/>
        <v>11.426815375351794</v>
      </c>
      <c r="G13" s="39">
        <f t="shared" si="13"/>
        <v>30.561623309543009</v>
      </c>
      <c r="H13" s="39">
        <f t="shared" si="13"/>
        <v>41.133479490517345</v>
      </c>
      <c r="I13" s="39">
        <f t="shared" si="13"/>
        <v>51.094936747774</v>
      </c>
      <c r="J13" s="39">
        <f t="shared" si="13"/>
        <v>71.412633109673521</v>
      </c>
      <c r="K13" s="39">
        <f t="shared" si="13"/>
        <v>98.576606980068703</v>
      </c>
      <c r="L13" s="39">
        <f t="shared" si="13"/>
        <v>117.16178934144389</v>
      </c>
      <c r="M13" s="39">
        <f t="shared" si="13"/>
        <v>136.84345670104634</v>
      </c>
      <c r="N13" s="39">
        <f t="shared" si="13"/>
        <v>141.45291046352025</v>
      </c>
      <c r="O13" s="39">
        <f t="shared" si="13"/>
        <v>125.91500958842795</v>
      </c>
      <c r="P13" s="39">
        <f t="shared" si="13"/>
        <v>166.03281562388338</v>
      </c>
      <c r="Q13" s="39">
        <f t="shared" si="13"/>
        <v>92.669482167521068</v>
      </c>
      <c r="R13" s="39">
        <f t="shared" si="13"/>
        <v>94.553985009640712</v>
      </c>
      <c r="S13" s="39">
        <f>S6+S10</f>
        <v>92.548018258542697</v>
      </c>
      <c r="T13" s="39">
        <f t="shared" si="13"/>
        <v>93.358933430515435</v>
      </c>
      <c r="U13" s="39">
        <f t="shared" si="13"/>
        <v>94.13603490110188</v>
      </c>
      <c r="V13" s="39">
        <f t="shared" si="13"/>
        <v>94.926896361548984</v>
      </c>
      <c r="W13" s="39">
        <f>W6+W10</f>
        <v>95.754585191217842</v>
      </c>
      <c r="X13" s="39">
        <f>X6+X10</f>
        <v>96.626834795928573</v>
      </c>
      <c r="Y13" s="39">
        <f>Y6+Y10</f>
        <v>97.545312393770473</v>
      </c>
      <c r="Z13" s="39">
        <f>Z6+Z10</f>
        <v>98.511843555379244</v>
      </c>
      <c r="AA13" s="39">
        <f t="shared" ref="AA13:AC13" si="14">AA6+AA10</f>
        <v>99.528422972870914</v>
      </c>
      <c r="AB13" s="39">
        <f t="shared" si="14"/>
        <v>100.5972260920511</v>
      </c>
      <c r="AC13" s="39">
        <f t="shared" si="14"/>
        <v>101.72062167292927</v>
      </c>
      <c r="AD13" s="31"/>
    </row>
    <row r="14" spans="1:30" x14ac:dyDescent="0.2">
      <c r="A14" s="16"/>
      <c r="B14" s="38"/>
      <c r="C14" s="34"/>
      <c r="D14" s="34"/>
      <c r="E14" s="34"/>
      <c r="F14" s="34"/>
      <c r="G14" s="34"/>
      <c r="H14" s="34"/>
      <c r="I14" s="34"/>
      <c r="J14" s="34"/>
      <c r="K14" s="34"/>
      <c r="L14" s="34"/>
      <c r="M14" s="34"/>
      <c r="N14" s="34"/>
      <c r="O14" s="34"/>
      <c r="P14" s="34"/>
      <c r="Q14" s="34"/>
      <c r="R14" s="34"/>
      <c r="S14" s="34"/>
      <c r="T14" s="34"/>
      <c r="U14" s="34"/>
      <c r="V14" s="34"/>
      <c r="W14" s="34"/>
      <c r="X14" s="34"/>
      <c r="Y14" s="34"/>
      <c r="Z14" s="34"/>
      <c r="AA14" s="34"/>
      <c r="AB14" s="34"/>
      <c r="AC14" s="34"/>
      <c r="AD14" s="31"/>
    </row>
    <row r="15" spans="1:30" x14ac:dyDescent="0.2">
      <c r="A15" s="16"/>
      <c r="B15" s="46" t="s">
        <v>370</v>
      </c>
      <c r="C15" s="24">
        <f t="shared" ref="C15:AC15" si="15">C$3</f>
        <v>1996</v>
      </c>
      <c r="D15" s="24">
        <f t="shared" si="15"/>
        <v>1997</v>
      </c>
      <c r="E15" s="24">
        <f t="shared" si="15"/>
        <v>1998</v>
      </c>
      <c r="F15" s="24">
        <f t="shared" si="15"/>
        <v>1999</v>
      </c>
      <c r="G15" s="24">
        <f t="shared" si="15"/>
        <v>2000</v>
      </c>
      <c r="H15" s="24">
        <f t="shared" si="15"/>
        <v>2001</v>
      </c>
      <c r="I15" s="24">
        <f t="shared" si="15"/>
        <v>2002</v>
      </c>
      <c r="J15" s="24">
        <f t="shared" si="15"/>
        <v>2003</v>
      </c>
      <c r="K15" s="24">
        <f t="shared" si="15"/>
        <v>2004</v>
      </c>
      <c r="L15" s="24">
        <f t="shared" si="15"/>
        <v>2005</v>
      </c>
      <c r="M15" s="24">
        <f t="shared" si="15"/>
        <v>2006</v>
      </c>
      <c r="N15" s="24">
        <f t="shared" si="15"/>
        <v>2007</v>
      </c>
      <c r="O15" s="24">
        <f t="shared" si="15"/>
        <v>2008</v>
      </c>
      <c r="P15" s="24">
        <f t="shared" si="15"/>
        <v>2009</v>
      </c>
      <c r="Q15" s="24">
        <f t="shared" si="15"/>
        <v>2010</v>
      </c>
      <c r="R15" s="24">
        <f t="shared" si="15"/>
        <v>2011</v>
      </c>
      <c r="S15" s="24">
        <f t="shared" si="15"/>
        <v>2012</v>
      </c>
      <c r="T15" s="25">
        <f t="shared" si="15"/>
        <v>2013</v>
      </c>
      <c r="U15" s="25">
        <f t="shared" si="15"/>
        <v>2014</v>
      </c>
      <c r="V15" s="25">
        <f t="shared" si="15"/>
        <v>2015</v>
      </c>
      <c r="W15" s="25">
        <f t="shared" si="15"/>
        <v>2016</v>
      </c>
      <c r="X15" s="25">
        <f t="shared" si="15"/>
        <v>2017</v>
      </c>
      <c r="Y15" s="25">
        <f t="shared" si="15"/>
        <v>2018</v>
      </c>
      <c r="Z15" s="25">
        <f t="shared" si="15"/>
        <v>2019</v>
      </c>
      <c r="AA15" s="25">
        <f t="shared" si="15"/>
        <v>2020</v>
      </c>
      <c r="AB15" s="25">
        <f t="shared" si="15"/>
        <v>2021</v>
      </c>
      <c r="AC15" s="25">
        <f t="shared" si="15"/>
        <v>2022</v>
      </c>
      <c r="AD15" s="47"/>
    </row>
    <row r="16" spans="1:30" x14ac:dyDescent="0.2">
      <c r="A16" s="16"/>
      <c r="B16" s="48" t="s">
        <v>371</v>
      </c>
      <c r="C16" s="49"/>
      <c r="D16" s="49">
        <f t="shared" ref="D16:W16" si="16">C19</f>
        <v>469.65049826724032</v>
      </c>
      <c r="E16" s="49">
        <f t="shared" si="16"/>
        <v>659.97062217126222</v>
      </c>
      <c r="F16" s="49">
        <f t="shared" si="16"/>
        <v>842.28251289299862</v>
      </c>
      <c r="G16" s="49">
        <f t="shared" si="16"/>
        <v>1178.5484159450339</v>
      </c>
      <c r="H16" s="49">
        <f t="shared" si="16"/>
        <v>1380.7277510081149</v>
      </c>
      <c r="I16" s="49">
        <f t="shared" si="16"/>
        <v>1684.799031715203</v>
      </c>
      <c r="J16" s="49">
        <f t="shared" si="16"/>
        <v>2151.3905279020946</v>
      </c>
      <c r="K16" s="49">
        <f t="shared" si="16"/>
        <v>2420.8678655483604</v>
      </c>
      <c r="L16" s="49">
        <f t="shared" si="16"/>
        <v>2601.0440076611976</v>
      </c>
      <c r="M16" s="49">
        <f t="shared" si="16"/>
        <v>2752.0702019317487</v>
      </c>
      <c r="N16" s="49">
        <f t="shared" si="16"/>
        <v>3029.996300022437</v>
      </c>
      <c r="O16" s="49">
        <f t="shared" si="16"/>
        <v>3296.2772510724453</v>
      </c>
      <c r="P16" s="49">
        <f t="shared" si="16"/>
        <v>3878.7504989999225</v>
      </c>
      <c r="Q16" s="49">
        <f t="shared" si="16"/>
        <v>3878.1627160009475</v>
      </c>
      <c r="R16" s="49">
        <f t="shared" si="16"/>
        <v>1399.8885284916189</v>
      </c>
      <c r="S16" s="49">
        <f t="shared" si="16"/>
        <v>1355.009391387877</v>
      </c>
      <c r="T16" s="49">
        <f t="shared" si="16"/>
        <v>1302.9247259320014</v>
      </c>
      <c r="U16" s="49">
        <f t="shared" si="16"/>
        <v>1220.4594663860314</v>
      </c>
      <c r="V16" s="49">
        <f t="shared" si="16"/>
        <v>1131.7477250920911</v>
      </c>
      <c r="W16" s="49">
        <f t="shared" si="16"/>
        <v>1036.8438024044103</v>
      </c>
      <c r="X16" s="49">
        <f>W19</f>
        <v>943.42664294439601</v>
      </c>
      <c r="Y16" s="49">
        <f>X19</f>
        <v>863.63861047749856</v>
      </c>
      <c r="Z16" s="49">
        <f>Y19</f>
        <v>797.39642404158212</v>
      </c>
      <c r="AA16" s="49">
        <f t="shared" ref="AA16:AC16" si="17">Z19</f>
        <v>768.47399515973814</v>
      </c>
      <c r="AB16" s="49">
        <f t="shared" si="17"/>
        <v>762.49972537661915</v>
      </c>
      <c r="AC16" s="49">
        <f t="shared" si="17"/>
        <v>789.51295133992517</v>
      </c>
      <c r="AD16" s="50"/>
    </row>
    <row r="17" spans="1:30" x14ac:dyDescent="0.2">
      <c r="A17" s="51"/>
      <c r="B17" s="52" t="s">
        <v>372</v>
      </c>
      <c r="C17" s="49"/>
      <c r="D17" s="49">
        <f t="shared" ref="D17:V17" si="18">D132</f>
        <v>243.84143973846224</v>
      </c>
      <c r="E17" s="49">
        <f t="shared" si="18"/>
        <v>243.02494452049962</v>
      </c>
      <c r="F17" s="49">
        <f t="shared" si="18"/>
        <v>413.27851442157964</v>
      </c>
      <c r="G17" s="49">
        <f t="shared" si="18"/>
        <v>290.64859704149472</v>
      </c>
      <c r="H17" s="49">
        <f t="shared" si="18"/>
        <v>410.78081910046166</v>
      </c>
      <c r="I17" s="49">
        <f t="shared" si="18"/>
        <v>602.01166432637604</v>
      </c>
      <c r="J17" s="49">
        <f t="shared" si="18"/>
        <v>424.62911525983355</v>
      </c>
      <c r="K17" s="49">
        <f t="shared" si="18"/>
        <v>351.52607576554021</v>
      </c>
      <c r="L17" s="49">
        <f t="shared" si="18"/>
        <v>339.19337384261536</v>
      </c>
      <c r="M17" s="49">
        <f t="shared" si="18"/>
        <v>490.10464840093857</v>
      </c>
      <c r="N17" s="49">
        <f t="shared" si="18"/>
        <v>503.38380855525224</v>
      </c>
      <c r="O17" s="49">
        <f t="shared" si="18"/>
        <v>859.10462112594985</v>
      </c>
      <c r="P17" s="49">
        <f t="shared" si="18"/>
        <v>289.29274674734268</v>
      </c>
      <c r="Q17" s="49">
        <f t="shared" si="18"/>
        <v>-2304.6981903766218</v>
      </c>
      <c r="R17" s="49">
        <f t="shared" si="18"/>
        <v>134.47957021637785</v>
      </c>
      <c r="S17" s="49">
        <f>S132</f>
        <v>133.10076393647023</v>
      </c>
      <c r="T17" s="49">
        <f t="shared" si="18"/>
        <v>107.35921227024238</v>
      </c>
      <c r="U17" s="49">
        <f t="shared" si="18"/>
        <v>105.7592447530356</v>
      </c>
      <c r="V17" s="49">
        <f t="shared" si="18"/>
        <v>104.2132516981405</v>
      </c>
      <c r="W17" s="49">
        <f>W132</f>
        <v>105.25538421512185</v>
      </c>
      <c r="X17" s="49">
        <f>X132</f>
        <v>106.30793805727305</v>
      </c>
      <c r="Y17" s="49">
        <f>Y132</f>
        <v>107.37101743784569</v>
      </c>
      <c r="Z17" s="49">
        <f>Z132</f>
        <v>108.44472761222411</v>
      </c>
      <c r="AA17" s="49">
        <f t="shared" ref="AA17:AC17" si="19">AA132</f>
        <v>109.52917488834638</v>
      </c>
      <c r="AB17" s="49">
        <f t="shared" si="19"/>
        <v>110.62446663722986</v>
      </c>
      <c r="AC17" s="49">
        <f t="shared" si="19"/>
        <v>111.73071130360233</v>
      </c>
      <c r="AD17" s="53"/>
    </row>
    <row r="18" spans="1:30" x14ac:dyDescent="0.2">
      <c r="A18" s="16"/>
      <c r="B18" s="54" t="s">
        <v>373</v>
      </c>
      <c r="C18" s="55">
        <f t="shared" ref="C18:V18" si="20">-C173</f>
        <v>-46.965049826724034</v>
      </c>
      <c r="D18" s="55">
        <f t="shared" si="20"/>
        <v>-53.521315834440259</v>
      </c>
      <c r="E18" s="55">
        <f t="shared" si="20"/>
        <v>-60.713053798763184</v>
      </c>
      <c r="F18" s="55">
        <f t="shared" si="20"/>
        <v>-77.012611369544359</v>
      </c>
      <c r="G18" s="55">
        <f t="shared" si="20"/>
        <v>-88.469261978413584</v>
      </c>
      <c r="H18" s="55">
        <f t="shared" si="20"/>
        <v>-106.70953839337356</v>
      </c>
      <c r="I18" s="55">
        <f t="shared" si="20"/>
        <v>-135.42016813948413</v>
      </c>
      <c r="J18" s="55">
        <f t="shared" si="20"/>
        <v>-155.1517776135679</v>
      </c>
      <c r="K18" s="55">
        <f t="shared" si="20"/>
        <v>-171.34993365270299</v>
      </c>
      <c r="L18" s="55">
        <f t="shared" si="20"/>
        <v>-188.1671795720645</v>
      </c>
      <c r="M18" s="55">
        <f t="shared" si="20"/>
        <v>-212.17855031024993</v>
      </c>
      <c r="N18" s="55">
        <f t="shared" si="20"/>
        <v>-237.10285750524395</v>
      </c>
      <c r="O18" s="55">
        <f t="shared" si="20"/>
        <v>-276.63137319847272</v>
      </c>
      <c r="P18" s="55">
        <f t="shared" si="20"/>
        <v>-289.88052974631756</v>
      </c>
      <c r="Q18" s="55">
        <f t="shared" si="20"/>
        <v>-173.57599713270685</v>
      </c>
      <c r="R18" s="55">
        <f t="shared" si="20"/>
        <v>-179.35870732011966</v>
      </c>
      <c r="S18" s="55">
        <f>-S173</f>
        <v>-185.18542939234584</v>
      </c>
      <c r="T18" s="55">
        <f t="shared" si="20"/>
        <v>-189.82447181621231</v>
      </c>
      <c r="U18" s="55">
        <f t="shared" si="20"/>
        <v>-194.4709860469759</v>
      </c>
      <c r="V18" s="55">
        <f t="shared" si="20"/>
        <v>-199.11717438582133</v>
      </c>
      <c r="W18" s="55">
        <f>-W173</f>
        <v>-198.67254367513621</v>
      </c>
      <c r="X18" s="55">
        <f>-X173</f>
        <v>-186.09597052417058</v>
      </c>
      <c r="Y18" s="55">
        <f>-Y173</f>
        <v>-173.61320387376213</v>
      </c>
      <c r="Z18" s="55">
        <f>-Z173</f>
        <v>-137.36715649406813</v>
      </c>
      <c r="AA18" s="55">
        <f t="shared" ref="AA18:AC18" si="21">-AA173</f>
        <v>-115.5034446714653</v>
      </c>
      <c r="AB18" s="55">
        <f t="shared" si="21"/>
        <v>-83.611240673923859</v>
      </c>
      <c r="AC18" s="55">
        <f t="shared" si="21"/>
        <v>-61.08696525494863</v>
      </c>
      <c r="AD18" s="50"/>
    </row>
    <row r="19" spans="1:30" x14ac:dyDescent="0.2">
      <c r="A19" s="16"/>
      <c r="B19" s="56" t="s">
        <v>374</v>
      </c>
      <c r="C19" s="57">
        <f>C27*C20</f>
        <v>469.65049826724032</v>
      </c>
      <c r="D19" s="57">
        <f t="shared" ref="D19:W19" si="22">SUM(D16:D18)</f>
        <v>659.97062217126222</v>
      </c>
      <c r="E19" s="57">
        <f t="shared" si="22"/>
        <v>842.28251289299862</v>
      </c>
      <c r="F19" s="57">
        <f t="shared" si="22"/>
        <v>1178.5484159450339</v>
      </c>
      <c r="G19" s="57">
        <f t="shared" si="22"/>
        <v>1380.7277510081149</v>
      </c>
      <c r="H19" s="57">
        <f t="shared" si="22"/>
        <v>1684.799031715203</v>
      </c>
      <c r="I19" s="57">
        <f t="shared" si="22"/>
        <v>2151.3905279020946</v>
      </c>
      <c r="J19" s="57">
        <f t="shared" si="22"/>
        <v>2420.8678655483604</v>
      </c>
      <c r="K19" s="57">
        <f t="shared" si="22"/>
        <v>2601.0440076611976</v>
      </c>
      <c r="L19" s="57">
        <f t="shared" si="22"/>
        <v>2752.0702019317487</v>
      </c>
      <c r="M19" s="57">
        <f t="shared" si="22"/>
        <v>3029.996300022437</v>
      </c>
      <c r="N19" s="57">
        <f t="shared" si="22"/>
        <v>3296.2772510724453</v>
      </c>
      <c r="O19" s="57">
        <f t="shared" si="22"/>
        <v>3878.7504989999225</v>
      </c>
      <c r="P19" s="57">
        <f t="shared" si="22"/>
        <v>3878.1627160009475</v>
      </c>
      <c r="Q19" s="57">
        <f t="shared" si="22"/>
        <v>1399.8885284916189</v>
      </c>
      <c r="R19" s="57">
        <f t="shared" si="22"/>
        <v>1355.009391387877</v>
      </c>
      <c r="S19" s="57">
        <f t="shared" si="22"/>
        <v>1302.9247259320014</v>
      </c>
      <c r="T19" s="57">
        <f t="shared" si="22"/>
        <v>1220.4594663860314</v>
      </c>
      <c r="U19" s="57">
        <f t="shared" si="22"/>
        <v>1131.7477250920911</v>
      </c>
      <c r="V19" s="57">
        <f t="shared" si="22"/>
        <v>1036.8438024044103</v>
      </c>
      <c r="W19" s="57">
        <f t="shared" si="22"/>
        <v>943.42664294439601</v>
      </c>
      <c r="X19" s="57">
        <f>SUM(X16:X18)</f>
        <v>863.63861047749856</v>
      </c>
      <c r="Y19" s="57">
        <f>SUM(Y16:Y18)</f>
        <v>797.39642404158212</v>
      </c>
      <c r="Z19" s="57">
        <f>SUM(Z16:Z18)</f>
        <v>768.47399515973814</v>
      </c>
      <c r="AA19" s="57">
        <f t="shared" ref="AA19:AC19" si="23">SUM(AA16:AA18)</f>
        <v>762.49972537661915</v>
      </c>
      <c r="AB19" s="57">
        <f t="shared" si="23"/>
        <v>789.51295133992517</v>
      </c>
      <c r="AC19" s="57">
        <f t="shared" si="23"/>
        <v>840.15669738857889</v>
      </c>
      <c r="AD19" s="58"/>
    </row>
    <row r="20" spans="1:30" x14ac:dyDescent="0.2">
      <c r="A20" s="16"/>
      <c r="B20" s="59" t="s">
        <v>375</v>
      </c>
      <c r="C20" s="60">
        <v>0.9</v>
      </c>
      <c r="D20" s="61"/>
      <c r="E20" s="61"/>
      <c r="F20" s="61"/>
      <c r="G20" s="61"/>
      <c r="H20" s="61"/>
      <c r="I20" s="61"/>
      <c r="J20" s="61"/>
      <c r="K20" s="61"/>
      <c r="L20" s="61"/>
      <c r="M20" s="61"/>
      <c r="N20" s="61"/>
      <c r="O20" s="61"/>
      <c r="P20" s="61"/>
      <c r="Q20" s="61"/>
      <c r="R20" s="61"/>
      <c r="S20" s="61"/>
      <c r="T20" s="61"/>
      <c r="U20" s="61"/>
      <c r="V20" s="61"/>
      <c r="W20" s="61"/>
      <c r="X20" s="61"/>
      <c r="Y20" s="61"/>
      <c r="Z20" s="61"/>
      <c r="AA20" s="61"/>
      <c r="AB20" s="61"/>
      <c r="AC20" s="61"/>
      <c r="AD20" s="31"/>
    </row>
    <row r="21" spans="1:30" x14ac:dyDescent="0.2">
      <c r="A21" s="16"/>
      <c r="B21" s="59"/>
      <c r="C21" s="61"/>
      <c r="D21" s="61"/>
      <c r="E21" s="61"/>
      <c r="F21" s="61"/>
      <c r="G21" s="61"/>
      <c r="H21" s="61"/>
      <c r="I21" s="61"/>
      <c r="J21" s="61"/>
      <c r="K21" s="61"/>
      <c r="L21" s="61"/>
      <c r="M21" s="61"/>
      <c r="N21" s="61"/>
      <c r="O21" s="61"/>
      <c r="P21" s="61"/>
      <c r="Q21" s="61"/>
      <c r="R21" s="61"/>
      <c r="S21" s="61"/>
      <c r="T21" s="61"/>
      <c r="U21" s="61"/>
      <c r="V21" s="61"/>
      <c r="W21" s="61"/>
      <c r="X21" s="61"/>
      <c r="Y21" s="61"/>
      <c r="Z21" s="61"/>
      <c r="AA21" s="61"/>
      <c r="AB21" s="61"/>
      <c r="AC21" s="61"/>
      <c r="AD21" s="31"/>
    </row>
    <row r="22" spans="1:30" x14ac:dyDescent="0.2">
      <c r="A22" s="16"/>
      <c r="B22" s="46" t="s">
        <v>376</v>
      </c>
      <c r="C22" s="24">
        <f t="shared" ref="C22:AC22" si="24">C$3</f>
        <v>1996</v>
      </c>
      <c r="D22" s="24">
        <f t="shared" si="24"/>
        <v>1997</v>
      </c>
      <c r="E22" s="24">
        <f t="shared" si="24"/>
        <v>1998</v>
      </c>
      <c r="F22" s="24">
        <f t="shared" si="24"/>
        <v>1999</v>
      </c>
      <c r="G22" s="24">
        <f t="shared" si="24"/>
        <v>2000</v>
      </c>
      <c r="H22" s="24">
        <f t="shared" si="24"/>
        <v>2001</v>
      </c>
      <c r="I22" s="24">
        <f t="shared" si="24"/>
        <v>2002</v>
      </c>
      <c r="J22" s="24">
        <f t="shared" si="24"/>
        <v>2003</v>
      </c>
      <c r="K22" s="24">
        <f t="shared" si="24"/>
        <v>2004</v>
      </c>
      <c r="L22" s="24">
        <f t="shared" si="24"/>
        <v>2005</v>
      </c>
      <c r="M22" s="24">
        <f t="shared" si="24"/>
        <v>2006</v>
      </c>
      <c r="N22" s="24">
        <f t="shared" si="24"/>
        <v>2007</v>
      </c>
      <c r="O22" s="24">
        <f t="shared" si="24"/>
        <v>2008</v>
      </c>
      <c r="P22" s="24">
        <f t="shared" si="24"/>
        <v>2009</v>
      </c>
      <c r="Q22" s="24">
        <f t="shared" si="24"/>
        <v>2010</v>
      </c>
      <c r="R22" s="24">
        <f t="shared" si="24"/>
        <v>2011</v>
      </c>
      <c r="S22" s="24">
        <f t="shared" si="24"/>
        <v>2012</v>
      </c>
      <c r="T22" s="25">
        <f t="shared" si="24"/>
        <v>2013</v>
      </c>
      <c r="U22" s="25">
        <f t="shared" si="24"/>
        <v>2014</v>
      </c>
      <c r="V22" s="25">
        <f t="shared" si="24"/>
        <v>2015</v>
      </c>
      <c r="W22" s="25">
        <f t="shared" si="24"/>
        <v>2016</v>
      </c>
      <c r="X22" s="25">
        <f t="shared" si="24"/>
        <v>2017</v>
      </c>
      <c r="Y22" s="25">
        <f t="shared" si="24"/>
        <v>2018</v>
      </c>
      <c r="Z22" s="25">
        <f t="shared" si="24"/>
        <v>2019</v>
      </c>
      <c r="AA22" s="25">
        <f t="shared" si="24"/>
        <v>2020</v>
      </c>
      <c r="AB22" s="25">
        <f t="shared" si="24"/>
        <v>2021</v>
      </c>
      <c r="AC22" s="25">
        <f t="shared" si="24"/>
        <v>2022</v>
      </c>
      <c r="AD22" s="31"/>
    </row>
    <row r="23" spans="1:30" x14ac:dyDescent="0.2">
      <c r="A23" s="16"/>
      <c r="B23" s="62" t="s">
        <v>377</v>
      </c>
      <c r="C23" s="63">
        <f>C29-C25-C24</f>
        <v>16.580550794678736</v>
      </c>
      <c r="D23" s="63">
        <f t="shared" ref="D23:W23" si="25">C27</f>
        <v>521.83388696360032</v>
      </c>
      <c r="E23" s="63">
        <f t="shared" si="25"/>
        <v>750.14013882473512</v>
      </c>
      <c r="F23" s="63">
        <f t="shared" si="25"/>
        <v>976.53866144831727</v>
      </c>
      <c r="G23" s="63">
        <f t="shared" si="25"/>
        <v>1378.3903604945453</v>
      </c>
      <c r="H23" s="63">
        <f t="shared" si="25"/>
        <v>1638.4773342264971</v>
      </c>
      <c r="I23" s="63">
        <f t="shared" si="25"/>
        <v>2008.1246738364414</v>
      </c>
      <c r="J23" s="63">
        <f t="shared" si="25"/>
        <v>2559.0414014150438</v>
      </c>
      <c r="K23" s="63">
        <f t="shared" si="25"/>
        <v>2912.2578835652039</v>
      </c>
      <c r="L23" s="63">
        <f t="shared" si="25"/>
        <v>3165.2073523506751</v>
      </c>
      <c r="M23" s="63">
        <f t="shared" si="25"/>
        <v>3387.2389368518466</v>
      </c>
      <c r="N23" s="63">
        <f t="shared" si="25"/>
        <v>3740.5001285517387</v>
      </c>
      <c r="O23" s="63">
        <f t="shared" si="25"/>
        <v>4102.4310266434704</v>
      </c>
      <c r="P23" s="63">
        <f t="shared" si="25"/>
        <v>4835.6206381809925</v>
      </c>
      <c r="Q23" s="63">
        <f t="shared" si="25"/>
        <v>4958.8805693044515</v>
      </c>
      <c r="R23" s="63">
        <f t="shared" si="25"/>
        <v>2561.5128967603086</v>
      </c>
      <c r="S23" s="63">
        <f t="shared" si="25"/>
        <v>2601.4384819670458</v>
      </c>
      <c r="T23" s="63">
        <f t="shared" si="25"/>
        <v>2641.9912276449736</v>
      </c>
      <c r="U23" s="63">
        <f t="shared" si="25"/>
        <v>2655.9915064847005</v>
      </c>
      <c r="V23" s="63">
        <f t="shared" si="25"/>
        <v>2667.614716336634</v>
      </c>
      <c r="W23" s="63">
        <f t="shared" si="25"/>
        <v>2676.9010716732259</v>
      </c>
      <c r="X23" s="63">
        <f>W27</f>
        <v>2686.4018706971301</v>
      </c>
      <c r="Y23" s="63">
        <f>X27</f>
        <v>2696.0829739584742</v>
      </c>
      <c r="Z23" s="63">
        <f>Y27</f>
        <v>2705.9086790025494</v>
      </c>
      <c r="AA23" s="63">
        <f t="shared" ref="AA23:AC23" si="26">Z27</f>
        <v>2715.841563059394</v>
      </c>
      <c r="AB23" s="63">
        <f t="shared" si="26"/>
        <v>2725.8423149748696</v>
      </c>
      <c r="AC23" s="63">
        <f t="shared" si="26"/>
        <v>2735.8695555200488</v>
      </c>
      <c r="AD23" s="61"/>
    </row>
    <row r="24" spans="1:30" x14ac:dyDescent="0.2">
      <c r="A24" s="16"/>
      <c r="B24" s="64" t="s">
        <v>378</v>
      </c>
      <c r="C24" s="63">
        <f>C27/(1+C37)*C37</f>
        <v>33.682449205321262</v>
      </c>
      <c r="D24" s="63">
        <f t="shared" ref="D24:W24" si="27">D23*C37+D38*D26</f>
        <v>52.903812122672562</v>
      </c>
      <c r="E24" s="63">
        <f t="shared" si="27"/>
        <v>68.672578103082515</v>
      </c>
      <c r="F24" s="63">
        <f t="shared" si="27"/>
        <v>96.949184624648211</v>
      </c>
      <c r="G24" s="63">
        <f t="shared" si="27"/>
        <v>111.53437669045699</v>
      </c>
      <c r="H24" s="63">
        <f t="shared" si="27"/>
        <v>132.11852050948264</v>
      </c>
      <c r="I24" s="63">
        <f t="shared" si="27"/>
        <v>163.20506325222598</v>
      </c>
      <c r="J24" s="63">
        <f t="shared" si="27"/>
        <v>187.8963668903265</v>
      </c>
      <c r="K24" s="63">
        <f t="shared" si="27"/>
        <v>206.59939301993128</v>
      </c>
      <c r="L24" s="63">
        <f t="shared" si="27"/>
        <v>222.74321065855608</v>
      </c>
      <c r="M24" s="63">
        <f t="shared" si="27"/>
        <v>247.57454329895367</v>
      </c>
      <c r="N24" s="63">
        <f t="shared" si="27"/>
        <v>271.84708953647976</v>
      </c>
      <c r="O24" s="63">
        <f t="shared" si="27"/>
        <v>319.08499041157205</v>
      </c>
      <c r="P24" s="63">
        <f t="shared" si="27"/>
        <v>329.96718437611662</v>
      </c>
      <c r="Q24" s="63">
        <f t="shared" si="27"/>
        <v>168.33051783247893</v>
      </c>
      <c r="R24" s="63">
        <f t="shared" si="27"/>
        <v>170.44601499035929</v>
      </c>
      <c r="S24" s="63">
        <f t="shared" si="27"/>
        <v>172.4519817414573</v>
      </c>
      <c r="T24" s="63">
        <f t="shared" si="27"/>
        <v>174.29106656948454</v>
      </c>
      <c r="U24" s="63">
        <f t="shared" si="27"/>
        <v>176.19046509889807</v>
      </c>
      <c r="V24" s="63">
        <f t="shared" si="27"/>
        <v>178.10286863845096</v>
      </c>
      <c r="W24" s="63">
        <f t="shared" si="27"/>
        <v>180.00547745878211</v>
      </c>
      <c r="X24" s="63">
        <f>X23*W37+X38*X26</f>
        <v>181.89082848057137</v>
      </c>
      <c r="Y24" s="63">
        <f>Y23*X37+Y38*Y26</f>
        <v>183.75752751549447</v>
      </c>
      <c r="Z24" s="63">
        <f>Z23*Y37+Z38*Z26</f>
        <v>185.60402475297838</v>
      </c>
      <c r="AA24" s="63">
        <f t="shared" ref="AA24:AC24" si="28">AA23*Z37+AA38*AA26</f>
        <v>187.42860401857027</v>
      </c>
      <c r="AB24" s="63">
        <f t="shared" si="28"/>
        <v>189.22937116930447</v>
      </c>
      <c r="AC24" s="63">
        <f t="shared" si="28"/>
        <v>191.00424156103986</v>
      </c>
      <c r="AD24" s="65"/>
    </row>
    <row r="25" spans="1:30" x14ac:dyDescent="0.2">
      <c r="A25" s="16"/>
      <c r="B25" s="64" t="s">
        <v>379</v>
      </c>
      <c r="C25" s="63">
        <f t="shared" ref="C25:V25" si="29">-C6</f>
        <v>-49.363</v>
      </c>
      <c r="D25" s="63">
        <f t="shared" si="29"/>
        <v>-68.439000000000007</v>
      </c>
      <c r="E25" s="63">
        <f t="shared" si="29"/>
        <v>-85.298999999999992</v>
      </c>
      <c r="F25" s="63">
        <f t="shared" si="29"/>
        <v>-108.376</v>
      </c>
      <c r="G25" s="63">
        <f t="shared" si="29"/>
        <v>-142.096</v>
      </c>
      <c r="H25" s="63">
        <f t="shared" si="29"/>
        <v>-173.25199999999998</v>
      </c>
      <c r="I25" s="63">
        <f t="shared" si="29"/>
        <v>-214.29999999999998</v>
      </c>
      <c r="J25" s="63">
        <f t="shared" si="29"/>
        <v>-259.30900000000003</v>
      </c>
      <c r="K25" s="63">
        <f t="shared" si="29"/>
        <v>-305.17599999999999</v>
      </c>
      <c r="L25" s="63">
        <f t="shared" si="29"/>
        <v>-339.90499999999997</v>
      </c>
      <c r="M25" s="63">
        <f t="shared" si="29"/>
        <v>-384.41800000000001</v>
      </c>
      <c r="N25" s="63">
        <f t="shared" si="29"/>
        <v>-413.3</v>
      </c>
      <c r="O25" s="63">
        <f t="shared" si="29"/>
        <v>-445</v>
      </c>
      <c r="P25" s="63">
        <f t="shared" si="29"/>
        <v>-496</v>
      </c>
      <c r="Q25" s="63">
        <f t="shared" si="29"/>
        <v>-261</v>
      </c>
      <c r="R25" s="63">
        <f t="shared" si="29"/>
        <v>-265</v>
      </c>
      <c r="S25" s="63">
        <f>-S6</f>
        <v>-265</v>
      </c>
      <c r="T25" s="63">
        <f t="shared" si="29"/>
        <v>-267.64999999999998</v>
      </c>
      <c r="U25" s="63">
        <f t="shared" si="29"/>
        <v>-270.32649999999995</v>
      </c>
      <c r="V25" s="63">
        <f t="shared" si="29"/>
        <v>-273.02976499999994</v>
      </c>
      <c r="W25" s="63">
        <f>-W6</f>
        <v>-275.76006264999995</v>
      </c>
      <c r="X25" s="63">
        <f>-X6</f>
        <v>-278.51766327649995</v>
      </c>
      <c r="Y25" s="63">
        <f>-Y6</f>
        <v>-281.30283990926495</v>
      </c>
      <c r="Z25" s="63">
        <f>-Z6</f>
        <v>-284.11586830835762</v>
      </c>
      <c r="AA25" s="63">
        <f t="shared" ref="AA25:AC25" si="30">-AA6</f>
        <v>-286.95702699144118</v>
      </c>
      <c r="AB25" s="63">
        <f t="shared" si="30"/>
        <v>-289.82659726135557</v>
      </c>
      <c r="AC25" s="63">
        <f t="shared" si="30"/>
        <v>-292.72486323396913</v>
      </c>
      <c r="AD25" s="65"/>
    </row>
    <row r="26" spans="1:30" x14ac:dyDescent="0.2">
      <c r="A26" s="16"/>
      <c r="B26" s="64" t="s">
        <v>380</v>
      </c>
      <c r="C26" s="66">
        <f t="shared" ref="C26:V26" si="31">C17</f>
        <v>0</v>
      </c>
      <c r="D26" s="66">
        <f t="shared" si="31"/>
        <v>243.84143973846224</v>
      </c>
      <c r="E26" s="66">
        <f t="shared" si="31"/>
        <v>243.02494452049962</v>
      </c>
      <c r="F26" s="66">
        <f t="shared" si="31"/>
        <v>413.27851442157964</v>
      </c>
      <c r="G26" s="66">
        <f t="shared" si="31"/>
        <v>290.64859704149472</v>
      </c>
      <c r="H26" s="66">
        <f t="shared" si="31"/>
        <v>410.78081910046166</v>
      </c>
      <c r="I26" s="66">
        <f t="shared" si="31"/>
        <v>602.01166432637604</v>
      </c>
      <c r="J26" s="66">
        <f t="shared" si="31"/>
        <v>424.62911525983355</v>
      </c>
      <c r="K26" s="66">
        <f t="shared" si="31"/>
        <v>351.52607576554021</v>
      </c>
      <c r="L26" s="66">
        <f t="shared" si="31"/>
        <v>339.19337384261536</v>
      </c>
      <c r="M26" s="66">
        <f t="shared" si="31"/>
        <v>490.10464840093857</v>
      </c>
      <c r="N26" s="66">
        <f t="shared" si="31"/>
        <v>503.38380855525224</v>
      </c>
      <c r="O26" s="66">
        <f t="shared" si="31"/>
        <v>859.10462112594985</v>
      </c>
      <c r="P26" s="66">
        <f t="shared" si="31"/>
        <v>289.29274674734268</v>
      </c>
      <c r="Q26" s="66">
        <f t="shared" si="31"/>
        <v>-2304.6981903766218</v>
      </c>
      <c r="R26" s="66">
        <f t="shared" si="31"/>
        <v>134.47957021637785</v>
      </c>
      <c r="S26" s="66">
        <f>S17</f>
        <v>133.10076393647023</v>
      </c>
      <c r="T26" s="66">
        <f t="shared" si="31"/>
        <v>107.35921227024238</v>
      </c>
      <c r="U26" s="66">
        <f t="shared" si="31"/>
        <v>105.7592447530356</v>
      </c>
      <c r="V26" s="66">
        <f t="shared" si="31"/>
        <v>104.2132516981405</v>
      </c>
      <c r="W26" s="66">
        <f>W17</f>
        <v>105.25538421512185</v>
      </c>
      <c r="X26" s="66">
        <f>X17</f>
        <v>106.30793805727305</v>
      </c>
      <c r="Y26" s="66">
        <f>Y17</f>
        <v>107.37101743784569</v>
      </c>
      <c r="Z26" s="66">
        <f>Z17</f>
        <v>108.44472761222411</v>
      </c>
      <c r="AA26" s="66">
        <f t="shared" ref="AA26:AC26" si="32">AA17</f>
        <v>109.52917488834638</v>
      </c>
      <c r="AB26" s="66">
        <f t="shared" si="32"/>
        <v>110.62446663722986</v>
      </c>
      <c r="AC26" s="66">
        <f t="shared" si="32"/>
        <v>111.73071130360233</v>
      </c>
      <c r="AD26" s="65"/>
    </row>
    <row r="27" spans="1:30" x14ac:dyDescent="0.2">
      <c r="A27" s="16"/>
      <c r="B27" s="62" t="s">
        <v>381</v>
      </c>
      <c r="C27" s="67">
        <f>NPV($C$37,C67:C85)</f>
        <v>521.83388696360032</v>
      </c>
      <c r="D27" s="67">
        <f t="shared" ref="D27:W27" si="33">SUM(D23:D26)</f>
        <v>750.14013882473512</v>
      </c>
      <c r="E27" s="67">
        <f t="shared" si="33"/>
        <v>976.53866144831727</v>
      </c>
      <c r="F27" s="67">
        <f t="shared" si="33"/>
        <v>1378.3903604945453</v>
      </c>
      <c r="G27" s="67">
        <f t="shared" si="33"/>
        <v>1638.4773342264971</v>
      </c>
      <c r="H27" s="67">
        <f t="shared" si="33"/>
        <v>2008.1246738364414</v>
      </c>
      <c r="I27" s="67">
        <f t="shared" si="33"/>
        <v>2559.0414014150438</v>
      </c>
      <c r="J27" s="67">
        <f t="shared" si="33"/>
        <v>2912.2578835652039</v>
      </c>
      <c r="K27" s="67">
        <f t="shared" si="33"/>
        <v>3165.2073523506751</v>
      </c>
      <c r="L27" s="67">
        <f t="shared" si="33"/>
        <v>3387.2389368518466</v>
      </c>
      <c r="M27" s="67">
        <f t="shared" si="33"/>
        <v>3740.5001285517387</v>
      </c>
      <c r="N27" s="67">
        <f t="shared" si="33"/>
        <v>4102.4310266434704</v>
      </c>
      <c r="O27" s="67">
        <f t="shared" si="33"/>
        <v>4835.6206381809925</v>
      </c>
      <c r="P27" s="67">
        <f t="shared" si="33"/>
        <v>4958.8805693044515</v>
      </c>
      <c r="Q27" s="67">
        <f t="shared" si="33"/>
        <v>2561.5128967603086</v>
      </c>
      <c r="R27" s="67">
        <f t="shared" si="33"/>
        <v>2601.4384819670458</v>
      </c>
      <c r="S27" s="67">
        <f t="shared" si="33"/>
        <v>2641.9912276449736</v>
      </c>
      <c r="T27" s="67">
        <f t="shared" si="33"/>
        <v>2655.9915064847005</v>
      </c>
      <c r="U27" s="67">
        <f t="shared" si="33"/>
        <v>2667.614716336634</v>
      </c>
      <c r="V27" s="67">
        <f t="shared" si="33"/>
        <v>2676.9010716732259</v>
      </c>
      <c r="W27" s="67">
        <f t="shared" si="33"/>
        <v>2686.4018706971301</v>
      </c>
      <c r="X27" s="67">
        <f>SUM(X23:X26)</f>
        <v>2696.0829739584742</v>
      </c>
      <c r="Y27" s="67">
        <f>SUM(Y23:Y26)</f>
        <v>2705.9086790025494</v>
      </c>
      <c r="Z27" s="67">
        <f>SUM(Z23:Z26)</f>
        <v>2715.841563059394</v>
      </c>
      <c r="AA27" s="67">
        <f t="shared" ref="AA27:AC27" si="34">SUM(AA23:AA26)</f>
        <v>2725.8423149748696</v>
      </c>
      <c r="AB27" s="67">
        <f t="shared" si="34"/>
        <v>2735.8695555200488</v>
      </c>
      <c r="AC27" s="67">
        <f t="shared" si="34"/>
        <v>2745.8796451507219</v>
      </c>
      <c r="AD27" s="65"/>
    </row>
    <row r="28" spans="1:30" x14ac:dyDescent="0.2">
      <c r="A28" s="16"/>
      <c r="B28" s="62"/>
      <c r="C28" s="68"/>
      <c r="D28" s="68"/>
      <c r="E28" s="68"/>
      <c r="F28" s="68"/>
      <c r="G28" s="68"/>
      <c r="H28" s="68"/>
      <c r="I28" s="68"/>
      <c r="J28" s="68"/>
      <c r="K28" s="68"/>
      <c r="L28" s="68"/>
      <c r="M28" s="68"/>
      <c r="N28" s="68"/>
      <c r="O28" s="68"/>
      <c r="P28" s="68"/>
      <c r="Q28" s="68"/>
      <c r="R28" s="68"/>
      <c r="S28" s="68"/>
      <c r="T28" s="68"/>
      <c r="U28" s="68"/>
      <c r="V28" s="68"/>
      <c r="W28" s="68"/>
      <c r="X28" s="68"/>
      <c r="Y28" s="68"/>
      <c r="Z28" s="68"/>
      <c r="AA28" s="68"/>
      <c r="AB28" s="68"/>
      <c r="AC28" s="68"/>
      <c r="AD28" s="65"/>
    </row>
    <row r="29" spans="1:30" x14ac:dyDescent="0.2">
      <c r="A29" s="16"/>
      <c r="B29" s="69" t="s">
        <v>382</v>
      </c>
      <c r="C29" s="70">
        <f t="shared" ref="C29:V29" si="35">C19/C27</f>
        <v>0.9</v>
      </c>
      <c r="D29" s="70">
        <f t="shared" si="35"/>
        <v>0.87979643804323826</v>
      </c>
      <c r="E29" s="70">
        <f t="shared" si="35"/>
        <v>0.86251834785916048</v>
      </c>
      <c r="F29" s="70">
        <f t="shared" si="35"/>
        <v>0.85501788878020646</v>
      </c>
      <c r="G29" s="70">
        <f t="shared" si="35"/>
        <v>0.84268956436918774</v>
      </c>
      <c r="H29" s="70">
        <f t="shared" si="35"/>
        <v>0.83899125072571423</v>
      </c>
      <c r="I29" s="70">
        <f t="shared" si="35"/>
        <v>0.84070172788625652</v>
      </c>
      <c r="J29" s="70">
        <f t="shared" si="35"/>
        <v>0.8312683705691335</v>
      </c>
      <c r="K29" s="70">
        <f t="shared" si="35"/>
        <v>0.82176101535006996</v>
      </c>
      <c r="L29" s="70">
        <f t="shared" si="35"/>
        <v>0.81248186302722603</v>
      </c>
      <c r="M29" s="70">
        <f t="shared" si="35"/>
        <v>0.81005111506187877</v>
      </c>
      <c r="N29" s="70">
        <f t="shared" si="35"/>
        <v>0.8034936430776255</v>
      </c>
      <c r="O29" s="70">
        <f t="shared" si="35"/>
        <v>0.80212051135156581</v>
      </c>
      <c r="P29" s="70">
        <f t="shared" si="35"/>
        <v>0.78206414972097449</v>
      </c>
      <c r="Q29" s="70">
        <f t="shared" si="35"/>
        <v>0.5465084834287337</v>
      </c>
      <c r="R29" s="70">
        <f t="shared" si="35"/>
        <v>0.52086928089235585</v>
      </c>
      <c r="S29" s="70">
        <f>S19/S27</f>
        <v>0.49316012570314494</v>
      </c>
      <c r="T29" s="70">
        <f t="shared" si="35"/>
        <v>0.45951181071409114</v>
      </c>
      <c r="U29" s="70">
        <f t="shared" si="35"/>
        <v>0.42425456650887383</v>
      </c>
      <c r="V29" s="70">
        <f t="shared" si="35"/>
        <v>0.38732989178278443</v>
      </c>
      <c r="W29" s="70">
        <f>W19/W27</f>
        <v>0.35118596857571938</v>
      </c>
      <c r="X29" s="70">
        <f>X19/X27</f>
        <v>0.32033087216506434</v>
      </c>
      <c r="Y29" s="70">
        <f>Y19/Y27</f>
        <v>0.29468711572909323</v>
      </c>
      <c r="Z29" s="70">
        <f>Z19/Z27</f>
        <v>0.28295980355129868</v>
      </c>
      <c r="AA29" s="70">
        <f t="shared" ref="AA29:AC29" si="36">AA19/AA27</f>
        <v>0.27972994666188122</v>
      </c>
      <c r="AB29" s="70">
        <f t="shared" si="36"/>
        <v>0.28857843377326164</v>
      </c>
      <c r="AC29" s="70">
        <f t="shared" si="36"/>
        <v>0.30596996444192748</v>
      </c>
      <c r="AD29" s="31"/>
    </row>
    <row r="30" spans="1:30" x14ac:dyDescent="0.2">
      <c r="A30" s="16"/>
      <c r="B30" s="71"/>
      <c r="C30" s="61"/>
      <c r="D30" s="61"/>
      <c r="E30" s="61"/>
      <c r="F30" s="61"/>
      <c r="G30" s="61"/>
      <c r="H30" s="61"/>
      <c r="I30" s="61"/>
      <c r="J30" s="61"/>
      <c r="K30" s="61"/>
      <c r="L30" s="61"/>
      <c r="M30" s="61"/>
      <c r="N30" s="61"/>
      <c r="O30" s="61"/>
      <c r="P30" s="61"/>
      <c r="Q30" s="61"/>
      <c r="R30" s="61"/>
      <c r="S30" s="61"/>
      <c r="T30" s="61"/>
      <c r="U30" s="61"/>
      <c r="V30" s="61"/>
      <c r="W30" s="61"/>
      <c r="X30" s="61"/>
      <c r="Y30" s="61"/>
      <c r="Z30" s="61"/>
      <c r="AA30" s="61"/>
      <c r="AB30" s="61"/>
      <c r="AC30" s="61"/>
      <c r="AD30" s="31"/>
    </row>
    <row r="31" spans="1:30" x14ac:dyDescent="0.2">
      <c r="A31" s="16"/>
      <c r="B31" s="72" t="s">
        <v>383</v>
      </c>
      <c r="C31" s="73">
        <f t="shared" ref="C31:V31" si="37">(C19-C27)*(1-C$33)</f>
        <v>-33.919202652633999</v>
      </c>
      <c r="D31" s="73">
        <f t="shared" si="37"/>
        <v>-58.610185824757387</v>
      </c>
      <c r="E31" s="73">
        <f t="shared" si="37"/>
        <v>-87.266496560957123</v>
      </c>
      <c r="F31" s="73">
        <f t="shared" si="37"/>
        <v>-129.89726395718247</v>
      </c>
      <c r="G31" s="73">
        <f t="shared" si="37"/>
        <v>-167.53722909194843</v>
      </c>
      <c r="H31" s="73">
        <f t="shared" si="37"/>
        <v>-210.16166737880496</v>
      </c>
      <c r="I31" s="73">
        <f t="shared" si="37"/>
        <v>-264.97306778341698</v>
      </c>
      <c r="J31" s="73">
        <f t="shared" si="37"/>
        <v>-319.40351171094824</v>
      </c>
      <c r="K31" s="73">
        <f t="shared" si="37"/>
        <v>-366.70617404816039</v>
      </c>
      <c r="L31" s="73">
        <f t="shared" si="37"/>
        <v>-412.85967769806365</v>
      </c>
      <c r="M31" s="73">
        <f t="shared" si="37"/>
        <v>-461.8274885440461</v>
      </c>
      <c r="N31" s="73">
        <f t="shared" si="37"/>
        <v>-523.9999541211663</v>
      </c>
      <c r="O31" s="73">
        <f t="shared" si="37"/>
        <v>-621.96559046769551</v>
      </c>
      <c r="P31" s="73">
        <f t="shared" si="37"/>
        <v>-702.46660464727756</v>
      </c>
      <c r="Q31" s="73">
        <f t="shared" si="37"/>
        <v>-755.05583937464837</v>
      </c>
      <c r="R31" s="73">
        <f t="shared" si="37"/>
        <v>-810.17890887645979</v>
      </c>
      <c r="S31" s="73">
        <f>(S19-S27)*(1-S$33)</f>
        <v>-870.39322611343198</v>
      </c>
      <c r="T31" s="73">
        <f t="shared" si="37"/>
        <v>-933.09582606413494</v>
      </c>
      <c r="U31" s="73">
        <f t="shared" si="37"/>
        <v>-998.31354430895294</v>
      </c>
      <c r="V31" s="73">
        <f t="shared" si="37"/>
        <v>-1066.0372250247301</v>
      </c>
      <c r="W31" s="73">
        <f>(W19-W27)*(1-W$33)</f>
        <v>-1132.9338980392772</v>
      </c>
      <c r="X31" s="73">
        <f>(X19-X27)*(1-X$33)</f>
        <v>-1191.0888362626342</v>
      </c>
      <c r="Y31" s="73">
        <f>(Y19-Y27)*(1-Y$33)</f>
        <v>-1240.5329657246289</v>
      </c>
      <c r="Z31" s="73">
        <f>(Z19-Z27)*(1-Z$33)</f>
        <v>-1265.7889191347765</v>
      </c>
      <c r="AA31" s="73">
        <f t="shared" ref="AA31:AC31" si="38">(AA19-AA27)*(1-AA$33)</f>
        <v>-1276.1726832388629</v>
      </c>
      <c r="AB31" s="73">
        <f t="shared" si="38"/>
        <v>-1265.1317927170803</v>
      </c>
      <c r="AC31" s="73">
        <f t="shared" si="38"/>
        <v>-1238.7199160453931</v>
      </c>
      <c r="AD31" s="31"/>
    </row>
    <row r="32" spans="1:30" x14ac:dyDescent="0.2">
      <c r="A32" s="16"/>
      <c r="B32" s="74" t="s">
        <v>384</v>
      </c>
      <c r="C32" s="73"/>
      <c r="D32" s="73">
        <f t="shared" ref="D32:W32" si="39">D31-C31</f>
        <v>-24.690983172123389</v>
      </c>
      <c r="E32" s="73">
        <f t="shared" si="39"/>
        <v>-28.656310736199735</v>
      </c>
      <c r="F32" s="73">
        <f t="shared" si="39"/>
        <v>-42.630767396225352</v>
      </c>
      <c r="G32" s="73">
        <f t="shared" si="39"/>
        <v>-37.639965134765959</v>
      </c>
      <c r="H32" s="73">
        <f t="shared" si="39"/>
        <v>-42.624438286856531</v>
      </c>
      <c r="I32" s="73">
        <f t="shared" si="39"/>
        <v>-54.811400404612016</v>
      </c>
      <c r="J32" s="73">
        <f t="shared" si="39"/>
        <v>-54.430443927531257</v>
      </c>
      <c r="K32" s="73">
        <f t="shared" si="39"/>
        <v>-47.302662337212155</v>
      </c>
      <c r="L32" s="73">
        <f t="shared" si="39"/>
        <v>-46.153503649903257</v>
      </c>
      <c r="M32" s="73">
        <f t="shared" si="39"/>
        <v>-48.967810845982456</v>
      </c>
      <c r="N32" s="73">
        <f t="shared" si="39"/>
        <v>-62.172465577120192</v>
      </c>
      <c r="O32" s="73">
        <f t="shared" si="39"/>
        <v>-97.965636346529209</v>
      </c>
      <c r="P32" s="73">
        <f t="shared" si="39"/>
        <v>-80.501014179582057</v>
      </c>
      <c r="Q32" s="73">
        <f t="shared" si="39"/>
        <v>-52.589234727370808</v>
      </c>
      <c r="R32" s="73">
        <f t="shared" si="39"/>
        <v>-55.123069501811415</v>
      </c>
      <c r="S32" s="73">
        <f t="shared" si="39"/>
        <v>-60.214317236972192</v>
      </c>
      <c r="T32" s="73">
        <f t="shared" si="39"/>
        <v>-62.702599950702961</v>
      </c>
      <c r="U32" s="73">
        <f t="shared" si="39"/>
        <v>-65.217718244818002</v>
      </c>
      <c r="V32" s="73">
        <f t="shared" si="39"/>
        <v>-67.723680715777164</v>
      </c>
      <c r="W32" s="73">
        <f t="shared" si="39"/>
        <v>-66.896673014547105</v>
      </c>
      <c r="X32" s="73">
        <f>X31-W31</f>
        <v>-58.154938223357021</v>
      </c>
      <c r="Y32" s="73">
        <f>Y31-X31</f>
        <v>-49.444129461994635</v>
      </c>
      <c r="Z32" s="73">
        <f>Z31-Y31</f>
        <v>-25.25595341014764</v>
      </c>
      <c r="AA32" s="73">
        <f t="shared" ref="AA32:AC32" si="40">AA31-Z31</f>
        <v>-10.383764104086367</v>
      </c>
      <c r="AB32" s="73">
        <f t="shared" si="40"/>
        <v>11.040890521782558</v>
      </c>
      <c r="AC32" s="73">
        <f t="shared" si="40"/>
        <v>26.411876671687196</v>
      </c>
      <c r="AD32" s="31"/>
    </row>
    <row r="33" spans="1:30" x14ac:dyDescent="0.2">
      <c r="A33" s="16"/>
      <c r="B33" s="75" t="s">
        <v>7</v>
      </c>
      <c r="C33" s="179">
        <v>0.35</v>
      </c>
      <c r="D33" s="179">
        <v>0.35</v>
      </c>
      <c r="E33" s="179">
        <v>0.35</v>
      </c>
      <c r="F33" s="179">
        <v>0.35</v>
      </c>
      <c r="G33" s="179">
        <v>0.35</v>
      </c>
      <c r="H33" s="179">
        <v>0.35</v>
      </c>
      <c r="I33" s="179">
        <v>0.35</v>
      </c>
      <c r="J33" s="179">
        <v>0.35</v>
      </c>
      <c r="K33" s="179">
        <v>0.35</v>
      </c>
      <c r="L33" s="179">
        <v>0.35</v>
      </c>
      <c r="M33" s="179">
        <v>0.35</v>
      </c>
      <c r="N33" s="179">
        <v>0.35</v>
      </c>
      <c r="O33" s="179">
        <v>0.35</v>
      </c>
      <c r="P33" s="179">
        <v>0.35</v>
      </c>
      <c r="Q33" s="179">
        <v>0.35</v>
      </c>
      <c r="R33" s="179">
        <v>0.35</v>
      </c>
      <c r="S33" s="179">
        <v>0.35</v>
      </c>
      <c r="T33" s="179">
        <v>0.35</v>
      </c>
      <c r="U33" s="179">
        <v>0.35</v>
      </c>
      <c r="V33" s="179">
        <v>0.35</v>
      </c>
      <c r="W33" s="179">
        <v>0.35</v>
      </c>
      <c r="X33" s="179">
        <v>0.35</v>
      </c>
      <c r="Y33" s="179">
        <v>0.35</v>
      </c>
      <c r="Z33" s="179">
        <v>0.35</v>
      </c>
      <c r="AA33" s="179">
        <v>0.35</v>
      </c>
      <c r="AB33" s="179">
        <v>0.35</v>
      </c>
      <c r="AC33" s="179">
        <v>0.35</v>
      </c>
      <c r="AD33" s="31"/>
    </row>
    <row r="34" spans="1:30" x14ac:dyDescent="0.2">
      <c r="A34" s="16"/>
      <c r="B34" s="71"/>
      <c r="C34" s="61"/>
      <c r="D34" s="61"/>
      <c r="E34" s="61"/>
      <c r="F34" s="61"/>
      <c r="G34" s="61"/>
      <c r="H34" s="61"/>
      <c r="I34" s="61"/>
      <c r="J34" s="61"/>
      <c r="K34" s="61"/>
      <c r="L34" s="61"/>
      <c r="M34" s="61"/>
      <c r="N34" s="61"/>
      <c r="O34" s="61"/>
      <c r="P34" s="61"/>
      <c r="Q34" s="61"/>
      <c r="R34" s="61"/>
      <c r="S34" s="61"/>
      <c r="T34" s="61"/>
      <c r="U34" s="61"/>
      <c r="V34" s="61"/>
      <c r="W34" s="61"/>
      <c r="X34" s="61"/>
      <c r="Y34" s="61"/>
      <c r="Z34" s="61"/>
      <c r="AA34" s="61"/>
      <c r="AB34" s="61"/>
      <c r="AC34" s="61"/>
      <c r="AD34" s="31"/>
    </row>
    <row r="35" spans="1:30" x14ac:dyDescent="0.2">
      <c r="A35" s="16"/>
      <c r="B35" s="76" t="s">
        <v>385</v>
      </c>
      <c r="C35" s="24">
        <f t="shared" ref="C35:AC35" si="41">C$3</f>
        <v>1996</v>
      </c>
      <c r="D35" s="24">
        <f t="shared" si="41"/>
        <v>1997</v>
      </c>
      <c r="E35" s="24">
        <f t="shared" si="41"/>
        <v>1998</v>
      </c>
      <c r="F35" s="24">
        <f t="shared" si="41"/>
        <v>1999</v>
      </c>
      <c r="G35" s="24">
        <f t="shared" si="41"/>
        <v>2000</v>
      </c>
      <c r="H35" s="24">
        <f t="shared" si="41"/>
        <v>2001</v>
      </c>
      <c r="I35" s="24">
        <f t="shared" si="41"/>
        <v>2002</v>
      </c>
      <c r="J35" s="24">
        <f t="shared" si="41"/>
        <v>2003</v>
      </c>
      <c r="K35" s="24">
        <f t="shared" si="41"/>
        <v>2004</v>
      </c>
      <c r="L35" s="24">
        <f t="shared" si="41"/>
        <v>2005</v>
      </c>
      <c r="M35" s="24">
        <f t="shared" si="41"/>
        <v>2006</v>
      </c>
      <c r="N35" s="24">
        <f t="shared" si="41"/>
        <v>2007</v>
      </c>
      <c r="O35" s="24">
        <f t="shared" si="41"/>
        <v>2008</v>
      </c>
      <c r="P35" s="24">
        <f t="shared" si="41"/>
        <v>2009</v>
      </c>
      <c r="Q35" s="24">
        <f t="shared" si="41"/>
        <v>2010</v>
      </c>
      <c r="R35" s="24">
        <f t="shared" si="41"/>
        <v>2011</v>
      </c>
      <c r="S35" s="24">
        <f t="shared" si="41"/>
        <v>2012</v>
      </c>
      <c r="T35" s="25">
        <f t="shared" si="41"/>
        <v>2013</v>
      </c>
      <c r="U35" s="25">
        <f t="shared" si="41"/>
        <v>2014</v>
      </c>
      <c r="V35" s="25">
        <f t="shared" si="41"/>
        <v>2015</v>
      </c>
      <c r="W35" s="25">
        <f t="shared" si="41"/>
        <v>2016</v>
      </c>
      <c r="X35" s="25">
        <f t="shared" si="41"/>
        <v>2017</v>
      </c>
      <c r="Y35" s="25">
        <f t="shared" si="41"/>
        <v>2018</v>
      </c>
      <c r="Z35" s="25">
        <f t="shared" si="41"/>
        <v>2019</v>
      </c>
      <c r="AA35" s="25">
        <f t="shared" si="41"/>
        <v>2020</v>
      </c>
      <c r="AB35" s="25">
        <f t="shared" si="41"/>
        <v>2021</v>
      </c>
      <c r="AC35" s="25">
        <f t="shared" si="41"/>
        <v>2022</v>
      </c>
      <c r="AD35" s="31"/>
    </row>
    <row r="36" spans="1:30" x14ac:dyDescent="0.2">
      <c r="A36" s="77"/>
      <c r="B36" s="77"/>
      <c r="C36" s="77"/>
      <c r="D36" s="77"/>
      <c r="E36" s="77"/>
      <c r="F36" s="77"/>
      <c r="G36" s="77"/>
      <c r="H36" s="77"/>
      <c r="I36" s="77"/>
      <c r="J36" s="77"/>
      <c r="K36" s="77"/>
      <c r="L36" s="77"/>
      <c r="M36" s="77"/>
      <c r="N36" s="77"/>
      <c r="O36" s="77"/>
      <c r="P36" s="77"/>
      <c r="Q36" s="78"/>
      <c r="R36" s="77"/>
      <c r="S36" s="77"/>
      <c r="T36" s="77"/>
      <c r="U36" s="77"/>
      <c r="V36" s="77"/>
      <c r="W36" s="77"/>
      <c r="X36" s="77"/>
      <c r="Y36" s="77"/>
      <c r="Z36" s="77"/>
      <c r="AA36" s="77"/>
      <c r="AB36" s="77"/>
      <c r="AC36" s="77"/>
      <c r="AD36" s="79"/>
    </row>
    <row r="37" spans="1:30" x14ac:dyDescent="0.2">
      <c r="A37" s="16"/>
      <c r="B37" s="69" t="s">
        <v>386</v>
      </c>
      <c r="C37" s="80">
        <v>6.9000000000000006E-2</v>
      </c>
      <c r="D37" s="81">
        <f t="shared" ref="D37:V37" si="42">(C37*(D23+D24+D25)+D38*D26)/D27</f>
        <v>6.9096268119105561E-2</v>
      </c>
      <c r="E37" s="81">
        <f t="shared" si="42"/>
        <v>6.9146012404349019E-2</v>
      </c>
      <c r="F37" s="81">
        <f t="shared" si="42"/>
        <v>6.9761853146202743E-2</v>
      </c>
      <c r="G37" s="81">
        <f t="shared" si="42"/>
        <v>6.6770738250629791E-2</v>
      </c>
      <c r="H37" s="81">
        <f t="shared" si="42"/>
        <v>6.4424290684065758E-2</v>
      </c>
      <c r="I37" s="81">
        <f t="shared" si="42"/>
        <v>6.2489535380818001E-2</v>
      </c>
      <c r="J37" s="81">
        <f t="shared" si="42"/>
        <v>6.2986806787323851E-2</v>
      </c>
      <c r="K37" s="81">
        <f t="shared" si="42"/>
        <v>6.3310344320256201E-2</v>
      </c>
      <c r="L37" s="81">
        <f t="shared" si="42"/>
        <v>6.3569668821266856E-2</v>
      </c>
      <c r="M37" s="81">
        <f t="shared" si="42"/>
        <v>6.3861901314410455E-2</v>
      </c>
      <c r="N37" s="81">
        <f t="shared" si="42"/>
        <v>6.4062902220893975E-2</v>
      </c>
      <c r="O37" s="81">
        <f t="shared" si="42"/>
        <v>6.4318219466686907E-2</v>
      </c>
      <c r="P37" s="81">
        <f t="shared" si="42"/>
        <v>6.4387162554094754E-2</v>
      </c>
      <c r="Q37" s="81">
        <f t="shared" si="42"/>
        <v>6.338589707110423E-2</v>
      </c>
      <c r="R37" s="81">
        <f t="shared" si="42"/>
        <v>6.3216034885640121E-2</v>
      </c>
      <c r="S37" s="81">
        <f t="shared" si="42"/>
        <v>6.3059052296375012E-2</v>
      </c>
      <c r="T37" s="81">
        <f t="shared" si="42"/>
        <v>6.3405300917864935E-2</v>
      </c>
      <c r="U37" s="81">
        <f t="shared" si="42"/>
        <v>6.3810467244887661E-2</v>
      </c>
      <c r="V37" s="81">
        <f t="shared" si="42"/>
        <v>6.4270413594318815E-2</v>
      </c>
      <c r="W37" s="81">
        <f>(V37*(W23+W24+W25)+W38*W26)/W27</f>
        <v>6.4715295414782867E-2</v>
      </c>
      <c r="X37" s="81">
        <f>(W37*(X23+X24+X25)+X38*X26)/X27</f>
        <v>6.5145470676624143E-2</v>
      </c>
      <c r="Y37" s="81">
        <f>(X37*(Y23+Y24+Y25)+Y38*Y26)/Y27</f>
        <v>6.556130057304746E-2</v>
      </c>
      <c r="Z37" s="81">
        <f>(Y37*(Z23+Z24+Z25)+Z38*Z26)/Z27</f>
        <v>6.5963148441484126E-2</v>
      </c>
      <c r="AA37" s="81">
        <f t="shared" ref="AA37:AC37" si="43">(Z37*(AA23+AA24+AA25)+AA38*AA26)/AA27</f>
        <v>6.6351378759607893E-2</v>
      </c>
      <c r="AB37" s="81">
        <f t="shared" si="43"/>
        <v>6.6726356214744292E-2</v>
      </c>
      <c r="AC37" s="81">
        <f t="shared" si="43"/>
        <v>6.7088444845074424E-2</v>
      </c>
      <c r="AD37" s="31"/>
    </row>
    <row r="38" spans="1:30" x14ac:dyDescent="0.2">
      <c r="A38" s="16"/>
      <c r="B38" s="69" t="s">
        <v>387</v>
      </c>
      <c r="C38" s="82"/>
      <c r="D38" s="83">
        <f>((60*6.57%)+(100*6.7%)+(100*7.375%))/260</f>
        <v>6.9296153846153855E-2</v>
      </c>
      <c r="E38" s="84">
        <f>((60*6.57%)+(100*6.7%)+(100*7.375%))/260</f>
        <v>6.9296153846153855E-2</v>
      </c>
      <c r="F38" s="84">
        <v>7.1199999999999999E-2</v>
      </c>
      <c r="G38" s="84">
        <v>5.2900000000000003E-2</v>
      </c>
      <c r="H38" s="84">
        <v>5.5300000000000002E-2</v>
      </c>
      <c r="I38" s="84">
        <v>5.62E-2</v>
      </c>
      <c r="J38" s="84">
        <v>6.59E-2</v>
      </c>
      <c r="K38" s="84">
        <v>6.59E-2</v>
      </c>
      <c r="L38" s="84">
        <v>6.59E-2</v>
      </c>
      <c r="M38" s="84">
        <v>6.5799999999999997E-2</v>
      </c>
      <c r="N38" s="84">
        <v>6.5500000000000003E-2</v>
      </c>
      <c r="O38" s="84">
        <v>6.5500000000000003E-2</v>
      </c>
      <c r="P38" s="84">
        <v>6.5500000000000003E-2</v>
      </c>
      <c r="Q38" s="84">
        <v>6.5500000000000003E-2</v>
      </c>
      <c r="R38" s="84">
        <v>6.0100000000000001E-2</v>
      </c>
      <c r="S38" s="84">
        <v>6.0100000000000001E-2</v>
      </c>
      <c r="T38" s="85">
        <v>7.1624999999999994E-2</v>
      </c>
      <c r="U38" s="85">
        <v>7.3624999999999996E-2</v>
      </c>
      <c r="V38" s="85">
        <v>7.5624999999999998E-2</v>
      </c>
      <c r="W38" s="85">
        <v>7.5624999999999998E-2</v>
      </c>
      <c r="X38" s="85">
        <v>7.5624999999999998E-2</v>
      </c>
      <c r="Y38" s="85">
        <v>7.5624999999999998E-2</v>
      </c>
      <c r="Z38" s="85">
        <v>7.5624999999999998E-2</v>
      </c>
      <c r="AA38" s="85">
        <v>7.5624999999999998E-2</v>
      </c>
      <c r="AB38" s="85">
        <v>7.5624999999999998E-2</v>
      </c>
      <c r="AC38" s="85">
        <v>7.5624999999999998E-2</v>
      </c>
      <c r="AD38" s="31"/>
    </row>
    <row r="39" spans="1:30" x14ac:dyDescent="0.2">
      <c r="A39" s="16"/>
      <c r="B39" s="16"/>
      <c r="C39" s="19"/>
      <c r="D39" s="19"/>
      <c r="E39" s="19"/>
      <c r="F39" s="19"/>
      <c r="G39" s="19"/>
      <c r="H39" s="19"/>
      <c r="I39" s="19"/>
      <c r="J39" s="86"/>
      <c r="K39" s="86"/>
      <c r="L39" s="86"/>
      <c r="M39" s="86"/>
      <c r="N39" s="19"/>
      <c r="O39" s="19"/>
      <c r="P39" s="19"/>
      <c r="Q39" s="19"/>
      <c r="R39" s="19"/>
      <c r="S39" s="19"/>
      <c r="T39" s="19"/>
      <c r="U39" s="19"/>
      <c r="V39" s="19"/>
      <c r="W39" s="19"/>
      <c r="X39" s="19"/>
      <c r="Y39" s="19"/>
      <c r="Z39" s="19"/>
      <c r="AA39" s="19"/>
      <c r="AB39" s="19"/>
      <c r="AC39" s="19"/>
      <c r="AD39" s="31"/>
    </row>
    <row r="40" spans="1:30" x14ac:dyDescent="0.2">
      <c r="A40" s="16"/>
      <c r="B40" s="87" t="s">
        <v>388</v>
      </c>
      <c r="C40" s="88">
        <v>115</v>
      </c>
      <c r="D40" s="88">
        <v>138</v>
      </c>
      <c r="E40" s="88">
        <v>162</v>
      </c>
      <c r="F40" s="88">
        <v>192</v>
      </c>
      <c r="G40" s="88">
        <v>244</v>
      </c>
      <c r="H40" s="88">
        <v>289</v>
      </c>
      <c r="I40" s="88">
        <v>338</v>
      </c>
      <c r="J40" s="88">
        <v>396</v>
      </c>
      <c r="K40" s="88">
        <f>637-180</f>
        <v>457</v>
      </c>
      <c r="L40" s="88">
        <f>732-231</f>
        <v>501</v>
      </c>
      <c r="M40" s="88">
        <f>817-265</f>
        <v>552</v>
      </c>
      <c r="N40" s="88">
        <f>929-327</f>
        <v>602</v>
      </c>
      <c r="O40" s="88">
        <f>1004-363</f>
        <v>641</v>
      </c>
      <c r="P40" s="88">
        <f>1058-372</f>
        <v>686</v>
      </c>
      <c r="Q40" s="88">
        <v>707</v>
      </c>
      <c r="R40" s="88">
        <v>724</v>
      </c>
      <c r="S40" s="88">
        <v>739</v>
      </c>
      <c r="T40" s="89">
        <f>T42*sumry!FO63</f>
        <v>746.7382198952879</v>
      </c>
      <c r="U40" s="89">
        <f>U42*sumry!FP63</f>
        <v>749.31762652705061</v>
      </c>
      <c r="V40" s="89">
        <f>V42*sumry!FQ63</f>
        <v>751.8970331588132</v>
      </c>
      <c r="W40" s="89">
        <f>W42*sumry!FR63</f>
        <v>744.1588132635253</v>
      </c>
      <c r="X40" s="89">
        <f>X42*sumry!FS63</f>
        <v>746.7382198952879</v>
      </c>
      <c r="Y40" s="89">
        <f>Y42*sumry!FT63</f>
        <v>749.96247818499126</v>
      </c>
      <c r="Z40" s="89">
        <f>Z42*sumry!FU63</f>
        <v>752.54188481675385</v>
      </c>
      <c r="AA40" s="89">
        <f>AA42*sumry!FV63</f>
        <v>752.54188481675385</v>
      </c>
      <c r="AB40" s="89">
        <f>AB42*sumry!FW63</f>
        <v>752.54188481675385</v>
      </c>
      <c r="AC40" s="89">
        <f>AC42*sumry!FX63</f>
        <v>752.54188481675385</v>
      </c>
      <c r="AD40" s="31"/>
    </row>
    <row r="41" spans="1:30" x14ac:dyDescent="0.2">
      <c r="A41" s="90"/>
      <c r="B41" s="90" t="s">
        <v>389</v>
      </c>
      <c r="C41" s="91"/>
      <c r="D41" s="91">
        <f t="shared" ref="D41:W41" si="44">D40/C40-1</f>
        <v>0.19999999999999996</v>
      </c>
      <c r="E41" s="91">
        <f t="shared" si="44"/>
        <v>0.17391304347826098</v>
      </c>
      <c r="F41" s="91">
        <f t="shared" si="44"/>
        <v>0.18518518518518512</v>
      </c>
      <c r="G41" s="91">
        <f t="shared" si="44"/>
        <v>0.27083333333333326</v>
      </c>
      <c r="H41" s="91">
        <f t="shared" si="44"/>
        <v>0.18442622950819665</v>
      </c>
      <c r="I41" s="91">
        <f t="shared" si="44"/>
        <v>0.16955017301038056</v>
      </c>
      <c r="J41" s="91">
        <f t="shared" si="44"/>
        <v>0.17159763313609466</v>
      </c>
      <c r="K41" s="91">
        <f t="shared" si="44"/>
        <v>0.15404040404040398</v>
      </c>
      <c r="L41" s="91">
        <f t="shared" si="44"/>
        <v>9.6280087527352398E-2</v>
      </c>
      <c r="M41" s="91">
        <f t="shared" si="44"/>
        <v>0.10179640718562877</v>
      </c>
      <c r="N41" s="91">
        <f t="shared" si="44"/>
        <v>9.0579710144927494E-2</v>
      </c>
      <c r="O41" s="91">
        <f t="shared" si="44"/>
        <v>6.4784053156146104E-2</v>
      </c>
      <c r="P41" s="91">
        <f t="shared" si="44"/>
        <v>7.0202808112324488E-2</v>
      </c>
      <c r="Q41" s="91">
        <f t="shared" si="44"/>
        <v>3.0612244897959107E-2</v>
      </c>
      <c r="R41" s="91">
        <f t="shared" si="44"/>
        <v>2.4045261669024098E-2</v>
      </c>
      <c r="S41" s="91">
        <f t="shared" si="44"/>
        <v>2.0718232044198981E-2</v>
      </c>
      <c r="T41" s="91">
        <f t="shared" si="44"/>
        <v>1.0471204188481575E-2</v>
      </c>
      <c r="U41" s="91">
        <f t="shared" si="44"/>
        <v>3.4542314335062052E-3</v>
      </c>
      <c r="V41" s="91">
        <f t="shared" si="44"/>
        <v>3.4423407917383297E-3</v>
      </c>
      <c r="W41" s="91">
        <f t="shared" si="44"/>
        <v>-1.0291595197255532E-2</v>
      </c>
      <c r="X41" s="91">
        <f>X40/W40-1</f>
        <v>3.4662045060658286E-3</v>
      </c>
      <c r="Y41" s="91">
        <f>Y40/X40-1</f>
        <v>4.3177892918826455E-3</v>
      </c>
      <c r="Z41" s="91">
        <f>Z40/Y40-1</f>
        <v>3.4393809114359186E-3</v>
      </c>
      <c r="AA41" s="91">
        <f t="shared" ref="AA41:AC41" si="45">AA40/Z40-1</f>
        <v>0</v>
      </c>
      <c r="AB41" s="91">
        <f t="shared" si="45"/>
        <v>0</v>
      </c>
      <c r="AC41" s="91">
        <f t="shared" si="45"/>
        <v>0</v>
      </c>
      <c r="AD41" s="31"/>
    </row>
    <row r="42" spans="1:30" x14ac:dyDescent="0.2">
      <c r="A42" s="90"/>
      <c r="B42" s="90" t="s">
        <v>390</v>
      </c>
      <c r="C42" s="92">
        <f>C40/sumry!EW63</f>
        <v>0.76666666666666672</v>
      </c>
      <c r="D42" s="92">
        <f>D40/sumry!EX63</f>
        <v>0.75824175824175821</v>
      </c>
      <c r="E42" s="92">
        <f>E40/sumry!EY63</f>
        <v>0.76056338028169013</v>
      </c>
      <c r="F42" s="92">
        <f>F40/sumry!EZ63</f>
        <v>0.74131274131274127</v>
      </c>
      <c r="G42" s="92">
        <f>G40/sumry!FA63</f>
        <v>0.76249999999999996</v>
      </c>
      <c r="H42" s="92">
        <f>H40/sumry!FB63</f>
        <v>0.75654450261780104</v>
      </c>
      <c r="I42" s="92">
        <f>I40/sumry!FC63</f>
        <v>0.73960612691466088</v>
      </c>
      <c r="J42" s="92">
        <f>J40/sumry!FD63</f>
        <v>0.73062730627306272</v>
      </c>
      <c r="K42" s="92">
        <f>K40/sumry!FE63</f>
        <v>0.71742543171114603</v>
      </c>
      <c r="L42" s="92">
        <f>L40/sumry!FF63</f>
        <v>0.68442622950819676</v>
      </c>
      <c r="M42" s="92">
        <f>M40/sumry!FG63</f>
        <v>0.67564259485924116</v>
      </c>
      <c r="N42" s="92">
        <f>N40/sumry!FH63</f>
        <v>0.64800861141011845</v>
      </c>
      <c r="O42" s="92">
        <f>O40/sumry!FI63</f>
        <v>0.63844621513944222</v>
      </c>
      <c r="P42" s="92">
        <f>P40/sumry!FJ63</f>
        <v>0.6483931947069943</v>
      </c>
      <c r="Q42" s="92">
        <f>Q40/sumry!FL63</f>
        <v>0.64921946740128555</v>
      </c>
      <c r="R42" s="92">
        <f>R40/sumry!FM63</f>
        <v>0.64241348713398405</v>
      </c>
      <c r="S42" s="92">
        <f>S40/sumry!FN63</f>
        <v>0.64485165794066313</v>
      </c>
      <c r="T42" s="93">
        <f t="shared" ref="T42:Z42" si="46">S42</f>
        <v>0.64485165794066313</v>
      </c>
      <c r="U42" s="93">
        <f t="shared" si="46"/>
        <v>0.64485165794066313</v>
      </c>
      <c r="V42" s="93">
        <f t="shared" si="46"/>
        <v>0.64485165794066313</v>
      </c>
      <c r="W42" s="93">
        <f t="shared" si="46"/>
        <v>0.64485165794066313</v>
      </c>
      <c r="X42" s="93">
        <f t="shared" si="46"/>
        <v>0.64485165794066313</v>
      </c>
      <c r="Y42" s="93">
        <f t="shared" si="46"/>
        <v>0.64485165794066313</v>
      </c>
      <c r="Z42" s="93">
        <f t="shared" si="46"/>
        <v>0.64485165794066313</v>
      </c>
      <c r="AA42" s="93">
        <f t="shared" ref="AA42" si="47">Z42</f>
        <v>0.64485165794066313</v>
      </c>
      <c r="AB42" s="93">
        <f t="shared" ref="AB42" si="48">AA42</f>
        <v>0.64485165794066313</v>
      </c>
      <c r="AC42" s="93">
        <f t="shared" ref="AC42" si="49">AB42</f>
        <v>0.64485165794066313</v>
      </c>
      <c r="AD42" s="31"/>
    </row>
    <row r="43" spans="1:30" x14ac:dyDescent="0.2">
      <c r="A43" s="90"/>
      <c r="B43" s="87" t="s">
        <v>391</v>
      </c>
      <c r="C43" s="88">
        <f>sumry!EW64*C42</f>
        <v>8875.7000000000007</v>
      </c>
      <c r="D43" s="88">
        <f>sumry!EX64*D42</f>
        <v>11218.186813186812</v>
      </c>
      <c r="E43" s="88">
        <f>sumry!EY64*E42</f>
        <v>13519.090140845068</v>
      </c>
      <c r="F43" s="88">
        <f>sumry!EZ64*F42</f>
        <v>16281.451737451736</v>
      </c>
      <c r="G43" s="88">
        <f>sumry!FA64*G42</f>
        <v>21169.287499999999</v>
      </c>
      <c r="H43" s="88">
        <f>sumry!FB64*H42</f>
        <v>25380.554973821989</v>
      </c>
      <c r="I43" s="88">
        <f>sumry!FC64*I42</f>
        <v>30012.477024070024</v>
      </c>
      <c r="J43" s="88">
        <f>sumry!FD64*J42</f>
        <v>35382.088560885612</v>
      </c>
      <c r="K43" s="88">
        <f>sumry!FE64*K42</f>
        <v>41170.175824175829</v>
      </c>
      <c r="L43" s="88">
        <f>sumry!FF64*L42</f>
        <v>45072.889344262301</v>
      </c>
      <c r="M43" s="88">
        <f>sumry!FG64*M42</f>
        <v>49340.151774785802</v>
      </c>
      <c r="N43" s="88">
        <f>sumry!FH64*N42</f>
        <v>53485.334768568355</v>
      </c>
      <c r="O43" s="88">
        <f>sumry!FI64*O42</f>
        <v>56543.718743991252</v>
      </c>
      <c r="P43" s="88">
        <f>sumry!FJ64*P42</f>
        <v>60031.261114917812</v>
      </c>
      <c r="Q43" s="88">
        <f>sumry!FL64*Q42</f>
        <v>62207.560146923781</v>
      </c>
      <c r="R43" s="88">
        <f>sumry!FM64*R42</f>
        <v>63253.959183673469</v>
      </c>
      <c r="S43" s="88">
        <f>sumry!FN64*S42</f>
        <v>64204.784293193712</v>
      </c>
      <c r="T43" s="89">
        <f>sumry!FO64*T45</f>
        <v>64678.621291448515</v>
      </c>
      <c r="U43" s="89">
        <f>sumry!FP64*U45</f>
        <v>64739.237347294933</v>
      </c>
      <c r="V43" s="89">
        <f>sumry!FQ64*V45</f>
        <v>64743.106457242575</v>
      </c>
      <c r="W43" s="89">
        <f>sumry!FR64*W45</f>
        <v>63904.799301919717</v>
      </c>
      <c r="X43" s="89">
        <f>sumry!FS64*X45</f>
        <v>63969.284467713784</v>
      </c>
      <c r="Y43" s="89">
        <f>sumry!FT64*Y45</f>
        <v>64186.115837696329</v>
      </c>
      <c r="Z43" s="89">
        <f>sumry!FU64*Z45</f>
        <v>64406.876339287723</v>
      </c>
      <c r="AA43" s="89">
        <f>sumry!FV64*AA45</f>
        <v>64406.876339287723</v>
      </c>
      <c r="AB43" s="89">
        <f>sumry!FW64*AB45</f>
        <v>64406.876339287723</v>
      </c>
      <c r="AC43" s="89">
        <f>sumry!FX64*AC45</f>
        <v>64406.876339287723</v>
      </c>
      <c r="AD43" s="31"/>
    </row>
    <row r="44" spans="1:30" x14ac:dyDescent="0.2">
      <c r="A44" s="90"/>
      <c r="B44" s="90" t="s">
        <v>392</v>
      </c>
      <c r="C44" s="91"/>
      <c r="D44" s="91">
        <f t="shared" ref="D44:W44" si="50">D43/C43-1</f>
        <v>0.26392135980112119</v>
      </c>
      <c r="E44" s="91">
        <f t="shared" si="50"/>
        <v>0.20510474339343121</v>
      </c>
      <c r="F44" s="91">
        <f t="shared" si="50"/>
        <v>0.2043304370211112</v>
      </c>
      <c r="G44" s="91">
        <f t="shared" si="50"/>
        <v>0.30020884140846738</v>
      </c>
      <c r="H44" s="91">
        <f t="shared" si="50"/>
        <v>0.19893288679753574</v>
      </c>
      <c r="I44" s="91">
        <f t="shared" si="50"/>
        <v>0.18249884823344065</v>
      </c>
      <c r="J44" s="91">
        <f t="shared" si="50"/>
        <v>0.17891264131611528</v>
      </c>
      <c r="K44" s="91">
        <f t="shared" si="50"/>
        <v>0.16358806104196066</v>
      </c>
      <c r="L44" s="91">
        <f t="shared" si="50"/>
        <v>9.4794677019444107E-2</v>
      </c>
      <c r="M44" s="91">
        <f t="shared" si="50"/>
        <v>9.4674703410526195E-2</v>
      </c>
      <c r="N44" s="91">
        <f t="shared" si="50"/>
        <v>8.4012368115593317E-2</v>
      </c>
      <c r="O44" s="91">
        <f t="shared" si="50"/>
        <v>5.7181730069682857E-2</v>
      </c>
      <c r="P44" s="91">
        <f t="shared" si="50"/>
        <v>6.1678687719795011E-2</v>
      </c>
      <c r="Q44" s="91">
        <f t="shared" si="50"/>
        <v>3.6252762170694286E-2</v>
      </c>
      <c r="R44" s="91">
        <f t="shared" si="50"/>
        <v>1.6821091106583586E-2</v>
      </c>
      <c r="S44" s="91">
        <f t="shared" si="50"/>
        <v>1.5031867124068565E-2</v>
      </c>
      <c r="T44" s="91">
        <f t="shared" si="50"/>
        <v>7.3800886253430065E-3</v>
      </c>
      <c r="U44" s="91">
        <f t="shared" si="50"/>
        <v>9.3718843469581259E-4</v>
      </c>
      <c r="V44" s="91">
        <f t="shared" si="50"/>
        <v>5.9764527760686192E-5</v>
      </c>
      <c r="W44" s="91">
        <f t="shared" si="50"/>
        <v>-1.294820717131473E-2</v>
      </c>
      <c r="X44" s="91">
        <f>X43/W43-1</f>
        <v>1.0090817356205317E-3</v>
      </c>
      <c r="Y44" s="91">
        <f>Y43/X43-1</f>
        <v>3.3896169354838968E-3</v>
      </c>
      <c r="Z44" s="91">
        <f>Z43/Y43-1</f>
        <v>3.4393809114359186E-3</v>
      </c>
      <c r="AA44" s="91">
        <f t="shared" ref="AA44:AC44" si="51">AA43/Z43-1</f>
        <v>0</v>
      </c>
      <c r="AB44" s="91">
        <f t="shared" si="51"/>
        <v>0</v>
      </c>
      <c r="AC44" s="91">
        <f t="shared" si="51"/>
        <v>0</v>
      </c>
      <c r="AD44" s="31"/>
    </row>
    <row r="45" spans="1:30" x14ac:dyDescent="0.2">
      <c r="A45" s="90"/>
      <c r="B45" s="90" t="s">
        <v>393</v>
      </c>
      <c r="C45" s="92">
        <f>C43/sumry!EW64</f>
        <v>0.76666666666666672</v>
      </c>
      <c r="D45" s="92">
        <f>D43/sumry!EX64</f>
        <v>0.75824175824175821</v>
      </c>
      <c r="E45" s="92">
        <f>E43/sumry!EY64</f>
        <v>0.76056338028169013</v>
      </c>
      <c r="F45" s="92">
        <f>F43/sumry!EZ64</f>
        <v>0.74131274131274127</v>
      </c>
      <c r="G45" s="92">
        <f>G43/sumry!FA64</f>
        <v>0.76249999999999996</v>
      </c>
      <c r="H45" s="92">
        <f>H43/sumry!FB64</f>
        <v>0.75654450261780104</v>
      </c>
      <c r="I45" s="92">
        <f>I43/sumry!FC64</f>
        <v>0.73960612691466088</v>
      </c>
      <c r="J45" s="92">
        <f>J43/sumry!FD64</f>
        <v>0.73062730627306283</v>
      </c>
      <c r="K45" s="92">
        <f>K43/sumry!FE64</f>
        <v>0.71742543171114603</v>
      </c>
      <c r="L45" s="92">
        <f>L43/sumry!FF64</f>
        <v>0.68442622950819676</v>
      </c>
      <c r="M45" s="92">
        <f>M43/sumry!FG64</f>
        <v>0.67564259485924116</v>
      </c>
      <c r="N45" s="92">
        <f>N43/sumry!FH64</f>
        <v>0.64800861141011845</v>
      </c>
      <c r="O45" s="92">
        <f>O43/sumry!FI64</f>
        <v>0.63844621513944222</v>
      </c>
      <c r="P45" s="92">
        <f>P43/sumry!FJ64</f>
        <v>0.6483931947069943</v>
      </c>
      <c r="Q45" s="92">
        <f>Q43/sumry!FL64</f>
        <v>0.64921946740128555</v>
      </c>
      <c r="R45" s="92">
        <f>R43/sumry!FM64</f>
        <v>0.64241348713398405</v>
      </c>
      <c r="S45" s="92">
        <f>S43/sumry!FN64</f>
        <v>0.64485165794066313</v>
      </c>
      <c r="T45" s="94">
        <f t="shared" ref="T45:Z45" si="52">S45</f>
        <v>0.64485165794066313</v>
      </c>
      <c r="U45" s="94">
        <f t="shared" si="52"/>
        <v>0.64485165794066313</v>
      </c>
      <c r="V45" s="94">
        <f t="shared" si="52"/>
        <v>0.64485165794066313</v>
      </c>
      <c r="W45" s="94">
        <f t="shared" si="52"/>
        <v>0.64485165794066313</v>
      </c>
      <c r="X45" s="94">
        <f t="shared" si="52"/>
        <v>0.64485165794066313</v>
      </c>
      <c r="Y45" s="94">
        <f t="shared" si="52"/>
        <v>0.64485165794066313</v>
      </c>
      <c r="Z45" s="94">
        <f t="shared" si="52"/>
        <v>0.64485165794066313</v>
      </c>
      <c r="AA45" s="94">
        <f t="shared" ref="AA45" si="53">Z45</f>
        <v>0.64485165794066313</v>
      </c>
      <c r="AB45" s="94">
        <f t="shared" ref="AB45" si="54">AA45</f>
        <v>0.64485165794066313</v>
      </c>
      <c r="AC45" s="94">
        <f t="shared" ref="AC45" si="55">AB45</f>
        <v>0.64485165794066313</v>
      </c>
      <c r="AD45" s="31"/>
    </row>
    <row r="46" spans="1:30" x14ac:dyDescent="0.2">
      <c r="A46" s="90"/>
      <c r="B46" s="90"/>
      <c r="C46" s="95"/>
      <c r="D46" s="95"/>
      <c r="E46" s="95"/>
      <c r="F46" s="95"/>
      <c r="G46" s="95"/>
      <c r="H46" s="95"/>
      <c r="I46" s="95"/>
      <c r="J46" s="96"/>
      <c r="K46" s="96"/>
      <c r="L46" s="96"/>
      <c r="M46" s="96"/>
      <c r="N46" s="96"/>
      <c r="O46" s="96"/>
      <c r="P46" s="36"/>
      <c r="Q46" s="36"/>
      <c r="R46" s="36"/>
      <c r="S46" s="37"/>
      <c r="T46" s="37"/>
      <c r="U46" s="37"/>
      <c r="V46" s="37"/>
      <c r="W46" s="37"/>
      <c r="X46" s="37"/>
      <c r="Y46" s="37"/>
      <c r="Z46" s="37"/>
      <c r="AA46" s="37"/>
      <c r="AB46" s="37"/>
      <c r="AC46" s="37"/>
      <c r="AD46" s="31"/>
    </row>
    <row r="47" spans="1:30" x14ac:dyDescent="0.2">
      <c r="A47" s="90"/>
      <c r="B47" s="90" t="s">
        <v>394</v>
      </c>
      <c r="C47" s="97">
        <f t="shared" ref="C47:V47" si="56">C50/C40</f>
        <v>4.6463325087534102</v>
      </c>
      <c r="D47" s="97">
        <f t="shared" si="56"/>
        <v>1.7669669546265381</v>
      </c>
      <c r="E47" s="97">
        <f t="shared" si="56"/>
        <v>1.5001539785216025</v>
      </c>
      <c r="F47" s="97">
        <f t="shared" si="56"/>
        <v>2.1524922626123941</v>
      </c>
      <c r="G47" s="97">
        <f t="shared" si="56"/>
        <v>1.1911827747602244</v>
      </c>
      <c r="H47" s="97">
        <f t="shared" si="56"/>
        <v>1.4213869173026354</v>
      </c>
      <c r="I47" s="97">
        <f t="shared" si="56"/>
        <v>1.7810995985987457</v>
      </c>
      <c r="J47" s="97">
        <f t="shared" si="56"/>
        <v>1.0722957456056403</v>
      </c>
      <c r="K47" s="97">
        <f t="shared" si="56"/>
        <v>0.76920366688302011</v>
      </c>
      <c r="L47" s="97">
        <f t="shared" si="56"/>
        <v>0.67703268232058955</v>
      </c>
      <c r="M47" s="97">
        <f t="shared" si="56"/>
        <v>0.88787073985677278</v>
      </c>
      <c r="N47" s="97">
        <f t="shared" si="56"/>
        <v>0.83618572849709671</v>
      </c>
      <c r="O47" s="97">
        <f t="shared" si="56"/>
        <v>1.340256819229251</v>
      </c>
      <c r="P47" s="97">
        <f t="shared" si="56"/>
        <v>0.42170954336347327</v>
      </c>
      <c r="Q47" s="97">
        <f t="shared" si="56"/>
        <v>-3.2598277091607097</v>
      </c>
      <c r="R47" s="97">
        <f t="shared" si="56"/>
        <v>0.18574526272980366</v>
      </c>
      <c r="S47" s="97">
        <f>S50/S40</f>
        <v>0.18010928814136704</v>
      </c>
      <c r="T47" s="97">
        <f t="shared" si="56"/>
        <v>0.14377088169572588</v>
      </c>
      <c r="U47" s="97">
        <f t="shared" si="56"/>
        <v>0.14114074060049842</v>
      </c>
      <c r="V47" s="97">
        <f t="shared" si="56"/>
        <v>0.13860042945019696</v>
      </c>
      <c r="W47" s="97">
        <f>W50/W40</f>
        <v>0.14144209856700074</v>
      </c>
      <c r="X47" s="97">
        <f>X50/X40</f>
        <v>0.14236306007235064</v>
      </c>
      <c r="Y47" s="97">
        <f>Y50/Y40</f>
        <v>0.14316851917404963</v>
      </c>
      <c r="Z47" s="97">
        <f>Z50/Z40</f>
        <v>0.1441045738452561</v>
      </c>
      <c r="AA47" s="97">
        <f t="shared" ref="AA47:AC47" si="57">AA50/AA40</f>
        <v>0.14554561958370868</v>
      </c>
      <c r="AB47" s="97">
        <f t="shared" si="57"/>
        <v>0.1470010757795458</v>
      </c>
      <c r="AC47" s="97">
        <f t="shared" si="57"/>
        <v>0.14847108653734148</v>
      </c>
      <c r="AD47" s="31"/>
    </row>
    <row r="48" spans="1:30" x14ac:dyDescent="0.2">
      <c r="A48" s="90"/>
      <c r="B48" s="90" t="s">
        <v>395</v>
      </c>
      <c r="C48" s="98"/>
      <c r="D48" s="98">
        <f t="shared" ref="D48:W48" si="58">D47/C47-1</f>
        <v>-0.61970716660986302</v>
      </c>
      <c r="E48" s="98">
        <f t="shared" si="58"/>
        <v>-0.15100054667481233</v>
      </c>
      <c r="F48" s="98">
        <f t="shared" si="58"/>
        <v>0.43484755127181618</v>
      </c>
      <c r="G48" s="98">
        <f t="shared" si="58"/>
        <v>-0.44660299344605625</v>
      </c>
      <c r="H48" s="98">
        <f t="shared" si="58"/>
        <v>0.19325677588710044</v>
      </c>
      <c r="I48" s="98">
        <f t="shared" si="58"/>
        <v>0.25307161401114953</v>
      </c>
      <c r="J48" s="98">
        <f t="shared" si="58"/>
        <v>-0.39795857208139651</v>
      </c>
      <c r="K48" s="98">
        <f t="shared" si="58"/>
        <v>-0.28265716801052088</v>
      </c>
      <c r="L48" s="98">
        <f t="shared" si="58"/>
        <v>-0.11982650178453691</v>
      </c>
      <c r="M48" s="98">
        <f t="shared" si="58"/>
        <v>0.31141488888470947</v>
      </c>
      <c r="N48" s="98">
        <f t="shared" si="58"/>
        <v>-5.8212315193553632E-2</v>
      </c>
      <c r="O48" s="98">
        <f t="shared" si="58"/>
        <v>0.60282192526549983</v>
      </c>
      <c r="P48" s="98">
        <f t="shared" si="58"/>
        <v>-0.68535168983061912</v>
      </c>
      <c r="Q48" s="98">
        <f t="shared" si="58"/>
        <v>-8.7300306821632674</v>
      </c>
      <c r="R48" s="98">
        <f t="shared" si="58"/>
        <v>-1.0569800858517233</v>
      </c>
      <c r="S48" s="98">
        <f t="shared" si="58"/>
        <v>-3.0342494368941431E-2</v>
      </c>
      <c r="T48" s="98">
        <f t="shared" si="58"/>
        <v>-0.20175753744093028</v>
      </c>
      <c r="U48" s="98">
        <f t="shared" si="58"/>
        <v>-1.8293976250308153E-2</v>
      </c>
      <c r="V48" s="98">
        <f t="shared" si="58"/>
        <v>-1.7998425823000708E-2</v>
      </c>
      <c r="W48" s="98">
        <f t="shared" si="58"/>
        <v>2.0502599653378972E-2</v>
      </c>
      <c r="X48" s="98">
        <f>X47/W47-1</f>
        <v>6.5112262521589415E-3</v>
      </c>
      <c r="Y48" s="98">
        <f>Y47/X47-1</f>
        <v>5.6577815993112957E-3</v>
      </c>
      <c r="Z48" s="98">
        <f>Z47/Y47-1</f>
        <v>6.5381319622961342E-3</v>
      </c>
      <c r="AA48" s="98">
        <f t="shared" ref="AA48:AC48" si="59">AA47/Z47-1</f>
        <v>1.0000000000000231E-2</v>
      </c>
      <c r="AB48" s="98">
        <f t="shared" si="59"/>
        <v>1.0000000000000231E-2</v>
      </c>
      <c r="AC48" s="98">
        <f t="shared" si="59"/>
        <v>1.0000000000001563E-2</v>
      </c>
      <c r="AD48" s="31"/>
    </row>
    <row r="49" spans="1:30" x14ac:dyDescent="0.2">
      <c r="A49" s="90"/>
      <c r="B49" s="90"/>
      <c r="C49" s="98"/>
      <c r="D49" s="98"/>
      <c r="E49" s="98"/>
      <c r="F49" s="98"/>
      <c r="G49" s="98"/>
      <c r="H49" s="98"/>
      <c r="I49" s="98"/>
      <c r="J49" s="98"/>
      <c r="K49" s="98"/>
      <c r="L49" s="98"/>
      <c r="M49" s="98"/>
      <c r="N49" s="98"/>
      <c r="O49" s="98"/>
      <c r="P49" s="98"/>
      <c r="Q49" s="98"/>
      <c r="R49" s="98"/>
      <c r="S49" s="98"/>
      <c r="T49" s="98"/>
      <c r="U49" s="98"/>
      <c r="V49" s="98"/>
      <c r="W49" s="98"/>
      <c r="X49" s="98"/>
      <c r="Y49" s="98"/>
      <c r="Z49" s="98"/>
      <c r="AA49" s="98"/>
      <c r="AB49" s="98"/>
      <c r="AC49" s="98"/>
      <c r="AD49" s="31"/>
    </row>
    <row r="50" spans="1:30" x14ac:dyDescent="0.2">
      <c r="A50" s="90"/>
      <c r="B50" s="90" t="s">
        <v>396</v>
      </c>
      <c r="C50" s="99">
        <f t="shared" ref="C50:V50" si="60">C132</f>
        <v>534.32823850664215</v>
      </c>
      <c r="D50" s="99">
        <f t="shared" si="60"/>
        <v>243.84143973846224</v>
      </c>
      <c r="E50" s="99">
        <f t="shared" si="60"/>
        <v>243.02494452049962</v>
      </c>
      <c r="F50" s="99">
        <f t="shared" si="60"/>
        <v>413.27851442157964</v>
      </c>
      <c r="G50" s="99">
        <f t="shared" si="60"/>
        <v>290.64859704149472</v>
      </c>
      <c r="H50" s="99">
        <f t="shared" si="60"/>
        <v>410.78081910046166</v>
      </c>
      <c r="I50" s="99">
        <f t="shared" si="60"/>
        <v>602.01166432637604</v>
      </c>
      <c r="J50" s="99">
        <f t="shared" si="60"/>
        <v>424.62911525983355</v>
      </c>
      <c r="K50" s="99">
        <f t="shared" si="60"/>
        <v>351.52607576554021</v>
      </c>
      <c r="L50" s="99">
        <f t="shared" si="60"/>
        <v>339.19337384261536</v>
      </c>
      <c r="M50" s="99">
        <f t="shared" si="60"/>
        <v>490.10464840093857</v>
      </c>
      <c r="N50" s="99">
        <f t="shared" si="60"/>
        <v>503.38380855525224</v>
      </c>
      <c r="O50" s="99">
        <f t="shared" si="60"/>
        <v>859.10462112594985</v>
      </c>
      <c r="P50" s="99">
        <f t="shared" si="60"/>
        <v>289.29274674734268</v>
      </c>
      <c r="Q50" s="99">
        <f t="shared" si="60"/>
        <v>-2304.6981903766218</v>
      </c>
      <c r="R50" s="99">
        <f t="shared" si="60"/>
        <v>134.47957021637785</v>
      </c>
      <c r="S50" s="99">
        <f>S132</f>
        <v>133.10076393647023</v>
      </c>
      <c r="T50" s="99">
        <f t="shared" si="60"/>
        <v>107.35921227024238</v>
      </c>
      <c r="U50" s="99">
        <f t="shared" si="60"/>
        <v>105.7592447530356</v>
      </c>
      <c r="V50" s="99">
        <f t="shared" si="60"/>
        <v>104.2132516981405</v>
      </c>
      <c r="W50" s="99">
        <f>W132</f>
        <v>105.25538421512185</v>
      </c>
      <c r="X50" s="99">
        <f>X132</f>
        <v>106.30793805727305</v>
      </c>
      <c r="Y50" s="99">
        <f>Y132</f>
        <v>107.37101743784569</v>
      </c>
      <c r="Z50" s="99">
        <f>Z132</f>
        <v>108.44472761222411</v>
      </c>
      <c r="AA50" s="99">
        <f t="shared" ref="AA50:AC50" si="61">AA132</f>
        <v>109.52917488834638</v>
      </c>
      <c r="AB50" s="99">
        <f t="shared" si="61"/>
        <v>110.62446663722986</v>
      </c>
      <c r="AC50" s="99">
        <f t="shared" si="61"/>
        <v>111.73071130360233</v>
      </c>
      <c r="AD50" s="31"/>
    </row>
    <row r="51" spans="1:30" x14ac:dyDescent="0.2">
      <c r="A51" s="90"/>
      <c r="B51" s="100" t="s">
        <v>397</v>
      </c>
      <c r="C51" s="101">
        <v>0.38900000000000001</v>
      </c>
      <c r="D51" s="91">
        <f t="shared" ref="D51:W51" si="62">D50/C50-1</f>
        <v>-0.54364859993183556</v>
      </c>
      <c r="E51" s="91">
        <f t="shared" si="62"/>
        <v>-3.3484678356491271E-3</v>
      </c>
      <c r="F51" s="91">
        <f t="shared" si="62"/>
        <v>0.70056006076659671</v>
      </c>
      <c r="G51" s="91">
        <f t="shared" si="62"/>
        <v>-0.29672463750436306</v>
      </c>
      <c r="H51" s="91">
        <f t="shared" si="62"/>
        <v>0.41332462389906577</v>
      </c>
      <c r="I51" s="91">
        <f t="shared" si="62"/>
        <v>0.46553012296113683</v>
      </c>
      <c r="J51" s="91">
        <f t="shared" si="62"/>
        <v>-0.29464968800068947</v>
      </c>
      <c r="K51" s="91">
        <f t="shared" si="62"/>
        <v>-0.17215738833537375</v>
      </c>
      <c r="L51" s="91">
        <f t="shared" si="62"/>
        <v>-3.508332033709638E-2</v>
      </c>
      <c r="M51" s="91">
        <f t="shared" si="62"/>
        <v>0.4449122129029135</v>
      </c>
      <c r="N51" s="91">
        <f t="shared" si="62"/>
        <v>2.7094540314276827E-2</v>
      </c>
      <c r="O51" s="91">
        <f t="shared" si="62"/>
        <v>0.70665922607173637</v>
      </c>
      <c r="P51" s="91">
        <f t="shared" si="62"/>
        <v>-0.66326249488893085</v>
      </c>
      <c r="Q51" s="91">
        <f t="shared" si="62"/>
        <v>-8.9666642744743896</v>
      </c>
      <c r="R51" s="91">
        <f t="shared" si="62"/>
        <v>-1.0583501869259515</v>
      </c>
      <c r="S51" s="91">
        <f t="shared" si="62"/>
        <v>-1.0252905163878223E-2</v>
      </c>
      <c r="T51" s="91">
        <f t="shared" si="62"/>
        <v>-0.19339897762355773</v>
      </c>
      <c r="U51" s="91">
        <f t="shared" si="62"/>
        <v>-1.4902936444609605E-2</v>
      </c>
      <c r="V51" s="91">
        <f t="shared" si="62"/>
        <v>-1.4618041746660038E-2</v>
      </c>
      <c r="W51" s="91">
        <f t="shared" si="62"/>
        <v>9.9999999999995648E-3</v>
      </c>
      <c r="X51" s="91">
        <f>X50/W50-1</f>
        <v>9.9999999999997868E-3</v>
      </c>
      <c r="Y51" s="91">
        <f>Y50/X50-1</f>
        <v>9.9999999999991207E-3</v>
      </c>
      <c r="Z51" s="91">
        <f>Z50/Y50-1</f>
        <v>9.9999999999995648E-3</v>
      </c>
      <c r="AA51" s="91">
        <f t="shared" ref="AA51:AC51" si="63">AA50/Z50-1</f>
        <v>1.0000000000000231E-2</v>
      </c>
      <c r="AB51" s="91">
        <f t="shared" si="63"/>
        <v>1.0000000000000231E-2</v>
      </c>
      <c r="AC51" s="91">
        <f t="shared" si="63"/>
        <v>1.0000000000001563E-2</v>
      </c>
      <c r="AD51" s="31"/>
    </row>
    <row r="52" spans="1:30" x14ac:dyDescent="0.2">
      <c r="A52" s="90"/>
      <c r="B52" s="90"/>
      <c r="C52" s="102"/>
      <c r="D52" s="102"/>
      <c r="E52" s="102"/>
      <c r="F52" s="102"/>
      <c r="G52" s="102"/>
      <c r="H52" s="102"/>
      <c r="I52" s="102"/>
      <c r="J52" s="103"/>
      <c r="K52" s="103"/>
      <c r="L52" s="103"/>
      <c r="M52" s="103"/>
      <c r="N52" s="103"/>
      <c r="O52" s="103"/>
      <c r="P52" s="103"/>
      <c r="Q52" s="103"/>
      <c r="R52" s="103"/>
      <c r="S52" s="103"/>
      <c r="T52" s="103"/>
      <c r="U52" s="103"/>
      <c r="V52" s="103"/>
      <c r="W52" s="103"/>
      <c r="X52" s="103"/>
      <c r="Y52" s="103"/>
      <c r="Z52" s="103"/>
      <c r="AA52" s="103"/>
      <c r="AB52" s="103"/>
      <c r="AC52" s="103"/>
      <c r="AD52" s="31"/>
    </row>
    <row r="53" spans="1:30" x14ac:dyDescent="0.2">
      <c r="A53" s="90"/>
      <c r="B53" s="90" t="s">
        <v>398</v>
      </c>
      <c r="C53" s="99">
        <f t="shared" ref="C53:R53" si="64">C66</f>
        <v>49.363</v>
      </c>
      <c r="D53" s="99">
        <f t="shared" si="64"/>
        <v>68.439000000000007</v>
      </c>
      <c r="E53" s="99">
        <f t="shared" si="64"/>
        <v>85.298999999999992</v>
      </c>
      <c r="F53" s="99">
        <f t="shared" si="64"/>
        <v>108.376</v>
      </c>
      <c r="G53" s="99">
        <f t="shared" si="64"/>
        <v>142.096</v>
      </c>
      <c r="H53" s="99">
        <f t="shared" si="64"/>
        <v>173.25199999999998</v>
      </c>
      <c r="I53" s="99">
        <f t="shared" si="64"/>
        <v>214.29999999999998</v>
      </c>
      <c r="J53" s="99">
        <f t="shared" si="64"/>
        <v>259.30900000000003</v>
      </c>
      <c r="K53" s="99">
        <f t="shared" si="64"/>
        <v>305.17599999999999</v>
      </c>
      <c r="L53" s="99">
        <f t="shared" si="64"/>
        <v>339.90499999999997</v>
      </c>
      <c r="M53" s="99">
        <f t="shared" si="64"/>
        <v>384.41800000000001</v>
      </c>
      <c r="N53" s="99">
        <f t="shared" si="64"/>
        <v>413.3</v>
      </c>
      <c r="O53" s="99">
        <f t="shared" si="64"/>
        <v>445</v>
      </c>
      <c r="P53" s="99">
        <f t="shared" si="64"/>
        <v>496</v>
      </c>
      <c r="Q53" s="99">
        <f t="shared" si="64"/>
        <v>261</v>
      </c>
      <c r="R53" s="99">
        <f t="shared" si="64"/>
        <v>265</v>
      </c>
      <c r="S53" s="99">
        <f>S66</f>
        <v>265</v>
      </c>
      <c r="T53" s="99">
        <f t="shared" ref="T53:Z53" si="65">S53*(1+T54)</f>
        <v>267.64999999999998</v>
      </c>
      <c r="U53" s="99">
        <f t="shared" si="65"/>
        <v>270.32649999999995</v>
      </c>
      <c r="V53" s="99">
        <f t="shared" si="65"/>
        <v>273.02976499999994</v>
      </c>
      <c r="W53" s="99">
        <f t="shared" si="65"/>
        <v>275.76006264999995</v>
      </c>
      <c r="X53" s="99">
        <f t="shared" si="65"/>
        <v>278.51766327649995</v>
      </c>
      <c r="Y53" s="99">
        <f t="shared" si="65"/>
        <v>281.30283990926495</v>
      </c>
      <c r="Z53" s="99">
        <f t="shared" si="65"/>
        <v>284.11586830835762</v>
      </c>
      <c r="AA53" s="99">
        <f t="shared" ref="AA53" si="66">Z53*(1+AA54)</f>
        <v>286.95702699144118</v>
      </c>
      <c r="AB53" s="99">
        <f t="shared" ref="AB53" si="67">AA53*(1+AB54)</f>
        <v>289.82659726135557</v>
      </c>
      <c r="AC53" s="99">
        <f t="shared" ref="AC53" si="68">AB53*(1+AC54)</f>
        <v>292.72486323396913</v>
      </c>
      <c r="AD53" s="31"/>
    </row>
    <row r="54" spans="1:30" x14ac:dyDescent="0.2">
      <c r="A54" s="90"/>
      <c r="B54" s="104" t="s">
        <v>399</v>
      </c>
      <c r="C54" s="27"/>
      <c r="D54" s="91">
        <f t="shared" ref="D54:S54" si="69">D53/C53-1</f>
        <v>0.38644328748252765</v>
      </c>
      <c r="E54" s="91">
        <f t="shared" si="69"/>
        <v>0.24635076491474139</v>
      </c>
      <c r="F54" s="91">
        <f t="shared" si="69"/>
        <v>0.27054244481177991</v>
      </c>
      <c r="G54" s="91">
        <f t="shared" si="69"/>
        <v>0.3111389975640364</v>
      </c>
      <c r="H54" s="91">
        <f t="shared" si="69"/>
        <v>0.21926021844386878</v>
      </c>
      <c r="I54" s="91">
        <f t="shared" si="69"/>
        <v>0.23692655784637418</v>
      </c>
      <c r="J54" s="91">
        <f t="shared" si="69"/>
        <v>0.21002799813345807</v>
      </c>
      <c r="K54" s="91">
        <f t="shared" si="69"/>
        <v>0.17688163542337509</v>
      </c>
      <c r="L54" s="91">
        <f t="shared" si="69"/>
        <v>0.1137999056282275</v>
      </c>
      <c r="M54" s="91">
        <f t="shared" si="69"/>
        <v>0.13095717921183869</v>
      </c>
      <c r="N54" s="91">
        <f t="shared" si="69"/>
        <v>7.5131757618009498E-2</v>
      </c>
      <c r="O54" s="91">
        <f t="shared" si="69"/>
        <v>7.6699733849503904E-2</v>
      </c>
      <c r="P54" s="91">
        <f t="shared" si="69"/>
        <v>0.11460674157303363</v>
      </c>
      <c r="Q54" s="91">
        <f t="shared" si="69"/>
        <v>-0.47379032258064513</v>
      </c>
      <c r="R54" s="91">
        <f t="shared" si="69"/>
        <v>1.5325670498084198E-2</v>
      </c>
      <c r="S54" s="91">
        <f t="shared" si="69"/>
        <v>0</v>
      </c>
      <c r="T54" s="105">
        <v>0.01</v>
      </c>
      <c r="U54" s="105">
        <v>0.01</v>
      </c>
      <c r="V54" s="105">
        <v>0.01</v>
      </c>
      <c r="W54" s="105">
        <v>0.01</v>
      </c>
      <c r="X54" s="105">
        <v>0.01</v>
      </c>
      <c r="Y54" s="105">
        <v>0.01</v>
      </c>
      <c r="Z54" s="105">
        <v>0.01</v>
      </c>
      <c r="AA54" s="105">
        <v>0.01</v>
      </c>
      <c r="AB54" s="105">
        <v>0.01</v>
      </c>
      <c r="AC54" s="105">
        <v>0.01</v>
      </c>
      <c r="AD54" s="31"/>
    </row>
    <row r="55" spans="1:30" x14ac:dyDescent="0.2">
      <c r="A55" s="90"/>
      <c r="B55" s="90"/>
      <c r="C55" s="106"/>
      <c r="D55" s="106"/>
      <c r="E55" s="106"/>
      <c r="F55" s="106"/>
      <c r="G55" s="106"/>
      <c r="H55" s="106"/>
      <c r="I55" s="106"/>
      <c r="J55" s="106"/>
      <c r="K55" s="106"/>
      <c r="L55" s="107"/>
      <c r="M55" s="107"/>
      <c r="N55" s="106"/>
      <c r="O55" s="106"/>
      <c r="P55" s="106"/>
      <c r="Q55" s="106"/>
      <c r="R55" s="106"/>
      <c r="S55" s="106"/>
      <c r="T55" s="106"/>
      <c r="U55" s="106"/>
      <c r="V55" s="106"/>
      <c r="W55" s="106"/>
      <c r="X55" s="106"/>
      <c r="Y55" s="106"/>
      <c r="Z55" s="106"/>
      <c r="AA55" s="106"/>
      <c r="AB55" s="106"/>
      <c r="AC55" s="106"/>
      <c r="AD55" s="31"/>
    </row>
    <row r="56" spans="1:30" x14ac:dyDescent="0.2">
      <c r="A56" s="90"/>
      <c r="B56" s="90" t="s">
        <v>400</v>
      </c>
      <c r="C56" s="108">
        <f t="shared" ref="C56:V56" si="70">C$58+SUM(C67:C71)</f>
        <v>930.36500000000001</v>
      </c>
      <c r="D56" s="108">
        <f t="shared" si="70"/>
        <v>1353.527</v>
      </c>
      <c r="E56" s="108">
        <f t="shared" si="70"/>
        <v>1774.954</v>
      </c>
      <c r="F56" s="108">
        <f t="shared" si="70"/>
        <v>2513.8220000000001</v>
      </c>
      <c r="G56" s="108">
        <f t="shared" si="70"/>
        <v>2846.395</v>
      </c>
      <c r="H56" s="108">
        <f t="shared" si="70"/>
        <v>3429.8679999999999</v>
      </c>
      <c r="I56" s="108">
        <f t="shared" si="70"/>
        <v>4296.9539999999997</v>
      </c>
      <c r="J56" s="108">
        <f t="shared" si="70"/>
        <v>4881.0320000000002</v>
      </c>
      <c r="K56" s="108">
        <f t="shared" si="70"/>
        <v>5317.9980000000005</v>
      </c>
      <c r="L56" s="108">
        <f t="shared" si="70"/>
        <v>5604.8810000000003</v>
      </c>
      <c r="M56" s="108">
        <f t="shared" si="70"/>
        <v>6341.3590000000004</v>
      </c>
      <c r="N56" s="108">
        <f t="shared" si="70"/>
        <v>6970.0320000000002</v>
      </c>
      <c r="O56" s="108">
        <f t="shared" si="70"/>
        <v>8678.5</v>
      </c>
      <c r="P56" s="108">
        <f t="shared" si="70"/>
        <v>8711</v>
      </c>
      <c r="Q56" s="108">
        <f t="shared" si="70"/>
        <v>10068</v>
      </c>
      <c r="R56" s="108">
        <f t="shared" si="70"/>
        <v>6237</v>
      </c>
      <c r="S56" s="108">
        <f t="shared" si="70"/>
        <v>6240</v>
      </c>
      <c r="T56" s="108">
        <f t="shared" si="70"/>
        <v>4659.9445161290314</v>
      </c>
      <c r="U56" s="108">
        <f t="shared" si="70"/>
        <v>4706.5439612903228</v>
      </c>
      <c r="V56" s="108">
        <f t="shared" si="70"/>
        <v>4753.6094009032249</v>
      </c>
      <c r="W56" s="108">
        <f>W$58+SUM(W67:W71)</f>
        <v>4801.1454949122581</v>
      </c>
      <c r="X56" s="108">
        <f>X$58+SUM(X67:X71)</f>
        <v>4849.1569498613817</v>
      </c>
      <c r="Y56" s="108">
        <f>Y$58+SUM(Y67:Y71)</f>
        <v>4897.6485193599938</v>
      </c>
      <c r="Z56" s="108">
        <f>Z$58+SUM(Z67:Z71)</f>
        <v>4946.6250045535926</v>
      </c>
      <c r="AA56" s="108">
        <f t="shared" ref="AA56:AC56" si="71">AA$58+SUM(AA67:AA71)</f>
        <v>4996.0912545991287</v>
      </c>
      <c r="AB56" s="108">
        <f t="shared" si="71"/>
        <v>5046.0521671451197</v>
      </c>
      <c r="AC56" s="108">
        <f t="shared" si="71"/>
        <v>5096.5126888165723</v>
      </c>
      <c r="AD56" s="31"/>
    </row>
    <row r="57" spans="1:30" x14ac:dyDescent="0.2">
      <c r="A57" s="16"/>
      <c r="B57" s="109" t="s">
        <v>401</v>
      </c>
      <c r="C57" s="110"/>
      <c r="D57" s="22">
        <f t="shared" ref="D57:W57" si="72">D56/C56-1</f>
        <v>0.45483439295330341</v>
      </c>
      <c r="E57" s="22">
        <f t="shared" si="72"/>
        <v>0.31135470515179953</v>
      </c>
      <c r="F57" s="22">
        <f t="shared" si="72"/>
        <v>0.41627444992940665</v>
      </c>
      <c r="G57" s="22">
        <f t="shared" si="72"/>
        <v>0.13229775218770445</v>
      </c>
      <c r="H57" s="22">
        <f t="shared" si="72"/>
        <v>0.20498665856284881</v>
      </c>
      <c r="I57" s="22">
        <f t="shared" si="72"/>
        <v>0.25280448110539533</v>
      </c>
      <c r="J57" s="22">
        <f t="shared" si="72"/>
        <v>0.13592838089493164</v>
      </c>
      <c r="K57" s="22">
        <f t="shared" si="72"/>
        <v>8.9523281142184663E-2</v>
      </c>
      <c r="L57" s="22">
        <f t="shared" si="72"/>
        <v>5.3945676549709054E-2</v>
      </c>
      <c r="M57" s="22">
        <f t="shared" si="72"/>
        <v>0.13139939991589467</v>
      </c>
      <c r="N57" s="22">
        <f t="shared" si="72"/>
        <v>9.91385285078481E-2</v>
      </c>
      <c r="O57" s="22">
        <f t="shared" si="72"/>
        <v>0.24511623476047162</v>
      </c>
      <c r="P57" s="22">
        <f t="shared" si="72"/>
        <v>3.7448867891916038E-3</v>
      </c>
      <c r="Q57" s="22">
        <f t="shared" si="72"/>
        <v>0.15578004821490077</v>
      </c>
      <c r="R57" s="22">
        <f t="shared" si="72"/>
        <v>-0.38051251489868887</v>
      </c>
      <c r="S57" s="22">
        <f t="shared" si="72"/>
        <v>4.8100048100052639E-4</v>
      </c>
      <c r="T57" s="22">
        <f t="shared" si="72"/>
        <v>-0.2532140198511168</v>
      </c>
      <c r="U57" s="22">
        <f t="shared" si="72"/>
        <v>1.0000000000000231E-2</v>
      </c>
      <c r="V57" s="22">
        <f t="shared" si="72"/>
        <v>9.9999999999997868E-3</v>
      </c>
      <c r="W57" s="22">
        <f t="shared" si="72"/>
        <v>1.0000000000000231E-2</v>
      </c>
      <c r="X57" s="22">
        <f>X56/W56-1</f>
        <v>1.0000000000000231E-2</v>
      </c>
      <c r="Y57" s="22">
        <f>Y56/X56-1</f>
        <v>9.9999999999995648E-3</v>
      </c>
      <c r="Z57" s="22">
        <f>Z56/Y56-1</f>
        <v>9.9999999999997868E-3</v>
      </c>
      <c r="AA57" s="22">
        <f t="shared" ref="AA57:AC57" si="73">AA56/Z56-1</f>
        <v>1.0000000000000009E-2</v>
      </c>
      <c r="AB57" s="22">
        <f t="shared" si="73"/>
        <v>1.0000000000000009E-2</v>
      </c>
      <c r="AC57" s="22">
        <f t="shared" si="73"/>
        <v>1.0000000000000231E-2</v>
      </c>
      <c r="AD57" s="31"/>
    </row>
    <row r="58" spans="1:30" x14ac:dyDescent="0.2">
      <c r="A58" s="16"/>
      <c r="B58" s="111" t="s">
        <v>402</v>
      </c>
      <c r="C58" s="112">
        <v>656.78499999999997</v>
      </c>
      <c r="D58" s="112">
        <v>976.00199999999995</v>
      </c>
      <c r="E58" s="112">
        <v>1295.1679999999999</v>
      </c>
      <c r="F58" s="112">
        <v>1824.9269999999999</v>
      </c>
      <c r="G58" s="112">
        <v>2026.654</v>
      </c>
      <c r="H58" s="112">
        <v>2459.0610000000001</v>
      </c>
      <c r="I58" s="112">
        <v>3072.3890000000001</v>
      </c>
      <c r="J58" s="113">
        <v>3440.1689999999999</v>
      </c>
      <c r="K58" s="114">
        <f>6218.443-2478.2</f>
        <v>3740.2430000000004</v>
      </c>
      <c r="L58" s="114">
        <f>6404.148-2477.4</f>
        <v>3926.748</v>
      </c>
      <c r="M58" s="114">
        <f>6976.862-2476.5</f>
        <v>4500.3620000000001</v>
      </c>
      <c r="N58" s="114">
        <f>7429.841-2476.5</f>
        <v>4953.3410000000003</v>
      </c>
      <c r="O58" s="114">
        <f>8908-2476.5</f>
        <v>6431.5</v>
      </c>
      <c r="P58" s="114">
        <f>8711-460-457-461-470-479</f>
        <v>6384</v>
      </c>
      <c r="Q58" s="114">
        <v>8920</v>
      </c>
      <c r="R58" s="114">
        <v>5077</v>
      </c>
      <c r="S58" s="114">
        <v>5037</v>
      </c>
      <c r="T58" s="115">
        <f t="shared" ref="T58:Y58" si="74">SUM(T72:T96)</f>
        <v>3444.9145161290317</v>
      </c>
      <c r="U58" s="115">
        <f t="shared" si="74"/>
        <v>3479.3636612903233</v>
      </c>
      <c r="V58" s="115">
        <f t="shared" si="74"/>
        <v>3514.1572979032248</v>
      </c>
      <c r="W58" s="115">
        <f t="shared" si="74"/>
        <v>3549.2988708822577</v>
      </c>
      <c r="X58" s="115">
        <f t="shared" si="74"/>
        <v>3584.7918595910819</v>
      </c>
      <c r="Y58" s="115">
        <f t="shared" si="74"/>
        <v>3620.6397781869905</v>
      </c>
      <c r="Z58" s="115">
        <f>SUM(Z72:Z96)</f>
        <v>3656.8461759688598</v>
      </c>
      <c r="AA58" s="115">
        <f t="shared" ref="AA58:AC58" si="75">SUM(AA72:AA96)</f>
        <v>3693.4146377285483</v>
      </c>
      <c r="AB58" s="115">
        <f t="shared" si="75"/>
        <v>3730.3487841058336</v>
      </c>
      <c r="AC58" s="115">
        <f t="shared" si="75"/>
        <v>3767.6522719468935</v>
      </c>
      <c r="AD58" s="31"/>
    </row>
    <row r="59" spans="1:30" x14ac:dyDescent="0.2">
      <c r="A59" s="16"/>
      <c r="B59" s="22"/>
      <c r="C59" s="22">
        <f t="shared" ref="C59:W59" si="76">C58/C56</f>
        <v>0.70594336631322108</v>
      </c>
      <c r="D59" s="22">
        <f t="shared" si="76"/>
        <v>0.72108055472849819</v>
      </c>
      <c r="E59" s="22">
        <f t="shared" si="76"/>
        <v>0.72969102297862365</v>
      </c>
      <c r="F59" s="22">
        <f t="shared" si="76"/>
        <v>0.72595712822944503</v>
      </c>
      <c r="G59" s="22">
        <f t="shared" si="76"/>
        <v>0.71200729343608316</v>
      </c>
      <c r="H59" s="22">
        <f t="shared" si="76"/>
        <v>0.71695499651881656</v>
      </c>
      <c r="I59" s="22">
        <f t="shared" si="76"/>
        <v>0.71501556684106937</v>
      </c>
      <c r="J59" s="22">
        <f t="shared" si="76"/>
        <v>0.70480361530102642</v>
      </c>
      <c r="K59" s="22">
        <f t="shared" si="76"/>
        <v>0.70331786510638028</v>
      </c>
      <c r="L59" s="22">
        <f t="shared" si="76"/>
        <v>0.70059435695423322</v>
      </c>
      <c r="M59" s="22">
        <f t="shared" si="76"/>
        <v>0.70968415445332766</v>
      </c>
      <c r="N59" s="22">
        <f t="shared" si="76"/>
        <v>0.71066259093215067</v>
      </c>
      <c r="O59" s="22">
        <f t="shared" si="76"/>
        <v>0.74108428875957821</v>
      </c>
      <c r="P59" s="22">
        <f t="shared" si="76"/>
        <v>0.73286649064401332</v>
      </c>
      <c r="Q59" s="22">
        <f t="shared" si="76"/>
        <v>0.88597536750099326</v>
      </c>
      <c r="R59" s="22">
        <f t="shared" si="76"/>
        <v>0.81401314734648067</v>
      </c>
      <c r="S59" s="22">
        <f t="shared" si="76"/>
        <v>0.80721153846153848</v>
      </c>
      <c r="T59" s="22">
        <f t="shared" si="76"/>
        <v>0.73926084403053949</v>
      </c>
      <c r="U59" s="22">
        <f t="shared" si="76"/>
        <v>0.7392608440305396</v>
      </c>
      <c r="V59" s="22">
        <f t="shared" si="76"/>
        <v>0.73926084403053938</v>
      </c>
      <c r="W59" s="22">
        <f t="shared" si="76"/>
        <v>0.73926084403053938</v>
      </c>
      <c r="X59" s="22">
        <f>X58/X56</f>
        <v>0.7392608440305396</v>
      </c>
      <c r="Y59" s="22">
        <f>Y58/Y56</f>
        <v>0.73926084403053938</v>
      </c>
      <c r="Z59" s="22">
        <f>Z58/Z56</f>
        <v>0.73926084403053949</v>
      </c>
      <c r="AA59" s="22">
        <f t="shared" ref="AA59:AC59" si="77">AA58/AA56</f>
        <v>0.73926084403053938</v>
      </c>
      <c r="AB59" s="22">
        <f t="shared" si="77"/>
        <v>0.73926084403053938</v>
      </c>
      <c r="AC59" s="22">
        <f t="shared" si="77"/>
        <v>0.73926084403053949</v>
      </c>
      <c r="AD59" s="31"/>
    </row>
    <row r="60" spans="1:30" x14ac:dyDescent="0.2">
      <c r="A60" s="16"/>
      <c r="B60" s="16"/>
      <c r="C60" s="116"/>
      <c r="D60" s="116"/>
      <c r="E60" s="116"/>
      <c r="F60" s="116"/>
      <c r="G60" s="116"/>
      <c r="H60" s="116"/>
      <c r="I60" s="116"/>
      <c r="J60" s="22"/>
      <c r="K60" s="22"/>
      <c r="L60" s="22"/>
      <c r="M60" s="22"/>
      <c r="N60" s="22"/>
      <c r="O60" s="22"/>
      <c r="P60" s="117"/>
      <c r="Q60" s="117"/>
      <c r="R60" s="117"/>
      <c r="S60" s="37"/>
      <c r="T60" s="37"/>
      <c r="U60" s="37"/>
      <c r="V60" s="37"/>
      <c r="W60" s="37"/>
      <c r="X60" s="37"/>
      <c r="Y60" s="37"/>
      <c r="Z60" s="37"/>
      <c r="AA60" s="37"/>
      <c r="AB60" s="37"/>
      <c r="AC60" s="37"/>
      <c r="AD60" s="31"/>
    </row>
    <row r="61" spans="1:30" x14ac:dyDescent="0.2">
      <c r="A61" s="16"/>
      <c r="B61" s="16" t="s">
        <v>403</v>
      </c>
      <c r="C61" s="118">
        <f t="shared" ref="C61:S61" si="78">C62+6</f>
        <v>20</v>
      </c>
      <c r="D61" s="118">
        <f t="shared" si="78"/>
        <v>20</v>
      </c>
      <c r="E61" s="118">
        <f t="shared" si="78"/>
        <v>20</v>
      </c>
      <c r="F61" s="118">
        <f t="shared" si="78"/>
        <v>20</v>
      </c>
      <c r="G61" s="118">
        <f t="shared" si="78"/>
        <v>19</v>
      </c>
      <c r="H61" s="118">
        <f t="shared" si="78"/>
        <v>19</v>
      </c>
      <c r="I61" s="118">
        <f t="shared" si="78"/>
        <v>19</v>
      </c>
      <c r="J61" s="118">
        <f t="shared" si="78"/>
        <v>19</v>
      </c>
      <c r="K61" s="118">
        <f t="shared" si="78"/>
        <v>19</v>
      </c>
      <c r="L61" s="118">
        <f t="shared" si="78"/>
        <v>18</v>
      </c>
      <c r="M61" s="119">
        <f t="shared" si="78"/>
        <v>19</v>
      </c>
      <c r="N61" s="119">
        <f t="shared" si="78"/>
        <v>19</v>
      </c>
      <c r="O61" s="119">
        <f t="shared" si="78"/>
        <v>21</v>
      </c>
      <c r="P61" s="119">
        <f t="shared" si="78"/>
        <v>20</v>
      </c>
      <c r="Q61" s="119">
        <f t="shared" si="78"/>
        <v>20</v>
      </c>
      <c r="R61" s="119">
        <f t="shared" si="78"/>
        <v>20</v>
      </c>
      <c r="S61" s="119">
        <f t="shared" si="78"/>
        <v>20</v>
      </c>
      <c r="T61" s="120"/>
      <c r="U61" s="120"/>
      <c r="V61" s="120"/>
      <c r="W61" s="120"/>
      <c r="X61" s="120"/>
      <c r="Y61" s="120"/>
      <c r="Z61" s="120"/>
      <c r="AA61" s="120"/>
      <c r="AB61" s="120"/>
      <c r="AC61" s="120"/>
      <c r="AD61" s="31"/>
    </row>
    <row r="62" spans="1:30" x14ac:dyDescent="0.2">
      <c r="A62" s="16"/>
      <c r="B62" s="16" t="s">
        <v>404</v>
      </c>
      <c r="C62" s="121">
        <v>14</v>
      </c>
      <c r="D62" s="121">
        <v>14</v>
      </c>
      <c r="E62" s="121">
        <v>14</v>
      </c>
      <c r="F62" s="121">
        <v>14</v>
      </c>
      <c r="G62" s="121">
        <v>13</v>
      </c>
      <c r="H62" s="121">
        <v>13</v>
      </c>
      <c r="I62" s="121">
        <v>13</v>
      </c>
      <c r="J62" s="121">
        <v>13</v>
      </c>
      <c r="K62" s="121">
        <v>13</v>
      </c>
      <c r="L62" s="121">
        <v>12</v>
      </c>
      <c r="M62" s="122">
        <v>13</v>
      </c>
      <c r="N62" s="122">
        <v>13</v>
      </c>
      <c r="O62" s="122">
        <v>15</v>
      </c>
      <c r="P62" s="122">
        <v>14</v>
      </c>
      <c r="Q62" s="122">
        <v>14</v>
      </c>
      <c r="R62" s="122">
        <v>14</v>
      </c>
      <c r="S62" s="122">
        <v>14</v>
      </c>
      <c r="T62" s="120"/>
      <c r="U62" s="120"/>
      <c r="V62" s="120"/>
      <c r="W62" s="120"/>
      <c r="X62" s="120"/>
      <c r="Y62" s="120"/>
      <c r="Z62" s="120"/>
      <c r="AA62" s="120"/>
      <c r="AB62" s="120"/>
      <c r="AC62" s="120"/>
      <c r="AD62" s="31"/>
    </row>
    <row r="63" spans="1:30" x14ac:dyDescent="0.2">
      <c r="A63" s="16"/>
      <c r="B63" s="16"/>
      <c r="C63" s="123"/>
      <c r="D63" s="124"/>
      <c r="E63" s="124"/>
      <c r="F63" s="125"/>
      <c r="G63" s="125"/>
      <c r="H63" s="125"/>
      <c r="I63" s="125"/>
      <c r="J63" s="125"/>
      <c r="K63" s="125"/>
      <c r="L63" s="125"/>
      <c r="M63" s="125"/>
      <c r="N63" s="120"/>
      <c r="O63" s="120"/>
      <c r="P63" s="120"/>
      <c r="Q63" s="78"/>
      <c r="R63" s="120"/>
      <c r="S63" s="120"/>
      <c r="T63" s="120"/>
      <c r="U63" s="120"/>
      <c r="V63" s="120"/>
      <c r="W63" s="120"/>
      <c r="X63" s="120"/>
      <c r="Y63" s="120"/>
      <c r="Z63" s="120"/>
      <c r="AA63" s="120"/>
      <c r="AB63" s="120"/>
      <c r="AC63" s="120"/>
      <c r="AD63" s="31"/>
    </row>
    <row r="64" spans="1:30" outlineLevel="1" x14ac:dyDescent="0.2">
      <c r="A64" s="126"/>
      <c r="B64" s="76" t="s">
        <v>405</v>
      </c>
      <c r="C64" s="24">
        <f t="shared" ref="C64:AC64" si="79">C$3</f>
        <v>1996</v>
      </c>
      <c r="D64" s="24">
        <f t="shared" si="79"/>
        <v>1997</v>
      </c>
      <c r="E64" s="24">
        <f t="shared" si="79"/>
        <v>1998</v>
      </c>
      <c r="F64" s="24">
        <f t="shared" si="79"/>
        <v>1999</v>
      </c>
      <c r="G64" s="24">
        <f t="shared" si="79"/>
        <v>2000</v>
      </c>
      <c r="H64" s="24">
        <f t="shared" si="79"/>
        <v>2001</v>
      </c>
      <c r="I64" s="24">
        <f t="shared" si="79"/>
        <v>2002</v>
      </c>
      <c r="J64" s="24">
        <f t="shared" si="79"/>
        <v>2003</v>
      </c>
      <c r="K64" s="24">
        <f t="shared" si="79"/>
        <v>2004</v>
      </c>
      <c r="L64" s="24">
        <f t="shared" si="79"/>
        <v>2005</v>
      </c>
      <c r="M64" s="24">
        <f t="shared" si="79"/>
        <v>2006</v>
      </c>
      <c r="N64" s="24">
        <f t="shared" si="79"/>
        <v>2007</v>
      </c>
      <c r="O64" s="24">
        <f t="shared" si="79"/>
        <v>2008</v>
      </c>
      <c r="P64" s="24">
        <f t="shared" si="79"/>
        <v>2009</v>
      </c>
      <c r="Q64" s="24">
        <f t="shared" si="79"/>
        <v>2010</v>
      </c>
      <c r="R64" s="24">
        <f t="shared" si="79"/>
        <v>2011</v>
      </c>
      <c r="S64" s="24">
        <f t="shared" si="79"/>
        <v>2012</v>
      </c>
      <c r="T64" s="25">
        <f t="shared" si="79"/>
        <v>2013</v>
      </c>
      <c r="U64" s="25">
        <f t="shared" si="79"/>
        <v>2014</v>
      </c>
      <c r="V64" s="25">
        <f t="shared" si="79"/>
        <v>2015</v>
      </c>
      <c r="W64" s="25">
        <f t="shared" si="79"/>
        <v>2016</v>
      </c>
      <c r="X64" s="25">
        <f t="shared" si="79"/>
        <v>2017</v>
      </c>
      <c r="Y64" s="25">
        <f t="shared" si="79"/>
        <v>2018</v>
      </c>
      <c r="Z64" s="25">
        <f t="shared" si="79"/>
        <v>2019</v>
      </c>
      <c r="AA64" s="25">
        <f t="shared" si="79"/>
        <v>2020</v>
      </c>
      <c r="AB64" s="25">
        <f t="shared" si="79"/>
        <v>2021</v>
      </c>
      <c r="AC64" s="25">
        <f t="shared" si="79"/>
        <v>2022</v>
      </c>
      <c r="AD64" s="31"/>
    </row>
    <row r="65" spans="1:30" outlineLevel="1" x14ac:dyDescent="0.2">
      <c r="A65" s="90"/>
      <c r="B65" s="127"/>
      <c r="C65" s="128"/>
      <c r="D65" s="128"/>
      <c r="E65" s="128"/>
      <c r="F65" s="128"/>
      <c r="G65" s="128"/>
      <c r="H65" s="128"/>
      <c r="I65" s="128"/>
      <c r="J65" s="128"/>
      <c r="K65" s="128"/>
      <c r="L65" s="128"/>
      <c r="M65" s="128"/>
      <c r="N65" s="128"/>
      <c r="O65" s="128"/>
      <c r="P65" s="128"/>
      <c r="Q65" s="128"/>
      <c r="R65" s="128"/>
      <c r="S65" s="128"/>
      <c r="T65" s="128"/>
      <c r="U65" s="128"/>
      <c r="V65" s="128"/>
      <c r="W65" s="128"/>
      <c r="X65" s="128"/>
      <c r="Y65" s="128"/>
      <c r="Z65" s="128"/>
      <c r="AA65" s="128"/>
      <c r="AB65" s="128"/>
      <c r="AC65" s="128"/>
      <c r="AD65" s="31"/>
    </row>
    <row r="66" spans="1:30" outlineLevel="1" x14ac:dyDescent="0.2">
      <c r="A66" s="16"/>
      <c r="B66" s="129" t="s">
        <v>406</v>
      </c>
      <c r="C66" s="130">
        <f>52.848-3.485</f>
        <v>49.363</v>
      </c>
      <c r="D66" s="130">
        <f>72.286-3.847</f>
        <v>68.439000000000007</v>
      </c>
      <c r="E66" s="130">
        <f>89.508-4.209</f>
        <v>85.298999999999992</v>
      </c>
      <c r="F66" s="130">
        <f>111.863-3.487</f>
        <v>108.376</v>
      </c>
      <c r="G66" s="130">
        <f>145.617-3.521</f>
        <v>142.096</v>
      </c>
      <c r="H66" s="130">
        <f>177.153-3.901</f>
        <v>173.25199999999998</v>
      </c>
      <c r="I66" s="130">
        <f>218.325-4.025</f>
        <v>214.29999999999998</v>
      </c>
      <c r="J66" s="130">
        <f>262.574-3.265</f>
        <v>259.30900000000003</v>
      </c>
      <c r="K66" s="130">
        <f>308.608-3.432</f>
        <v>305.17599999999999</v>
      </c>
      <c r="L66" s="130">
        <f>343.594-3.689</f>
        <v>339.90499999999997</v>
      </c>
      <c r="M66" s="130">
        <f>388.845-4.427</f>
        <v>384.41800000000001</v>
      </c>
      <c r="N66" s="131">
        <f>417.2-3.9</f>
        <v>413.3</v>
      </c>
      <c r="O66" s="131">
        <f>448-3</f>
        <v>445</v>
      </c>
      <c r="P66" s="132">
        <f>498-2</f>
        <v>496</v>
      </c>
      <c r="Q66" s="132">
        <f>264-3</f>
        <v>261</v>
      </c>
      <c r="R66" s="132">
        <v>265</v>
      </c>
      <c r="S66" s="132">
        <v>265</v>
      </c>
      <c r="T66" s="133">
        <f t="shared" ref="S66:V75" si="80">S66*(1+T$54)</f>
        <v>267.64999999999998</v>
      </c>
      <c r="U66" s="133">
        <f t="shared" si="80"/>
        <v>270.32649999999995</v>
      </c>
      <c r="V66" s="133">
        <f t="shared" si="80"/>
        <v>273.02976499999994</v>
      </c>
      <c r="W66" s="133">
        <f t="shared" ref="W66:W96" si="81">V66*(1+W$54)</f>
        <v>275.76006264999995</v>
      </c>
      <c r="X66" s="133">
        <f t="shared" ref="X66:X96" si="82">W66*(1+X$54)</f>
        <v>278.51766327649995</v>
      </c>
      <c r="Y66" s="133">
        <f t="shared" ref="Y66:Z96" si="83">X66*(1+Y$54)</f>
        <v>281.30283990926495</v>
      </c>
      <c r="Z66" s="133">
        <f t="shared" si="83"/>
        <v>284.11586830835762</v>
      </c>
      <c r="AA66" s="133">
        <f t="shared" ref="AA66:AA96" si="84">Z66*(1+AA$54)</f>
        <v>286.95702699144118</v>
      </c>
      <c r="AB66" s="133">
        <f t="shared" ref="AB66:AB96" si="85">AA66*(1+AB$54)</f>
        <v>289.82659726135557</v>
      </c>
      <c r="AC66" s="133">
        <f t="shared" ref="AC66:AC96" si="86">AB66*(1+AC$54)</f>
        <v>292.72486323396913</v>
      </c>
      <c r="AD66" s="134"/>
    </row>
    <row r="67" spans="1:30" outlineLevel="1" x14ac:dyDescent="0.2">
      <c r="A67" s="16"/>
      <c r="B67" s="129" t="s">
        <v>407</v>
      </c>
      <c r="C67" s="136">
        <v>56.673000000000002</v>
      </c>
      <c r="D67" s="136">
        <v>77.7</v>
      </c>
      <c r="E67" s="136">
        <v>94.143000000000001</v>
      </c>
      <c r="F67" s="136">
        <v>128.886</v>
      </c>
      <c r="G67" s="136">
        <v>162.517</v>
      </c>
      <c r="H67" s="136">
        <v>186.09</v>
      </c>
      <c r="I67" s="136">
        <v>232.41900000000001</v>
      </c>
      <c r="J67" s="137">
        <v>286.452</v>
      </c>
      <c r="K67" s="137">
        <v>314.572</v>
      </c>
      <c r="L67" s="137">
        <v>340.54</v>
      </c>
      <c r="M67" s="137">
        <v>369.96600000000001</v>
      </c>
      <c r="N67" s="137">
        <v>410.73500000000001</v>
      </c>
      <c r="O67" s="137">
        <v>444</v>
      </c>
      <c r="P67" s="137">
        <v>479</v>
      </c>
      <c r="Q67" s="137">
        <v>233</v>
      </c>
      <c r="R67" s="137">
        <v>235</v>
      </c>
      <c r="S67" s="261">
        <v>243</v>
      </c>
      <c r="T67" s="133">
        <f t="shared" si="80"/>
        <v>245.43</v>
      </c>
      <c r="U67" s="133">
        <f t="shared" si="80"/>
        <v>247.8843</v>
      </c>
      <c r="V67" s="133">
        <f t="shared" si="80"/>
        <v>250.36314300000001</v>
      </c>
      <c r="W67" s="133">
        <f t="shared" si="81"/>
        <v>252.86677443000002</v>
      </c>
      <c r="X67" s="133">
        <f t="shared" si="82"/>
        <v>255.39544217430003</v>
      </c>
      <c r="Y67" s="133">
        <f t="shared" si="83"/>
        <v>257.94939659604302</v>
      </c>
      <c r="Z67" s="133">
        <f t="shared" si="83"/>
        <v>260.52889056200343</v>
      </c>
      <c r="AA67" s="133">
        <f t="shared" si="84"/>
        <v>263.13417946762348</v>
      </c>
      <c r="AB67" s="133">
        <f t="shared" si="85"/>
        <v>265.76552126229973</v>
      </c>
      <c r="AC67" s="133">
        <f t="shared" si="86"/>
        <v>268.42317647492274</v>
      </c>
      <c r="AD67" s="134"/>
    </row>
    <row r="68" spans="1:30" outlineLevel="1" x14ac:dyDescent="0.2">
      <c r="A68" s="16"/>
      <c r="B68" s="129" t="s">
        <v>408</v>
      </c>
      <c r="C68" s="136">
        <v>60.49</v>
      </c>
      <c r="D68" s="136">
        <v>79.843000000000004</v>
      </c>
      <c r="E68" s="136">
        <v>99.902000000000001</v>
      </c>
      <c r="F68" s="136">
        <v>143.16200000000001</v>
      </c>
      <c r="G68" s="136">
        <v>171.17699999999999</v>
      </c>
      <c r="H68" s="136">
        <v>198.12899999999999</v>
      </c>
      <c r="I68" s="136">
        <v>255.511</v>
      </c>
      <c r="J68" s="137">
        <v>298.02800000000002</v>
      </c>
      <c r="K68" s="137">
        <v>324.01299999999998</v>
      </c>
      <c r="L68" s="137">
        <v>340.64800000000002</v>
      </c>
      <c r="M68" s="137">
        <v>375.56299999999999</v>
      </c>
      <c r="N68" s="137">
        <v>414.03199999999998</v>
      </c>
      <c r="O68" s="137">
        <v>460</v>
      </c>
      <c r="P68" s="137">
        <v>470</v>
      </c>
      <c r="Q68" s="137">
        <v>230</v>
      </c>
      <c r="R68" s="137">
        <v>233</v>
      </c>
      <c r="S68" s="137">
        <v>243</v>
      </c>
      <c r="T68" s="133">
        <f t="shared" si="80"/>
        <v>245.43</v>
      </c>
      <c r="U68" s="133">
        <f t="shared" si="80"/>
        <v>247.8843</v>
      </c>
      <c r="V68" s="133">
        <f t="shared" si="80"/>
        <v>250.36314300000001</v>
      </c>
      <c r="W68" s="133">
        <f t="shared" si="81"/>
        <v>252.86677443000002</v>
      </c>
      <c r="X68" s="133">
        <f t="shared" si="82"/>
        <v>255.39544217430003</v>
      </c>
      <c r="Y68" s="133">
        <f t="shared" si="83"/>
        <v>257.94939659604302</v>
      </c>
      <c r="Z68" s="133">
        <f t="shared" si="83"/>
        <v>260.52889056200343</v>
      </c>
      <c r="AA68" s="133">
        <f t="shared" si="84"/>
        <v>263.13417946762348</v>
      </c>
      <c r="AB68" s="133">
        <f t="shared" si="85"/>
        <v>265.76552126229973</v>
      </c>
      <c r="AC68" s="133">
        <f t="shared" si="86"/>
        <v>268.42317647492274</v>
      </c>
      <c r="AD68" s="134"/>
    </row>
    <row r="69" spans="1:30" outlineLevel="1" x14ac:dyDescent="0.2">
      <c r="A69" s="16"/>
      <c r="B69" s="129" t="s">
        <v>409</v>
      </c>
      <c r="C69" s="136">
        <v>55.433</v>
      </c>
      <c r="D69" s="136">
        <v>74.619</v>
      </c>
      <c r="E69" s="136">
        <v>96.326999999999998</v>
      </c>
      <c r="F69" s="136">
        <v>139.82300000000001</v>
      </c>
      <c r="G69" s="136">
        <v>164.86699999999999</v>
      </c>
      <c r="H69" s="136">
        <v>197.197</v>
      </c>
      <c r="I69" s="136">
        <v>251.25800000000001</v>
      </c>
      <c r="J69" s="137">
        <v>291.80099999999999</v>
      </c>
      <c r="K69" s="137">
        <v>316.96600000000001</v>
      </c>
      <c r="L69" s="137">
        <v>335.59800000000001</v>
      </c>
      <c r="M69" s="137">
        <v>370.07</v>
      </c>
      <c r="N69" s="137">
        <v>404.24599999999998</v>
      </c>
      <c r="O69" s="137">
        <v>453</v>
      </c>
      <c r="P69" s="137">
        <v>461</v>
      </c>
      <c r="Q69" s="137">
        <v>228</v>
      </c>
      <c r="R69" s="137">
        <v>232</v>
      </c>
      <c r="S69" s="137">
        <v>242</v>
      </c>
      <c r="T69" s="133">
        <f t="shared" si="80"/>
        <v>244.42000000000002</v>
      </c>
      <c r="U69" s="133">
        <f t="shared" si="80"/>
        <v>246.86420000000001</v>
      </c>
      <c r="V69" s="133">
        <f t="shared" si="80"/>
        <v>249.332842</v>
      </c>
      <c r="W69" s="133">
        <f t="shared" si="81"/>
        <v>251.82617042000001</v>
      </c>
      <c r="X69" s="133">
        <f t="shared" si="82"/>
        <v>254.34443212420001</v>
      </c>
      <c r="Y69" s="133">
        <f t="shared" si="83"/>
        <v>256.88787644544203</v>
      </c>
      <c r="Z69" s="133">
        <f t="shared" si="83"/>
        <v>259.45675520989647</v>
      </c>
      <c r="AA69" s="133">
        <f t="shared" si="84"/>
        <v>262.05132276199544</v>
      </c>
      <c r="AB69" s="133">
        <f t="shared" si="85"/>
        <v>264.67183598961537</v>
      </c>
      <c r="AC69" s="133">
        <f t="shared" si="86"/>
        <v>267.31855434951154</v>
      </c>
      <c r="AD69" s="134"/>
    </row>
    <row r="70" spans="1:30" outlineLevel="1" x14ac:dyDescent="0.2">
      <c r="A70" s="16"/>
      <c r="B70" s="129" t="s">
        <v>410</v>
      </c>
      <c r="C70" s="136">
        <v>50.726999999999997</v>
      </c>
      <c r="D70" s="136">
        <v>73.081999999999994</v>
      </c>
      <c r="E70" s="136">
        <v>94.575000000000003</v>
      </c>
      <c r="F70" s="136">
        <v>138.75399999999999</v>
      </c>
      <c r="G70" s="136">
        <v>160.79</v>
      </c>
      <c r="H70" s="136">
        <v>195.322</v>
      </c>
      <c r="I70" s="136">
        <v>242.751</v>
      </c>
      <c r="J70" s="137">
        <v>283.46800000000002</v>
      </c>
      <c r="K70" s="137">
        <v>311.07600000000002</v>
      </c>
      <c r="L70" s="137">
        <v>331.70400000000001</v>
      </c>
      <c r="M70" s="137">
        <v>363.529</v>
      </c>
      <c r="N70" s="137">
        <v>394.96800000000002</v>
      </c>
      <c r="O70" s="137">
        <v>446</v>
      </c>
      <c r="P70" s="137">
        <v>457</v>
      </c>
      <c r="Q70" s="137">
        <v>228</v>
      </c>
      <c r="R70" s="137">
        <v>230</v>
      </c>
      <c r="S70" s="137">
        <v>239</v>
      </c>
      <c r="T70" s="133">
        <f t="shared" si="80"/>
        <v>241.39000000000001</v>
      </c>
      <c r="U70" s="133">
        <f t="shared" si="80"/>
        <v>243.80390000000003</v>
      </c>
      <c r="V70" s="133">
        <f t="shared" si="80"/>
        <v>246.24193900000003</v>
      </c>
      <c r="W70" s="133">
        <f t="shared" si="81"/>
        <v>248.70435839000004</v>
      </c>
      <c r="X70" s="133">
        <f t="shared" si="82"/>
        <v>251.19140197390004</v>
      </c>
      <c r="Y70" s="133">
        <f t="shared" si="83"/>
        <v>253.70331599363905</v>
      </c>
      <c r="Z70" s="133">
        <f t="shared" si="83"/>
        <v>256.24034915357544</v>
      </c>
      <c r="AA70" s="133">
        <f t="shared" si="84"/>
        <v>258.80275264511118</v>
      </c>
      <c r="AB70" s="133">
        <f t="shared" si="85"/>
        <v>261.39078017156231</v>
      </c>
      <c r="AC70" s="133">
        <f t="shared" si="86"/>
        <v>264.00468797327795</v>
      </c>
      <c r="AD70" s="134"/>
    </row>
    <row r="71" spans="1:30" outlineLevel="1" x14ac:dyDescent="0.2">
      <c r="A71" s="16"/>
      <c r="B71" s="129" t="s">
        <v>411</v>
      </c>
      <c r="C71" s="136">
        <v>50.256999999999998</v>
      </c>
      <c r="D71" s="136">
        <v>72.281000000000006</v>
      </c>
      <c r="E71" s="136">
        <v>94.838999999999999</v>
      </c>
      <c r="F71" s="136">
        <v>138.27000000000001</v>
      </c>
      <c r="G71" s="136">
        <v>160.38999999999999</v>
      </c>
      <c r="H71" s="136">
        <v>194.06899999999999</v>
      </c>
      <c r="I71" s="136">
        <v>242.626</v>
      </c>
      <c r="J71" s="137">
        <v>281.11399999999998</v>
      </c>
      <c r="K71" s="137">
        <v>311.12799999999999</v>
      </c>
      <c r="L71" s="137">
        <v>329.64299999999997</v>
      </c>
      <c r="M71" s="137">
        <v>361.86900000000003</v>
      </c>
      <c r="N71" s="137">
        <v>392.71</v>
      </c>
      <c r="O71" s="137">
        <v>444</v>
      </c>
      <c r="P71" s="137">
        <v>460</v>
      </c>
      <c r="Q71" s="137">
        <v>229</v>
      </c>
      <c r="R71" s="137">
        <v>230</v>
      </c>
      <c r="S71" s="137">
        <v>236</v>
      </c>
      <c r="T71" s="133">
        <f t="shared" si="80"/>
        <v>238.36</v>
      </c>
      <c r="U71" s="133">
        <f t="shared" si="80"/>
        <v>240.74360000000001</v>
      </c>
      <c r="V71" s="133">
        <f t="shared" si="80"/>
        <v>243.151036</v>
      </c>
      <c r="W71" s="133">
        <f t="shared" si="81"/>
        <v>245.58254636000001</v>
      </c>
      <c r="X71" s="133">
        <f t="shared" si="82"/>
        <v>248.03837182360002</v>
      </c>
      <c r="Y71" s="133">
        <f t="shared" si="83"/>
        <v>250.51875554183601</v>
      </c>
      <c r="Z71" s="133">
        <f t="shared" si="83"/>
        <v>253.02394309725437</v>
      </c>
      <c r="AA71" s="133">
        <f t="shared" si="84"/>
        <v>255.55418252822693</v>
      </c>
      <c r="AB71" s="133">
        <f t="shared" si="85"/>
        <v>258.10972435350919</v>
      </c>
      <c r="AC71" s="133">
        <f t="shared" si="86"/>
        <v>260.69082159704431</v>
      </c>
      <c r="AD71" s="134"/>
    </row>
    <row r="72" spans="1:30" outlineLevel="1" x14ac:dyDescent="0.2">
      <c r="A72" s="16"/>
      <c r="B72" s="138" t="s">
        <v>412</v>
      </c>
      <c r="C72" s="89">
        <f t="shared" ref="C72:P72" si="87">C58/C62</f>
        <v>46.913214285714282</v>
      </c>
      <c r="D72" s="89">
        <f t="shared" si="87"/>
        <v>69.71442857142857</v>
      </c>
      <c r="E72" s="89">
        <f t="shared" si="87"/>
        <v>92.511999999999986</v>
      </c>
      <c r="F72" s="89">
        <f t="shared" si="87"/>
        <v>130.35192857142857</v>
      </c>
      <c r="G72" s="89">
        <f t="shared" si="87"/>
        <v>155.89646153846155</v>
      </c>
      <c r="H72" s="89">
        <f t="shared" si="87"/>
        <v>189.15853846153848</v>
      </c>
      <c r="I72" s="89">
        <f t="shared" si="87"/>
        <v>236.33761538461539</v>
      </c>
      <c r="J72" s="89">
        <f t="shared" si="87"/>
        <v>264.62838461538462</v>
      </c>
      <c r="K72" s="89">
        <f t="shared" si="87"/>
        <v>287.71100000000001</v>
      </c>
      <c r="L72" s="89">
        <f t="shared" si="87"/>
        <v>327.22899999999998</v>
      </c>
      <c r="M72" s="89">
        <f t="shared" si="87"/>
        <v>346.18169230769229</v>
      </c>
      <c r="N72" s="133">
        <f t="shared" si="87"/>
        <v>381.02623076923078</v>
      </c>
      <c r="O72" s="133">
        <f t="shared" si="87"/>
        <v>428.76666666666665</v>
      </c>
      <c r="P72" s="133">
        <f t="shared" si="87"/>
        <v>456</v>
      </c>
      <c r="Q72" s="133">
        <f t="shared" ref="Q72:R96" si="88">P72*(1+Q$54)</f>
        <v>239.95161290322582</v>
      </c>
      <c r="R72" s="133">
        <f t="shared" si="88"/>
        <v>243.62903225806451</v>
      </c>
      <c r="S72" s="133">
        <f t="shared" si="80"/>
        <v>243.62903225806451</v>
      </c>
      <c r="T72" s="133">
        <f t="shared" si="80"/>
        <v>246.06532258064516</v>
      </c>
      <c r="U72" s="133">
        <f t="shared" si="80"/>
        <v>248.52597580645161</v>
      </c>
      <c r="V72" s="133">
        <f t="shared" si="80"/>
        <v>251.01123556451614</v>
      </c>
      <c r="W72" s="133">
        <f t="shared" si="81"/>
        <v>253.5213479201613</v>
      </c>
      <c r="X72" s="133">
        <f t="shared" si="82"/>
        <v>256.05656139936292</v>
      </c>
      <c r="Y72" s="133">
        <f t="shared" si="83"/>
        <v>258.61712701335654</v>
      </c>
      <c r="Z72" s="133">
        <f t="shared" si="83"/>
        <v>261.20329828349008</v>
      </c>
      <c r="AA72" s="133">
        <f t="shared" si="84"/>
        <v>263.81533126632496</v>
      </c>
      <c r="AB72" s="133">
        <f t="shared" si="85"/>
        <v>266.4534845789882</v>
      </c>
      <c r="AC72" s="133">
        <f t="shared" si="86"/>
        <v>269.11801942477808</v>
      </c>
      <c r="AD72" s="134"/>
    </row>
    <row r="73" spans="1:30" outlineLevel="1" x14ac:dyDescent="0.2">
      <c r="A73" s="16"/>
      <c r="B73" s="138" t="s">
        <v>413</v>
      </c>
      <c r="C73" s="89">
        <f>IF(SUM(C$72:C72)&gt;=C$58,0,C$58/C$62)</f>
        <v>46.913214285714282</v>
      </c>
      <c r="D73" s="89">
        <f>IF(SUM(D$72:D72)&gt;=D$58,0,D$58/D$62)</f>
        <v>69.71442857142857</v>
      </c>
      <c r="E73" s="89">
        <f>IF(SUM(E$72:E72)&gt;=E$58,0,E$58/E$62)</f>
        <v>92.511999999999986</v>
      </c>
      <c r="F73" s="89">
        <f>IF(SUM(F$72:F72)&gt;=F$58,0,F$58/F$62)</f>
        <v>130.35192857142857</v>
      </c>
      <c r="G73" s="89">
        <f>IF(SUM(G$72:G72)&gt;=G$58,0,G$58/G$62)</f>
        <v>155.89646153846155</v>
      </c>
      <c r="H73" s="89">
        <f>IF(SUM(H$72:H72)&gt;=H$58,0,H$58/H$62)</f>
        <v>189.15853846153848</v>
      </c>
      <c r="I73" s="89">
        <f>IF(SUM(I$72:I72)&gt;=I$58,0,I$58/I$62)</f>
        <v>236.33761538461539</v>
      </c>
      <c r="J73" s="89">
        <f>IF(SUM(J$72:J72)&gt;=J$58,0,J$58/J$62)</f>
        <v>264.62838461538462</v>
      </c>
      <c r="K73" s="89">
        <f>IF(SUM(K$72:K72)&gt;=K$58,0,K$58/K$62)</f>
        <v>287.71100000000001</v>
      </c>
      <c r="L73" s="89">
        <f>IF(SUM(L$72:L72)&gt;=L$58,0,L$58/L$62)</f>
        <v>327.22899999999998</v>
      </c>
      <c r="M73" s="89">
        <f>IF(SUM(M$72:M72)&gt;=M$58,0,M$58/M$62)</f>
        <v>346.18169230769229</v>
      </c>
      <c r="N73" s="133">
        <f>IF(SUM(N$72:N72)&gt;=N$58,0,N$58/N$62)</f>
        <v>381.02623076923078</v>
      </c>
      <c r="O73" s="133">
        <f>IF(SUM(O$72:O72)&gt;=O$58,0,O$58/O$62)</f>
        <v>428.76666666666665</v>
      </c>
      <c r="P73" s="133">
        <f>IF(SUM(P$72:P72)&gt;=P$58,0,P$58/P$62)</f>
        <v>456</v>
      </c>
      <c r="Q73" s="133">
        <f t="shared" si="88"/>
        <v>239.95161290322582</v>
      </c>
      <c r="R73" s="133">
        <f t="shared" si="88"/>
        <v>243.62903225806451</v>
      </c>
      <c r="S73" s="133">
        <f t="shared" si="80"/>
        <v>243.62903225806451</v>
      </c>
      <c r="T73" s="133">
        <f t="shared" si="80"/>
        <v>246.06532258064516</v>
      </c>
      <c r="U73" s="133">
        <f t="shared" si="80"/>
        <v>248.52597580645161</v>
      </c>
      <c r="V73" s="133">
        <f t="shared" si="80"/>
        <v>251.01123556451614</v>
      </c>
      <c r="W73" s="133">
        <f t="shared" si="81"/>
        <v>253.5213479201613</v>
      </c>
      <c r="X73" s="133">
        <f t="shared" si="82"/>
        <v>256.05656139936292</v>
      </c>
      <c r="Y73" s="133">
        <f t="shared" si="83"/>
        <v>258.61712701335654</v>
      </c>
      <c r="Z73" s="133">
        <f t="shared" si="83"/>
        <v>261.20329828349008</v>
      </c>
      <c r="AA73" s="133">
        <f t="shared" si="84"/>
        <v>263.81533126632496</v>
      </c>
      <c r="AB73" s="133">
        <f t="shared" si="85"/>
        <v>266.4534845789882</v>
      </c>
      <c r="AC73" s="133">
        <f t="shared" si="86"/>
        <v>269.11801942477808</v>
      </c>
      <c r="AD73" s="134"/>
    </row>
    <row r="74" spans="1:30" outlineLevel="1" x14ac:dyDescent="0.2">
      <c r="A74" s="16"/>
      <c r="B74" s="138" t="s">
        <v>414</v>
      </c>
      <c r="C74" s="89">
        <f>IF(SUM(C$72:C73)&gt;=C$58,0,C$58/C$62)</f>
        <v>46.913214285714282</v>
      </c>
      <c r="D74" s="89">
        <f>IF(SUM(D$72:D73)&gt;=D$58,0,D$58/D$62)</f>
        <v>69.71442857142857</v>
      </c>
      <c r="E74" s="89">
        <f>IF(SUM(E$72:E73)&gt;=E$58,0,E$58/E$62)</f>
        <v>92.511999999999986</v>
      </c>
      <c r="F74" s="89">
        <f>IF(SUM(F$72:F73)&gt;=F$58,0,F$58/F$62)</f>
        <v>130.35192857142857</v>
      </c>
      <c r="G74" s="89">
        <f>IF(SUM(G$72:G73)&gt;=G$58,0,G$58/G$62)</f>
        <v>155.89646153846155</v>
      </c>
      <c r="H74" s="89">
        <f>IF(SUM(H$72:H73)&gt;=H$58,0,H$58/H$62)</f>
        <v>189.15853846153848</v>
      </c>
      <c r="I74" s="89">
        <f>IF(SUM(I$72:I73)&gt;=I$58,0,I$58/I$62)</f>
        <v>236.33761538461539</v>
      </c>
      <c r="J74" s="89">
        <f>IF(SUM(J$72:J73)&gt;=J$58,0,J$58/J$62)</f>
        <v>264.62838461538462</v>
      </c>
      <c r="K74" s="89">
        <f>IF(SUM(K$72:K73)&gt;=K$58,0,K$58/K$62)</f>
        <v>287.71100000000001</v>
      </c>
      <c r="L74" s="89">
        <f>IF(SUM(L$72:L73)&gt;=L$58,0,L$58/L$62)</f>
        <v>327.22899999999998</v>
      </c>
      <c r="M74" s="89">
        <f>IF(SUM(M$72:M73)&gt;=M$58,0,M$58/M$62)</f>
        <v>346.18169230769229</v>
      </c>
      <c r="N74" s="133">
        <f>IF(SUM(N$72:N73)&gt;=N$58,0,N$58/N$62)</f>
        <v>381.02623076923078</v>
      </c>
      <c r="O74" s="133">
        <f>IF(SUM(O$72:O73)&gt;=O$58,0,O$58/O$62)</f>
        <v>428.76666666666665</v>
      </c>
      <c r="P74" s="133">
        <f>IF(SUM(P$72:P73)&gt;=P$58,0,P$58/P$62)</f>
        <v>456</v>
      </c>
      <c r="Q74" s="133">
        <f t="shared" si="88"/>
        <v>239.95161290322582</v>
      </c>
      <c r="R74" s="133">
        <f t="shared" si="88"/>
        <v>243.62903225806451</v>
      </c>
      <c r="S74" s="133">
        <f t="shared" si="80"/>
        <v>243.62903225806451</v>
      </c>
      <c r="T74" s="133">
        <f t="shared" si="80"/>
        <v>246.06532258064516</v>
      </c>
      <c r="U74" s="133">
        <f t="shared" si="80"/>
        <v>248.52597580645161</v>
      </c>
      <c r="V74" s="133">
        <f t="shared" si="80"/>
        <v>251.01123556451614</v>
      </c>
      <c r="W74" s="133">
        <f t="shared" si="81"/>
        <v>253.5213479201613</v>
      </c>
      <c r="X74" s="133">
        <f t="shared" si="82"/>
        <v>256.05656139936292</v>
      </c>
      <c r="Y74" s="133">
        <f t="shared" si="83"/>
        <v>258.61712701335654</v>
      </c>
      <c r="Z74" s="133">
        <f t="shared" si="83"/>
        <v>261.20329828349008</v>
      </c>
      <c r="AA74" s="133">
        <f t="shared" si="84"/>
        <v>263.81533126632496</v>
      </c>
      <c r="AB74" s="133">
        <f t="shared" si="85"/>
        <v>266.4534845789882</v>
      </c>
      <c r="AC74" s="133">
        <f t="shared" si="86"/>
        <v>269.11801942477808</v>
      </c>
      <c r="AD74" s="134"/>
    </row>
    <row r="75" spans="1:30" outlineLevel="1" x14ac:dyDescent="0.2">
      <c r="A75" s="16"/>
      <c r="B75" s="138" t="s">
        <v>415</v>
      </c>
      <c r="C75" s="89">
        <f>IF(SUM(C$72:C74)&gt;=C$58,0,C$58/C$62)</f>
        <v>46.913214285714282</v>
      </c>
      <c r="D75" s="89">
        <f>IF(SUM(D$72:D74)&gt;=D$58,0,D$58/D$62)</f>
        <v>69.71442857142857</v>
      </c>
      <c r="E75" s="89">
        <f>IF(SUM(E$72:E74)&gt;=E$58,0,E$58/E$62)</f>
        <v>92.511999999999986</v>
      </c>
      <c r="F75" s="89">
        <f>IF(SUM(F$72:F74)&gt;=F$58,0,F$58/F$62)</f>
        <v>130.35192857142857</v>
      </c>
      <c r="G75" s="89">
        <f>IF(SUM(G$72:G74)&gt;=G$58,0,G$58/G$62)</f>
        <v>155.89646153846155</v>
      </c>
      <c r="H75" s="89">
        <f>IF(SUM(H$72:H74)&gt;=H$58,0,H$58/H$62)</f>
        <v>189.15853846153848</v>
      </c>
      <c r="I75" s="89">
        <f>IF(SUM(I$72:I74)&gt;=I$58,0,I$58/I$62)</f>
        <v>236.33761538461539</v>
      </c>
      <c r="J75" s="89">
        <f>IF(SUM(J$72:J74)&gt;=J$58,0,J$58/J$62)</f>
        <v>264.62838461538462</v>
      </c>
      <c r="K75" s="89">
        <f>IF(SUM(K$72:K74)&gt;=K$58,0,K$58/K$62)</f>
        <v>287.71100000000001</v>
      </c>
      <c r="L75" s="89">
        <f>IF(SUM(L$72:L74)&gt;=L$58,0,L$58/L$62)</f>
        <v>327.22899999999998</v>
      </c>
      <c r="M75" s="89">
        <f>IF(SUM(M$72:M74)&gt;=M$58,0,M$58/M$62)</f>
        <v>346.18169230769229</v>
      </c>
      <c r="N75" s="133">
        <f>IF(SUM(N$72:N74)&gt;=N$58,0,N$58/N$62)</f>
        <v>381.02623076923078</v>
      </c>
      <c r="O75" s="133">
        <f>IF(SUM(O$72:O74)&gt;=O$58,0,O$58/O$62)</f>
        <v>428.76666666666665</v>
      </c>
      <c r="P75" s="133">
        <f>IF(SUM(P$72:P74)&gt;=P$58,0,P$58/P$62)</f>
        <v>456</v>
      </c>
      <c r="Q75" s="133">
        <f t="shared" si="88"/>
        <v>239.95161290322582</v>
      </c>
      <c r="R75" s="133">
        <f t="shared" si="88"/>
        <v>243.62903225806451</v>
      </c>
      <c r="S75" s="133">
        <f t="shared" si="80"/>
        <v>243.62903225806451</v>
      </c>
      <c r="T75" s="133">
        <f t="shared" si="80"/>
        <v>246.06532258064516</v>
      </c>
      <c r="U75" s="133">
        <f t="shared" si="80"/>
        <v>248.52597580645161</v>
      </c>
      <c r="V75" s="133">
        <f t="shared" si="80"/>
        <v>251.01123556451614</v>
      </c>
      <c r="W75" s="133">
        <f t="shared" si="81"/>
        <v>253.5213479201613</v>
      </c>
      <c r="X75" s="133">
        <f t="shared" si="82"/>
        <v>256.05656139936292</v>
      </c>
      <c r="Y75" s="133">
        <f t="shared" si="83"/>
        <v>258.61712701335654</v>
      </c>
      <c r="Z75" s="133">
        <f t="shared" si="83"/>
        <v>261.20329828349008</v>
      </c>
      <c r="AA75" s="133">
        <f t="shared" si="84"/>
        <v>263.81533126632496</v>
      </c>
      <c r="AB75" s="133">
        <f t="shared" si="85"/>
        <v>266.4534845789882</v>
      </c>
      <c r="AC75" s="133">
        <f t="shared" si="86"/>
        <v>269.11801942477808</v>
      </c>
      <c r="AD75" s="134"/>
    </row>
    <row r="76" spans="1:30" outlineLevel="1" x14ac:dyDescent="0.2">
      <c r="A76" s="16"/>
      <c r="B76" s="138" t="s">
        <v>416</v>
      </c>
      <c r="C76" s="89">
        <f>IF(SUM(C$72:C75)&gt;=C$58,0,C$58/C$62)</f>
        <v>46.913214285714282</v>
      </c>
      <c r="D76" s="89">
        <f>IF(SUM(D$72:D75)&gt;=D$58,0,D$58/D$62)</f>
        <v>69.71442857142857</v>
      </c>
      <c r="E76" s="89">
        <f>IF(SUM(E$72:E75)&gt;=E$58,0,E$58/E$62)</f>
        <v>92.511999999999986</v>
      </c>
      <c r="F76" s="89">
        <f>IF(SUM(F$72:F75)&gt;=F$58,0,F$58/F$62)</f>
        <v>130.35192857142857</v>
      </c>
      <c r="G76" s="89">
        <f>IF(SUM(G$72:G75)&gt;=G$58,0,G$58/G$62)</f>
        <v>155.89646153846155</v>
      </c>
      <c r="H76" s="89">
        <f>IF(SUM(H$72:H75)&gt;=H$58,0,H$58/H$62)</f>
        <v>189.15853846153848</v>
      </c>
      <c r="I76" s="89">
        <f>IF(SUM(I$72:I75)&gt;=I$58,0,I$58/I$62)</f>
        <v>236.33761538461539</v>
      </c>
      <c r="J76" s="89">
        <f>IF(SUM(J$72:J75)&gt;=J$58,0,J$58/J$62)</f>
        <v>264.62838461538462</v>
      </c>
      <c r="K76" s="89">
        <f>IF(SUM(K$72:K75)&gt;=K$58,0,K$58/K$62)</f>
        <v>287.71100000000001</v>
      </c>
      <c r="L76" s="89">
        <f>IF(SUM(L$72:L75)&gt;=L$58,0,L$58/L$62)</f>
        <v>327.22899999999998</v>
      </c>
      <c r="M76" s="89">
        <f>IF(SUM(M$72:M75)&gt;=M$58,0,M$58/M$62)</f>
        <v>346.18169230769229</v>
      </c>
      <c r="N76" s="133">
        <f>IF(SUM(N$72:N75)&gt;=N$58,0,N$58/N$62)</f>
        <v>381.02623076923078</v>
      </c>
      <c r="O76" s="133">
        <f>IF(SUM(O$72:O75)&gt;=O$58,0,O$58/O$62)</f>
        <v>428.76666666666665</v>
      </c>
      <c r="P76" s="133">
        <f>IF(SUM(P$72:P75)&gt;=P$58,0,P$58/P$62)</f>
        <v>456</v>
      </c>
      <c r="Q76" s="133">
        <f t="shared" si="88"/>
        <v>239.95161290322582</v>
      </c>
      <c r="R76" s="133">
        <f t="shared" si="88"/>
        <v>243.62903225806451</v>
      </c>
      <c r="S76" s="133">
        <f t="shared" ref="S76:V85" si="89">R76*(1+S$54)</f>
        <v>243.62903225806451</v>
      </c>
      <c r="T76" s="133">
        <f t="shared" si="89"/>
        <v>246.06532258064516</v>
      </c>
      <c r="U76" s="133">
        <f t="shared" si="89"/>
        <v>248.52597580645161</v>
      </c>
      <c r="V76" s="133">
        <f t="shared" si="89"/>
        <v>251.01123556451614</v>
      </c>
      <c r="W76" s="133">
        <f t="shared" si="81"/>
        <v>253.5213479201613</v>
      </c>
      <c r="X76" s="133">
        <f t="shared" si="82"/>
        <v>256.05656139936292</v>
      </c>
      <c r="Y76" s="133">
        <f t="shared" si="83"/>
        <v>258.61712701335654</v>
      </c>
      <c r="Z76" s="133">
        <f t="shared" si="83"/>
        <v>261.20329828349008</v>
      </c>
      <c r="AA76" s="133">
        <f t="shared" si="84"/>
        <v>263.81533126632496</v>
      </c>
      <c r="AB76" s="133">
        <f t="shared" si="85"/>
        <v>266.4534845789882</v>
      </c>
      <c r="AC76" s="133">
        <f t="shared" si="86"/>
        <v>269.11801942477808</v>
      </c>
      <c r="AD76" s="134"/>
    </row>
    <row r="77" spans="1:30" outlineLevel="1" x14ac:dyDescent="0.2">
      <c r="A77" s="16"/>
      <c r="B77" s="138" t="s">
        <v>417</v>
      </c>
      <c r="C77" s="89">
        <f>IF(SUM(C$72:C76)&gt;=C$58,0,C$58/C$62)</f>
        <v>46.913214285714282</v>
      </c>
      <c r="D77" s="89">
        <f>IF(SUM(D$72:D76)&gt;=D$58,0,D$58/D$62)</f>
        <v>69.71442857142857</v>
      </c>
      <c r="E77" s="89">
        <f>IF(SUM(E$72:E76)&gt;=E$58,0,E$58/E$62)</f>
        <v>92.511999999999986</v>
      </c>
      <c r="F77" s="89">
        <f>IF(SUM(F$72:F76)&gt;=F$58,0,F$58/F$62)</f>
        <v>130.35192857142857</v>
      </c>
      <c r="G77" s="89">
        <f>IF(SUM(G$72:G76)&gt;=G$58,0,G$58/G$62)</f>
        <v>155.89646153846155</v>
      </c>
      <c r="H77" s="89">
        <f>IF(SUM(H$72:H76)&gt;=H$58,0,H$58/H$62)</f>
        <v>189.15853846153848</v>
      </c>
      <c r="I77" s="89">
        <f>IF(SUM(I$72:I76)&gt;=I$58,0,I$58/I$62)</f>
        <v>236.33761538461539</v>
      </c>
      <c r="J77" s="89">
        <f>IF(SUM(J$72:J76)&gt;=J$58,0,J$58/J$62)</f>
        <v>264.62838461538462</v>
      </c>
      <c r="K77" s="89">
        <f>IF(SUM(K$72:K76)&gt;=K$58,0,K$58/K$62)</f>
        <v>287.71100000000001</v>
      </c>
      <c r="L77" s="89">
        <f>IF(SUM(L$72:L76)&gt;=L$58,0,L$58/L$62)</f>
        <v>327.22899999999998</v>
      </c>
      <c r="M77" s="89">
        <f>IF(SUM(M$72:M76)&gt;=M$58,0,M$58/M$62)</f>
        <v>346.18169230769229</v>
      </c>
      <c r="N77" s="133">
        <f>IF(SUM(N$72:N76)&gt;=N$58,0,N$58/N$62)</f>
        <v>381.02623076923078</v>
      </c>
      <c r="O77" s="133">
        <f>IF(SUM(O$72:O76)&gt;=O$58,0,O$58/O$62)</f>
        <v>428.76666666666665</v>
      </c>
      <c r="P77" s="133">
        <f>IF(SUM(P$72:P76)&gt;=P$58,0,P$58/P$62)</f>
        <v>456</v>
      </c>
      <c r="Q77" s="133">
        <f t="shared" si="88"/>
        <v>239.95161290322582</v>
      </c>
      <c r="R77" s="133">
        <f t="shared" si="88"/>
        <v>243.62903225806451</v>
      </c>
      <c r="S77" s="133">
        <f t="shared" si="89"/>
        <v>243.62903225806451</v>
      </c>
      <c r="T77" s="133">
        <f t="shared" si="89"/>
        <v>246.06532258064516</v>
      </c>
      <c r="U77" s="133">
        <f t="shared" si="89"/>
        <v>248.52597580645161</v>
      </c>
      <c r="V77" s="133">
        <f t="shared" si="89"/>
        <v>251.01123556451614</v>
      </c>
      <c r="W77" s="133">
        <f t="shared" si="81"/>
        <v>253.5213479201613</v>
      </c>
      <c r="X77" s="133">
        <f t="shared" si="82"/>
        <v>256.05656139936292</v>
      </c>
      <c r="Y77" s="133">
        <f t="shared" si="83"/>
        <v>258.61712701335654</v>
      </c>
      <c r="Z77" s="133">
        <f t="shared" si="83"/>
        <v>261.20329828349008</v>
      </c>
      <c r="AA77" s="133">
        <f t="shared" si="84"/>
        <v>263.81533126632496</v>
      </c>
      <c r="AB77" s="133">
        <f t="shared" si="85"/>
        <v>266.4534845789882</v>
      </c>
      <c r="AC77" s="133">
        <f t="shared" si="86"/>
        <v>269.11801942477808</v>
      </c>
      <c r="AD77" s="134"/>
    </row>
    <row r="78" spans="1:30" outlineLevel="1" x14ac:dyDescent="0.2">
      <c r="A78" s="16"/>
      <c r="B78" s="138" t="s">
        <v>418</v>
      </c>
      <c r="C78" s="89">
        <f>IF(SUM(C$72:C77)&gt;=C$58,0,C$58/C$62)</f>
        <v>46.913214285714282</v>
      </c>
      <c r="D78" s="89">
        <f>IF(SUM(D$72:D77)&gt;=D$58,0,D$58/D$62)</f>
        <v>69.71442857142857</v>
      </c>
      <c r="E78" s="89">
        <f>IF(SUM(E$72:E77)&gt;=E$58,0,E$58/E$62)</f>
        <v>92.511999999999986</v>
      </c>
      <c r="F78" s="89">
        <f>IF(SUM(F$72:F77)&gt;=F$58,0,F$58/F$62)</f>
        <v>130.35192857142857</v>
      </c>
      <c r="G78" s="89">
        <f>IF(SUM(G$72:G77)&gt;=G$58,0,G$58/G$62)</f>
        <v>155.89646153846155</v>
      </c>
      <c r="H78" s="89">
        <f>IF(SUM(H$72:H77)&gt;=H$58,0,H$58/H$62)</f>
        <v>189.15853846153848</v>
      </c>
      <c r="I78" s="89">
        <f>IF(SUM(I$72:I77)&gt;=I$58,0,I$58/I$62)</f>
        <v>236.33761538461539</v>
      </c>
      <c r="J78" s="89">
        <f>IF(SUM(J$72:J77)&gt;=J$58,0,J$58/J$62)</f>
        <v>264.62838461538462</v>
      </c>
      <c r="K78" s="89">
        <f>IF(SUM(K$72:K77)&gt;=K$58,0,K$58/K$62)</f>
        <v>287.71100000000001</v>
      </c>
      <c r="L78" s="89">
        <f>IF(SUM(L$72:L77)&gt;=L$58,0,L$58/L$62)</f>
        <v>327.22899999999998</v>
      </c>
      <c r="M78" s="89">
        <f>IF(SUM(M$72:M77)&gt;=M$58,0,M$58/M$62)</f>
        <v>346.18169230769229</v>
      </c>
      <c r="N78" s="133">
        <f>IF(SUM(N$72:N77)&gt;=N$58,0,N$58/N$62)</f>
        <v>381.02623076923078</v>
      </c>
      <c r="O78" s="133">
        <f>IF(SUM(O$72:O77)&gt;=O$58,0,O$58/O$62)</f>
        <v>428.76666666666665</v>
      </c>
      <c r="P78" s="133">
        <f>IF(SUM(P$72:P77)&gt;=P$58,0,P$58/P$62)</f>
        <v>456</v>
      </c>
      <c r="Q78" s="133">
        <f t="shared" si="88"/>
        <v>239.95161290322582</v>
      </c>
      <c r="R78" s="133">
        <f t="shared" si="88"/>
        <v>243.62903225806451</v>
      </c>
      <c r="S78" s="133">
        <f t="shared" si="89"/>
        <v>243.62903225806451</v>
      </c>
      <c r="T78" s="133">
        <f t="shared" si="89"/>
        <v>246.06532258064516</v>
      </c>
      <c r="U78" s="133">
        <f t="shared" si="89"/>
        <v>248.52597580645161</v>
      </c>
      <c r="V78" s="133">
        <f t="shared" si="89"/>
        <v>251.01123556451614</v>
      </c>
      <c r="W78" s="133">
        <f t="shared" si="81"/>
        <v>253.5213479201613</v>
      </c>
      <c r="X78" s="133">
        <f t="shared" si="82"/>
        <v>256.05656139936292</v>
      </c>
      <c r="Y78" s="133">
        <f t="shared" si="83"/>
        <v>258.61712701335654</v>
      </c>
      <c r="Z78" s="133">
        <f t="shared" si="83"/>
        <v>261.20329828349008</v>
      </c>
      <c r="AA78" s="133">
        <f t="shared" si="84"/>
        <v>263.81533126632496</v>
      </c>
      <c r="AB78" s="133">
        <f t="shared" si="85"/>
        <v>266.4534845789882</v>
      </c>
      <c r="AC78" s="133">
        <f t="shared" si="86"/>
        <v>269.11801942477808</v>
      </c>
      <c r="AD78" s="134"/>
    </row>
    <row r="79" spans="1:30" outlineLevel="1" x14ac:dyDescent="0.2">
      <c r="A79" s="16"/>
      <c r="B79" s="138" t="s">
        <v>419</v>
      </c>
      <c r="C79" s="89">
        <f>IF(SUM(C$72:C78)&gt;=C$58,0,C$58/C$62)</f>
        <v>46.913214285714282</v>
      </c>
      <c r="D79" s="89">
        <f>IF(SUM(D$72:D78)&gt;=D$58,0,D$58/D$62)</f>
        <v>69.71442857142857</v>
      </c>
      <c r="E79" s="89">
        <f>IF(SUM(E$72:E78)&gt;=E$58,0,E$58/E$62)</f>
        <v>92.511999999999986</v>
      </c>
      <c r="F79" s="89">
        <f>IF(SUM(F$72:F78)&gt;=F$58,0,F$58/F$62)</f>
        <v>130.35192857142857</v>
      </c>
      <c r="G79" s="89">
        <f>IF(SUM(G$72:G78)&gt;=G$58,0,G$58/G$62)</f>
        <v>155.89646153846155</v>
      </c>
      <c r="H79" s="89">
        <f>IF(SUM(H$72:H78)&gt;=H$58,0,H$58/H$62)</f>
        <v>189.15853846153848</v>
      </c>
      <c r="I79" s="89">
        <f>IF(SUM(I$72:I78)&gt;=I$58,0,I$58/I$62)</f>
        <v>236.33761538461539</v>
      </c>
      <c r="J79" s="89">
        <f>IF(SUM(J$72:J78)&gt;=J$58,0,J$58/J$62)</f>
        <v>264.62838461538462</v>
      </c>
      <c r="K79" s="89">
        <f>IF(SUM(K$72:K78)&gt;=K$58,0,K$58/K$62)</f>
        <v>287.71100000000001</v>
      </c>
      <c r="L79" s="89">
        <f>IF(SUM(L$72:L78)&gt;=L$58,0,L$58/L$62)</f>
        <v>327.22899999999998</v>
      </c>
      <c r="M79" s="89">
        <f>IF(SUM(M$72:M78)&gt;=M$58,0,M$58/M$62)</f>
        <v>346.18169230769229</v>
      </c>
      <c r="N79" s="133">
        <f>IF(SUM(N$72:N78)&gt;=N$58,0,N$58/N$62)</f>
        <v>381.02623076923078</v>
      </c>
      <c r="O79" s="133">
        <f>IF(SUM(O$72:O78)&gt;=O$58,0,O$58/O$62)</f>
        <v>428.76666666666665</v>
      </c>
      <c r="P79" s="133">
        <f>IF(SUM(P$72:P78)&gt;=P$58,0,P$58/P$62)</f>
        <v>456</v>
      </c>
      <c r="Q79" s="133">
        <f t="shared" si="88"/>
        <v>239.95161290322582</v>
      </c>
      <c r="R79" s="133">
        <f t="shared" si="88"/>
        <v>243.62903225806451</v>
      </c>
      <c r="S79" s="133">
        <f t="shared" si="89"/>
        <v>243.62903225806451</v>
      </c>
      <c r="T79" s="133">
        <f t="shared" si="89"/>
        <v>246.06532258064516</v>
      </c>
      <c r="U79" s="133">
        <f t="shared" si="89"/>
        <v>248.52597580645161</v>
      </c>
      <c r="V79" s="133">
        <f t="shared" si="89"/>
        <v>251.01123556451614</v>
      </c>
      <c r="W79" s="133">
        <f t="shared" si="81"/>
        <v>253.5213479201613</v>
      </c>
      <c r="X79" s="133">
        <f t="shared" si="82"/>
        <v>256.05656139936292</v>
      </c>
      <c r="Y79" s="133">
        <f t="shared" si="83"/>
        <v>258.61712701335654</v>
      </c>
      <c r="Z79" s="133">
        <f t="shared" si="83"/>
        <v>261.20329828349008</v>
      </c>
      <c r="AA79" s="133">
        <f t="shared" si="84"/>
        <v>263.81533126632496</v>
      </c>
      <c r="AB79" s="133">
        <f t="shared" si="85"/>
        <v>266.4534845789882</v>
      </c>
      <c r="AC79" s="133">
        <f t="shared" si="86"/>
        <v>269.11801942477808</v>
      </c>
      <c r="AD79" s="134"/>
    </row>
    <row r="80" spans="1:30" outlineLevel="1" x14ac:dyDescent="0.2">
      <c r="A80" s="16"/>
      <c r="B80" s="138" t="s">
        <v>420</v>
      </c>
      <c r="C80" s="89">
        <f>IF(SUM(C$72:C79)&gt;=C$58,0,C$58/C$62)</f>
        <v>46.913214285714282</v>
      </c>
      <c r="D80" s="89">
        <f>IF(SUM(D$72:D79)&gt;=D$58,0,D$58/D$62)</f>
        <v>69.71442857142857</v>
      </c>
      <c r="E80" s="89">
        <f>IF(SUM(E$72:E79)&gt;=E$58,0,E$58/E$62)</f>
        <v>92.511999999999986</v>
      </c>
      <c r="F80" s="89">
        <f>IF(SUM(F$72:F79)&gt;=F$58,0,F$58/F$62)</f>
        <v>130.35192857142857</v>
      </c>
      <c r="G80" s="89">
        <f>IF(SUM(G$72:G79)&gt;=G$58,0,G$58/G$62)</f>
        <v>155.89646153846155</v>
      </c>
      <c r="H80" s="89">
        <f>IF(SUM(H$72:H79)&gt;=H$58,0,H$58/H$62)</f>
        <v>189.15853846153848</v>
      </c>
      <c r="I80" s="89">
        <f>IF(SUM(I$72:I79)&gt;=I$58,0,I$58/I$62)</f>
        <v>236.33761538461539</v>
      </c>
      <c r="J80" s="89">
        <f>IF(SUM(J$72:J79)&gt;=J$58,0,J$58/J$62)</f>
        <v>264.62838461538462</v>
      </c>
      <c r="K80" s="89">
        <f>IF(SUM(K$72:K79)&gt;=K$58,0,K$58/K$62)</f>
        <v>287.71100000000001</v>
      </c>
      <c r="L80" s="89">
        <f>IF(SUM(L$72:L79)&gt;=L$58,0,L$58/L$62)</f>
        <v>327.22899999999998</v>
      </c>
      <c r="M80" s="89">
        <f>IF(SUM(M$72:M79)&gt;=M$58,0,M$58/M$62)</f>
        <v>346.18169230769229</v>
      </c>
      <c r="N80" s="133">
        <f>IF(SUM(N$72:N79)&gt;=N$58,0,N$58/N$62)</f>
        <v>381.02623076923078</v>
      </c>
      <c r="O80" s="133">
        <f>IF(SUM(O$72:O79)&gt;=O$58,0,O$58/O$62)</f>
        <v>428.76666666666665</v>
      </c>
      <c r="P80" s="133">
        <f>IF(SUM(P$72:P79)&gt;=P$58,0,P$58/P$62)</f>
        <v>456</v>
      </c>
      <c r="Q80" s="133">
        <f t="shared" si="88"/>
        <v>239.95161290322582</v>
      </c>
      <c r="R80" s="133">
        <f t="shared" si="88"/>
        <v>243.62903225806451</v>
      </c>
      <c r="S80" s="133">
        <f t="shared" si="89"/>
        <v>243.62903225806451</v>
      </c>
      <c r="T80" s="133">
        <f t="shared" si="89"/>
        <v>246.06532258064516</v>
      </c>
      <c r="U80" s="133">
        <f t="shared" si="89"/>
        <v>248.52597580645161</v>
      </c>
      <c r="V80" s="133">
        <f t="shared" si="89"/>
        <v>251.01123556451614</v>
      </c>
      <c r="W80" s="133">
        <f t="shared" si="81"/>
        <v>253.5213479201613</v>
      </c>
      <c r="X80" s="133">
        <f t="shared" si="82"/>
        <v>256.05656139936292</v>
      </c>
      <c r="Y80" s="133">
        <f t="shared" si="83"/>
        <v>258.61712701335654</v>
      </c>
      <c r="Z80" s="133">
        <f t="shared" si="83"/>
        <v>261.20329828349008</v>
      </c>
      <c r="AA80" s="133">
        <f t="shared" si="84"/>
        <v>263.81533126632496</v>
      </c>
      <c r="AB80" s="133">
        <f t="shared" si="85"/>
        <v>266.4534845789882</v>
      </c>
      <c r="AC80" s="133">
        <f t="shared" si="86"/>
        <v>269.11801942477808</v>
      </c>
      <c r="AD80" s="134"/>
    </row>
    <row r="81" spans="1:30" outlineLevel="1" x14ac:dyDescent="0.2">
      <c r="A81" s="16"/>
      <c r="B81" s="138" t="s">
        <v>421</v>
      </c>
      <c r="C81" s="89">
        <f>IF(SUM(C$72:C80)&gt;=C$58,0,C$58/C$62)</f>
        <v>46.913214285714282</v>
      </c>
      <c r="D81" s="89">
        <f>IF(SUM(D$72:D80)&gt;=D$58,0,D$58/D$62)</f>
        <v>69.71442857142857</v>
      </c>
      <c r="E81" s="89">
        <f>IF(SUM(E$72:E80)&gt;=E$58,0,E$58/E$62)</f>
        <v>92.511999999999986</v>
      </c>
      <c r="F81" s="89">
        <f>IF(SUM(F$72:F80)&gt;=F$58,0,F$58/F$62)</f>
        <v>130.35192857142857</v>
      </c>
      <c r="G81" s="89">
        <f>IF(SUM(G$72:G80)&gt;=G$58,0,G$58/G$62)</f>
        <v>155.89646153846155</v>
      </c>
      <c r="H81" s="89">
        <f>IF(SUM(H$72:H80)&gt;=H$58,0,H$58/H$62)</f>
        <v>189.15853846153848</v>
      </c>
      <c r="I81" s="89">
        <f>IF(SUM(I$72:I80)&gt;=I$58,0,I$58/I$62)</f>
        <v>236.33761538461539</v>
      </c>
      <c r="J81" s="89">
        <f>IF(SUM(J$72:J80)&gt;=J$58,0,J$58/J$62)</f>
        <v>264.62838461538462</v>
      </c>
      <c r="K81" s="89">
        <f>IF(SUM(K$72:K80)&gt;=K$58,0,K$58/K$62)</f>
        <v>287.71100000000001</v>
      </c>
      <c r="L81" s="89">
        <f>IF(SUM(L$72:L80)&gt;=L$58,0,L$58/L$62)</f>
        <v>327.22899999999998</v>
      </c>
      <c r="M81" s="89">
        <f>IF(SUM(M$72:M80)&gt;=M$58,0,M$58/M$62)</f>
        <v>346.18169230769229</v>
      </c>
      <c r="N81" s="133">
        <f>IF(SUM(N$72:N80)&gt;=N$58,0,N$58/N$62)</f>
        <v>381.02623076923078</v>
      </c>
      <c r="O81" s="133">
        <f>IF(SUM(O$72:O80)&gt;=O$58,0,O$58/O$62)</f>
        <v>428.76666666666665</v>
      </c>
      <c r="P81" s="133">
        <f>IF(SUM(P$72:P80)&gt;=P$58,0,P$58/P$62)</f>
        <v>456</v>
      </c>
      <c r="Q81" s="133">
        <f t="shared" si="88"/>
        <v>239.95161290322582</v>
      </c>
      <c r="R81" s="133">
        <f t="shared" si="88"/>
        <v>243.62903225806451</v>
      </c>
      <c r="S81" s="133">
        <f t="shared" si="89"/>
        <v>243.62903225806451</v>
      </c>
      <c r="T81" s="133">
        <f t="shared" si="89"/>
        <v>246.06532258064516</v>
      </c>
      <c r="U81" s="133">
        <f t="shared" si="89"/>
        <v>248.52597580645161</v>
      </c>
      <c r="V81" s="133">
        <f t="shared" si="89"/>
        <v>251.01123556451614</v>
      </c>
      <c r="W81" s="133">
        <f t="shared" si="81"/>
        <v>253.5213479201613</v>
      </c>
      <c r="X81" s="133">
        <f t="shared" si="82"/>
        <v>256.05656139936292</v>
      </c>
      <c r="Y81" s="133">
        <f t="shared" si="83"/>
        <v>258.61712701335654</v>
      </c>
      <c r="Z81" s="133">
        <f t="shared" si="83"/>
        <v>261.20329828349008</v>
      </c>
      <c r="AA81" s="133">
        <f t="shared" si="84"/>
        <v>263.81533126632496</v>
      </c>
      <c r="AB81" s="133">
        <f t="shared" si="85"/>
        <v>266.4534845789882</v>
      </c>
      <c r="AC81" s="133">
        <f t="shared" si="86"/>
        <v>269.11801942477808</v>
      </c>
      <c r="AD81" s="134"/>
    </row>
    <row r="82" spans="1:30" outlineLevel="1" x14ac:dyDescent="0.2">
      <c r="A82" s="16"/>
      <c r="B82" s="138" t="s">
        <v>422</v>
      </c>
      <c r="C82" s="89">
        <f>IF(SUM(C$72:C81)&gt;=C$58,0,C$58/C$62)</f>
        <v>46.913214285714282</v>
      </c>
      <c r="D82" s="89">
        <f>IF(SUM(D$72:D81)&gt;=D$58,0,D$58/D$62)</f>
        <v>69.71442857142857</v>
      </c>
      <c r="E82" s="89">
        <f>IF(SUM(E$72:E81)&gt;=E$58,0,E$58/E$62)</f>
        <v>92.511999999999986</v>
      </c>
      <c r="F82" s="89">
        <f>IF(SUM(F$72:F81)&gt;=F$58,0,F$58/F$62)</f>
        <v>130.35192857142857</v>
      </c>
      <c r="G82" s="89">
        <f>IF(SUM(G$72:G81)&gt;=G$58,0,G$58/G$62)</f>
        <v>155.89646153846155</v>
      </c>
      <c r="H82" s="89">
        <f>IF(SUM(H$72:H81)&gt;=H$58,0,H$58/H$62)</f>
        <v>189.15853846153848</v>
      </c>
      <c r="I82" s="89">
        <f>IF(SUM(I$72:I81)&gt;=I$58,0,I$58/I$62)</f>
        <v>236.33761538461539</v>
      </c>
      <c r="J82" s="89">
        <f>IF(SUM(J$72:J81)&gt;=J$58,0,J$58/J$62)</f>
        <v>264.62838461538462</v>
      </c>
      <c r="K82" s="89">
        <f>IF(SUM(K$72:K81)&gt;=K$58,0,K$58/K$62)</f>
        <v>287.71100000000001</v>
      </c>
      <c r="L82" s="89">
        <f>IF(SUM(L$72:L81)&gt;=L$58,0,L$58/L$62)</f>
        <v>327.22899999999998</v>
      </c>
      <c r="M82" s="89">
        <f>IF(SUM(M$72:M81)&gt;=M$58,0,M$58/M$62)</f>
        <v>346.18169230769229</v>
      </c>
      <c r="N82" s="133">
        <f>IF(SUM(N$72:N81)&gt;=N$58,0,N$58/N$62)</f>
        <v>381.02623076923078</v>
      </c>
      <c r="O82" s="133">
        <f>IF(SUM(O$72:O81)&gt;=O$58,0,O$58/O$62)</f>
        <v>428.76666666666665</v>
      </c>
      <c r="P82" s="133">
        <f>IF(SUM(P$72:P81)&gt;=P$58,0,P$58/P$62)</f>
        <v>456</v>
      </c>
      <c r="Q82" s="133">
        <f t="shared" si="88"/>
        <v>239.95161290322582</v>
      </c>
      <c r="R82" s="133">
        <f t="shared" si="88"/>
        <v>243.62903225806451</v>
      </c>
      <c r="S82" s="133">
        <f t="shared" si="89"/>
        <v>243.62903225806451</v>
      </c>
      <c r="T82" s="133">
        <f t="shared" si="89"/>
        <v>246.06532258064516</v>
      </c>
      <c r="U82" s="133">
        <f t="shared" si="89"/>
        <v>248.52597580645161</v>
      </c>
      <c r="V82" s="133">
        <f t="shared" si="89"/>
        <v>251.01123556451614</v>
      </c>
      <c r="W82" s="133">
        <f t="shared" si="81"/>
        <v>253.5213479201613</v>
      </c>
      <c r="X82" s="133">
        <f t="shared" si="82"/>
        <v>256.05656139936292</v>
      </c>
      <c r="Y82" s="133">
        <f t="shared" si="83"/>
        <v>258.61712701335654</v>
      </c>
      <c r="Z82" s="133">
        <f t="shared" si="83"/>
        <v>261.20329828349008</v>
      </c>
      <c r="AA82" s="133">
        <f t="shared" si="84"/>
        <v>263.81533126632496</v>
      </c>
      <c r="AB82" s="133">
        <f t="shared" si="85"/>
        <v>266.4534845789882</v>
      </c>
      <c r="AC82" s="133">
        <f t="shared" si="86"/>
        <v>269.11801942477808</v>
      </c>
      <c r="AD82" s="134"/>
    </row>
    <row r="83" spans="1:30" outlineLevel="1" x14ac:dyDescent="0.2">
      <c r="A83" s="16"/>
      <c r="B83" s="138" t="s">
        <v>423</v>
      </c>
      <c r="C83" s="89">
        <f>IF(SUM(C$72:C82)&gt;=C$58,0,C$58/C$62)</f>
        <v>46.913214285714282</v>
      </c>
      <c r="D83" s="89">
        <f>IF(SUM(D$72:D82)&gt;=D$58,0,D$58/D$62)</f>
        <v>69.71442857142857</v>
      </c>
      <c r="E83" s="89">
        <f>IF(SUM(E$72:E82)&gt;=E$58,0,E$58/E$62)</f>
        <v>92.511999999999986</v>
      </c>
      <c r="F83" s="89">
        <f>IF(SUM(F$72:F82)&gt;=F$58,0,F$58/F$62)</f>
        <v>130.35192857142857</v>
      </c>
      <c r="G83" s="89">
        <f>IF(SUM(G$72:G82)&gt;=G$58,0,G$58/G$62)</f>
        <v>155.89646153846155</v>
      </c>
      <c r="H83" s="89">
        <f>IF(SUM(H$72:H82)&gt;=H$58,0,H$58/H$62)</f>
        <v>189.15853846153848</v>
      </c>
      <c r="I83" s="89">
        <f>IF(SUM(I$72:I82)&gt;=I$58,0,I$58/I$62)</f>
        <v>236.33761538461539</v>
      </c>
      <c r="J83" s="89">
        <f>IF(SUM(J$72:J82)&gt;=J$58,0,J$58/J$62)</f>
        <v>264.62838461538462</v>
      </c>
      <c r="K83" s="89">
        <f>IF(SUM(K$72:K82)&gt;=K$58,0,K$58/K$62)</f>
        <v>287.71100000000001</v>
      </c>
      <c r="L83" s="89">
        <f>IF(SUM(L$72:L82)&gt;=L$58,0,L$58/L$62)</f>
        <v>327.22899999999998</v>
      </c>
      <c r="M83" s="89">
        <f>IF(SUM(M$72:M82)&gt;=M$58,0,M$58/M$62)</f>
        <v>346.18169230769229</v>
      </c>
      <c r="N83" s="133">
        <f>IF(SUM(N$72:N82)&gt;=N$58,0,N$58/N$62)</f>
        <v>381.02623076923078</v>
      </c>
      <c r="O83" s="133">
        <f>IF(SUM(O$72:O82)&gt;=O$58,0,O$58/O$62)</f>
        <v>428.76666666666665</v>
      </c>
      <c r="P83" s="133">
        <f>IF(SUM(P$72:P82)&gt;=P$58,0,P$58/P$62)</f>
        <v>456</v>
      </c>
      <c r="Q83" s="133">
        <f t="shared" si="88"/>
        <v>239.95161290322582</v>
      </c>
      <c r="R83" s="133">
        <f t="shared" si="88"/>
        <v>243.62903225806451</v>
      </c>
      <c r="S83" s="133">
        <f t="shared" si="89"/>
        <v>243.62903225806451</v>
      </c>
      <c r="T83" s="133">
        <f t="shared" si="89"/>
        <v>246.06532258064516</v>
      </c>
      <c r="U83" s="133">
        <f t="shared" si="89"/>
        <v>248.52597580645161</v>
      </c>
      <c r="V83" s="133">
        <f t="shared" si="89"/>
        <v>251.01123556451614</v>
      </c>
      <c r="W83" s="133">
        <f t="shared" si="81"/>
        <v>253.5213479201613</v>
      </c>
      <c r="X83" s="133">
        <f t="shared" si="82"/>
        <v>256.05656139936292</v>
      </c>
      <c r="Y83" s="133">
        <f t="shared" si="83"/>
        <v>258.61712701335654</v>
      </c>
      <c r="Z83" s="133">
        <f t="shared" si="83"/>
        <v>261.20329828349008</v>
      </c>
      <c r="AA83" s="133">
        <f t="shared" si="84"/>
        <v>263.81533126632496</v>
      </c>
      <c r="AB83" s="133">
        <f t="shared" si="85"/>
        <v>266.4534845789882</v>
      </c>
      <c r="AC83" s="133">
        <f t="shared" si="86"/>
        <v>269.11801942477808</v>
      </c>
      <c r="AD83" s="134"/>
    </row>
    <row r="84" spans="1:30" outlineLevel="1" x14ac:dyDescent="0.2">
      <c r="A84" s="16"/>
      <c r="B84" s="138" t="s">
        <v>424</v>
      </c>
      <c r="C84" s="89">
        <f>IF(SUM(C$72:C83)&gt;=C$58,0,C$58/C$62)</f>
        <v>46.913214285714282</v>
      </c>
      <c r="D84" s="89">
        <f>IF(SUM(D$72:D83)&gt;=D$58,0,D$58/D$62)</f>
        <v>69.71442857142857</v>
      </c>
      <c r="E84" s="89">
        <f>IF(SUM(E$72:E83)&gt;=E$58,0,E$58/E$62)</f>
        <v>92.511999999999986</v>
      </c>
      <c r="F84" s="89">
        <f>IF(SUM(F$72:F83)&gt;=F$58,0,F$58/F$62)</f>
        <v>130.35192857142857</v>
      </c>
      <c r="G84" s="89">
        <f>IF(SUM(G$72:G83)&gt;=G$58,0,G$58/G$62)</f>
        <v>155.89646153846155</v>
      </c>
      <c r="H84" s="89">
        <f>IF(SUM(H$72:H83)&gt;=H$58,0,H$58/H$62)</f>
        <v>189.15853846153848</v>
      </c>
      <c r="I84" s="89">
        <f>IF(SUM(I$72:I83)&gt;=I$58,0,I$58/I$62)</f>
        <v>236.33761538461539</v>
      </c>
      <c r="J84" s="89">
        <f>IF(SUM(J$72:J83)&gt;=J$58,0,J$58/J$62)</f>
        <v>264.62838461538462</v>
      </c>
      <c r="K84" s="89">
        <f>IF(SUM(K$72:K83)&gt;=K$58,0,K$58/K$62)</f>
        <v>287.71100000000001</v>
      </c>
      <c r="L84" s="89">
        <f>IF(SUM(L$72:L83)&gt;=L$58,0,L$58/L$62)</f>
        <v>0</v>
      </c>
      <c r="M84" s="89">
        <f>IF(SUM(M$72:M83)&gt;=M$58,0,M$58/M$62)</f>
        <v>346.18169230769229</v>
      </c>
      <c r="N84" s="133">
        <f>IF(SUM(N$72:N83)&gt;=N$58,0,N$58/N$62)</f>
        <v>381.02623076923078</v>
      </c>
      <c r="O84" s="133">
        <f>IF(SUM(O$72:O83)&gt;=O$58,0,O$58/O$62)</f>
        <v>428.76666666666665</v>
      </c>
      <c r="P84" s="133">
        <f>IF(SUM(P$72:P83)&gt;=P$58,0,P$58/P$62)</f>
        <v>456</v>
      </c>
      <c r="Q84" s="133">
        <f t="shared" si="88"/>
        <v>239.95161290322582</v>
      </c>
      <c r="R84" s="133">
        <f t="shared" si="88"/>
        <v>243.62903225806451</v>
      </c>
      <c r="S84" s="133">
        <f t="shared" si="89"/>
        <v>243.62903225806451</v>
      </c>
      <c r="T84" s="133">
        <f t="shared" si="89"/>
        <v>246.06532258064516</v>
      </c>
      <c r="U84" s="133">
        <f t="shared" si="89"/>
        <v>248.52597580645161</v>
      </c>
      <c r="V84" s="133">
        <f t="shared" si="89"/>
        <v>251.01123556451614</v>
      </c>
      <c r="W84" s="133">
        <f t="shared" si="81"/>
        <v>253.5213479201613</v>
      </c>
      <c r="X84" s="133">
        <f t="shared" si="82"/>
        <v>256.05656139936292</v>
      </c>
      <c r="Y84" s="133">
        <f t="shared" si="83"/>
        <v>258.61712701335654</v>
      </c>
      <c r="Z84" s="133">
        <f t="shared" si="83"/>
        <v>261.20329828349008</v>
      </c>
      <c r="AA84" s="133">
        <f t="shared" si="84"/>
        <v>263.81533126632496</v>
      </c>
      <c r="AB84" s="133">
        <f t="shared" si="85"/>
        <v>266.4534845789882</v>
      </c>
      <c r="AC84" s="133">
        <f t="shared" si="86"/>
        <v>269.11801942477808</v>
      </c>
      <c r="AD84" s="134"/>
    </row>
    <row r="85" spans="1:30" outlineLevel="1" x14ac:dyDescent="0.2">
      <c r="A85" s="16"/>
      <c r="B85" s="138" t="s">
        <v>425</v>
      </c>
      <c r="C85" s="89">
        <f>IF(SUM(C$72:C84)&gt;=C$58,0,C$58/C$62)</f>
        <v>46.913214285714282</v>
      </c>
      <c r="D85" s="89">
        <f>IF(SUM(D$72:D84)&gt;=D$58,0,D$58/D$62)</f>
        <v>69.71442857142857</v>
      </c>
      <c r="E85" s="89">
        <f>IF(SUM(E$72:E84)&gt;=E$58,0,E$58/E$62)</f>
        <v>92.511999999999986</v>
      </c>
      <c r="F85" s="89">
        <f>IF(SUM(F$72:F84)&gt;=F$58,0,F$58/F$62)</f>
        <v>130.35192857142857</v>
      </c>
      <c r="G85" s="89">
        <f>IF(SUM(G$72:G84)&gt;=G$58,0,G$58/G$62)</f>
        <v>0</v>
      </c>
      <c r="H85" s="89">
        <f>IF(SUM(H$72:H84)&gt;=H$58,0,H$58/H$62)</f>
        <v>0</v>
      </c>
      <c r="I85" s="89">
        <f>IF(SUM(I$72:I84)&gt;=I$58,0,I$58/I$62)</f>
        <v>0</v>
      </c>
      <c r="J85" s="89">
        <f>IF(SUM(J$72:J84)&gt;=J$58,0,J$58/J$62)</f>
        <v>0</v>
      </c>
      <c r="K85" s="89">
        <f>IF(SUM(K$72:K84)&gt;=K$58,0,K$58/K$62)</f>
        <v>0</v>
      </c>
      <c r="L85" s="89">
        <f>IF(SUM(L$72:L84)&gt;=L$58,0,L$58/L$62)</f>
        <v>0</v>
      </c>
      <c r="M85" s="89">
        <f>IF(SUM(M$72:M84)&gt;=M$58,0,M$58/M$62)</f>
        <v>0</v>
      </c>
      <c r="N85" s="133">
        <f>IF(SUM(N$72:N84)&gt;=N$58,0,N$58/N$62)</f>
        <v>0</v>
      </c>
      <c r="O85" s="133">
        <f>IF(SUM(O$72:O84)&gt;=O$58,0,O$58/O$62)</f>
        <v>428.76666666666665</v>
      </c>
      <c r="P85" s="133">
        <f>IF(SUM(P$72:P84)&gt;=P$58,0,P$58/P$62)</f>
        <v>456</v>
      </c>
      <c r="Q85" s="133">
        <f t="shared" si="88"/>
        <v>239.95161290322582</v>
      </c>
      <c r="R85" s="133">
        <f t="shared" si="88"/>
        <v>243.62903225806451</v>
      </c>
      <c r="S85" s="133">
        <f t="shared" si="89"/>
        <v>243.62903225806451</v>
      </c>
      <c r="T85" s="133">
        <f t="shared" si="89"/>
        <v>246.06532258064516</v>
      </c>
      <c r="U85" s="133">
        <f t="shared" si="89"/>
        <v>248.52597580645161</v>
      </c>
      <c r="V85" s="133">
        <f t="shared" si="89"/>
        <v>251.01123556451614</v>
      </c>
      <c r="W85" s="133">
        <f t="shared" si="81"/>
        <v>253.5213479201613</v>
      </c>
      <c r="X85" s="133">
        <f t="shared" si="82"/>
        <v>256.05656139936292</v>
      </c>
      <c r="Y85" s="133">
        <f t="shared" si="83"/>
        <v>258.61712701335654</v>
      </c>
      <c r="Z85" s="133">
        <f t="shared" si="83"/>
        <v>261.20329828349008</v>
      </c>
      <c r="AA85" s="133">
        <f t="shared" si="84"/>
        <v>263.81533126632496</v>
      </c>
      <c r="AB85" s="133">
        <f t="shared" si="85"/>
        <v>266.4534845789882</v>
      </c>
      <c r="AC85" s="133">
        <f t="shared" si="86"/>
        <v>269.11801942477808</v>
      </c>
      <c r="AD85" s="134"/>
    </row>
    <row r="86" spans="1:30" outlineLevel="1" x14ac:dyDescent="0.2">
      <c r="A86" s="16"/>
      <c r="B86" s="138" t="s">
        <v>426</v>
      </c>
      <c r="C86" s="89">
        <f>IF(SUM(C$72:C85)&gt;=C$58,0,C$58/C$62)</f>
        <v>0</v>
      </c>
      <c r="D86" s="89">
        <f>IF(SUM(D$72:D85)&gt;=D$58,0,D$58/D$62)</f>
        <v>0</v>
      </c>
      <c r="E86" s="89">
        <f>IF(SUM(E$72:E85)&gt;=E$58,0,E$58/E$62)</f>
        <v>0</v>
      </c>
      <c r="F86" s="89">
        <f>IF(SUM(F$72:F85)&gt;=F$58,0,F$58/F$62)</f>
        <v>0</v>
      </c>
      <c r="G86" s="89">
        <f>IF(SUM(G$72:G85)&gt;=G$58,0,G$58/G$62)</f>
        <v>0</v>
      </c>
      <c r="H86" s="89">
        <f>IF(SUM(H$72:H85)&gt;=H$58,0,H$58/H$62)</f>
        <v>0</v>
      </c>
      <c r="I86" s="89">
        <f>IF(SUM(I$72:I85)&gt;=I$58,0,I$58/I$62)</f>
        <v>0</v>
      </c>
      <c r="J86" s="89">
        <f>IF(SUM(J$72:J85)&gt;=J$58,0,J$58/J$62)</f>
        <v>0</v>
      </c>
      <c r="K86" s="89">
        <f>IF(SUM(K$72:K85)&gt;=K$58,0,K$58/K$62)</f>
        <v>0</v>
      </c>
      <c r="L86" s="89">
        <f>IF(SUM(L$72:L85)&gt;=L$58,0,L$58/L$62)</f>
        <v>0</v>
      </c>
      <c r="M86" s="89">
        <f>IF(SUM(M$72:M85)&gt;=M$58,0,M$58/M$62)</f>
        <v>0</v>
      </c>
      <c r="N86" s="133">
        <f>IF(SUM(N$72:N85)&gt;=N$58,0,N$58/N$62)</f>
        <v>0</v>
      </c>
      <c r="O86" s="133">
        <f>IF(SUM(O$72:O85)&gt;=O$58,0,O$58/O$62)</f>
        <v>428.76666666666665</v>
      </c>
      <c r="P86" s="133">
        <f>IF(SUM(P$72:P85)&gt;=P$58,0,P$58/P$62)</f>
        <v>0</v>
      </c>
      <c r="Q86" s="133">
        <f t="shared" si="88"/>
        <v>0</v>
      </c>
      <c r="R86" s="133">
        <f t="shared" si="88"/>
        <v>0</v>
      </c>
      <c r="S86" s="133">
        <f t="shared" ref="S86:V95" si="90">R86*(1+S$54)</f>
        <v>0</v>
      </c>
      <c r="T86" s="133">
        <f t="shared" si="90"/>
        <v>0</v>
      </c>
      <c r="U86" s="133">
        <f t="shared" si="90"/>
        <v>0</v>
      </c>
      <c r="V86" s="133">
        <f t="shared" si="90"/>
        <v>0</v>
      </c>
      <c r="W86" s="133">
        <f t="shared" si="81"/>
        <v>0</v>
      </c>
      <c r="X86" s="133">
        <f t="shared" si="82"/>
        <v>0</v>
      </c>
      <c r="Y86" s="133">
        <f t="shared" si="83"/>
        <v>0</v>
      </c>
      <c r="Z86" s="133">
        <f t="shared" si="83"/>
        <v>0</v>
      </c>
      <c r="AA86" s="133">
        <f t="shared" si="84"/>
        <v>0</v>
      </c>
      <c r="AB86" s="133">
        <f t="shared" si="85"/>
        <v>0</v>
      </c>
      <c r="AC86" s="133">
        <f t="shared" si="86"/>
        <v>0</v>
      </c>
      <c r="AD86" s="134"/>
    </row>
    <row r="87" spans="1:30" outlineLevel="1" x14ac:dyDescent="0.2">
      <c r="A87" s="16"/>
      <c r="B87" s="138" t="s">
        <v>427</v>
      </c>
      <c r="C87" s="89">
        <f>IF(SUM(C$72:C86)&gt;=C$58,0,C$58/C$62)</f>
        <v>0</v>
      </c>
      <c r="D87" s="89">
        <f>IF(SUM(D$72:D86)&gt;=D$58,0,D$58/D$62)</f>
        <v>0</v>
      </c>
      <c r="E87" s="89">
        <f>IF(SUM(E$72:E86)&gt;=E$58,0,E$58/E$62)</f>
        <v>0</v>
      </c>
      <c r="F87" s="89">
        <f>IF(SUM(F$72:F86)&gt;=F$58,0,F$58/F$62)</f>
        <v>0</v>
      </c>
      <c r="G87" s="89">
        <f>IF(SUM(G$72:G86)&gt;=G$58,0,G$58/G$62)</f>
        <v>0</v>
      </c>
      <c r="H87" s="89">
        <f>IF(SUM(H$72:H86)&gt;=H$58,0,H$58/H$62)</f>
        <v>0</v>
      </c>
      <c r="I87" s="89">
        <f>IF(SUM(I$72:I86)&gt;=I$58,0,I$58/I$62)</f>
        <v>0</v>
      </c>
      <c r="J87" s="89">
        <f>IF(SUM(J$72:J86)&gt;=J$58,0,J$58/J$62)</f>
        <v>0</v>
      </c>
      <c r="K87" s="89">
        <f>IF(SUM(K$72:K86)&gt;=K$58,0,K$58/K$62)</f>
        <v>0</v>
      </c>
      <c r="L87" s="89">
        <f>IF(SUM(L$72:L86)&gt;=L$58,0,L$58/L$62)</f>
        <v>0</v>
      </c>
      <c r="M87" s="89">
        <f>IF(SUM(M$72:M86)&gt;=M$58,0,M$58/M$62)</f>
        <v>0</v>
      </c>
      <c r="N87" s="133">
        <f>IF(SUM(N$72:N86)&gt;=N$58,0,N$58/N$62)</f>
        <v>0</v>
      </c>
      <c r="O87" s="133">
        <f>IF(SUM(O$72:O86)&gt;=O$58,0,O$58/O$62)</f>
        <v>0</v>
      </c>
      <c r="P87" s="133">
        <f>IF(SUM(P$72:P86)&gt;=P$58,0,P$58/P$62)</f>
        <v>0</v>
      </c>
      <c r="Q87" s="133">
        <f t="shared" si="88"/>
        <v>0</v>
      </c>
      <c r="R87" s="133">
        <f t="shared" si="88"/>
        <v>0</v>
      </c>
      <c r="S87" s="133">
        <f t="shared" si="90"/>
        <v>0</v>
      </c>
      <c r="T87" s="133">
        <f t="shared" si="90"/>
        <v>0</v>
      </c>
      <c r="U87" s="133">
        <f t="shared" si="90"/>
        <v>0</v>
      </c>
      <c r="V87" s="133">
        <f t="shared" si="90"/>
        <v>0</v>
      </c>
      <c r="W87" s="133">
        <f t="shared" si="81"/>
        <v>0</v>
      </c>
      <c r="X87" s="133">
        <f t="shared" si="82"/>
        <v>0</v>
      </c>
      <c r="Y87" s="133">
        <f t="shared" si="83"/>
        <v>0</v>
      </c>
      <c r="Z87" s="133">
        <f t="shared" si="83"/>
        <v>0</v>
      </c>
      <c r="AA87" s="133">
        <f t="shared" si="84"/>
        <v>0</v>
      </c>
      <c r="AB87" s="133">
        <f t="shared" si="85"/>
        <v>0</v>
      </c>
      <c r="AC87" s="133">
        <f t="shared" si="86"/>
        <v>0</v>
      </c>
      <c r="AD87" s="134"/>
    </row>
    <row r="88" spans="1:30" outlineLevel="1" x14ac:dyDescent="0.2">
      <c r="A88" s="16"/>
      <c r="B88" s="138" t="s">
        <v>428</v>
      </c>
      <c r="C88" s="89">
        <f>IF(SUM(C$72:C87)&gt;=C$58,0,C$58/C$62)</f>
        <v>0</v>
      </c>
      <c r="D88" s="89">
        <f>IF(SUM(D$72:D87)&gt;=D$58,0,D$58/D$62)</f>
        <v>0</v>
      </c>
      <c r="E88" s="89">
        <f>IF(SUM(E$72:E87)&gt;=E$58,0,E$58/E$62)</f>
        <v>0</v>
      </c>
      <c r="F88" s="89">
        <f>IF(SUM(F$72:F87)&gt;=F$58,0,F$58/F$62)</f>
        <v>0</v>
      </c>
      <c r="G88" s="89">
        <f>IF(SUM(G$72:G87)&gt;=G$58,0,G$58/G$62)</f>
        <v>0</v>
      </c>
      <c r="H88" s="89">
        <f>IF(SUM(H$72:H87)&gt;=H$58,0,H$58/H$62)</f>
        <v>0</v>
      </c>
      <c r="I88" s="89">
        <f>IF(SUM(I$72:I87)&gt;=I$58,0,I$58/I$62)</f>
        <v>0</v>
      </c>
      <c r="J88" s="89">
        <f>IF(SUM(J$72:J87)&gt;=J$58,0,J$58/J$62)</f>
        <v>0</v>
      </c>
      <c r="K88" s="89">
        <f>IF(SUM(K$72:K87)&gt;=K$58,0,K$58/K$62)</f>
        <v>0</v>
      </c>
      <c r="L88" s="89">
        <f>IF(SUM(L$72:L87)&gt;=L$58,0,L$58/L$62)</f>
        <v>0</v>
      </c>
      <c r="M88" s="89">
        <f>IF(SUM(M$72:M87)&gt;=M$58,0,M$58/M$62)</f>
        <v>0</v>
      </c>
      <c r="N88" s="133">
        <f>IF(SUM(N$72:N87)&gt;=N$58,0,N$58/N$62)</f>
        <v>0</v>
      </c>
      <c r="O88" s="133">
        <f>IF(SUM(O$72:O87)&gt;=O$58,0,O$58/O$62)</f>
        <v>0</v>
      </c>
      <c r="P88" s="133">
        <f>IF(SUM(P$72:P87)&gt;=P$58,0,P$58/P$62)</f>
        <v>0</v>
      </c>
      <c r="Q88" s="133">
        <f t="shared" si="88"/>
        <v>0</v>
      </c>
      <c r="R88" s="133">
        <f t="shared" si="88"/>
        <v>0</v>
      </c>
      <c r="S88" s="133">
        <f t="shared" si="90"/>
        <v>0</v>
      </c>
      <c r="T88" s="133">
        <f t="shared" si="90"/>
        <v>0</v>
      </c>
      <c r="U88" s="133">
        <f t="shared" si="90"/>
        <v>0</v>
      </c>
      <c r="V88" s="133">
        <f t="shared" si="90"/>
        <v>0</v>
      </c>
      <c r="W88" s="133">
        <f t="shared" si="81"/>
        <v>0</v>
      </c>
      <c r="X88" s="133">
        <f t="shared" si="82"/>
        <v>0</v>
      </c>
      <c r="Y88" s="133">
        <f t="shared" si="83"/>
        <v>0</v>
      </c>
      <c r="Z88" s="133">
        <f t="shared" si="83"/>
        <v>0</v>
      </c>
      <c r="AA88" s="133">
        <f t="shared" si="84"/>
        <v>0</v>
      </c>
      <c r="AB88" s="133">
        <f t="shared" si="85"/>
        <v>0</v>
      </c>
      <c r="AC88" s="133">
        <f t="shared" si="86"/>
        <v>0</v>
      </c>
      <c r="AD88" s="134"/>
    </row>
    <row r="89" spans="1:30" outlineLevel="1" x14ac:dyDescent="0.2">
      <c r="A89" s="16"/>
      <c r="B89" s="138" t="s">
        <v>429</v>
      </c>
      <c r="C89" s="89">
        <f>IF(SUM(C$72:C88)&gt;=C$58,0,C$58/C$62)</f>
        <v>0</v>
      </c>
      <c r="D89" s="89">
        <f>IF(SUM(D$72:D88)&gt;=D$58,0,D$58/D$62)</f>
        <v>0</v>
      </c>
      <c r="E89" s="89">
        <f>IF(SUM(E$72:E88)&gt;=E$58,0,E$58/E$62)</f>
        <v>0</v>
      </c>
      <c r="F89" s="89">
        <f>IF(SUM(F$72:F88)&gt;=F$58,0,F$58/F$62)</f>
        <v>0</v>
      </c>
      <c r="G89" s="89">
        <f>IF(SUM(G$72:G88)&gt;=G$58,0,G$58/G$62)</f>
        <v>0</v>
      </c>
      <c r="H89" s="89">
        <f>IF(SUM(H$72:H88)&gt;=H$58,0,H$58/H$62)</f>
        <v>0</v>
      </c>
      <c r="I89" s="89">
        <f>IF(SUM(I$72:I88)&gt;=I$58,0,I$58/I$62)</f>
        <v>0</v>
      </c>
      <c r="J89" s="89">
        <f>IF(SUM(J$72:J88)&gt;=J$58,0,J$58/J$62)</f>
        <v>0</v>
      </c>
      <c r="K89" s="89">
        <f>IF(SUM(K$72:K88)&gt;=K$58,0,K$58/K$62)</f>
        <v>0</v>
      </c>
      <c r="L89" s="89">
        <f>IF(SUM(L$72:L88)&gt;=L$58,0,L$58/L$62)</f>
        <v>0</v>
      </c>
      <c r="M89" s="89">
        <f>IF(SUM(M$72:M88)&gt;=M$58,0,M$58/M$62)</f>
        <v>0</v>
      </c>
      <c r="N89" s="133">
        <f>IF(SUM(N$72:N88)&gt;=N$58,0,N$58/N$62)</f>
        <v>0</v>
      </c>
      <c r="O89" s="133">
        <f>IF(SUM(O$72:O88)&gt;=O$58,0,O$58/O$62)</f>
        <v>0</v>
      </c>
      <c r="P89" s="133">
        <f>IF(SUM(P$72:P88)&gt;=P$58,0,P$58/P$62)</f>
        <v>0</v>
      </c>
      <c r="Q89" s="133">
        <f t="shared" si="88"/>
        <v>0</v>
      </c>
      <c r="R89" s="133">
        <f t="shared" si="88"/>
        <v>0</v>
      </c>
      <c r="S89" s="133">
        <f t="shared" si="90"/>
        <v>0</v>
      </c>
      <c r="T89" s="133">
        <f t="shared" si="90"/>
        <v>0</v>
      </c>
      <c r="U89" s="133">
        <f t="shared" si="90"/>
        <v>0</v>
      </c>
      <c r="V89" s="133">
        <f t="shared" si="90"/>
        <v>0</v>
      </c>
      <c r="W89" s="133">
        <f t="shared" si="81"/>
        <v>0</v>
      </c>
      <c r="X89" s="133">
        <f t="shared" si="82"/>
        <v>0</v>
      </c>
      <c r="Y89" s="133">
        <f t="shared" si="83"/>
        <v>0</v>
      </c>
      <c r="Z89" s="133">
        <f t="shared" si="83"/>
        <v>0</v>
      </c>
      <c r="AA89" s="133">
        <f t="shared" si="84"/>
        <v>0</v>
      </c>
      <c r="AB89" s="133">
        <f t="shared" si="85"/>
        <v>0</v>
      </c>
      <c r="AC89" s="133">
        <f t="shared" si="86"/>
        <v>0</v>
      </c>
      <c r="AD89" s="134"/>
    </row>
    <row r="90" spans="1:30" outlineLevel="1" x14ac:dyDescent="0.2">
      <c r="A90" s="16"/>
      <c r="B90" s="138" t="s">
        <v>430</v>
      </c>
      <c r="C90" s="89">
        <f>IF(SUM(C$72:C89)&gt;=C$58,0,C$58/C$62)</f>
        <v>0</v>
      </c>
      <c r="D90" s="89">
        <f>IF(SUM(D$72:D89)&gt;=D$58,0,D$58/D$62)</f>
        <v>0</v>
      </c>
      <c r="E90" s="89">
        <f>IF(SUM(E$72:E89)&gt;=E$58,0,E$58/E$62)</f>
        <v>0</v>
      </c>
      <c r="F90" s="89">
        <f>IF(SUM(F$72:F89)&gt;=F$58,0,F$58/F$62)</f>
        <v>0</v>
      </c>
      <c r="G90" s="89">
        <f>IF(SUM(G$72:G89)&gt;=G$58,0,G$58/G$62)</f>
        <v>0</v>
      </c>
      <c r="H90" s="89">
        <f>IF(SUM(H$72:H89)&gt;=H$58,0,H$58/H$62)</f>
        <v>0</v>
      </c>
      <c r="I90" s="89">
        <f>IF(SUM(I$72:I89)&gt;=I$58,0,I$58/I$62)</f>
        <v>0</v>
      </c>
      <c r="J90" s="89">
        <f>IF(SUM(J$72:J89)&gt;=J$58,0,J$58/J$62)</f>
        <v>0</v>
      </c>
      <c r="K90" s="89">
        <f>IF(SUM(K$72:K89)&gt;=K$58,0,K$58/K$62)</f>
        <v>0</v>
      </c>
      <c r="L90" s="89">
        <f>IF(SUM(L$72:L89)&gt;=L$58,0,L$58/L$62)</f>
        <v>0</v>
      </c>
      <c r="M90" s="89">
        <f>IF(SUM(M$72:M89)&gt;=M$58,0,M$58/M$62)</f>
        <v>0</v>
      </c>
      <c r="N90" s="133">
        <f>IF(SUM(N$72:N89)&gt;=N$58,0,N$58/N$62)</f>
        <v>0</v>
      </c>
      <c r="O90" s="133">
        <f>IF(SUM(O$72:O89)&gt;=O$58,0,O$58/O$62)</f>
        <v>0</v>
      </c>
      <c r="P90" s="133">
        <f>IF(SUM(P$72:P89)&gt;=P$58,0,P$58/P$62)</f>
        <v>0</v>
      </c>
      <c r="Q90" s="133">
        <f t="shared" si="88"/>
        <v>0</v>
      </c>
      <c r="R90" s="133">
        <f t="shared" si="88"/>
        <v>0</v>
      </c>
      <c r="S90" s="133">
        <f t="shared" si="90"/>
        <v>0</v>
      </c>
      <c r="T90" s="133">
        <f t="shared" si="90"/>
        <v>0</v>
      </c>
      <c r="U90" s="133">
        <f t="shared" si="90"/>
        <v>0</v>
      </c>
      <c r="V90" s="133">
        <f t="shared" si="90"/>
        <v>0</v>
      </c>
      <c r="W90" s="133">
        <f t="shared" si="81"/>
        <v>0</v>
      </c>
      <c r="X90" s="133">
        <f t="shared" si="82"/>
        <v>0</v>
      </c>
      <c r="Y90" s="133">
        <f t="shared" si="83"/>
        <v>0</v>
      </c>
      <c r="Z90" s="133">
        <f t="shared" si="83"/>
        <v>0</v>
      </c>
      <c r="AA90" s="133">
        <f t="shared" si="84"/>
        <v>0</v>
      </c>
      <c r="AB90" s="133">
        <f t="shared" si="85"/>
        <v>0</v>
      </c>
      <c r="AC90" s="133">
        <f t="shared" si="86"/>
        <v>0</v>
      </c>
      <c r="AD90" s="134"/>
    </row>
    <row r="91" spans="1:30" outlineLevel="1" x14ac:dyDescent="0.2">
      <c r="A91" s="16"/>
      <c r="B91" s="138" t="s">
        <v>431</v>
      </c>
      <c r="C91" s="89">
        <f>IF(SUM(C$72:C90)&gt;=C$58,0,C$58/C$62)</f>
        <v>0</v>
      </c>
      <c r="D91" s="89">
        <f>IF(SUM(D$72:D90)&gt;=D$58,0,D$58/D$62)</f>
        <v>0</v>
      </c>
      <c r="E91" s="89">
        <f>IF(SUM(E$72:E90)&gt;=E$58,0,E$58/E$62)</f>
        <v>0</v>
      </c>
      <c r="F91" s="89">
        <f>IF(SUM(F$72:F90)&gt;=F$58,0,F$58/F$62)</f>
        <v>0</v>
      </c>
      <c r="G91" s="89">
        <f>IF(SUM(G$72:G90)&gt;=G$58,0,G$58/G$62)</f>
        <v>0</v>
      </c>
      <c r="H91" s="89">
        <f>IF(SUM(H$72:H90)&gt;=H$58,0,H$58/H$62)</f>
        <v>0</v>
      </c>
      <c r="I91" s="89">
        <f>IF(SUM(I$72:I90)&gt;=I$58,0,I$58/I$62)</f>
        <v>0</v>
      </c>
      <c r="J91" s="89">
        <f>IF(SUM(J$72:J90)&gt;=J$58,0,J$58/J$62)</f>
        <v>0</v>
      </c>
      <c r="K91" s="89">
        <f>IF(SUM(K$72:K90)&gt;=K$58,0,K$58/K$62)</f>
        <v>0</v>
      </c>
      <c r="L91" s="89">
        <f>IF(SUM(L$72:L90)&gt;=L$58,0,L$58/L$62)</f>
        <v>0</v>
      </c>
      <c r="M91" s="89">
        <f>IF(SUM(M$72:M90)&gt;=M$58,0,M$58/M$62)</f>
        <v>0</v>
      </c>
      <c r="N91" s="133">
        <f>IF(SUM(N$72:N90)&gt;=N$58,0,N$58/N$62)</f>
        <v>0</v>
      </c>
      <c r="O91" s="133">
        <f>IF(SUM(O$72:O90)&gt;=O$58,0,O$58/O$62)</f>
        <v>0</v>
      </c>
      <c r="P91" s="133">
        <f>IF(SUM(P$72:P90)&gt;=P$58,0,P$58/P$62)</f>
        <v>0</v>
      </c>
      <c r="Q91" s="133">
        <f t="shared" si="88"/>
        <v>0</v>
      </c>
      <c r="R91" s="133">
        <f t="shared" si="88"/>
        <v>0</v>
      </c>
      <c r="S91" s="133">
        <f t="shared" si="90"/>
        <v>0</v>
      </c>
      <c r="T91" s="133">
        <f t="shared" si="90"/>
        <v>0</v>
      </c>
      <c r="U91" s="133">
        <f t="shared" si="90"/>
        <v>0</v>
      </c>
      <c r="V91" s="133">
        <f t="shared" si="90"/>
        <v>0</v>
      </c>
      <c r="W91" s="133">
        <f t="shared" si="81"/>
        <v>0</v>
      </c>
      <c r="X91" s="133">
        <f t="shared" si="82"/>
        <v>0</v>
      </c>
      <c r="Y91" s="133">
        <f t="shared" si="83"/>
        <v>0</v>
      </c>
      <c r="Z91" s="133">
        <f t="shared" si="83"/>
        <v>0</v>
      </c>
      <c r="AA91" s="133">
        <f t="shared" si="84"/>
        <v>0</v>
      </c>
      <c r="AB91" s="133">
        <f t="shared" si="85"/>
        <v>0</v>
      </c>
      <c r="AC91" s="133">
        <f t="shared" si="86"/>
        <v>0</v>
      </c>
      <c r="AD91" s="134"/>
    </row>
    <row r="92" spans="1:30" outlineLevel="1" x14ac:dyDescent="0.2">
      <c r="A92" s="16"/>
      <c r="B92" s="138" t="s">
        <v>432</v>
      </c>
      <c r="C92" s="89">
        <f>IF(SUM(C$72:C91)&gt;=C$58,0,C$58/C$62)</f>
        <v>0</v>
      </c>
      <c r="D92" s="89">
        <f>IF(SUM(D$72:D91)&gt;=D$58,0,D$58/D$62)</f>
        <v>0</v>
      </c>
      <c r="E92" s="89">
        <f>IF(SUM(E$72:E91)&gt;=E$58,0,E$58/E$62)</f>
        <v>0</v>
      </c>
      <c r="F92" s="89">
        <f>IF(SUM(F$72:F91)&gt;=F$58,0,F$58/F$62)</f>
        <v>0</v>
      </c>
      <c r="G92" s="89">
        <f>IF(SUM(G$72:G91)&gt;=G$58,0,G$58/G$62)</f>
        <v>0</v>
      </c>
      <c r="H92" s="89">
        <f>IF(SUM(H$72:H91)&gt;=H$58,0,H$58/H$62)</f>
        <v>0</v>
      </c>
      <c r="I92" s="89">
        <f>IF(SUM(I$72:I91)&gt;=I$58,0,I$58/I$62)</f>
        <v>0</v>
      </c>
      <c r="J92" s="89">
        <f>IF(SUM(J$72:J91)&gt;=J$58,0,J$58/J$62)</f>
        <v>0</v>
      </c>
      <c r="K92" s="89">
        <f>IF(SUM(K$72:K91)&gt;=K$58,0,K$58/K$62)</f>
        <v>0</v>
      </c>
      <c r="L92" s="89">
        <f>IF(SUM(L$72:L91)&gt;=L$58,0,L$58/L$62)</f>
        <v>0</v>
      </c>
      <c r="M92" s="89">
        <f>IF(SUM(M$72:M91)&gt;=M$58,0,M$58/M$62)</f>
        <v>0</v>
      </c>
      <c r="N92" s="133">
        <f>IF(SUM(N$72:N91)&gt;=N$58,0,N$58/N$62)</f>
        <v>0</v>
      </c>
      <c r="O92" s="133">
        <f>IF(SUM(O$72:O91)&gt;=O$58,0,O$58/O$62)</f>
        <v>0</v>
      </c>
      <c r="P92" s="133">
        <f>IF(SUM(P$72:P91)&gt;=P$58,0,P$58/P$62)</f>
        <v>0</v>
      </c>
      <c r="Q92" s="133">
        <f t="shared" si="88"/>
        <v>0</v>
      </c>
      <c r="R92" s="133">
        <f t="shared" si="88"/>
        <v>0</v>
      </c>
      <c r="S92" s="133">
        <f t="shared" si="90"/>
        <v>0</v>
      </c>
      <c r="T92" s="133">
        <f t="shared" si="90"/>
        <v>0</v>
      </c>
      <c r="U92" s="133">
        <f t="shared" si="90"/>
        <v>0</v>
      </c>
      <c r="V92" s="133">
        <f t="shared" si="90"/>
        <v>0</v>
      </c>
      <c r="W92" s="133">
        <f t="shared" si="81"/>
        <v>0</v>
      </c>
      <c r="X92" s="133">
        <f t="shared" si="82"/>
        <v>0</v>
      </c>
      <c r="Y92" s="133">
        <f t="shared" si="83"/>
        <v>0</v>
      </c>
      <c r="Z92" s="133">
        <f t="shared" si="83"/>
        <v>0</v>
      </c>
      <c r="AA92" s="133">
        <f t="shared" si="84"/>
        <v>0</v>
      </c>
      <c r="AB92" s="133">
        <f t="shared" si="85"/>
        <v>0</v>
      </c>
      <c r="AC92" s="133">
        <f t="shared" si="86"/>
        <v>0</v>
      </c>
      <c r="AD92" s="134"/>
    </row>
    <row r="93" spans="1:30" outlineLevel="1" x14ac:dyDescent="0.2">
      <c r="A93" s="16"/>
      <c r="B93" s="138" t="s">
        <v>433</v>
      </c>
      <c r="C93" s="89">
        <f>IF(SUM(C$72:C92)&gt;=C$58,0,C$58/C$62)</f>
        <v>0</v>
      </c>
      <c r="D93" s="89">
        <f>IF(SUM(D$72:D92)&gt;=D$58,0,D$58/D$62)</f>
        <v>0</v>
      </c>
      <c r="E93" s="89">
        <f>IF(SUM(E$72:E92)&gt;=E$58,0,E$58/E$62)</f>
        <v>0</v>
      </c>
      <c r="F93" s="89">
        <f>IF(SUM(F$72:F92)&gt;=F$58,0,F$58/F$62)</f>
        <v>0</v>
      </c>
      <c r="G93" s="89">
        <f>IF(SUM(G$72:G92)&gt;=G$58,0,G$58/G$62)</f>
        <v>0</v>
      </c>
      <c r="H93" s="89">
        <f>IF(SUM(H$72:H92)&gt;=H$58,0,H$58/H$62)</f>
        <v>0</v>
      </c>
      <c r="I93" s="89">
        <f>IF(SUM(I$72:I92)&gt;=I$58,0,I$58/I$62)</f>
        <v>0</v>
      </c>
      <c r="J93" s="89">
        <f>IF(SUM(J$72:J92)&gt;=J$58,0,J$58/J$62)</f>
        <v>0</v>
      </c>
      <c r="K93" s="89">
        <f>IF(SUM(K$72:K92)&gt;=K$58,0,K$58/K$62)</f>
        <v>0</v>
      </c>
      <c r="L93" s="89">
        <f>IF(SUM(L$72:L92)&gt;=L$58,0,L$58/L$62)</f>
        <v>0</v>
      </c>
      <c r="M93" s="89">
        <f>IF(SUM(M$72:M92)&gt;=M$58,0,M$58/M$62)</f>
        <v>0</v>
      </c>
      <c r="N93" s="133">
        <f>IF(SUM(N$72:N92)&gt;=N$58,0,N$58/N$62)</f>
        <v>0</v>
      </c>
      <c r="O93" s="133">
        <f>IF(SUM(O$72:O92)&gt;=O$58,0,O$58/O$62)</f>
        <v>0</v>
      </c>
      <c r="P93" s="133">
        <f>IF(SUM(P$72:P92)&gt;=P$58,0,P$58/P$62)</f>
        <v>0</v>
      </c>
      <c r="Q93" s="133">
        <f t="shared" si="88"/>
        <v>0</v>
      </c>
      <c r="R93" s="133">
        <f t="shared" si="88"/>
        <v>0</v>
      </c>
      <c r="S93" s="133">
        <f t="shared" si="90"/>
        <v>0</v>
      </c>
      <c r="T93" s="133">
        <f t="shared" si="90"/>
        <v>0</v>
      </c>
      <c r="U93" s="133">
        <f t="shared" si="90"/>
        <v>0</v>
      </c>
      <c r="V93" s="133">
        <f t="shared" si="90"/>
        <v>0</v>
      </c>
      <c r="W93" s="133">
        <f t="shared" si="81"/>
        <v>0</v>
      </c>
      <c r="X93" s="133">
        <f t="shared" si="82"/>
        <v>0</v>
      </c>
      <c r="Y93" s="133">
        <f t="shared" si="83"/>
        <v>0</v>
      </c>
      <c r="Z93" s="133">
        <f t="shared" si="83"/>
        <v>0</v>
      </c>
      <c r="AA93" s="133">
        <f t="shared" si="84"/>
        <v>0</v>
      </c>
      <c r="AB93" s="133">
        <f t="shared" si="85"/>
        <v>0</v>
      </c>
      <c r="AC93" s="133">
        <f t="shared" si="86"/>
        <v>0</v>
      </c>
      <c r="AD93" s="134"/>
    </row>
    <row r="94" spans="1:30" outlineLevel="1" x14ac:dyDescent="0.2">
      <c r="A94" s="16"/>
      <c r="B94" s="138" t="s">
        <v>434</v>
      </c>
      <c r="C94" s="89">
        <f>IF(SUM(C$72:C93)&gt;=C$58,0,C$58/C$62)</f>
        <v>0</v>
      </c>
      <c r="D94" s="89">
        <f>IF(SUM(D$72:D93)&gt;=D$58,0,D$58/D$62)</f>
        <v>0</v>
      </c>
      <c r="E94" s="89">
        <f>IF(SUM(E$72:E93)&gt;=E$58,0,E$58/E$62)</f>
        <v>0</v>
      </c>
      <c r="F94" s="89">
        <f>IF(SUM(F$72:F93)&gt;=F$58,0,F$58/F$62)</f>
        <v>0</v>
      </c>
      <c r="G94" s="89">
        <f>IF(SUM(G$72:G93)&gt;=G$58,0,G$58/G$62)</f>
        <v>0</v>
      </c>
      <c r="H94" s="89">
        <f>IF(SUM(H$72:H93)&gt;=H$58,0,H$58/H$62)</f>
        <v>0</v>
      </c>
      <c r="I94" s="89">
        <f>IF(SUM(I$72:I93)&gt;=I$58,0,I$58/I$62)</f>
        <v>0</v>
      </c>
      <c r="J94" s="89">
        <f>IF(SUM(J$72:J93)&gt;=J$58,0,J$58/J$62)</f>
        <v>0</v>
      </c>
      <c r="K94" s="89">
        <f>IF(SUM(K$72:K93)&gt;=K$58,0,K$58/K$62)</f>
        <v>0</v>
      </c>
      <c r="L94" s="89">
        <f>IF(SUM(L$72:L93)&gt;=L$58,0,L$58/L$62)</f>
        <v>0</v>
      </c>
      <c r="M94" s="89">
        <f>IF(SUM(M$72:M93)&gt;=M$58,0,M$58/M$62)</f>
        <v>0</v>
      </c>
      <c r="N94" s="133">
        <f>IF(SUM(N$72:N93)&gt;=N$58,0,N$58/N$62)</f>
        <v>0</v>
      </c>
      <c r="O94" s="133">
        <f>IF(SUM(O$72:O93)&gt;=O$58,0,O$58/O$62)</f>
        <v>0</v>
      </c>
      <c r="P94" s="133">
        <f>IF(SUM(P$72:P93)&gt;=P$58,0,P$58/P$62)</f>
        <v>0</v>
      </c>
      <c r="Q94" s="133">
        <f t="shared" si="88"/>
        <v>0</v>
      </c>
      <c r="R94" s="133">
        <f t="shared" si="88"/>
        <v>0</v>
      </c>
      <c r="S94" s="133">
        <f t="shared" si="90"/>
        <v>0</v>
      </c>
      <c r="T94" s="133">
        <f t="shared" si="90"/>
        <v>0</v>
      </c>
      <c r="U94" s="133">
        <f t="shared" si="90"/>
        <v>0</v>
      </c>
      <c r="V94" s="133">
        <f t="shared" si="90"/>
        <v>0</v>
      </c>
      <c r="W94" s="133">
        <f t="shared" si="81"/>
        <v>0</v>
      </c>
      <c r="X94" s="133">
        <f t="shared" si="82"/>
        <v>0</v>
      </c>
      <c r="Y94" s="133">
        <f t="shared" si="83"/>
        <v>0</v>
      </c>
      <c r="Z94" s="133">
        <f t="shared" si="83"/>
        <v>0</v>
      </c>
      <c r="AA94" s="133">
        <f t="shared" si="84"/>
        <v>0</v>
      </c>
      <c r="AB94" s="133">
        <f t="shared" si="85"/>
        <v>0</v>
      </c>
      <c r="AC94" s="133">
        <f t="shared" si="86"/>
        <v>0</v>
      </c>
      <c r="AD94" s="134"/>
    </row>
    <row r="95" spans="1:30" outlineLevel="1" x14ac:dyDescent="0.2">
      <c r="A95" s="16"/>
      <c r="B95" s="138" t="s">
        <v>435</v>
      </c>
      <c r="C95" s="89">
        <f>IF(SUM(C$72:C94)&gt;=C$58,0,C$58/C$62)</f>
        <v>0</v>
      </c>
      <c r="D95" s="89">
        <f>IF(SUM(D$72:D94)&gt;=D$58,0,D$58/D$62)</f>
        <v>0</v>
      </c>
      <c r="E95" s="89">
        <f>IF(SUM(E$72:E94)&gt;=E$58,0,E$58/E$62)</f>
        <v>0</v>
      </c>
      <c r="F95" s="89">
        <f>IF(SUM(F$72:F94)&gt;=F$58,0,F$58/F$62)</f>
        <v>0</v>
      </c>
      <c r="G95" s="89">
        <f>IF(SUM(G$72:G94)&gt;=G$58,0,G$58/G$62)</f>
        <v>0</v>
      </c>
      <c r="H95" s="89">
        <f>IF(SUM(H$72:H94)&gt;=H$58,0,H$58/H$62)</f>
        <v>0</v>
      </c>
      <c r="I95" s="89">
        <f>IF(SUM(I$72:I94)&gt;=I$58,0,I$58/I$62)</f>
        <v>0</v>
      </c>
      <c r="J95" s="89">
        <f>IF(SUM(J$72:J94)&gt;=J$58,0,J$58/J$62)</f>
        <v>0</v>
      </c>
      <c r="K95" s="89">
        <f>IF(SUM(K$72:K94)&gt;=K$58,0,K$58/K$62)</f>
        <v>0</v>
      </c>
      <c r="L95" s="89">
        <f>IF(SUM(L$72:L94)&gt;=L$58,0,L$58/L$62)</f>
        <v>0</v>
      </c>
      <c r="M95" s="89">
        <f>IF(SUM(M$72:M94)&gt;=M$58,0,M$58/M$62)</f>
        <v>0</v>
      </c>
      <c r="N95" s="133">
        <f>IF(SUM(N$72:N94)&gt;=N$58,0,N$58/N$62)</f>
        <v>0</v>
      </c>
      <c r="O95" s="133">
        <f>IF(SUM(O$72:O94)&gt;=O$58,0,O$58/O$62)</f>
        <v>0</v>
      </c>
      <c r="P95" s="133">
        <f>IF(SUM(P$72:P94)&gt;=P$58,0,P$58/P$62)</f>
        <v>0</v>
      </c>
      <c r="Q95" s="133">
        <f t="shared" si="88"/>
        <v>0</v>
      </c>
      <c r="R95" s="133">
        <f t="shared" si="88"/>
        <v>0</v>
      </c>
      <c r="S95" s="133">
        <f t="shared" si="90"/>
        <v>0</v>
      </c>
      <c r="T95" s="133">
        <f t="shared" si="90"/>
        <v>0</v>
      </c>
      <c r="U95" s="133">
        <f t="shared" si="90"/>
        <v>0</v>
      </c>
      <c r="V95" s="133">
        <f t="shared" si="90"/>
        <v>0</v>
      </c>
      <c r="W95" s="133">
        <f t="shared" si="81"/>
        <v>0</v>
      </c>
      <c r="X95" s="133">
        <f t="shared" si="82"/>
        <v>0</v>
      </c>
      <c r="Y95" s="133">
        <f t="shared" si="83"/>
        <v>0</v>
      </c>
      <c r="Z95" s="133">
        <f t="shared" si="83"/>
        <v>0</v>
      </c>
      <c r="AA95" s="133">
        <f t="shared" si="84"/>
        <v>0</v>
      </c>
      <c r="AB95" s="133">
        <f t="shared" si="85"/>
        <v>0</v>
      </c>
      <c r="AC95" s="133">
        <f t="shared" si="86"/>
        <v>0</v>
      </c>
      <c r="AD95" s="134"/>
    </row>
    <row r="96" spans="1:30" outlineLevel="1" x14ac:dyDescent="0.2">
      <c r="A96" s="16"/>
      <c r="B96" s="138" t="s">
        <v>436</v>
      </c>
      <c r="C96" s="89">
        <f>IF(SUM(C$72:C95)&gt;=C$58,0,C$58/C$62)</f>
        <v>0</v>
      </c>
      <c r="D96" s="89">
        <f>IF(SUM(D$72:D95)&gt;=D$58,0,D$58/D$62)</f>
        <v>0</v>
      </c>
      <c r="E96" s="89">
        <f>IF(SUM(E$72:E95)&gt;=E$58,0,E$58/E$62)</f>
        <v>0</v>
      </c>
      <c r="F96" s="89">
        <f>IF(SUM(F$72:F95)&gt;=F$58,0,F$58/F$62)</f>
        <v>0</v>
      </c>
      <c r="G96" s="89">
        <f>IF(SUM(G$72:G95)&gt;=G$58,0,G$58/G$62)</f>
        <v>0</v>
      </c>
      <c r="H96" s="89">
        <f>IF(SUM(H$72:H95)&gt;=H$58,0,H$58/H$62)</f>
        <v>0</v>
      </c>
      <c r="I96" s="89">
        <f>IF(SUM(I$72:I95)&gt;=I$58,0,I$58/I$62)</f>
        <v>0</v>
      </c>
      <c r="J96" s="89">
        <f>IF(SUM(J$72:J95)&gt;=J$58,0,J$58/J$62)</f>
        <v>0</v>
      </c>
      <c r="K96" s="89">
        <f>IF(SUM(K$72:K95)&gt;=K$58,0,K$58/K$62)</f>
        <v>0</v>
      </c>
      <c r="L96" s="89">
        <f>IF(SUM(L$72:L95)&gt;=L$58,0,L$58/L$62)</f>
        <v>0</v>
      </c>
      <c r="M96" s="89">
        <f>IF(SUM(M$72:M95)&gt;=M$58,0,M$58/M$62)</f>
        <v>0</v>
      </c>
      <c r="N96" s="133">
        <f>IF(SUM(N$72:N95)&gt;=N$58,0,N$58/N$62)</f>
        <v>0</v>
      </c>
      <c r="O96" s="133">
        <f>IF(SUM(O$72:O95)&gt;=O$58,0,O$58/O$62)</f>
        <v>0</v>
      </c>
      <c r="P96" s="133">
        <f>IF(SUM(P$72:P95)&gt;=P$58,0,P$58/P$62)</f>
        <v>0</v>
      </c>
      <c r="Q96" s="133">
        <f t="shared" si="88"/>
        <v>0</v>
      </c>
      <c r="R96" s="133">
        <f t="shared" si="88"/>
        <v>0</v>
      </c>
      <c r="S96" s="133">
        <f>R96*(1+S$54)</f>
        <v>0</v>
      </c>
      <c r="T96" s="133">
        <f>S96*(1+T$54)</f>
        <v>0</v>
      </c>
      <c r="U96" s="133">
        <f>T96*(1+U$54)</f>
        <v>0</v>
      </c>
      <c r="V96" s="133">
        <f>U96*(1+V$54)</f>
        <v>0</v>
      </c>
      <c r="W96" s="133">
        <f t="shared" si="81"/>
        <v>0</v>
      </c>
      <c r="X96" s="133">
        <f t="shared" si="82"/>
        <v>0</v>
      </c>
      <c r="Y96" s="133">
        <f t="shared" si="83"/>
        <v>0</v>
      </c>
      <c r="Z96" s="133">
        <f t="shared" si="83"/>
        <v>0</v>
      </c>
      <c r="AA96" s="133">
        <f t="shared" si="84"/>
        <v>0</v>
      </c>
      <c r="AB96" s="133">
        <f t="shared" si="85"/>
        <v>0</v>
      </c>
      <c r="AC96" s="133">
        <f t="shared" si="86"/>
        <v>0</v>
      </c>
      <c r="AD96" s="134"/>
    </row>
    <row r="97" spans="1:30" ht="11.45" customHeight="1" x14ac:dyDescent="0.2">
      <c r="A97" s="139"/>
      <c r="B97" s="140" t="s">
        <v>437</v>
      </c>
      <c r="C97" s="135"/>
      <c r="D97" s="135"/>
      <c r="E97" s="135"/>
      <c r="F97" s="135"/>
      <c r="G97" s="135"/>
      <c r="H97" s="135"/>
      <c r="I97" s="135"/>
      <c r="J97" s="135"/>
      <c r="K97" s="135"/>
      <c r="L97" s="135"/>
      <c r="M97" s="135"/>
      <c r="N97" s="135"/>
      <c r="O97" s="135"/>
      <c r="P97" s="141"/>
      <c r="Q97" s="141"/>
      <c r="R97" s="141"/>
      <c r="S97" s="142"/>
      <c r="T97" s="142"/>
      <c r="U97" s="142"/>
      <c r="V97" s="142"/>
      <c r="W97" s="142"/>
      <c r="X97" s="142"/>
      <c r="Y97" s="142"/>
      <c r="Z97" s="142"/>
      <c r="AA97" s="142"/>
      <c r="AB97" s="142"/>
      <c r="AC97" s="142"/>
      <c r="AD97" s="134"/>
    </row>
    <row r="98" spans="1:30" ht="11.45" customHeight="1" x14ac:dyDescent="0.2">
      <c r="A98" s="139"/>
      <c r="B98" s="140"/>
      <c r="C98" s="135"/>
      <c r="D98" s="135"/>
      <c r="E98" s="135"/>
      <c r="F98" s="135"/>
      <c r="G98" s="135"/>
      <c r="H98" s="135"/>
      <c r="I98" s="135"/>
      <c r="J98" s="135"/>
      <c r="K98" s="135"/>
      <c r="L98" s="135"/>
      <c r="M98" s="135"/>
      <c r="N98" s="135"/>
      <c r="O98" s="135"/>
      <c r="P98" s="141"/>
      <c r="Q98" s="141"/>
      <c r="R98" s="141"/>
      <c r="S98" s="142"/>
      <c r="T98" s="142"/>
      <c r="U98" s="142"/>
      <c r="V98" s="142"/>
      <c r="W98" s="142"/>
      <c r="X98" s="142"/>
      <c r="Y98" s="142"/>
      <c r="Z98" s="142"/>
      <c r="AA98" s="142"/>
      <c r="AB98" s="142"/>
      <c r="AC98" s="142"/>
      <c r="AD98" s="134"/>
    </row>
    <row r="99" spans="1:30" outlineLevel="1" x14ac:dyDescent="0.2">
      <c r="A99" s="139"/>
      <c r="B99" s="143"/>
      <c r="C99" s="144" t="s">
        <v>438</v>
      </c>
      <c r="D99" s="145"/>
      <c r="E99" s="145"/>
      <c r="F99" s="145"/>
      <c r="G99" s="145"/>
      <c r="H99" s="145"/>
      <c r="I99" s="145"/>
      <c r="J99" s="145"/>
      <c r="K99" s="145"/>
      <c r="L99" s="145"/>
      <c r="M99" s="145"/>
      <c r="N99" s="145"/>
      <c r="O99" s="145"/>
      <c r="P99" s="146"/>
      <c r="Q99" s="78"/>
      <c r="R99" s="146"/>
      <c r="S99" s="146"/>
      <c r="T99" s="146"/>
      <c r="U99" s="146"/>
      <c r="V99" s="146"/>
      <c r="W99" s="146"/>
      <c r="X99" s="146"/>
      <c r="Y99" s="146"/>
      <c r="Z99" s="146"/>
      <c r="AA99" s="146"/>
      <c r="AB99" s="146"/>
      <c r="AC99" s="146"/>
      <c r="AD99" s="134"/>
    </row>
    <row r="100" spans="1:30" ht="29.45" customHeight="1" outlineLevel="1" x14ac:dyDescent="0.2">
      <c r="A100" s="147" t="s">
        <v>439</v>
      </c>
      <c r="B100" s="46" t="s">
        <v>440</v>
      </c>
      <c r="C100" s="24">
        <f t="shared" ref="C100:AC100" si="91">C$3</f>
        <v>1996</v>
      </c>
      <c r="D100" s="24">
        <f t="shared" si="91"/>
        <v>1997</v>
      </c>
      <c r="E100" s="24">
        <f t="shared" si="91"/>
        <v>1998</v>
      </c>
      <c r="F100" s="24">
        <f t="shared" si="91"/>
        <v>1999</v>
      </c>
      <c r="G100" s="24">
        <f t="shared" si="91"/>
        <v>2000</v>
      </c>
      <c r="H100" s="24">
        <f t="shared" si="91"/>
        <v>2001</v>
      </c>
      <c r="I100" s="24">
        <f t="shared" si="91"/>
        <v>2002</v>
      </c>
      <c r="J100" s="24">
        <f t="shared" si="91"/>
        <v>2003</v>
      </c>
      <c r="K100" s="24">
        <f t="shared" si="91"/>
        <v>2004</v>
      </c>
      <c r="L100" s="24">
        <f t="shared" si="91"/>
        <v>2005</v>
      </c>
      <c r="M100" s="24">
        <f t="shared" si="91"/>
        <v>2006</v>
      </c>
      <c r="N100" s="24">
        <f t="shared" si="91"/>
        <v>2007</v>
      </c>
      <c r="O100" s="24">
        <f t="shared" si="91"/>
        <v>2008</v>
      </c>
      <c r="P100" s="24">
        <f t="shared" si="91"/>
        <v>2009</v>
      </c>
      <c r="Q100" s="24">
        <f t="shared" si="91"/>
        <v>2010</v>
      </c>
      <c r="R100" s="24">
        <f t="shared" si="91"/>
        <v>2011</v>
      </c>
      <c r="S100" s="24">
        <f t="shared" si="91"/>
        <v>2012</v>
      </c>
      <c r="T100" s="25">
        <f t="shared" si="91"/>
        <v>2013</v>
      </c>
      <c r="U100" s="25">
        <f t="shared" si="91"/>
        <v>2014</v>
      </c>
      <c r="V100" s="25">
        <f t="shared" si="91"/>
        <v>2015</v>
      </c>
      <c r="W100" s="25">
        <f t="shared" si="91"/>
        <v>2016</v>
      </c>
      <c r="X100" s="25">
        <f t="shared" si="91"/>
        <v>2017</v>
      </c>
      <c r="Y100" s="25">
        <f t="shared" si="91"/>
        <v>2018</v>
      </c>
      <c r="Z100" s="25">
        <f t="shared" si="91"/>
        <v>2019</v>
      </c>
      <c r="AA100" s="25">
        <f t="shared" si="91"/>
        <v>2020</v>
      </c>
      <c r="AB100" s="25">
        <f t="shared" si="91"/>
        <v>2021</v>
      </c>
      <c r="AC100" s="25">
        <f t="shared" si="91"/>
        <v>2022</v>
      </c>
      <c r="AD100" s="134"/>
    </row>
    <row r="101" spans="1:30" ht="11.45" customHeight="1" outlineLevel="1" x14ac:dyDescent="0.2">
      <c r="A101" s="148">
        <v>1</v>
      </c>
      <c r="B101" s="90" t="s">
        <v>441</v>
      </c>
      <c r="C101" s="149">
        <f t="shared" ref="C101:C130" si="92">C66/(POWER((1+$C$37),A101))</f>
        <v>46.176800748362957</v>
      </c>
      <c r="D101" s="150">
        <f t="shared" ref="D101:W101" si="93">(D66-C67)/(POWER((1+D$38),$A101))</f>
        <v>11.003499785984316</v>
      </c>
      <c r="E101" s="150">
        <f t="shared" si="93"/>
        <v>7.1065438444411573</v>
      </c>
      <c r="F101" s="150">
        <f t="shared" si="93"/>
        <v>13.286967886482454</v>
      </c>
      <c r="G101" s="150">
        <f t="shared" si="93"/>
        <v>12.546300693323211</v>
      </c>
      <c r="H101" s="150">
        <f t="shared" si="93"/>
        <v>10.172462806784788</v>
      </c>
      <c r="I101" s="150">
        <f t="shared" si="93"/>
        <v>26.708956637000547</v>
      </c>
      <c r="J101" s="150">
        <f t="shared" si="93"/>
        <v>25.227507270850936</v>
      </c>
      <c r="K101" s="150">
        <f t="shared" si="93"/>
        <v>17.566375832629692</v>
      </c>
      <c r="L101" s="150">
        <f t="shared" si="93"/>
        <v>23.766769865841045</v>
      </c>
      <c r="M101" s="150">
        <f t="shared" si="93"/>
        <v>41.169074873334566</v>
      </c>
      <c r="N101" s="150">
        <f t="shared" si="93"/>
        <v>40.670107930549037</v>
      </c>
      <c r="O101" s="150">
        <f t="shared" si="93"/>
        <v>32.158610980760187</v>
      </c>
      <c r="P101" s="150">
        <f t="shared" si="93"/>
        <v>48.803378695448139</v>
      </c>
      <c r="Q101" s="150">
        <f t="shared" si="93"/>
        <v>-204.59877991553259</v>
      </c>
      <c r="R101" s="150">
        <f t="shared" si="93"/>
        <v>30.185831525327799</v>
      </c>
      <c r="S101" s="150">
        <f t="shared" si="93"/>
        <v>28.299217054994809</v>
      </c>
      <c r="T101" s="150">
        <f t="shared" si="93"/>
        <v>23.002449550915642</v>
      </c>
      <c r="U101" s="150">
        <f t="shared" si="93"/>
        <v>23.189195482593963</v>
      </c>
      <c r="V101" s="150">
        <f t="shared" si="93"/>
        <v>23.377538640325341</v>
      </c>
      <c r="W101" s="150">
        <f t="shared" si="93"/>
        <v>23.611314026728593</v>
      </c>
      <c r="X101" s="150">
        <f t="shared" ref="X101:X130" si="94">(X66-W67)/(POWER((1+X$38),$A101))</f>
        <v>23.84742716699586</v>
      </c>
      <c r="Y101" s="150">
        <f t="shared" ref="Y101:Z130" si="95">(Y66-X67)/(POWER((1+Y$38),$A101))</f>
        <v>24.085901438665815</v>
      </c>
      <c r="Z101" s="150">
        <f t="shared" si="95"/>
        <v>24.326760453052508</v>
      </c>
      <c r="AA101" s="150">
        <f t="shared" ref="AA101:AA130" si="96">(AA66-Z67)/(POWER((1+AA$38),$A101))</f>
        <v>24.570028057583038</v>
      </c>
      <c r="AB101" s="150">
        <f t="shared" ref="AB101:AB130" si="97">(AB66-AA67)/(POWER((1+AB$38),$A101))</f>
        <v>24.815728338158827</v>
      </c>
      <c r="AC101" s="150">
        <f t="shared" ref="AC101:AC130" si="98">(AC66-AB67)/(POWER((1+AC$38),$A101))</f>
        <v>25.063885621540408</v>
      </c>
      <c r="AD101" s="134"/>
    </row>
    <row r="102" spans="1:30" ht="11.45" customHeight="1" outlineLevel="1" x14ac:dyDescent="0.2">
      <c r="A102" s="16">
        <v>2</v>
      </c>
      <c r="B102" s="16" t="str">
        <f t="shared" ref="B102:B130" si="99">"PV of Increase in forecast year "&amp;A101&amp;" lease commitments"</f>
        <v>PV of Increase in forecast year 1 lease commitments</v>
      </c>
      <c r="C102" s="149">
        <f t="shared" si="92"/>
        <v>49.593047015080145</v>
      </c>
      <c r="D102" s="150">
        <f t="shared" ref="D102:W102" si="100">(D67-C68)/(POWER((1+D$38),$A102))</f>
        <v>15.051675989966984</v>
      </c>
      <c r="E102" s="150">
        <f t="shared" si="100"/>
        <v>12.506622118333983</v>
      </c>
      <c r="F102" s="150">
        <f t="shared" si="100"/>
        <v>25.259060494020652</v>
      </c>
      <c r="G102" s="150">
        <f t="shared" si="100"/>
        <v>17.45898228376495</v>
      </c>
      <c r="H102" s="150">
        <f t="shared" si="100"/>
        <v>13.391004055831907</v>
      </c>
      <c r="I102" s="150">
        <f t="shared" si="100"/>
        <v>30.737968330910586</v>
      </c>
      <c r="J102" s="150">
        <f t="shared" si="100"/>
        <v>27.233372184963258</v>
      </c>
      <c r="K102" s="150">
        <f t="shared" si="100"/>
        <v>14.561549705181852</v>
      </c>
      <c r="L102" s="150">
        <f t="shared" si="100"/>
        <v>14.546586797481948</v>
      </c>
      <c r="M102" s="150">
        <f t="shared" si="100"/>
        <v>25.809697156947134</v>
      </c>
      <c r="N102" s="150">
        <f t="shared" si="100"/>
        <v>30.980623677513325</v>
      </c>
      <c r="O102" s="150">
        <f t="shared" si="100"/>
        <v>26.396773864657089</v>
      </c>
      <c r="P102" s="150">
        <f t="shared" si="100"/>
        <v>16.735808309813279</v>
      </c>
      <c r="Q102" s="150">
        <f t="shared" si="100"/>
        <v>-208.75718786451304</v>
      </c>
      <c r="R102" s="150">
        <f t="shared" si="100"/>
        <v>4.4491426995872727</v>
      </c>
      <c r="S102" s="150">
        <f t="shared" si="100"/>
        <v>8.8982853991745454</v>
      </c>
      <c r="T102" s="150">
        <f t="shared" si="100"/>
        <v>2.1160240533918424</v>
      </c>
      <c r="U102" s="150">
        <f t="shared" si="100"/>
        <v>2.1292292121444345</v>
      </c>
      <c r="V102" s="150">
        <f t="shared" si="100"/>
        <v>2.1425316483903183</v>
      </c>
      <c r="W102" s="150">
        <f t="shared" si="100"/>
        <v>2.1639569648742225</v>
      </c>
      <c r="X102" s="150">
        <f t="shared" si="94"/>
        <v>2.1855965345229609</v>
      </c>
      <c r="Y102" s="150">
        <f t="shared" si="95"/>
        <v>2.2074524998681713</v>
      </c>
      <c r="Z102" s="150">
        <f t="shared" si="95"/>
        <v>2.2295270248668473</v>
      </c>
      <c r="AA102" s="150">
        <f t="shared" si="96"/>
        <v>2.2518222951155531</v>
      </c>
      <c r="AB102" s="150">
        <f t="shared" si="97"/>
        <v>2.274340518066698</v>
      </c>
      <c r="AC102" s="150">
        <f t="shared" si="98"/>
        <v>2.297083923247369</v>
      </c>
      <c r="AD102" s="134"/>
    </row>
    <row r="103" spans="1:30" ht="11.45" customHeight="1" outlineLevel="1" x14ac:dyDescent="0.2">
      <c r="A103" s="16">
        <v>3</v>
      </c>
      <c r="B103" s="16" t="str">
        <f t="shared" si="99"/>
        <v>PV of Increase in forecast year 2 lease commitments</v>
      </c>
      <c r="C103" s="149">
        <f t="shared" si="92"/>
        <v>49.516560342098089</v>
      </c>
      <c r="D103" s="150">
        <f t="shared" ref="D103:W103" si="101">(D68-C69)/(POWER((1+D$38),$A103))</f>
        <v>19.965204607078157</v>
      </c>
      <c r="E103" s="150">
        <f t="shared" si="101"/>
        <v>20.679240806257965</v>
      </c>
      <c r="F103" s="150">
        <f t="shared" si="101"/>
        <v>38.1029703286844</v>
      </c>
      <c r="G103" s="150">
        <f t="shared" si="101"/>
        <v>26.861581399760777</v>
      </c>
      <c r="H103" s="150">
        <f t="shared" si="101"/>
        <v>28.302222755533094</v>
      </c>
      <c r="I103" s="150">
        <f t="shared" si="101"/>
        <v>49.49192464975296</v>
      </c>
      <c r="J103" s="150">
        <f t="shared" si="101"/>
        <v>38.620508111179056</v>
      </c>
      <c r="K103" s="150">
        <f t="shared" si="101"/>
        <v>26.599183392715396</v>
      </c>
      <c r="L103" s="150">
        <f t="shared" si="101"/>
        <v>19.55550295251107</v>
      </c>
      <c r="M103" s="150">
        <f t="shared" si="101"/>
        <v>33.010543103844526</v>
      </c>
      <c r="N103" s="150">
        <f t="shared" si="101"/>
        <v>36.342690850157382</v>
      </c>
      <c r="O103" s="150">
        <f t="shared" si="101"/>
        <v>46.090950949903913</v>
      </c>
      <c r="P103" s="150">
        <f t="shared" si="101"/>
        <v>14.053631419241064</v>
      </c>
      <c r="Q103" s="150">
        <f t="shared" si="101"/>
        <v>-190.9640504614521</v>
      </c>
      <c r="R103" s="150">
        <f t="shared" si="101"/>
        <v>4.1969084988088596</v>
      </c>
      <c r="S103" s="150">
        <f t="shared" si="101"/>
        <v>9.2331986973794908</v>
      </c>
      <c r="T103" s="150">
        <f t="shared" si="101"/>
        <v>2.7871838048861464</v>
      </c>
      <c r="U103" s="150">
        <f t="shared" si="101"/>
        <v>2.7993528702969779</v>
      </c>
      <c r="V103" s="150">
        <f t="shared" si="101"/>
        <v>2.8116043372156585</v>
      </c>
      <c r="W103" s="150">
        <f t="shared" si="101"/>
        <v>2.8397203805878344</v>
      </c>
      <c r="X103" s="150">
        <f t="shared" si="94"/>
        <v>2.8681175843937106</v>
      </c>
      <c r="Y103" s="150">
        <f t="shared" si="95"/>
        <v>2.8967987602376359</v>
      </c>
      <c r="Z103" s="150">
        <f t="shared" si="95"/>
        <v>2.9257667478399796</v>
      </c>
      <c r="AA103" s="150">
        <f t="shared" si="96"/>
        <v>2.9550244153183827</v>
      </c>
      <c r="AB103" s="150">
        <f t="shared" si="97"/>
        <v>2.9845746594715745</v>
      </c>
      <c r="AC103" s="150">
        <f t="shared" si="98"/>
        <v>3.014420406066316</v>
      </c>
      <c r="AD103" s="134"/>
    </row>
    <row r="104" spans="1:30" outlineLevel="1" x14ac:dyDescent="0.2">
      <c r="A104" s="16">
        <v>4</v>
      </c>
      <c r="B104" s="16" t="str">
        <f t="shared" si="99"/>
        <v>PV of Increase in forecast year 3 lease commitments</v>
      </c>
      <c r="C104" s="149">
        <f t="shared" si="92"/>
        <v>42.448032206013281</v>
      </c>
      <c r="D104" s="150">
        <f t="shared" ref="D104:W104" si="102">(D69-C70)/(POWER((1+D$38),$A104))</f>
        <v>18.275130514957475</v>
      </c>
      <c r="E104" s="150">
        <f t="shared" si="102"/>
        <v>17.780236431449296</v>
      </c>
      <c r="F104" s="150">
        <f t="shared" si="102"/>
        <v>34.365061998682222</v>
      </c>
      <c r="G104" s="150">
        <f t="shared" si="102"/>
        <v>21.247520943757731</v>
      </c>
      <c r="H104" s="150">
        <f t="shared" si="102"/>
        <v>29.354936227813329</v>
      </c>
      <c r="I104" s="150">
        <f t="shared" si="102"/>
        <v>44.947625531889415</v>
      </c>
      <c r="J104" s="150">
        <f t="shared" si="102"/>
        <v>37.999087077426772</v>
      </c>
      <c r="K104" s="150">
        <f t="shared" si="102"/>
        <v>25.950936165538064</v>
      </c>
      <c r="L104" s="150">
        <f t="shared" si="102"/>
        <v>18.997219435528223</v>
      </c>
      <c r="M104" s="150">
        <f t="shared" si="102"/>
        <v>29.733337385217215</v>
      </c>
      <c r="N104" s="150">
        <f t="shared" si="102"/>
        <v>31.59089687234594</v>
      </c>
      <c r="O104" s="150">
        <f t="shared" si="102"/>
        <v>45.025000056388727</v>
      </c>
      <c r="P104" s="150">
        <f t="shared" si="102"/>
        <v>11.6379756142444</v>
      </c>
      <c r="Q104" s="150">
        <f t="shared" si="102"/>
        <v>-177.67309437746451</v>
      </c>
      <c r="R104" s="150">
        <f t="shared" si="102"/>
        <v>3.1671793218065156</v>
      </c>
      <c r="S104" s="150">
        <f t="shared" si="102"/>
        <v>9.5015379654195478</v>
      </c>
      <c r="T104" s="150">
        <f t="shared" si="102"/>
        <v>4.1098686254412344</v>
      </c>
      <c r="U104" s="150">
        <f t="shared" si="102"/>
        <v>4.1201231508087863</v>
      </c>
      <c r="V104" s="150">
        <f t="shared" si="102"/>
        <v>4.1304605960555998</v>
      </c>
      <c r="W104" s="150">
        <f t="shared" si="102"/>
        <v>4.1717652020161626</v>
      </c>
      <c r="X104" s="150">
        <f t="shared" si="94"/>
        <v>4.2134828540363181</v>
      </c>
      <c r="Y104" s="150">
        <f t="shared" si="95"/>
        <v>4.2556176825766947</v>
      </c>
      <c r="Z104" s="150">
        <f t="shared" si="95"/>
        <v>4.2981738594024685</v>
      </c>
      <c r="AA104" s="150">
        <f t="shared" si="96"/>
        <v>4.3411555979964973</v>
      </c>
      <c r="AB104" s="150">
        <f t="shared" si="97"/>
        <v>4.3845671539764561</v>
      </c>
      <c r="AC104" s="150">
        <f t="shared" si="98"/>
        <v>4.4284128255162196</v>
      </c>
      <c r="AD104" s="134"/>
    </row>
    <row r="105" spans="1:30" outlineLevel="1" x14ac:dyDescent="0.2">
      <c r="A105" s="16">
        <v>5</v>
      </c>
      <c r="B105" s="16" t="str">
        <f t="shared" si="99"/>
        <v>PV of Increase in forecast year 4 lease commitments</v>
      </c>
      <c r="C105" s="149">
        <f t="shared" si="92"/>
        <v>36.337132525257964</v>
      </c>
      <c r="D105" s="150">
        <f t="shared" ref="D105:W105" si="103">(D70-C71)/(POWER((1+D$38),$A105))</f>
        <v>16.327540235309939</v>
      </c>
      <c r="E105" s="150">
        <f t="shared" si="103"/>
        <v>15.94769691154435</v>
      </c>
      <c r="F105" s="150">
        <f t="shared" si="103"/>
        <v>31.135802735114218</v>
      </c>
      <c r="G105" s="150">
        <f t="shared" si="103"/>
        <v>17.403346126776448</v>
      </c>
      <c r="H105" s="150">
        <f t="shared" si="103"/>
        <v>26.689704213998212</v>
      </c>
      <c r="I105" s="150">
        <f t="shared" si="103"/>
        <v>37.037153054938607</v>
      </c>
      <c r="J105" s="150">
        <f t="shared" si="103"/>
        <v>29.684154951514081</v>
      </c>
      <c r="K105" s="150">
        <f t="shared" si="103"/>
        <v>21.776520509702411</v>
      </c>
      <c r="L105" s="150">
        <f t="shared" si="103"/>
        <v>14.95473219436742</v>
      </c>
      <c r="M105" s="150">
        <f t="shared" si="103"/>
        <v>24.640058068364787</v>
      </c>
      <c r="N105" s="150">
        <f t="shared" si="103"/>
        <v>24.101695908392006</v>
      </c>
      <c r="O105" s="150">
        <f t="shared" si="103"/>
        <v>38.804174596157317</v>
      </c>
      <c r="P105" s="150">
        <f t="shared" si="103"/>
        <v>9.4662088525060035</v>
      </c>
      <c r="Q105" s="150">
        <f t="shared" si="103"/>
        <v>-168.9354195216456</v>
      </c>
      <c r="R105" s="150">
        <f t="shared" si="103"/>
        <v>0.74690579233244869</v>
      </c>
      <c r="S105" s="150">
        <f t="shared" si="103"/>
        <v>6.722152130992038</v>
      </c>
      <c r="T105" s="150">
        <f t="shared" si="103"/>
        <v>3.8139463666076412</v>
      </c>
      <c r="U105" s="150">
        <f t="shared" si="103"/>
        <v>3.8163400080269887</v>
      </c>
      <c r="V105" s="150">
        <f t="shared" si="103"/>
        <v>3.8188014113033666</v>
      </c>
      <c r="W105" s="150">
        <f t="shared" si="103"/>
        <v>3.8569894254164128</v>
      </c>
      <c r="X105" s="150">
        <f t="shared" si="94"/>
        <v>3.8955593196705762</v>
      </c>
      <c r="Y105" s="150">
        <f t="shared" si="95"/>
        <v>3.9345149128672836</v>
      </c>
      <c r="Z105" s="150">
        <f t="shared" si="95"/>
        <v>3.9738600619959539</v>
      </c>
      <c r="AA105" s="150">
        <f t="shared" si="96"/>
        <v>4.0135986626159088</v>
      </c>
      <c r="AB105" s="150">
        <f t="shared" si="97"/>
        <v>4.0537346492420703</v>
      </c>
      <c r="AC105" s="150">
        <f t="shared" si="98"/>
        <v>4.0942719957345082</v>
      </c>
      <c r="AD105" s="134"/>
    </row>
    <row r="106" spans="1:30" outlineLevel="1" x14ac:dyDescent="0.2">
      <c r="A106" s="16">
        <v>6</v>
      </c>
      <c r="B106" s="16" t="str">
        <f t="shared" si="99"/>
        <v>PV of Increase in forecast year 5 lease commitments</v>
      </c>
      <c r="C106" s="149">
        <f t="shared" si="92"/>
        <v>33.676762129744638</v>
      </c>
      <c r="D106" s="150">
        <f t="shared" ref="D106:W106" si="104">(D71-C72)/(POWER((1+D$38),$A106))</f>
        <v>16.970495863164384</v>
      </c>
      <c r="E106" s="150">
        <f t="shared" si="104"/>
        <v>16.807790805810775</v>
      </c>
      <c r="F106" s="150">
        <f t="shared" si="104"/>
        <v>30.28612077836388</v>
      </c>
      <c r="G106" s="150">
        <f t="shared" si="104"/>
        <v>22.046989312114835</v>
      </c>
      <c r="H106" s="150">
        <f t="shared" si="104"/>
        <v>27.637287255466916</v>
      </c>
      <c r="I106" s="150">
        <f t="shared" si="104"/>
        <v>38.513464429248415</v>
      </c>
      <c r="J106" s="150">
        <f t="shared" si="104"/>
        <v>30.531648307114661</v>
      </c>
      <c r="K106" s="150">
        <f t="shared" si="104"/>
        <v>31.706666706882373</v>
      </c>
      <c r="L106" s="150">
        <f t="shared" si="104"/>
        <v>28.592149362011071</v>
      </c>
      <c r="M106" s="150">
        <f t="shared" si="104"/>
        <v>23.633257554140329</v>
      </c>
      <c r="N106" s="150">
        <f t="shared" si="104"/>
        <v>31.797760399165881</v>
      </c>
      <c r="O106" s="150">
        <f t="shared" si="104"/>
        <v>43.036700124028279</v>
      </c>
      <c r="P106" s="150">
        <f t="shared" si="104"/>
        <v>21.345071399723565</v>
      </c>
      <c r="Q106" s="150">
        <f t="shared" si="104"/>
        <v>-155.13333642701963</v>
      </c>
      <c r="R106" s="150">
        <f t="shared" si="104"/>
        <v>-7.0115246867934182</v>
      </c>
      <c r="S106" s="150">
        <f t="shared" si="104"/>
        <v>-5.375123463295429</v>
      </c>
      <c r="T106" s="150">
        <f t="shared" si="104"/>
        <v>-3.4791554771120521</v>
      </c>
      <c r="U106" s="150">
        <f t="shared" si="104"/>
        <v>-3.4748537982048111</v>
      </c>
      <c r="V106" s="150">
        <f t="shared" si="104"/>
        <v>-3.4706297000470507</v>
      </c>
      <c r="W106" s="150">
        <f t="shared" si="104"/>
        <v>-3.5053359970475273</v>
      </c>
      <c r="X106" s="150">
        <f t="shared" si="94"/>
        <v>-3.5403893570179985</v>
      </c>
      <c r="Y106" s="150">
        <f t="shared" si="95"/>
        <v>-3.5757932505881813</v>
      </c>
      <c r="Z106" s="150">
        <f t="shared" si="95"/>
        <v>-3.6115511830940559</v>
      </c>
      <c r="AA106" s="150">
        <f t="shared" si="96"/>
        <v>-3.6476666949249763</v>
      </c>
      <c r="AB106" s="150">
        <f t="shared" si="97"/>
        <v>-3.6841433618742148</v>
      </c>
      <c r="AC106" s="150">
        <f t="shared" si="98"/>
        <v>-3.7209847954929347</v>
      </c>
      <c r="AD106" s="134"/>
    </row>
    <row r="107" spans="1:30" outlineLevel="1" x14ac:dyDescent="0.2">
      <c r="A107" s="16">
        <v>7</v>
      </c>
      <c r="B107" s="16" t="str">
        <f t="shared" si="99"/>
        <v>PV of Increase in forecast year 6 lease commitments</v>
      </c>
      <c r="C107" s="149">
        <f t="shared" si="92"/>
        <v>29.407036015269497</v>
      </c>
      <c r="D107" s="150">
        <f t="shared" ref="D107:W107" si="105">(D72-C73)/(POWER((1+D$38),$A107))</f>
        <v>14.265005489600512</v>
      </c>
      <c r="E107" s="150">
        <f t="shared" si="105"/>
        <v>14.262726427771184</v>
      </c>
      <c r="F107" s="150">
        <f t="shared" si="105"/>
        <v>23.380638112664162</v>
      </c>
      <c r="G107" s="150">
        <f t="shared" si="105"/>
        <v>17.806890456619481</v>
      </c>
      <c r="H107" s="150">
        <f t="shared" si="105"/>
        <v>22.820113315007568</v>
      </c>
      <c r="I107" s="150">
        <f t="shared" si="105"/>
        <v>32.175573565231815</v>
      </c>
      <c r="J107" s="150">
        <f t="shared" si="105"/>
        <v>18.097955694911423</v>
      </c>
      <c r="K107" s="150">
        <f t="shared" si="105"/>
        <v>14.766235132945928</v>
      </c>
      <c r="L107" s="150">
        <f t="shared" si="105"/>
        <v>25.280154361220347</v>
      </c>
      <c r="M107" s="150">
        <f t="shared" si="105"/>
        <v>12.132237422302607</v>
      </c>
      <c r="N107" s="150">
        <f t="shared" si="105"/>
        <v>22.349125693499051</v>
      </c>
      <c r="O107" s="150">
        <f t="shared" si="105"/>
        <v>30.620494621041942</v>
      </c>
      <c r="P107" s="150">
        <f t="shared" si="105"/>
        <v>17.467333952247479</v>
      </c>
      <c r="Q107" s="150">
        <f t="shared" si="105"/>
        <v>-138.57243551764216</v>
      </c>
      <c r="R107" s="150">
        <f t="shared" si="105"/>
        <v>2.4440794301214792</v>
      </c>
      <c r="S107" s="150">
        <f t="shared" si="105"/>
        <v>0</v>
      </c>
      <c r="T107" s="150">
        <f t="shared" si="105"/>
        <v>1.5011676020387412</v>
      </c>
      <c r="U107" s="150">
        <f t="shared" si="105"/>
        <v>1.4965185471379003</v>
      </c>
      <c r="V107" s="150">
        <f t="shared" si="105"/>
        <v>1.4919201306432759</v>
      </c>
      <c r="W107" s="150">
        <f t="shared" si="105"/>
        <v>1.5068393319497013</v>
      </c>
      <c r="X107" s="150">
        <f t="shared" si="94"/>
        <v>1.5219077252691995</v>
      </c>
      <c r="Y107" s="150">
        <f t="shared" si="95"/>
        <v>1.5371268025218825</v>
      </c>
      <c r="Z107" s="150">
        <f t="shared" si="95"/>
        <v>1.5524980705470979</v>
      </c>
      <c r="AA107" s="150">
        <f t="shared" si="96"/>
        <v>1.5680230512525646</v>
      </c>
      <c r="AB107" s="150">
        <f t="shared" si="97"/>
        <v>1.5837032817650962</v>
      </c>
      <c r="AC107" s="150">
        <f t="shared" si="98"/>
        <v>1.5995403145827596</v>
      </c>
      <c r="AD107" s="134"/>
    </row>
    <row r="108" spans="1:30" outlineLevel="1" x14ac:dyDescent="0.2">
      <c r="A108" s="16">
        <v>8</v>
      </c>
      <c r="B108" s="16" t="str">
        <f t="shared" si="99"/>
        <v>PV of Increase in forecast year 7 lease commitments</v>
      </c>
      <c r="C108" s="149">
        <f t="shared" si="92"/>
        <v>27.508920500719835</v>
      </c>
      <c r="D108" s="150">
        <f t="shared" ref="D108:W108" si="106">(D73-C74)/(POWER((1+D$38),$A108))</f>
        <v>13.340556251222527</v>
      </c>
      <c r="E108" s="150">
        <f t="shared" si="106"/>
        <v>13.338424884882967</v>
      </c>
      <c r="F108" s="150">
        <f t="shared" si="106"/>
        <v>21.826585243338464</v>
      </c>
      <c r="G108" s="150">
        <f t="shared" si="106"/>
        <v>16.912233314293363</v>
      </c>
      <c r="H108" s="150">
        <f t="shared" si="106"/>
        <v>21.624290073919806</v>
      </c>
      <c r="I108" s="150">
        <f t="shared" si="106"/>
        <v>30.463523542162296</v>
      </c>
      <c r="J108" s="150">
        <f t="shared" si="106"/>
        <v>16.979037146928814</v>
      </c>
      <c r="K108" s="150">
        <f t="shared" si="106"/>
        <v>13.853302498307464</v>
      </c>
      <c r="L108" s="150">
        <f t="shared" si="106"/>
        <v>23.717191444995166</v>
      </c>
      <c r="M108" s="150">
        <f t="shared" si="106"/>
        <v>11.383221450837501</v>
      </c>
      <c r="N108" s="150">
        <f t="shared" si="106"/>
        <v>20.975247014077006</v>
      </c>
      <c r="O108" s="150">
        <f t="shared" si="106"/>
        <v>28.738146054473901</v>
      </c>
      <c r="P108" s="150">
        <f t="shared" si="106"/>
        <v>16.393556032142168</v>
      </c>
      <c r="Q108" s="150">
        <f t="shared" si="106"/>
        <v>-130.05390475611651</v>
      </c>
      <c r="R108" s="150">
        <f t="shared" si="106"/>
        <v>2.3055178097551918</v>
      </c>
      <c r="S108" s="150">
        <f t="shared" si="106"/>
        <v>0</v>
      </c>
      <c r="T108" s="150">
        <f t="shared" si="106"/>
        <v>1.4008329425300283</v>
      </c>
      <c r="U108" s="150">
        <f t="shared" si="106"/>
        <v>1.3938931630112006</v>
      </c>
      <c r="V108" s="150">
        <f t="shared" si="106"/>
        <v>1.3870262690466248</v>
      </c>
      <c r="W108" s="150">
        <f t="shared" si="106"/>
        <v>1.4008965317370843</v>
      </c>
      <c r="X108" s="150">
        <f t="shared" si="94"/>
        <v>1.4149054970544561</v>
      </c>
      <c r="Y108" s="150">
        <f t="shared" si="95"/>
        <v>1.4290545520249924</v>
      </c>
      <c r="Z108" s="150">
        <f t="shared" si="95"/>
        <v>1.4433450975452393</v>
      </c>
      <c r="AA108" s="150">
        <f t="shared" si="96"/>
        <v>1.4577785485206876</v>
      </c>
      <c r="AB108" s="150">
        <f t="shared" si="97"/>
        <v>1.4723563340059</v>
      </c>
      <c r="AC108" s="150">
        <f t="shared" si="98"/>
        <v>1.4870798973459705</v>
      </c>
      <c r="AD108" s="134"/>
    </row>
    <row r="109" spans="1:30" outlineLevel="1" x14ac:dyDescent="0.2">
      <c r="A109" s="16">
        <v>9</v>
      </c>
      <c r="B109" s="16" t="str">
        <f t="shared" si="99"/>
        <v>PV of Increase in forecast year 8 lease commitments</v>
      </c>
      <c r="C109" s="149">
        <f t="shared" si="92"/>
        <v>25.73332132901762</v>
      </c>
      <c r="D109" s="150">
        <f t="shared" ref="D109:W109" si="107">(D74-C75)/(POWER((1+D$38),$A109))</f>
        <v>12.476016305901641</v>
      </c>
      <c r="E109" s="150">
        <f t="shared" si="107"/>
        <v>12.474023063588096</v>
      </c>
      <c r="F109" s="150">
        <f t="shared" si="107"/>
        <v>20.375826403415296</v>
      </c>
      <c r="G109" s="150">
        <f t="shared" si="107"/>
        <v>16.062525704524042</v>
      </c>
      <c r="H109" s="150">
        <f t="shared" si="107"/>
        <v>20.491130554268743</v>
      </c>
      <c r="I109" s="150">
        <f t="shared" si="107"/>
        <v>28.842571049197399</v>
      </c>
      <c r="J109" s="150">
        <f t="shared" si="107"/>
        <v>15.929296507110248</v>
      </c>
      <c r="K109" s="150">
        <f t="shared" si="107"/>
        <v>12.99681255118441</v>
      </c>
      <c r="L109" s="150">
        <f t="shared" si="107"/>
        <v>22.250859785153544</v>
      </c>
      <c r="M109" s="150">
        <f t="shared" si="107"/>
        <v>10.680447974139145</v>
      </c>
      <c r="N109" s="150">
        <f t="shared" si="107"/>
        <v>19.685825447280155</v>
      </c>
      <c r="O109" s="150">
        <f t="shared" si="107"/>
        <v>26.971512017338245</v>
      </c>
      <c r="P109" s="150">
        <f t="shared" si="107"/>
        <v>15.385786984647741</v>
      </c>
      <c r="Q109" s="150">
        <f t="shared" si="107"/>
        <v>-122.05903778143266</v>
      </c>
      <c r="R109" s="150">
        <f t="shared" si="107"/>
        <v>2.1748116307472802</v>
      </c>
      <c r="S109" s="150">
        <f t="shared" si="107"/>
        <v>0</v>
      </c>
      <c r="T109" s="150">
        <f t="shared" si="107"/>
        <v>1.3072044255500088</v>
      </c>
      <c r="U109" s="150">
        <f t="shared" si="107"/>
        <v>1.2983054260204452</v>
      </c>
      <c r="V109" s="150">
        <f t="shared" si="107"/>
        <v>1.2895072809265542</v>
      </c>
      <c r="W109" s="150">
        <f t="shared" si="107"/>
        <v>1.3024023537358134</v>
      </c>
      <c r="X109" s="150">
        <f t="shared" si="94"/>
        <v>1.3154263772731725</v>
      </c>
      <c r="Y109" s="150">
        <f t="shared" si="95"/>
        <v>1.3285806410458965</v>
      </c>
      <c r="Z109" s="150">
        <f t="shared" si="95"/>
        <v>1.3418664474563524</v>
      </c>
      <c r="AA109" s="150">
        <f t="shared" si="96"/>
        <v>1.3552851119309122</v>
      </c>
      <c r="AB109" s="150">
        <f t="shared" si="97"/>
        <v>1.3688379630502265</v>
      </c>
      <c r="AC109" s="150">
        <f t="shared" si="98"/>
        <v>1.3825263426807395</v>
      </c>
      <c r="AD109" s="134"/>
    </row>
    <row r="110" spans="1:30" outlineLevel="1" x14ac:dyDescent="0.2">
      <c r="A110" s="16">
        <v>10</v>
      </c>
      <c r="B110" s="16" t="str">
        <f t="shared" si="99"/>
        <v>PV of Increase in forecast year 9 lease commitments</v>
      </c>
      <c r="C110" s="149">
        <f t="shared" si="92"/>
        <v>24.072330522935101</v>
      </c>
      <c r="D110" s="150">
        <f t="shared" ref="D110:W110" si="108">(D75-C76)/(POWER((1+D$38),$A110))</f>
        <v>11.667503208560724</v>
      </c>
      <c r="E110" s="150">
        <f t="shared" si="108"/>
        <v>11.665639139091871</v>
      </c>
      <c r="F110" s="150">
        <f t="shared" si="108"/>
        <v>19.021495895645348</v>
      </c>
      <c r="G110" s="150">
        <f t="shared" si="108"/>
        <v>15.25550926443541</v>
      </c>
      <c r="H110" s="150">
        <f t="shared" si="108"/>
        <v>19.417351041664691</v>
      </c>
      <c r="I110" s="150">
        <f t="shared" si="108"/>
        <v>27.307868821432873</v>
      </c>
      <c r="J110" s="150">
        <f t="shared" si="108"/>
        <v>14.944456803743547</v>
      </c>
      <c r="K110" s="150">
        <f t="shared" si="108"/>
        <v>12.193275683632995</v>
      </c>
      <c r="L110" s="150">
        <f t="shared" si="108"/>
        <v>20.87518508786335</v>
      </c>
      <c r="M110" s="150">
        <f t="shared" si="108"/>
        <v>10.02106208870252</v>
      </c>
      <c r="N110" s="150">
        <f t="shared" si="108"/>
        <v>18.475669119925062</v>
      </c>
      <c r="O110" s="150">
        <f t="shared" si="108"/>
        <v>25.313479134057477</v>
      </c>
      <c r="P110" s="150">
        <f t="shared" si="108"/>
        <v>14.439969014216555</v>
      </c>
      <c r="Q110" s="150">
        <f t="shared" si="108"/>
        <v>-114.55564315479367</v>
      </c>
      <c r="R110" s="150">
        <f t="shared" si="108"/>
        <v>2.05151554640815</v>
      </c>
      <c r="S110" s="150">
        <f t="shared" si="108"/>
        <v>0</v>
      </c>
      <c r="T110" s="150">
        <f t="shared" si="108"/>
        <v>1.2198338276449399</v>
      </c>
      <c r="U110" s="150">
        <f t="shared" si="108"/>
        <v>1.2092727218725767</v>
      </c>
      <c r="V110" s="150">
        <f t="shared" si="108"/>
        <v>1.1988446539700677</v>
      </c>
      <c r="W110" s="150">
        <f t="shared" si="108"/>
        <v>1.2108331005097623</v>
      </c>
      <c r="X110" s="150">
        <f t="shared" si="94"/>
        <v>1.2229414315148608</v>
      </c>
      <c r="Y110" s="150">
        <f t="shared" si="95"/>
        <v>1.2351708458300024</v>
      </c>
      <c r="Z110" s="150">
        <f t="shared" si="95"/>
        <v>1.2475225542882995</v>
      </c>
      <c r="AA110" s="150">
        <f t="shared" si="96"/>
        <v>1.259997779831179</v>
      </c>
      <c r="AB110" s="150">
        <f t="shared" si="97"/>
        <v>1.2725977576294958</v>
      </c>
      <c r="AC110" s="150">
        <f t="shared" si="98"/>
        <v>1.2853237352058005</v>
      </c>
      <c r="AD110" s="134"/>
    </row>
    <row r="111" spans="1:30" outlineLevel="1" x14ac:dyDescent="0.2">
      <c r="A111" s="16">
        <v>11</v>
      </c>
      <c r="B111" s="16" t="str">
        <f t="shared" si="99"/>
        <v>PV of Increase in forecast year 10 lease commitments</v>
      </c>
      <c r="C111" s="149">
        <f t="shared" si="92"/>
        <v>22.518550535954255</v>
      </c>
      <c r="D111" s="150">
        <f t="shared" ref="D111:W111" si="109">(D76-C77)/(POWER((1+D$38),$A111))</f>
        <v>10.911386117488457</v>
      </c>
      <c r="E111" s="150">
        <f t="shared" si="109"/>
        <v>10.909642849767771</v>
      </c>
      <c r="F111" s="150">
        <f t="shared" si="109"/>
        <v>17.757184368600964</v>
      </c>
      <c r="G111" s="150">
        <f t="shared" si="109"/>
        <v>14.489039096244097</v>
      </c>
      <c r="H111" s="150">
        <f t="shared" si="109"/>
        <v>18.399839895446501</v>
      </c>
      <c r="I111" s="150">
        <f t="shared" si="109"/>
        <v>25.854827515085091</v>
      </c>
      <c r="J111" s="150">
        <f t="shared" si="109"/>
        <v>14.020505491831829</v>
      </c>
      <c r="K111" s="150">
        <f t="shared" si="109"/>
        <v>11.439418035118674</v>
      </c>
      <c r="L111" s="150">
        <f t="shared" si="109"/>
        <v>19.584562424114221</v>
      </c>
      <c r="M111" s="150">
        <f t="shared" si="109"/>
        <v>9.4023851460898076</v>
      </c>
      <c r="N111" s="150">
        <f t="shared" si="109"/>
        <v>17.339905321374996</v>
      </c>
      <c r="O111" s="150">
        <f t="shared" si="109"/>
        <v>23.757371313052534</v>
      </c>
      <c r="P111" s="150">
        <f t="shared" si="109"/>
        <v>13.552293772141299</v>
      </c>
      <c r="Q111" s="150">
        <f t="shared" si="109"/>
        <v>-107.51350835738495</v>
      </c>
      <c r="R111" s="150">
        <f t="shared" si="109"/>
        <v>1.9352094579833503</v>
      </c>
      <c r="S111" s="150">
        <f t="shared" si="109"/>
        <v>0</v>
      </c>
      <c r="T111" s="150">
        <f t="shared" si="109"/>
        <v>1.138302883606616</v>
      </c>
      <c r="U111" s="150">
        <f t="shared" si="109"/>
        <v>1.126345532073654</v>
      </c>
      <c r="V111" s="150">
        <f t="shared" si="109"/>
        <v>1.1145563314073841</v>
      </c>
      <c r="W111" s="150">
        <f t="shared" si="109"/>
        <v>1.1257018947214525</v>
      </c>
      <c r="X111" s="150">
        <f t="shared" si="94"/>
        <v>1.1369589136686677</v>
      </c>
      <c r="Y111" s="150">
        <f t="shared" si="95"/>
        <v>1.1483285028053478</v>
      </c>
      <c r="Z111" s="150">
        <f t="shared" si="95"/>
        <v>1.1598117878333989</v>
      </c>
      <c r="AA111" s="150">
        <f t="shared" si="96"/>
        <v>1.1714099057117295</v>
      </c>
      <c r="AB111" s="150">
        <f t="shared" si="97"/>
        <v>1.1831240047688514</v>
      </c>
      <c r="AC111" s="150">
        <f t="shared" si="98"/>
        <v>1.194955244816549</v>
      </c>
      <c r="AD111" s="134"/>
    </row>
    <row r="112" spans="1:30" outlineLevel="1" x14ac:dyDescent="0.2">
      <c r="A112" s="16">
        <v>12</v>
      </c>
      <c r="B112" s="16" t="str">
        <f t="shared" si="99"/>
        <v>PV of Increase in forecast year 11 lease commitments</v>
      </c>
      <c r="C112" s="149">
        <f t="shared" si="92"/>
        <v>21.06506130585057</v>
      </c>
      <c r="D112" s="150">
        <f t="shared" ref="D112:W112" si="110">(D77-C78)/(POWER((1+D$38),$A112))</f>
        <v>10.204269489085195</v>
      </c>
      <c r="E112" s="150">
        <f t="shared" si="110"/>
        <v>10.202639194508322</v>
      </c>
      <c r="F112" s="150">
        <f t="shared" si="110"/>
        <v>16.576908484504258</v>
      </c>
      <c r="G112" s="150">
        <f t="shared" si="110"/>
        <v>13.761078066524929</v>
      </c>
      <c r="H112" s="150">
        <f t="shared" si="110"/>
        <v>17.435648531646457</v>
      </c>
      <c r="I112" s="150">
        <f t="shared" si="110"/>
        <v>24.479101983606409</v>
      </c>
      <c r="J112" s="150">
        <f t="shared" si="110"/>
        <v>13.153678104730114</v>
      </c>
      <c r="K112" s="150">
        <f t="shared" si="110"/>
        <v>10.73216815378429</v>
      </c>
      <c r="L112" s="150">
        <f t="shared" si="110"/>
        <v>18.373733393483647</v>
      </c>
      <c r="M112" s="150">
        <f t="shared" si="110"/>
        <v>8.8219038713546727</v>
      </c>
      <c r="N112" s="150">
        <f t="shared" si="110"/>
        <v>16.273960883505392</v>
      </c>
      <c r="O112" s="150">
        <f t="shared" si="110"/>
        <v>22.296922865370746</v>
      </c>
      <c r="P112" s="150">
        <f t="shared" si="110"/>
        <v>12.719187022187983</v>
      </c>
      <c r="Q112" s="150">
        <f t="shared" si="110"/>
        <v>-100.9042781392632</v>
      </c>
      <c r="R112" s="150">
        <f t="shared" si="110"/>
        <v>1.8254970832783228</v>
      </c>
      <c r="S112" s="150">
        <f t="shared" si="110"/>
        <v>0</v>
      </c>
      <c r="T112" s="150">
        <f t="shared" si="110"/>
        <v>1.062221284130751</v>
      </c>
      <c r="U112" s="150">
        <f t="shared" si="110"/>
        <v>1.0491051643484959</v>
      </c>
      <c r="V112" s="150">
        <f t="shared" si="110"/>
        <v>1.0361941488970452</v>
      </c>
      <c r="W112" s="150">
        <f t="shared" si="110"/>
        <v>1.0465560903860105</v>
      </c>
      <c r="X112" s="150">
        <f t="shared" si="94"/>
        <v>1.0570216512898714</v>
      </c>
      <c r="Y112" s="150">
        <f t="shared" si="95"/>
        <v>1.0675918678027638</v>
      </c>
      <c r="Z112" s="150">
        <f t="shared" si="95"/>
        <v>1.078267786480789</v>
      </c>
      <c r="AA112" s="150">
        <f t="shared" si="96"/>
        <v>1.0890504643455938</v>
      </c>
      <c r="AB112" s="150">
        <f t="shared" si="97"/>
        <v>1.099940968989054</v>
      </c>
      <c r="AC112" s="150">
        <f t="shared" si="98"/>
        <v>1.1109403786789531</v>
      </c>
      <c r="AD112" s="134"/>
    </row>
    <row r="113" spans="1:30" outlineLevel="1" x14ac:dyDescent="0.2">
      <c r="A113" s="16">
        <v>13</v>
      </c>
      <c r="B113" s="16" t="str">
        <f t="shared" si="99"/>
        <v>PV of Increase in forecast year 12 lease commitments</v>
      </c>
      <c r="C113" s="149">
        <f t="shared" si="92"/>
        <v>19.705389434846186</v>
      </c>
      <c r="D113" s="150">
        <f t="shared" ref="D113:W113" si="111">(D78-C79)/(POWER((1+D$38),$A113))</f>
        <v>9.5429778292771683</v>
      </c>
      <c r="E113" s="150">
        <f t="shared" si="111"/>
        <v>9.5414531865755112</v>
      </c>
      <c r="F113" s="150">
        <f t="shared" si="111"/>
        <v>15.475082603159318</v>
      </c>
      <c r="G113" s="150">
        <f t="shared" si="111"/>
        <v>13.069691391893752</v>
      </c>
      <c r="H113" s="150">
        <f t="shared" si="111"/>
        <v>16.521982878467217</v>
      </c>
      <c r="I113" s="150">
        <f t="shared" si="111"/>
        <v>23.176578284043178</v>
      </c>
      <c r="J113" s="150">
        <f t="shared" si="111"/>
        <v>12.340442916530733</v>
      </c>
      <c r="K113" s="150">
        <f t="shared" si="111"/>
        <v>10.06864448239449</v>
      </c>
      <c r="L113" s="150">
        <f t="shared" si="111"/>
        <v>17.237764699768874</v>
      </c>
      <c r="M113" s="150">
        <f t="shared" si="111"/>
        <v>8.2772601532695376</v>
      </c>
      <c r="N113" s="150">
        <f t="shared" si="111"/>
        <v>15.27354376678122</v>
      </c>
      <c r="O113" s="150">
        <f t="shared" si="111"/>
        <v>20.926253275805486</v>
      </c>
      <c r="P113" s="150">
        <f t="shared" si="111"/>
        <v>11.937294248885953</v>
      </c>
      <c r="Q113" s="150">
        <f t="shared" si="111"/>
        <v>-94.701340346563299</v>
      </c>
      <c r="R113" s="150">
        <f t="shared" si="111"/>
        <v>1.7220046064317731</v>
      </c>
      <c r="S113" s="150">
        <f t="shared" si="111"/>
        <v>0</v>
      </c>
      <c r="T113" s="150">
        <f t="shared" si="111"/>
        <v>0.99122480730736107</v>
      </c>
      <c r="U113" s="150">
        <f t="shared" si="111"/>
        <v>0.97716163869926265</v>
      </c>
      <c r="V113" s="150">
        <f t="shared" si="111"/>
        <v>0.96334145161840323</v>
      </c>
      <c r="W113" s="150">
        <f t="shared" si="111"/>
        <v>0.97297486613458251</v>
      </c>
      <c r="X113" s="150">
        <f t="shared" si="94"/>
        <v>0.98270461479592897</v>
      </c>
      <c r="Y113" s="150">
        <f t="shared" si="95"/>
        <v>0.99253166094388257</v>
      </c>
      <c r="Z113" s="150">
        <f t="shared" si="95"/>
        <v>1.0024569775533192</v>
      </c>
      <c r="AA113" s="150">
        <f t="shared" si="96"/>
        <v>1.0124815473288495</v>
      </c>
      <c r="AB113" s="150">
        <f t="shared" si="97"/>
        <v>1.022606362802142</v>
      </c>
      <c r="AC113" s="150">
        <f t="shared" si="98"/>
        <v>1.0328324264301714</v>
      </c>
      <c r="AD113" s="134"/>
    </row>
    <row r="114" spans="1:30" outlineLevel="1" x14ac:dyDescent="0.2">
      <c r="A114" s="16">
        <v>14</v>
      </c>
      <c r="B114" s="16" t="str">
        <f t="shared" si="99"/>
        <v>PV of Increase in forecast year 13 lease commitments</v>
      </c>
      <c r="C114" s="149">
        <f t="shared" si="92"/>
        <v>18.433479359070336</v>
      </c>
      <c r="D114" s="150">
        <f t="shared" ref="D114:W114" si="112">(D79-C80)/(POWER((1+D$38),$A114))</f>
        <v>8.9245414331212256</v>
      </c>
      <c r="E114" s="150">
        <f t="shared" si="112"/>
        <v>8.9231155954838481</v>
      </c>
      <c r="F114" s="150">
        <f t="shared" si="112"/>
        <v>14.446492347982934</v>
      </c>
      <c r="G114" s="150">
        <f t="shared" si="112"/>
        <v>12.413041496717399</v>
      </c>
      <c r="H114" s="150">
        <f t="shared" si="112"/>
        <v>15.656195279510305</v>
      </c>
      <c r="I114" s="150">
        <f t="shared" si="112"/>
        <v>21.943361374780519</v>
      </c>
      <c r="J114" s="150">
        <f t="shared" si="112"/>
        <v>11.57748655270732</v>
      </c>
      <c r="K114" s="150">
        <f t="shared" si="112"/>
        <v>9.4461436179702485</v>
      </c>
      <c r="L114" s="150">
        <f t="shared" si="112"/>
        <v>16.172028051195113</v>
      </c>
      <c r="M114" s="150">
        <f t="shared" si="112"/>
        <v>7.7662414648804061</v>
      </c>
      <c r="N114" s="150">
        <f t="shared" si="112"/>
        <v>14.33462577830241</v>
      </c>
      <c r="O114" s="150">
        <f t="shared" si="112"/>
        <v>19.639843524923023</v>
      </c>
      <c r="P114" s="150">
        <f t="shared" si="112"/>
        <v>11.203467150526468</v>
      </c>
      <c r="Q114" s="150">
        <f t="shared" si="112"/>
        <v>-88.879718767304809</v>
      </c>
      <c r="R114" s="150">
        <f t="shared" si="112"/>
        <v>1.624379404237122</v>
      </c>
      <c r="S114" s="150">
        <f t="shared" si="112"/>
        <v>0</v>
      </c>
      <c r="T114" s="150">
        <f t="shared" si="112"/>
        <v>0.92497357499812072</v>
      </c>
      <c r="U114" s="150">
        <f t="shared" si="112"/>
        <v>0.91015171842986398</v>
      </c>
      <c r="V114" s="150">
        <f t="shared" si="112"/>
        <v>0.89561087890147872</v>
      </c>
      <c r="W114" s="150">
        <f t="shared" si="112"/>
        <v>0.90456698769048904</v>
      </c>
      <c r="X114" s="150">
        <f t="shared" si="94"/>
        <v>0.91361265756739451</v>
      </c>
      <c r="Y114" s="150">
        <f t="shared" si="95"/>
        <v>0.92274878414306316</v>
      </c>
      <c r="Z114" s="150">
        <f t="shared" si="95"/>
        <v>0.93197627198449173</v>
      </c>
      <c r="AA114" s="150">
        <f t="shared" si="96"/>
        <v>0.94129603470433398</v>
      </c>
      <c r="AB114" s="150">
        <f t="shared" si="97"/>
        <v>0.95070899505138107</v>
      </c>
      <c r="AC114" s="150">
        <f t="shared" si="98"/>
        <v>0.96021608500190225</v>
      </c>
      <c r="AD114" s="134"/>
    </row>
    <row r="115" spans="1:30" outlineLevel="1" x14ac:dyDescent="0.2">
      <c r="A115" s="16">
        <v>15</v>
      </c>
      <c r="B115" s="16" t="str">
        <f t="shared" si="99"/>
        <v>PV of Increase in forecast year 14 lease commitments</v>
      </c>
      <c r="C115" s="149">
        <f t="shared" si="92"/>
        <v>17.243666378924537</v>
      </c>
      <c r="D115" s="150">
        <f t="shared" ref="D115:W115" si="113">(D80-C81)/(POWER((1+D$38),$A115))</f>
        <v>8.3461830485600466</v>
      </c>
      <c r="E115" s="150">
        <f t="shared" si="113"/>
        <v>8.3448496128862626</v>
      </c>
      <c r="F115" s="150">
        <f t="shared" si="113"/>
        <v>13.486269929035602</v>
      </c>
      <c r="G115" s="150">
        <f t="shared" si="113"/>
        <v>11.789383129183589</v>
      </c>
      <c r="H115" s="150">
        <f t="shared" si="113"/>
        <v>14.835776821292812</v>
      </c>
      <c r="I115" s="150">
        <f t="shared" si="113"/>
        <v>20.775763467885358</v>
      </c>
      <c r="J115" s="150">
        <f t="shared" si="113"/>
        <v>10.861700490390582</v>
      </c>
      <c r="K115" s="150">
        <f t="shared" si="113"/>
        <v>8.8621292972795285</v>
      </c>
      <c r="L115" s="150">
        <f t="shared" si="113"/>
        <v>15.172181303307173</v>
      </c>
      <c r="M115" s="150">
        <f t="shared" si="113"/>
        <v>7.2867718754742024</v>
      </c>
      <c r="N115" s="150">
        <f t="shared" si="113"/>
        <v>13.453426352231261</v>
      </c>
      <c r="O115" s="150">
        <f t="shared" si="113"/>
        <v>18.43251386665699</v>
      </c>
      <c r="P115" s="150">
        <f t="shared" si="113"/>
        <v>10.514750962483779</v>
      </c>
      <c r="Q115" s="150">
        <f t="shared" si="113"/>
        <v>-83.415972564340507</v>
      </c>
      <c r="R115" s="150">
        <f t="shared" si="113"/>
        <v>1.532288844672316</v>
      </c>
      <c r="S115" s="150">
        <f t="shared" si="113"/>
        <v>0</v>
      </c>
      <c r="T115" s="150">
        <f t="shared" si="113"/>
        <v>0.86315042575352452</v>
      </c>
      <c r="U115" s="150">
        <f t="shared" si="113"/>
        <v>0.84773707619500671</v>
      </c>
      <c r="V115" s="150">
        <f t="shared" si="113"/>
        <v>0.83264230461497157</v>
      </c>
      <c r="W115" s="150">
        <f t="shared" si="113"/>
        <v>0.84096872766111719</v>
      </c>
      <c r="X115" s="150">
        <f t="shared" si="94"/>
        <v>0.84937841493772892</v>
      </c>
      <c r="Y115" s="150">
        <f t="shared" si="95"/>
        <v>0.85787219908710122</v>
      </c>
      <c r="Z115" s="150">
        <f t="shared" si="95"/>
        <v>0.86645092107797039</v>
      </c>
      <c r="AA115" s="150">
        <f t="shared" si="96"/>
        <v>0.87511543028874761</v>
      </c>
      <c r="AB115" s="150">
        <f t="shared" si="97"/>
        <v>0.88386658459163847</v>
      </c>
      <c r="AC115" s="150">
        <f t="shared" si="98"/>
        <v>0.89270525043756177</v>
      </c>
      <c r="AD115" s="134"/>
    </row>
    <row r="116" spans="1:30" outlineLevel="1" x14ac:dyDescent="0.2">
      <c r="A116" s="16">
        <v>16</v>
      </c>
      <c r="B116" s="16" t="str">
        <f t="shared" si="99"/>
        <v>PV of Increase in forecast year 15 lease commitments</v>
      </c>
      <c r="C116" s="149">
        <f t="shared" si="92"/>
        <v>16.130651430238114</v>
      </c>
      <c r="D116" s="150">
        <f t="shared" ref="D116:W116" si="114">(D81-C82)/(POWER((1+D$38),$A116))</f>
        <v>7.8053054044379016</v>
      </c>
      <c r="E116" s="150">
        <f t="shared" si="114"/>
        <v>7.8040583825824621</v>
      </c>
      <c r="F116" s="150">
        <f t="shared" si="114"/>
        <v>12.589871106269232</v>
      </c>
      <c r="G116" s="150">
        <f t="shared" si="114"/>
        <v>11.197058722750109</v>
      </c>
      <c r="H116" s="150">
        <f t="shared" si="114"/>
        <v>14.058350062818928</v>
      </c>
      <c r="I116" s="150">
        <f t="shared" si="114"/>
        <v>19.670293001216969</v>
      </c>
      <c r="J116" s="150">
        <f t="shared" si="114"/>
        <v>10.190168393273837</v>
      </c>
      <c r="K116" s="150">
        <f t="shared" si="114"/>
        <v>8.314222063307561</v>
      </c>
      <c r="L116" s="150">
        <f t="shared" si="114"/>
        <v>14.234150767714768</v>
      </c>
      <c r="M116" s="150">
        <f t="shared" si="114"/>
        <v>6.8369036174462412</v>
      </c>
      <c r="N116" s="150">
        <f t="shared" si="114"/>
        <v>12.626397327293533</v>
      </c>
      <c r="O116" s="150">
        <f t="shared" si="114"/>
        <v>17.299402971991544</v>
      </c>
      <c r="P116" s="150">
        <f t="shared" si="114"/>
        <v>9.8683725598158407</v>
      </c>
      <c r="Q116" s="150">
        <f t="shared" si="114"/>
        <v>-78.288101890511967</v>
      </c>
      <c r="R116" s="150">
        <f t="shared" si="114"/>
        <v>1.4454191535443028</v>
      </c>
      <c r="S116" s="150">
        <f t="shared" si="114"/>
        <v>0</v>
      </c>
      <c r="T116" s="150">
        <f t="shared" si="114"/>
        <v>0.8054593964806015</v>
      </c>
      <c r="U116" s="150">
        <f t="shared" si="114"/>
        <v>0.78960258581441989</v>
      </c>
      <c r="V116" s="150">
        <f t="shared" si="114"/>
        <v>0.77410092236139127</v>
      </c>
      <c r="W116" s="150">
        <f t="shared" si="114"/>
        <v>0.78184193158500137</v>
      </c>
      <c r="X116" s="150">
        <f t="shared" si="94"/>
        <v>0.78966035090085196</v>
      </c>
      <c r="Y116" s="150">
        <f t="shared" si="95"/>
        <v>0.79755695440985586</v>
      </c>
      <c r="Z116" s="150">
        <f t="shared" si="95"/>
        <v>0.80553252395395269</v>
      </c>
      <c r="AA116" s="150">
        <f t="shared" si="96"/>
        <v>0.81358784919348992</v>
      </c>
      <c r="AB116" s="150">
        <f t="shared" si="97"/>
        <v>0.82172372768542801</v>
      </c>
      <c r="AC116" s="150">
        <f t="shared" si="98"/>
        <v>0.82994096496228864</v>
      </c>
      <c r="AD116" s="134"/>
    </row>
    <row r="117" spans="1:30" outlineLevel="1" x14ac:dyDescent="0.2">
      <c r="A117" s="16">
        <v>17</v>
      </c>
      <c r="B117" s="16" t="str">
        <f t="shared" si="99"/>
        <v>PV of Increase in forecast year 16 lease commitments</v>
      </c>
      <c r="C117" s="149">
        <f t="shared" si="92"/>
        <v>15.089477483852303</v>
      </c>
      <c r="D117" s="150">
        <f t="shared" ref="D117:W117" si="115">(D82-C83)/(POWER((1+D$38),$A117))</f>
        <v>7.2994795467681985</v>
      </c>
      <c r="E117" s="150">
        <f t="shared" si="115"/>
        <v>7.2983133386499386</v>
      </c>
      <c r="F117" s="150">
        <f t="shared" si="115"/>
        <v>11.753053683970531</v>
      </c>
      <c r="G117" s="150">
        <f t="shared" si="115"/>
        <v>10.634493990644989</v>
      </c>
      <c r="H117" s="150">
        <f t="shared" si="115"/>
        <v>13.321662146137523</v>
      </c>
      <c r="I117" s="150">
        <f t="shared" si="115"/>
        <v>18.623644197327181</v>
      </c>
      <c r="J117" s="150">
        <f t="shared" si="115"/>
        <v>9.5601542295467077</v>
      </c>
      <c r="K117" s="150">
        <f t="shared" si="115"/>
        <v>7.8001895706047089</v>
      </c>
      <c r="L117" s="150">
        <f t="shared" si="115"/>
        <v>13.354114614611847</v>
      </c>
      <c r="M117" s="150">
        <f t="shared" si="115"/>
        <v>6.4148091738095712</v>
      </c>
      <c r="N117" s="150">
        <f t="shared" si="115"/>
        <v>11.850208660059627</v>
      </c>
      <c r="O117" s="150">
        <f t="shared" si="115"/>
        <v>16.235948354755084</v>
      </c>
      <c r="P117" s="150">
        <f t="shared" si="115"/>
        <v>9.2617292912396429</v>
      </c>
      <c r="Q117" s="150">
        <f t="shared" si="115"/>
        <v>-73.475459305970872</v>
      </c>
      <c r="R117" s="150">
        <f t="shared" si="115"/>
        <v>1.3634743453865699</v>
      </c>
      <c r="S117" s="150">
        <f t="shared" si="115"/>
        <v>0</v>
      </c>
      <c r="T117" s="150">
        <f t="shared" si="115"/>
        <v>0.75162430559253612</v>
      </c>
      <c r="U117" s="150">
        <f t="shared" si="115"/>
        <v>0.73545473122777494</v>
      </c>
      <c r="V117" s="150">
        <f t="shared" si="115"/>
        <v>0.7196754652982138</v>
      </c>
      <c r="W117" s="150">
        <f t="shared" si="115"/>
        <v>0.72687221995119244</v>
      </c>
      <c r="X117" s="150">
        <f t="shared" si="94"/>
        <v>0.73414094215070491</v>
      </c>
      <c r="Y117" s="150">
        <f t="shared" si="95"/>
        <v>0.74148235157220765</v>
      </c>
      <c r="Z117" s="150">
        <f t="shared" si="95"/>
        <v>0.74889717508792808</v>
      </c>
      <c r="AA117" s="150">
        <f t="shared" si="96"/>
        <v>0.75638614683880523</v>
      </c>
      <c r="AB117" s="150">
        <f t="shared" si="97"/>
        <v>0.76395000830719617</v>
      </c>
      <c r="AC117" s="150">
        <f t="shared" si="98"/>
        <v>0.77158950839027407</v>
      </c>
      <c r="AD117" s="134"/>
    </row>
    <row r="118" spans="1:30" outlineLevel="1" x14ac:dyDescent="0.2">
      <c r="A118" s="16">
        <v>18</v>
      </c>
      <c r="B118" s="16" t="str">
        <f t="shared" si="99"/>
        <v>PV of Increase in forecast year 17 lease commitments</v>
      </c>
      <c r="C118" s="149">
        <f t="shared" si="92"/>
        <v>14.115507468524138</v>
      </c>
      <c r="D118" s="150">
        <f t="shared" ref="D118:W118" si="116">(D83-C84)/(POWER((1+D$38),$A118))</f>
        <v>6.8264339308737654</v>
      </c>
      <c r="E118" s="150">
        <f t="shared" si="116"/>
        <v>6.8253432993269625</v>
      </c>
      <c r="F118" s="150">
        <f t="shared" si="116"/>
        <v>10.971857434625218</v>
      </c>
      <c r="G118" s="150">
        <f t="shared" si="116"/>
        <v>10.100193741708605</v>
      </c>
      <c r="H118" s="150">
        <f t="shared" si="116"/>
        <v>12.623578267921468</v>
      </c>
      <c r="I118" s="150">
        <f t="shared" si="116"/>
        <v>17.632687177927647</v>
      </c>
      <c r="J118" s="150">
        <f t="shared" si="116"/>
        <v>8.9690911244457325</v>
      </c>
      <c r="K118" s="150">
        <f t="shared" si="116"/>
        <v>7.3179374900128611</v>
      </c>
      <c r="L118" s="150">
        <f t="shared" si="116"/>
        <v>12.528487301446519</v>
      </c>
      <c r="M118" s="150">
        <f t="shared" si="116"/>
        <v>109.93632380237752</v>
      </c>
      <c r="N118" s="150">
        <f t="shared" si="116"/>
        <v>11.121735016480176</v>
      </c>
      <c r="O118" s="150">
        <f t="shared" si="116"/>
        <v>15.237868000708666</v>
      </c>
      <c r="P118" s="150">
        <f t="shared" si="116"/>
        <v>8.6923784995210163</v>
      </c>
      <c r="Q118" s="150">
        <f t="shared" si="116"/>
        <v>-68.958666640986266</v>
      </c>
      <c r="R118" s="150">
        <f t="shared" si="116"/>
        <v>1.28617521496705</v>
      </c>
      <c r="S118" s="150">
        <f t="shared" si="116"/>
        <v>0</v>
      </c>
      <c r="T118" s="150">
        <f t="shared" si="116"/>
        <v>0.70138743085737643</v>
      </c>
      <c r="U118" s="150">
        <f t="shared" si="116"/>
        <v>0.6850201245572477</v>
      </c>
      <c r="V118" s="150">
        <f t="shared" si="116"/>
        <v>0.66907655111978037</v>
      </c>
      <c r="W118" s="150">
        <f t="shared" si="116"/>
        <v>0.67576731663097489</v>
      </c>
      <c r="X118" s="150">
        <f t="shared" si="94"/>
        <v>0.68252498979728504</v>
      </c>
      <c r="Y118" s="150">
        <f t="shared" si="95"/>
        <v>0.689350239695254</v>
      </c>
      <c r="Z118" s="150">
        <f t="shared" si="95"/>
        <v>0.69624374209220496</v>
      </c>
      <c r="AA118" s="150">
        <f t="shared" si="96"/>
        <v>0.70320617951312503</v>
      </c>
      <c r="AB118" s="150">
        <f t="shared" si="97"/>
        <v>0.71023824130825908</v>
      </c>
      <c r="AC118" s="150">
        <f t="shared" si="98"/>
        <v>0.7173406237213471</v>
      </c>
      <c r="AD118" s="134"/>
    </row>
    <row r="119" spans="1:30" outlineLevel="1" x14ac:dyDescent="0.2">
      <c r="A119" s="16">
        <v>19</v>
      </c>
      <c r="B119" s="16" t="str">
        <f t="shared" si="99"/>
        <v>PV of Increase in forecast year 18 lease commitments</v>
      </c>
      <c r="C119" s="149">
        <f t="shared" si="92"/>
        <v>13.2044036188252</v>
      </c>
      <c r="D119" s="150">
        <f t="shared" ref="D119:W119" si="117">(D84-C85)/(POWER((1+D$38),$A119))</f>
        <v>6.3840442204152232</v>
      </c>
      <c r="E119" s="150">
        <f t="shared" si="117"/>
        <v>6.3830242676707183</v>
      </c>
      <c r="F119" s="150">
        <f t="shared" si="117"/>
        <v>10.242585357193072</v>
      </c>
      <c r="G119" s="150">
        <f t="shared" si="117"/>
        <v>9.5927379064570282</v>
      </c>
      <c r="H119" s="150">
        <f t="shared" si="117"/>
        <v>68.027282916931426</v>
      </c>
      <c r="I119" s="150">
        <f t="shared" si="117"/>
        <v>83.628777712738753</v>
      </c>
      <c r="J119" s="150">
        <f t="shared" si="117"/>
        <v>78.708863900633887</v>
      </c>
      <c r="K119" s="150">
        <f t="shared" si="117"/>
        <v>85.574364876347232</v>
      </c>
      <c r="L119" s="150">
        <f t="shared" si="117"/>
        <v>0</v>
      </c>
      <c r="M119" s="150">
        <f t="shared" si="117"/>
        <v>103.14911221840636</v>
      </c>
      <c r="N119" s="150">
        <f t="shared" si="117"/>
        <v>114.1403625363188</v>
      </c>
      <c r="O119" s="150">
        <f t="shared" si="117"/>
        <v>128.44150566227719</v>
      </c>
      <c r="P119" s="150">
        <f t="shared" si="117"/>
        <v>8.1580276860826046</v>
      </c>
      <c r="Q119" s="150">
        <f t="shared" si="117"/>
        <v>-64.719536969484977</v>
      </c>
      <c r="R119" s="150">
        <f t="shared" si="117"/>
        <v>1.2132583859702386</v>
      </c>
      <c r="S119" s="150">
        <f t="shared" si="117"/>
        <v>0</v>
      </c>
      <c r="T119" s="150">
        <f t="shared" si="117"/>
        <v>0.65450827561635505</v>
      </c>
      <c r="U119" s="150">
        <f t="shared" si="117"/>
        <v>0.63804412579555025</v>
      </c>
      <c r="V119" s="150">
        <f t="shared" si="117"/>
        <v>0.62203514340014432</v>
      </c>
      <c r="W119" s="150">
        <f t="shared" si="117"/>
        <v>0.62825549483414267</v>
      </c>
      <c r="X119" s="150">
        <f t="shared" si="94"/>
        <v>0.63453804978248451</v>
      </c>
      <c r="Y119" s="150">
        <f t="shared" si="95"/>
        <v>0.6408834302803057</v>
      </c>
      <c r="Z119" s="150">
        <f t="shared" si="95"/>
        <v>0.64729226458310729</v>
      </c>
      <c r="AA119" s="150">
        <f t="shared" si="96"/>
        <v>0.65376518722893651</v>
      </c>
      <c r="AB119" s="150">
        <f t="shared" si="97"/>
        <v>0.66030283910122844</v>
      </c>
      <c r="AC119" s="150">
        <f t="shared" si="98"/>
        <v>0.6669058674922459</v>
      </c>
      <c r="AD119" s="134"/>
    </row>
    <row r="120" spans="1:30" outlineLevel="1" x14ac:dyDescent="0.2">
      <c r="A120" s="16">
        <f t="shared" ref="A120:A130" si="118">A119+1</f>
        <v>20</v>
      </c>
      <c r="B120" s="16" t="str">
        <f t="shared" si="99"/>
        <v>PV of Increase in forecast year 19 lease commitments</v>
      </c>
      <c r="C120" s="149">
        <f t="shared" si="92"/>
        <v>12.352108156057252</v>
      </c>
      <c r="D120" s="150">
        <f t="shared" ref="D120:W120" si="119">(D85-C86)/(POWER((1+D$38),$A120))</f>
        <v>18.254190466688375</v>
      </c>
      <c r="E120" s="150">
        <f t="shared" si="119"/>
        <v>24.223560359876153</v>
      </c>
      <c r="F120" s="150">
        <f t="shared" si="119"/>
        <v>32.938679229827429</v>
      </c>
      <c r="G120" s="150">
        <f t="shared" si="119"/>
        <v>0</v>
      </c>
      <c r="H120" s="150">
        <f t="shared" si="119"/>
        <v>0</v>
      </c>
      <c r="I120" s="150">
        <f t="shared" si="119"/>
        <v>0</v>
      </c>
      <c r="J120" s="150">
        <f t="shared" si="119"/>
        <v>0</v>
      </c>
      <c r="K120" s="150">
        <f t="shared" si="119"/>
        <v>0</v>
      </c>
      <c r="L120" s="150">
        <f t="shared" si="119"/>
        <v>0</v>
      </c>
      <c r="M120" s="150">
        <f t="shared" si="119"/>
        <v>0</v>
      </c>
      <c r="N120" s="150">
        <f t="shared" si="119"/>
        <v>0</v>
      </c>
      <c r="O120" s="150">
        <f t="shared" si="119"/>
        <v>120.54575848172425</v>
      </c>
      <c r="P120" s="150">
        <f t="shared" si="119"/>
        <v>7.6565252802276893</v>
      </c>
      <c r="Q120" s="150">
        <f t="shared" si="119"/>
        <v>67.461282382801329</v>
      </c>
      <c r="R120" s="150">
        <f t="shared" si="119"/>
        <v>75.821496151805221</v>
      </c>
      <c r="S120" s="150">
        <f t="shared" si="119"/>
        <v>75.821496151805221</v>
      </c>
      <c r="T120" s="150">
        <f t="shared" si="119"/>
        <v>61.687004164004975</v>
      </c>
      <c r="U120" s="150">
        <f t="shared" si="119"/>
        <v>60.023245272185846</v>
      </c>
      <c r="V120" s="150">
        <f t="shared" si="119"/>
        <v>58.408413232691913</v>
      </c>
      <c r="W120" s="150">
        <f t="shared" si="119"/>
        <v>58.992497365018835</v>
      </c>
      <c r="X120" s="150">
        <f t="shared" si="94"/>
        <v>59.582422338669026</v>
      </c>
      <c r="Y120" s="150">
        <f t="shared" si="95"/>
        <v>60.178246562055712</v>
      </c>
      <c r="Z120" s="150">
        <f t="shared" si="95"/>
        <v>60.780029027676264</v>
      </c>
      <c r="AA120" s="150">
        <f t="shared" si="96"/>
        <v>61.38782931795302</v>
      </c>
      <c r="AB120" s="150">
        <f t="shared" si="97"/>
        <v>62.001707611132552</v>
      </c>
      <c r="AC120" s="150">
        <f t="shared" si="98"/>
        <v>62.621724687243876</v>
      </c>
      <c r="AD120" s="134"/>
    </row>
    <row r="121" spans="1:30" outlineLevel="1" x14ac:dyDescent="0.2">
      <c r="A121" s="16">
        <f t="shared" si="118"/>
        <v>21</v>
      </c>
      <c r="B121" s="16" t="str">
        <f t="shared" si="99"/>
        <v>PV of Increase in forecast year 20 lease commitments</v>
      </c>
      <c r="C121" s="149">
        <f t="shared" si="92"/>
        <v>0</v>
      </c>
      <c r="D121" s="150">
        <f t="shared" ref="D121:W121" si="120">(D86-C87)/(POWER((1+D$38),$A121))</f>
        <v>0</v>
      </c>
      <c r="E121" s="150">
        <f t="shared" si="120"/>
        <v>0</v>
      </c>
      <c r="F121" s="150">
        <f t="shared" si="120"/>
        <v>0</v>
      </c>
      <c r="G121" s="150">
        <f t="shared" si="120"/>
        <v>0</v>
      </c>
      <c r="H121" s="150">
        <f t="shared" si="120"/>
        <v>0</v>
      </c>
      <c r="I121" s="150">
        <f t="shared" si="120"/>
        <v>0</v>
      </c>
      <c r="J121" s="150">
        <f t="shared" si="120"/>
        <v>0</v>
      </c>
      <c r="K121" s="150">
        <f t="shared" si="120"/>
        <v>0</v>
      </c>
      <c r="L121" s="150">
        <f t="shared" si="120"/>
        <v>0</v>
      </c>
      <c r="M121" s="150">
        <f t="shared" si="120"/>
        <v>0</v>
      </c>
      <c r="N121" s="150">
        <f t="shared" si="120"/>
        <v>0</v>
      </c>
      <c r="O121" s="150">
        <f t="shared" si="120"/>
        <v>113.13539040987727</v>
      </c>
      <c r="P121" s="150">
        <f t="shared" si="120"/>
        <v>0</v>
      </c>
      <c r="Q121" s="150">
        <f t="shared" si="120"/>
        <v>0</v>
      </c>
      <c r="R121" s="150">
        <f t="shared" si="120"/>
        <v>0</v>
      </c>
      <c r="S121" s="150">
        <f t="shared" si="120"/>
        <v>0</v>
      </c>
      <c r="T121" s="150">
        <f t="shared" si="120"/>
        <v>0</v>
      </c>
      <c r="U121" s="150">
        <f t="shared" si="120"/>
        <v>0</v>
      </c>
      <c r="V121" s="150">
        <f t="shared" si="120"/>
        <v>0</v>
      </c>
      <c r="W121" s="150">
        <f t="shared" si="120"/>
        <v>0</v>
      </c>
      <c r="X121" s="150">
        <f t="shared" si="94"/>
        <v>0</v>
      </c>
      <c r="Y121" s="150">
        <f t="shared" si="95"/>
        <v>0</v>
      </c>
      <c r="Z121" s="150">
        <f t="shared" si="95"/>
        <v>0</v>
      </c>
      <c r="AA121" s="150">
        <f t="shared" si="96"/>
        <v>0</v>
      </c>
      <c r="AB121" s="150">
        <f t="shared" si="97"/>
        <v>0</v>
      </c>
      <c r="AC121" s="150">
        <f t="shared" si="98"/>
        <v>0</v>
      </c>
      <c r="AD121" s="134"/>
    </row>
    <row r="122" spans="1:30" outlineLevel="1" x14ac:dyDescent="0.2">
      <c r="A122" s="16">
        <f t="shared" si="118"/>
        <v>22</v>
      </c>
      <c r="B122" s="16" t="str">
        <f t="shared" si="99"/>
        <v>PV of Increase in forecast year 21 lease commitments</v>
      </c>
      <c r="C122" s="149">
        <f t="shared" si="92"/>
        <v>0</v>
      </c>
      <c r="D122" s="150">
        <f t="shared" ref="D122:W122" si="121">(D87-C88)/(POWER((1+D$38),$A122))</f>
        <v>0</v>
      </c>
      <c r="E122" s="150">
        <f t="shared" si="121"/>
        <v>0</v>
      </c>
      <c r="F122" s="150">
        <f t="shared" si="121"/>
        <v>0</v>
      </c>
      <c r="G122" s="150">
        <f t="shared" si="121"/>
        <v>0</v>
      </c>
      <c r="H122" s="150">
        <f t="shared" si="121"/>
        <v>0</v>
      </c>
      <c r="I122" s="150">
        <f t="shared" si="121"/>
        <v>0</v>
      </c>
      <c r="J122" s="150">
        <f t="shared" si="121"/>
        <v>0</v>
      </c>
      <c r="K122" s="150">
        <f t="shared" si="121"/>
        <v>0</v>
      </c>
      <c r="L122" s="150">
        <f t="shared" si="121"/>
        <v>0</v>
      </c>
      <c r="M122" s="150">
        <f t="shared" si="121"/>
        <v>0</v>
      </c>
      <c r="N122" s="150">
        <f t="shared" si="121"/>
        <v>0</v>
      </c>
      <c r="O122" s="150">
        <f t="shared" si="121"/>
        <v>0</v>
      </c>
      <c r="P122" s="150">
        <f t="shared" si="121"/>
        <v>0</v>
      </c>
      <c r="Q122" s="150">
        <f t="shared" si="121"/>
        <v>0</v>
      </c>
      <c r="R122" s="150">
        <f t="shared" si="121"/>
        <v>0</v>
      </c>
      <c r="S122" s="150">
        <f t="shared" si="121"/>
        <v>0</v>
      </c>
      <c r="T122" s="150">
        <f t="shared" si="121"/>
        <v>0</v>
      </c>
      <c r="U122" s="150">
        <f t="shared" si="121"/>
        <v>0</v>
      </c>
      <c r="V122" s="150">
        <f t="shared" si="121"/>
        <v>0</v>
      </c>
      <c r="W122" s="150">
        <f t="shared" si="121"/>
        <v>0</v>
      </c>
      <c r="X122" s="150">
        <f t="shared" si="94"/>
        <v>0</v>
      </c>
      <c r="Y122" s="150">
        <f t="shared" si="95"/>
        <v>0</v>
      </c>
      <c r="Z122" s="150">
        <f t="shared" si="95"/>
        <v>0</v>
      </c>
      <c r="AA122" s="150">
        <f t="shared" si="96"/>
        <v>0</v>
      </c>
      <c r="AB122" s="150">
        <f t="shared" si="97"/>
        <v>0</v>
      </c>
      <c r="AC122" s="150">
        <f t="shared" si="98"/>
        <v>0</v>
      </c>
      <c r="AD122" s="134"/>
    </row>
    <row r="123" spans="1:30" outlineLevel="1" x14ac:dyDescent="0.2">
      <c r="A123" s="16">
        <f t="shared" si="118"/>
        <v>23</v>
      </c>
      <c r="B123" s="16" t="str">
        <f t="shared" si="99"/>
        <v>PV of Increase in forecast year 22 lease commitments</v>
      </c>
      <c r="C123" s="149">
        <f t="shared" si="92"/>
        <v>0</v>
      </c>
      <c r="D123" s="150">
        <f t="shared" ref="D123:W123" si="122">(D88-C89)/(POWER((1+D$38),$A123))</f>
        <v>0</v>
      </c>
      <c r="E123" s="150">
        <f t="shared" si="122"/>
        <v>0</v>
      </c>
      <c r="F123" s="150">
        <f t="shared" si="122"/>
        <v>0</v>
      </c>
      <c r="G123" s="150">
        <f t="shared" si="122"/>
        <v>0</v>
      </c>
      <c r="H123" s="150">
        <f t="shared" si="122"/>
        <v>0</v>
      </c>
      <c r="I123" s="150">
        <f t="shared" si="122"/>
        <v>0</v>
      </c>
      <c r="J123" s="150">
        <f t="shared" si="122"/>
        <v>0</v>
      </c>
      <c r="K123" s="150">
        <f t="shared" si="122"/>
        <v>0</v>
      </c>
      <c r="L123" s="150">
        <f t="shared" si="122"/>
        <v>0</v>
      </c>
      <c r="M123" s="150">
        <f t="shared" si="122"/>
        <v>0</v>
      </c>
      <c r="N123" s="150">
        <f t="shared" si="122"/>
        <v>0</v>
      </c>
      <c r="O123" s="150">
        <f t="shared" si="122"/>
        <v>0</v>
      </c>
      <c r="P123" s="150">
        <f t="shared" si="122"/>
        <v>0</v>
      </c>
      <c r="Q123" s="150">
        <f t="shared" si="122"/>
        <v>0</v>
      </c>
      <c r="R123" s="150">
        <f t="shared" si="122"/>
        <v>0</v>
      </c>
      <c r="S123" s="150">
        <f t="shared" si="122"/>
        <v>0</v>
      </c>
      <c r="T123" s="150">
        <f t="shared" si="122"/>
        <v>0</v>
      </c>
      <c r="U123" s="150">
        <f t="shared" si="122"/>
        <v>0</v>
      </c>
      <c r="V123" s="150">
        <f t="shared" si="122"/>
        <v>0</v>
      </c>
      <c r="W123" s="150">
        <f t="shared" si="122"/>
        <v>0</v>
      </c>
      <c r="X123" s="150">
        <f t="shared" si="94"/>
        <v>0</v>
      </c>
      <c r="Y123" s="150">
        <f t="shared" si="95"/>
        <v>0</v>
      </c>
      <c r="Z123" s="150">
        <f t="shared" si="95"/>
        <v>0</v>
      </c>
      <c r="AA123" s="150">
        <f t="shared" si="96"/>
        <v>0</v>
      </c>
      <c r="AB123" s="150">
        <f t="shared" si="97"/>
        <v>0</v>
      </c>
      <c r="AC123" s="150">
        <f t="shared" si="98"/>
        <v>0</v>
      </c>
      <c r="AD123" s="134"/>
    </row>
    <row r="124" spans="1:30" outlineLevel="1" x14ac:dyDescent="0.2">
      <c r="A124" s="16">
        <f t="shared" si="118"/>
        <v>24</v>
      </c>
      <c r="B124" s="16" t="str">
        <f t="shared" si="99"/>
        <v>PV of Increase in forecast year 23 lease commitments</v>
      </c>
      <c r="C124" s="149">
        <f t="shared" si="92"/>
        <v>0</v>
      </c>
      <c r="D124" s="150">
        <f t="shared" ref="D124:W124" si="123">(D89-C90)/(POWER((1+D$38),$A124))</f>
        <v>0</v>
      </c>
      <c r="E124" s="150">
        <f t="shared" si="123"/>
        <v>0</v>
      </c>
      <c r="F124" s="150">
        <f t="shared" si="123"/>
        <v>0</v>
      </c>
      <c r="G124" s="150">
        <f t="shared" si="123"/>
        <v>0</v>
      </c>
      <c r="H124" s="150">
        <f t="shared" si="123"/>
        <v>0</v>
      </c>
      <c r="I124" s="150">
        <f t="shared" si="123"/>
        <v>0</v>
      </c>
      <c r="J124" s="150">
        <f t="shared" si="123"/>
        <v>0</v>
      </c>
      <c r="K124" s="150">
        <f t="shared" si="123"/>
        <v>0</v>
      </c>
      <c r="L124" s="150">
        <f t="shared" si="123"/>
        <v>0</v>
      </c>
      <c r="M124" s="150">
        <f t="shared" si="123"/>
        <v>0</v>
      </c>
      <c r="N124" s="150">
        <f t="shared" si="123"/>
        <v>0</v>
      </c>
      <c r="O124" s="150">
        <f t="shared" si="123"/>
        <v>0</v>
      </c>
      <c r="P124" s="150">
        <f t="shared" si="123"/>
        <v>0</v>
      </c>
      <c r="Q124" s="150">
        <f t="shared" si="123"/>
        <v>0</v>
      </c>
      <c r="R124" s="150">
        <f t="shared" si="123"/>
        <v>0</v>
      </c>
      <c r="S124" s="150">
        <f t="shared" si="123"/>
        <v>0</v>
      </c>
      <c r="T124" s="150">
        <f t="shared" si="123"/>
        <v>0</v>
      </c>
      <c r="U124" s="150">
        <f t="shared" si="123"/>
        <v>0</v>
      </c>
      <c r="V124" s="150">
        <f t="shared" si="123"/>
        <v>0</v>
      </c>
      <c r="W124" s="150">
        <f t="shared" si="123"/>
        <v>0</v>
      </c>
      <c r="X124" s="150">
        <f t="shared" si="94"/>
        <v>0</v>
      </c>
      <c r="Y124" s="150">
        <f t="shared" si="95"/>
        <v>0</v>
      </c>
      <c r="Z124" s="150">
        <f t="shared" si="95"/>
        <v>0</v>
      </c>
      <c r="AA124" s="150">
        <f t="shared" si="96"/>
        <v>0</v>
      </c>
      <c r="AB124" s="150">
        <f t="shared" si="97"/>
        <v>0</v>
      </c>
      <c r="AC124" s="150">
        <f t="shared" si="98"/>
        <v>0</v>
      </c>
      <c r="AD124" s="134"/>
    </row>
    <row r="125" spans="1:30" outlineLevel="1" x14ac:dyDescent="0.2">
      <c r="A125" s="16">
        <f t="shared" si="118"/>
        <v>25</v>
      </c>
      <c r="B125" s="16" t="str">
        <f t="shared" si="99"/>
        <v>PV of Increase in forecast year 24 lease commitments</v>
      </c>
      <c r="C125" s="149">
        <f t="shared" si="92"/>
        <v>0</v>
      </c>
      <c r="D125" s="150">
        <f t="shared" ref="D125:W125" si="124">(D90-C91)/(POWER((1+D$38),$A125))</f>
        <v>0</v>
      </c>
      <c r="E125" s="150">
        <f t="shared" si="124"/>
        <v>0</v>
      </c>
      <c r="F125" s="150">
        <f t="shared" si="124"/>
        <v>0</v>
      </c>
      <c r="G125" s="150">
        <f t="shared" si="124"/>
        <v>0</v>
      </c>
      <c r="H125" s="150">
        <f t="shared" si="124"/>
        <v>0</v>
      </c>
      <c r="I125" s="150">
        <f t="shared" si="124"/>
        <v>0</v>
      </c>
      <c r="J125" s="150">
        <f t="shared" si="124"/>
        <v>0</v>
      </c>
      <c r="K125" s="150">
        <f t="shared" si="124"/>
        <v>0</v>
      </c>
      <c r="L125" s="150">
        <f t="shared" si="124"/>
        <v>0</v>
      </c>
      <c r="M125" s="150">
        <f t="shared" si="124"/>
        <v>0</v>
      </c>
      <c r="N125" s="150">
        <f t="shared" si="124"/>
        <v>0</v>
      </c>
      <c r="O125" s="150">
        <f t="shared" si="124"/>
        <v>0</v>
      </c>
      <c r="P125" s="150">
        <f t="shared" si="124"/>
        <v>0</v>
      </c>
      <c r="Q125" s="150">
        <f t="shared" si="124"/>
        <v>0</v>
      </c>
      <c r="R125" s="150">
        <f t="shared" si="124"/>
        <v>0</v>
      </c>
      <c r="S125" s="150">
        <f t="shared" si="124"/>
        <v>0</v>
      </c>
      <c r="T125" s="150">
        <f t="shared" si="124"/>
        <v>0</v>
      </c>
      <c r="U125" s="150">
        <f t="shared" si="124"/>
        <v>0</v>
      </c>
      <c r="V125" s="150">
        <f t="shared" si="124"/>
        <v>0</v>
      </c>
      <c r="W125" s="150">
        <f t="shared" si="124"/>
        <v>0</v>
      </c>
      <c r="X125" s="150">
        <f t="shared" si="94"/>
        <v>0</v>
      </c>
      <c r="Y125" s="150">
        <f t="shared" si="95"/>
        <v>0</v>
      </c>
      <c r="Z125" s="150">
        <f t="shared" si="95"/>
        <v>0</v>
      </c>
      <c r="AA125" s="150">
        <f t="shared" si="96"/>
        <v>0</v>
      </c>
      <c r="AB125" s="150">
        <f t="shared" si="97"/>
        <v>0</v>
      </c>
      <c r="AC125" s="150">
        <f t="shared" si="98"/>
        <v>0</v>
      </c>
      <c r="AD125" s="134"/>
    </row>
    <row r="126" spans="1:30" outlineLevel="1" x14ac:dyDescent="0.2">
      <c r="A126" s="16">
        <f t="shared" si="118"/>
        <v>26</v>
      </c>
      <c r="B126" s="16" t="str">
        <f t="shared" si="99"/>
        <v>PV of Increase in forecast year 25 lease commitments</v>
      </c>
      <c r="C126" s="149">
        <f t="shared" si="92"/>
        <v>0</v>
      </c>
      <c r="D126" s="150">
        <f t="shared" ref="D126:W126" si="125">(D91-C92)/(POWER((1+D$38),$A126))</f>
        <v>0</v>
      </c>
      <c r="E126" s="150">
        <f t="shared" si="125"/>
        <v>0</v>
      </c>
      <c r="F126" s="150">
        <f t="shared" si="125"/>
        <v>0</v>
      </c>
      <c r="G126" s="150">
        <f t="shared" si="125"/>
        <v>0</v>
      </c>
      <c r="H126" s="150">
        <f t="shared" si="125"/>
        <v>0</v>
      </c>
      <c r="I126" s="150">
        <f t="shared" si="125"/>
        <v>0</v>
      </c>
      <c r="J126" s="150">
        <f t="shared" si="125"/>
        <v>0</v>
      </c>
      <c r="K126" s="150">
        <f t="shared" si="125"/>
        <v>0</v>
      </c>
      <c r="L126" s="150">
        <f t="shared" si="125"/>
        <v>0</v>
      </c>
      <c r="M126" s="150">
        <f t="shared" si="125"/>
        <v>0</v>
      </c>
      <c r="N126" s="150">
        <f t="shared" si="125"/>
        <v>0</v>
      </c>
      <c r="O126" s="150">
        <f t="shared" si="125"/>
        <v>0</v>
      </c>
      <c r="P126" s="150">
        <f t="shared" si="125"/>
        <v>0</v>
      </c>
      <c r="Q126" s="150">
        <f t="shared" si="125"/>
        <v>0</v>
      </c>
      <c r="R126" s="150">
        <f t="shared" si="125"/>
        <v>0</v>
      </c>
      <c r="S126" s="150">
        <f t="shared" si="125"/>
        <v>0</v>
      </c>
      <c r="T126" s="150">
        <f t="shared" si="125"/>
        <v>0</v>
      </c>
      <c r="U126" s="150">
        <f t="shared" si="125"/>
        <v>0</v>
      </c>
      <c r="V126" s="150">
        <f t="shared" si="125"/>
        <v>0</v>
      </c>
      <c r="W126" s="150">
        <f t="shared" si="125"/>
        <v>0</v>
      </c>
      <c r="X126" s="150">
        <f t="shared" si="94"/>
        <v>0</v>
      </c>
      <c r="Y126" s="150">
        <f t="shared" si="95"/>
        <v>0</v>
      </c>
      <c r="Z126" s="150">
        <f t="shared" si="95"/>
        <v>0</v>
      </c>
      <c r="AA126" s="150">
        <f t="shared" si="96"/>
        <v>0</v>
      </c>
      <c r="AB126" s="150">
        <f t="shared" si="97"/>
        <v>0</v>
      </c>
      <c r="AC126" s="150">
        <f t="shared" si="98"/>
        <v>0</v>
      </c>
      <c r="AD126" s="134"/>
    </row>
    <row r="127" spans="1:30" outlineLevel="1" x14ac:dyDescent="0.2">
      <c r="A127" s="16">
        <f t="shared" si="118"/>
        <v>27</v>
      </c>
      <c r="B127" s="16" t="str">
        <f t="shared" si="99"/>
        <v>PV of Increase in forecast year 26 lease commitments</v>
      </c>
      <c r="C127" s="149">
        <f t="shared" si="92"/>
        <v>0</v>
      </c>
      <c r="D127" s="150">
        <f t="shared" ref="D127:W127" si="126">(D92-C93)/(POWER((1+D$38),$A127))</f>
        <v>0</v>
      </c>
      <c r="E127" s="150">
        <f t="shared" si="126"/>
        <v>0</v>
      </c>
      <c r="F127" s="150">
        <f t="shared" si="126"/>
        <v>0</v>
      </c>
      <c r="G127" s="150">
        <f t="shared" si="126"/>
        <v>0</v>
      </c>
      <c r="H127" s="150">
        <f t="shared" si="126"/>
        <v>0</v>
      </c>
      <c r="I127" s="150">
        <f t="shared" si="126"/>
        <v>0</v>
      </c>
      <c r="J127" s="150">
        <f t="shared" si="126"/>
        <v>0</v>
      </c>
      <c r="K127" s="150">
        <f t="shared" si="126"/>
        <v>0</v>
      </c>
      <c r="L127" s="150">
        <f t="shared" si="126"/>
        <v>0</v>
      </c>
      <c r="M127" s="150">
        <f t="shared" si="126"/>
        <v>0</v>
      </c>
      <c r="N127" s="150">
        <f t="shared" si="126"/>
        <v>0</v>
      </c>
      <c r="O127" s="150">
        <f t="shared" si="126"/>
        <v>0</v>
      </c>
      <c r="P127" s="150">
        <f t="shared" si="126"/>
        <v>0</v>
      </c>
      <c r="Q127" s="150">
        <f t="shared" si="126"/>
        <v>0</v>
      </c>
      <c r="R127" s="150">
        <f t="shared" si="126"/>
        <v>0</v>
      </c>
      <c r="S127" s="150">
        <f t="shared" si="126"/>
        <v>0</v>
      </c>
      <c r="T127" s="150">
        <f t="shared" si="126"/>
        <v>0</v>
      </c>
      <c r="U127" s="150">
        <f t="shared" si="126"/>
        <v>0</v>
      </c>
      <c r="V127" s="150">
        <f t="shared" si="126"/>
        <v>0</v>
      </c>
      <c r="W127" s="150">
        <f t="shared" si="126"/>
        <v>0</v>
      </c>
      <c r="X127" s="150">
        <f t="shared" si="94"/>
        <v>0</v>
      </c>
      <c r="Y127" s="150">
        <f t="shared" si="95"/>
        <v>0</v>
      </c>
      <c r="Z127" s="150">
        <f t="shared" si="95"/>
        <v>0</v>
      </c>
      <c r="AA127" s="150">
        <f t="shared" si="96"/>
        <v>0</v>
      </c>
      <c r="AB127" s="150">
        <f t="shared" si="97"/>
        <v>0</v>
      </c>
      <c r="AC127" s="150">
        <f t="shared" si="98"/>
        <v>0</v>
      </c>
      <c r="AD127" s="134"/>
    </row>
    <row r="128" spans="1:30" outlineLevel="1" x14ac:dyDescent="0.2">
      <c r="A128" s="16">
        <f t="shared" si="118"/>
        <v>28</v>
      </c>
      <c r="B128" s="16" t="str">
        <f t="shared" si="99"/>
        <v>PV of Increase in forecast year 27 lease commitments</v>
      </c>
      <c r="C128" s="149">
        <f t="shared" si="92"/>
        <v>0</v>
      </c>
      <c r="D128" s="150">
        <f t="shared" ref="D128:W128" si="127">(D93-C94)/(POWER((1+D$38),$A128))</f>
        <v>0</v>
      </c>
      <c r="E128" s="150">
        <f t="shared" si="127"/>
        <v>0</v>
      </c>
      <c r="F128" s="150">
        <f t="shared" si="127"/>
        <v>0</v>
      </c>
      <c r="G128" s="150">
        <f t="shared" si="127"/>
        <v>0</v>
      </c>
      <c r="H128" s="150">
        <f t="shared" si="127"/>
        <v>0</v>
      </c>
      <c r="I128" s="150">
        <f t="shared" si="127"/>
        <v>0</v>
      </c>
      <c r="J128" s="150">
        <f t="shared" si="127"/>
        <v>0</v>
      </c>
      <c r="K128" s="150">
        <f t="shared" si="127"/>
        <v>0</v>
      </c>
      <c r="L128" s="150">
        <f t="shared" si="127"/>
        <v>0</v>
      </c>
      <c r="M128" s="150">
        <f t="shared" si="127"/>
        <v>0</v>
      </c>
      <c r="N128" s="150">
        <f t="shared" si="127"/>
        <v>0</v>
      </c>
      <c r="O128" s="150">
        <f t="shared" si="127"/>
        <v>0</v>
      </c>
      <c r="P128" s="150">
        <f t="shared" si="127"/>
        <v>0</v>
      </c>
      <c r="Q128" s="150">
        <f t="shared" si="127"/>
        <v>0</v>
      </c>
      <c r="R128" s="150">
        <f t="shared" si="127"/>
        <v>0</v>
      </c>
      <c r="S128" s="150">
        <f t="shared" si="127"/>
        <v>0</v>
      </c>
      <c r="T128" s="150">
        <f t="shared" si="127"/>
        <v>0</v>
      </c>
      <c r="U128" s="150">
        <f t="shared" si="127"/>
        <v>0</v>
      </c>
      <c r="V128" s="150">
        <f t="shared" si="127"/>
        <v>0</v>
      </c>
      <c r="W128" s="150">
        <f t="shared" si="127"/>
        <v>0</v>
      </c>
      <c r="X128" s="150">
        <f t="shared" si="94"/>
        <v>0</v>
      </c>
      <c r="Y128" s="150">
        <f t="shared" si="95"/>
        <v>0</v>
      </c>
      <c r="Z128" s="150">
        <f t="shared" si="95"/>
        <v>0</v>
      </c>
      <c r="AA128" s="150">
        <f t="shared" si="96"/>
        <v>0</v>
      </c>
      <c r="AB128" s="150">
        <f t="shared" si="97"/>
        <v>0</v>
      </c>
      <c r="AC128" s="150">
        <f t="shared" si="98"/>
        <v>0</v>
      </c>
      <c r="AD128" s="134"/>
    </row>
    <row r="129" spans="1:30" outlineLevel="1" x14ac:dyDescent="0.2">
      <c r="A129" s="16">
        <f t="shared" si="118"/>
        <v>29</v>
      </c>
      <c r="B129" s="16" t="str">
        <f t="shared" si="99"/>
        <v>PV of Increase in forecast year 28 lease commitments</v>
      </c>
      <c r="C129" s="149">
        <f t="shared" si="92"/>
        <v>0</v>
      </c>
      <c r="D129" s="150">
        <f t="shared" ref="D129:W129" si="128">(D94-C95)/(POWER((1+D$38),$A129))</f>
        <v>0</v>
      </c>
      <c r="E129" s="150">
        <f t="shared" si="128"/>
        <v>0</v>
      </c>
      <c r="F129" s="150">
        <f t="shared" si="128"/>
        <v>0</v>
      </c>
      <c r="G129" s="150">
        <f t="shared" si="128"/>
        <v>0</v>
      </c>
      <c r="H129" s="150">
        <f t="shared" si="128"/>
        <v>0</v>
      </c>
      <c r="I129" s="150">
        <f t="shared" si="128"/>
        <v>0</v>
      </c>
      <c r="J129" s="150">
        <f t="shared" si="128"/>
        <v>0</v>
      </c>
      <c r="K129" s="150">
        <f t="shared" si="128"/>
        <v>0</v>
      </c>
      <c r="L129" s="150">
        <f t="shared" si="128"/>
        <v>0</v>
      </c>
      <c r="M129" s="150">
        <f t="shared" si="128"/>
        <v>0</v>
      </c>
      <c r="N129" s="150">
        <f t="shared" si="128"/>
        <v>0</v>
      </c>
      <c r="O129" s="150">
        <f t="shared" si="128"/>
        <v>0</v>
      </c>
      <c r="P129" s="150">
        <f t="shared" si="128"/>
        <v>0</v>
      </c>
      <c r="Q129" s="150">
        <f t="shared" si="128"/>
        <v>0</v>
      </c>
      <c r="R129" s="150">
        <f t="shared" si="128"/>
        <v>0</v>
      </c>
      <c r="S129" s="150">
        <f t="shared" si="128"/>
        <v>0</v>
      </c>
      <c r="T129" s="150">
        <f t="shared" si="128"/>
        <v>0</v>
      </c>
      <c r="U129" s="150">
        <f t="shared" si="128"/>
        <v>0</v>
      </c>
      <c r="V129" s="150">
        <f t="shared" si="128"/>
        <v>0</v>
      </c>
      <c r="W129" s="150">
        <f t="shared" si="128"/>
        <v>0</v>
      </c>
      <c r="X129" s="150">
        <f t="shared" si="94"/>
        <v>0</v>
      </c>
      <c r="Y129" s="150">
        <f t="shared" si="95"/>
        <v>0</v>
      </c>
      <c r="Z129" s="150">
        <f t="shared" si="95"/>
        <v>0</v>
      </c>
      <c r="AA129" s="150">
        <f t="shared" si="96"/>
        <v>0</v>
      </c>
      <c r="AB129" s="150">
        <f t="shared" si="97"/>
        <v>0</v>
      </c>
      <c r="AC129" s="150">
        <f t="shared" si="98"/>
        <v>0</v>
      </c>
      <c r="AD129" s="134"/>
    </row>
    <row r="130" spans="1:30" outlineLevel="1" x14ac:dyDescent="0.2">
      <c r="A130" s="16">
        <f t="shared" si="118"/>
        <v>30</v>
      </c>
      <c r="B130" s="16" t="str">
        <f t="shared" si="99"/>
        <v>PV of Increase in forecast year 29 lease commitments</v>
      </c>
      <c r="C130" s="149">
        <f t="shared" si="92"/>
        <v>0</v>
      </c>
      <c r="D130" s="150">
        <f t="shared" ref="D130:W130" si="129">(D95-C96)/(POWER((1+D$38),$A130))</f>
        <v>0</v>
      </c>
      <c r="E130" s="150">
        <f t="shared" si="129"/>
        <v>0</v>
      </c>
      <c r="F130" s="150">
        <f t="shared" si="129"/>
        <v>0</v>
      </c>
      <c r="G130" s="150">
        <f t="shared" si="129"/>
        <v>0</v>
      </c>
      <c r="H130" s="150">
        <f t="shared" si="129"/>
        <v>0</v>
      </c>
      <c r="I130" s="150">
        <f t="shared" si="129"/>
        <v>0</v>
      </c>
      <c r="J130" s="150">
        <f t="shared" si="129"/>
        <v>0</v>
      </c>
      <c r="K130" s="150">
        <f t="shared" si="129"/>
        <v>0</v>
      </c>
      <c r="L130" s="150">
        <f t="shared" si="129"/>
        <v>0</v>
      </c>
      <c r="M130" s="150">
        <f t="shared" si="129"/>
        <v>0</v>
      </c>
      <c r="N130" s="150">
        <f t="shared" si="129"/>
        <v>0</v>
      </c>
      <c r="O130" s="150">
        <f t="shared" si="129"/>
        <v>0</v>
      </c>
      <c r="P130" s="150">
        <f t="shared" si="129"/>
        <v>0</v>
      </c>
      <c r="Q130" s="150">
        <f t="shared" si="129"/>
        <v>0</v>
      </c>
      <c r="R130" s="150">
        <f t="shared" si="129"/>
        <v>0</v>
      </c>
      <c r="S130" s="150">
        <f t="shared" si="129"/>
        <v>0</v>
      </c>
      <c r="T130" s="150">
        <f t="shared" si="129"/>
        <v>0</v>
      </c>
      <c r="U130" s="150">
        <f t="shared" si="129"/>
        <v>0</v>
      </c>
      <c r="V130" s="150">
        <f t="shared" si="129"/>
        <v>0</v>
      </c>
      <c r="W130" s="150">
        <f t="shared" si="129"/>
        <v>0</v>
      </c>
      <c r="X130" s="150">
        <f t="shared" si="94"/>
        <v>0</v>
      </c>
      <c r="Y130" s="150">
        <f t="shared" si="95"/>
        <v>0</v>
      </c>
      <c r="Z130" s="150">
        <f t="shared" si="95"/>
        <v>0</v>
      </c>
      <c r="AA130" s="150">
        <f t="shared" si="96"/>
        <v>0</v>
      </c>
      <c r="AB130" s="150">
        <f t="shared" si="97"/>
        <v>0</v>
      </c>
      <c r="AC130" s="150">
        <f t="shared" si="98"/>
        <v>0</v>
      </c>
      <c r="AD130" s="134"/>
    </row>
    <row r="131" spans="1:30" outlineLevel="1" x14ac:dyDescent="0.2">
      <c r="A131" s="135"/>
      <c r="B131" s="16"/>
      <c r="C131" s="151"/>
      <c r="D131" s="151"/>
      <c r="E131" s="151"/>
      <c r="F131" s="151"/>
      <c r="G131" s="151"/>
      <c r="H131" s="151"/>
      <c r="I131" s="151"/>
      <c r="J131" s="151"/>
      <c r="K131" s="151"/>
      <c r="L131" s="151"/>
      <c r="M131" s="151"/>
      <c r="N131" s="151"/>
      <c r="O131" s="151"/>
      <c r="P131" s="151"/>
      <c r="Q131" s="151"/>
      <c r="R131" s="151"/>
      <c r="S131" s="151"/>
      <c r="T131" s="151"/>
      <c r="U131" s="151"/>
      <c r="V131" s="151"/>
      <c r="W131" s="151"/>
      <c r="X131" s="151"/>
      <c r="Y131" s="151"/>
      <c r="Z131" s="151"/>
      <c r="AA131" s="151"/>
      <c r="AB131" s="151"/>
      <c r="AC131" s="151"/>
      <c r="AD131" s="134"/>
    </row>
    <row r="132" spans="1:30" outlineLevel="1" x14ac:dyDescent="0.2">
      <c r="A132" s="16"/>
      <c r="B132" s="16" t="s">
        <v>442</v>
      </c>
      <c r="C132" s="152">
        <f t="shared" ref="C132:W132" si="130">SUM(C101:C131)</f>
        <v>534.32823850664215</v>
      </c>
      <c r="D132" s="153">
        <f t="shared" si="130"/>
        <v>243.84143973846224</v>
      </c>
      <c r="E132" s="153">
        <f t="shared" si="130"/>
        <v>243.02494452049962</v>
      </c>
      <c r="F132" s="153">
        <f t="shared" si="130"/>
        <v>413.27851442157964</v>
      </c>
      <c r="G132" s="153">
        <f t="shared" si="130"/>
        <v>290.64859704149472</v>
      </c>
      <c r="H132" s="153">
        <f t="shared" si="130"/>
        <v>410.78081910046166</v>
      </c>
      <c r="I132" s="153">
        <f t="shared" si="130"/>
        <v>602.01166432637604</v>
      </c>
      <c r="J132" s="153">
        <f t="shared" si="130"/>
        <v>424.62911525983355</v>
      </c>
      <c r="K132" s="153">
        <f t="shared" si="130"/>
        <v>351.52607576554021</v>
      </c>
      <c r="L132" s="153">
        <f t="shared" si="130"/>
        <v>339.19337384261536</v>
      </c>
      <c r="M132" s="153">
        <f t="shared" si="130"/>
        <v>490.10464840093857</v>
      </c>
      <c r="N132" s="153">
        <f t="shared" si="130"/>
        <v>503.38380855525224</v>
      </c>
      <c r="O132" s="153">
        <f t="shared" si="130"/>
        <v>859.10462112594985</v>
      </c>
      <c r="P132" s="153">
        <f t="shared" si="130"/>
        <v>289.29274674734268</v>
      </c>
      <c r="Q132" s="153">
        <f t="shared" si="130"/>
        <v>-2304.6981903766218</v>
      </c>
      <c r="R132" s="153">
        <f t="shared" si="130"/>
        <v>134.47957021637785</v>
      </c>
      <c r="S132" s="153">
        <f t="shared" si="130"/>
        <v>133.10076393647023</v>
      </c>
      <c r="T132" s="153">
        <f t="shared" si="130"/>
        <v>107.35921227024238</v>
      </c>
      <c r="U132" s="153">
        <f t="shared" si="130"/>
        <v>105.7592447530356</v>
      </c>
      <c r="V132" s="153">
        <f t="shared" si="130"/>
        <v>104.2132516981405</v>
      </c>
      <c r="W132" s="153">
        <f t="shared" si="130"/>
        <v>105.25538421512185</v>
      </c>
      <c r="X132" s="153">
        <f>SUM(X101:X131)</f>
        <v>106.30793805727305</v>
      </c>
      <c r="Y132" s="153">
        <f>SUM(Y101:Y131)</f>
        <v>107.37101743784569</v>
      </c>
      <c r="Z132" s="153">
        <f>SUM(Z101:Z131)</f>
        <v>108.44472761222411</v>
      </c>
      <c r="AA132" s="153">
        <f t="shared" ref="AA132:AC132" si="131">SUM(AA101:AA131)</f>
        <v>109.52917488834638</v>
      </c>
      <c r="AB132" s="153">
        <f t="shared" si="131"/>
        <v>110.62446663722986</v>
      </c>
      <c r="AC132" s="153">
        <f t="shared" si="131"/>
        <v>111.73071130360233</v>
      </c>
      <c r="AD132" s="134"/>
    </row>
    <row r="133" spans="1:30" x14ac:dyDescent="0.2">
      <c r="A133" s="16"/>
      <c r="B133" s="154"/>
      <c r="C133" s="154"/>
      <c r="D133" s="154"/>
      <c r="E133" s="154"/>
      <c r="F133" s="154"/>
      <c r="G133" s="154"/>
      <c r="H133" s="154"/>
      <c r="I133" s="154"/>
      <c r="J133" s="154"/>
      <c r="K133" s="154"/>
      <c r="L133" s="154"/>
      <c r="M133" s="154"/>
      <c r="N133" s="154"/>
      <c r="O133" s="154"/>
      <c r="P133" s="117"/>
      <c r="Q133" s="117"/>
      <c r="R133" s="117"/>
      <c r="S133" s="37"/>
      <c r="T133" s="37"/>
      <c r="U133" s="37"/>
      <c r="V133" s="37"/>
      <c r="W133" s="37"/>
      <c r="X133" s="37"/>
      <c r="Y133" s="37"/>
      <c r="Z133" s="37"/>
      <c r="AA133" s="37"/>
      <c r="AB133" s="37"/>
      <c r="AC133" s="37"/>
      <c r="AD133" s="31"/>
    </row>
    <row r="134" spans="1:30" x14ac:dyDescent="0.2">
      <c r="A134" s="16"/>
      <c r="B134" s="16"/>
      <c r="C134" s="154"/>
      <c r="D134" s="154"/>
      <c r="E134" s="154"/>
      <c r="F134" s="154"/>
      <c r="G134" s="154"/>
      <c r="H134" s="154"/>
      <c r="I134" s="154"/>
      <c r="J134" s="154"/>
      <c r="K134" s="154"/>
      <c r="L134" s="154"/>
      <c r="M134" s="154"/>
      <c r="N134" s="154"/>
      <c r="O134" s="154"/>
      <c r="P134" s="36"/>
      <c r="Q134" s="37"/>
      <c r="R134" s="37"/>
      <c r="S134" s="37"/>
      <c r="T134" s="37"/>
      <c r="U134" s="37"/>
      <c r="V134" s="37"/>
      <c r="W134" s="37"/>
      <c r="X134" s="37"/>
      <c r="Y134" s="37"/>
      <c r="Z134" s="37"/>
      <c r="AA134" s="37"/>
      <c r="AB134" s="37"/>
      <c r="AC134" s="37"/>
      <c r="AD134" s="31"/>
    </row>
    <row r="135" spans="1:30" x14ac:dyDescent="0.2">
      <c r="A135" s="16"/>
      <c r="B135" s="16"/>
      <c r="C135" s="154"/>
      <c r="D135" s="154"/>
      <c r="E135" s="154"/>
      <c r="F135" s="154"/>
      <c r="G135" s="154"/>
      <c r="H135" s="154"/>
      <c r="I135" s="154"/>
      <c r="J135" s="154"/>
      <c r="K135" s="154"/>
      <c r="L135" s="154"/>
      <c r="M135" s="154"/>
      <c r="N135" s="154"/>
      <c r="O135" s="19"/>
      <c r="P135" s="36"/>
      <c r="Q135" s="78"/>
      <c r="R135" s="37"/>
      <c r="S135" s="37"/>
      <c r="T135" s="37"/>
      <c r="U135" s="37"/>
      <c r="V135" s="37"/>
      <c r="W135" s="37"/>
      <c r="X135" s="37"/>
      <c r="Y135" s="37"/>
      <c r="Z135" s="37"/>
      <c r="AA135" s="37"/>
      <c r="AB135" s="37"/>
      <c r="AC135" s="37"/>
      <c r="AD135" s="31"/>
    </row>
    <row r="136" spans="1:30" ht="11.45" customHeight="1" outlineLevel="1" x14ac:dyDescent="0.2">
      <c r="A136" s="16"/>
      <c r="B136" s="76" t="s">
        <v>443</v>
      </c>
      <c r="C136" s="24">
        <f t="shared" ref="C136:AC136" si="132">C$3</f>
        <v>1996</v>
      </c>
      <c r="D136" s="24">
        <f t="shared" si="132"/>
        <v>1997</v>
      </c>
      <c r="E136" s="24">
        <f t="shared" si="132"/>
        <v>1998</v>
      </c>
      <c r="F136" s="24">
        <f t="shared" si="132"/>
        <v>1999</v>
      </c>
      <c r="G136" s="24">
        <f t="shared" si="132"/>
        <v>2000</v>
      </c>
      <c r="H136" s="24">
        <f t="shared" si="132"/>
        <v>2001</v>
      </c>
      <c r="I136" s="24">
        <f t="shared" si="132"/>
        <v>2002</v>
      </c>
      <c r="J136" s="24">
        <f t="shared" si="132"/>
        <v>2003</v>
      </c>
      <c r="K136" s="24">
        <f t="shared" si="132"/>
        <v>2004</v>
      </c>
      <c r="L136" s="24">
        <f t="shared" si="132"/>
        <v>2005</v>
      </c>
      <c r="M136" s="24">
        <f t="shared" si="132"/>
        <v>2006</v>
      </c>
      <c r="N136" s="24">
        <f t="shared" si="132"/>
        <v>2007</v>
      </c>
      <c r="O136" s="24">
        <f t="shared" si="132"/>
        <v>2008</v>
      </c>
      <c r="P136" s="24">
        <f t="shared" si="132"/>
        <v>2009</v>
      </c>
      <c r="Q136" s="24">
        <f t="shared" si="132"/>
        <v>2010</v>
      </c>
      <c r="R136" s="24">
        <f t="shared" si="132"/>
        <v>2011</v>
      </c>
      <c r="S136" s="24">
        <f t="shared" si="132"/>
        <v>2012</v>
      </c>
      <c r="T136" s="25">
        <f t="shared" si="132"/>
        <v>2013</v>
      </c>
      <c r="U136" s="25">
        <f t="shared" si="132"/>
        <v>2014</v>
      </c>
      <c r="V136" s="25">
        <f t="shared" si="132"/>
        <v>2015</v>
      </c>
      <c r="W136" s="25">
        <f t="shared" si="132"/>
        <v>2016</v>
      </c>
      <c r="X136" s="25">
        <f t="shared" si="132"/>
        <v>2017</v>
      </c>
      <c r="Y136" s="25">
        <f t="shared" si="132"/>
        <v>2018</v>
      </c>
      <c r="Z136" s="25">
        <f t="shared" si="132"/>
        <v>2019</v>
      </c>
      <c r="AA136" s="25">
        <f t="shared" si="132"/>
        <v>2020</v>
      </c>
      <c r="AB136" s="25">
        <f t="shared" si="132"/>
        <v>2021</v>
      </c>
      <c r="AC136" s="25">
        <f t="shared" si="132"/>
        <v>2022</v>
      </c>
      <c r="AD136" s="29"/>
    </row>
    <row r="137" spans="1:30" ht="11.45" customHeight="1" outlineLevel="1" x14ac:dyDescent="0.2">
      <c r="A137" s="16"/>
      <c r="B137" s="16"/>
      <c r="C137" s="155"/>
      <c r="D137" s="155"/>
      <c r="E137" s="155"/>
      <c r="F137" s="155"/>
      <c r="G137" s="155"/>
      <c r="H137" s="155"/>
      <c r="I137" s="155"/>
      <c r="J137" s="155"/>
      <c r="K137" s="29"/>
      <c r="L137" s="29"/>
      <c r="M137" s="29"/>
      <c r="N137" s="29"/>
      <c r="O137" s="29"/>
      <c r="P137" s="47"/>
      <c r="Q137" s="47"/>
      <c r="R137" s="47"/>
      <c r="S137" s="47"/>
      <c r="T137" s="47"/>
      <c r="U137" s="47"/>
      <c r="V137" s="47"/>
      <c r="W137" s="47"/>
      <c r="X137" s="47"/>
      <c r="Y137" s="47"/>
      <c r="Z137" s="47"/>
      <c r="AA137" s="47"/>
      <c r="AB137" s="47"/>
      <c r="AC137" s="47"/>
      <c r="AD137" s="29"/>
    </row>
    <row r="138" spans="1:30" ht="11.45" customHeight="1" outlineLevel="1" x14ac:dyDescent="0.2">
      <c r="A138" s="16"/>
      <c r="B138" s="16" t="s">
        <v>444</v>
      </c>
      <c r="C138" s="156">
        <f t="shared" ref="C138:S138" si="133">C61</f>
        <v>20</v>
      </c>
      <c r="D138" s="156">
        <f t="shared" si="133"/>
        <v>20</v>
      </c>
      <c r="E138" s="156">
        <f t="shared" si="133"/>
        <v>20</v>
      </c>
      <c r="F138" s="156">
        <f t="shared" si="133"/>
        <v>20</v>
      </c>
      <c r="G138" s="156">
        <f t="shared" si="133"/>
        <v>19</v>
      </c>
      <c r="H138" s="156">
        <f t="shared" si="133"/>
        <v>19</v>
      </c>
      <c r="I138" s="156">
        <f t="shared" si="133"/>
        <v>19</v>
      </c>
      <c r="J138" s="156">
        <f t="shared" si="133"/>
        <v>19</v>
      </c>
      <c r="K138" s="156">
        <f t="shared" si="133"/>
        <v>19</v>
      </c>
      <c r="L138" s="156">
        <f t="shared" si="133"/>
        <v>18</v>
      </c>
      <c r="M138" s="156">
        <f t="shared" si="133"/>
        <v>19</v>
      </c>
      <c r="N138" s="156">
        <f t="shared" si="133"/>
        <v>19</v>
      </c>
      <c r="O138" s="156">
        <f t="shared" si="133"/>
        <v>21</v>
      </c>
      <c r="P138" s="156">
        <f t="shared" si="133"/>
        <v>20</v>
      </c>
      <c r="Q138" s="156">
        <f t="shared" si="133"/>
        <v>20</v>
      </c>
      <c r="R138" s="156">
        <f t="shared" si="133"/>
        <v>20</v>
      </c>
      <c r="S138" s="156">
        <f t="shared" si="133"/>
        <v>20</v>
      </c>
      <c r="T138" s="157">
        <f t="shared" ref="T138:Z138" si="134">S138</f>
        <v>20</v>
      </c>
      <c r="U138" s="157">
        <f t="shared" si="134"/>
        <v>20</v>
      </c>
      <c r="V138" s="157">
        <f t="shared" si="134"/>
        <v>20</v>
      </c>
      <c r="W138" s="157">
        <f t="shared" si="134"/>
        <v>20</v>
      </c>
      <c r="X138" s="157">
        <f t="shared" si="134"/>
        <v>20</v>
      </c>
      <c r="Y138" s="157">
        <f t="shared" si="134"/>
        <v>20</v>
      </c>
      <c r="Z138" s="157">
        <f t="shared" si="134"/>
        <v>20</v>
      </c>
      <c r="AA138" s="157">
        <f t="shared" ref="AA138" si="135">Z138</f>
        <v>20</v>
      </c>
      <c r="AB138" s="157">
        <f t="shared" ref="AB138" si="136">AA138</f>
        <v>20</v>
      </c>
      <c r="AC138" s="157">
        <f t="shared" ref="AC138" si="137">AB138</f>
        <v>20</v>
      </c>
      <c r="AD138" s="158"/>
    </row>
    <row r="139" spans="1:30" ht="11.45" customHeight="1" outlineLevel="1" x14ac:dyDescent="0.2">
      <c r="A139" s="16"/>
      <c r="B139" s="87" t="s">
        <v>445</v>
      </c>
      <c r="C139" s="159">
        <v>0.88</v>
      </c>
      <c r="D139" s="16"/>
      <c r="E139" s="16"/>
      <c r="F139" s="16"/>
      <c r="G139" s="16"/>
      <c r="H139" s="16"/>
      <c r="I139" s="16"/>
      <c r="J139" s="16"/>
      <c r="K139" s="16"/>
      <c r="L139" s="16"/>
      <c r="M139" s="16"/>
      <c r="N139" s="16"/>
      <c r="O139" s="16"/>
      <c r="P139" s="160"/>
      <c r="Q139" s="160"/>
      <c r="R139" s="160"/>
      <c r="S139" s="160"/>
      <c r="T139" s="160"/>
      <c r="U139" s="160"/>
      <c r="V139" s="160"/>
      <c r="W139" s="160"/>
      <c r="X139" s="160"/>
      <c r="Y139" s="160"/>
      <c r="Z139" s="160"/>
      <c r="AA139" s="160"/>
      <c r="AB139" s="160"/>
      <c r="AC139" s="160"/>
      <c r="AD139" s="90"/>
    </row>
    <row r="140" spans="1:30" ht="11.45" customHeight="1" outlineLevel="1" x14ac:dyDescent="0.2">
      <c r="A140" s="51"/>
      <c r="B140" s="69" t="s">
        <v>446</v>
      </c>
      <c r="C140" s="161">
        <f>$C$19/$C$138*2</f>
        <v>46.965049826724034</v>
      </c>
      <c r="D140" s="161">
        <f>$C$19/$C$138*$C$139*2</f>
        <v>41.329243847517148</v>
      </c>
      <c r="E140" s="162">
        <f>IF(SUM($C140:D140)+D140*$C$139&lt;$C$19,D140*$C$139,$C$19-SUM($C140:D140))</f>
        <v>36.369734585815088</v>
      </c>
      <c r="F140" s="162">
        <f>IF(SUM($C140:E140)+E140*$C$139&lt;$C$19,E140*$C$139,$C$19-SUM($C140:E140))</f>
        <v>32.005366435517281</v>
      </c>
      <c r="G140" s="162">
        <f>IF(SUM($C140:F140)+F140*$C$139&lt;$C$19,F140*$C$139,$C$19-SUM($C140:F140))</f>
        <v>28.164722463255206</v>
      </c>
      <c r="H140" s="162">
        <f>IF(SUM($C140:G140)+G140*$C$139&lt;$C$19,G140*$C$139,$C$19-SUM($C140:G140))</f>
        <v>24.784955767664581</v>
      </c>
      <c r="I140" s="162">
        <f>IF(SUM($C140:H140)+H140*$C$139&lt;$C$19,H140*$C$139,$C$19-SUM($C140:H140))</f>
        <v>21.810761075544832</v>
      </c>
      <c r="J140" s="162">
        <f>IF(SUM($C140:I140)+I140*$C$139&lt;$C$19,I140*$C$139,$C$19-SUM($C140:I140))</f>
        <v>19.193469746479451</v>
      </c>
      <c r="K140" s="162">
        <f>IF(SUM($C140:J140)+J140*$C$139&lt;$C$19,J140*$C$139,$C$19-SUM($C140:J140))</f>
        <v>16.890253376901917</v>
      </c>
      <c r="L140" s="162">
        <f>IF(SUM($C140:K140)+K140*$C$139&lt;$C$19,K140*$C$139,$C$19-SUM($C140:K140))</f>
        <v>14.863422971673687</v>
      </c>
      <c r="M140" s="162">
        <f>IF(SUM($C140:L140)+L140*$C$139&lt;$C$19,L140*$C$139,$C$19-SUM($C140:L140))</f>
        <v>13.079812215072845</v>
      </c>
      <c r="N140" s="162">
        <f>IF(SUM($C140:M140)+M140*$C$139&lt;$C$19,M140*$C$139,$C$19-SUM($C140:M140))</f>
        <v>11.510234749264104</v>
      </c>
      <c r="O140" s="162">
        <f>IF(SUM($C140:N140)+N140*$C$139&lt;$C$19,N140*$C$139,$C$19-SUM($C140:N140))</f>
        <v>10.129006579352412</v>
      </c>
      <c r="P140" s="162">
        <f>IF(SUM($C140:O140)+O140*$C$139&lt;$C$19,O140*$C$139,$C$19-SUM($C140:O140))</f>
        <v>8.913525789830123</v>
      </c>
      <c r="Q140" s="162">
        <f>IF(SUM($C140:P140)+P140*$C$139&lt;$C$19,P140*$C$139,$C$19-SUM($C140:P140))</f>
        <v>7.8439026950505086</v>
      </c>
      <c r="R140" s="162">
        <f>IF(SUM($C140:Q140)+Q140*$C$139&lt;$C$19,Q140*$C$139,$C$19-SUM($C140:Q140))</f>
        <v>6.9026343716444476</v>
      </c>
      <c r="S140" s="162">
        <f>IF(SUM($C140:R140)+R140*$C$139&lt;$C$19,R140*$C$139,$C$19-SUM($C140:R140))</f>
        <v>6.0743182470471142</v>
      </c>
      <c r="T140" s="162">
        <f>IF(SUM($C140:S140)+S140*$C$139&lt;$C$19,S140*$C$139,$C$19-SUM($C140:S140))</f>
        <v>5.3454000574014602</v>
      </c>
      <c r="U140" s="162">
        <f>IF(SUM($C140:T140)+T140*$C$139&lt;$C$19,T140*$C$139,$C$19-SUM($C140:T140))</f>
        <v>4.7039520505132852</v>
      </c>
      <c r="V140" s="162">
        <f>IF(SUM($C140:U140)+U140*$C$139&lt;$C$19,U140*$C$139,$C$19-SUM($C140:U140))</f>
        <v>4.1394778044516913</v>
      </c>
      <c r="W140" s="162">
        <f>IF(SUM($C140:V140)+V140*$C$139&lt;$C$19,V140*$C$139,$C$19-SUM($C140:V140))</f>
        <v>3.6427404679174882</v>
      </c>
      <c r="X140" s="162">
        <f>IF(SUM($C140:W140)+W140*$C$139&lt;$C$19,W140*$C$139,$C$19-SUM($C140:W140))</f>
        <v>3.2056116117673894</v>
      </c>
      <c r="Y140" s="162">
        <f>IF(SUM($C140:X140)+X140*$C$139&lt;$C$19,X140*$C$139,$C$19-SUM($C140:X140))</f>
        <v>2.8209382183553027</v>
      </c>
      <c r="Z140" s="162">
        <f>IF(SUM($C140:Y140)+Y140*$C$139&lt;$C$19,Y140*$C$139,$C$19-SUM($C140:Y140))</f>
        <v>2.4824256321526663</v>
      </c>
      <c r="AA140" s="162">
        <f>IF(SUM($C140:Z140)+Z140*$C$139&lt;$C$19,Z140*$C$139,$C$19-SUM($C140:Z140))</f>
        <v>2.1845345562943463</v>
      </c>
      <c r="AB140" s="162">
        <f>IF(SUM($C140:AA140)+AA140*$C$139&lt;$C$19,AA140*$C$139,$C$19-SUM($C140:AA140))</f>
        <v>1.9223904095390247</v>
      </c>
      <c r="AC140" s="162">
        <f>IF(SUM($C140:AB140)+AB140*$C$139&lt;$C$19,AB140*$C$139,$C$19-SUM($C140:AB140))</f>
        <v>1.6917035603943418</v>
      </c>
      <c r="AD140" s="163"/>
    </row>
    <row r="141" spans="1:30" ht="11.45" customHeight="1" outlineLevel="1" x14ac:dyDescent="0.2">
      <c r="A141" s="51"/>
      <c r="B141" s="41">
        <v>1997</v>
      </c>
      <c r="C141" s="164"/>
      <c r="D141" s="164">
        <f>D$17/D$138</f>
        <v>12.192071986923112</v>
      </c>
      <c r="E141" s="164">
        <f>(IF(COUNT($C141:D141)&lt;$D$138,D141,0))</f>
        <v>12.192071986923112</v>
      </c>
      <c r="F141" s="164">
        <f>(IF(COUNT($C141:E141)&lt;$D$138,E141,0))</f>
        <v>12.192071986923112</v>
      </c>
      <c r="G141" s="164">
        <f>(IF(COUNT($C141:F141)&lt;$D$138,F141,0))</f>
        <v>12.192071986923112</v>
      </c>
      <c r="H141" s="164">
        <f>(IF(COUNT($C141:G141)&lt;$D$138,G141,0))</f>
        <v>12.192071986923112</v>
      </c>
      <c r="I141" s="164">
        <f>(IF(COUNT($C141:H141)&lt;$D$138,H141,0))</f>
        <v>12.192071986923112</v>
      </c>
      <c r="J141" s="164">
        <f>(IF(COUNT($C141:I141)&lt;$D$138,I141,0))</f>
        <v>12.192071986923112</v>
      </c>
      <c r="K141" s="164">
        <f>(IF(COUNT($C141:J141)&lt;$D$138,J141,0))</f>
        <v>12.192071986923112</v>
      </c>
      <c r="L141" s="164">
        <f>(IF(COUNT($C141:K141)&lt;$D$138,K141,0))</f>
        <v>12.192071986923112</v>
      </c>
      <c r="M141" s="164">
        <f>(IF(COUNT($C141:L141)&lt;$D$138,L141,0))</f>
        <v>12.192071986923112</v>
      </c>
      <c r="N141" s="164">
        <f>(IF(COUNT($C141:M141)&lt;$D$138,M141,0))</f>
        <v>12.192071986923112</v>
      </c>
      <c r="O141" s="164">
        <f>(IF(COUNT($C141:N141)&lt;$D$138,N141,0))</f>
        <v>12.192071986923112</v>
      </c>
      <c r="P141" s="164">
        <f>(IF(COUNT($C141:O141)&lt;$D$138,O141,0))</f>
        <v>12.192071986923112</v>
      </c>
      <c r="Q141" s="164">
        <f>(IF(COUNT($C141:P141)&lt;$D$138,P141,0))</f>
        <v>12.192071986923112</v>
      </c>
      <c r="R141" s="164">
        <f>(IF(COUNT($C141:Q141)&lt;$D$138,Q141,0))</f>
        <v>12.192071986923112</v>
      </c>
      <c r="S141" s="164">
        <f>(IF(COUNT($C141:R141)&lt;$D$138,R141,0))</f>
        <v>12.192071986923112</v>
      </c>
      <c r="T141" s="164">
        <f>(IF(COUNT($C141:S141)&lt;$D$138,S141,0))</f>
        <v>12.192071986923112</v>
      </c>
      <c r="U141" s="164">
        <f>(IF(COUNT($C141:T141)&lt;$D$138,T141,0))</f>
        <v>12.192071986923112</v>
      </c>
      <c r="V141" s="164">
        <f>(IF(COUNT($C141:U141)&lt;$D$138,U141,0))</f>
        <v>12.192071986923112</v>
      </c>
      <c r="W141" s="164">
        <f>(IF(COUNT($C141:V141)&lt;$D$138,V141,0))</f>
        <v>12.192071986923112</v>
      </c>
      <c r="X141" s="164">
        <f>(IF(COUNT($C141:W141)&lt;$D$138,W141,0))</f>
        <v>0</v>
      </c>
      <c r="Y141" s="164">
        <f>(IF(COUNT($C141:X141)&lt;$D$138,X141,0))</f>
        <v>0</v>
      </c>
      <c r="Z141" s="164">
        <f>(IF(COUNT($C141:Y141)&lt;$D$138,Y141,0))</f>
        <v>0</v>
      </c>
      <c r="AA141" s="164">
        <f>(IF(COUNT($C141:Z141)&lt;$D$138,Z141,0))</f>
        <v>0</v>
      </c>
      <c r="AB141" s="164">
        <f>(IF(COUNT($C141:AA141)&lt;$D$138,AA141,0))</f>
        <v>0</v>
      </c>
      <c r="AC141" s="164">
        <f>(IF(COUNT($C141:AB141)&lt;$D$138,AB141,0))</f>
        <v>0</v>
      </c>
      <c r="AD141" s="165"/>
    </row>
    <row r="142" spans="1:30" ht="11.45" customHeight="1" outlineLevel="1" x14ac:dyDescent="0.2">
      <c r="A142" s="51"/>
      <c r="B142" s="138">
        <f t="shared" ref="B142:B171" si="138">B141+1</f>
        <v>1998</v>
      </c>
      <c r="C142" s="164"/>
      <c r="D142" s="164"/>
      <c r="E142" s="164">
        <f>E$17/E$138</f>
        <v>12.151247226024982</v>
      </c>
      <c r="F142" s="164">
        <f>(IF(COUNT($C142:E142)&lt;$E$138,E142,0))</f>
        <v>12.151247226024982</v>
      </c>
      <c r="G142" s="164">
        <f>(IF(COUNT($C142:F142)&lt;$E$138,F142,0))</f>
        <v>12.151247226024982</v>
      </c>
      <c r="H142" s="164">
        <f>(IF(COUNT($C142:G142)&lt;$E$138,G142,0))</f>
        <v>12.151247226024982</v>
      </c>
      <c r="I142" s="164">
        <f>(IF(COUNT($C142:H142)&lt;$E$138,H142,0))</f>
        <v>12.151247226024982</v>
      </c>
      <c r="J142" s="164">
        <f>(IF(COUNT($C142:I142)&lt;$E$138,I142,0))</f>
        <v>12.151247226024982</v>
      </c>
      <c r="K142" s="164">
        <f>(IF(COUNT($C142:J142)&lt;$E$138,J142,0))</f>
        <v>12.151247226024982</v>
      </c>
      <c r="L142" s="164">
        <f>(IF(COUNT($C142:K142)&lt;$E$138,K142,0))</f>
        <v>12.151247226024982</v>
      </c>
      <c r="M142" s="164">
        <f>(IF(COUNT($C142:L142)&lt;$E$138,L142,0))</f>
        <v>12.151247226024982</v>
      </c>
      <c r="N142" s="164">
        <f>(IF(COUNT($C142:M142)&lt;$E$138,M142,0))</f>
        <v>12.151247226024982</v>
      </c>
      <c r="O142" s="164">
        <f>(IF(COUNT($C142:N142)&lt;$E$138,N142,0))</f>
        <v>12.151247226024982</v>
      </c>
      <c r="P142" s="164">
        <f>(IF(COUNT($C142:O142)&lt;$E$138,O142,0))</f>
        <v>12.151247226024982</v>
      </c>
      <c r="Q142" s="164">
        <f>(IF(COUNT($C142:P142)&lt;$E$138,P142,0))</f>
        <v>12.151247226024982</v>
      </c>
      <c r="R142" s="164">
        <f>(IF(COUNT($C142:Q142)&lt;$E$138,Q142,0))</f>
        <v>12.151247226024982</v>
      </c>
      <c r="S142" s="164">
        <f>(IF(COUNT($C142:R142)&lt;$E$138,R142,0))</f>
        <v>12.151247226024982</v>
      </c>
      <c r="T142" s="164">
        <f>(IF(COUNT($C142:S142)&lt;$E$138,S142,0))</f>
        <v>12.151247226024982</v>
      </c>
      <c r="U142" s="164">
        <f>(IF(COUNT($C142:T142)&lt;$E$138,T142,0))</f>
        <v>12.151247226024982</v>
      </c>
      <c r="V142" s="164">
        <f>(IF(COUNT($C142:U142)&lt;$E$138,U142,0))</f>
        <v>12.151247226024982</v>
      </c>
      <c r="W142" s="164">
        <f>(IF(COUNT($C142:V142)&lt;$E$138,V142,0))</f>
        <v>12.151247226024982</v>
      </c>
      <c r="X142" s="164">
        <f>(IF(COUNT($C142:W142)&lt;$E$138,W142,0))</f>
        <v>12.151247226024982</v>
      </c>
      <c r="Y142" s="164">
        <f>(IF(COUNT($C142:X142)&lt;$E$138,X142,0))</f>
        <v>0</v>
      </c>
      <c r="Z142" s="164">
        <f>(IF(COUNT($C142:Y142)&lt;$E$138,Y142,0))</f>
        <v>0</v>
      </c>
      <c r="AA142" s="164">
        <f>(IF(COUNT($C142:Z142)&lt;$E$138,Z142,0))</f>
        <v>0</v>
      </c>
      <c r="AB142" s="164">
        <f>(IF(COUNT($C142:AA142)&lt;$E$138,AA142,0))</f>
        <v>0</v>
      </c>
      <c r="AC142" s="164">
        <f>(IF(COUNT($C142:AB142)&lt;$E$138,AB142,0))</f>
        <v>0</v>
      </c>
      <c r="AD142" s="165"/>
    </row>
    <row r="143" spans="1:30" ht="11.45" customHeight="1" outlineLevel="1" x14ac:dyDescent="0.2">
      <c r="A143" s="51"/>
      <c r="B143" s="138">
        <f t="shared" si="138"/>
        <v>1999</v>
      </c>
      <c r="C143" s="164"/>
      <c r="D143" s="164"/>
      <c r="E143" s="164"/>
      <c r="F143" s="164">
        <f>F$17/F$138</f>
        <v>20.663925721078982</v>
      </c>
      <c r="G143" s="164">
        <f>(IF(COUNT($C143:F143)&lt;$F$138,F143,0))</f>
        <v>20.663925721078982</v>
      </c>
      <c r="H143" s="164">
        <f>(IF(COUNT($C143:G143)&lt;$F$138,G143,0))</f>
        <v>20.663925721078982</v>
      </c>
      <c r="I143" s="164">
        <f>(IF(COUNT($C143:H143)&lt;$F$138,H143,0))</f>
        <v>20.663925721078982</v>
      </c>
      <c r="J143" s="164">
        <f>(IF(COUNT($C143:I143)&lt;$F$138,I143,0))</f>
        <v>20.663925721078982</v>
      </c>
      <c r="K143" s="164">
        <f>(IF(COUNT($C143:J143)&lt;$F$138,J143,0))</f>
        <v>20.663925721078982</v>
      </c>
      <c r="L143" s="164">
        <f>(IF(COUNT($C143:K143)&lt;$F$138,K143,0))</f>
        <v>20.663925721078982</v>
      </c>
      <c r="M143" s="164">
        <f>(IF(COUNT($C143:L143)&lt;$F$138,L143,0))</f>
        <v>20.663925721078982</v>
      </c>
      <c r="N143" s="164">
        <f>(IF(COUNT($C143:M143)&lt;$F$138,M143,0))</f>
        <v>20.663925721078982</v>
      </c>
      <c r="O143" s="164">
        <f>(IF(COUNT($C143:N143)&lt;$F$138,N143,0))</f>
        <v>20.663925721078982</v>
      </c>
      <c r="P143" s="164">
        <f>(IF(COUNT($C143:O143)&lt;$F$138,O143,0))</f>
        <v>20.663925721078982</v>
      </c>
      <c r="Q143" s="164">
        <f>(IF(COUNT($C143:P143)&lt;$F$138,P143,0))</f>
        <v>20.663925721078982</v>
      </c>
      <c r="R143" s="164">
        <f>(IF(COUNT($C143:Q143)&lt;$F$138,Q143,0))</f>
        <v>20.663925721078982</v>
      </c>
      <c r="S143" s="164">
        <f>(IF(COUNT($C143:R143)&lt;$F$138,R143,0))</f>
        <v>20.663925721078982</v>
      </c>
      <c r="T143" s="164">
        <f>(IF(COUNT($C143:S143)&lt;$F$138,S143,0))</f>
        <v>20.663925721078982</v>
      </c>
      <c r="U143" s="164">
        <f>(IF(COUNT($C143:T143)&lt;$F$138,T143,0))</f>
        <v>20.663925721078982</v>
      </c>
      <c r="V143" s="164">
        <f>(IF(COUNT($C143:U143)&lt;$F$138,U143,0))</f>
        <v>20.663925721078982</v>
      </c>
      <c r="W143" s="164">
        <f>(IF(COUNT($C143:V143)&lt;$F$138,V143,0))</f>
        <v>20.663925721078982</v>
      </c>
      <c r="X143" s="164">
        <f>(IF(COUNT($C143:W143)&lt;$F$138,W143,0))</f>
        <v>20.663925721078982</v>
      </c>
      <c r="Y143" s="164">
        <f>(IF(COUNT($C143:X143)&lt;$F$138,X143,0))</f>
        <v>20.663925721078982</v>
      </c>
      <c r="Z143" s="164">
        <f>(IF(COUNT($C143:Y143)&lt;$F$138,Y143,0))</f>
        <v>0</v>
      </c>
      <c r="AA143" s="164">
        <f>(IF(COUNT($C143:Z143)&lt;$F$138,Z143,0))</f>
        <v>0</v>
      </c>
      <c r="AB143" s="164">
        <f>(IF(COUNT($C143:AA143)&lt;$F$138,AA143,0))</f>
        <v>0</v>
      </c>
      <c r="AC143" s="164">
        <f>(IF(COUNT($C143:AB143)&lt;$F$138,AB143,0))</f>
        <v>0</v>
      </c>
      <c r="AD143" s="165"/>
    </row>
    <row r="144" spans="1:30" ht="11.45" customHeight="1" outlineLevel="1" x14ac:dyDescent="0.2">
      <c r="A144" s="51"/>
      <c r="B144" s="138">
        <f t="shared" si="138"/>
        <v>2000</v>
      </c>
      <c r="C144" s="164"/>
      <c r="D144" s="22"/>
      <c r="E144" s="22"/>
      <c r="F144" s="164"/>
      <c r="G144" s="164">
        <f>G$17/G$138</f>
        <v>15.297294581131302</v>
      </c>
      <c r="H144" s="164">
        <f>(IF(COUNT($C144:G144)&lt;$G$138,G144,0))</f>
        <v>15.297294581131302</v>
      </c>
      <c r="I144" s="164">
        <f>(IF(COUNT($C144:H144)&lt;$G$138,H144,0))</f>
        <v>15.297294581131302</v>
      </c>
      <c r="J144" s="164">
        <f>(IF(COUNT($C144:I144)&lt;$G$138,I144,0))</f>
        <v>15.297294581131302</v>
      </c>
      <c r="K144" s="164">
        <f>(IF(COUNT($C144:J144)&lt;$G$138,J144,0))</f>
        <v>15.297294581131302</v>
      </c>
      <c r="L144" s="164">
        <f>(IF(COUNT($C144:K144)&lt;$G$138,K144,0))</f>
        <v>15.297294581131302</v>
      </c>
      <c r="M144" s="164">
        <f>(IF(COUNT($C144:L144)&lt;$G$138,L144,0))</f>
        <v>15.297294581131302</v>
      </c>
      <c r="N144" s="164">
        <f>(IF(COUNT($C144:M144)&lt;$G$138,M144,0))</f>
        <v>15.297294581131302</v>
      </c>
      <c r="O144" s="164">
        <f>(IF(COUNT($C144:N144)&lt;$G$138,N144,0))</f>
        <v>15.297294581131302</v>
      </c>
      <c r="P144" s="164">
        <f>(IF(COUNT($C144:O144)&lt;$G$138,O144,0))</f>
        <v>15.297294581131302</v>
      </c>
      <c r="Q144" s="164">
        <f>(IF(COUNT($C144:P144)&lt;$G$138,P144,0))</f>
        <v>15.297294581131302</v>
      </c>
      <c r="R144" s="164">
        <f>(IF(COUNT($C144:Q144)&lt;$G$138,Q144,0))</f>
        <v>15.297294581131302</v>
      </c>
      <c r="S144" s="164">
        <f>(IF(COUNT($C144:R144)&lt;$G$138,R144,0))</f>
        <v>15.297294581131302</v>
      </c>
      <c r="T144" s="164">
        <f>(IF(COUNT($C144:S144)&lt;$G$138,S144,0))</f>
        <v>15.297294581131302</v>
      </c>
      <c r="U144" s="164">
        <f>(IF(COUNT($C144:T144)&lt;$G$138,T144,0))</f>
        <v>15.297294581131302</v>
      </c>
      <c r="V144" s="164">
        <f>(IF(COUNT($C144:U144)&lt;$G$138,U144,0))</f>
        <v>15.297294581131302</v>
      </c>
      <c r="W144" s="164">
        <f>(IF(COUNT($C144:V144)&lt;$G$138,V144,0))</f>
        <v>15.297294581131302</v>
      </c>
      <c r="X144" s="164">
        <f>(IF(COUNT($C144:W144)&lt;$G$138,W144,0))</f>
        <v>15.297294581131302</v>
      </c>
      <c r="Y144" s="164">
        <f>(IF(COUNT($C144:X144)&lt;$G$138,X144,0))</f>
        <v>15.297294581131302</v>
      </c>
      <c r="Z144" s="164">
        <f>(IF(COUNT($C144:Y144)&lt;$G$138,Y144,0))</f>
        <v>0</v>
      </c>
      <c r="AA144" s="164">
        <f>(IF(COUNT($C144:Z144)&lt;$G$138,Z144,0))</f>
        <v>0</v>
      </c>
      <c r="AB144" s="164">
        <f>(IF(COUNT($C144:AA144)&lt;$G$138,AA144,0))</f>
        <v>0</v>
      </c>
      <c r="AC144" s="164">
        <f>(IF(COUNT($C144:AB144)&lt;$G$138,AB144,0))</f>
        <v>0</v>
      </c>
      <c r="AD144" s="165"/>
    </row>
    <row r="145" spans="1:30" ht="11.45" customHeight="1" outlineLevel="1" x14ac:dyDescent="0.2">
      <c r="A145" s="51"/>
      <c r="B145" s="138">
        <f t="shared" si="138"/>
        <v>2001</v>
      </c>
      <c r="C145" s="164"/>
      <c r="D145" s="164"/>
      <c r="E145" s="164"/>
      <c r="F145" s="164"/>
      <c r="G145" s="164"/>
      <c r="H145" s="164">
        <f>H$17/H$138</f>
        <v>21.620043110550615</v>
      </c>
      <c r="I145" s="164">
        <f>(IF(COUNT($C145:H145)&lt;$H$138,H145,0))</f>
        <v>21.620043110550615</v>
      </c>
      <c r="J145" s="164">
        <f>(IF(COUNT($C145:I145)&lt;$H$138,I145,0))</f>
        <v>21.620043110550615</v>
      </c>
      <c r="K145" s="164">
        <f>(IF(COUNT($C145:J145)&lt;$H$138,J145,0))</f>
        <v>21.620043110550615</v>
      </c>
      <c r="L145" s="164">
        <f>(IF(COUNT($C145:K145)&lt;$H$138,K145,0))</f>
        <v>21.620043110550615</v>
      </c>
      <c r="M145" s="164">
        <f>(IF(COUNT($C145:L145)&lt;$H$138,L145,0))</f>
        <v>21.620043110550615</v>
      </c>
      <c r="N145" s="164">
        <f>(IF(COUNT($C145:M145)&lt;$H$138,M145,0))</f>
        <v>21.620043110550615</v>
      </c>
      <c r="O145" s="164">
        <f>(IF(COUNT($C145:N145)&lt;$H$138,N145,0))</f>
        <v>21.620043110550615</v>
      </c>
      <c r="P145" s="164">
        <f>(IF(COUNT($C145:O145)&lt;$H$138,O145,0))</f>
        <v>21.620043110550615</v>
      </c>
      <c r="Q145" s="164">
        <f>(IF(COUNT($C145:P145)&lt;$H$138,P145,0))</f>
        <v>21.620043110550615</v>
      </c>
      <c r="R145" s="164">
        <f>(IF(COUNT($C145:Q145)&lt;$H$138,Q145,0))</f>
        <v>21.620043110550615</v>
      </c>
      <c r="S145" s="164">
        <f>(IF(COUNT($C145:R145)&lt;$H$138,R145,0))</f>
        <v>21.620043110550615</v>
      </c>
      <c r="T145" s="164">
        <f>(IF(COUNT($C145:S145)&lt;$H$138,S145,0))</f>
        <v>21.620043110550615</v>
      </c>
      <c r="U145" s="164">
        <f>(IF(COUNT($C145:T145)&lt;$H$138,T145,0))</f>
        <v>21.620043110550615</v>
      </c>
      <c r="V145" s="164">
        <f>(IF(COUNT($C145:U145)&lt;$H$138,U145,0))</f>
        <v>21.620043110550615</v>
      </c>
      <c r="W145" s="164">
        <f>(IF(COUNT($C145:V145)&lt;$H$138,V145,0))</f>
        <v>21.620043110550615</v>
      </c>
      <c r="X145" s="164">
        <f>(IF(COUNT($C145:W145)&lt;$H$138,W145,0))</f>
        <v>21.620043110550615</v>
      </c>
      <c r="Y145" s="164">
        <f>(IF(COUNT($C145:X145)&lt;$H$138,X145,0))</f>
        <v>21.620043110550615</v>
      </c>
      <c r="Z145" s="164">
        <f>(IF(COUNT($C145:Y145)&lt;$H$138,Y145,0))</f>
        <v>21.620043110550615</v>
      </c>
      <c r="AA145" s="164">
        <f>(IF(COUNT($C145:Z145)&lt;$H$138,Z145,0))</f>
        <v>0</v>
      </c>
      <c r="AB145" s="164">
        <f>(IF(COUNT($C145:AA145)&lt;$H$138,AA145,0))</f>
        <v>0</v>
      </c>
      <c r="AC145" s="164">
        <f>(IF(COUNT($C145:AB145)&lt;$H$138,AB145,0))</f>
        <v>0</v>
      </c>
      <c r="AD145" s="165"/>
    </row>
    <row r="146" spans="1:30" ht="11.45" customHeight="1" outlineLevel="1" x14ac:dyDescent="0.2">
      <c r="A146" s="51"/>
      <c r="B146" s="138">
        <f t="shared" si="138"/>
        <v>2002</v>
      </c>
      <c r="C146" s="164"/>
      <c r="D146" s="164"/>
      <c r="E146" s="164"/>
      <c r="F146" s="164"/>
      <c r="G146" s="164"/>
      <c r="H146" s="164"/>
      <c r="I146" s="164">
        <f>I$17/I$138</f>
        <v>31.684824438230319</v>
      </c>
      <c r="J146" s="164">
        <f>(IF(COUNT($C146:I146)&lt;$I$138,I146,0))</f>
        <v>31.684824438230319</v>
      </c>
      <c r="K146" s="164">
        <f>(IF(COUNT($C146:J146)&lt;$I$138,J146,0))</f>
        <v>31.684824438230319</v>
      </c>
      <c r="L146" s="164">
        <f>(IF(COUNT($C146:K146)&lt;$I$138,K146,0))</f>
        <v>31.684824438230319</v>
      </c>
      <c r="M146" s="164">
        <f>(IF(COUNT($C146:L146)&lt;$I$138,L146,0))</f>
        <v>31.684824438230319</v>
      </c>
      <c r="N146" s="164">
        <f>(IF(COUNT($C146:M146)&lt;$I$138,M146,0))</f>
        <v>31.684824438230319</v>
      </c>
      <c r="O146" s="164">
        <f>(IF(COUNT($C146:N146)&lt;$I$138,N146,0))</f>
        <v>31.684824438230319</v>
      </c>
      <c r="P146" s="164">
        <f>(IF(COUNT($C146:O146)&lt;$I$138,O146,0))</f>
        <v>31.684824438230319</v>
      </c>
      <c r="Q146" s="164">
        <f>(IF(COUNT($C146:P146)&lt;$I$138,P146,0))</f>
        <v>31.684824438230319</v>
      </c>
      <c r="R146" s="164">
        <f>(IF(COUNT($C146:Q146)&lt;$I$138,Q146,0))</f>
        <v>31.684824438230319</v>
      </c>
      <c r="S146" s="164">
        <f>(IF(COUNT($C146:R146)&lt;$I$138,R146,0))</f>
        <v>31.684824438230319</v>
      </c>
      <c r="T146" s="164">
        <f>(IF(COUNT($C146:S146)&lt;$I$138,S146,0))</f>
        <v>31.684824438230319</v>
      </c>
      <c r="U146" s="164">
        <f>(IF(COUNT($C146:T146)&lt;$I$138,T146,0))</f>
        <v>31.684824438230319</v>
      </c>
      <c r="V146" s="164">
        <f>(IF(COUNT($C146:U146)&lt;$I$138,U146,0))</f>
        <v>31.684824438230319</v>
      </c>
      <c r="W146" s="164">
        <f>(IF(COUNT($C146:V146)&lt;$I$138,V146,0))</f>
        <v>31.684824438230319</v>
      </c>
      <c r="X146" s="164">
        <f>(IF(COUNT($C146:W146)&lt;$I$138,W146,0))</f>
        <v>31.684824438230319</v>
      </c>
      <c r="Y146" s="164">
        <f>(IF(COUNT($C146:X146)&lt;$I$138,X146,0))</f>
        <v>31.684824438230319</v>
      </c>
      <c r="Z146" s="164">
        <f>(IF(COUNT($C146:Y146)&lt;$I$138,Y146,0))</f>
        <v>31.684824438230319</v>
      </c>
      <c r="AA146" s="164">
        <f>(IF(COUNT($C146:Z146)&lt;$I$138,Z146,0))</f>
        <v>31.684824438230319</v>
      </c>
      <c r="AB146" s="164">
        <f>(IF(COUNT($C146:AA146)&lt;$I$138,AA146,0))</f>
        <v>0</v>
      </c>
      <c r="AC146" s="164">
        <f>(IF(COUNT($C146:AB146)&lt;$I$138,AB146,0))</f>
        <v>0</v>
      </c>
      <c r="AD146" s="165"/>
    </row>
    <row r="147" spans="1:30" ht="11.45" customHeight="1" outlineLevel="1" x14ac:dyDescent="0.2">
      <c r="A147" s="51"/>
      <c r="B147" s="138">
        <f t="shared" si="138"/>
        <v>2003</v>
      </c>
      <c r="C147" s="164"/>
      <c r="D147" s="164"/>
      <c r="E147" s="164"/>
      <c r="F147" s="164"/>
      <c r="G147" s="164"/>
      <c r="H147" s="164"/>
      <c r="I147" s="164"/>
      <c r="J147" s="164">
        <f>J$17/J$138</f>
        <v>22.348900803149135</v>
      </c>
      <c r="K147" s="164">
        <f>(IF(COUNT($C147:J147)&lt;$J$138,J147,0))</f>
        <v>22.348900803149135</v>
      </c>
      <c r="L147" s="164">
        <f>(IF(COUNT($C147:K147)&lt;$J$138,K147,0))</f>
        <v>22.348900803149135</v>
      </c>
      <c r="M147" s="164">
        <f>(IF(COUNT($C147:L147)&lt;$J$138,L147,0))</f>
        <v>22.348900803149135</v>
      </c>
      <c r="N147" s="164">
        <f>(IF(COUNT($C147:M147)&lt;$J$138,M147,0))</f>
        <v>22.348900803149135</v>
      </c>
      <c r="O147" s="164">
        <f>(IF(COUNT($C147:N147)&lt;$J$138,N147,0))</f>
        <v>22.348900803149135</v>
      </c>
      <c r="P147" s="164">
        <f>(IF(COUNT($C147:O147)&lt;$J$138,O147,0))</f>
        <v>22.348900803149135</v>
      </c>
      <c r="Q147" s="164">
        <f>(IF(COUNT($C147:P147)&lt;$J$138,P147,0))</f>
        <v>22.348900803149135</v>
      </c>
      <c r="R147" s="164">
        <f>(IF(COUNT($C147:Q147)&lt;$J$138,Q147,0))</f>
        <v>22.348900803149135</v>
      </c>
      <c r="S147" s="164">
        <f>(IF(COUNT($C147:R147)&lt;$J$138,R147,0))</f>
        <v>22.348900803149135</v>
      </c>
      <c r="T147" s="164">
        <f>(IF(COUNT($C147:S147)&lt;$J$138,S147,0))</f>
        <v>22.348900803149135</v>
      </c>
      <c r="U147" s="164">
        <f>(IF(COUNT($C147:T147)&lt;$J$138,T147,0))</f>
        <v>22.348900803149135</v>
      </c>
      <c r="V147" s="164">
        <f>(IF(COUNT($C147:U147)&lt;$J$138,U147,0))</f>
        <v>22.348900803149135</v>
      </c>
      <c r="W147" s="164">
        <f>(IF(COUNT($C147:V147)&lt;$J$138,V147,0))</f>
        <v>22.348900803149135</v>
      </c>
      <c r="X147" s="164">
        <f>(IF(COUNT($C147:W147)&lt;$J$138,W147,0))</f>
        <v>22.348900803149135</v>
      </c>
      <c r="Y147" s="164">
        <f>(IF(COUNT($C147:X147)&lt;$J$138,X147,0))</f>
        <v>22.348900803149135</v>
      </c>
      <c r="Z147" s="164">
        <f>(IF(COUNT($C147:Y147)&lt;$J$138,Y147,0))</f>
        <v>22.348900803149135</v>
      </c>
      <c r="AA147" s="164">
        <f>(IF(COUNT($C147:Z147)&lt;$J$138,Z147,0))</f>
        <v>22.348900803149135</v>
      </c>
      <c r="AB147" s="164">
        <f>(IF(COUNT($C147:AA147)&lt;$J$138,AA147,0))</f>
        <v>22.348900803149135</v>
      </c>
      <c r="AC147" s="164">
        <f>(IF(COUNT($C147:AB147)&lt;$J$138,AB147,0))</f>
        <v>0</v>
      </c>
      <c r="AD147" s="165"/>
    </row>
    <row r="148" spans="1:30" ht="11.45" customHeight="1" outlineLevel="1" x14ac:dyDescent="0.2">
      <c r="A148" s="51"/>
      <c r="B148" s="138">
        <f t="shared" si="138"/>
        <v>2004</v>
      </c>
      <c r="C148" s="164"/>
      <c r="D148" s="164"/>
      <c r="E148" s="164"/>
      <c r="F148" s="164"/>
      <c r="G148" s="164"/>
      <c r="H148" s="164"/>
      <c r="I148" s="164"/>
      <c r="J148" s="164"/>
      <c r="K148" s="164">
        <f>K$17/K$138</f>
        <v>18.501372408712644</v>
      </c>
      <c r="L148" s="164">
        <f>(IF(COUNT($C148:K148)&lt;$K$138,K148,0))</f>
        <v>18.501372408712644</v>
      </c>
      <c r="M148" s="164">
        <f>(IF(COUNT($C148:L148)&lt;$K$138,L148,0))</f>
        <v>18.501372408712644</v>
      </c>
      <c r="N148" s="164">
        <f>(IF(COUNT($C148:M148)&lt;$K$138,M148,0))</f>
        <v>18.501372408712644</v>
      </c>
      <c r="O148" s="164">
        <f>(IF(COUNT($C148:N148)&lt;$K$138,N148,0))</f>
        <v>18.501372408712644</v>
      </c>
      <c r="P148" s="164">
        <f>(IF(COUNT($C148:O148)&lt;$K$138,O148,0))</f>
        <v>18.501372408712644</v>
      </c>
      <c r="Q148" s="164">
        <f>(IF(COUNT($C148:P148)&lt;$K$138,P148,0))</f>
        <v>18.501372408712644</v>
      </c>
      <c r="R148" s="164">
        <f>(IF(COUNT($C148:Q148)&lt;$K$138,Q148,0))</f>
        <v>18.501372408712644</v>
      </c>
      <c r="S148" s="164">
        <f>(IF(COUNT($C148:R148)&lt;$K$138,R148,0))</f>
        <v>18.501372408712644</v>
      </c>
      <c r="T148" s="164">
        <f>(IF(COUNT($C148:S148)&lt;$K$138,S148,0))</f>
        <v>18.501372408712644</v>
      </c>
      <c r="U148" s="164">
        <f>(IF(COUNT($C148:T148)&lt;$K$138,T148,0))</f>
        <v>18.501372408712644</v>
      </c>
      <c r="V148" s="164">
        <f>(IF(COUNT($C148:U148)&lt;$K$138,U148,0))</f>
        <v>18.501372408712644</v>
      </c>
      <c r="W148" s="164">
        <f>(IF(COUNT($C148:V148)&lt;$K$138,V148,0))</f>
        <v>18.501372408712644</v>
      </c>
      <c r="X148" s="164">
        <f>(IF(COUNT($C148:W148)&lt;$K$138,W148,0))</f>
        <v>18.501372408712644</v>
      </c>
      <c r="Y148" s="164">
        <f>(IF(COUNT($C148:X148)&lt;$K$138,X148,0))</f>
        <v>18.501372408712644</v>
      </c>
      <c r="Z148" s="164">
        <f>(IF(COUNT($C148:Y148)&lt;$K$138,Y148,0))</f>
        <v>18.501372408712644</v>
      </c>
      <c r="AA148" s="164">
        <f>(IF(COUNT($C148:Z148)&lt;$K$138,Z148,0))</f>
        <v>18.501372408712644</v>
      </c>
      <c r="AB148" s="164">
        <f>(IF(COUNT($C148:AA148)&lt;$K$138,AA148,0))</f>
        <v>18.501372408712644</v>
      </c>
      <c r="AC148" s="164">
        <f>(IF(COUNT($C148:AB148)&lt;$K$138,AB148,0))</f>
        <v>18.501372408712644</v>
      </c>
      <c r="AD148" s="165"/>
    </row>
    <row r="149" spans="1:30" ht="11.45" customHeight="1" outlineLevel="1" x14ac:dyDescent="0.2">
      <c r="A149" s="51"/>
      <c r="B149" s="138">
        <f t="shared" si="138"/>
        <v>2005</v>
      </c>
      <c r="C149" s="164"/>
      <c r="D149" s="164"/>
      <c r="E149" s="164"/>
      <c r="F149" s="164"/>
      <c r="G149" s="164"/>
      <c r="H149" s="164"/>
      <c r="I149" s="164"/>
      <c r="J149" s="164"/>
      <c r="K149" s="164"/>
      <c r="L149" s="164">
        <f>L$17/L$138</f>
        <v>18.844076324589743</v>
      </c>
      <c r="M149" s="164">
        <f>(IF(COUNT($C149:L149)&lt;$L$138,L149,0))</f>
        <v>18.844076324589743</v>
      </c>
      <c r="N149" s="164">
        <f>(IF(COUNT($C149:M149)&lt;$L$138,M149,0))</f>
        <v>18.844076324589743</v>
      </c>
      <c r="O149" s="164">
        <f>(IF(COUNT($C149:N149)&lt;$L$138,N149,0))</f>
        <v>18.844076324589743</v>
      </c>
      <c r="P149" s="164">
        <f>(IF(COUNT($C149:O149)&lt;$L$138,O149,0))</f>
        <v>18.844076324589743</v>
      </c>
      <c r="Q149" s="164">
        <f>(IF(COUNT($C149:P149)&lt;$L$138,P149,0))</f>
        <v>18.844076324589743</v>
      </c>
      <c r="R149" s="164">
        <f>(IF(COUNT($C149:Q149)&lt;$L$138,Q149,0))</f>
        <v>18.844076324589743</v>
      </c>
      <c r="S149" s="164">
        <f>(IF(COUNT($C149:R149)&lt;$L$138,R149,0))</f>
        <v>18.844076324589743</v>
      </c>
      <c r="T149" s="164">
        <f>(IF(COUNT($C149:S149)&lt;$L$138,S149,0))</f>
        <v>18.844076324589743</v>
      </c>
      <c r="U149" s="164">
        <f>(IF(COUNT($C149:T149)&lt;$L$138,T149,0))</f>
        <v>18.844076324589743</v>
      </c>
      <c r="V149" s="164">
        <f>(IF(COUNT($C149:U149)&lt;$L$138,U149,0))</f>
        <v>18.844076324589743</v>
      </c>
      <c r="W149" s="164">
        <f>(IF(COUNT($C149:V149)&lt;$L$138,V149,0))</f>
        <v>18.844076324589743</v>
      </c>
      <c r="X149" s="164">
        <f>(IF(COUNT($C149:W149)&lt;$L$138,W149,0))</f>
        <v>18.844076324589743</v>
      </c>
      <c r="Y149" s="164">
        <f>(IF(COUNT($C149:X149)&lt;$L$138,X149,0))</f>
        <v>18.844076324589743</v>
      </c>
      <c r="Z149" s="164">
        <f>(IF(COUNT($C149:Y149)&lt;$L$138,Y149,0))</f>
        <v>18.844076324589743</v>
      </c>
      <c r="AA149" s="164">
        <f>(IF(COUNT($C149:Z149)&lt;$L$138,Z149,0))</f>
        <v>18.844076324589743</v>
      </c>
      <c r="AB149" s="164">
        <f>(IF(COUNT($C149:AA149)&lt;$L$138,AA149,0))</f>
        <v>18.844076324589743</v>
      </c>
      <c r="AC149" s="164">
        <f>(IF(COUNT($C149:AB149)&lt;$L$138,AB149,0))</f>
        <v>18.844076324589743</v>
      </c>
      <c r="AD149" s="165"/>
    </row>
    <row r="150" spans="1:30" ht="11.45" customHeight="1" outlineLevel="1" x14ac:dyDescent="0.2">
      <c r="A150" s="51"/>
      <c r="B150" s="138">
        <f t="shared" si="138"/>
        <v>2006</v>
      </c>
      <c r="C150" s="164"/>
      <c r="D150" s="164"/>
      <c r="E150" s="164"/>
      <c r="F150" s="164"/>
      <c r="G150" s="164"/>
      <c r="H150" s="164"/>
      <c r="I150" s="164"/>
      <c r="J150" s="164"/>
      <c r="K150" s="164"/>
      <c r="L150" s="164"/>
      <c r="M150" s="164">
        <f>M$17/M$138</f>
        <v>25.794981494786242</v>
      </c>
      <c r="N150" s="164">
        <f>(IF(COUNT($C150:M150)&lt;$M$138,M150,0))</f>
        <v>25.794981494786242</v>
      </c>
      <c r="O150" s="164">
        <f>(IF(COUNT($C150:N150)&lt;$M$138,N150,0))</f>
        <v>25.794981494786242</v>
      </c>
      <c r="P150" s="164">
        <f>(IF(COUNT($C150:O150)&lt;$M$138,O150,0))</f>
        <v>25.794981494786242</v>
      </c>
      <c r="Q150" s="164">
        <f>(IF(COUNT($C150:P150)&lt;$M$138,P150,0))</f>
        <v>25.794981494786242</v>
      </c>
      <c r="R150" s="164">
        <f>(IF(COUNT($C150:Q150)&lt;$M$138,Q150,0))</f>
        <v>25.794981494786242</v>
      </c>
      <c r="S150" s="164">
        <f>(IF(COUNT($C150:R150)&lt;$M$138,R150,0))</f>
        <v>25.794981494786242</v>
      </c>
      <c r="T150" s="164">
        <f>(IF(COUNT($C150:S150)&lt;$M$138,S150,0))</f>
        <v>25.794981494786242</v>
      </c>
      <c r="U150" s="164">
        <f>(IF(COUNT($C150:T150)&lt;$M$138,T150,0))</f>
        <v>25.794981494786242</v>
      </c>
      <c r="V150" s="164">
        <f>(IF(COUNT($C150:U150)&lt;$M$138,U150,0))</f>
        <v>25.794981494786242</v>
      </c>
      <c r="W150" s="164">
        <f>(IF(COUNT($C150:V150)&lt;$M$138,V150,0))</f>
        <v>25.794981494786242</v>
      </c>
      <c r="X150" s="164">
        <f>(IF(COUNT($C150:W150)&lt;$M$138,W150,0))</f>
        <v>25.794981494786242</v>
      </c>
      <c r="Y150" s="164">
        <f>(IF(COUNT($C150:X150)&lt;$M$138,X150,0))</f>
        <v>25.794981494786242</v>
      </c>
      <c r="Z150" s="164">
        <f>(IF(COUNT($C150:Y150)&lt;$M$138,Y150,0))</f>
        <v>25.794981494786242</v>
      </c>
      <c r="AA150" s="164">
        <f>(IF(COUNT($C150:Z150)&lt;$M$138,Z150,0))</f>
        <v>25.794981494786242</v>
      </c>
      <c r="AB150" s="164">
        <f>(IF(COUNT($C150:AA150)&lt;$M$138,AA150,0))</f>
        <v>25.794981494786242</v>
      </c>
      <c r="AC150" s="164">
        <f>(IF(COUNT($C150:AB150)&lt;$M$138,AB150,0))</f>
        <v>25.794981494786242</v>
      </c>
      <c r="AD150" s="165"/>
    </row>
    <row r="151" spans="1:30" ht="11.45" customHeight="1" outlineLevel="1" x14ac:dyDescent="0.2">
      <c r="A151" s="51"/>
      <c r="B151" s="138">
        <f t="shared" si="138"/>
        <v>2007</v>
      </c>
      <c r="C151" s="164"/>
      <c r="D151" s="164"/>
      <c r="E151" s="164"/>
      <c r="F151" s="164"/>
      <c r="G151" s="164"/>
      <c r="H151" s="164"/>
      <c r="I151" s="164"/>
      <c r="J151" s="164"/>
      <c r="K151" s="164"/>
      <c r="L151" s="164"/>
      <c r="M151" s="164"/>
      <c r="N151" s="164">
        <f>N$17/N$138</f>
        <v>26.493884660802749</v>
      </c>
      <c r="O151" s="164">
        <f>(IF(COUNT($C151:N151)&lt;$N$138,N151,0))</f>
        <v>26.493884660802749</v>
      </c>
      <c r="P151" s="164">
        <f>(IF(COUNT($C151:O151)&lt;$N$138,O151,0))</f>
        <v>26.493884660802749</v>
      </c>
      <c r="Q151" s="164">
        <f>(IF(COUNT($C151:P151)&lt;$N$138,P151,0))</f>
        <v>26.493884660802749</v>
      </c>
      <c r="R151" s="164">
        <f>(IF(COUNT($C151:Q151)&lt;$N$138,Q151,0))</f>
        <v>26.493884660802749</v>
      </c>
      <c r="S151" s="164">
        <f>(IF(COUNT($C151:R151)&lt;$N$138,R151,0))</f>
        <v>26.493884660802749</v>
      </c>
      <c r="T151" s="164">
        <f>(IF(COUNT($C151:S151)&lt;$N$138,S151,0))</f>
        <v>26.493884660802749</v>
      </c>
      <c r="U151" s="164">
        <f>(IF(COUNT($C151:T151)&lt;$N$138,T151,0))</f>
        <v>26.493884660802749</v>
      </c>
      <c r="V151" s="164">
        <f>(IF(COUNT($C151:U151)&lt;$N$138,U151,0))</f>
        <v>26.493884660802749</v>
      </c>
      <c r="W151" s="164">
        <f>(IF(COUNT($C151:V151)&lt;$N$138,V151,0))</f>
        <v>26.493884660802749</v>
      </c>
      <c r="X151" s="164">
        <f>(IF(COUNT($C151:W151)&lt;$N$138,W151,0))</f>
        <v>26.493884660802749</v>
      </c>
      <c r="Y151" s="164">
        <f>(IF(COUNT($C151:X151)&lt;$N$138,X151,0))</f>
        <v>26.493884660802749</v>
      </c>
      <c r="Z151" s="164">
        <f>(IF(COUNT($C151:Y151)&lt;$N$138,Y151,0))</f>
        <v>26.493884660802749</v>
      </c>
      <c r="AA151" s="164">
        <f>(IF(COUNT($C151:Z151)&lt;$N$138,Z151,0))</f>
        <v>26.493884660802749</v>
      </c>
      <c r="AB151" s="164">
        <f>(IF(COUNT($C151:AA151)&lt;$N$138,AA151,0))</f>
        <v>26.493884660802749</v>
      </c>
      <c r="AC151" s="164">
        <f>(IF(COUNT($C151:AB151)&lt;$N$138,AB151,0))</f>
        <v>26.493884660802749</v>
      </c>
      <c r="AD151" s="165"/>
    </row>
    <row r="152" spans="1:30" ht="11.45" customHeight="1" outlineLevel="1" x14ac:dyDescent="0.2">
      <c r="A152" s="51"/>
      <c r="B152" s="138">
        <f t="shared" si="138"/>
        <v>2008</v>
      </c>
      <c r="C152" s="164"/>
      <c r="D152" s="164"/>
      <c r="E152" s="164"/>
      <c r="F152" s="164"/>
      <c r="G152" s="164"/>
      <c r="H152" s="164"/>
      <c r="I152" s="164"/>
      <c r="J152" s="164"/>
      <c r="K152" s="164"/>
      <c r="L152" s="164"/>
      <c r="M152" s="164"/>
      <c r="N152" s="164"/>
      <c r="O152" s="164">
        <f>O$17/O$138</f>
        <v>40.90974386314047</v>
      </c>
      <c r="P152" s="164">
        <f>(IF(COUNT($C152:O152)&lt;$O$138,O152,0))</f>
        <v>40.90974386314047</v>
      </c>
      <c r="Q152" s="164">
        <f>(IF(COUNT($C152:P152)&lt;$O$138,P152,0))</f>
        <v>40.90974386314047</v>
      </c>
      <c r="R152" s="164">
        <f>(IF(COUNT($C152:Q152)&lt;$O$138,Q152,0))</f>
        <v>40.90974386314047</v>
      </c>
      <c r="S152" s="164">
        <f>(IF(COUNT($C152:R152)&lt;$O$138,R152,0))</f>
        <v>40.90974386314047</v>
      </c>
      <c r="T152" s="164">
        <f>(IF(COUNT($C152:S152)&lt;$O$138,S152,0))</f>
        <v>40.90974386314047</v>
      </c>
      <c r="U152" s="164">
        <f>(IF(COUNT($C152:T152)&lt;$O$138,T152,0))</f>
        <v>40.90974386314047</v>
      </c>
      <c r="V152" s="164">
        <f>(IF(COUNT($C152:U152)&lt;$O$138,U152,0))</f>
        <v>40.90974386314047</v>
      </c>
      <c r="W152" s="164">
        <f>(IF(COUNT($C152:V152)&lt;$O$138,V152,0))</f>
        <v>40.90974386314047</v>
      </c>
      <c r="X152" s="164">
        <f>(IF(COUNT($C152:W152)&lt;$O$138,W152,0))</f>
        <v>40.90974386314047</v>
      </c>
      <c r="Y152" s="164">
        <f>(IF(COUNT($C152:X152)&lt;$O$138,X152,0))</f>
        <v>40.90974386314047</v>
      </c>
      <c r="Z152" s="164">
        <f>(IF(COUNT($C152:Y152)&lt;$O$138,Y152,0))</f>
        <v>40.90974386314047</v>
      </c>
      <c r="AA152" s="164">
        <f>(IF(COUNT($C152:Z152)&lt;$O$138,Z152,0))</f>
        <v>40.90974386314047</v>
      </c>
      <c r="AB152" s="164">
        <f>(IF(COUNT($C152:AA152)&lt;$O$138,AA152,0))</f>
        <v>40.90974386314047</v>
      </c>
      <c r="AC152" s="164">
        <f>(IF(COUNT($C152:AB152)&lt;$O$138,AB152,0))</f>
        <v>40.90974386314047</v>
      </c>
      <c r="AD152" s="165"/>
    </row>
    <row r="153" spans="1:30" ht="11.45" customHeight="1" outlineLevel="1" x14ac:dyDescent="0.2">
      <c r="A153" s="51"/>
      <c r="B153" s="138">
        <f t="shared" si="138"/>
        <v>2009</v>
      </c>
      <c r="C153" s="164"/>
      <c r="D153" s="164"/>
      <c r="E153" s="164"/>
      <c r="F153" s="164"/>
      <c r="G153" s="164"/>
      <c r="H153" s="164"/>
      <c r="I153" s="164"/>
      <c r="J153" s="164"/>
      <c r="K153" s="164"/>
      <c r="L153" s="164"/>
      <c r="M153" s="164"/>
      <c r="N153" s="164"/>
      <c r="O153" s="164"/>
      <c r="P153" s="164">
        <f>P$17/P$138</f>
        <v>14.464637337367133</v>
      </c>
      <c r="Q153" s="164">
        <f>(IF(COUNT($C153:P153)&lt;$P$138,P153,0))</f>
        <v>14.464637337367133</v>
      </c>
      <c r="R153" s="164">
        <f>(IF(COUNT($C153:Q153)&lt;$P$138,Q153,0))</f>
        <v>14.464637337367133</v>
      </c>
      <c r="S153" s="164">
        <f>(IF(COUNT($C153:R153)&lt;$P$138,R153,0))</f>
        <v>14.464637337367133</v>
      </c>
      <c r="T153" s="164">
        <f>(IF(COUNT($C153:S153)&lt;$P$138,S153,0))</f>
        <v>14.464637337367133</v>
      </c>
      <c r="U153" s="164">
        <f>(IF(COUNT($C153:T153)&lt;$P$138,T153,0))</f>
        <v>14.464637337367133</v>
      </c>
      <c r="V153" s="164">
        <f>(IF(COUNT($C153:U153)&lt;$P$138,U153,0))</f>
        <v>14.464637337367133</v>
      </c>
      <c r="W153" s="164">
        <f>(IF(COUNT($C153:V153)&lt;$P$138,V153,0))</f>
        <v>14.464637337367133</v>
      </c>
      <c r="X153" s="164">
        <f>(IF(COUNT($C153:W153)&lt;$P$138,W153,0))</f>
        <v>14.464637337367133</v>
      </c>
      <c r="Y153" s="164">
        <f>(IF(COUNT($C153:X153)&lt;$P$138,X153,0))</f>
        <v>14.464637337367133</v>
      </c>
      <c r="Z153" s="164">
        <f>(IF(COUNT($C153:Y153)&lt;$P$138,Y153,0))</f>
        <v>14.464637337367133</v>
      </c>
      <c r="AA153" s="164">
        <f>(IF(COUNT($C153:Z153)&lt;$P$138,Z153,0))</f>
        <v>14.464637337367133</v>
      </c>
      <c r="AB153" s="164">
        <f>(IF(COUNT($C153:AA153)&lt;$P$138,AA153,0))</f>
        <v>14.464637337367133</v>
      </c>
      <c r="AC153" s="164">
        <f>(IF(COUNT($C153:AB153)&lt;$P$138,AB153,0))</f>
        <v>14.464637337367133</v>
      </c>
      <c r="AD153" s="165"/>
    </row>
    <row r="154" spans="1:30" ht="11.45" customHeight="1" outlineLevel="1" x14ac:dyDescent="0.2">
      <c r="A154" s="51"/>
      <c r="B154" s="138">
        <f t="shared" si="138"/>
        <v>2010</v>
      </c>
      <c r="C154" s="164"/>
      <c r="D154" s="164"/>
      <c r="E154" s="164"/>
      <c r="F154" s="164"/>
      <c r="G154" s="164"/>
      <c r="H154" s="164"/>
      <c r="I154" s="164"/>
      <c r="J154" s="164"/>
      <c r="K154" s="164"/>
      <c r="L154" s="164"/>
      <c r="M154" s="164"/>
      <c r="N154" s="164"/>
      <c r="O154" s="164"/>
      <c r="P154" s="164"/>
      <c r="Q154" s="164">
        <f>Q$17/Q$138</f>
        <v>-115.23490951883109</v>
      </c>
      <c r="R154" s="164">
        <f>(IF(COUNT($C154:Q154)&lt;$Q$138,Q154,0))</f>
        <v>-115.23490951883109</v>
      </c>
      <c r="S154" s="164">
        <f>(IF(COUNT($C154:R154)&lt;$Q$138,R154,0))</f>
        <v>-115.23490951883109</v>
      </c>
      <c r="T154" s="164">
        <f>(IF(COUNT($C154:S154)&lt;$Q$138,S154,0))</f>
        <v>-115.23490951883109</v>
      </c>
      <c r="U154" s="164">
        <f>(IF(COUNT($C154:T154)&lt;$Q$138,T154,0))</f>
        <v>-115.23490951883109</v>
      </c>
      <c r="V154" s="164">
        <f>(IF(COUNT($C154:U154)&lt;$Q$138,U154,0))</f>
        <v>-115.23490951883109</v>
      </c>
      <c r="W154" s="164">
        <f>(IF(COUNT($C154:V154)&lt;$Q$138,V154,0))</f>
        <v>-115.23490951883109</v>
      </c>
      <c r="X154" s="164">
        <f>(IF(COUNT($C154:W154)&lt;$Q$138,W154,0))</f>
        <v>-115.23490951883109</v>
      </c>
      <c r="Y154" s="164">
        <f>(IF(COUNT($C154:X154)&lt;$Q$138,X154,0))</f>
        <v>-115.23490951883109</v>
      </c>
      <c r="Z154" s="164">
        <f>(IF(COUNT($C154:Y154)&lt;$Q$138,Y154,0))</f>
        <v>-115.23490951883109</v>
      </c>
      <c r="AA154" s="164">
        <f>(IF(COUNT($C154:Z154)&lt;$Q$138,Z154,0))</f>
        <v>-115.23490951883109</v>
      </c>
      <c r="AB154" s="164">
        <f>(IF(COUNT($C154:AA154)&lt;$Q$138,AA154,0))</f>
        <v>-115.23490951883109</v>
      </c>
      <c r="AC154" s="164">
        <f>(IF(COUNT($C154:AB154)&lt;$Q$138,AB154,0))</f>
        <v>-115.23490951883109</v>
      </c>
      <c r="AD154" s="165"/>
    </row>
    <row r="155" spans="1:30" ht="11.45" customHeight="1" outlineLevel="1" x14ac:dyDescent="0.2">
      <c r="A155" s="51"/>
      <c r="B155" s="138">
        <f t="shared" si="138"/>
        <v>2011</v>
      </c>
      <c r="C155" s="164"/>
      <c r="D155" s="164"/>
      <c r="E155" s="164"/>
      <c r="F155" s="164"/>
      <c r="G155" s="164"/>
      <c r="H155" s="164"/>
      <c r="I155" s="164"/>
      <c r="J155" s="164"/>
      <c r="K155" s="164"/>
      <c r="L155" s="164"/>
      <c r="M155" s="164"/>
      <c r="N155" s="164"/>
      <c r="O155" s="164"/>
      <c r="P155" s="164"/>
      <c r="Q155" s="164"/>
      <c r="R155" s="164">
        <f>R$17/R$138</f>
        <v>6.7239785108188928</v>
      </c>
      <c r="S155" s="164">
        <f>(IF(COUNT($C155:R155)&lt;$R$138,R155,0))</f>
        <v>6.7239785108188928</v>
      </c>
      <c r="T155" s="164">
        <f>(IF(COUNT($C155:S155)&lt;$R$138,S155,0))</f>
        <v>6.7239785108188928</v>
      </c>
      <c r="U155" s="164">
        <f>(IF(COUNT($C155:T155)&lt;$R$138,T155,0))</f>
        <v>6.7239785108188928</v>
      </c>
      <c r="V155" s="164">
        <f>(IF(COUNT($C155:U155)&lt;$R$138,U155,0))</f>
        <v>6.7239785108188928</v>
      </c>
      <c r="W155" s="164">
        <f>(IF(COUNT($C155:V155)&lt;$R$138,V155,0))</f>
        <v>6.7239785108188928</v>
      </c>
      <c r="X155" s="164">
        <f>(IF(COUNT($C155:W155)&lt;$R$138,W155,0))</f>
        <v>6.7239785108188928</v>
      </c>
      <c r="Y155" s="164">
        <f>(IF(COUNT($C155:X155)&lt;$R$138,X155,0))</f>
        <v>6.7239785108188928</v>
      </c>
      <c r="Z155" s="164">
        <f>(IF(COUNT($C155:Y155)&lt;$R$138,Y155,0))</f>
        <v>6.7239785108188928</v>
      </c>
      <c r="AA155" s="164">
        <f>(IF(COUNT($C155:Z155)&lt;$R$138,Z155,0))</f>
        <v>6.7239785108188928</v>
      </c>
      <c r="AB155" s="164">
        <f>(IF(COUNT($C155:AA155)&lt;$R$138,AA155,0))</f>
        <v>6.7239785108188928</v>
      </c>
      <c r="AC155" s="164">
        <f>(IF(COUNT($C155:AB155)&lt;$R$138,AB155,0))</f>
        <v>6.7239785108188928</v>
      </c>
      <c r="AD155" s="165"/>
    </row>
    <row r="156" spans="1:30" ht="11.45" customHeight="1" outlineLevel="1" x14ac:dyDescent="0.2">
      <c r="A156" s="51"/>
      <c r="B156" s="138">
        <f t="shared" si="138"/>
        <v>2012</v>
      </c>
      <c r="C156" s="164"/>
      <c r="D156" s="164"/>
      <c r="E156" s="164"/>
      <c r="F156" s="164"/>
      <c r="G156" s="164"/>
      <c r="H156" s="164"/>
      <c r="I156" s="164"/>
      <c r="J156" s="164"/>
      <c r="K156" s="164"/>
      <c r="L156" s="164"/>
      <c r="M156" s="164"/>
      <c r="N156" s="164"/>
      <c r="O156" s="164"/>
      <c r="P156" s="164"/>
      <c r="Q156" s="164"/>
      <c r="R156" s="164"/>
      <c r="S156" s="164">
        <f>S$17/S$138</f>
        <v>6.6550381968235115</v>
      </c>
      <c r="T156" s="164">
        <f>(IF(COUNT($C156:S156)&lt;$S$138,S156,0))</f>
        <v>6.6550381968235115</v>
      </c>
      <c r="U156" s="164">
        <f>(IF(COUNT($C156:T156)&lt;$S$138,T156,0))</f>
        <v>6.6550381968235115</v>
      </c>
      <c r="V156" s="164">
        <f>(IF(COUNT($C156:U156)&lt;$S$138,U156,0))</f>
        <v>6.6550381968235115</v>
      </c>
      <c r="W156" s="164">
        <f>(IF(COUNT($C156:V156)&lt;$S$138,V156,0))</f>
        <v>6.6550381968235115</v>
      </c>
      <c r="X156" s="164">
        <f>(IF(COUNT($C156:W156)&lt;$S$138,W156,0))</f>
        <v>6.6550381968235115</v>
      </c>
      <c r="Y156" s="164">
        <f>(IF(COUNT($C156:X156)&lt;$S$138,X156,0))</f>
        <v>6.6550381968235115</v>
      </c>
      <c r="Z156" s="164">
        <f>(IF(COUNT($C156:Y156)&lt;$S$138,Y156,0))</f>
        <v>6.6550381968235115</v>
      </c>
      <c r="AA156" s="164">
        <f>(IF(COUNT($C156:Z156)&lt;$S$138,Z156,0))</f>
        <v>6.6550381968235115</v>
      </c>
      <c r="AB156" s="164">
        <f>(IF(COUNT($C156:AA156)&lt;$S$138,AA156,0))</f>
        <v>6.6550381968235115</v>
      </c>
      <c r="AC156" s="164">
        <f>(IF(COUNT($C156:AB156)&lt;$S$138,AB156,0))</f>
        <v>6.6550381968235115</v>
      </c>
      <c r="AD156" s="165"/>
    </row>
    <row r="157" spans="1:30" ht="11.45" customHeight="1" outlineLevel="1" x14ac:dyDescent="0.2">
      <c r="A157" s="51"/>
      <c r="B157" s="138">
        <f t="shared" si="138"/>
        <v>2013</v>
      </c>
      <c r="C157" s="164"/>
      <c r="D157" s="164"/>
      <c r="E157" s="164"/>
      <c r="F157" s="164"/>
      <c r="G157" s="164"/>
      <c r="H157" s="164"/>
      <c r="I157" s="164"/>
      <c r="J157" s="164"/>
      <c r="K157" s="164"/>
      <c r="L157" s="164"/>
      <c r="M157" s="164"/>
      <c r="N157" s="164"/>
      <c r="O157" s="164"/>
      <c r="P157" s="164"/>
      <c r="Q157" s="164"/>
      <c r="R157" s="164"/>
      <c r="S157" s="164"/>
      <c r="T157" s="164">
        <f>T$17/T$138</f>
        <v>5.3679606135121194</v>
      </c>
      <c r="U157" s="166">
        <f>(IF(COUNT($C157:T157)&lt;$T$138,T157,0))</f>
        <v>5.3679606135121194</v>
      </c>
      <c r="V157" s="166">
        <f>(IF(COUNT($C157:U157)&lt;$T$138,U157,0))</f>
        <v>5.3679606135121194</v>
      </c>
      <c r="W157" s="166">
        <f>(IF(COUNT($C157:V157)&lt;$T$138,V157,0))</f>
        <v>5.3679606135121194</v>
      </c>
      <c r="X157" s="166">
        <f>(IF(COUNT($C157:W157)&lt;$T$138,W157,0))</f>
        <v>5.3679606135121194</v>
      </c>
      <c r="Y157" s="166">
        <f>(IF(COUNT($C157:X157)&lt;$T$138,X157,0))</f>
        <v>5.3679606135121194</v>
      </c>
      <c r="Z157" s="166">
        <f>(IF(COUNT($C157:Y157)&lt;$T$138,Y157,0))</f>
        <v>5.3679606135121194</v>
      </c>
      <c r="AA157" s="166">
        <f>(IF(COUNT($C157:Z157)&lt;$T$138,Z157,0))</f>
        <v>5.3679606135121194</v>
      </c>
      <c r="AB157" s="166">
        <f>(IF(COUNT($C157:AA157)&lt;$T$138,AA157,0))</f>
        <v>5.3679606135121194</v>
      </c>
      <c r="AC157" s="166">
        <f>(IF(COUNT($C157:AB157)&lt;$T$138,AB157,0))</f>
        <v>5.3679606135121194</v>
      </c>
      <c r="AD157" s="165"/>
    </row>
    <row r="158" spans="1:30" ht="11.45" customHeight="1" outlineLevel="1" x14ac:dyDescent="0.2">
      <c r="A158" s="51"/>
      <c r="B158" s="138">
        <f t="shared" si="138"/>
        <v>2014</v>
      </c>
      <c r="C158" s="164"/>
      <c r="D158" s="164"/>
      <c r="E158" s="164"/>
      <c r="F158" s="164"/>
      <c r="G158" s="164"/>
      <c r="H158" s="164"/>
      <c r="I158" s="164"/>
      <c r="J158" s="164"/>
      <c r="K158" s="164"/>
      <c r="L158" s="164"/>
      <c r="M158" s="164"/>
      <c r="N158" s="164"/>
      <c r="O158" s="164"/>
      <c r="P158" s="164"/>
      <c r="Q158" s="164"/>
      <c r="R158" s="164"/>
      <c r="S158" s="164"/>
      <c r="T158" s="164"/>
      <c r="U158" s="166">
        <f>U$17/U$138</f>
        <v>5.2879622376517803</v>
      </c>
      <c r="V158" s="166">
        <f>(IF(COUNT($C158:U158)&lt;$U$138,U158,0))</f>
        <v>5.2879622376517803</v>
      </c>
      <c r="W158" s="166">
        <f>(IF(COUNT($C158:V158)&lt;$U$138,V158,0))</f>
        <v>5.2879622376517803</v>
      </c>
      <c r="X158" s="166">
        <f>(IF(COUNT($C158:W158)&lt;$U$138,W158,0))</f>
        <v>5.2879622376517803</v>
      </c>
      <c r="Y158" s="166">
        <f>(IF(COUNT($C158:X158)&lt;$U$138,X158,0))</f>
        <v>5.2879622376517803</v>
      </c>
      <c r="Z158" s="166">
        <f>(IF(COUNT($C158:Y158)&lt;$U$138,Y158,0))</f>
        <v>5.2879622376517803</v>
      </c>
      <c r="AA158" s="166">
        <f>(IF(COUNT($C158:Z158)&lt;$U$138,Z158,0))</f>
        <v>5.2879622376517803</v>
      </c>
      <c r="AB158" s="166">
        <f>(IF(COUNT($C158:AA158)&lt;$U$138,AA158,0))</f>
        <v>5.2879622376517803</v>
      </c>
      <c r="AC158" s="166">
        <f>(IF(COUNT($C158:AB158)&lt;$U$138,AB158,0))</f>
        <v>5.2879622376517803</v>
      </c>
      <c r="AD158" s="165"/>
    </row>
    <row r="159" spans="1:30" ht="11.45" customHeight="1" outlineLevel="1" x14ac:dyDescent="0.2">
      <c r="A159" s="51"/>
      <c r="B159" s="138">
        <f t="shared" si="138"/>
        <v>2015</v>
      </c>
      <c r="C159" s="164"/>
      <c r="D159" s="164"/>
      <c r="E159" s="164"/>
      <c r="F159" s="164"/>
      <c r="G159" s="164"/>
      <c r="H159" s="164"/>
      <c r="I159" s="164"/>
      <c r="J159" s="164"/>
      <c r="K159" s="164"/>
      <c r="L159" s="164"/>
      <c r="M159" s="164"/>
      <c r="N159" s="164"/>
      <c r="O159" s="164"/>
      <c r="P159" s="164"/>
      <c r="Q159" s="164"/>
      <c r="R159" s="164"/>
      <c r="S159" s="164"/>
      <c r="T159" s="164"/>
      <c r="U159" s="167"/>
      <c r="V159" s="166">
        <f>V$17/V$138</f>
        <v>5.2106625849070252</v>
      </c>
      <c r="W159" s="166">
        <f>W$17/W$138</f>
        <v>5.2627692107560922</v>
      </c>
      <c r="X159" s="166">
        <f>X$17/X$138</f>
        <v>5.3153969028636521</v>
      </c>
      <c r="Y159" s="166">
        <f>Y$17/Y$138</f>
        <v>5.3685508718922845</v>
      </c>
      <c r="Z159" s="166">
        <f>Z$17/Z$138</f>
        <v>5.4222363806112055</v>
      </c>
      <c r="AA159" s="166">
        <f t="shared" ref="AA159:AC159" si="139">AA$17/AA$138</f>
        <v>5.4764587444173189</v>
      </c>
      <c r="AB159" s="166">
        <f t="shared" si="139"/>
        <v>5.5312233318614927</v>
      </c>
      <c r="AC159" s="166">
        <f t="shared" si="139"/>
        <v>5.5865355651801165</v>
      </c>
      <c r="AD159" s="168"/>
    </row>
    <row r="160" spans="1:30" ht="11.45" customHeight="1" outlineLevel="1" x14ac:dyDescent="0.2">
      <c r="A160" s="51"/>
      <c r="B160" s="138">
        <f t="shared" si="138"/>
        <v>2016</v>
      </c>
      <c r="C160" s="164"/>
      <c r="D160" s="164"/>
      <c r="E160" s="164"/>
      <c r="F160" s="164"/>
      <c r="G160" s="164"/>
      <c r="H160" s="164"/>
      <c r="I160" s="164"/>
      <c r="J160" s="164"/>
      <c r="K160" s="164"/>
      <c r="L160" s="164"/>
      <c r="M160" s="164"/>
      <c r="N160" s="164"/>
      <c r="O160" s="164"/>
      <c r="P160" s="164"/>
      <c r="Q160" s="164"/>
      <c r="R160" s="164"/>
      <c r="S160" s="164"/>
      <c r="T160" s="164"/>
      <c r="U160" s="167"/>
      <c r="V160" s="167"/>
      <c r="W160" s="167"/>
      <c r="X160" s="167"/>
      <c r="Y160" s="167"/>
      <c r="Z160" s="167"/>
      <c r="AA160" s="167"/>
      <c r="AB160" s="167"/>
      <c r="AC160" s="167"/>
      <c r="AD160" s="168"/>
    </row>
    <row r="161" spans="1:30" ht="11.45" customHeight="1" outlineLevel="1" x14ac:dyDescent="0.2">
      <c r="A161" s="51"/>
      <c r="B161" s="138">
        <f t="shared" si="138"/>
        <v>2017</v>
      </c>
      <c r="C161" s="164"/>
      <c r="D161" s="164"/>
      <c r="E161" s="164"/>
      <c r="F161" s="164"/>
      <c r="G161" s="164"/>
      <c r="H161" s="164"/>
      <c r="I161" s="164"/>
      <c r="J161" s="164"/>
      <c r="K161" s="164"/>
      <c r="L161" s="164"/>
      <c r="M161" s="164"/>
      <c r="N161" s="164"/>
      <c r="O161" s="164"/>
      <c r="P161" s="164"/>
      <c r="Q161" s="164"/>
      <c r="R161" s="164"/>
      <c r="S161" s="164"/>
      <c r="T161" s="164"/>
      <c r="U161" s="168"/>
      <c r="V161" s="168"/>
      <c r="W161" s="168"/>
      <c r="X161" s="168"/>
      <c r="Y161" s="168"/>
      <c r="Z161" s="168"/>
      <c r="AA161" s="168"/>
      <c r="AB161" s="168"/>
      <c r="AC161" s="168"/>
      <c r="AD161" s="168"/>
    </row>
    <row r="162" spans="1:30" ht="11.45" customHeight="1" outlineLevel="1" x14ac:dyDescent="0.2">
      <c r="A162" s="51"/>
      <c r="B162" s="138">
        <f t="shared" si="138"/>
        <v>2018</v>
      </c>
      <c r="C162" s="164"/>
      <c r="D162" s="164"/>
      <c r="E162" s="164"/>
      <c r="F162" s="164"/>
      <c r="G162" s="164"/>
      <c r="H162" s="164"/>
      <c r="I162" s="164"/>
      <c r="J162" s="164"/>
      <c r="K162" s="164"/>
      <c r="L162" s="164"/>
      <c r="M162" s="164"/>
      <c r="N162" s="164"/>
      <c r="O162" s="164"/>
      <c r="P162" s="164"/>
      <c r="Q162" s="164"/>
      <c r="R162" s="164"/>
      <c r="S162" s="164"/>
      <c r="T162" s="164"/>
      <c r="U162" s="168"/>
      <c r="V162" s="168"/>
      <c r="W162" s="168"/>
      <c r="X162" s="168"/>
      <c r="Y162" s="168"/>
      <c r="Z162" s="168"/>
      <c r="AA162" s="168"/>
      <c r="AB162" s="168"/>
      <c r="AC162" s="168"/>
      <c r="AD162" s="168"/>
    </row>
    <row r="163" spans="1:30" ht="11.45" customHeight="1" outlineLevel="1" x14ac:dyDescent="0.2">
      <c r="A163" s="51"/>
      <c r="B163" s="138">
        <f t="shared" si="138"/>
        <v>2019</v>
      </c>
      <c r="C163" s="164"/>
      <c r="D163" s="164"/>
      <c r="E163" s="164"/>
      <c r="F163" s="164"/>
      <c r="G163" s="164"/>
      <c r="H163" s="164"/>
      <c r="I163" s="164"/>
      <c r="J163" s="164"/>
      <c r="K163" s="164"/>
      <c r="L163" s="164"/>
      <c r="M163" s="164"/>
      <c r="N163" s="164"/>
      <c r="O163" s="164"/>
      <c r="P163" s="164"/>
      <c r="Q163" s="164"/>
      <c r="R163" s="164"/>
      <c r="S163" s="164"/>
      <c r="T163" s="164"/>
      <c r="U163" s="168"/>
      <c r="V163" s="168"/>
      <c r="W163" s="168"/>
      <c r="X163" s="168"/>
      <c r="Y163" s="168"/>
      <c r="Z163" s="168"/>
      <c r="AA163" s="168"/>
      <c r="AB163" s="168"/>
      <c r="AC163" s="168"/>
      <c r="AD163" s="168"/>
    </row>
    <row r="164" spans="1:30" ht="11.45" customHeight="1" outlineLevel="1" x14ac:dyDescent="0.2">
      <c r="A164" s="51"/>
      <c r="B164" s="138">
        <f t="shared" si="138"/>
        <v>2020</v>
      </c>
      <c r="C164" s="164"/>
      <c r="D164" s="164"/>
      <c r="E164" s="164"/>
      <c r="F164" s="164"/>
      <c r="G164" s="164"/>
      <c r="H164" s="164"/>
      <c r="I164" s="164"/>
      <c r="J164" s="164"/>
      <c r="K164" s="164"/>
      <c r="L164" s="164"/>
      <c r="M164" s="164"/>
      <c r="N164" s="164"/>
      <c r="O164" s="164"/>
      <c r="P164" s="164"/>
      <c r="Q164" s="164"/>
      <c r="R164" s="164"/>
      <c r="S164" s="164"/>
      <c r="T164" s="164"/>
      <c r="U164" s="168"/>
      <c r="V164" s="168"/>
      <c r="W164" s="168"/>
      <c r="X164" s="168"/>
      <c r="Y164" s="168"/>
      <c r="Z164" s="168"/>
      <c r="AA164" s="168"/>
      <c r="AB164" s="168"/>
      <c r="AC164" s="168"/>
      <c r="AD164" s="168"/>
    </row>
    <row r="165" spans="1:30" ht="11.45" customHeight="1" outlineLevel="1" x14ac:dyDescent="0.2">
      <c r="A165" s="51"/>
      <c r="B165" s="138">
        <f t="shared" si="138"/>
        <v>2021</v>
      </c>
      <c r="C165" s="164"/>
      <c r="D165" s="164"/>
      <c r="E165" s="164"/>
      <c r="F165" s="164"/>
      <c r="G165" s="164"/>
      <c r="H165" s="164"/>
      <c r="I165" s="164"/>
      <c r="J165" s="164"/>
      <c r="K165" s="164"/>
      <c r="L165" s="164"/>
      <c r="M165" s="164"/>
      <c r="N165" s="164"/>
      <c r="O165" s="164"/>
      <c r="P165" s="164"/>
      <c r="Q165" s="164"/>
      <c r="R165" s="164"/>
      <c r="S165" s="164"/>
      <c r="T165" s="164"/>
      <c r="U165" s="168"/>
      <c r="V165" s="168"/>
      <c r="W165" s="168"/>
      <c r="X165" s="168"/>
      <c r="Y165" s="168"/>
      <c r="Z165" s="168"/>
      <c r="AA165" s="168"/>
      <c r="AB165" s="168"/>
      <c r="AC165" s="168"/>
      <c r="AD165" s="164"/>
    </row>
    <row r="166" spans="1:30" ht="11.45" customHeight="1" outlineLevel="1" x14ac:dyDescent="0.2">
      <c r="A166" s="169"/>
      <c r="B166" s="138">
        <f t="shared" si="138"/>
        <v>2022</v>
      </c>
      <c r="C166" s="170"/>
      <c r="D166" s="170"/>
      <c r="E166" s="170"/>
      <c r="F166" s="170"/>
      <c r="G166" s="170"/>
      <c r="H166" s="170"/>
      <c r="I166" s="170"/>
      <c r="J166" s="170"/>
      <c r="K166" s="170"/>
      <c r="L166" s="170"/>
      <c r="M166" s="170"/>
      <c r="N166" s="170"/>
      <c r="O166" s="170"/>
      <c r="P166" s="170"/>
      <c r="Q166" s="170"/>
      <c r="R166" s="170"/>
      <c r="S166" s="170"/>
      <c r="T166" s="90"/>
      <c r="U166" s="37"/>
      <c r="V166" s="37"/>
      <c r="W166" s="37"/>
      <c r="X166" s="37"/>
      <c r="Y166" s="37"/>
      <c r="Z166" s="37"/>
      <c r="AA166" s="37"/>
      <c r="AB166" s="37"/>
      <c r="AC166" s="37"/>
      <c r="AD166" s="168"/>
    </row>
    <row r="167" spans="1:30" ht="11.45" customHeight="1" outlineLevel="1" x14ac:dyDescent="0.2">
      <c r="A167" s="51"/>
      <c r="B167" s="138">
        <f t="shared" si="138"/>
        <v>2023</v>
      </c>
      <c r="C167" s="170"/>
      <c r="D167" s="170"/>
      <c r="E167" s="170"/>
      <c r="F167" s="170"/>
      <c r="G167" s="170"/>
      <c r="H167" s="170"/>
      <c r="I167" s="170"/>
      <c r="J167" s="170"/>
      <c r="K167" s="170"/>
      <c r="L167" s="170"/>
      <c r="M167" s="170"/>
      <c r="N167" s="170"/>
      <c r="O167" s="170"/>
      <c r="P167" s="170"/>
      <c r="Q167" s="170"/>
      <c r="R167" s="170"/>
      <c r="S167" s="170"/>
      <c r="T167" s="90"/>
      <c r="U167" s="37"/>
      <c r="V167" s="37"/>
      <c r="W167" s="37"/>
      <c r="X167" s="37"/>
      <c r="Y167" s="37"/>
      <c r="Z167" s="37"/>
      <c r="AA167" s="37"/>
      <c r="AB167" s="37"/>
      <c r="AC167" s="37"/>
      <c r="AD167" s="171"/>
    </row>
    <row r="168" spans="1:30" ht="11.45" customHeight="1" outlineLevel="1" x14ac:dyDescent="0.2">
      <c r="A168" s="51"/>
      <c r="B168" s="138">
        <f t="shared" si="138"/>
        <v>2024</v>
      </c>
      <c r="C168" s="170"/>
      <c r="D168" s="170"/>
      <c r="E168" s="170"/>
      <c r="F168" s="170"/>
      <c r="G168" s="170"/>
      <c r="H168" s="170"/>
      <c r="I168" s="170"/>
      <c r="J168" s="170"/>
      <c r="K168" s="170"/>
      <c r="L168" s="170"/>
      <c r="M168" s="170"/>
      <c r="N168" s="170"/>
      <c r="O168" s="170"/>
      <c r="P168" s="170"/>
      <c r="Q168" s="170"/>
      <c r="R168" s="170"/>
      <c r="S168" s="170"/>
      <c r="T168" s="90"/>
      <c r="U168" s="37"/>
      <c r="V168" s="37"/>
      <c r="W168" s="37"/>
      <c r="X168" s="37"/>
      <c r="Y168" s="37"/>
      <c r="Z168" s="37"/>
      <c r="AA168" s="37"/>
      <c r="AB168" s="37"/>
      <c r="AC168" s="37"/>
      <c r="AD168" s="171"/>
    </row>
    <row r="169" spans="1:30" ht="11.45" customHeight="1" outlineLevel="1" x14ac:dyDescent="0.2">
      <c r="A169" s="51"/>
      <c r="B169" s="138">
        <f t="shared" si="138"/>
        <v>2025</v>
      </c>
      <c r="C169" s="170"/>
      <c r="D169" s="170"/>
      <c r="E169" s="170"/>
      <c r="F169" s="170"/>
      <c r="G169" s="170"/>
      <c r="H169" s="170"/>
      <c r="I169" s="170"/>
      <c r="J169" s="170"/>
      <c r="K169" s="170"/>
      <c r="L169" s="170"/>
      <c r="M169" s="170"/>
      <c r="N169" s="170"/>
      <c r="O169" s="170"/>
      <c r="P169" s="170"/>
      <c r="Q169" s="170"/>
      <c r="R169" s="170"/>
      <c r="S169" s="170"/>
      <c r="T169" s="90"/>
      <c r="U169" s="37"/>
      <c r="V169" s="37"/>
      <c r="W169" s="37"/>
      <c r="X169" s="37"/>
      <c r="Y169" s="37"/>
      <c r="Z169" s="37"/>
      <c r="AA169" s="37"/>
      <c r="AB169" s="37"/>
      <c r="AC169" s="37"/>
      <c r="AD169" s="171"/>
    </row>
    <row r="170" spans="1:30" ht="11.45" customHeight="1" outlineLevel="1" x14ac:dyDescent="0.2">
      <c r="A170" s="51"/>
      <c r="B170" s="138">
        <f t="shared" si="138"/>
        <v>2026</v>
      </c>
      <c r="C170" s="170"/>
      <c r="D170" s="170"/>
      <c r="E170" s="170"/>
      <c r="F170" s="170"/>
      <c r="G170" s="170"/>
      <c r="H170" s="170"/>
      <c r="I170" s="170"/>
      <c r="J170" s="170"/>
      <c r="K170" s="170"/>
      <c r="L170" s="170"/>
      <c r="M170" s="170"/>
      <c r="N170" s="170"/>
      <c r="O170" s="170"/>
      <c r="P170" s="170"/>
      <c r="Q170" s="170"/>
      <c r="R170" s="170"/>
      <c r="S170" s="170"/>
      <c r="T170" s="90"/>
      <c r="U170" s="37"/>
      <c r="V170" s="37"/>
      <c r="W170" s="37"/>
      <c r="X170" s="37"/>
      <c r="Y170" s="37"/>
      <c r="Z170" s="37"/>
      <c r="AA170" s="37"/>
      <c r="AB170" s="37"/>
      <c r="AC170" s="37"/>
      <c r="AD170" s="171"/>
    </row>
    <row r="171" spans="1:30" ht="11.45" customHeight="1" outlineLevel="1" x14ac:dyDescent="0.2">
      <c r="A171" s="51"/>
      <c r="B171" s="138">
        <f t="shared" si="138"/>
        <v>2027</v>
      </c>
      <c r="C171" s="170"/>
      <c r="D171" s="170"/>
      <c r="E171" s="170"/>
      <c r="F171" s="170"/>
      <c r="G171" s="170"/>
      <c r="H171" s="170"/>
      <c r="I171" s="170"/>
      <c r="J171" s="170"/>
      <c r="K171" s="170"/>
      <c r="L171" s="170"/>
      <c r="M171" s="170"/>
      <c r="N171" s="170"/>
      <c r="O171" s="170"/>
      <c r="P171" s="170"/>
      <c r="Q171" s="170"/>
      <c r="R171" s="170"/>
      <c r="S171" s="170"/>
      <c r="T171" s="90"/>
      <c r="U171" s="37"/>
      <c r="V171" s="37"/>
      <c r="W171" s="37"/>
      <c r="X171" s="37"/>
      <c r="Y171" s="37"/>
      <c r="Z171" s="37"/>
      <c r="AA171" s="37"/>
      <c r="AB171" s="37"/>
      <c r="AC171" s="37"/>
      <c r="AD171" s="171"/>
    </row>
    <row r="172" spans="1:30" ht="11.45" customHeight="1" outlineLevel="1" x14ac:dyDescent="0.2">
      <c r="A172" s="51"/>
      <c r="B172" s="172"/>
      <c r="C172" s="170"/>
      <c r="D172" s="170"/>
      <c r="E172" s="170"/>
      <c r="F172" s="170"/>
      <c r="G172" s="170"/>
      <c r="H172" s="170"/>
      <c r="I172" s="170"/>
      <c r="J172" s="170"/>
      <c r="K172" s="170"/>
      <c r="L172" s="170"/>
      <c r="M172" s="170"/>
      <c r="N172" s="170"/>
      <c r="O172" s="170"/>
      <c r="P172" s="170"/>
      <c r="Q172" s="170"/>
      <c r="R172" s="170"/>
      <c r="S172" s="170"/>
      <c r="T172" s="90"/>
      <c r="U172" s="37"/>
      <c r="V172" s="37"/>
      <c r="W172" s="37"/>
      <c r="X172" s="37"/>
      <c r="Y172" s="37"/>
      <c r="Z172" s="37"/>
      <c r="AA172" s="37"/>
      <c r="AB172" s="37"/>
      <c r="AC172" s="37"/>
      <c r="AD172" s="171"/>
    </row>
    <row r="173" spans="1:30" ht="11.45" customHeight="1" outlineLevel="1" x14ac:dyDescent="0.2">
      <c r="A173" s="51"/>
      <c r="B173" s="138"/>
      <c r="C173" s="173">
        <f t="shared" ref="C173:V173" si="140">SUM(C140:C171)</f>
        <v>46.965049826724034</v>
      </c>
      <c r="D173" s="173">
        <f t="shared" si="140"/>
        <v>53.521315834440259</v>
      </c>
      <c r="E173" s="173">
        <f t="shared" si="140"/>
        <v>60.713053798763184</v>
      </c>
      <c r="F173" s="173">
        <f t="shared" si="140"/>
        <v>77.012611369544359</v>
      </c>
      <c r="G173" s="173">
        <f t="shared" si="140"/>
        <v>88.469261978413584</v>
      </c>
      <c r="H173" s="173">
        <f t="shared" si="140"/>
        <v>106.70953839337356</v>
      </c>
      <c r="I173" s="173">
        <f t="shared" si="140"/>
        <v>135.42016813948413</v>
      </c>
      <c r="J173" s="173">
        <f t="shared" si="140"/>
        <v>155.1517776135679</v>
      </c>
      <c r="K173" s="173">
        <f t="shared" si="140"/>
        <v>171.34993365270299</v>
      </c>
      <c r="L173" s="173">
        <f t="shared" si="140"/>
        <v>188.1671795720645</v>
      </c>
      <c r="M173" s="173">
        <f t="shared" si="140"/>
        <v>212.17855031024993</v>
      </c>
      <c r="N173" s="173">
        <f t="shared" si="140"/>
        <v>237.10285750524395</v>
      </c>
      <c r="O173" s="173">
        <f t="shared" si="140"/>
        <v>276.63137319847272</v>
      </c>
      <c r="P173" s="173">
        <f t="shared" si="140"/>
        <v>289.88052974631756</v>
      </c>
      <c r="Q173" s="173">
        <f t="shared" si="140"/>
        <v>173.57599713270685</v>
      </c>
      <c r="R173" s="173">
        <f t="shared" si="140"/>
        <v>179.35870732011966</v>
      </c>
      <c r="S173" s="173">
        <f t="shared" si="140"/>
        <v>185.18542939234584</v>
      </c>
      <c r="T173" s="173">
        <f t="shared" si="140"/>
        <v>189.82447181621231</v>
      </c>
      <c r="U173" s="173">
        <f t="shared" si="140"/>
        <v>194.4709860469759</v>
      </c>
      <c r="V173" s="173">
        <f t="shared" si="140"/>
        <v>199.11717438582133</v>
      </c>
      <c r="W173" s="173">
        <f>SUM(W140:W171)</f>
        <v>198.67254367513621</v>
      </c>
      <c r="X173" s="173">
        <f>SUM(X140:X171)</f>
        <v>186.09597052417058</v>
      </c>
      <c r="Y173" s="173">
        <f>SUM(Y140:Y171)</f>
        <v>173.61320387376213</v>
      </c>
      <c r="Z173" s="173">
        <f>SUM(Z140:Z171)</f>
        <v>137.36715649406813</v>
      </c>
      <c r="AA173" s="173">
        <f t="shared" ref="AA173:AC173" si="141">SUM(AA140:AA171)</f>
        <v>115.5034446714653</v>
      </c>
      <c r="AB173" s="173">
        <f t="shared" si="141"/>
        <v>83.611240673923859</v>
      </c>
      <c r="AC173" s="173">
        <f t="shared" si="141"/>
        <v>61.08696525494863</v>
      </c>
      <c r="AD173" s="174"/>
    </row>
    <row r="174" spans="1:30" x14ac:dyDescent="0.2">
      <c r="A174" s="16"/>
      <c r="B174" s="175" t="s">
        <v>447</v>
      </c>
      <c r="C174" s="19"/>
      <c r="D174" s="19"/>
      <c r="E174" s="19"/>
      <c r="F174" s="19"/>
      <c r="G174" s="19"/>
      <c r="H174" s="19"/>
      <c r="I174" s="19"/>
      <c r="J174" s="19"/>
      <c r="K174" s="19"/>
      <c r="L174" s="19"/>
      <c r="M174" s="19"/>
      <c r="N174" s="19"/>
      <c r="O174" s="19"/>
      <c r="P174" s="176"/>
      <c r="Q174" s="176"/>
      <c r="R174" s="176"/>
      <c r="S174" s="176"/>
      <c r="T174" s="176"/>
      <c r="U174" s="176"/>
      <c r="V174" s="176"/>
      <c r="W174" s="176"/>
      <c r="X174" s="176"/>
      <c r="Y174" s="176"/>
      <c r="Z174" s="176"/>
      <c r="AA174" s="176"/>
      <c r="AB174" s="176"/>
      <c r="AC174" s="176"/>
      <c r="AD174" s="177"/>
    </row>
    <row r="175" spans="1:30" x14ac:dyDescent="0.2">
      <c r="A175" s="16"/>
      <c r="B175" s="178"/>
      <c r="C175" s="19"/>
      <c r="D175" s="19"/>
      <c r="E175" s="19"/>
      <c r="F175" s="19"/>
      <c r="G175" s="19"/>
      <c r="H175" s="19"/>
      <c r="I175" s="19"/>
      <c r="J175" s="19"/>
      <c r="K175" s="19"/>
      <c r="L175" s="19"/>
      <c r="M175" s="19"/>
      <c r="N175" s="19"/>
      <c r="O175" s="19"/>
      <c r="P175" s="176"/>
      <c r="Q175" s="176"/>
      <c r="R175" s="176"/>
      <c r="S175" s="176"/>
      <c r="T175" s="176"/>
      <c r="U175" s="176"/>
      <c r="V175" s="176"/>
      <c r="W175" s="176"/>
      <c r="X175" s="176"/>
      <c r="Y175" s="176"/>
      <c r="Z175" s="176"/>
      <c r="AA175" s="176"/>
      <c r="AB175" s="176"/>
      <c r="AC175" s="176"/>
      <c r="AD175" s="32"/>
    </row>
    <row r="176" spans="1:30" x14ac:dyDescent="0.2">
      <c r="A176" s="16"/>
      <c r="B176" s="138"/>
      <c r="C176" s="19"/>
      <c r="D176" s="19"/>
      <c r="E176" s="19"/>
      <c r="F176" s="19"/>
      <c r="G176" s="19"/>
      <c r="H176" s="19"/>
      <c r="I176" s="19"/>
      <c r="J176" s="19"/>
      <c r="K176" s="19"/>
      <c r="L176" s="19"/>
      <c r="M176" s="19"/>
      <c r="N176" s="19"/>
      <c r="O176" s="19"/>
      <c r="P176" s="176"/>
      <c r="Q176" s="176"/>
      <c r="R176" s="176"/>
      <c r="S176" s="176"/>
      <c r="T176" s="176"/>
      <c r="U176" s="176"/>
      <c r="V176" s="176"/>
      <c r="W176" s="176"/>
      <c r="X176" s="176"/>
      <c r="Y176" s="176"/>
      <c r="Z176" s="176"/>
      <c r="AA176" s="176"/>
      <c r="AB176" s="176"/>
      <c r="AC176" s="176"/>
      <c r="AD176" s="31"/>
    </row>
    <row r="177" spans="1:30" x14ac:dyDescent="0.2">
      <c r="A177" s="16"/>
      <c r="B177" s="138"/>
      <c r="C177" s="19"/>
      <c r="D177" s="19"/>
      <c r="E177" s="19"/>
      <c r="F177" s="19"/>
      <c r="G177" s="19"/>
      <c r="H177" s="19"/>
      <c r="I177" s="19"/>
      <c r="J177" s="19"/>
      <c r="K177" s="19"/>
      <c r="L177" s="19"/>
      <c r="M177" s="19"/>
      <c r="N177" s="19"/>
      <c r="O177" s="19"/>
      <c r="P177" s="176"/>
      <c r="Q177" s="176"/>
      <c r="R177" s="176"/>
      <c r="S177" s="176"/>
      <c r="T177" s="176"/>
      <c r="U177" s="176"/>
      <c r="V177" s="176"/>
      <c r="W177" s="176"/>
      <c r="X177" s="176"/>
      <c r="Y177" s="176"/>
      <c r="Z177" s="176"/>
      <c r="AA177" s="176"/>
      <c r="AB177" s="176"/>
      <c r="AC177" s="176"/>
      <c r="AD177" s="31"/>
    </row>
    <row r="178" spans="1:30" x14ac:dyDescent="0.2">
      <c r="A178" s="16"/>
      <c r="B178" s="138"/>
      <c r="C178" s="19"/>
      <c r="D178" s="19"/>
      <c r="E178" s="19"/>
      <c r="F178" s="19"/>
      <c r="G178" s="19"/>
      <c r="H178" s="19"/>
      <c r="I178" s="19"/>
      <c r="J178" s="19"/>
      <c r="K178" s="19"/>
      <c r="L178" s="19"/>
      <c r="M178" s="19"/>
      <c r="N178" s="19"/>
      <c r="O178" s="19"/>
      <c r="P178" s="176"/>
      <c r="Q178" s="176"/>
      <c r="R178" s="176"/>
      <c r="S178" s="176"/>
      <c r="T178" s="176"/>
      <c r="U178" s="176"/>
      <c r="V178" s="176"/>
      <c r="W178" s="176"/>
      <c r="X178" s="176"/>
      <c r="Y178" s="176"/>
      <c r="Z178" s="176"/>
      <c r="AA178" s="176"/>
      <c r="AB178" s="176"/>
      <c r="AC178" s="176"/>
      <c r="AD178" s="31"/>
    </row>
    <row r="179" spans="1:30" x14ac:dyDescent="0.2">
      <c r="A179" s="16"/>
      <c r="B179" s="16"/>
      <c r="C179" s="19"/>
      <c r="D179" s="19"/>
      <c r="E179" s="19"/>
      <c r="F179" s="19"/>
      <c r="G179" s="19"/>
      <c r="H179" s="19"/>
      <c r="I179" s="19"/>
      <c r="J179" s="19"/>
      <c r="K179" s="19"/>
      <c r="L179" s="19"/>
      <c r="M179" s="19"/>
      <c r="N179" s="19"/>
      <c r="O179" s="19"/>
      <c r="P179" s="19"/>
      <c r="Q179" s="16"/>
      <c r="R179" s="16"/>
      <c r="S179" s="16"/>
      <c r="T179" s="16"/>
      <c r="U179" s="16"/>
      <c r="V179" s="16"/>
      <c r="W179" s="16"/>
      <c r="X179" s="16"/>
      <c r="Y179" s="16"/>
      <c r="Z179" s="16"/>
      <c r="AA179" s="16"/>
      <c r="AB179" s="16"/>
      <c r="AC179" s="16"/>
      <c r="AD179" s="16"/>
    </row>
    <row r="180" spans="1:30" x14ac:dyDescent="0.2">
      <c r="A180" s="16"/>
      <c r="B180" s="16"/>
      <c r="C180" s="19"/>
      <c r="D180" s="19"/>
      <c r="E180" s="19"/>
      <c r="F180" s="19"/>
      <c r="G180" s="19"/>
      <c r="H180" s="19"/>
      <c r="I180" s="19"/>
      <c r="J180" s="19"/>
      <c r="K180" s="19"/>
      <c r="L180" s="19"/>
      <c r="M180" s="19"/>
      <c r="N180" s="19"/>
      <c r="O180" s="19"/>
      <c r="P180" s="19"/>
      <c r="Q180" s="16"/>
      <c r="R180" s="16"/>
      <c r="S180" s="16"/>
      <c r="T180" s="16"/>
      <c r="U180" s="16"/>
      <c r="V180" s="16"/>
      <c r="W180" s="16"/>
      <c r="X180" s="16"/>
      <c r="Y180" s="16"/>
      <c r="Z180" s="16"/>
      <c r="AA180" s="16"/>
      <c r="AB180" s="16"/>
      <c r="AC180" s="16"/>
      <c r="AD180" s="16"/>
    </row>
    <row r="181" spans="1:30" x14ac:dyDescent="0.2">
      <c r="A181" s="16"/>
      <c r="B181" s="16"/>
      <c r="C181" s="19"/>
      <c r="D181" s="19"/>
      <c r="E181" s="19"/>
      <c r="F181" s="19"/>
      <c r="G181" s="19"/>
      <c r="H181" s="19"/>
      <c r="I181" s="19"/>
      <c r="J181" s="19"/>
      <c r="K181" s="19"/>
      <c r="L181" s="19"/>
      <c r="M181" s="19"/>
      <c r="N181" s="19"/>
      <c r="O181" s="19"/>
      <c r="P181" s="19"/>
      <c r="Q181" s="16"/>
      <c r="R181" s="16"/>
      <c r="S181" s="16"/>
      <c r="T181" s="16"/>
      <c r="U181" s="16"/>
      <c r="V181" s="16"/>
      <c r="W181" s="16"/>
      <c r="X181" s="16"/>
      <c r="Y181" s="16"/>
      <c r="Z181" s="16"/>
      <c r="AA181" s="16"/>
      <c r="AB181" s="16"/>
      <c r="AC181" s="16"/>
      <c r="AD181" s="16"/>
    </row>
    <row r="182" spans="1:30" x14ac:dyDescent="0.2">
      <c r="A182" s="16"/>
      <c r="B182" s="16"/>
      <c r="C182" s="19"/>
      <c r="D182" s="19"/>
      <c r="E182" s="19"/>
      <c r="F182" s="19"/>
      <c r="G182" s="19"/>
      <c r="H182" s="19"/>
      <c r="I182" s="19"/>
      <c r="J182" s="19"/>
      <c r="K182" s="19"/>
      <c r="L182" s="19"/>
      <c r="M182" s="19"/>
      <c r="N182" s="19"/>
      <c r="O182" s="19"/>
      <c r="P182" s="19"/>
      <c r="Q182" s="16"/>
      <c r="R182" s="16"/>
      <c r="S182" s="16"/>
      <c r="T182" s="16"/>
      <c r="U182" s="16"/>
      <c r="V182" s="16"/>
      <c r="W182" s="16"/>
      <c r="X182" s="16"/>
      <c r="Y182" s="16"/>
      <c r="Z182" s="16"/>
      <c r="AA182" s="16"/>
      <c r="AB182" s="16"/>
      <c r="AC182" s="16"/>
      <c r="AD182" s="16"/>
    </row>
    <row r="183" spans="1:30" x14ac:dyDescent="0.2">
      <c r="AA183"/>
      <c r="AB183"/>
      <c r="AC183"/>
    </row>
  </sheetData>
  <phoneticPr fontId="11" type="noConversion"/>
  <pageMargins left="0.25" right="0.25" top="0.25" bottom="0.5" header="0.25" footer="0.25"/>
  <pageSetup paperSize="5" scale="80" orientation="landscape" horizontalDpi="300" verticalDpi="300" r:id="rId1"/>
  <headerFooter alignWithMargins="0">
    <oddFooter>&amp;L&amp;"Arial,Bold"&amp;8Morgan Stanley: Confidential - FOR DISCUSSION PURPOSES ONLY
&amp;R&amp;8Printed on &amp;D - Page &amp;P of &amp;N</oddFooter>
  </headerFooter>
  <rowBreaks count="2" manualBreakCount="2">
    <brk id="34" max="16383" man="1"/>
    <brk id="99" max="16383" man="1"/>
  </rowBreaks>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dimension ref="B2:K53"/>
  <sheetViews>
    <sheetView workbookViewId="0"/>
  </sheetViews>
  <sheetFormatPr defaultRowHeight="12.75" x14ac:dyDescent="0.2"/>
  <cols>
    <col min="2" max="2" width="32.42578125" bestFit="1" customWidth="1"/>
    <col min="11" max="11" width="9.140625" hidden="1" customWidth="1"/>
  </cols>
  <sheetData>
    <row r="2" spans="2:11" x14ac:dyDescent="0.2">
      <c r="B2" s="1040"/>
      <c r="C2" s="1355" t="s">
        <v>579</v>
      </c>
      <c r="D2" s="1355"/>
      <c r="E2" s="1355"/>
      <c r="F2" s="1355"/>
      <c r="G2" s="1355"/>
      <c r="H2" s="1356" t="s">
        <v>580</v>
      </c>
      <c r="I2" s="1356"/>
      <c r="J2" s="1356"/>
      <c r="K2" s="1250"/>
    </row>
    <row r="3" spans="2:11" x14ac:dyDescent="0.2">
      <c r="B3" s="1041" t="s">
        <v>558</v>
      </c>
      <c r="C3" s="1042">
        <v>2018</v>
      </c>
      <c r="D3" s="1042">
        <f>C3+1</f>
        <v>2019</v>
      </c>
      <c r="E3" s="1042">
        <f t="shared" ref="E3:G3" si="0">D3+1</f>
        <v>2020</v>
      </c>
      <c r="F3" s="1042">
        <f t="shared" si="0"/>
        <v>2021</v>
      </c>
      <c r="G3" s="1042">
        <f t="shared" si="0"/>
        <v>2022</v>
      </c>
      <c r="H3" s="1043">
        <f>G3+1</f>
        <v>2023</v>
      </c>
      <c r="I3" s="1043">
        <f>H3+1</f>
        <v>2024</v>
      </c>
      <c r="J3" s="1043">
        <f>I3+1</f>
        <v>2025</v>
      </c>
      <c r="K3" s="1043">
        <v>2025</v>
      </c>
    </row>
    <row r="4" spans="2:11" x14ac:dyDescent="0.2">
      <c r="B4" s="1044"/>
      <c r="C4" s="1045"/>
      <c r="D4" s="1045"/>
      <c r="E4" s="1045"/>
      <c r="F4" s="1045"/>
      <c r="G4" s="1045"/>
      <c r="H4" s="1046"/>
      <c r="I4" s="1046"/>
      <c r="J4" s="1046"/>
      <c r="K4" s="1046"/>
    </row>
    <row r="5" spans="2:11" x14ac:dyDescent="0.2">
      <c r="B5" s="1040" t="s">
        <v>581</v>
      </c>
      <c r="C5" s="1047">
        <f>'yrP&amp;L'!AE7</f>
        <v>18785.039199999999</v>
      </c>
      <c r="D5" s="1047">
        <f>'yrP&amp;L'!AF7</f>
        <v>18511.202673515378</v>
      </c>
      <c r="E5" s="1047">
        <f>'yrP&amp;L'!AG7</f>
        <v>18233.534633412648</v>
      </c>
      <c r="F5" s="1047">
        <f>'yrP&amp;L'!AH7</f>
        <v>17960.031613911458</v>
      </c>
      <c r="G5" s="1047">
        <f>'yrP&amp;L'!AI7</f>
        <v>17690.631139702786</v>
      </c>
      <c r="H5" s="1048">
        <f>G5*(1+H6)</f>
        <v>17425.271672607243</v>
      </c>
      <c r="I5" s="1048">
        <f>H5*(1+I6)</f>
        <v>17163.892597518134</v>
      </c>
      <c r="J5" s="1048">
        <f>I5*(1+J6)</f>
        <v>16906.434208555362</v>
      </c>
      <c r="K5" s="1048">
        <f>J5*(1+K6)</f>
        <v>16652.837695427032</v>
      </c>
    </row>
    <row r="6" spans="2:11" x14ac:dyDescent="0.2">
      <c r="B6" s="1040" t="s">
        <v>233</v>
      </c>
      <c r="C6" s="1049">
        <f>'yrP&amp;L'!AE8</f>
        <v>-1.6232563498298047E-2</v>
      </c>
      <c r="D6" s="1049">
        <f>'yrP&amp;L'!AE8</f>
        <v>-1.6232563498298047E-2</v>
      </c>
      <c r="E6" s="1049">
        <f>'yrP&amp;L'!AF8</f>
        <v>-1.4577373172829033E-2</v>
      </c>
      <c r="F6" s="1049">
        <f>'yrP&amp;L'!AG8</f>
        <v>-1.4999999999999902E-2</v>
      </c>
      <c r="G6" s="1049">
        <f>'yrP&amp;L'!AH8</f>
        <v>-1.5000000000000013E-2</v>
      </c>
      <c r="H6" s="1050">
        <f>G6</f>
        <v>-1.5000000000000013E-2</v>
      </c>
      <c r="I6" s="1050">
        <f>H6</f>
        <v>-1.5000000000000013E-2</v>
      </c>
      <c r="J6" s="1050">
        <f>I6</f>
        <v>-1.5000000000000013E-2</v>
      </c>
      <c r="K6" s="1050">
        <f>J6</f>
        <v>-1.5000000000000013E-2</v>
      </c>
    </row>
    <row r="7" spans="2:11" x14ac:dyDescent="0.2">
      <c r="B7" s="1040" t="s">
        <v>582</v>
      </c>
      <c r="C7" s="1047">
        <f>'yrP&amp;L'!AE44</f>
        <v>1336.8090430399989</v>
      </c>
      <c r="D7" s="1047">
        <f>'yrP&amp;L'!AF44</f>
        <v>1173.9700453969399</v>
      </c>
      <c r="E7" s="1047">
        <f>'yrP&amp;L'!AG44</f>
        <v>1076.7148304257244</v>
      </c>
      <c r="F7" s="1047">
        <f>'yrP&amp;L'!AH44</f>
        <v>974.56199099786318</v>
      </c>
      <c r="G7" s="1047">
        <f>'yrP&amp;L'!AI44</f>
        <v>919.08980376525324</v>
      </c>
      <c r="H7" s="1048">
        <f>H5*H8</f>
        <v>818.17709834573827</v>
      </c>
      <c r="I7" s="1048">
        <f>I5*I8</f>
        <v>720.08497888296154</v>
      </c>
      <c r="J7" s="1048">
        <f>J5*J8</f>
        <v>658.56440157405098</v>
      </c>
      <c r="K7" s="1048">
        <f>K5*K8</f>
        <v>615.3802601595861</v>
      </c>
    </row>
    <row r="8" spans="2:11" x14ac:dyDescent="0.2">
      <c r="B8" s="1051" t="s">
        <v>583</v>
      </c>
      <c r="C8" s="1049">
        <f>C7/C5</f>
        <v>7.1163494992334056E-2</v>
      </c>
      <c r="D8" s="1049">
        <f>D7/D5</f>
        <v>6.3419436656948269E-2</v>
      </c>
      <c r="E8" s="1049">
        <f>E7/E5</f>
        <v>5.9051349728574426E-2</v>
      </c>
      <c r="F8" s="1049">
        <f>F7/F5</f>
        <v>5.4262821577829974E-2</v>
      </c>
      <c r="G8" s="1049">
        <f>G7/G5</f>
        <v>5.1953477324082321E-2</v>
      </c>
      <c r="H8" s="1050">
        <f>G8-0.005</f>
        <v>4.6953477324082324E-2</v>
      </c>
      <c r="I8" s="1050">
        <f>H8-0.005</f>
        <v>4.1953477324082326E-2</v>
      </c>
      <c r="J8" s="1050">
        <f>I8-0.003</f>
        <v>3.8953477324082324E-2</v>
      </c>
      <c r="K8" s="1050">
        <f>J8-0.002</f>
        <v>3.6953477324082322E-2</v>
      </c>
    </row>
    <row r="9" spans="2:11" x14ac:dyDescent="0.2">
      <c r="B9" s="1052" t="s">
        <v>196</v>
      </c>
      <c r="C9" s="1053">
        <f>'yrP&amp;L'!AE57</f>
        <v>0.24500000000000025</v>
      </c>
      <c r="D9" s="1053">
        <f>'yrP&amp;L'!AE57</f>
        <v>0.24500000000000025</v>
      </c>
      <c r="E9" s="1053">
        <f>'yrP&amp;L'!AF57</f>
        <v>0.24500000000000025</v>
      </c>
      <c r="F9" s="1053">
        <f>'yrP&amp;L'!AG57</f>
        <v>0.24500000000000025</v>
      </c>
      <c r="G9" s="1053">
        <f>'yrP&amp;L'!AH57</f>
        <v>0.24500000000000025</v>
      </c>
      <c r="H9" s="1054">
        <f>G9</f>
        <v>0.24500000000000025</v>
      </c>
      <c r="I9" s="1054">
        <f>H9</f>
        <v>0.24500000000000025</v>
      </c>
      <c r="J9" s="1054">
        <f>I9</f>
        <v>0.24500000000000025</v>
      </c>
      <c r="K9" s="1054">
        <f>J9</f>
        <v>0.24500000000000025</v>
      </c>
    </row>
    <row r="10" spans="2:11" x14ac:dyDescent="0.2">
      <c r="B10" s="1040" t="s">
        <v>584</v>
      </c>
      <c r="C10" s="1055">
        <f t="shared" ref="C10:J10" si="1">-C7*C9</f>
        <v>-327.51821554480006</v>
      </c>
      <c r="D10" s="1055">
        <f>-D7*D9</f>
        <v>-287.62266112225058</v>
      </c>
      <c r="E10" s="1055">
        <f>-E7*E9</f>
        <v>-263.79513345430274</v>
      </c>
      <c r="F10" s="1055">
        <f>-F7*F9</f>
        <v>-238.76768779447673</v>
      </c>
      <c r="G10" s="1055">
        <f>-G7*G9</f>
        <v>-225.17700192248728</v>
      </c>
      <c r="H10" s="1056">
        <f t="shared" si="1"/>
        <v>-200.45338909470607</v>
      </c>
      <c r="I10" s="1056">
        <f t="shared" si="1"/>
        <v>-176.42081982632575</v>
      </c>
      <c r="J10" s="1056">
        <f t="shared" si="1"/>
        <v>-161.34827838564266</v>
      </c>
      <c r="K10" s="1056">
        <f>-K7*K9</f>
        <v>-150.76816373909875</v>
      </c>
    </row>
    <row r="11" spans="2:11" x14ac:dyDescent="0.2">
      <c r="B11" s="1040" t="s">
        <v>553</v>
      </c>
      <c r="C11" s="1057">
        <f>C7+C10</f>
        <v>1009.2908274951988</v>
      </c>
      <c r="D11" s="1057">
        <f t="shared" ref="D11:J11" si="2">D7+D10</f>
        <v>886.34738427468938</v>
      </c>
      <c r="E11" s="1057">
        <f t="shared" si="2"/>
        <v>812.91969697142167</v>
      </c>
      <c r="F11" s="1057">
        <f t="shared" si="2"/>
        <v>735.79430320338645</v>
      </c>
      <c r="G11" s="1057">
        <f>G7+G10</f>
        <v>693.91280184276593</v>
      </c>
      <c r="H11" s="1058">
        <f t="shared" si="2"/>
        <v>617.72370925103223</v>
      </c>
      <c r="I11" s="1058">
        <f t="shared" si="2"/>
        <v>543.66415905663575</v>
      </c>
      <c r="J11" s="1058">
        <f t="shared" si="2"/>
        <v>497.21612318840835</v>
      </c>
      <c r="K11" s="1058">
        <f>K7+K10</f>
        <v>464.61209642048732</v>
      </c>
    </row>
    <row r="12" spans="2:11" x14ac:dyDescent="0.2">
      <c r="B12" s="1059" t="s">
        <v>585</v>
      </c>
      <c r="C12" s="1060">
        <f t="shared" ref="C12:K12" si="3">C11/C5</f>
        <v>5.3728438719212193E-2</v>
      </c>
      <c r="D12" s="1060">
        <f t="shared" si="3"/>
        <v>4.7881674675995925E-2</v>
      </c>
      <c r="E12" s="1060">
        <f t="shared" si="3"/>
        <v>4.4583769045073676E-2</v>
      </c>
      <c r="F12" s="1060">
        <f t="shared" si="3"/>
        <v>4.0968430291261619E-2</v>
      </c>
      <c r="G12" s="1060">
        <f t="shared" si="3"/>
        <v>3.9224875379682139E-2</v>
      </c>
      <c r="H12" s="1061">
        <f t="shared" si="3"/>
        <v>3.5449875379682146E-2</v>
      </c>
      <c r="I12" s="1061">
        <f t="shared" si="3"/>
        <v>3.1674875379682145E-2</v>
      </c>
      <c r="J12" s="1061">
        <f t="shared" si="3"/>
        <v>2.9409875379682145E-2</v>
      </c>
      <c r="K12" s="1061">
        <f t="shared" si="3"/>
        <v>2.7899875379682141E-2</v>
      </c>
    </row>
    <row r="13" spans="2:11" x14ac:dyDescent="0.2">
      <c r="B13" s="1040"/>
      <c r="C13" s="1062"/>
      <c r="D13" s="1062"/>
      <c r="E13" s="1062"/>
      <c r="F13" s="1062"/>
      <c r="G13" s="1062"/>
      <c r="H13" s="1063"/>
      <c r="I13" s="1063"/>
      <c r="J13" s="1063"/>
      <c r="K13" s="1063"/>
    </row>
    <row r="14" spans="2:11" x14ac:dyDescent="0.2">
      <c r="B14" s="1064" t="s">
        <v>586</v>
      </c>
      <c r="C14" s="1055">
        <f>'yrP&amp;L'!AE37</f>
        <v>960</v>
      </c>
      <c r="D14" s="1055">
        <f>'yrP&amp;L'!AF37</f>
        <v>965</v>
      </c>
      <c r="E14" s="1055">
        <f>'yrP&amp;L'!AG37</f>
        <v>970</v>
      </c>
      <c r="F14" s="1055">
        <f>'yrP&amp;L'!AH37</f>
        <v>975</v>
      </c>
      <c r="G14" s="1055">
        <f>'yrP&amp;L'!AI37</f>
        <v>980</v>
      </c>
      <c r="H14" s="1056">
        <v>900</v>
      </c>
      <c r="I14" s="1056">
        <v>800</v>
      </c>
      <c r="J14" s="1056">
        <v>700</v>
      </c>
      <c r="K14" s="1056">
        <f>K15*K5</f>
        <v>922.50981961249988</v>
      </c>
    </row>
    <row r="15" spans="2:11" x14ac:dyDescent="0.2">
      <c r="B15" s="1040"/>
      <c r="C15" s="1049">
        <f>C14/C5</f>
        <v>5.1104498094419734E-2</v>
      </c>
      <c r="D15" s="1049">
        <f>D14/D5</f>
        <v>5.2130594484855332E-2</v>
      </c>
      <c r="E15" s="1049">
        <f>E14/E5</f>
        <v>5.3198681413229185E-2</v>
      </c>
      <c r="F15" s="1049">
        <f>F14/F5</f>
        <v>5.4287209563973468E-2</v>
      </c>
      <c r="G15" s="1049">
        <f>G14/G5</f>
        <v>5.5396553817721204E-2</v>
      </c>
      <c r="H15" s="1065">
        <f>G15</f>
        <v>5.5396553817721204E-2</v>
      </c>
      <c r="I15" s="1065">
        <f>H15</f>
        <v>5.5396553817721204E-2</v>
      </c>
      <c r="J15" s="1065">
        <f>I15</f>
        <v>5.5396553817721204E-2</v>
      </c>
      <c r="K15" s="1065">
        <f>J15</f>
        <v>5.5396553817721204E-2</v>
      </c>
    </row>
    <row r="16" spans="2:11" x14ac:dyDescent="0.2">
      <c r="B16" s="1064" t="s">
        <v>160</v>
      </c>
      <c r="C16" s="1047">
        <f>flow!AG20</f>
        <v>-700</v>
      </c>
      <c r="D16" s="1047">
        <f>flow!AG20</f>
        <v>-700</v>
      </c>
      <c r="E16" s="1047">
        <f>flow!AH20</f>
        <v>-650</v>
      </c>
      <c r="F16" s="1047">
        <f>flow!AI20</f>
        <v>-650</v>
      </c>
      <c r="G16" s="1047">
        <f>flow!AJ20</f>
        <v>-650</v>
      </c>
      <c r="H16" s="1048">
        <f>G16*(1+H6)</f>
        <v>-640.25</v>
      </c>
      <c r="I16" s="1048">
        <f>H16*(1+I6)</f>
        <v>-630.64625000000001</v>
      </c>
      <c r="J16" s="1048">
        <f>I16*(1+J6)</f>
        <v>-621.18655624999997</v>
      </c>
      <c r="K16" s="1048">
        <f>J16*(1+K6)</f>
        <v>-611.86875790624993</v>
      </c>
    </row>
    <row r="17" spans="2:11" x14ac:dyDescent="0.2">
      <c r="B17" s="1064"/>
      <c r="C17" s="1047"/>
      <c r="D17" s="1047"/>
      <c r="E17" s="1047"/>
      <c r="F17" s="1047"/>
      <c r="G17" s="1047"/>
      <c r="H17" s="1066"/>
      <c r="I17" s="1066"/>
      <c r="J17" s="1066"/>
      <c r="K17" s="1066"/>
    </row>
    <row r="18" spans="2:11" x14ac:dyDescent="0.2">
      <c r="B18" s="1064" t="s">
        <v>587</v>
      </c>
      <c r="C18" s="1055">
        <f>flow!AG31</f>
        <v>-25.562492984308548</v>
      </c>
      <c r="D18" s="1055">
        <f>flow!AH31</f>
        <v>22.636093584488037</v>
      </c>
      <c r="E18" s="1055">
        <f>flow!AI31</f>
        <v>27.275093909635075</v>
      </c>
      <c r="F18" s="1055">
        <f>flow!AJ31</f>
        <v>26.256520192191559</v>
      </c>
      <c r="G18" s="1055">
        <f>flow!AK31</f>
        <v>30.01664952967333</v>
      </c>
      <c r="H18" s="1056">
        <f>G18</f>
        <v>30.01664952967333</v>
      </c>
      <c r="I18" s="1056">
        <f>H18</f>
        <v>30.01664952967333</v>
      </c>
      <c r="J18" s="1056">
        <f>I18</f>
        <v>30.01664952967333</v>
      </c>
      <c r="K18" s="1056">
        <f>J18</f>
        <v>30.01664952967333</v>
      </c>
    </row>
    <row r="19" spans="2:11" x14ac:dyDescent="0.2">
      <c r="B19" s="1040" t="s">
        <v>588</v>
      </c>
      <c r="C19" s="1057">
        <f t="shared" ref="C19:J19" si="4">SUM(C16:C18)</f>
        <v>-725.56249298430851</v>
      </c>
      <c r="D19" s="1057">
        <f t="shared" si="4"/>
        <v>-677.36390641551202</v>
      </c>
      <c r="E19" s="1057">
        <f t="shared" si="4"/>
        <v>-622.72490609036493</v>
      </c>
      <c r="F19" s="1057">
        <f t="shared" si="4"/>
        <v>-623.7434798078084</v>
      </c>
      <c r="G19" s="1057">
        <f t="shared" si="4"/>
        <v>-619.98335047032663</v>
      </c>
      <c r="H19" s="1058">
        <f t="shared" si="4"/>
        <v>-610.23335047032663</v>
      </c>
      <c r="I19" s="1058">
        <f t="shared" si="4"/>
        <v>-600.62960047032664</v>
      </c>
      <c r="J19" s="1058">
        <f t="shared" si="4"/>
        <v>-591.16990672032659</v>
      </c>
      <c r="K19" s="1058">
        <f>SUM(K16:K18)</f>
        <v>-581.85210837657655</v>
      </c>
    </row>
    <row r="20" spans="2:11" x14ac:dyDescent="0.2">
      <c r="B20" s="1067" t="s">
        <v>589</v>
      </c>
      <c r="C20" s="1068"/>
      <c r="D20" s="1068"/>
      <c r="E20" s="1068"/>
      <c r="F20" s="1068"/>
      <c r="G20" s="1068"/>
      <c r="H20" s="1069"/>
      <c r="I20" s="1069"/>
      <c r="J20" s="1069"/>
      <c r="K20" s="1069"/>
    </row>
    <row r="21" spans="2:11" x14ac:dyDescent="0.2">
      <c r="B21" s="1040"/>
      <c r="C21" s="1070"/>
      <c r="D21" s="1070"/>
      <c r="E21" s="1070"/>
      <c r="F21" s="1070"/>
      <c r="G21" s="1070"/>
      <c r="H21" s="1071"/>
      <c r="I21" s="1071"/>
      <c r="J21" s="1071"/>
      <c r="K21" s="1071"/>
    </row>
    <row r="22" spans="2:11" x14ac:dyDescent="0.2">
      <c r="B22" s="1044" t="s">
        <v>590</v>
      </c>
      <c r="C22" s="1072">
        <f t="shared" ref="C22:J22" si="5">C11+C14+C19</f>
        <v>1243.7283345108904</v>
      </c>
      <c r="D22" s="1072">
        <f t="shared" si="5"/>
        <v>1173.9834778591774</v>
      </c>
      <c r="E22" s="1072">
        <f t="shared" si="5"/>
        <v>1160.1947908810566</v>
      </c>
      <c r="F22" s="1072">
        <f t="shared" si="5"/>
        <v>1087.0508233955779</v>
      </c>
      <c r="G22" s="1072">
        <f t="shared" si="5"/>
        <v>1053.9294513724394</v>
      </c>
      <c r="H22" s="1073">
        <f t="shared" si="5"/>
        <v>907.49035878070561</v>
      </c>
      <c r="I22" s="1073">
        <f t="shared" si="5"/>
        <v>743.03455858630912</v>
      </c>
      <c r="J22" s="1073">
        <f t="shared" si="5"/>
        <v>606.04621646808175</v>
      </c>
      <c r="K22" s="1073">
        <f>K11+K14+K19</f>
        <v>805.26980765641065</v>
      </c>
    </row>
    <row r="23" spans="2:11" x14ac:dyDescent="0.2">
      <c r="B23" s="1074"/>
      <c r="C23" s="1074"/>
      <c r="D23" s="1074"/>
      <c r="E23" s="1074"/>
      <c r="F23" s="1074"/>
      <c r="G23" s="1075"/>
      <c r="H23" s="1075"/>
      <c r="I23" s="1075"/>
      <c r="J23" s="1076"/>
    </row>
    <row r="24" spans="2:11" x14ac:dyDescent="0.2">
      <c r="B24" s="1077"/>
      <c r="C24" s="1078">
        <v>0</v>
      </c>
      <c r="D24" s="1078">
        <f t="shared" ref="D24:I24" si="6">C24+1</f>
        <v>1</v>
      </c>
      <c r="E24" s="1078">
        <f t="shared" si="6"/>
        <v>2</v>
      </c>
      <c r="F24" s="1078">
        <f t="shared" si="6"/>
        <v>3</v>
      </c>
      <c r="G24" s="1078">
        <f t="shared" si="6"/>
        <v>4</v>
      </c>
      <c r="H24" s="1078">
        <f t="shared" si="6"/>
        <v>5</v>
      </c>
      <c r="I24" s="1078">
        <f t="shared" si="6"/>
        <v>6</v>
      </c>
      <c r="J24" s="1078">
        <f>I24+1</f>
        <v>7</v>
      </c>
      <c r="K24" s="1078">
        <f>J24+1</f>
        <v>8</v>
      </c>
    </row>
    <row r="25" spans="2:11" x14ac:dyDescent="0.2">
      <c r="B25" s="1079" t="s">
        <v>591</v>
      </c>
      <c r="C25" s="1080">
        <f>1/(1+$H$39)^C24</f>
        <v>1</v>
      </c>
      <c r="D25" s="1080">
        <f t="shared" ref="D25:K25" si="7">1/(1+$H$39)^D24</f>
        <v>1</v>
      </c>
      <c r="E25" s="1080">
        <f t="shared" si="7"/>
        <v>1</v>
      </c>
      <c r="F25" s="1080">
        <f t="shared" si="7"/>
        <v>1</v>
      </c>
      <c r="G25" s="1080">
        <f t="shared" si="7"/>
        <v>1</v>
      </c>
      <c r="H25" s="1080">
        <f t="shared" si="7"/>
        <v>1</v>
      </c>
      <c r="I25" s="1080">
        <f>1/(1+$H$39)^I24</f>
        <v>1</v>
      </c>
      <c r="J25" s="1080">
        <f t="shared" si="7"/>
        <v>1</v>
      </c>
      <c r="K25" s="1080">
        <f t="shared" si="7"/>
        <v>1</v>
      </c>
    </row>
    <row r="26" spans="2:11" x14ac:dyDescent="0.2">
      <c r="B26" s="1081" t="s">
        <v>592</v>
      </c>
      <c r="C26" s="1082">
        <f t="shared" ref="C26:K26" si="8">C22*C25</f>
        <v>1243.7283345108904</v>
      </c>
      <c r="D26" s="1082">
        <f t="shared" si="8"/>
        <v>1173.9834778591774</v>
      </c>
      <c r="E26" s="1082">
        <f t="shared" si="8"/>
        <v>1160.1947908810566</v>
      </c>
      <c r="F26" s="1082">
        <f t="shared" si="8"/>
        <v>1087.0508233955779</v>
      </c>
      <c r="G26" s="1082">
        <f t="shared" si="8"/>
        <v>1053.9294513724394</v>
      </c>
      <c r="H26" s="1082">
        <f t="shared" si="8"/>
        <v>907.49035878070561</v>
      </c>
      <c r="I26" s="1082">
        <f t="shared" si="8"/>
        <v>743.03455858630912</v>
      </c>
      <c r="J26" s="1083">
        <f t="shared" si="8"/>
        <v>606.04621646808175</v>
      </c>
      <c r="K26" s="1083">
        <f t="shared" si="8"/>
        <v>805.26980765641065</v>
      </c>
    </row>
    <row r="27" spans="2:11" x14ac:dyDescent="0.2">
      <c r="B27" s="1079" t="s">
        <v>593</v>
      </c>
      <c r="C27" s="1062"/>
      <c r="D27" s="1062"/>
      <c r="E27" s="1062"/>
      <c r="F27" s="1062"/>
      <c r="G27" s="1062"/>
      <c r="H27" s="1062"/>
      <c r="I27" s="1062"/>
      <c r="J27" s="1079">
        <f>(J22*(1+C30))/(H35-C30)</f>
        <v>7159.7672878506437</v>
      </c>
      <c r="K27" s="1079">
        <f>(K22*(1+C30))/(H35-C30)</f>
        <v>9513.37417854468</v>
      </c>
    </row>
    <row r="28" spans="2:11" x14ac:dyDescent="0.2">
      <c r="B28" s="1084" t="s">
        <v>594</v>
      </c>
      <c r="C28" s="1085"/>
      <c r="D28" s="1085"/>
      <c r="E28" s="1085"/>
      <c r="F28" s="1085"/>
      <c r="G28" s="1085"/>
      <c r="H28" s="1085"/>
      <c r="I28" s="1085"/>
      <c r="J28" s="1083">
        <f>J27*J25</f>
        <v>7159.7672878506437</v>
      </c>
    </row>
    <row r="29" spans="2:11" x14ac:dyDescent="0.2">
      <c r="B29" s="1040"/>
      <c r="C29" s="1086"/>
      <c r="D29" s="1086"/>
      <c r="E29" s="1086"/>
      <c r="F29" s="1086"/>
      <c r="G29" s="1086"/>
      <c r="H29" s="1109"/>
      <c r="I29" s="1086"/>
      <c r="J29" s="1086"/>
    </row>
    <row r="30" spans="2:11" x14ac:dyDescent="0.2">
      <c r="B30" s="1087" t="s">
        <v>595</v>
      </c>
      <c r="C30" s="1088">
        <v>0</v>
      </c>
      <c r="D30" s="1086"/>
      <c r="E30" s="1087" t="s">
        <v>596</v>
      </c>
      <c r="F30" s="1087"/>
      <c r="G30" s="1086"/>
      <c r="H30" s="1110">
        <v>2.9499999999999998E-2</v>
      </c>
      <c r="I30" s="1086"/>
      <c r="J30" s="1086"/>
    </row>
    <row r="31" spans="2:11" x14ac:dyDescent="0.2">
      <c r="B31" s="1087"/>
      <c r="C31" s="1086"/>
      <c r="D31" s="1086"/>
      <c r="E31" s="1087" t="s">
        <v>597</v>
      </c>
      <c r="F31" s="1087"/>
      <c r="G31" s="1086"/>
      <c r="H31" s="1110">
        <v>5.0799999999999998E-2</v>
      </c>
      <c r="I31" s="1086"/>
      <c r="J31" s="1086"/>
    </row>
    <row r="32" spans="2:11" x14ac:dyDescent="0.2">
      <c r="B32" s="1087" t="s">
        <v>598</v>
      </c>
      <c r="C32" s="1087">
        <f>bal!AF34+bal!AF31</f>
        <v>4514</v>
      </c>
      <c r="D32" s="1086"/>
      <c r="E32" s="1087" t="s">
        <v>599</v>
      </c>
      <c r="F32" s="1089"/>
      <c r="G32" s="1086"/>
      <c r="H32" s="1111">
        <v>1.43</v>
      </c>
      <c r="I32" s="1086"/>
      <c r="J32" s="1086"/>
    </row>
    <row r="33" spans="2:10" x14ac:dyDescent="0.2">
      <c r="B33" s="1087" t="s">
        <v>600</v>
      </c>
      <c r="C33" s="1090">
        <f>bal!AF9</f>
        <v>1640.9853120772477</v>
      </c>
      <c r="D33" s="1086"/>
      <c r="E33" s="1087" t="s">
        <v>601</v>
      </c>
      <c r="F33" s="1087"/>
      <c r="G33" s="1086"/>
      <c r="H33" s="1110">
        <f>H30+H32*(H31)</f>
        <v>0.102144</v>
      </c>
      <c r="I33" s="1086"/>
      <c r="J33" s="1086"/>
    </row>
    <row r="34" spans="2:10" x14ac:dyDescent="0.2">
      <c r="B34" s="1089" t="s">
        <v>602</v>
      </c>
      <c r="C34" s="1089">
        <f>C32-C33</f>
        <v>2873.0146879227523</v>
      </c>
      <c r="D34" s="1086"/>
      <c r="E34" s="1087"/>
      <c r="F34" s="1087"/>
      <c r="G34" s="1087"/>
      <c r="H34" s="1112"/>
      <c r="I34" s="1086"/>
      <c r="J34" s="1086"/>
    </row>
    <row r="35" spans="2:10" x14ac:dyDescent="0.2">
      <c r="B35" s="1091" t="s">
        <v>603</v>
      </c>
      <c r="C35" s="1092">
        <v>5.4149467107681003E-2</v>
      </c>
      <c r="D35" s="1086"/>
      <c r="E35" s="1093" t="s">
        <v>552</v>
      </c>
      <c r="F35" s="1094"/>
      <c r="G35" s="1094"/>
      <c r="H35" s="1095">
        <f>(C32/(C32+C40))*C36 + (C40/(C32+C40))*H33</f>
        <v>8.4646077463505984E-2</v>
      </c>
      <c r="I35" s="1086"/>
      <c r="J35" s="1086"/>
    </row>
    <row r="36" spans="2:10" x14ac:dyDescent="0.2">
      <c r="B36" s="1091" t="s">
        <v>628</v>
      </c>
      <c r="C36" s="1092">
        <f>C35*(1-0.21)</f>
        <v>4.2778079015067992E-2</v>
      </c>
      <c r="D36" s="1086"/>
      <c r="E36" s="1086"/>
      <c r="F36" s="1086"/>
      <c r="G36" s="1086"/>
      <c r="H36" s="1086"/>
      <c r="I36" s="1086"/>
      <c r="J36" s="1086"/>
    </row>
    <row r="37" spans="2:10" x14ac:dyDescent="0.2">
      <c r="B37" s="1087"/>
      <c r="C37" s="1087"/>
      <c r="D37" s="1086"/>
      <c r="E37" s="1086"/>
      <c r="F37" s="1086"/>
      <c r="G37" s="1086"/>
      <c r="H37" s="1086"/>
      <c r="I37" s="1086"/>
      <c r="J37" s="1086"/>
    </row>
    <row r="38" spans="2:10" x14ac:dyDescent="0.2">
      <c r="B38" s="1087" t="s">
        <v>604</v>
      </c>
      <c r="C38" s="1087">
        <f>'qtrP&amp;L'!DK190</f>
        <v>166.16666666666669</v>
      </c>
      <c r="D38" s="1087"/>
      <c r="E38" s="1096"/>
      <c r="F38" s="1097"/>
      <c r="G38" s="1097"/>
      <c r="H38" s="1086"/>
      <c r="I38" s="1086"/>
      <c r="J38" s="1086"/>
    </row>
    <row r="39" spans="2:10" x14ac:dyDescent="0.2">
      <c r="B39" s="1087" t="s">
        <v>605</v>
      </c>
      <c r="C39" s="1098">
        <v>65</v>
      </c>
      <c r="D39" s="1099"/>
      <c r="E39" s="1100"/>
      <c r="F39" s="1097"/>
      <c r="G39" s="1097"/>
      <c r="H39" s="1086"/>
      <c r="I39" s="1086"/>
      <c r="J39" s="1086"/>
    </row>
    <row r="40" spans="2:10" x14ac:dyDescent="0.2">
      <c r="B40" s="1089" t="s">
        <v>606</v>
      </c>
      <c r="C40" s="1089">
        <f>C38*C39</f>
        <v>10800.833333333334</v>
      </c>
      <c r="D40" s="1097"/>
      <c r="E40" s="1100"/>
      <c r="F40" s="1097"/>
      <c r="G40" s="1097"/>
      <c r="H40" s="1086"/>
      <c r="I40" s="1086"/>
      <c r="J40" s="1086"/>
    </row>
    <row r="41" spans="2:10" x14ac:dyDescent="0.2">
      <c r="B41" s="1089" t="s">
        <v>607</v>
      </c>
      <c r="C41" s="1089">
        <f>C34+C40</f>
        <v>13673.848021256086</v>
      </c>
      <c r="D41" s="1086"/>
      <c r="E41" s="1086"/>
      <c r="F41" s="1086"/>
      <c r="G41" s="1086"/>
      <c r="H41" s="1086"/>
      <c r="I41" s="1086"/>
      <c r="J41" s="1086"/>
    </row>
    <row r="42" spans="2:10" x14ac:dyDescent="0.2">
      <c r="B42" s="1087"/>
      <c r="C42" s="1087"/>
      <c r="D42" s="1087"/>
      <c r="E42" s="1087"/>
      <c r="F42" s="1087"/>
      <c r="G42" s="1087"/>
      <c r="H42" s="1086"/>
      <c r="I42" s="1086"/>
      <c r="J42" s="1086"/>
    </row>
    <row r="43" spans="2:10" x14ac:dyDescent="0.2">
      <c r="B43" s="1087" t="s">
        <v>608</v>
      </c>
      <c r="C43" s="1087">
        <f>SUM(C26:J26)</f>
        <v>7975.458011854239</v>
      </c>
      <c r="D43" s="1087"/>
      <c r="E43" s="1087"/>
      <c r="F43" s="1087"/>
      <c r="G43" s="1087"/>
      <c r="H43" s="1086"/>
      <c r="I43" s="1086"/>
      <c r="J43" s="1086"/>
    </row>
    <row r="44" spans="2:10" x14ac:dyDescent="0.2">
      <c r="B44" s="1087" t="s">
        <v>594</v>
      </c>
      <c r="C44" s="1090">
        <f>J27</f>
        <v>7159.7672878506437</v>
      </c>
      <c r="D44" s="1087"/>
      <c r="E44" s="1087"/>
      <c r="F44" s="1087"/>
      <c r="G44" s="1087"/>
      <c r="H44" s="1086"/>
      <c r="I44" s="1086"/>
      <c r="J44" s="1101">
        <v>0</v>
      </c>
    </row>
    <row r="45" spans="2:10" x14ac:dyDescent="0.2">
      <c r="B45" s="1089" t="s">
        <v>609</v>
      </c>
      <c r="C45" s="1089">
        <f>SUM(C43:C44)</f>
        <v>15135.225299704882</v>
      </c>
      <c r="D45" s="1087"/>
      <c r="E45" s="1087"/>
      <c r="F45" s="1087"/>
      <c r="G45" s="1087"/>
      <c r="H45" s="1086"/>
      <c r="I45" s="1099"/>
      <c r="J45" s="1099"/>
    </row>
    <row r="46" spans="2:10" x14ac:dyDescent="0.2">
      <c r="B46" s="1087" t="s">
        <v>610</v>
      </c>
      <c r="C46" s="1087">
        <f>-C32</f>
        <v>-4514</v>
      </c>
      <c r="D46" s="1099"/>
      <c r="E46" s="1099"/>
      <c r="F46" s="1099"/>
      <c r="G46" s="1099"/>
      <c r="H46" s="1086"/>
      <c r="I46" s="1086"/>
      <c r="J46" s="1086"/>
    </row>
    <row r="47" spans="2:10" x14ac:dyDescent="0.2">
      <c r="B47" s="1087" t="s">
        <v>611</v>
      </c>
      <c r="C47" s="1102">
        <f>+C33</f>
        <v>1640.9853120772477</v>
      </c>
      <c r="D47" s="1087"/>
      <c r="E47" s="1087"/>
      <c r="F47" s="1087"/>
      <c r="G47" s="1087"/>
      <c r="H47" s="1086"/>
      <c r="I47" s="1086"/>
      <c r="J47" s="1086"/>
    </row>
    <row r="48" spans="2:10" x14ac:dyDescent="0.2">
      <c r="B48" s="1087" t="s">
        <v>612</v>
      </c>
      <c r="C48" s="1102">
        <v>0</v>
      </c>
      <c r="D48" s="1087"/>
      <c r="E48" s="1087"/>
      <c r="F48" s="1087"/>
      <c r="G48" s="1087"/>
      <c r="H48" s="1086"/>
      <c r="I48" s="1086"/>
      <c r="J48" s="1086"/>
    </row>
    <row r="49" spans="2:10" x14ac:dyDescent="0.2">
      <c r="B49" s="1087" t="s">
        <v>613</v>
      </c>
      <c r="C49" s="1103" t="s">
        <v>94</v>
      </c>
      <c r="D49" s="1087"/>
      <c r="E49" s="1087"/>
      <c r="F49" s="1087"/>
      <c r="G49" s="1087"/>
      <c r="H49" s="1086"/>
      <c r="I49" s="1086"/>
      <c r="J49" s="1086"/>
    </row>
    <row r="50" spans="2:10" x14ac:dyDescent="0.2">
      <c r="B50" s="1089" t="s">
        <v>548</v>
      </c>
      <c r="C50" s="1089">
        <f>SUM(C45:C49)</f>
        <v>12262.210611782129</v>
      </c>
      <c r="D50" s="1087"/>
      <c r="E50" s="1087"/>
      <c r="F50" s="1087"/>
      <c r="G50" s="1087"/>
      <c r="H50" s="1086"/>
      <c r="I50" s="1086"/>
      <c r="J50" s="1086"/>
    </row>
    <row r="51" spans="2:10" x14ac:dyDescent="0.2">
      <c r="B51" s="1093" t="s">
        <v>614</v>
      </c>
      <c r="C51" s="1104">
        <f>C50/C38</f>
        <v>73.794647613533371</v>
      </c>
      <c r="D51" s="1087"/>
      <c r="E51" s="1087"/>
      <c r="F51" s="1087"/>
      <c r="G51" s="1087"/>
      <c r="H51" s="1086"/>
      <c r="I51" s="1086"/>
      <c r="J51" s="1086"/>
    </row>
    <row r="52" spans="2:10" x14ac:dyDescent="0.2">
      <c r="B52" s="1087"/>
      <c r="C52" s="1105"/>
      <c r="D52" s="1086"/>
      <c r="E52" s="1086"/>
      <c r="F52" s="1086"/>
      <c r="G52" s="1086"/>
      <c r="H52" s="1086"/>
      <c r="I52" s="1086"/>
      <c r="J52" s="1086"/>
    </row>
    <row r="53" spans="2:10" x14ac:dyDescent="0.2">
      <c r="B53" s="1093" t="s">
        <v>624</v>
      </c>
      <c r="C53" s="1104">
        <f>C51*(1+H33)</f>
        <v>81.33232809937013</v>
      </c>
      <c r="D53" s="1086"/>
      <c r="E53" s="1086"/>
      <c r="F53" s="1086"/>
      <c r="G53" s="1086"/>
      <c r="H53" s="1086"/>
      <c r="I53" s="1086"/>
      <c r="J53" s="1086"/>
    </row>
  </sheetData>
  <mergeCells count="2">
    <mergeCell ref="C2:G2"/>
    <mergeCell ref="H2:J2"/>
  </mergeCells>
  <pageMargins left="0.7" right="0.7" top="0.75" bottom="0.75" header="0.3" footer="0.3"/>
  <pageSetup orientation="portrait" verticalDpi="200"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43"/>
  <sheetViews>
    <sheetView workbookViewId="0">
      <selection activeCell="B42" sqref="B42"/>
    </sheetView>
  </sheetViews>
  <sheetFormatPr defaultRowHeight="12.75" x14ac:dyDescent="0.2"/>
  <cols>
    <col min="1" max="1" width="29.5703125" style="1280" bestFit="1" customWidth="1"/>
    <col min="2" max="2" width="19.85546875" style="1336" customWidth="1"/>
    <col min="3" max="3" width="12" style="1280" bestFit="1" customWidth="1"/>
    <col min="4" max="256" width="9.140625" style="1280"/>
    <col min="257" max="257" width="29.5703125" style="1280" bestFit="1" customWidth="1"/>
    <col min="258" max="258" width="19.85546875" style="1280" customWidth="1"/>
    <col min="259" max="259" width="12" style="1280" bestFit="1" customWidth="1"/>
    <col min="260" max="512" width="9.140625" style="1280"/>
    <col min="513" max="513" width="29.5703125" style="1280" bestFit="1" customWidth="1"/>
    <col min="514" max="514" width="19.85546875" style="1280" customWidth="1"/>
    <col min="515" max="515" width="12" style="1280" bestFit="1" customWidth="1"/>
    <col min="516" max="768" width="9.140625" style="1280"/>
    <col min="769" max="769" width="29.5703125" style="1280" bestFit="1" customWidth="1"/>
    <col min="770" max="770" width="19.85546875" style="1280" customWidth="1"/>
    <col min="771" max="771" width="12" style="1280" bestFit="1" customWidth="1"/>
    <col min="772" max="1024" width="9.140625" style="1280"/>
    <col min="1025" max="1025" width="29.5703125" style="1280" bestFit="1" customWidth="1"/>
    <col min="1026" max="1026" width="19.85546875" style="1280" customWidth="1"/>
    <col min="1027" max="1027" width="12" style="1280" bestFit="1" customWidth="1"/>
    <col min="1028" max="1280" width="9.140625" style="1280"/>
    <col min="1281" max="1281" width="29.5703125" style="1280" bestFit="1" customWidth="1"/>
    <col min="1282" max="1282" width="19.85546875" style="1280" customWidth="1"/>
    <col min="1283" max="1283" width="12" style="1280" bestFit="1" customWidth="1"/>
    <col min="1284" max="1536" width="9.140625" style="1280"/>
    <col min="1537" max="1537" width="29.5703125" style="1280" bestFit="1" customWidth="1"/>
    <col min="1538" max="1538" width="19.85546875" style="1280" customWidth="1"/>
    <col min="1539" max="1539" width="12" style="1280" bestFit="1" customWidth="1"/>
    <col min="1540" max="1792" width="9.140625" style="1280"/>
    <col min="1793" max="1793" width="29.5703125" style="1280" bestFit="1" customWidth="1"/>
    <col min="1794" max="1794" width="19.85546875" style="1280" customWidth="1"/>
    <col min="1795" max="1795" width="12" style="1280" bestFit="1" customWidth="1"/>
    <col min="1796" max="2048" width="9.140625" style="1280"/>
    <col min="2049" max="2049" width="29.5703125" style="1280" bestFit="1" customWidth="1"/>
    <col min="2050" max="2050" width="19.85546875" style="1280" customWidth="1"/>
    <col min="2051" max="2051" width="12" style="1280" bestFit="1" customWidth="1"/>
    <col min="2052" max="2304" width="9.140625" style="1280"/>
    <col min="2305" max="2305" width="29.5703125" style="1280" bestFit="1" customWidth="1"/>
    <col min="2306" max="2306" width="19.85546875" style="1280" customWidth="1"/>
    <col min="2307" max="2307" width="12" style="1280" bestFit="1" customWidth="1"/>
    <col min="2308" max="2560" width="9.140625" style="1280"/>
    <col min="2561" max="2561" width="29.5703125" style="1280" bestFit="1" customWidth="1"/>
    <col min="2562" max="2562" width="19.85546875" style="1280" customWidth="1"/>
    <col min="2563" max="2563" width="12" style="1280" bestFit="1" customWidth="1"/>
    <col min="2564" max="2816" width="9.140625" style="1280"/>
    <col min="2817" max="2817" width="29.5703125" style="1280" bestFit="1" customWidth="1"/>
    <col min="2818" max="2818" width="19.85546875" style="1280" customWidth="1"/>
    <col min="2819" max="2819" width="12" style="1280" bestFit="1" customWidth="1"/>
    <col min="2820" max="3072" width="9.140625" style="1280"/>
    <col min="3073" max="3073" width="29.5703125" style="1280" bestFit="1" customWidth="1"/>
    <col min="3074" max="3074" width="19.85546875" style="1280" customWidth="1"/>
    <col min="3075" max="3075" width="12" style="1280" bestFit="1" customWidth="1"/>
    <col min="3076" max="3328" width="9.140625" style="1280"/>
    <col min="3329" max="3329" width="29.5703125" style="1280" bestFit="1" customWidth="1"/>
    <col min="3330" max="3330" width="19.85546875" style="1280" customWidth="1"/>
    <col min="3331" max="3331" width="12" style="1280" bestFit="1" customWidth="1"/>
    <col min="3332" max="3584" width="9.140625" style="1280"/>
    <col min="3585" max="3585" width="29.5703125" style="1280" bestFit="1" customWidth="1"/>
    <col min="3586" max="3586" width="19.85546875" style="1280" customWidth="1"/>
    <col min="3587" max="3587" width="12" style="1280" bestFit="1" customWidth="1"/>
    <col min="3588" max="3840" width="9.140625" style="1280"/>
    <col min="3841" max="3841" width="29.5703125" style="1280" bestFit="1" customWidth="1"/>
    <col min="3842" max="3842" width="19.85546875" style="1280" customWidth="1"/>
    <col min="3843" max="3843" width="12" style="1280" bestFit="1" customWidth="1"/>
    <col min="3844" max="4096" width="9.140625" style="1280"/>
    <col min="4097" max="4097" width="29.5703125" style="1280" bestFit="1" customWidth="1"/>
    <col min="4098" max="4098" width="19.85546875" style="1280" customWidth="1"/>
    <col min="4099" max="4099" width="12" style="1280" bestFit="1" customWidth="1"/>
    <col min="4100" max="4352" width="9.140625" style="1280"/>
    <col min="4353" max="4353" width="29.5703125" style="1280" bestFit="1" customWidth="1"/>
    <col min="4354" max="4354" width="19.85546875" style="1280" customWidth="1"/>
    <col min="4355" max="4355" width="12" style="1280" bestFit="1" customWidth="1"/>
    <col min="4356" max="4608" width="9.140625" style="1280"/>
    <col min="4609" max="4609" width="29.5703125" style="1280" bestFit="1" customWidth="1"/>
    <col min="4610" max="4610" width="19.85546875" style="1280" customWidth="1"/>
    <col min="4611" max="4611" width="12" style="1280" bestFit="1" customWidth="1"/>
    <col min="4612" max="4864" width="9.140625" style="1280"/>
    <col min="4865" max="4865" width="29.5703125" style="1280" bestFit="1" customWidth="1"/>
    <col min="4866" max="4866" width="19.85546875" style="1280" customWidth="1"/>
    <col min="4867" max="4867" width="12" style="1280" bestFit="1" customWidth="1"/>
    <col min="4868" max="5120" width="9.140625" style="1280"/>
    <col min="5121" max="5121" width="29.5703125" style="1280" bestFit="1" customWidth="1"/>
    <col min="5122" max="5122" width="19.85546875" style="1280" customWidth="1"/>
    <col min="5123" max="5123" width="12" style="1280" bestFit="1" customWidth="1"/>
    <col min="5124" max="5376" width="9.140625" style="1280"/>
    <col min="5377" max="5377" width="29.5703125" style="1280" bestFit="1" customWidth="1"/>
    <col min="5378" max="5378" width="19.85546875" style="1280" customWidth="1"/>
    <col min="5379" max="5379" width="12" style="1280" bestFit="1" customWidth="1"/>
    <col min="5380" max="5632" width="9.140625" style="1280"/>
    <col min="5633" max="5633" width="29.5703125" style="1280" bestFit="1" customWidth="1"/>
    <col min="5634" max="5634" width="19.85546875" style="1280" customWidth="1"/>
    <col min="5635" max="5635" width="12" style="1280" bestFit="1" customWidth="1"/>
    <col min="5636" max="5888" width="9.140625" style="1280"/>
    <col min="5889" max="5889" width="29.5703125" style="1280" bestFit="1" customWidth="1"/>
    <col min="5890" max="5890" width="19.85546875" style="1280" customWidth="1"/>
    <col min="5891" max="5891" width="12" style="1280" bestFit="1" customWidth="1"/>
    <col min="5892" max="6144" width="9.140625" style="1280"/>
    <col min="6145" max="6145" width="29.5703125" style="1280" bestFit="1" customWidth="1"/>
    <col min="6146" max="6146" width="19.85546875" style="1280" customWidth="1"/>
    <col min="6147" max="6147" width="12" style="1280" bestFit="1" customWidth="1"/>
    <col min="6148" max="6400" width="9.140625" style="1280"/>
    <col min="6401" max="6401" width="29.5703125" style="1280" bestFit="1" customWidth="1"/>
    <col min="6402" max="6402" width="19.85546875" style="1280" customWidth="1"/>
    <col min="6403" max="6403" width="12" style="1280" bestFit="1" customWidth="1"/>
    <col min="6404" max="6656" width="9.140625" style="1280"/>
    <col min="6657" max="6657" width="29.5703125" style="1280" bestFit="1" customWidth="1"/>
    <col min="6658" max="6658" width="19.85546875" style="1280" customWidth="1"/>
    <col min="6659" max="6659" width="12" style="1280" bestFit="1" customWidth="1"/>
    <col min="6660" max="6912" width="9.140625" style="1280"/>
    <col min="6913" max="6913" width="29.5703125" style="1280" bestFit="1" customWidth="1"/>
    <col min="6914" max="6914" width="19.85546875" style="1280" customWidth="1"/>
    <col min="6915" max="6915" width="12" style="1280" bestFit="1" customWidth="1"/>
    <col min="6916" max="7168" width="9.140625" style="1280"/>
    <col min="7169" max="7169" width="29.5703125" style="1280" bestFit="1" customWidth="1"/>
    <col min="7170" max="7170" width="19.85546875" style="1280" customWidth="1"/>
    <col min="7171" max="7171" width="12" style="1280" bestFit="1" customWidth="1"/>
    <col min="7172" max="7424" width="9.140625" style="1280"/>
    <col min="7425" max="7425" width="29.5703125" style="1280" bestFit="1" customWidth="1"/>
    <col min="7426" max="7426" width="19.85546875" style="1280" customWidth="1"/>
    <col min="7427" max="7427" width="12" style="1280" bestFit="1" customWidth="1"/>
    <col min="7428" max="7680" width="9.140625" style="1280"/>
    <col min="7681" max="7681" width="29.5703125" style="1280" bestFit="1" customWidth="1"/>
    <col min="7682" max="7682" width="19.85546875" style="1280" customWidth="1"/>
    <col min="7683" max="7683" width="12" style="1280" bestFit="1" customWidth="1"/>
    <col min="7684" max="7936" width="9.140625" style="1280"/>
    <col min="7937" max="7937" width="29.5703125" style="1280" bestFit="1" customWidth="1"/>
    <col min="7938" max="7938" width="19.85546875" style="1280" customWidth="1"/>
    <col min="7939" max="7939" width="12" style="1280" bestFit="1" customWidth="1"/>
    <col min="7940" max="8192" width="9.140625" style="1280"/>
    <col min="8193" max="8193" width="29.5703125" style="1280" bestFit="1" customWidth="1"/>
    <col min="8194" max="8194" width="19.85546875" style="1280" customWidth="1"/>
    <col min="8195" max="8195" width="12" style="1280" bestFit="1" customWidth="1"/>
    <col min="8196" max="8448" width="9.140625" style="1280"/>
    <col min="8449" max="8449" width="29.5703125" style="1280" bestFit="1" customWidth="1"/>
    <col min="8450" max="8450" width="19.85546875" style="1280" customWidth="1"/>
    <col min="8451" max="8451" width="12" style="1280" bestFit="1" customWidth="1"/>
    <col min="8452" max="8704" width="9.140625" style="1280"/>
    <col min="8705" max="8705" width="29.5703125" style="1280" bestFit="1" customWidth="1"/>
    <col min="8706" max="8706" width="19.85546875" style="1280" customWidth="1"/>
    <col min="8707" max="8707" width="12" style="1280" bestFit="1" customWidth="1"/>
    <col min="8708" max="8960" width="9.140625" style="1280"/>
    <col min="8961" max="8961" width="29.5703125" style="1280" bestFit="1" customWidth="1"/>
    <col min="8962" max="8962" width="19.85546875" style="1280" customWidth="1"/>
    <col min="8963" max="8963" width="12" style="1280" bestFit="1" customWidth="1"/>
    <col min="8964" max="9216" width="9.140625" style="1280"/>
    <col min="9217" max="9217" width="29.5703125" style="1280" bestFit="1" customWidth="1"/>
    <col min="9218" max="9218" width="19.85546875" style="1280" customWidth="1"/>
    <col min="9219" max="9219" width="12" style="1280" bestFit="1" customWidth="1"/>
    <col min="9220" max="9472" width="9.140625" style="1280"/>
    <col min="9473" max="9473" width="29.5703125" style="1280" bestFit="1" customWidth="1"/>
    <col min="9474" max="9474" width="19.85546875" style="1280" customWidth="1"/>
    <col min="9475" max="9475" width="12" style="1280" bestFit="1" customWidth="1"/>
    <col min="9476" max="9728" width="9.140625" style="1280"/>
    <col min="9729" max="9729" width="29.5703125" style="1280" bestFit="1" customWidth="1"/>
    <col min="9730" max="9730" width="19.85546875" style="1280" customWidth="1"/>
    <col min="9731" max="9731" width="12" style="1280" bestFit="1" customWidth="1"/>
    <col min="9732" max="9984" width="9.140625" style="1280"/>
    <col min="9985" max="9985" width="29.5703125" style="1280" bestFit="1" customWidth="1"/>
    <col min="9986" max="9986" width="19.85546875" style="1280" customWidth="1"/>
    <col min="9987" max="9987" width="12" style="1280" bestFit="1" customWidth="1"/>
    <col min="9988" max="10240" width="9.140625" style="1280"/>
    <col min="10241" max="10241" width="29.5703125" style="1280" bestFit="1" customWidth="1"/>
    <col min="10242" max="10242" width="19.85546875" style="1280" customWidth="1"/>
    <col min="10243" max="10243" width="12" style="1280" bestFit="1" customWidth="1"/>
    <col min="10244" max="10496" width="9.140625" style="1280"/>
    <col min="10497" max="10497" width="29.5703125" style="1280" bestFit="1" customWidth="1"/>
    <col min="10498" max="10498" width="19.85546875" style="1280" customWidth="1"/>
    <col min="10499" max="10499" width="12" style="1280" bestFit="1" customWidth="1"/>
    <col min="10500" max="10752" width="9.140625" style="1280"/>
    <col min="10753" max="10753" width="29.5703125" style="1280" bestFit="1" customWidth="1"/>
    <col min="10754" max="10754" width="19.85546875" style="1280" customWidth="1"/>
    <col min="10755" max="10755" width="12" style="1280" bestFit="1" customWidth="1"/>
    <col min="10756" max="11008" width="9.140625" style="1280"/>
    <col min="11009" max="11009" width="29.5703125" style="1280" bestFit="1" customWidth="1"/>
    <col min="11010" max="11010" width="19.85546875" style="1280" customWidth="1"/>
    <col min="11011" max="11011" width="12" style="1280" bestFit="1" customWidth="1"/>
    <col min="11012" max="11264" width="9.140625" style="1280"/>
    <col min="11265" max="11265" width="29.5703125" style="1280" bestFit="1" customWidth="1"/>
    <col min="11266" max="11266" width="19.85546875" style="1280" customWidth="1"/>
    <col min="11267" max="11267" width="12" style="1280" bestFit="1" customWidth="1"/>
    <col min="11268" max="11520" width="9.140625" style="1280"/>
    <col min="11521" max="11521" width="29.5703125" style="1280" bestFit="1" customWidth="1"/>
    <col min="11522" max="11522" width="19.85546875" style="1280" customWidth="1"/>
    <col min="11523" max="11523" width="12" style="1280" bestFit="1" customWidth="1"/>
    <col min="11524" max="11776" width="9.140625" style="1280"/>
    <col min="11777" max="11777" width="29.5703125" style="1280" bestFit="1" customWidth="1"/>
    <col min="11778" max="11778" width="19.85546875" style="1280" customWidth="1"/>
    <col min="11779" max="11779" width="12" style="1280" bestFit="1" customWidth="1"/>
    <col min="11780" max="12032" width="9.140625" style="1280"/>
    <col min="12033" max="12033" width="29.5703125" style="1280" bestFit="1" customWidth="1"/>
    <col min="12034" max="12034" width="19.85546875" style="1280" customWidth="1"/>
    <col min="12035" max="12035" width="12" style="1280" bestFit="1" customWidth="1"/>
    <col min="12036" max="12288" width="9.140625" style="1280"/>
    <col min="12289" max="12289" width="29.5703125" style="1280" bestFit="1" customWidth="1"/>
    <col min="12290" max="12290" width="19.85546875" style="1280" customWidth="1"/>
    <col min="12291" max="12291" width="12" style="1280" bestFit="1" customWidth="1"/>
    <col min="12292" max="12544" width="9.140625" style="1280"/>
    <col min="12545" max="12545" width="29.5703125" style="1280" bestFit="1" customWidth="1"/>
    <col min="12546" max="12546" width="19.85546875" style="1280" customWidth="1"/>
    <col min="12547" max="12547" width="12" style="1280" bestFit="1" customWidth="1"/>
    <col min="12548" max="12800" width="9.140625" style="1280"/>
    <col min="12801" max="12801" width="29.5703125" style="1280" bestFit="1" customWidth="1"/>
    <col min="12802" max="12802" width="19.85546875" style="1280" customWidth="1"/>
    <col min="12803" max="12803" width="12" style="1280" bestFit="1" customWidth="1"/>
    <col min="12804" max="13056" width="9.140625" style="1280"/>
    <col min="13057" max="13057" width="29.5703125" style="1280" bestFit="1" customWidth="1"/>
    <col min="13058" max="13058" width="19.85546875" style="1280" customWidth="1"/>
    <col min="13059" max="13059" width="12" style="1280" bestFit="1" customWidth="1"/>
    <col min="13060" max="13312" width="9.140625" style="1280"/>
    <col min="13313" max="13313" width="29.5703125" style="1280" bestFit="1" customWidth="1"/>
    <col min="13314" max="13314" width="19.85546875" style="1280" customWidth="1"/>
    <col min="13315" max="13315" width="12" style="1280" bestFit="1" customWidth="1"/>
    <col min="13316" max="13568" width="9.140625" style="1280"/>
    <col min="13569" max="13569" width="29.5703125" style="1280" bestFit="1" customWidth="1"/>
    <col min="13570" max="13570" width="19.85546875" style="1280" customWidth="1"/>
    <col min="13571" max="13571" width="12" style="1280" bestFit="1" customWidth="1"/>
    <col min="13572" max="13824" width="9.140625" style="1280"/>
    <col min="13825" max="13825" width="29.5703125" style="1280" bestFit="1" customWidth="1"/>
    <col min="13826" max="13826" width="19.85546875" style="1280" customWidth="1"/>
    <col min="13827" max="13827" width="12" style="1280" bestFit="1" customWidth="1"/>
    <col min="13828" max="14080" width="9.140625" style="1280"/>
    <col min="14081" max="14081" width="29.5703125" style="1280" bestFit="1" customWidth="1"/>
    <col min="14082" max="14082" width="19.85546875" style="1280" customWidth="1"/>
    <col min="14083" max="14083" width="12" style="1280" bestFit="1" customWidth="1"/>
    <col min="14084" max="14336" width="9.140625" style="1280"/>
    <col min="14337" max="14337" width="29.5703125" style="1280" bestFit="1" customWidth="1"/>
    <col min="14338" max="14338" width="19.85546875" style="1280" customWidth="1"/>
    <col min="14339" max="14339" width="12" style="1280" bestFit="1" customWidth="1"/>
    <col min="14340" max="14592" width="9.140625" style="1280"/>
    <col min="14593" max="14593" width="29.5703125" style="1280" bestFit="1" customWidth="1"/>
    <col min="14594" max="14594" width="19.85546875" style="1280" customWidth="1"/>
    <col min="14595" max="14595" width="12" style="1280" bestFit="1" customWidth="1"/>
    <col min="14596" max="14848" width="9.140625" style="1280"/>
    <col min="14849" max="14849" width="29.5703125" style="1280" bestFit="1" customWidth="1"/>
    <col min="14850" max="14850" width="19.85546875" style="1280" customWidth="1"/>
    <col min="14851" max="14851" width="12" style="1280" bestFit="1" customWidth="1"/>
    <col min="14852" max="15104" width="9.140625" style="1280"/>
    <col min="15105" max="15105" width="29.5703125" style="1280" bestFit="1" customWidth="1"/>
    <col min="15106" max="15106" width="19.85546875" style="1280" customWidth="1"/>
    <col min="15107" max="15107" width="12" style="1280" bestFit="1" customWidth="1"/>
    <col min="15108" max="15360" width="9.140625" style="1280"/>
    <col min="15361" max="15361" width="29.5703125" style="1280" bestFit="1" customWidth="1"/>
    <col min="15362" max="15362" width="19.85546875" style="1280" customWidth="1"/>
    <col min="15363" max="15363" width="12" style="1280" bestFit="1" customWidth="1"/>
    <col min="15364" max="15616" width="9.140625" style="1280"/>
    <col min="15617" max="15617" width="29.5703125" style="1280" bestFit="1" customWidth="1"/>
    <col min="15618" max="15618" width="19.85546875" style="1280" customWidth="1"/>
    <col min="15619" max="15619" width="12" style="1280" bestFit="1" customWidth="1"/>
    <col min="15620" max="15872" width="9.140625" style="1280"/>
    <col min="15873" max="15873" width="29.5703125" style="1280" bestFit="1" customWidth="1"/>
    <col min="15874" max="15874" width="19.85546875" style="1280" customWidth="1"/>
    <col min="15875" max="15875" width="12" style="1280" bestFit="1" customWidth="1"/>
    <col min="15876" max="16128" width="9.140625" style="1280"/>
    <col min="16129" max="16129" width="29.5703125" style="1280" bestFit="1" customWidth="1"/>
    <col min="16130" max="16130" width="19.85546875" style="1280" customWidth="1"/>
    <col min="16131" max="16131" width="12" style="1280" bestFit="1" customWidth="1"/>
    <col min="16132" max="16384" width="9.140625" style="1280"/>
  </cols>
  <sheetData>
    <row r="1" spans="1:2" x14ac:dyDescent="0.2">
      <c r="A1" s="1280" t="s">
        <v>930</v>
      </c>
      <c r="B1" s="1335">
        <v>6.1</v>
      </c>
    </row>
    <row r="2" spans="1:2" x14ac:dyDescent="0.2">
      <c r="A2" s="1280" t="s">
        <v>931</v>
      </c>
      <c r="B2" s="1338">
        <v>43199.508032407408</v>
      </c>
    </row>
    <row r="3" spans="1:2" x14ac:dyDescent="0.2">
      <c r="A3" s="1280" t="s">
        <v>932</v>
      </c>
      <c r="B3" s="1336" t="s">
        <v>630</v>
      </c>
    </row>
    <row r="4" spans="1:2" x14ac:dyDescent="0.2">
      <c r="A4" s="1280" t="s">
        <v>933</v>
      </c>
      <c r="B4" s="1336" t="s">
        <v>934</v>
      </c>
    </row>
    <row r="5" spans="1:2" x14ac:dyDescent="0.2">
      <c r="A5" s="1280" t="s">
        <v>935</v>
      </c>
      <c r="B5" s="1336" t="s">
        <v>579</v>
      </c>
    </row>
    <row r="6" spans="1:2" x14ac:dyDescent="0.2">
      <c r="A6" s="1280" t="s">
        <v>936</v>
      </c>
    </row>
    <row r="7" spans="1:2" x14ac:dyDescent="0.2">
      <c r="A7" s="1280" t="s">
        <v>937</v>
      </c>
      <c r="B7" s="1336" t="s">
        <v>280</v>
      </c>
    </row>
    <row r="8" spans="1:2" x14ac:dyDescent="0.2">
      <c r="A8" s="1280" t="s">
        <v>938</v>
      </c>
      <c r="B8" s="1336" t="s">
        <v>939</v>
      </c>
    </row>
    <row r="9" spans="1:2" x14ac:dyDescent="0.2">
      <c r="A9" s="1280" t="s">
        <v>940</v>
      </c>
      <c r="B9" s="1336" t="s">
        <v>977</v>
      </c>
    </row>
    <row r="10" spans="1:2" x14ac:dyDescent="0.2">
      <c r="A10" s="1280" t="s">
        <v>941</v>
      </c>
    </row>
    <row r="11" spans="1:2" x14ac:dyDescent="0.2">
      <c r="A11" s="1280" t="s">
        <v>942</v>
      </c>
    </row>
    <row r="12" spans="1:2" x14ac:dyDescent="0.2">
      <c r="A12" s="1280" t="s">
        <v>943</v>
      </c>
    </row>
    <row r="13" spans="1:2" x14ac:dyDescent="0.2">
      <c r="A13" s="1280" t="s">
        <v>944</v>
      </c>
    </row>
    <row r="14" spans="1:2" x14ac:dyDescent="0.2">
      <c r="A14" s="1280" t="s">
        <v>945</v>
      </c>
    </row>
    <row r="15" spans="1:2" x14ac:dyDescent="0.2">
      <c r="A15" s="1280" t="s">
        <v>946</v>
      </c>
    </row>
    <row r="16" spans="1:2" x14ac:dyDescent="0.2">
      <c r="A16" s="1280" t="s">
        <v>947</v>
      </c>
    </row>
    <row r="17" spans="1:4" x14ac:dyDescent="0.2">
      <c r="A17" s="1280" t="s">
        <v>948</v>
      </c>
      <c r="B17" s="1336" t="s">
        <v>978</v>
      </c>
    </row>
    <row r="18" spans="1:4" x14ac:dyDescent="0.2">
      <c r="A18" s="1280" t="s">
        <v>949</v>
      </c>
      <c r="B18" s="1336" t="s">
        <v>629</v>
      </c>
    </row>
    <row r="19" spans="1:4" x14ac:dyDescent="0.2">
      <c r="A19" s="1280" t="s">
        <v>950</v>
      </c>
      <c r="B19" s="1336" t="s">
        <v>451</v>
      </c>
    </row>
    <row r="20" spans="1:4" x14ac:dyDescent="0.2">
      <c r="A20" s="1280" t="s">
        <v>951</v>
      </c>
      <c r="B20" s="1337">
        <v>500255104</v>
      </c>
    </row>
    <row r="21" spans="1:4" x14ac:dyDescent="0.2">
      <c r="A21" s="1280" t="s">
        <v>952</v>
      </c>
      <c r="B21" s="1336" t="s">
        <v>451</v>
      </c>
    </row>
    <row r="22" spans="1:4" x14ac:dyDescent="0.2">
      <c r="A22" s="1280" t="s">
        <v>953</v>
      </c>
      <c r="B22" s="1337">
        <v>2496113</v>
      </c>
    </row>
    <row r="23" spans="1:4" x14ac:dyDescent="0.2">
      <c r="A23" s="1280" t="s">
        <v>449</v>
      </c>
      <c r="B23" s="1335">
        <v>64.34</v>
      </c>
    </row>
    <row r="24" spans="1:4" x14ac:dyDescent="0.2">
      <c r="A24" s="1280" t="s">
        <v>448</v>
      </c>
      <c r="B24" s="1336" t="s">
        <v>207</v>
      </c>
      <c r="D24" s="1280" t="s">
        <v>232</v>
      </c>
    </row>
    <row r="25" spans="1:4" x14ac:dyDescent="0.2">
      <c r="A25" s="1280" t="s">
        <v>954</v>
      </c>
      <c r="B25" s="1336" t="s">
        <v>981</v>
      </c>
    </row>
    <row r="26" spans="1:4" x14ac:dyDescent="0.2">
      <c r="A26" s="1280" t="s">
        <v>955</v>
      </c>
      <c r="B26" s="1336">
        <v>0</v>
      </c>
    </row>
    <row r="27" spans="1:4" x14ac:dyDescent="0.2">
      <c r="A27" s="1280" t="s">
        <v>956</v>
      </c>
      <c r="B27" s="1336" t="s">
        <v>957</v>
      </c>
    </row>
    <row r="28" spans="1:4" x14ac:dyDescent="0.2">
      <c r="A28" s="1280" t="s">
        <v>958</v>
      </c>
      <c r="B28" s="1336" t="s">
        <v>959</v>
      </c>
    </row>
    <row r="29" spans="1:4" x14ac:dyDescent="0.2">
      <c r="A29" s="1280" t="s">
        <v>960</v>
      </c>
    </row>
    <row r="30" spans="1:4" x14ac:dyDescent="0.2">
      <c r="A30" s="1280" t="s">
        <v>961</v>
      </c>
    </row>
    <row r="31" spans="1:4" x14ac:dyDescent="0.2">
      <c r="A31" s="1280" t="s">
        <v>962</v>
      </c>
    </row>
    <row r="32" spans="1:4" x14ac:dyDescent="0.2">
      <c r="A32" s="1280" t="s">
        <v>963</v>
      </c>
      <c r="B32" s="1335"/>
    </row>
    <row r="33" spans="1:2" x14ac:dyDescent="0.2">
      <c r="A33" s="1280" t="s">
        <v>964</v>
      </c>
      <c r="B33" s="1335"/>
    </row>
    <row r="34" spans="1:2" x14ac:dyDescent="0.2">
      <c r="A34" s="1280" t="s">
        <v>965</v>
      </c>
      <c r="B34" s="1335"/>
    </row>
    <row r="35" spans="1:2" x14ac:dyDescent="0.2">
      <c r="A35" s="1280" t="s">
        <v>966</v>
      </c>
      <c r="B35" s="1336">
        <v>1000000</v>
      </c>
    </row>
    <row r="36" spans="1:2" x14ac:dyDescent="0.2">
      <c r="A36" s="1280" t="s">
        <v>967</v>
      </c>
      <c r="B36" s="1336" t="s">
        <v>979</v>
      </c>
    </row>
    <row r="37" spans="1:2" x14ac:dyDescent="0.2">
      <c r="A37" s="1280" t="s">
        <v>968</v>
      </c>
      <c r="B37" s="1336" t="s">
        <v>969</v>
      </c>
    </row>
    <row r="38" spans="1:2" x14ac:dyDescent="0.2">
      <c r="A38" s="1280" t="s">
        <v>970</v>
      </c>
      <c r="B38" s="1336" t="s">
        <v>971</v>
      </c>
    </row>
    <row r="39" spans="1:2" x14ac:dyDescent="0.2">
      <c r="A39" s="1280" t="s">
        <v>972</v>
      </c>
      <c r="B39" s="1336" t="s">
        <v>980</v>
      </c>
    </row>
    <row r="40" spans="1:2" x14ac:dyDescent="0.2">
      <c r="A40" s="1280" t="s">
        <v>973</v>
      </c>
      <c r="B40" s="1336">
        <v>1500005544</v>
      </c>
    </row>
    <row r="41" spans="1:2" x14ac:dyDescent="0.2">
      <c r="A41" s="1280" t="s">
        <v>974</v>
      </c>
      <c r="B41" s="1336">
        <v>1</v>
      </c>
    </row>
    <row r="42" spans="1:2" x14ac:dyDescent="0.2">
      <c r="A42" s="1281" t="s">
        <v>975</v>
      </c>
      <c r="B42" s="1336" t="s">
        <v>982</v>
      </c>
    </row>
    <row r="43" spans="1:2" x14ac:dyDescent="0.2">
      <c r="A43" s="1280" t="s">
        <v>976</v>
      </c>
    </row>
  </sheetData>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13"/>
  <sheetViews>
    <sheetView workbookViewId="0">
      <selection activeCell="E11" sqref="E11"/>
    </sheetView>
  </sheetViews>
  <sheetFormatPr defaultRowHeight="12.75" x14ac:dyDescent="0.2"/>
  <cols>
    <col min="1" max="1" width="28.5703125" style="1280" bestFit="1" customWidth="1"/>
    <col min="2" max="256" width="9.140625" style="1280"/>
    <col min="257" max="257" width="28.5703125" style="1280" bestFit="1" customWidth="1"/>
    <col min="258" max="512" width="9.140625" style="1280"/>
    <col min="513" max="513" width="28.5703125" style="1280" bestFit="1" customWidth="1"/>
    <col min="514" max="768" width="9.140625" style="1280"/>
    <col min="769" max="769" width="28.5703125" style="1280" bestFit="1" customWidth="1"/>
    <col min="770" max="1024" width="9.140625" style="1280"/>
    <col min="1025" max="1025" width="28.5703125" style="1280" bestFit="1" customWidth="1"/>
    <col min="1026" max="1280" width="9.140625" style="1280"/>
    <col min="1281" max="1281" width="28.5703125" style="1280" bestFit="1" customWidth="1"/>
    <col min="1282" max="1536" width="9.140625" style="1280"/>
    <col min="1537" max="1537" width="28.5703125" style="1280" bestFit="1" customWidth="1"/>
    <col min="1538" max="1792" width="9.140625" style="1280"/>
    <col min="1793" max="1793" width="28.5703125" style="1280" bestFit="1" customWidth="1"/>
    <col min="1794" max="2048" width="9.140625" style="1280"/>
    <col min="2049" max="2049" width="28.5703125" style="1280" bestFit="1" customWidth="1"/>
    <col min="2050" max="2304" width="9.140625" style="1280"/>
    <col min="2305" max="2305" width="28.5703125" style="1280" bestFit="1" customWidth="1"/>
    <col min="2306" max="2560" width="9.140625" style="1280"/>
    <col min="2561" max="2561" width="28.5703125" style="1280" bestFit="1" customWidth="1"/>
    <col min="2562" max="2816" width="9.140625" style="1280"/>
    <col min="2817" max="2817" width="28.5703125" style="1280" bestFit="1" customWidth="1"/>
    <col min="2818" max="3072" width="9.140625" style="1280"/>
    <col min="3073" max="3073" width="28.5703125" style="1280" bestFit="1" customWidth="1"/>
    <col min="3074" max="3328" width="9.140625" style="1280"/>
    <col min="3329" max="3329" width="28.5703125" style="1280" bestFit="1" customWidth="1"/>
    <col min="3330" max="3584" width="9.140625" style="1280"/>
    <col min="3585" max="3585" width="28.5703125" style="1280" bestFit="1" customWidth="1"/>
    <col min="3586" max="3840" width="9.140625" style="1280"/>
    <col min="3841" max="3841" width="28.5703125" style="1280" bestFit="1" customWidth="1"/>
    <col min="3842" max="4096" width="9.140625" style="1280"/>
    <col min="4097" max="4097" width="28.5703125" style="1280" bestFit="1" customWidth="1"/>
    <col min="4098" max="4352" width="9.140625" style="1280"/>
    <col min="4353" max="4353" width="28.5703125" style="1280" bestFit="1" customWidth="1"/>
    <col min="4354" max="4608" width="9.140625" style="1280"/>
    <col min="4609" max="4609" width="28.5703125" style="1280" bestFit="1" customWidth="1"/>
    <col min="4610" max="4864" width="9.140625" style="1280"/>
    <col min="4865" max="4865" width="28.5703125" style="1280" bestFit="1" customWidth="1"/>
    <col min="4866" max="5120" width="9.140625" style="1280"/>
    <col min="5121" max="5121" width="28.5703125" style="1280" bestFit="1" customWidth="1"/>
    <col min="5122" max="5376" width="9.140625" style="1280"/>
    <col min="5377" max="5377" width="28.5703125" style="1280" bestFit="1" customWidth="1"/>
    <col min="5378" max="5632" width="9.140625" style="1280"/>
    <col min="5633" max="5633" width="28.5703125" style="1280" bestFit="1" customWidth="1"/>
    <col min="5634" max="5888" width="9.140625" style="1280"/>
    <col min="5889" max="5889" width="28.5703125" style="1280" bestFit="1" customWidth="1"/>
    <col min="5890" max="6144" width="9.140625" style="1280"/>
    <col min="6145" max="6145" width="28.5703125" style="1280" bestFit="1" customWidth="1"/>
    <col min="6146" max="6400" width="9.140625" style="1280"/>
    <col min="6401" max="6401" width="28.5703125" style="1280" bestFit="1" customWidth="1"/>
    <col min="6402" max="6656" width="9.140625" style="1280"/>
    <col min="6657" max="6657" width="28.5703125" style="1280" bestFit="1" customWidth="1"/>
    <col min="6658" max="6912" width="9.140625" style="1280"/>
    <col min="6913" max="6913" width="28.5703125" style="1280" bestFit="1" customWidth="1"/>
    <col min="6914" max="7168" width="9.140625" style="1280"/>
    <col min="7169" max="7169" width="28.5703125" style="1280" bestFit="1" customWidth="1"/>
    <col min="7170" max="7424" width="9.140625" style="1280"/>
    <col min="7425" max="7425" width="28.5703125" style="1280" bestFit="1" customWidth="1"/>
    <col min="7426" max="7680" width="9.140625" style="1280"/>
    <col min="7681" max="7681" width="28.5703125" style="1280" bestFit="1" customWidth="1"/>
    <col min="7682" max="7936" width="9.140625" style="1280"/>
    <col min="7937" max="7937" width="28.5703125" style="1280" bestFit="1" customWidth="1"/>
    <col min="7938" max="8192" width="9.140625" style="1280"/>
    <col min="8193" max="8193" width="28.5703125" style="1280" bestFit="1" customWidth="1"/>
    <col min="8194" max="8448" width="9.140625" style="1280"/>
    <col min="8449" max="8449" width="28.5703125" style="1280" bestFit="1" customWidth="1"/>
    <col min="8450" max="8704" width="9.140625" style="1280"/>
    <col min="8705" max="8705" width="28.5703125" style="1280" bestFit="1" customWidth="1"/>
    <col min="8706" max="8960" width="9.140625" style="1280"/>
    <col min="8961" max="8961" width="28.5703125" style="1280" bestFit="1" customWidth="1"/>
    <col min="8962" max="9216" width="9.140625" style="1280"/>
    <col min="9217" max="9217" width="28.5703125" style="1280" bestFit="1" customWidth="1"/>
    <col min="9218" max="9472" width="9.140625" style="1280"/>
    <col min="9473" max="9473" width="28.5703125" style="1280" bestFit="1" customWidth="1"/>
    <col min="9474" max="9728" width="9.140625" style="1280"/>
    <col min="9729" max="9729" width="28.5703125" style="1280" bestFit="1" customWidth="1"/>
    <col min="9730" max="9984" width="9.140625" style="1280"/>
    <col min="9985" max="9985" width="28.5703125" style="1280" bestFit="1" customWidth="1"/>
    <col min="9986" max="10240" width="9.140625" style="1280"/>
    <col min="10241" max="10241" width="28.5703125" style="1280" bestFit="1" customWidth="1"/>
    <col min="10242" max="10496" width="9.140625" style="1280"/>
    <col min="10497" max="10497" width="28.5703125" style="1280" bestFit="1" customWidth="1"/>
    <col min="10498" max="10752" width="9.140625" style="1280"/>
    <col min="10753" max="10753" width="28.5703125" style="1280" bestFit="1" customWidth="1"/>
    <col min="10754" max="11008" width="9.140625" style="1280"/>
    <col min="11009" max="11009" width="28.5703125" style="1280" bestFit="1" customWidth="1"/>
    <col min="11010" max="11264" width="9.140625" style="1280"/>
    <col min="11265" max="11265" width="28.5703125" style="1280" bestFit="1" customWidth="1"/>
    <col min="11266" max="11520" width="9.140625" style="1280"/>
    <col min="11521" max="11521" width="28.5703125" style="1280" bestFit="1" customWidth="1"/>
    <col min="11522" max="11776" width="9.140625" style="1280"/>
    <col min="11777" max="11777" width="28.5703125" style="1280" bestFit="1" customWidth="1"/>
    <col min="11778" max="12032" width="9.140625" style="1280"/>
    <col min="12033" max="12033" width="28.5703125" style="1280" bestFit="1" customWidth="1"/>
    <col min="12034" max="12288" width="9.140625" style="1280"/>
    <col min="12289" max="12289" width="28.5703125" style="1280" bestFit="1" customWidth="1"/>
    <col min="12290" max="12544" width="9.140625" style="1280"/>
    <col min="12545" max="12545" width="28.5703125" style="1280" bestFit="1" customWidth="1"/>
    <col min="12546" max="12800" width="9.140625" style="1280"/>
    <col min="12801" max="12801" width="28.5703125" style="1280" bestFit="1" customWidth="1"/>
    <col min="12802" max="13056" width="9.140625" style="1280"/>
    <col min="13057" max="13057" width="28.5703125" style="1280" bestFit="1" customWidth="1"/>
    <col min="13058" max="13312" width="9.140625" style="1280"/>
    <col min="13313" max="13313" width="28.5703125" style="1280" bestFit="1" customWidth="1"/>
    <col min="13314" max="13568" width="9.140625" style="1280"/>
    <col min="13569" max="13569" width="28.5703125" style="1280" bestFit="1" customWidth="1"/>
    <col min="13570" max="13824" width="9.140625" style="1280"/>
    <col min="13825" max="13825" width="28.5703125" style="1280" bestFit="1" customWidth="1"/>
    <col min="13826" max="14080" width="9.140625" style="1280"/>
    <col min="14081" max="14081" width="28.5703125" style="1280" bestFit="1" customWidth="1"/>
    <col min="14082" max="14336" width="9.140625" style="1280"/>
    <col min="14337" max="14337" width="28.5703125" style="1280" bestFit="1" customWidth="1"/>
    <col min="14338" max="14592" width="9.140625" style="1280"/>
    <col min="14593" max="14593" width="28.5703125" style="1280" bestFit="1" customWidth="1"/>
    <col min="14594" max="14848" width="9.140625" style="1280"/>
    <col min="14849" max="14849" width="28.5703125" style="1280" bestFit="1" customWidth="1"/>
    <col min="14850" max="15104" width="9.140625" style="1280"/>
    <col min="15105" max="15105" width="28.5703125" style="1280" bestFit="1" customWidth="1"/>
    <col min="15106" max="15360" width="9.140625" style="1280"/>
    <col min="15361" max="15361" width="28.5703125" style="1280" bestFit="1" customWidth="1"/>
    <col min="15362" max="15616" width="9.140625" style="1280"/>
    <col min="15617" max="15617" width="28.5703125" style="1280" bestFit="1" customWidth="1"/>
    <col min="15618" max="15872" width="9.140625" style="1280"/>
    <col min="15873" max="15873" width="28.5703125" style="1280" bestFit="1" customWidth="1"/>
    <col min="15874" max="16128" width="9.140625" style="1280"/>
    <col min="16129" max="16129" width="28.5703125" style="1280" bestFit="1" customWidth="1"/>
    <col min="16130" max="16384" width="9.140625" style="1280"/>
  </cols>
  <sheetData>
    <row r="1" spans="1:1" x14ac:dyDescent="0.2">
      <c r="A1" s="1339" t="s">
        <v>983</v>
      </c>
    </row>
    <row r="2" spans="1:1" x14ac:dyDescent="0.2">
      <c r="A2" s="1339" t="s">
        <v>988</v>
      </c>
    </row>
    <row r="3" spans="1:1" x14ac:dyDescent="0.2">
      <c r="A3" s="1339" t="s">
        <v>989</v>
      </c>
    </row>
    <row r="4" spans="1:1" x14ac:dyDescent="0.2">
      <c r="A4" s="1339" t="s">
        <v>990</v>
      </c>
    </row>
    <row r="5" spans="1:1" x14ac:dyDescent="0.2">
      <c r="A5" s="1339" t="s">
        <v>991</v>
      </c>
    </row>
    <row r="6" spans="1:1" x14ac:dyDescent="0.2">
      <c r="A6" s="1339" t="s">
        <v>984</v>
      </c>
    </row>
    <row r="7" spans="1:1" x14ac:dyDescent="0.2">
      <c r="A7" s="1339" t="s">
        <v>992</v>
      </c>
    </row>
    <row r="8" spans="1:1" x14ac:dyDescent="0.2">
      <c r="A8" s="1339" t="s">
        <v>993</v>
      </c>
    </row>
    <row r="9" spans="1:1" x14ac:dyDescent="0.2">
      <c r="A9" s="1339" t="s">
        <v>994</v>
      </c>
    </row>
    <row r="10" spans="1:1" x14ac:dyDescent="0.2">
      <c r="A10" s="1339" t="s">
        <v>985</v>
      </c>
    </row>
    <row r="11" spans="1:1" x14ac:dyDescent="0.2">
      <c r="A11" s="1339" t="s">
        <v>995</v>
      </c>
    </row>
    <row r="12" spans="1:1" x14ac:dyDescent="0.2">
      <c r="A12" s="1339" t="s">
        <v>986</v>
      </c>
    </row>
    <row r="13" spans="1:1" x14ac:dyDescent="0.2">
      <c r="A13" s="1339" t="s">
        <v>987</v>
      </c>
    </row>
  </sheetData>
  <pageMargins left="0.75" right="0.75" top="1" bottom="1" header="0.5" footer="0.5"/>
  <headerFooter alignWithMargins="0"/>
</worksheet>
</file>

<file path=customXml/_rels/item1.xml.rels><?xml version="1.0" encoding="UTF-8" standalone="yes"?>
<Relationships xmlns="http://schemas.openxmlformats.org/package/2006/relationships">
<Relationship Id="rId1" Target="itemProps1.xml" Type="http://schemas.openxmlformats.org/officeDocument/2006/relationships/customXmlProps"/>
</Relationships>

</file>

<file path=customXml/_rels/item2.xml.rels><?xml version="1.0" encoding="UTF-8" standalone="yes"?>
<Relationships xmlns="http://schemas.openxmlformats.org/package/2006/relationships">
<Relationship Id="rId1" Target="itemProps2.xml" Type="http://schemas.openxmlformats.org/officeDocument/2006/relationships/customXmlProps"/>
</Relationships>

</file>

<file path=customXml/item1.xml><?xml version="1.0" encoding="utf-8"?>
<lkmtd:Metadata xmlns:lkmtd="thomsonreuters.linking.metadatachange">
  <MetadataChanged>1</MetadataChanged>
</lkmtd:Metadata>
</file>

<file path=customXml/item2.xml><?xml version="1.0" encoding="utf-8"?>
<lk:Links xmlns:lk="thomsonreuters.linking.metadata">
  <Link>
    <GUID>6f779457-ed74-4d80-828d-4d3182d0de75</GUID>
    <SOURCETYPE>Chart</SOURCETYPE>
    <SOURCE_OBJECTNAME>MWA_Risk_Reward</SOURCE_OBJECTNAME>
    <SOURCE_SHEETCODE>MWRSSData</SOURCE_SHEETCODE>
    <SOURCE_SHEETNAME>MWA RR</SOURCE_SHEETNAME>
    <OBJECTTYPE>Native</OBJECTTYPE>
    <SOURCEAPPLICATION>EXCEL_SOURCE</SOURCEAPPLICATION>
    <UPDATEDAT>5/14/2015 3:43:51 PM</UPDATEDAT>
    <SOURCE_ISOUTOFDATE>False</SOURCE_ISOUTOFDATE>
    <SOURCE_WORKBOOKNAME>KSS_Model.xls</SOURCE_WORKBOOKNAME>
    <SOURCE_WORKBOOKPATH>\\MSAD\ROOT\NA\NY\LIB\ER\RETAIL\Greenberger\Companies\KSS\Model</SOURCE_WORKBOOKPATH>
    <TRANSPARENTBACKGROUND>False</TRANSPARENTBACKGROUND>
    <TRANSPARENTPLOTAREA>False</TRANSPARENTPLOTAREA>
    <TARGETTYPE>Picture</TARGETTYPE>
    <TARGETAPPLICATION>METHODE_TARGET</TARGETAPPLICATION>
    <TABLEBACKGROUND>Existing</TABLEBACKGROUND>
    <TARGET_BINARYFULLNAME>/MSResearch/Content/ExternalAssets/2014-11/Images/yfHuR_nbvkuFuUPYdCouRQ--.png</TARGET_BINARYFULLNAME>
    <TARGET_STORYFULLNAME>/MSResearch/Content/ExternalAssets/2014-11/Sections/20141113_115750_MWA_Risk_Reward.xml</TARGET_STORYFULLNAME>
    <TARGET_UUID>33736150-6b56-11e4-a3c3-17411572f345</TARGET_UUID>
    <LINKSTATUS>Unknown</LINKSTATUS>
  </Link>
  <Link>
    <GUID>959211bf-3c64-4893-b83e-eb38dbd9f918</GUID>
    <SOURCE_ALTADDRESS>$A$6:$FE$59</SOURCE_ALTADDRESS>
    <SOURCETYPE>Table</SOURCETYPE>
    <SOURCE_OBJECTNAME>Linking_Range_34</SOURCE_OBJECTNAME>
    <OBJECTTYPE>Native</OBJECTTYPE>
    <SOURCE_SHEETCODE>Sheet1</SOURCE_SHEETCODE>
    <SOURCE_SHEETNAME>sumry</SOURCE_SHEETNAME>
    <SOURCEAPPLICATION>EXCEL_SOURCE</SOURCEAPPLICATION>
    <UPDATEDAT>5/14/2015 3:51:41 PM</UPDATEDAT>
    <SOURCE_ISOUTOFDATE>False</SOURCE_ISOUTOFDATE>
    <SOURCE_WORKBOOKNAME>KSS_Model.xls</SOURCE_WORKBOOKNAME>
    <SOURCE_WORKBOOKPATH>\\MSAD\ROOT\NA\NY\LIB\ER\RETAIL\Greenberger\Companies\KSS\Model</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/MSResearch/Content/ExternalAssets/2015-02/Images/uOB1CPNdmkO1CZKvYFA8jg--.png</TARGET_BINARYFULLNAME>
    <TARGET_STORYFULLNAME>/MSResearch/Content/ExternalAssets/2015-02/Sections/20150226_061356_Linking_Range_34.xml</TARGET_STORYFULLNAME>
    <TARGET_UUID>2397a5b6-be0d-11e4-a5e9-e3b3f180109b</TARGET_UUID>
    <LINKSTATUS>Unknown</LINKSTATUS>
  </Link>
  <Link>
    <GUID>8ab68496-0fc2-489b-b381-edf2dcd3ec9d</GUID>
    <SOURCE_ALTADDRESS>$A$6:$AF$50</SOURCE_ALTADDRESS>
    <SOURCETYPE>Table</SOURCETYPE>
    <SOURCE_OBJECTNAME>Linking_Range_35</SOURCE_OBJECTNAME>
    <OBJECTTYPE>Native</OBJECTTYPE>
    <SOURCE_SHEETCODE>Sheet9</SOURCE_SHEETCODE>
    <SOURCE_SHEETNAME>bal</SOURCE_SHEETNAME>
    <SOURCEAPPLICATION>EXCEL_SOURCE</SOURCEAPPLICATION>
    <UPDATEDAT>5/14/2015 3:52:01 PM</UPDATEDAT>
    <SOURCE_ISOUTOFDATE>False</SOURCE_ISOUTOFDATE>
    <SOURCE_WORKBOOKNAME>KSS_Model.xls</SOURCE_WORKBOOKNAME>
    <SOURCE_WORKBOOKPATH>\\MSAD\ROOT\NA\NY\LIB\ER\RETAIL\Greenberger\Companies\KSS\Model</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/MSResearch/Content/ExternalAssets/2015-02/Images/InsUphcLNkyXYnBBSongXg--.png</TARGET_BINARYFULLNAME>
    <TARGET_STORYFULLNAME>/MSResearch/Content/ExternalAssets/2015-02/Sections/20150226_061424_Linking_Range_35.xml</TARGET_STORYFULLNAME>
    <TARGET_UUID>33f09468-be0d-11e4-a5e9-e3b3f180109b</TARGET_UUID>
    <LINKSTATUS>Unknown</LINKSTATUS>
  </Link>
  <Link>
    <GUID>a074958a-58ea-4230-9f27-fa89e5718fbf</GUID>
    <SOURCE_ALTADDRESS>$A$6:$AG$56</SOURCE_ALTADDRESS>
    <SOURCETYPE>Table</SOURCETYPE>
    <SOURCE_OBJECTNAME>Linking_Range_36</SOURCE_OBJECTNAME>
    <OBJECTTYPE>Native</OBJECTTYPE>
    <SOURCE_SHEETCODE>Sheet10</SOURCE_SHEETCODE>
    <SOURCE_SHEETNAME>flow</SOURCE_SHEETNAME>
    <SOURCEAPPLICATION>EXCEL_SOURCE</SOURCEAPPLICATION>
    <UPDATEDAT>5/14/2015 3:52:44 PM</UPDATEDAT>
    <SOURCE_ISOUTOFDATE>False</SOURCE_ISOUTOFDATE>
    <SOURCE_WORKBOOKNAME>KSS_Model.xls</SOURCE_WORKBOOKNAME>
    <SOURCE_WORKBOOKPATH>\\MSAD\ROOT\NA\NY\LIB\ER\RETAIL\Greenberger\Companies\KSS\Model</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/MSResearch/Content/ExternalAssets/2015-02/Images/klHQTSVFFaZcle3roCChg--.png</TARGET_BINARYFULLNAME>
    <TARGET_STORYFULLNAME>/MSResearch/Content/ExternalAssets/2015-02/Sections/20150226_061449_Linking_Range_36.xml</TARGET_STORYFULLNAME>
    <TARGET_UUID>42f993a6-be0d-11e4-a5e9-e3b3f180109b</TARGET_UUID>
    <LINKSTATUS>Unknown</LINKSTATUS>
  </Link>
</lk:Links>
</file>

<file path=customXml/itemProps1.xml><?xml version="1.0" encoding="utf-8"?>
<ds:datastoreItem xmlns:ds="http://schemas.openxmlformats.org/officeDocument/2006/customXml" ds:itemID="{425357D3-E73E-4849-9517-2D81EE0AA1DA}">
  <ds:schemaRefs>
    <ds:schemaRef ds:uri="thomsonreuters.linking.metadatachange"/>
  </ds:schemaRefs>
</ds:datastoreItem>
</file>

<file path=customXml/itemProps2.xml><?xml version="1.0" encoding="utf-8"?>
<ds:datastoreItem xmlns:ds="http://schemas.openxmlformats.org/officeDocument/2006/customXml" ds:itemID="{FCD041CC-58E2-46AC-AEBC-EB8FD8DF0AB4}">
  <ds:schemaRefs>
    <ds:schemaRef ds:uri="thomsonreuters.linking.metadat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131</vt:i4>
      </vt:variant>
    </vt:vector>
  </HeadingPairs>
  <TitlesOfParts>
    <vt:vector size="149" baseType="lpstr">
      <vt:lpstr>ImportantDisclosures</vt:lpstr>
      <vt:lpstr>Earnings</vt:lpstr>
      <vt:lpstr>BullBaseBear</vt:lpstr>
      <vt:lpstr>sumry</vt:lpstr>
      <vt:lpstr>qtrSales</vt:lpstr>
      <vt:lpstr>qtrP&amp;L</vt:lpstr>
      <vt:lpstr>yrSales</vt:lpstr>
      <vt:lpstr>yrP&amp;L</vt:lpstr>
      <vt:lpstr>stores</vt:lpstr>
      <vt:lpstr>bal</vt:lpstr>
      <vt:lpstr>flow</vt:lpstr>
      <vt:lpstr>turn</vt:lpstr>
      <vt:lpstr>wc</vt:lpstr>
      <vt:lpstr>dtc</vt:lpstr>
      <vt:lpstr>LEASES NEW</vt:lpstr>
      <vt:lpstr>DCF</vt:lpstr>
      <vt:lpstr>IndexInformation</vt:lpstr>
      <vt:lpstr>ModPubIndex</vt:lpstr>
      <vt:lpstr>AdditionalInstructions</vt:lpstr>
      <vt:lpstr>ImportantDisclosures!Address</vt:lpstr>
      <vt:lpstr>ModPubIndex!ANA</vt:lpstr>
      <vt:lpstr>ImportantDisclosures!Authors</vt:lpstr>
      <vt:lpstr>IndexInformation!Authors</vt:lpstr>
      <vt:lpstr>ModPubIndex!BRO</vt:lpstr>
      <vt:lpstr>CopyrightStamp</vt:lpstr>
      <vt:lpstr>ModPubIndex!COU</vt:lpstr>
      <vt:lpstr>IndexInformation!CQEnd</vt:lpstr>
      <vt:lpstr>IndexInformation!Currency</vt:lpstr>
      <vt:lpstr>IndexInformation!CurrentStockPrice</vt:lpstr>
      <vt:lpstr>IndexInformation!CurrQtrEPS</vt:lpstr>
      <vt:lpstr>IndexInformation!CurrYearEPS</vt:lpstr>
      <vt:lpstr>IndexInformation!CurrYearTotalRevenue</vt:lpstr>
      <vt:lpstr>IndexInformation!CurrYearTotalRevenueActual</vt:lpstr>
      <vt:lpstr>IndexInformation!CUSIP</vt:lpstr>
      <vt:lpstr>IndexInformation!CYEnd</vt:lpstr>
      <vt:lpstr>ImportantDisclosures!Date</vt:lpstr>
      <vt:lpstr>IndexInformation!Deleted</vt:lpstr>
      <vt:lpstr>IndexInformation!Description</vt:lpstr>
      <vt:lpstr>IndexInformation!Discipline</vt:lpstr>
      <vt:lpstr>ModPubIndex!DISCIPLINE</vt:lpstr>
      <vt:lpstr>DisclosuresText</vt:lpstr>
      <vt:lpstr>IndexInformation!Distribution</vt:lpstr>
      <vt:lpstr>ModPubIndex!DOCDAT</vt:lpstr>
      <vt:lpstr>ModPubIndex!DOCTIME</vt:lpstr>
      <vt:lpstr>IndexInformation!DocType</vt:lpstr>
      <vt:lpstr>ModPubIndex!EMAIL_ALERT</vt:lpstr>
      <vt:lpstr>IndexInformation!EmailAlert</vt:lpstr>
      <vt:lpstr>IndexInformation!FiveYearGrowthRate</vt:lpstr>
      <vt:lpstr>IndexInformation!FollowingYearEPS</vt:lpstr>
      <vt:lpstr>IndexInformation!FollowingYearTotalRevenue</vt:lpstr>
      <vt:lpstr>IndexInformation!FollowingYearTotalRevenueActual</vt:lpstr>
      <vt:lpstr>ModPubIndex!HL</vt:lpstr>
      <vt:lpstr>ModPubIndex!IND</vt:lpstr>
      <vt:lpstr>ImportantDisclosures!Industry</vt:lpstr>
      <vt:lpstr>IndustryId</vt:lpstr>
      <vt:lpstr>ImportantDisclosures!IndustryRating</vt:lpstr>
      <vt:lpstr>IndexInformation!KeepVersions</vt:lpstr>
      <vt:lpstr>LanguageCode</vt:lpstr>
      <vt:lpstr>ImportantDisclosures!LastCell</vt:lpstr>
      <vt:lpstr>Linking_1</vt:lpstr>
      <vt:lpstr>Linking_10</vt:lpstr>
      <vt:lpstr>Linking_11</vt:lpstr>
      <vt:lpstr>Linking_12</vt:lpstr>
      <vt:lpstr>Linking_13</vt:lpstr>
      <vt:lpstr>Linking_14</vt:lpstr>
      <vt:lpstr>Linking_15</vt:lpstr>
      <vt:lpstr>Linking_16</vt:lpstr>
      <vt:lpstr>Linking_3</vt:lpstr>
      <vt:lpstr>Linking_5</vt:lpstr>
      <vt:lpstr>Linking_6</vt:lpstr>
      <vt:lpstr>Linking_8</vt:lpstr>
      <vt:lpstr>Linking_9</vt:lpstr>
      <vt:lpstr>Linking_Range_10</vt:lpstr>
      <vt:lpstr>Linking_Range_11</vt:lpstr>
      <vt:lpstr>Linking_Range_12</vt:lpstr>
      <vt:lpstr>Linking_Range_13</vt:lpstr>
      <vt:lpstr>Linking_Range_14</vt:lpstr>
      <vt:lpstr>Linking_Range_15</vt:lpstr>
      <vt:lpstr>Linking_Range_16</vt:lpstr>
      <vt:lpstr>Linking_Range_19</vt:lpstr>
      <vt:lpstr>Linking_Range_20</vt:lpstr>
      <vt:lpstr>Linking_Range_21</vt:lpstr>
      <vt:lpstr>Linking_Range_22</vt:lpstr>
      <vt:lpstr>Linking_Range_25</vt:lpstr>
      <vt:lpstr>Linking_Range_26</vt:lpstr>
      <vt:lpstr>Linking_Range_27</vt:lpstr>
      <vt:lpstr>Linking_Range_28</vt:lpstr>
      <vt:lpstr>Linking_Range_29</vt:lpstr>
      <vt:lpstr>Linking_Range_30</vt:lpstr>
      <vt:lpstr>Linking_Range_31</vt:lpstr>
      <vt:lpstr>Linking_Range_34</vt:lpstr>
      <vt:lpstr>Linking_Range_35</vt:lpstr>
      <vt:lpstr>Linking_Range_36</vt:lpstr>
      <vt:lpstr>Linking_Range_4</vt:lpstr>
      <vt:lpstr>Linking_Range_5</vt:lpstr>
      <vt:lpstr>Linking_Range_6</vt:lpstr>
      <vt:lpstr>Linking_Range_7</vt:lpstr>
      <vt:lpstr>Linking_Range_8</vt:lpstr>
      <vt:lpstr>Linking_Range_9</vt:lpstr>
      <vt:lpstr>Linking_Text_1</vt:lpstr>
      <vt:lpstr>IndexInformation!MacroVersion</vt:lpstr>
      <vt:lpstr>ImportantDisclosures!ModelPrice</vt:lpstr>
      <vt:lpstr>IndexInformation!Multiplier</vt:lpstr>
      <vt:lpstr>IndexInformation!NextYearEPS</vt:lpstr>
      <vt:lpstr>IndexInformation!NextYearTotalRevenue</vt:lpstr>
      <vt:lpstr>IndexInformation!NextYearTotalRevenueActual</vt:lpstr>
      <vt:lpstr>ObjectType</vt:lpstr>
      <vt:lpstr>ModPubIndex!PANA</vt:lpstr>
      <vt:lpstr>IndexInformation!PathName</vt:lpstr>
      <vt:lpstr>BullBaseBear!Print_Area</vt:lpstr>
      <vt:lpstr>dtc!Print_Area</vt:lpstr>
      <vt:lpstr>Earnings!Print_Area</vt:lpstr>
      <vt:lpstr>flow!Print_Area</vt:lpstr>
      <vt:lpstr>'qtrP&amp;L'!Print_Area</vt:lpstr>
      <vt:lpstr>qtrSales!Print_Area</vt:lpstr>
      <vt:lpstr>sumry!Print_Area</vt:lpstr>
      <vt:lpstr>turn!Print_Area</vt:lpstr>
      <vt:lpstr>wc!Print_Area</vt:lpstr>
      <vt:lpstr>'yrP&amp;L'!Print_Area</vt:lpstr>
      <vt:lpstr>yrSales!Print_Area</vt:lpstr>
      <vt:lpstr>'qtrP&amp;L'!Print_Titles</vt:lpstr>
      <vt:lpstr>'yrP&amp;L'!Print_Titles</vt:lpstr>
      <vt:lpstr>yrSales!Print_Titles</vt:lpstr>
      <vt:lpstr>ModPubIndex!PRODUCT</vt:lpstr>
      <vt:lpstr>ModPubIndex!PSYM</vt:lpstr>
      <vt:lpstr>IndexInformation!PublishDate</vt:lpstr>
      <vt:lpstr>IndexInformation!Rating</vt:lpstr>
      <vt:lpstr>ImportantDisclosures!RatingsDefined</vt:lpstr>
      <vt:lpstr>IndexInformation!ResearchTopic</vt:lpstr>
      <vt:lpstr>IndexInformation!RIC</vt:lpstr>
      <vt:lpstr>IndexInformation!SEDOL</vt:lpstr>
      <vt:lpstr>ImportantDisclosures!SourceDefined</vt:lpstr>
      <vt:lpstr>ImportantDisclosures!StockRating</vt:lpstr>
      <vt:lpstr>IndexInformation!SubjectCode</vt:lpstr>
      <vt:lpstr>SubmitterUserId</vt:lpstr>
      <vt:lpstr>ModPubIndex!SUPPRESSED</vt:lpstr>
      <vt:lpstr>ImportantDisclosures!TargetPrice</vt:lpstr>
      <vt:lpstr>TemplateRegion</vt:lpstr>
      <vt:lpstr>ImportantDisclosures!Ticker</vt:lpstr>
      <vt:lpstr>TickerRegion</vt:lpstr>
      <vt:lpstr>IndexInformation!Tickers</vt:lpstr>
      <vt:lpstr>IndexInformation!UpdateReason</vt:lpstr>
      <vt:lpstr>xbrlAssumption</vt:lpstr>
      <vt:lpstr>xbrlDates</vt:lpstr>
      <vt:lpstr>xbrlFormat</vt:lpstr>
      <vt:lpstr>xbrlLabels</vt:lpstr>
      <vt:lpstr>xbrlNames</vt:lpstr>
      <vt:lpstr>xbrlReverseSign</vt:lpstr>
      <vt:lpstr>xbrlScale</vt:lpstr>
    </vt:vector>
  </TitlesOfParts>
  <Company>Morgan Stanley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2011-05-09T22:38:47Z</dcterms:created>
  <dc:creator>sancfa</dc:creator>
  <cp:lastModifiedBy>Jenson, Andrea (Research)</cp:lastModifiedBy>
  <cp:lastPrinted>2018-03-02T03:21:58Z</cp:lastPrinted>
  <dcterms:modified xsi:type="dcterms:W3CDTF">2018-04-09T16:13:38Z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name="LinkingAutoNameNumberLinking_Range_" pid="2">
    <vt:lpwstr>36</vt:lpwstr>
  </property>
  <property fmtid="{D5CDD505-2E9C-101B-9397-08002B2CF9AE}" name="LinkingAutoNameNumberLinking_Text_" pid="3">
    <vt:lpwstr>2</vt:lpwstr>
  </property>
  <property fmtid="{D5CDD505-2E9C-101B-9397-08002B2CF9AE}" name="ERModPubTicket" pid="4">
    <vt:lpwstr>NA</vt:lpwstr>
  </property>
  <property fmtid="{D5CDD505-2E9C-101B-9397-08002B2CF9AE}" name="ERCompanyUploadState" pid="5">
    <vt:lpwstr>P</vt:lpwstr>
  </property>
  <property fmtid="{D5CDD505-2E9C-101B-9397-08002B2CF9AE}" name="ModelId" pid="6">
    <vt:lpwstr>760289</vt:lpwstr>
  </property>
  <property fmtid="{D5CDD505-2E9C-101B-9397-08002B2CF9AE}" name="ERModPubCompanyName" pid="7">
    <vt:lpwstr>Kohl's</vt:lpwstr>
  </property>
  <property fmtid="{D5CDD505-2E9C-101B-9397-08002B2CF9AE}" name="MSDH34TAG" pid="8">
    <vt:lpwstr>.TEZUF76X5TAHATHESADREYAK-00-INB160+*94600-06=b0001bc6/-3c10/-11e8/-b3f7/-7a79cfe26848,MD=20180409121454/-0400,ZZ=000Z-9a85.</vt:lpwstr>
  </property>
</Properties>
</file>